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Market_Daily" sheetId="3" state="visible" r:id="rId3"/>
    <sheet xmlns:r="http://schemas.openxmlformats.org/officeDocument/2006/relationships" name="Market_Weekly" sheetId="4" state="visible" r:id="rId4"/>
    <sheet xmlns:r="http://schemas.openxmlformats.org/officeDocument/2006/relationships" name="Parity" sheetId="5" state="visible" r:id="rId5"/>
    <sheet xmlns:r="http://schemas.openxmlformats.org/officeDocument/2006/relationships" name="Sensitivity" sheetId="6" state="visible" r:id="rId6"/>
    <sheet xmlns:r="http://schemas.openxmlformats.org/officeDocument/2006/relationships" name="Term_Structure" sheetId="7" state="visible" r:id="rId7"/>
    <sheet xmlns:r="http://schemas.openxmlformats.org/officeDocument/2006/relationships" name="Counterparties" sheetId="8" state="visible" r:id="rId8"/>
    <sheet xmlns:r="http://schemas.openxmlformats.org/officeDocument/2006/relationships" name="Trade_Book" sheetId="9" state="visible" r:id="rId9"/>
    <sheet xmlns:r="http://schemas.openxmlformats.org/officeDocument/2006/relationships" name="Cashflows" sheetId="10" state="visible" r:id="rId10"/>
    <sheet xmlns:r="http://schemas.openxmlformats.org/officeDocument/2006/relationships" name="MTM_Daily" sheetId="11" state="visible" r:id="rId11"/>
    <sheet xmlns:r="http://schemas.openxmlformats.org/officeDocument/2006/relationships" name="Attribution" sheetId="12" state="visible" r:id="rId12"/>
    <sheet xmlns:r="http://schemas.openxmlformats.org/officeDocument/2006/relationships" name="Equity_Curve" sheetId="13" state="visible" r:id="rId13"/>
    <sheet xmlns:r="http://schemas.openxmlformats.org/officeDocument/2006/relationships" name="Checks" sheetId="14" state="visible" r:id="rId14"/>
  </sheets>
  <definedNames>
    <definedName name="bcd_scrap_hs7602">Inputs!$B$8</definedName>
    <definedName name="sws_rate_on_bcd">Inputs!$B$9</definedName>
    <definedName name="igst_rate_hs7602">Inputs!$B$10</definedName>
    <definedName name="insurance_rate">Inputs!$B$11</definedName>
    <definedName name="insured_value_uplift">Inputs!$B$12</definedName>
    <definedName name="igst_credit_lag_days">Inputs!$B$13</definedName>
    <definedName name="igst_itc_available">Inputs!$B$14</definedName>
    <definedName name="psic_cost_usd_per_box">Inputs!$B$15</definedName>
    <definedName name="heavies_net_value_frac_of_lme_al">Inputs!$B$16</definedName>
    <definedName name="domestic_anchor_premium_inr_t">Inputs!$B$17</definedName>
    <definedName name="conversion_cost_inr_t">Inputs!$B$18</definedName>
    <definedName name="margin_threshold_inr_t">Inputs!$B$19</definedName>
    <definedName name="bcd_primary_al_hs7601">Inputs!$B$20</definedName>
    <definedName name="mcx_domestic_premium_inr_kg">Inputs!$B$21</definedName>
    <definedName name="customs_fx_markup_frac">Inputs!$B$22</definedName>
    <definedName name="customs_fx_notification_validity_days">Inputs!$B$23</definedName>
    <definedName name="mcx_al_lot_mt">Inputs!$B$24</definedName>
    <definedName name="mcx_al_margin_used_frac">Inputs!$B$25</definedName>
    <definedName name="fx_forward_bank_margin_inr">Inputs!$B$26</definedName>
    <definedName name="mcx_roll_days_before_expiry">Inputs!$B$27</definedName>
    <definedName name="lme_cash_prompt_bdays">Inputs!$B$28</definedName>
    <definedName name="mcx_al_tick_inr_kg">Inputs!$B$29</definedName>
    <definedName name="demurrage_usd_per_box_day">Inputs!$B$30</definedName>
    <definedName name="param_keys">Inputs!$A$8:$A$63</definedName>
    <definedName name="param_values">Inputs!$B$8:$B$63</definedName>
    <definedName name="pdates_grade_factor_zorba">Inputs!$A$70:$A$79</definedName>
    <definedName name="pvals_grade_factor_zorba">Inputs!$B$70:$B$79</definedName>
    <definedName name="pdates_grade_factor_taint_tabor">Inputs!$A$83:$A$92</definedName>
    <definedName name="pvals_grade_factor_taint_tabor">Inputs!$B$83:$B$92</definedName>
    <definedName name="pdates_grade_factor_tense">Inputs!$A$96:$A$105</definedName>
    <definedName name="pvals_grade_factor_tense">Inputs!$B$96:$B$105</definedName>
    <definedName name="pdates_grade_factor_mix_pit">Inputs!$A$109:$A$118</definedName>
    <definedName name="pvals_grade_factor_mix_pit">Inputs!$B$109:$B$118</definedName>
    <definedName name="pdates_wc_rate_inr_pa">Inputs!$A$122:$A$130</definedName>
    <definedName name="pvals_wc_rate_inr_pa">Inputs!$B$122:$B$130</definedName>
    <definedName name="pdates_customs_usdinr_import">Inputs!$A$134:$A$148</definedName>
    <definedName name="pvals_customs_usdinr_import">Inputs!$B$134:$B$148</definedName>
    <definedName name="customs_fx_first">Inputs!$A$134</definedName>
    <definedName name="customs_fx_last">Inputs!$A$148</definedName>
    <definedName name="window_start">Inputs!$B$153</definedName>
    <definedName name="window_end">Inputs!$B$154</definedName>
    <definedName name="horizon_end">Inputs!$B$155</definedName>
    <definedName name="conv_step_5a">Inputs!$B$156</definedName>
    <definedName name="grid_tonnes_mt">Inputs!$B$157</definedName>
    <definedName name="day_count_inr">Inputs!$B$158</definedName>
    <definedName name="day_count_usd">Inputs!$B$159</definedName>
    <definedName name="kg_per_mt">Inputs!$B$160</definedName>
    <definedName name="tol_parity_inr_t">Inputs!$B$161</definedName>
    <definedName name="tol_trade_inr">Inputs!$B$162</definedName>
    <definedName name="tol_grid_inr">Inputs!$B$163</definedName>
    <definedName name="tol_cashflow_inr">Inputs!$B$164</definedName>
    <definedName name="tol_mcx_inr">Inputs!$B$165</definedName>
    <definedName name="tol_usd_t">Inputs!$B$166</definedName>
    <definedName name="mcx_slippage_ticks">Inputs!$B$173</definedName>
    <definedName name="mcx_txn_cost_frac">Inputs!$B$174</definedName>
    <definedName name="lc_sight_payment_lag_days">Inputs!$B$175</definedName>
    <definedName name="lc_presentation_period_days">Inputs!$B$176</definedName>
    <definedName name="boe_lag_days">Inputs!$B$177</definedName>
    <definedName name="survey_lag_days">Inputs!$B$178</definedName>
    <definedName name="provisional_invoice_frac">Inputs!$B$179</definedName>
    <definedName name="final_invoice_lag_bdays">Inputs!$B$180</definedName>
    <definedName name="claim_settle_lag_days">Inputs!$B$181</definedName>
    <definedName name="freight_stop_loss_frac">Inputs!$B$182</definedName>
    <definedName name="overdue_interest_collected_frac">Inputs!$B$183</definedName>
    <definedName name="mcx_months">Inputs!$A$190:$A$202</definedName>
    <definedName name="mcx_expiries">Inputs!$B$190:$B$202</definedName>
    <definedName name="_xlnm._FilterDatabase" localSheetId="1" hidden="1">'Inputs'!$A$7:$I$63</definedName>
    <definedName name="_xlnm._FilterDatabase" localSheetId="2" hidden="1">'Market_Daily'!$A$5:$AH$256</definedName>
    <definedName name="_xlnm._FilterDatabase" localSheetId="4" hidden="1">'Parity'!$A$5:$BJ$263</definedName>
    <definedName name="_xlnm._FilterDatabase" localSheetId="5" hidden="1">'Sensitivity'!$A$284:$AE$464</definedName>
    <definedName name="_xlnm._FilterDatabase" localSheetId="9" hidden="1">'Cashflows'!$A$7:$AB$1038</definedName>
    <definedName name="_xlnm._FilterDatabase" localSheetId="10" hidden="1">'MTM_Daily'!$A$5:$AQ$1238</definedName>
  </definedNames>
  <calcPr calcId="124519" fullCalcOnLoad="1"/>
</workbook>
</file>

<file path=xl/styles.xml><?xml version="1.0" encoding="utf-8"?>
<styleSheet xmlns="http://schemas.openxmlformats.org/spreadsheetml/2006/main">
  <numFmts count="3">
    <numFmt numFmtId="164" formatCode="yyyy-mm-dd"/>
    <numFmt numFmtId="165" formatCode="#,##0.0000"/>
    <numFmt numFmtId="166" formatCode="0.000000"/>
  </numFmts>
  <fonts count="10">
    <font>
      <name val="Calibri"/>
      <family val="2"/>
      <color theme="1"/>
      <sz val="11"/>
      <scheme val="minor"/>
    </font>
    <font>
      <b val="1"/>
      <color rgb="007F6000"/>
      <sz val="9"/>
    </font>
    <font>
      <b val="1"/>
      <color rgb="001F4E79"/>
      <sz val="13"/>
    </font>
    <font>
      <i val="1"/>
      <color rgb="007F7F7F"/>
      <sz val="8.5"/>
    </font>
    <font>
      <b val="1"/>
      <color rgb="001F4E79"/>
      <sz val="10"/>
    </font>
    <font>
      <b val="1"/>
      <color rgb="00FFFFFF"/>
      <sz val="9"/>
    </font>
    <font>
      <color rgb="00404040"/>
      <sz val="9"/>
    </font>
    <font>
      <color rgb="000000CC"/>
      <sz val="9"/>
    </font>
    <font>
      <color rgb="00000000"/>
      <sz val="9"/>
    </font>
    <font>
      <color rgb="00008000"/>
      <sz val="9"/>
    </font>
  </fonts>
  <fills count="5">
    <fill>
      <patternFill/>
    </fill>
    <fill>
      <patternFill patternType="gray125"/>
    </fill>
    <fill>
      <patternFill patternType="solid">
        <fgColor rgb="00FFF2CC"/>
      </patternFill>
    </fill>
    <fill>
      <patternFill patternType="solid">
        <fgColor rgb="001F4E79"/>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vertical="center" wrapText="1"/>
    </xf>
    <xf numFmtId="49" fontId="7" fillId="0" borderId="0" pivotButton="0" quotePrefix="0" xfId="0"/>
    <xf numFmtId="49" fontId="6" fillId="0" borderId="0" pivotButton="0" quotePrefix="0" xfId="0"/>
    <xf numFmtId="49" fontId="8" fillId="0" borderId="0" pivotButton="0" quotePrefix="0" xfId="0"/>
    <xf numFmtId="49" fontId="9" fillId="0" borderId="0" pivotButton="0" quotePrefix="0" xfId="0"/>
    <xf numFmtId="0" fontId="7" fillId="0" borderId="0" pivotButton="0" quotePrefix="0" xfId="0"/>
    <xf numFmtId="164" fontId="6" fillId="0" borderId="0" pivotButton="0" quotePrefix="0" xfId="0"/>
    <xf numFmtId="164" fontId="7" fillId="0" borderId="0" pivotButton="0" quotePrefix="0" xfId="0"/>
    <xf numFmtId="165" fontId="7" fillId="0" borderId="0" pivotButton="0" quotePrefix="0" xfId="0"/>
    <xf numFmtId="166" fontId="7" fillId="0" borderId="0" pivotButton="0" quotePrefix="0" xfId="0"/>
    <xf numFmtId="166" fontId="8" fillId="0" borderId="0" pivotButton="0" quotePrefix="0" xfId="0"/>
    <xf numFmtId="165" fontId="8" fillId="0" borderId="0" pivotButton="0" quotePrefix="0" xfId="0"/>
    <xf numFmtId="0" fontId="6" fillId="0" borderId="0" pivotButton="0" quotePrefix="0" xfId="0"/>
    <xf numFmtId="4" fontId="8" fillId="0" borderId="0" pivotButton="0" quotePrefix="0" xfId="0"/>
    <xf numFmtId="3" fontId="8" fillId="0" borderId="0" pivotButton="0" quotePrefix="0" xfId="0"/>
    <xf numFmtId="4" fontId="6" fillId="0" borderId="0" pivotButton="0" quotePrefix="0" xfId="0"/>
    <xf numFmtId="4" fontId="7" fillId="0" borderId="0" pivotButton="0" quotePrefix="0" xfId="0"/>
    <xf numFmtId="3" fontId="7" fillId="0" borderId="0" pivotButton="0" quotePrefix="0" xfId="0"/>
    <xf numFmtId="4" fontId="9" fillId="0" borderId="0" pivotButton="0" quotePrefix="0" xfId="0"/>
    <xf numFmtId="0" fontId="9" fillId="0" borderId="0" pivotButton="0" quotePrefix="0" xfId="0"/>
    <xf numFmtId="164" fontId="9" fillId="0" borderId="0" pivotButton="0" quotePrefix="0" xfId="0"/>
    <xf numFmtId="164" fontId="8" fillId="0" borderId="0" pivotButton="0" quotePrefix="0" xfId="0"/>
    <xf numFmtId="0" fontId="8" fillId="4" borderId="0" pivotButton="0" quotePrefix="0" xfId="0"/>
    <xf numFmtId="165" fontId="6" fillId="0" borderId="0" pivotButton="0" quotePrefix="0" xfId="0"/>
    <xf numFmtId="165"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Book cumulative P&amp;L (₹) — ACADEMIC SIMULATION, not actual trades</a:t>
            </a:r>
          </a:p>
        </rich>
      </tx>
    </title>
    <plotArea>
      <lineChart>
        <grouping val="standard"/>
        <ser>
          <idx val="0"/>
          <order val="0"/>
          <tx>
            <strRef>
              <f>'Equity_Curve'!H5</f>
            </strRef>
          </tx>
          <spPr>
            <a:ln xmlns:a="http://schemas.openxmlformats.org/drawingml/2006/main">
              <a:prstDash val="solid"/>
            </a:ln>
          </spPr>
          <marker>
            <symbol val="none"/>
            <spPr>
              <a:ln xmlns:a="http://schemas.openxmlformats.org/drawingml/2006/main">
                <a:prstDash val="solid"/>
              </a:ln>
            </spPr>
          </marker>
          <cat>
            <numRef>
              <f>'Equity_Curve'!$A$6:$A$169</f>
            </numRef>
          </cat>
          <val>
            <numRef>
              <f>'Equity_Curve'!$H$6:$H$169</f>
            </numRef>
          </val>
          <smooth val="0"/>
        </ser>
        <ser>
          <idx val="1"/>
          <order val="1"/>
          <tx>
            <strRef>
              <f>'Equity_Curve'!G5</f>
            </strRef>
          </tx>
          <spPr>
            <a:ln xmlns:a="http://schemas.openxmlformats.org/drawingml/2006/main">
              <a:prstDash val="solid"/>
            </a:ln>
          </spPr>
          <marker>
            <symbol val="none"/>
            <spPr>
              <a:ln xmlns:a="http://schemas.openxmlformats.org/drawingml/2006/main">
                <a:prstDash val="solid"/>
              </a:ln>
            </spPr>
          </marker>
          <cat>
            <numRef>
              <f>'Equity_Curve'!$A$6:$A$169</f>
            </numRef>
          </cat>
          <val>
            <numRef>
              <f>'Equity_Curve'!$G$6:$G$169</f>
            </numRef>
          </val>
          <smooth val="0"/>
        </ser>
        <ser>
          <idx val="2"/>
          <order val="2"/>
          <tx>
            <strRef>
              <f>'Equity_Curve'!E5</f>
            </strRef>
          </tx>
          <spPr>
            <a:ln xmlns:a="http://schemas.openxmlformats.org/drawingml/2006/main">
              <a:prstDash val="solid"/>
            </a:ln>
          </spPr>
          <marker>
            <symbol val="none"/>
            <spPr>
              <a:ln xmlns:a="http://schemas.openxmlformats.org/drawingml/2006/main">
                <a:prstDash val="solid"/>
              </a:ln>
            </spPr>
          </marker>
          <cat>
            <numRef>
              <f>'Equity_Curve'!$A$6:$A$169</f>
            </numRef>
          </cat>
          <val>
            <numRef>
              <f>'Equity_Curve'!$E$6:$E$169</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panel day</a:t>
                </a:r>
              </a:p>
            </rich>
          </tx>
        </title>
        <numFmt formatCode="yyyy-mm-dd" sourceLinked="0"/>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cumulative P&amp;L (INR)</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172</row>
      <rowOff>0</rowOff>
    </from>
    <ext cx="93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62"/>
  <sheetViews>
    <sheetView showGridLines="0" workbookViewId="0">
      <selection activeCell="A1" sqref="A1"/>
    </sheetView>
  </sheetViews>
  <sheetFormatPr baseColWidth="8" defaultRowHeight="15"/>
  <cols>
    <col width="34" customWidth="1" min="1" max="1"/>
    <col width="118" customWidth="1" min="2" max="2"/>
    <col width="8" customWidth="1" min="3" max="3"/>
    <col width="14" customWidth="1" min="4" max="4"/>
    <col width="14" customWidth="1" min="5" max="5"/>
    <col width="104" customWidth="1" min="6" max="6"/>
  </cols>
  <sheetData>
    <row r="1">
      <c r="A1" s="1" t="inlineStr">
        <is>
          <t>ACADEMIC SIMULATION — not actual trades</t>
        </is>
      </c>
    </row>
    <row r="2">
      <c r="A2" s="2" t="inlineStr">
        <is>
          <t>Meridian Non-Ferrous Trading Pvt Ltd (SIM) — Aluminium Scrap Desk, Mumbai</t>
        </is>
      </c>
    </row>
    <row r="3">
      <c r="A3" s="3" t="inlineStr">
        <is>
          <t>ACADEMIC SIMULATION — not actual trades.  Master workbook, formula-driven for Components 1–3.  Backtest window 2022-03-01 → 2022-08-31; engine horizon 2022-10-31.</t>
        </is>
      </c>
    </row>
    <row r="5">
      <c r="A5" s="4" t="inlineStr">
        <is>
          <t>How to read a cell — the colour convention</t>
        </is>
      </c>
    </row>
    <row r="7" ht="30" customHeight="1">
      <c r="A7" s="5" t="inlineStr">
        <is>
          <t>colour</t>
        </is>
      </c>
      <c r="B7" s="5" t="inlineStr">
        <is>
          <t>meaning</t>
        </is>
      </c>
    </row>
    <row r="8">
      <c r="A8" s="6" t="inlineStr">
        <is>
          <t>blue</t>
        </is>
      </c>
      <c r="B8" s="7" t="inlineStr">
        <is>
          <t>An input you may change: a register parameter, a ticket field, a market print. Everything downstream re-computes.</t>
        </is>
      </c>
    </row>
    <row r="9">
      <c r="A9" s="8" t="inlineStr">
        <is>
          <t>black</t>
        </is>
      </c>
      <c r="B9" s="7" t="inlineStr">
        <is>
          <t>An Excel formula. Never typed — derived from blue cells and other formulas.</t>
        </is>
      </c>
    </row>
    <row r="10">
      <c r="A10" s="9" t="inlineStr">
        <is>
          <t>green</t>
        </is>
      </c>
      <c r="B10" s="7" t="inlineStr">
        <is>
          <t>A value produced by the Python engine and pasted here. Two kinds, and the sheets say which: *check* columns that nothing depends on, and *carried* columns (a leg amount out of the ticket lifecycle) that a formula then converts and aggregates. `value_src` / `amount_src` name them row by row.</t>
        </is>
      </c>
    </row>
    <row r="11">
      <c r="A11" s="7" t="inlineStr">
        <is>
          <t>dark grey</t>
        </is>
      </c>
      <c r="B11" s="7" t="inlineStr">
        <is>
          <t>A row key or a label — a date, an id, a provenance flag, a source string.</t>
        </is>
      </c>
    </row>
    <row r="14">
      <c r="A14" s="4" t="inlineStr">
        <is>
          <t>Provenance — CONTRACTS §1.2. Every input on every sheet carries one of these flags</t>
        </is>
      </c>
    </row>
    <row r="16" ht="30" customHeight="1">
      <c r="A16" s="5" t="inlineStr">
        <is>
          <t>flag</t>
        </is>
      </c>
      <c r="B16" s="5" t="inlineStr">
        <is>
          <t>meaning</t>
        </is>
      </c>
    </row>
    <row r="17">
      <c r="A17" s="7" t="inlineStr">
        <is>
          <t>DIRECT</t>
        </is>
      </c>
      <c r="B17" s="7" t="inlineStr">
        <is>
          <t>Observed from a named public source. Here: LME cash / 3M / spread / stock (Westmetall, which republishes LME official prices); the RBI and Fed policy-rate step paths; BCD, SWS and IGST on HS 7602 and the CBIC notified import rate; MCX contract specifications.</t>
        </is>
      </c>
    </row>
    <row r="18">
      <c r="A18" s="7" t="inlineStr">
        <is>
          <t>PROXY</t>
        </is>
      </c>
      <c r="B18" s="7" t="inlineStr">
        <is>
          <t>A real observable standing in for the thing we need, or a transformation of real data. Here: USD/INR (the ECB EUR/INR ÷ EUR/USD cross, standing in for the RBI/FBIL reference rate — PENDING a measured comparison); the 3-month rates and the covered-interest-parity forwards; the MCX panel series, which is duty-paid import parity and therefore has **zero cross-exchange basis by construction**; the Drewry WCI freight shape.</t>
        </is>
      </c>
    </row>
    <row r="19">
      <c r="A19" s="7" t="inlineStr">
        <is>
          <t>ASSUMPTION</t>
        </is>
      </c>
      <c r="B19" s="7" t="inlineStr">
        <is>
          <t>A judgement, with a justification in the register. Here: the freight *levels* and the lag-2 grade mix (both hindsight reconstructions); container payloads; port and conversion costs; the domestic anchor premium; the working-capital rate; every Phase 3 book parameter still served from code.</t>
        </is>
      </c>
    </row>
    <row r="20">
      <c r="A20" s="7" t="inlineStr">
        <is>
          <t>SIM</t>
        </is>
      </c>
      <c r="B20" s="7" t="inlineStr">
        <is>
          <t>Simulated. Every counterparty, vessel, voyage, forwarder, bank, survey outcome, dwell day and payment delay in this workbook is fictional and its name ends "(SIM)".</t>
        </is>
      </c>
    </row>
    <row r="23">
      <c r="A23" s="4" t="inlineStr">
        <is>
          <t>Sheet map</t>
        </is>
      </c>
    </row>
    <row r="25" ht="30" customHeight="1">
      <c r="A25" s="5" t="inlineStr">
        <is>
          <t>sheet</t>
        </is>
      </c>
      <c r="B25" s="5" t="inlineStr">
        <is>
          <t>part</t>
        </is>
      </c>
      <c r="C25" s="5" t="inlineStr">
        <is>
          <t>rows</t>
        </is>
      </c>
      <c r="D25" s="5" t="inlineStr">
        <is>
          <t>formula_cells</t>
        </is>
      </c>
      <c r="E25" s="5" t="inlineStr">
        <is>
          <t>formula_share</t>
        </is>
      </c>
      <c r="F25" s="5" t="inlineStr">
        <is>
          <t>what it is</t>
        </is>
      </c>
    </row>
    <row r="26">
      <c r="A26" s="7" t="inlineStr">
        <is>
          <t>README</t>
        </is>
      </c>
      <c r="B26" s="7" t="inlineStr">
        <is>
          <t>this page</t>
        </is>
      </c>
      <c r="D26" s="7" t="n">
        <v>0</v>
      </c>
      <c r="E26" s="7" t="inlineStr">
        <is>
          <t>0%</t>
        </is>
      </c>
      <c r="F26" s="7" t="inlineStr">
        <is>
          <t>Sheet map, colour and provenance legends, how to use the workbook in an interview.</t>
        </is>
      </c>
    </row>
    <row r="27">
      <c r="A27" s="7" t="inlineStr">
        <is>
          <t>Inputs</t>
        </is>
      </c>
      <c r="B27" s="7" t="inlineStr">
        <is>
          <t>register</t>
        </is>
      </c>
      <c r="D27" s="7" t="n">
        <v>0</v>
      </c>
      <c r="E27" s="7" t="inlineStr">
        <is>
          <t>0%</t>
        </is>
      </c>
      <c r="F27" s="7" t="inlineStr">
        <is>
          <t>Every parameter Components 1–3 read, with unit, flag, source and verification status. Scalars carry named ranges; dated parameters are the register's own breakpoints and are resolved by formula. Change a blue cell here and the whole workbook moves.</t>
        </is>
      </c>
    </row>
    <row r="28">
      <c r="A28" s="7" t="inlineStr">
        <is>
          <t>Market_Daily</t>
        </is>
      </c>
      <c r="B28" s="7" t="inlineStr">
        <is>
          <t>panel</t>
        </is>
      </c>
      <c r="C28" s="7" t="inlineStr">
        <is>
          <t>251</t>
        </is>
      </c>
      <c r="D28" s="7" t="n">
        <v>2761</v>
      </c>
      <c r="E28" s="7" t="inlineStr">
        <is>
          <t>32%</t>
        </is>
      </c>
      <c r="F28" s="7" t="inlineStr">
        <is>
          <t>One row per LME trading day, 2022-01-03 → 2022-12-30: LME cash/3M/spread/stock, USD/INR and the 3-month rates, the MCX slots and their expiries, freight per lane. Four derived columns are formulas — contract months, the dated parameters resolved on the day, and the MCX parity price with its basis.</t>
        </is>
      </c>
    </row>
    <row r="29">
      <c r="A29" s="7" t="inlineStr">
        <is>
          <t>Market_Weekly</t>
        </is>
      </c>
      <c r="B29" s="7" t="inlineStr">
        <is>
          <t>panel</t>
        </is>
      </c>
      <c r="C29" s="7" t="inlineStr">
        <is>
          <t>43</t>
        </is>
      </c>
      <c r="D29" s="7" t="n">
        <v>817</v>
      </c>
      <c r="E29" s="7" t="inlineStr">
        <is>
          <t>84%</t>
        </is>
      </c>
      <c r="F29" s="7" t="inlineStr">
        <is>
          <t>The CONTRACTS §3 weekly view (W-FRI, valued on the week's last panel day). Every cell is an INDEX/MATCH into Market_Daily.</t>
        </is>
      </c>
    </row>
    <row r="30">
      <c r="A30" s="7" t="inlineStr">
        <is>
          <t>Parity</t>
        </is>
      </c>
      <c r="B30" s="7" t="inlineStr">
        <is>
          <t>Component 1</t>
        </is>
      </c>
      <c r="C30" s="7" t="inlineStr">
        <is>
          <t>258</t>
        </is>
      </c>
      <c r="D30" s="7" t="n">
        <v>14706</v>
      </c>
      <c r="E30" s="7" t="inlineStr">
        <is>
          <t>92%</t>
        </is>
      </c>
      <c r="F30" s="7" t="inlineStr">
        <is>
          <t>CONTRACTS §5 per MT of scrap, line by line, for every week × grade × lane, plus the three §5a eligibility flags. No computed value is pasted.</t>
        </is>
      </c>
    </row>
    <row r="31">
      <c r="A31" s="7" t="inlineStr">
        <is>
          <t>Sensitivity</t>
        </is>
      </c>
      <c r="B31" s="7" t="inlineStr">
        <is>
          <t>Component 1</t>
        </is>
      </c>
      <c r="C31" s="7" t="inlineStr">
        <is>
          <t>450</t>
        </is>
      </c>
      <c r="D31" s="7" t="n">
        <v>11880</v>
      </c>
      <c r="E31" s="7" t="inlineStr">
        <is>
          <t>79%</t>
        </is>
      </c>
      <c r="F31" s="7" t="inlineStr">
        <is>
          <t>The two MASTER_SPEC Table 1.5 grids on 1,000 MT: LME × USD/INR, and freight × import duty under both FOB and CFR terms. Each cell re-derives the whole build-up at the shocked market.</t>
        </is>
      </c>
    </row>
    <row r="32">
      <c r="A32" s="7" t="inlineStr">
        <is>
          <t>Term_Structure</t>
        </is>
      </c>
      <c r="B32" s="7" t="inlineStr">
        <is>
          <t>Component 1</t>
        </is>
      </c>
      <c r="C32" s="7" t="inlineStr">
        <is>
          <t>53</t>
        </is>
      </c>
      <c r="D32" s="7" t="n">
        <v>838</v>
      </c>
      <c r="E32" s="7" t="inlineStr">
        <is>
          <t>61%</t>
        </is>
      </c>
      <c r="F32" s="7" t="inlineStr">
        <is>
          <t>Table 1.7: Cash–3M weekly, the M+1 pricing basis implied by the curve, the realised M+1 average (labelled HINDSIGHT), and the MCX M1 → M2 roll.</t>
        </is>
      </c>
    </row>
    <row r="33">
      <c r="A33" s="7" t="inlineStr">
        <is>
          <t>Counterparties</t>
        </is>
      </c>
      <c r="B33" s="7" t="inlineStr">
        <is>
          <t>Component 2</t>
        </is>
      </c>
      <c r="C33" s="7" t="inlineStr">
        <is>
          <t>6</t>
        </is>
      </c>
      <c r="D33" s="7" t="n">
        <v>0</v>
      </c>
      <c r="E33" s="7" t="inlineStr">
        <is>
          <t>0%</t>
        </is>
      </c>
      <c r="F33" s="7" t="inlineStr">
        <is>
          <t>The SIM supplier and buyer register with credit limits and the Phase 5 profile features.</t>
        </is>
      </c>
    </row>
    <row r="34">
      <c r="A34" s="7" t="inlineStr">
        <is>
          <t>Trade_Book</t>
        </is>
      </c>
      <c r="B34" s="7" t="inlineStr">
        <is>
          <t>Component 2</t>
        </is>
      </c>
      <c r="C34" s="7" t="inlineStr">
        <is>
          <t>62</t>
        </is>
      </c>
      <c r="D34" s="7" t="n">
        <v>45</v>
      </c>
      <c r="E34" s="7" t="inlineStr">
        <is>
          <t>2%</t>
        </is>
      </c>
      <c r="F34" s="7" t="inlineStr">
        <is>
          <t>The nine SPA tickets and the hedge stack. Ticket fields are inputs; the §5a eligibility of each trade is re-tested live against the Parity sheet.</t>
        </is>
      </c>
    </row>
    <row r="35">
      <c r="A35" s="7" t="inlineStr">
        <is>
          <t>Cashflows</t>
        </is>
      </c>
      <c r="B35" s="7" t="inlineStr">
        <is>
          <t>Component 3</t>
        </is>
      </c>
      <c r="C35" s="7" t="inlineStr">
        <is>
          <t>1382</t>
        </is>
      </c>
      <c r="D35" s="7" t="n">
        <v>13930</v>
      </c>
      <c r="E35" s="7" t="inlineStr">
        <is>
          <t>38%</t>
        </is>
      </c>
      <c r="F35" s="7" t="inlineStr">
        <is>
          <t>The dated cash ledger with its FX conversion derived per settle date, and the MCX margin schedule (variation margin, initial margin, slippage and charges) derived end to end from Market_Daily.</t>
        </is>
      </c>
    </row>
    <row r="36">
      <c r="A36" s="7" t="inlineStr">
        <is>
          <t>MTM_Daily</t>
        </is>
      </c>
      <c r="B36" s="7" t="inlineStr">
        <is>
          <t>Component 3</t>
        </is>
      </c>
      <c r="C36" s="7" t="inlineStr">
        <is>
          <t>1458</t>
        </is>
      </c>
      <c r="D36" s="7" t="n">
        <v>9555</v>
      </c>
      <c r="E36" s="7" t="inlineStr">
        <is>
          <t>26%</t>
        </is>
      </c>
      <c r="F36" s="7" t="inlineStr">
        <is>
          <t>Leg valuations on the declared marking grid, including the unsold-cargo replacement mark and the FX-forward marks, and per-trade cumulative P&amp;L.</t>
        </is>
      </c>
    </row>
    <row r="37">
      <c r="A37" s="7" t="inlineStr">
        <is>
          <t>Attribution</t>
        </is>
      </c>
      <c r="B37" s="7" t="inlineStr">
        <is>
          <t>Component 3</t>
        </is>
      </c>
      <c r="C37" s="7" t="inlineStr">
        <is>
          <t>174</t>
        </is>
      </c>
      <c r="D37" s="7" t="n">
        <v>1044</v>
      </c>
      <c r="E37" s="7" t="inlineStr">
        <is>
          <t>30%</t>
        </is>
      </c>
      <c r="F37" s="7" t="inlineStr">
        <is>
          <t>The daily bucket identities recomputed in Excel, lifetime P&amp;L by trade and factor, and the eight-step attribution chain worked live on two legs.</t>
        </is>
      </c>
    </row>
    <row r="38">
      <c r="A38" s="7" t="inlineStr">
        <is>
          <t>Equity_Curve</t>
        </is>
      </c>
      <c r="B38" s="7" t="inlineStr">
        <is>
          <t>Component 3</t>
        </is>
      </c>
      <c r="C38" s="7" t="inlineStr">
        <is>
          <t>164</t>
        </is>
      </c>
      <c r="D38" s="7" t="n">
        <v>1034</v>
      </c>
      <c r="E38" s="7" t="inlineStr">
        <is>
          <t>47%</t>
        </is>
      </c>
      <c r="F38" s="7" t="inlineStr">
        <is>
          <t>Book cumulative P&amp;L every panel day, assembled by formula, with a native Excel line chart.</t>
        </is>
      </c>
    </row>
    <row r="39">
      <c r="A39" s="7" t="inlineStr">
        <is>
          <t>Checks</t>
        </is>
      </c>
      <c r="B39" s="7" t="inlineStr">
        <is>
          <t>controls</t>
        </is>
      </c>
      <c r="C39" s="7" t="inlineStr">
        <is>
          <t>787</t>
        </is>
      </c>
      <c r="D39" s="7" t="n">
        <v>4071</v>
      </c>
      <c r="E39" s="7" t="inlineStr">
        <is>
          <t>50%</t>
        </is>
      </c>
      <c r="F39" s="7" t="inlineStr">
        <is>
          <t>Every workbook result differenced against the Python engine, with a named tolerance and a PASS flag. Start here.</t>
        </is>
      </c>
    </row>
    <row r="42">
      <c r="A42" s="4" t="inlineStr">
        <is>
          <t>Five things to do with this workbook in an interview</t>
        </is>
      </c>
    </row>
    <row r="44" ht="30" customHeight="1">
      <c r="A44" s="5" t="inlineStr">
        <is>
          <t>do this</t>
        </is>
      </c>
      <c r="B44" s="5" t="inlineStr">
        <is>
          <t>and it shows</t>
        </is>
      </c>
    </row>
    <row r="45">
      <c r="A45" s="7" t="inlineStr">
        <is>
          <t>Prove the parity is live</t>
        </is>
      </c>
      <c r="B45" s="7" t="inlineStr">
        <is>
          <t>Inputs → change `bcd_scrap_hs7602` from 0.025 to 0.05. Watch Parity `bcd_inr_t`, `landed_inr_t` and `net_arb_inr_t` move on all 258 rows, `trade_eligible` flip on the marginal weeks, and Trade_Book `parity_eligible_live` follow. Then undo it — Checks will go red until you do, which is the point.</t>
        </is>
      </c>
    </row>
    <row r="46">
      <c r="A46" s="7" t="inlineStr">
        <is>
          <t>Prove the P&amp;L is live</t>
        </is>
      </c>
      <c r="B46" s="7" t="inlineStr">
        <is>
          <t>Market_Daily → change a `usdinr` print. Cashflows re-converts every USD flow settling that day, MTM_Daily re-prices the replacement mark and the FX forwards, and the Equity_Curve chart redraws.</t>
        </is>
      </c>
    </row>
    <row r="47">
      <c r="A47" s="7" t="inlineStr">
        <is>
          <t>Show the hedge is not a fake</t>
        </is>
      </c>
      <c r="B47" s="7" t="inlineStr">
        <is>
          <t>Attribution §3a: the short MCX hedge on the day the LME broke from its all-time high. (a) is the whole move, (b) the cross-exchange basis is **zero**, (e) is small and negative because a short MCX position is short USD, and (g) is the carry. §3b shows a USD payable and its forward cancelling in (e) and (g).</t>
        </is>
      </c>
    </row>
    <row r="48">
      <c r="A48" s="7" t="inlineStr">
        <is>
          <t>Show the discipline</t>
        </is>
      </c>
      <c r="B48" s="7" t="inlineStr">
        <is>
          <t>Trade_Book `parity_eligible_live` vs `book_trade_eligible`: each ticket is re-tested against the CONTRACTS §5a rule that was declared before any Phase 1 result existed.</t>
        </is>
      </c>
    </row>
    <row r="49">
      <c r="A49" s="7" t="inlineStr">
        <is>
          <t>Show the honesty</t>
        </is>
      </c>
      <c r="B49" s="7" t="inlineStr">
        <is>
          <t>Checks → the scoreboard, then Inputs §4: the Phase 3 parameters still served from code rather than from the register, listed with their flags.</t>
        </is>
      </c>
    </row>
    <row r="52">
      <c r="A52" s="4" t="inlineStr">
        <is>
          <t>What is NOT in this workbook, and why</t>
        </is>
      </c>
    </row>
    <row r="54" ht="30" customHeight="1">
      <c r="A54" s="5" t="inlineStr">
        <is>
          <t>left in Python</t>
        </is>
      </c>
      <c r="B54" s="5" t="inlineStr">
        <is>
          <t>why</t>
        </is>
      </c>
    </row>
    <row r="55">
      <c r="A55" s="7" t="inlineStr">
        <is>
          <t>GARCH VaR, Monte Carlo, credit scoring</t>
        </is>
      </c>
      <c r="B55" s="7" t="inlineStr">
        <is>
          <t>MASTER_SPEC Table 8.2 puts them in Python. A 10,000-path joint simulation and a fitted GARCH(1,1) are not spreadsheet objects, and a spreadsheet version would be a worse model pretending to be the same one.</t>
        </is>
      </c>
    </row>
    <row r="56">
      <c r="A56" s="7" t="inlineStr">
        <is>
          <t>The eight-step attribution chain, per trade-day</t>
        </is>
      </c>
      <c r="B56" s="7" t="inlineStr">
        <is>
          <t>It is eight full revaluations of every leg of every ticket, every day, each needing the ticket's lifecycle expansion. Attribution §3a and §3b show the mechanism exactly on two closed-form legs and tie them to `desk.mtm.curves`; the daily identities are re-checked on the published table.</t>
        </is>
      </c>
    </row>
    <row r="57">
      <c r="A57" s="7" t="inlineStr">
        <is>
          <t>Leg amounts out of the ticket lifecycle</t>
        </is>
      </c>
      <c r="B57" s="7" t="inlineStr">
        <is>
          <t>Quotational-period averages, survey outcomes and claim arithmetic, demurrage day counts, LC fee bases. These are date-and-contract computations on rolled panel calendars, not market arithmetic. They are green and marked PYTHON_LIFECYCLE; the market conversion applied to them is a formula.</t>
        </is>
      </c>
    </row>
    <row r="58">
      <c r="A58" s="7" t="inlineStr">
        <is>
          <t>Funding</t>
        </is>
      </c>
      <c r="B58" s="7" t="inlineStr">
        <is>
          <t>A day-by-day walk of each trade's own dated cash balance at `wc_rate_inr_pa`, including variation margin and the balance-sheet flows. It is carried and labelled on Equity_Curve and MTM_Daily.</t>
        </is>
      </c>
    </row>
    <row r="59">
      <c r="A59" s="7" t="inlineStr">
        <is>
          <t>Every panel day of MTM</t>
        </is>
      </c>
      <c r="B59" s="7" t="inlineStr">
        <is>
          <t>`mtm_daily.csv` is 28,343 date × trade × leg rows. The workbook values every open leg on a declared marking grid — month-ends, trade dates, the adverse-event endpoints, WINDOW_END and HORIZON_END — which is a rule fixed in code, not a selection made after seeing results.</t>
        </is>
      </c>
    </row>
    <row r="61">
      <c r="A61" s="3" t="inlineStr">
        <is>
          <t>Rebuild:  DESK_OFFLINE=1 .venv/bin/python -c "import desk.excel.build as m; m.main()"   ·   Reconciliation test:  DESK_OFFLINE=1 .venv/bin/python -m pytest -q tests/test_excel_reconciliation.py   ·   Methods: docs/35_excel_workbook.md</t>
        </is>
      </c>
    </row>
    <row r="62">
      <c r="A62" s="3" t="inlineStr">
        <is>
          <t>ACADEMIC SIMULATION — not actual trades — no number in this workbook is a record of a real trade, counterparty or vessel.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2"/>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6" customWidth="1" min="3" max="3"/>
    <col width="12" customWidth="1" min="4" max="4"/>
    <col width="44" customWidth="1" min="5" max="5"/>
    <col width="62" customWidth="1" min="6" max="6"/>
    <col width="90" customWidth="1" min="7" max="7"/>
    <col width="44" customWidth="1" min="8" max="8"/>
    <col width="90" customWidth="1" min="9" max="9"/>
  </cols>
  <sheetData>
    <row r="1">
      <c r="A1" s="1" t="inlineStr">
        <is>
          <t>ACADEMIC SIMULATION — not actual trades</t>
        </is>
      </c>
    </row>
    <row r="2">
      <c r="A2" s="2" t="inlineStr">
        <is>
          <t>Inputs — assumptions register (config/params/*.yaml) and workbook constants</t>
        </is>
      </c>
    </row>
    <row r="3">
      <c r="A3" s="3" t="inlineStr">
        <is>
          <t>blue = input you may change · black = formula · green = pasted Python output (checks only). Flags: DIRECT = observed from a named public source, PROXY = a real observable standing in, ASSUMPTION = a judgement.</t>
        </is>
      </c>
    </row>
    <row r="5">
      <c r="A5" s="4" t="inlineStr">
        <is>
          <t>1. Scalar parameters — change a blue value and every sheet that uses it moves</t>
        </is>
      </c>
    </row>
    <row r="7" ht="30" customHeight="1">
      <c r="A7" s="5" t="inlineStr">
        <is>
          <t>key</t>
        </is>
      </c>
      <c r="B7" s="5" t="inlineStr">
        <is>
          <t>value</t>
        </is>
      </c>
      <c r="C7" s="5" t="inlineStr">
        <is>
          <t>unit</t>
        </is>
      </c>
      <c r="D7" s="5" t="inlineStr">
        <is>
          <t>flag</t>
        </is>
      </c>
      <c r="E7" s="5" t="inlineStr">
        <is>
          <t>named_range</t>
        </is>
      </c>
      <c r="F7" s="5" t="inlineStr">
        <is>
          <t>file</t>
        </is>
      </c>
      <c r="G7" s="5" t="inlineStr">
        <is>
          <t>source</t>
        </is>
      </c>
      <c r="H7" s="5" t="inlineStr">
        <is>
          <t>verify</t>
        </is>
      </c>
      <c r="I7" s="5" t="inlineStr">
        <is>
          <t>note</t>
        </is>
      </c>
    </row>
    <row r="8">
      <c r="A8" s="7" t="inlineStr">
        <is>
          <t>bcd_scrap_hs7602</t>
        </is>
      </c>
      <c r="B8" s="6" t="n">
        <v>0.025</v>
      </c>
      <c r="C8" s="7" t="inlineStr">
        <is>
          <t>frac_of_assessable_value</t>
        </is>
      </c>
      <c r="D8" s="7" t="inlineStr">
        <is>
          <t>DIRECT</t>
        </is>
      </c>
      <c r="E8" s="7" t="inlineStr">
        <is>
          <t>bcd_scrap_hs7602</t>
        </is>
      </c>
      <c r="F8" s="7" t="inlineStr">
        <is>
          <t>regulatory.yaml</t>
        </is>
      </c>
      <c r="G8" s="7" t="inlineStr">
        <is>
          <t>Notification No. 50/2017-Customs dated 30-Jun-2017 (effective-rate notification), Table S.No. 385: chapter/heading '7602', description 'Aluminium scrap', standard rate '2.5%' (CBIC portal id 1002538; cached data/raw/regulatory/cbic_notifications/cs50-2017_principal.pdf). Budget amendments to 50/2017 checked for any change to S.No. 385 / 7602: 06/2018, 25/2019, 01/2020, 02/2021, 55/2021 (HSN-2022 alignment), 02/2022, 02/2023 — none touches it (cached in the same folder).</t>
        </is>
      </c>
      <c r="H8" s="7" t="inlineStr">
        <is>
          <t>VERIFIED 2026-09-16 (rate in principal notification + no change in the Budget/HSN amendment notifications read). Residual gap: ~40 non-Budget amendments to 50/2017 (2017–2022) were listed but not individually opened; pages read on 2026-09-16 (The Tribune/ANI 08-Jul-2026 on the AAI representation, https://www.tribuneindia.com/news/aluminium-quality/aluminium-association-of-india-urges-centre-to-notify-bis-standards-for-aluminium-scrap, cached data/raw/regulatory/news/tribune_aai_urges_bis_standards_aluminium_scrap.html; AlCircle Apr-2026) still cite 2.5% BCD on aluminium scrap, so an interim change and reversal is very unlikely.</t>
        </is>
      </c>
      <c r="I8" s="7" t="inlineStr">
        <is>
          <t>The seed's claim that 'Budget 2021-22 cut BCD on aluminium scrap to 2.5%' was WRONG — Budget 2021-22 cut copper scrap (7404) to 2.5%; aluminium scrap has been at 2.5% since at least the June-2017 GST-era re-issue of the effective-rate notification. Applies to both 7602 00 10 (ISRI-coded scrap) and 7602 00 90 (other) because S.No. 385 is written at heading level. The 5-percentage-point gap to primary aluminium (bcd_primary_al_hs7601 = 7.5%) is the policy wedge that makes scrap-to-ingot conversion in India an arbitrage (see notes §1).</t>
        </is>
      </c>
    </row>
    <row r="9">
      <c r="A9" s="7" t="inlineStr">
        <is>
          <t>sws_rate_on_bcd</t>
        </is>
      </c>
      <c r="B9" s="6" t="n">
        <v>0.1</v>
      </c>
      <c r="C9" s="7" t="inlineStr">
        <is>
          <t>frac_of_bcd</t>
        </is>
      </c>
      <c r="D9" s="7" t="inlineStr">
        <is>
          <t>DIRECT</t>
        </is>
      </c>
      <c r="E9" s="7" t="inlineStr">
        <is>
          <t>sws_rate_on_bcd</t>
        </is>
      </c>
      <c r="F9" s="7" t="inlineStr">
        <is>
          <t>regulatory.yaml</t>
        </is>
      </c>
      <c r="G9" s="7" t="inlineStr">
        <is>
          <t>Finance Act 2018 s.110(3): SWS 'at the rate of ten per cent' on the aggregate of duties, taxes and cesses levied under s.12 Customs Act, excluding safeguard/CVD/anti-dumping duty and SWS itself (text read at https://indiankanoon.org/doc/20129988/). IGST and GST compensation cess are exempted from SWS by Notification 13/2018-Customs (portal title read, truncated after 'from the whole o…'; text not opened). Exemption list Notification 11/2018-Customs (cached cs11-2018_sws_exempt.pdf) and its 2020/2021/2022 amendments 09/2020, 14/2021, 03/2022, 24/2022 contain no chapter-76 entry.</t>
        </is>
      </c>
      <c r="H9" s="7" t="inlineStr">
        <is>
          <t>VERIFIED 2026-09-16 (statute text + exemption notifications read; no aluminium scrap exemption). Not re-checked: amendments to 11/2018 issued outside Budget days.</t>
        </is>
      </c>
      <c r="I9" s="7" t="inlineStr">
        <is>
          <t>With BCD 2.5% and no AIDC, SWS = 0.25% of assessable value, so BCD + SWS = 2.75% of AV on scrap versus 8.25% on primary aluminium.</t>
        </is>
      </c>
    </row>
    <row r="10">
      <c r="A10" s="7" t="inlineStr">
        <is>
          <t>igst_rate_hs7602</t>
        </is>
      </c>
      <c r="B10" s="6" t="n">
        <v>0.18</v>
      </c>
      <c r="C10" s="7" t="inlineStr">
        <is>
          <t>frac_of_av_plus_customs_duty</t>
        </is>
      </c>
      <c r="D10" s="7" t="inlineStr">
        <is>
          <t>DIRECT</t>
        </is>
      </c>
      <c r="E10" s="7" t="inlineStr">
        <is>
          <t>igst_rate_hs7602</t>
        </is>
      </c>
      <c r="F10" s="7" t="inlineStr">
        <is>
          <t>regulatory.yaml</t>
        </is>
      </c>
      <c r="G10" s="7" t="inlineStr">
        <is>
          <t>Notification No. 1/2017-Integrated Tax (Rate) dated 28-Jun-2017, Schedule III (18%), S.No. 263: '7602 Aluminium waste and scrap' (CBIC portal id 1001202; cached igst01-2017_rate.pdf). Amendments 14/2021-IT(R) (w.e.f. 01-Jan-2022) and 01/2022-IT(R) (31-Mar-2022) read — neither touches S.No. 263.</t>
        </is>
      </c>
      <c r="H10" s="7" t="inlineStr">
        <is>
          <t>VERIFIED 2026-09-16 (principal schedule + the two amendments in force around the window).</t>
        </is>
      </c>
      <c r="I10" s="7" t="inlineStr">
        <is>
          <t>IGST base = AV + BCD + SWS (Customs Tariff Act s.3 — IGST charged on value plus customs duties; subsection text not re-fetched). Primary aluminium 7601 is in the same Schedule III (S.No. 262), so IGST is neutral between the scrap and primary routes.</t>
        </is>
      </c>
    </row>
    <row r="11">
      <c r="A11" s="7" t="inlineStr">
        <is>
          <t>insurance_rate</t>
        </is>
      </c>
      <c r="B11" s="6" t="n">
        <v>0.001</v>
      </c>
      <c r="C11" s="7" t="inlineStr">
        <is>
          <t>frac_of_insured_value</t>
        </is>
      </c>
      <c r="D11" s="7" t="inlineStr">
        <is>
          <t>ASSUMPTION</t>
        </is>
      </c>
      <c r="E11" s="7" t="inlineStr">
        <is>
          <t>insurance_rate</t>
        </is>
      </c>
      <c r="F11" s="7" t="inlineStr">
        <is>
          <t>logistics.yaml</t>
        </is>
      </c>
      <c r="G11" s="7" t="inlineStr">
        <is>
          <t>Desk assumption: marine cargo open-cover premium for non-ferrous scrap, ICC (A)/(B) clauses</t>
        </is>
      </c>
      <c r="H11" s="7" t="inlineStr">
        <is>
          <t>PENDING — obtain an indicative 2022 marine cargo rate for metal scrap from an Indian insurer's published tariff guidance or a broker note</t>
        </is>
      </c>
      <c r="I11" s="7" t="inlineStr">
        <is>
          <t>0.10% of insured value per shipment; plausible range 0.05%-0.20% (scrap is low-theft but prone to wetting/contamination claims). Immaterial to parity (~USD 2-3/MT). NOTE for the regulatory owner (not verified here): for customs assessable value, the Customs Valuation Rules 2007 (Rule 10(2)) deem insurance at 1.125% of FOB when the actual cost is not ascertainable — a customs-valuation rule, distinct from this commercial premium.</t>
        </is>
      </c>
    </row>
    <row r="12">
      <c r="A12" s="7" t="inlineStr">
        <is>
          <t>insured_value_uplift</t>
        </is>
      </c>
      <c r="B12" s="6" t="n">
        <v>1.1</v>
      </c>
      <c r="C12" s="7" t="inlineStr">
        <is>
          <t>multiple_of_cif_value</t>
        </is>
      </c>
      <c r="D12" s="7" t="inlineStr">
        <is>
          <t>DIRECT</t>
        </is>
      </c>
      <c r="E12" s="7" t="inlineStr">
        <is>
          <t>insured_value_uplift</t>
        </is>
      </c>
      <c r="F12" s="7" t="inlineStr">
        <is>
          <t>logistics.yaml</t>
        </is>
      </c>
      <c r="G12" s="7" t="inlineStr">
        <is>
          <t>ICC Uniform Customs and Practice for Documentary Credits (UCP 600), Article 28(f)(ii): if the credit is silent, insurance cover must be at least 110% of the CIF or CIP value</t>
        </is>
      </c>
      <c r="H12" s="7" t="inlineStr">
        <is>
          <t>PARTIAL 2026-09-16 — wording confirmed via secondary reproduction (tradefinance.training 'UCP comparison Part 4'); the ICC publication itself is paywalled</t>
        </is>
      </c>
      <c r="I12" s="7" t="inlineStr">
        <is>
          <t>Market convention for LC-financed imports; insurance_usd_t = insurance_rate x 1.10 x CFR value per CONTRACTS §5 (CFR = FOB + freight; the grade factor is quoted on a CFR India basis).</t>
        </is>
      </c>
    </row>
    <row r="13">
      <c r="A13" s="7" t="inlineStr">
        <is>
          <t>igst_credit_lag_days</t>
        </is>
      </c>
      <c r="B13" s="6" t="n">
        <v>45</v>
      </c>
      <c r="C13" s="7" t="inlineStr">
        <is>
          <t>days</t>
        </is>
      </c>
      <c r="D13" s="7" t="inlineStr">
        <is>
          <t>ASSUMPTION</t>
        </is>
      </c>
      <c r="E13" s="7" t="inlineStr">
        <is>
          <t>igst_credit_lag_days</t>
        </is>
      </c>
      <c r="F13" s="7" t="inlineStr">
        <is>
          <t>regulatory.yaml</t>
        </is>
      </c>
      <c r="G13" s="7" t="inlineStr">
        <is>
          <t>Desk construction: IGST is paid with the Bill of Entry (~1 day after arrival) and recovered as input tax credit when the GSTR-3B for the month of the domestic sale is filed (20th of the following month); for a sale ~10 days after arrival that is ~40–50 days</t>
        </is>
      </c>
      <c r="H13" s="7" t="inlineStr">
        <is>
          <t>N/A — cash-cycle assumption (GSTR-3B due date rule stated from CGST Rules r.61, not re-fetched)</t>
        </is>
      </c>
      <c r="I13" s="7" t="inlineStr">
        <is>
          <t>Used ONLY for the IGST financing line in CONTRACTS §5 (igst_finance_inr_t); IGST itself is not a landed cost while igst_itc_available is true. At 18% × ~INR 2.3 lakh × 45/365 × 9.5–10% ≈ INR 500/t.</t>
        </is>
      </c>
    </row>
    <row r="14">
      <c r="A14" s="7" t="inlineStr">
        <is>
          <t>igst_itc_available</t>
        </is>
      </c>
      <c r="B14" s="10" t="b">
        <v>1</v>
      </c>
      <c r="C14" s="7" t="inlineStr">
        <is>
          <t>bool</t>
        </is>
      </c>
      <c r="D14" s="7" t="inlineStr">
        <is>
          <t>ASSUMPTION</t>
        </is>
      </c>
      <c r="E14" s="7" t="inlineStr">
        <is>
          <t>igst_itc_available</t>
        </is>
      </c>
      <c r="F14" s="7" t="inlineStr">
        <is>
          <t>regulatory.yaml</t>
        </is>
      </c>
      <c r="G14" s="7" t="inlineStr">
        <is>
          <t>Desk assumption: GST-registered importer re-selling taxable goods claims full ITC on IGST paid on the Bill of Entry</t>
        </is>
      </c>
      <c r="H14" s="7" t="inlineStr">
        <is>
          <t>N/A — structural assumption (legal basis: Bill of Entry is an ITC document under CGST Rules r.36(1)(d); rule text not re-fetched)</t>
        </is>
      </c>
      <c r="I14" s="7" t="inlineStr">
        <is>
          <t>When true, import IGST is excluded from landed cost; only its financing from the Bill of Entry to the GSTR-3B offset is kept (igst_credit_lag_days, CONTRACTS §5 igst_finance_inr_t). Real-world caveat: ITC is cash-neutral only after the output invoice; a desk with thin domestic output tax liability can carry a blocked-credit balance — that is a working-capital cost, not a P&amp;L cost.</t>
        </is>
      </c>
    </row>
    <row r="15">
      <c r="A15" s="7" t="inlineStr">
        <is>
          <t>psic_cost_usd_per_box</t>
        </is>
      </c>
      <c r="B15" s="6" t="n">
        <v>40</v>
      </c>
      <c r="C15" s="7" t="inlineStr">
        <is>
          <t>usd_per_box</t>
        </is>
      </c>
      <c r="D15" s="7" t="inlineStr">
        <is>
          <t>ASSUMPTION</t>
        </is>
      </c>
      <c r="E15" s="7" t="inlineStr">
        <is>
          <t>psic_cost_usd_per_box</t>
        </is>
      </c>
      <c r="F15" s="7" t="inlineStr">
        <is>
          <t>regulatory.yaml</t>
        </is>
      </c>
      <c r="G15" s="7" t="inlineStr">
        <is>
          <t>Desk assumption — no 2022 PSIA tariff was retrieved</t>
        </is>
      </c>
      <c r="H15" s="7" t="inlineStr">
        <is>
          <t>PENDING — obtain an inspection-agency (PSIA) 2022 quote or published fee for radiation + explosives inspection of a 20ft scrap container at Jebel Ali</t>
        </is>
      </c>
      <c r="I15" s="7" t="inlineStr">
        <is>
          <t>≈ USD 1.6/MT at 25 MT/box — small but now included in CONTRACTS §5 port charges for non-safe origins (JEA_NSA), per review; material to operations (lead time ~2–4 days before stuffing/sailing).</t>
        </is>
      </c>
    </row>
    <row r="16">
      <c r="A16" s="7" t="inlineStr">
        <is>
          <t>heavies_net_value_frac_of_lme_al</t>
        </is>
      </c>
      <c r="B16" s="6" t="n">
        <v>0.8</v>
      </c>
      <c r="C16" s="7" t="inlineStr">
        <is>
          <t>frac_of_lme_3m_usd_t_per_mt_of_heavies</t>
        </is>
      </c>
      <c r="D16" s="7" t="inlineStr">
        <is>
          <t>ASSUMPTION</t>
        </is>
      </c>
      <c r="E16" s="7" t="inlineStr">
        <is>
          <t>heavies_net_value_frac_of_lme_al</t>
        </is>
      </c>
      <c r="F16" s="7" t="inlineStr">
        <is>
          <t>scrap_grades.yaml</t>
        </is>
      </c>
      <c r="G16" s="7" t="inlineStr">
        <is>
          <t>Desk judgement: a mixed Zorba heavies concentrate (copper, brass, zinc, stainless) sells well above aluminium per tonne; valuing it at LME aluminium 3M and deducting ~20% for separation, handling and a buyer's margin is deliberately conservative</t>
        </is>
      </c>
      <c r="H16" s="7" t="inlineStr">
        <is>
          <t>PENDING — no public 2022 or 2024 India price for Zorba heavies / 'Zebra' was retrieved. Next step: a BigMint or Fastmarkets heavy non-ferrous shred price series, or a US ReMA 'Zebra' quote converted to CFR India.</t>
        </is>
      </c>
      <c r="I16" s="7" t="inlineStr">
        <is>
          <t>At window-average LME 3M ≈ USD 2,850/t and 0.05 heavies this credit is ≈ USD 114/t ≈ INR 8,900/t of scrap — ignoring it (previous register) was a ₹9k/t omission, larger than the margin hurdle. P1 sensitivity: 0.4–1.5.</t>
        </is>
      </c>
    </row>
    <row r="17">
      <c r="A17" s="7" t="inlineStr">
        <is>
          <t>domestic_anchor_premium_inr_t</t>
        </is>
      </c>
      <c r="B17" s="6" t="n">
        <v>-9000</v>
      </c>
      <c r="C17" s="7" t="inlineStr">
        <is>
          <t>inr_per_mt</t>
        </is>
      </c>
      <c r="D17" s="7" t="inlineStr">
        <is>
          <t>ASSUMPTION</t>
        </is>
      </c>
      <c r="E17" s="7" t="inlineStr">
        <is>
          <t>domestic_anchor_premium_inr_t</t>
        </is>
      </c>
      <c r="F17" s="7" t="inlineStr">
        <is>
          <t>commercial.yaml</t>
        </is>
      </c>
      <c r="G17" s="7" t="inlineStr">
        <is>
          <t>Median of 15 dated BigMint ADC12 ex-Delhi prices (01-Dec-2023 → 11-Dec-2025, republished by AlCircle; OEM-approved prints moved to a non-OEM basis by the INR 8,000 OEM − non-OEM gap in the 05/11-Dec-2024 articles) minus duty-paid LME CASH parity on the day before publication: LME cash (Westmetall) × ECB USD/INR × (1 + 7.5% × 1.10). Median −8,955 → −9,000; mean −16,422; range −52,068 … +12,861 (data/interim/price_evidence/adc12_vs_duty_paid_parity.csv, exact sentences in desk/data/fetch_price_evidence.py).</t>
        </is>
      </c>
      <c r="H17" s="7" t="inlineStr">
        <is>
          <t>PENDING — no 2022 ADC12/LM6 India price series was retrievable (AlCircle/BigMint 2022 archives not found in public). Next step: weekly 2022 ADC12 ex-Delhi/Chennai from BigMint or an automaker's 2022 monthly alloy settlement prices, compared with MCX near-month.</t>
        </is>
      </c>
      <c r="I17" s="7" t="inlineStr">
        <is>
          <t>REVIEW FIXES. (1) Basis: recalibrated against duty-paid LME CASH parity — the basis of the panel's MCX proxy that CONTRACTS §5 adds this premium to — instead of 3M (cash–3M basis in the sample: median INR ~4,100/t; M1 carry adds a further 0–1,300/t, not modelled). (2) Evidence: the previous −18,000 was the mean of two points computed with the articles' own LME figures (the 24-Feb-2024 point used 3M $2,247; Westmetall 3M on 23-Feb-2024 was $2,197). (3) Regime dependence is strong: correlation of the premium with parity −0.93; OLS short-run pass-through of parity into ADC12 = 0.15 (domestic_anchor_passthrough_frac). Premiums were +5k…+13k at parity ~191–205k (H1-2024) and −34k…−52k at parity ~235–276k (late 2024–25). The 2022 window's parity ran ~200–330k, so a constant premium overstates the anchor at the March spike and understates it in July–August. P1 must publish window_open as a band over domestic_anchor_premium_sensitivity_inr_t and under the sticky variant (domestic_anchor_trailing_bdays), not as a single flag. (4) CRISIL (Sept 2021, cached CMR PDF) says 'Secondary aluminium continues to be 25-30% cheaper than primary aluminium' with no date, product or price basis; against the dated 2023–25 ADC12 prints (−20% … +7% of parity) it reads as a cost or low-grade-product statement and is kept only as the low-end sensitivity (−55,000 ≈ 25% of the window-mean MCX proxy of INR ~222k/t), not rejected and not used as the base.</t>
        </is>
      </c>
    </row>
    <row r="18">
      <c r="A18" s="7" t="inlineStr">
        <is>
          <t>conversion_cost_inr_t</t>
        </is>
      </c>
      <c r="B18" s="6" t="n">
        <v>12000</v>
      </c>
      <c r="C18" s="7" t="inlineStr">
        <is>
          <t>inr_per_mt_ingot</t>
        </is>
      </c>
      <c r="D18" s="7" t="inlineStr">
        <is>
          <t>ASSUMPTION</t>
        </is>
      </c>
      <c r="E18" s="7" t="inlineStr">
        <is>
          <t>conversion_cost_inr_t</t>
        </is>
      </c>
      <c r="F18" s="7" t="inlineStr">
        <is>
          <t>commercial.yaml</t>
        </is>
      </c>
      <c r="G18" s="7" t="inlineStr">
        <is>
          <t>Desk toll-conversion charge per tonne of secondary alloy INGOT produced (fuel, power, flux/salt, alloying top-up, labour, dross handling, overheads and the converter's margin), triangulated from BigMint/AlCircle 24-Feb-2024 (https://www.alcircle.com/news/raw-material-costs-propel-india-s-aluminium-adc12-prices-upward-w-o-w-108017): ADC12 INR 204,000/t vs domestic Tense INR 172,500/t ex-Delhi; 1 t of ingot needs ~1/0.90 = 1.11 t of Tense (INR 191,700), leaving INR ~12,300/t of ingot; the Dec-2024 non-OEM / OEM prints (INR 201,000 / 209,000) give ~INR 9,000–17,000/t of ingot. Range INR 8,000–18,000 per t of INGOT.</t>
        </is>
      </c>
      <c r="H18" s="7" t="inlineStr">
        <is>
          <t>PENDING — no 2022 Indian secondary-smelter cost disclosure retrieved. Next step: cost-of-production note in a listed Indian secondary aluminium producer's 2022 annual report/DRHP (power + fuel + consumables per tonne).</t>
        </is>
      </c>
      <c r="I18" s="7" t="inlineStr">
        <is>
          <t>UNIT FIX (review): the evidence is per tonne of ingot, so the unit is inr_per_mt_ingot and CONTRACTS §5 converts it per MT of scrap as conversion_inr_t = conversion_cost_inr_t × recovery_frac_g (e.g. INR 10,760/t of Tense scrap at 0.897 recovery; lower for Zorba, which yields less ingot per tonne). Uniform across grades by design: (i) Zorba's heavies separation cost is netted inside heavies_net_value_frac_of_lme_al; (ii) Taint/Tabor's silicon top-up to ADC12 chemistry costs roughly nothing net, because silicon 553 (~USD 2,030/t CIF Mundra in the same 24-Feb-2024 article) was priced below the alloy it becomes part of; (iii) melt-shop differences are inside the 8–18k range. Cross-check with [CRISIL] (Sept 2021): scrap = 80–85% of total cost incl. taxes and duties, i.e. a 15–20% non-scrap cost base (~INR 30–40k/t of ingot, part non-cash: depreciation, finance, selling) — a broader base than a toll charge; P1 runs it as the upper sensitivity (conversion_cost_sensitivity_inr_t_ingot).</t>
        </is>
      </c>
    </row>
    <row r="19">
      <c r="A19" s="7" t="inlineStr">
        <is>
          <t>margin_threshold_inr_t</t>
        </is>
      </c>
      <c r="B19" s="6" t="n">
        <v>5000</v>
      </c>
      <c r="C19" s="7" t="inlineStr">
        <is>
          <t>inr_per_mt_scrap</t>
        </is>
      </c>
      <c r="D19" s="7" t="inlineStr">
        <is>
          <t>ASSUMPTION</t>
        </is>
      </c>
      <c r="E19" s="7" t="inlineStr">
        <is>
          <t>margin_threshold_inr_t</t>
        </is>
      </c>
      <c r="F19" s="7" t="inlineStr">
        <is>
          <t>commercial.yaml</t>
        </is>
      </c>
      <c r="G19" s="7" t="inlineStr">
        <is>
          <t>Desk hurdle: minimum expected net margin per MT of scrap before a trade is allowed (Table 3 row 1.4)</t>
        </is>
      </c>
      <c r="H19" s="7" t="inlineStr">
        <is>
          <t>N/A — risk-policy assumption</t>
        </is>
      </c>
      <c r="I19" s="7" t="inlineStr">
        <is>
          <t>≈ 2% of a ~INR 2.3 lakh/MT landed cost. Sized to cover: expected quality/weight claims under the SPA penalty schedule (~0.5–1% of value ≈ INR 1,200–2,300), residual MCX hedge noise over a ~6-week cash cycle (the anchor premium is unhedgeable, see domestic_anchor_premium_inr_t), a few days' demurrage on 25 MT boxes, and leaves ~INR 1,500–2,000 as return on risk capital. Opening a window below this is 'picking up pennies in front of a steamroller' given the LME daily moves of 4–12% seen in Mar-2022.</t>
        </is>
      </c>
    </row>
    <row r="20">
      <c r="A20" s="7" t="inlineStr">
        <is>
          <t>bcd_primary_al_hs7601</t>
        </is>
      </c>
      <c r="B20" s="6" t="n">
        <v>0.075</v>
      </c>
      <c r="C20" s="7" t="inlineStr">
        <is>
          <t>frac_of_assessable_value</t>
        </is>
      </c>
      <c r="D20" s="7" t="inlineStr">
        <is>
          <t>DIRECT</t>
        </is>
      </c>
      <c r="E20" s="7" t="inlineStr">
        <is>
          <t>bcd_primary_al_hs7601</t>
        </is>
      </c>
      <c r="F20" s="7" t="inlineStr">
        <is>
          <t>regulatory.yaml</t>
        </is>
      </c>
      <c r="G20" s="7" t="inlineStr">
        <is>
          <t>Customs Tariff Act 1975, First Schedule tariff rate for heading 7601 = 7.5% (search summaries attribute the 5% -&gt; 7.5% increase to Budget 2016-17; no Budget-2016 document was retrieved). Notification 50/2017-Customs (principal, cached) has no 7601 concession, and the 2018–2023 Budget amendments read (see bcd_scrap_hs7602) contain no 7601 entry, so the tariff rate applied in 2022. AlCircle (Apr-2026, https://www.alcircle.com/news/can-india-sustain-8-25-aluminium-duties-when-55-of-demand-is-imported-118251, read 2026-09-16): 'Primary aluminium under HS 7601 is charged at 8.25 per cent, scrap under HS 7602 at 2.5 per cent' (8.25% = 7.5% BCD × 1.10 SWS).</t>
        </is>
      </c>
      <c r="H20" s="7" t="inlineStr">
        <is>
          <t>PARTIAL 2026-09-16 — chain of evidence is consistent but the 2022 First Schedule page for chapter 76 itself was not retrieved. Next step: download the Customs Tariff chapter 76 as amended by the Finance Act 2022 (CBIC Tax Information Portal &gt; Acts &gt; Customs Tariff Act) and read tariff items 7601 10 10–7601 20 90.</t>
        </is>
      </c>
      <c r="I20" s="7" t="inlineStr">
        <is>
          <t>Used only for the MCX import-parity proxy (MCX Aluminium is priced duty-paid; market_proxy.yaml calibrates mcx_domestic_premium_inr_kg on this rate).</t>
        </is>
      </c>
    </row>
    <row r="21">
      <c r="A21" s="7" t="inlineStr">
        <is>
          <t>mcx_domestic_premium_inr_kg</t>
        </is>
      </c>
      <c r="B21" s="6" t="n">
        <v>0</v>
      </c>
      <c r="C21" s="7" t="inlineStr">
        <is>
          <t>inr_per_kg</t>
        </is>
      </c>
      <c r="D21" s="7" t="inlineStr">
        <is>
          <t>PROXY</t>
        </is>
      </c>
      <c r="E21" s="7" t="inlineStr">
        <is>
          <t>mcx_domestic_premium_inr_kg</t>
        </is>
      </c>
      <c r="F21" s="7" t="inlineStr">
        <is>
          <t>market_proxy.yaml</t>
        </is>
      </c>
      <c r="G21" s="7" t="inlineStr">
        <is>
          <t>Calibrated in-repo against observed MCX Aluminium nearest-contract closes from a third-party mirror (https://commoditieschart.net/metals/aluminium/mcx-aluminium-futures-prices, retrieved 2026-09-16, cached in data/raw/mcx_thirdparty/commoditieschart_mcx_aluminium_nearest_raw.html via desk.data.fetch_mcx_mirror): implied premium = observed M1 / carry − duty-paid LME cash parity (BCD 7.5% × (1 + SWS 10%)), Mar–Aug 2022, n = 125 common days: mean −0.33, median +1.46, std 6.27 ₹/kg (full 2018–2022: mean −1.03, median −0.02, std 7.71).</t>
        </is>
      </c>
      <c r="H21" s="7" t="inlineStr">
        <is>
          <t>PARTIAL — mirror data could not be checked against MCX's own bhavcopy (mcxindia.com returned Akamai HTTP 403 to every request on 2026-09-16). Next step: download MCX bhavcopy for 5 window dates (e.g. 07-Mar, 13-Apr, 16-Jun, 14-Jul, 31-Aug-2022) from a browser, compare ALUMINIUM near-month closes with the mirror, then recompute.</t>
        </is>
      </c>
      <c r="I21" s="7" t="inlineStr">
        <is>
          <t>Set to 0.0 rather than the −0.33 window mean because the mean is small relative to its dispersion, the median has the opposite sign and monthly means swing from −9.9 (Mar 2022, MCX's 23:30 IST close lagging the LME official spike) to +3.5 (Jun 2022). Economically: MCX Aluminium is delivered duty-paid in India, so it should sit at LME × USDINR × (1 + BCD × (1 + SWS)) with no systematic extra premium. The calibration depends on bcd_primary_al_hs7601 and sws_rate_on_bcd (regulatory.yaml); recompute if those change. REGIME BIAS (review): unbiased over the window but not within it — Friday proxy M1 minus mirror M1 is +5 to +11 INR/kg on every March-2022 Friday (proxy too high in the LME spike; MCX's evening close lagged the LME official) and mostly −1 to −8 INR/kg on May–July Fridays (−7.52 on 13-May; proxy too low in the trough). Because the parity anchor is built on this proxy, it widens the open/closed swing between the spike and the trough. P1 should run the anchor on the mirror M1 as a sensitivity (still PROXY: third-party, unverified provenance) until MCX bhavcopy closes for 5 window dates are obtained.</t>
        </is>
      </c>
    </row>
    <row r="22">
      <c r="A22" s="7" t="inlineStr">
        <is>
          <t>customs_fx_markup_frac</t>
        </is>
      </c>
      <c r="B22" s="6" t="n">
        <v>0.011</v>
      </c>
      <c r="C22" s="7" t="inlineStr">
        <is>
          <t>frac_of_market_usdinr</t>
        </is>
      </c>
      <c r="D22" s="7" t="inlineStr">
        <is>
          <t>PROXY</t>
        </is>
      </c>
      <c r="E22" s="7" t="inlineStr">
        <is>
          <t>customs_fx_markup_frac</t>
        </is>
      </c>
      <c r="F22" s="7" t="inlineStr">
        <is>
          <t>regulatory.yaml</t>
        </is>
      </c>
      <c r="G22" s="7" t="inlineStr">
        <is>
          <t>Computed in-repo 2026-09-16: customs_usdinr_import ÷ market USDINR (data/processed/fx_rates_daily.csv usdinr, ECB cross) on the last business day before each notification, 14 notifications 04-Mar-2022 → 16-Sep-2022: mean +1.11% (range +0.78% to +1.36%); versus the average market rate over each notification's validity period: mean +0.68% (range −0.53% to +1.88%).</t>
        </is>
      </c>
      <c r="H22" s="7" t="inlineStr">
        <is>
          <t>PARTIAL — the customs side is DIRECT; the market side is the ECB-cross PROXY, not the RBI reference rate.</t>
        </is>
      </c>
      <c r="I22" s="7" t="inlineStr">
        <is>
          <t>Use only as a fallback when a date falls outside customs_usdinr_import. Economic reading: the customs import rate is set roughly at market + ~₹0.85 and then frozen for a fortnight, so in a depreciating-INR fortnight (e.g. 22-Jul-2022 validity, +1.88%) duty is computed on a stale-but-high rate, and in a sharp INR fall (e.g. 06-May, 16-Sep validity) the importer briefly pays duty on a rate BELOW market.</t>
        </is>
      </c>
    </row>
    <row r="23">
      <c r="A23" s="7" t="inlineStr">
        <is>
          <t>customs_fx_notification_validity_days</t>
        </is>
      </c>
      <c r="B23" s="6" t="n">
        <v>14</v>
      </c>
      <c r="C23" s="7" t="inlineStr">
        <is>
          <t>calendar_days</t>
        </is>
      </c>
      <c r="D23" s="7" t="inlineStr">
        <is>
          <t>ASSUMPTION</t>
        </is>
      </c>
      <c r="E23" s="7" t="inlineStr">
        <is>
          <t>customs_fx_notification_validity_days</t>
        </is>
      </c>
      <c r="F23" s="7" t="inlineStr">
        <is>
          <t>parity.yaml</t>
        </is>
      </c>
      <c r="G23" s="7" t="inlineStr">
        <is>
          <t>CBIC fortnightly exchange-rate notifications: consecutive USD-changing breakpoints in customs_usdinr_import (regulatory.yaml) are 14–21 days apart</t>
        </is>
      </c>
      <c r="H23" s="7" t="inlineStr">
        <is>
          <t>N/A — coverage rule for dates outside the registered notifications</t>
        </is>
      </c>
      <c r="I23" s="7" t="inlineStr">
        <is>
          <t>The registered notification path runs 18-Feb-2022 → 16-Sep-2022. A parity week whose value date is before the first notification, or more than this many days after the last one, uses customs_fx_markup_frac × market USD/INR (the register's documented fallback) instead of clamping a stale notified rate; parity_weekly.csv labels each row in customs_fx_src. Only out-of-window context weeks (Jan–mid-Feb and October 2022) are affected.</t>
        </is>
      </c>
    </row>
    <row r="24">
      <c r="A24" s="7" t="inlineStr">
        <is>
          <t>mcx_al_lot_mt</t>
        </is>
      </c>
      <c r="B24" s="6" t="n">
        <v>5</v>
      </c>
      <c r="C24" s="7" t="inlineStr">
        <is>
          <t>mt_per_lot</t>
        </is>
      </c>
      <c r="D24" s="7" t="inlineStr">
        <is>
          <t>DIRECT</t>
        </is>
      </c>
      <c r="E24" s="7" t="inlineStr">
        <is>
          <t>mcx_al_lot_mt</t>
        </is>
      </c>
      <c r="F24" s="7" t="inlineStr">
        <is>
          <t>exchange.yaml</t>
        </is>
      </c>
      <c r="G24" s="7" t="inlineStr">
        <is>
          <t>[C385] and [C617] Annexure 1: 'Trading Unit 5 MT'</t>
        </is>
      </c>
      <c r="H24" s="7" t="inlineStr">
        <is>
          <t>VERIFIED 2026-09-16 (identical in Jun-2021 and Oct-2022 circulars)</t>
        </is>
      </c>
      <c r="I24" s="7" t="inlineStr">
        <is>
          <t>Hedge tonnage is rounded to whole lots via desk.units.mt_to_lots; 1,000 MT scrap ≈ 0.8–0.9 × 1,000 MT metal ≈ 160–180 lots.</t>
        </is>
      </c>
    </row>
    <row r="25">
      <c r="A25" s="7" t="inlineStr">
        <is>
          <t>mcx_al_margin_used_frac</t>
        </is>
      </c>
      <c r="B25" s="6" t="n">
        <v>0.1</v>
      </c>
      <c r="C25" s="7" t="inlineStr">
        <is>
          <t>frac_of_contract_value</t>
        </is>
      </c>
      <c r="D25" s="7" t="inlineStr">
        <is>
          <t>ASSUMPTION</t>
        </is>
      </c>
      <c r="E25" s="7" t="inlineStr">
        <is>
          <t>mcx_al_margin_used_frac</t>
        </is>
      </c>
      <c r="F25" s="7" t="inlineStr">
        <is>
          <t>exchange.yaml</t>
        </is>
      </c>
      <c r="G25" s="7" t="inlineStr">
        <is>
          <t>Desk assumption = initial margin minimum 8% + ELM 1% + ~1% SPAN/volatility cushion</t>
        </is>
      </c>
      <c r="H25" s="7" t="inlineStr">
        <is>
          <t>PENDING — replace with MCXCCL daily SPAN aluminium margin % for Mar–Aug 2022 if the risk-parameter archive becomes retrievable</t>
        </is>
      </c>
      <c r="I25" s="7" t="inlineStr">
        <is>
          <t>Used for margin &amp; liquidity (Table 6 row 4.5) and variation-margin cash planning; stress with 0.12–0.15 in the crash fortnight.</t>
        </is>
      </c>
    </row>
    <row r="26">
      <c r="A26" s="7" t="inlineStr">
        <is>
          <t>fx_forward_bank_margin_inr</t>
        </is>
      </c>
      <c r="B26" s="6" t="n">
        <v>0.1</v>
      </c>
      <c r="C26" s="7" t="inlineStr">
        <is>
          <t>inr_per_usd</t>
        </is>
      </c>
      <c r="D26" s="7" t="inlineStr">
        <is>
          <t>ASSUMPTION</t>
        </is>
      </c>
      <c r="E26" s="7" t="inlineStr">
        <is>
          <t>fx_forward_bank_margin_inr</t>
        </is>
      </c>
      <c r="F26" s="7" t="inlineStr">
        <is>
          <t>exchange.yaml</t>
        </is>
      </c>
      <c r="G26" s="7" t="inlineStr">
        <is>
          <t>Desk assumption for a mid-size corporate importer's forward (spot + premium) margin over the interbank mid</t>
        </is>
      </c>
      <c r="H26" s="7" t="inlineStr">
        <is>
          <t>PENDING — no 2022 bank rate card for corporate forward margins was retrieved; check RBI FX-Retail platform documentation / RBI speeches on retail FX spreads for an order of magnitude</t>
        </is>
      </c>
      <c r="I26" s="7" t="inlineStr">
        <is>
          <t>10 paise ≈ 0.13% of notional (≈ ₹230k on a USD 2.3 mn cargo). Range 0.03 (large corporate) to 0.25 (small SME).</t>
        </is>
      </c>
    </row>
    <row r="27">
      <c r="A27" s="7" t="inlineStr">
        <is>
          <t>mcx_roll_days_before_expiry</t>
        </is>
      </c>
      <c r="B27" s="6" t="n">
        <v>7</v>
      </c>
      <c r="C27" s="7" t="inlineStr">
        <is>
          <t>trading_days</t>
        </is>
      </c>
      <c r="D27" s="7" t="inlineStr">
        <is>
          <t>ASSUMPTION</t>
        </is>
      </c>
      <c r="E27" s="7" t="inlineStr">
        <is>
          <t>mcx_roll_days_before_expiry</t>
        </is>
      </c>
      <c r="F27" s="7" t="inlineStr">
        <is>
          <t>exchange.yaml</t>
        </is>
      </c>
      <c r="G27" s="7" t="inlineStr">
        <is>
          <t>Desk rule derived from the 5-trading-day staggered delivery tender period and the 25% delivery-period margin ([C385]/[C617])</t>
        </is>
      </c>
      <c r="H27" s="7" t="inlineStr">
        <is>
          <t>N/A — policy assumption</t>
        </is>
      </c>
      <c r="I27" s="7" t="inlineStr">
        <is>
          <t>Roll M1 → M2 on the 7th trading day before expiry: 2 days' cushion before the tender period opens, avoiding delivery allocation and the 25% margin; costs one spread crossing per month.</t>
        </is>
      </c>
    </row>
    <row r="28">
      <c r="A28" s="7" t="inlineStr">
        <is>
          <t>lme_cash_prompt_bdays</t>
        </is>
      </c>
      <c r="B28" s="6" t="n">
        <v>2</v>
      </c>
      <c r="C28" s="7" t="inlineStr">
        <is>
          <t>business_days_after_trade_date</t>
        </is>
      </c>
      <c r="D28" s="7" t="inlineStr">
        <is>
          <t>ASSUMPTION</t>
        </is>
      </c>
      <c r="E28" s="7" t="inlineStr">
        <is>
          <t>lme_cash_prompt_bdays</t>
        </is>
      </c>
      <c r="F28" s="7" t="inlineStr">
        <is>
          <t>parity.yaml</t>
        </is>
      </c>
      <c r="G28" s="7" t="inlineStr">
        <is>
          <t>LME market convention: the cash prompt settles two business days after the trade date (T+2); the 3-months prompt is three calendar months after the trade date</t>
        </is>
      </c>
      <c r="H28" s="7" t="inlineStr">
        <is>
          <t>PENDING — stated from the standard LME convention, not re-read from the LME contract specification in Phase 1. Next step: LME Aluminium contract specification page (prompt date structure).</t>
        </is>
      </c>
      <c r="I28" s="7" t="inlineStr">
        <is>
          <t>Used only to place the cash price on the day axis when term_structure.py interpolates the forward curve between cash and 3M; a ±2-day error moves the implied M+1 average by &lt; USD 1/t in the window.</t>
        </is>
      </c>
    </row>
    <row r="29">
      <c r="A29" s="7" t="inlineStr">
        <is>
          <t>mcx_al_tick_inr_kg</t>
        </is>
      </c>
      <c r="B29" s="6" t="n">
        <v>0.05</v>
      </c>
      <c r="C29" s="7" t="inlineStr">
        <is>
          <t>inr_per_kg</t>
        </is>
      </c>
      <c r="D29" s="7" t="inlineStr">
        <is>
          <t>DIRECT</t>
        </is>
      </c>
      <c r="E29" s="7" t="inlineStr">
        <is>
          <t>mcx_al_tick_inr_kg</t>
        </is>
      </c>
      <c r="F29" s="7" t="inlineStr">
        <is>
          <t>exchange.yaml</t>
        </is>
      </c>
      <c r="G29" s="7" t="inlineStr">
        <is>
          <t>[C385]/[C617]: 'Tick Size (Minimum Price Movement) 5 paisa per kg'</t>
        </is>
      </c>
      <c r="H29" s="7" t="inlineStr">
        <is>
          <t>VERIFIED 2026-09-16</t>
        </is>
      </c>
      <c r="I29" s="7" t="inlineStr">
        <is>
          <t>= ₹250 per 5 MT lot.</t>
        </is>
      </c>
    </row>
    <row r="30">
      <c r="A30" s="7" t="inlineStr">
        <is>
          <t>demurrage_usd_per_box_day</t>
        </is>
      </c>
      <c r="B30" s="6" t="n">
        <v>35</v>
      </c>
      <c r="C30" s="7" t="inlineStr">
        <is>
          <t>usd_per_box_per_day</t>
        </is>
      </c>
      <c r="D30" s="7" t="inlineStr">
        <is>
          <t>ASSUMPTION</t>
        </is>
      </c>
      <c r="E30" s="7" t="inlineStr">
        <is>
          <t>demurrage_usd_per_box_day</t>
        </is>
      </c>
      <c r="F30" s="7" t="inlineStr">
        <is>
          <t>logistics.yaml</t>
        </is>
      </c>
      <c r="G30" s="7" t="inlineStr">
        <is>
          <t>Desk assumption: combined carrier detention + CFS ground rent per box per day beyond detention_free_days (first slab)</t>
        </is>
      </c>
      <c r="H30" s="7" t="inlineStr">
        <is>
          <t>PENDING — retrieve 2022 Wayback copies of a carrier's India import detention slabs (USD/day by box size) and a CFS ground-rent tariff (INR/day)</t>
        </is>
      </c>
      <c r="I30" s="7" t="inlineStr">
        <is>
          <t>Blended 20ft/40ft first-slab figure; carriers escalate slabs after 5-10 days, so long delays cost more per day. Range 15-75 USD/box/day. Used by P3 attribution factor (f) and the 'BIS-QCO + demurrage' stress.</t>
        </is>
      </c>
    </row>
    <row r="31">
      <c r="A31" s="7" t="inlineStr">
        <is>
          <t>container_payload_mt_20ft</t>
        </is>
      </c>
      <c r="B31" s="6" t="n">
        <v>25</v>
      </c>
      <c r="C31" s="7" t="inlineStr">
        <is>
          <t>mt_per_box</t>
        </is>
      </c>
      <c r="D31" s="7" t="inlineStr">
        <is>
          <t>ASSUMPTION</t>
        </is>
      </c>
      <c r="F31" s="7" t="inlineStr">
        <is>
          <t>logistics.yaml</t>
        </is>
      </c>
      <c r="G31" s="7" t="inlineStr">
        <is>
          <t>MASTER_SPEC_V3 Table 4 row 2.1 ('containerised ~24-26 MT/box'); 20ft dry box max gross 30,480 kg less ~2,200 kg tare</t>
        </is>
      </c>
      <c r="H31" s="7" t="inlineStr">
        <is>
          <t>PENDING — confirm typical Zorba / Taint-Tabor 20ft load weights from a Jebel Ali shipper's packing list or a BigMint/Fastmarkets methodology note</t>
        </is>
      </c>
      <c r="I31" s="7" t="inlineStr">
        <is>
          <t>BASE payload used to convert freight_weekly.csv USD/box into USD/MT. Heavy scrap cubes out by weight, not volume, so the 20ft box is used ex-Gulf and loaded close to the carrier's weight cap. Midpoint of the spec's 24-26 MT. Grade-specific payloads (container_payload_mt_20ft_&lt;grade&gt;) rescale per-box costs in CONTRACTS §5.</t>
        </is>
      </c>
    </row>
    <row r="32">
      <c r="A32" s="7" t="inlineStr">
        <is>
          <t>container_payload_mt_40ft</t>
        </is>
      </c>
      <c r="B32" s="6" t="n">
        <v>21</v>
      </c>
      <c r="C32" s="7" t="inlineStr">
        <is>
          <t>mt_per_box</t>
        </is>
      </c>
      <c r="D32" s="7" t="inlineStr">
        <is>
          <t>ASSUMPTION</t>
        </is>
      </c>
      <c r="F32" s="7" t="inlineStr">
        <is>
          <t>logistics.yaml</t>
        </is>
      </c>
      <c r="G32" s="7" t="inlineStr">
        <is>
          <t>US federal gross vehicle weight limit 80,000 lb (23 CFR 658.17) applied to typical tractor (~8 t) + 40ft chassis (~3 t) + container tare (~3.8 t)</t>
        </is>
      </c>
      <c r="H32" s="7" t="inlineStr">
        <is>
          <t>PENDING — the eCFR page redirected to a bot check when fetched; re-check 23 CFR 658.17 on ecfr.gov and a US scrap exporter's 40ft load weights (Recycling Today / ReMA)</t>
        </is>
      </c>
      <c r="I32" s="7" t="inlineStr">
        <is>
          <t>US scrap is exported in 40ft boxes (backhaul equipment availability) but road weight limits, not box capacity, cap the payload at roughly 20-22 MT for non-permitted drayage (36.3 t GVW - ~15.3 t tractor, chassis and box). Range 19-26 MT (26 MT only with port-side transloading / overweight permits). This is why the spec's generic 24-26 MT/box is NOT used for the 40ft lane.</t>
        </is>
      </c>
    </row>
    <row r="33">
      <c r="A33" s="7" t="inlineStr">
        <is>
          <t>container_payload_mt_20ft_zorba</t>
        </is>
      </c>
      <c r="B33" s="6" t="n">
        <v>26</v>
      </c>
      <c r="C33" s="7" t="inlineStr">
        <is>
          <t>mt_per_box</t>
        </is>
      </c>
      <c r="D33" s="7" t="inlineStr">
        <is>
          <t>ASSUMPTION</t>
        </is>
      </c>
      <c r="F33" s="7" t="inlineStr">
        <is>
          <t>logistics.yaml</t>
        </is>
      </c>
      <c r="G33" s="7" t="inlineStr">
        <is>
          <t>Desk judgement: shredded Zorba is dense (loose bulk ~1.0–1.3 t/m³) and loads to the ~27–28 t 20ft payload cap</t>
        </is>
      </c>
      <c r="H33" s="7" t="inlineStr">
        <is>
          <t>PENDING — packing lists / bills of lading for Zorba 95/5 20ft shipments (review asked for grade-specific payloads)</t>
        </is>
      </c>
      <c r="I33" s="7" t="inlineStr">
        <is>
          <t>CONTRACTS §5 scales per-box freight, port and PSIC costs by container_payload_mt_20ft / this value.</t>
        </is>
      </c>
    </row>
    <row r="34">
      <c r="A34" s="7" t="inlineStr">
        <is>
          <t>container_payload_mt_20ft_taint_tabor</t>
        </is>
      </c>
      <c r="B34" s="6" t="n">
        <v>20</v>
      </c>
      <c r="C34" s="7" t="inlineStr">
        <is>
          <t>mt_per_box</t>
        </is>
      </c>
      <c r="D34" s="7" t="inlineStr">
        <is>
          <t>ASSUMPTION</t>
        </is>
      </c>
      <c r="F34" s="7" t="inlineStr">
        <is>
          <t>logistics.yaml</t>
        </is>
      </c>
      <c r="G34" s="7" t="inlineStr">
        <is>
          <t>Desk judgement: baled old sheet cubes out before the weight cap in a 33 m³ 20ft box (bales ~0.6 t/m³)</t>
        </is>
      </c>
      <c r="H34" s="7" t="inlineStr">
        <is>
          <t>PENDING — packing lists for baled Taint/Tabor 20ft shipments</t>
        </is>
      </c>
      <c r="I34" s="7" t="inlineStr">
        <is>
          <t>Range 16–23 MT; the lower payload raises per-MT freight and port costs by 25% versus the 25 MT base.</t>
        </is>
      </c>
    </row>
    <row r="35">
      <c r="A35" s="7" t="inlineStr">
        <is>
          <t>container_payload_mt_20ft_tense</t>
        </is>
      </c>
      <c r="B35" s="6" t="n">
        <v>25</v>
      </c>
      <c r="C35" s="7" t="inlineStr">
        <is>
          <t>mt_per_box</t>
        </is>
      </c>
      <c r="D35" s="7" t="inlineStr">
        <is>
          <t>ASSUMPTION</t>
        </is>
      </c>
      <c r="F35" s="7" t="inlineStr">
        <is>
          <t>logistics.yaml</t>
        </is>
      </c>
      <c r="G35" s="7" t="inlineStr">
        <is>
          <t>Desk judgement: loose castings load to near the weight cap, as the base</t>
        </is>
      </c>
      <c r="H35" s="7" t="inlineStr">
        <is>
          <t>PENDING — packing lists for Tense 20ft shipments</t>
        </is>
      </c>
      <c r="I35" s="7" t="inlineStr">
        <is>
          <t>Equal to the base payload.</t>
        </is>
      </c>
    </row>
    <row r="36">
      <c r="A36" s="7" t="inlineStr">
        <is>
          <t>container_payload_mt_40ft_zorba</t>
        </is>
      </c>
      <c r="B36" s="6" t="n">
        <v>21</v>
      </c>
      <c r="C36" s="7" t="inlineStr">
        <is>
          <t>mt_per_box</t>
        </is>
      </c>
      <c r="D36" s="7" t="inlineStr">
        <is>
          <t>ASSUMPTION</t>
        </is>
      </c>
      <c r="F36" s="7" t="inlineStr">
        <is>
          <t>logistics.yaml</t>
        </is>
      </c>
      <c r="G36" s="7" t="inlineStr">
        <is>
          <t>US road-weight cap binds before volume for dense Zorba (see container_payload_mt_40ft)</t>
        </is>
      </c>
      <c r="H36" s="7" t="inlineStr">
        <is>
          <t>PENDING — as container_payload_mt_40ft</t>
        </is>
      </c>
      <c r="I36" s="7" t="inlineStr">
        <is>
          <t>Equal to the 40ft base.</t>
        </is>
      </c>
    </row>
    <row r="37">
      <c r="A37" s="7" t="inlineStr">
        <is>
          <t>container_payload_mt_40ft_taint_tabor</t>
        </is>
      </c>
      <c r="B37" s="6" t="n">
        <v>21</v>
      </c>
      <c r="C37" s="7" t="inlineStr">
        <is>
          <t>mt_per_box</t>
        </is>
      </c>
      <c r="D37" s="7" t="inlineStr">
        <is>
          <t>ASSUMPTION</t>
        </is>
      </c>
      <c r="F37" s="7" t="inlineStr">
        <is>
          <t>logistics.yaml</t>
        </is>
      </c>
      <c r="G37" s="7" t="inlineStr">
        <is>
          <t>Baled sheet at ~0.6 t/m³ needs ~35 m³ for 21 MT, within a 67 m³ 40ft box, so the road-weight cap still binds</t>
        </is>
      </c>
      <c r="H37" s="7" t="inlineStr">
        <is>
          <t>PENDING — as container_payload_mt_40ft</t>
        </is>
      </c>
      <c r="I37" s="7" t="inlineStr">
        <is>
          <t>Equal to the 40ft base.</t>
        </is>
      </c>
    </row>
    <row r="38">
      <c r="A38" s="7" t="inlineStr">
        <is>
          <t>container_payload_mt_40ft_tense</t>
        </is>
      </c>
      <c r="B38" s="6" t="n">
        <v>21</v>
      </c>
      <c r="C38" s="7" t="inlineStr">
        <is>
          <t>mt_per_box</t>
        </is>
      </c>
      <c r="D38" s="7" t="inlineStr">
        <is>
          <t>ASSUMPTION</t>
        </is>
      </c>
      <c r="F38" s="7" t="inlineStr">
        <is>
          <t>logistics.yaml</t>
        </is>
      </c>
      <c r="G38" s="7" t="inlineStr">
        <is>
          <t>US road-weight cap binds (see container_payload_mt_40ft)</t>
        </is>
      </c>
      <c r="H38" s="7" t="inlineStr">
        <is>
          <t>PENDING — as container_payload_mt_40ft</t>
        </is>
      </c>
      <c r="I38" s="7" t="inlineStr">
        <is>
          <t>Equal to the 40ft base.</t>
        </is>
      </c>
    </row>
    <row r="39">
      <c r="A39" s="7" t="inlineStr">
        <is>
          <t>port_cf_charges_inr_t_nsa</t>
        </is>
      </c>
      <c r="B39" s="6" t="n">
        <v>1600</v>
      </c>
      <c r="C39" s="7" t="inlineStr">
        <is>
          <t>inr_per_mt</t>
        </is>
      </c>
      <c r="D39" s="7" t="inlineStr">
        <is>
          <t>ASSUMPTION</t>
        </is>
      </c>
      <c r="F39" s="7" t="inlineStr">
        <is>
          <t>logistics.yaml</t>
        </is>
      </c>
      <c r="G39" s="7" t="inlineStr">
        <is>
          <t>Desk build-up per 20ft box / 25 MT base payload; component magnitudes are desk estimates (no 2022 tariff retrieved — carrier THC PDFs returned 403), not quotes</t>
        </is>
      </c>
      <c r="H39" s="7" t="inlineStr">
        <is>
          <t>PENDING — retrieve 2022 Wayback copies of a carrier's India import THC/DO tariff and a JNPT CFS tariff; get a 2022 short-haul (~200 km) 20ft truck rate out of JNPT</t>
        </is>
      </c>
      <c r="I39" s="7" t="inlineStr">
        <is>
          <t>Components per 20ft box (INR): destination THC ~9,500; CFS handling + ground rent within free days ~7,500; delivery order + B/L/documentation ~1,000; customs broker (CHA) fees ~3,000; examination, radiation-check and labour ~2,000; inland haulage to the SIM buyer within ~200 km of JNPT ~16,000 (review fix: previously ~52,000 for ~850 km to Rajkot; the short haul is priced above the long haul's per-km rate). Total ~39,000 per box = ~1,560/MT at 25 MT, rounded to 1,600. Range 1,200-2,500/MT. Excludes customs duty, IGST, demurrage and the PSIC fee (psic_cost_usd_per_box, added separately in CONTRACTS §5 for this non-safe-origin lane).</t>
        </is>
      </c>
    </row>
    <row r="40">
      <c r="A40" s="7" t="inlineStr">
        <is>
          <t>port_cf_charges_inr_t_mun</t>
        </is>
      </c>
      <c r="B40" s="6" t="n">
        <v>2650</v>
      </c>
      <c r="C40" s="7" t="inlineStr">
        <is>
          <t>inr_per_mt</t>
        </is>
      </c>
      <c r="D40" s="7" t="inlineStr">
        <is>
          <t>ASSUMPTION</t>
        </is>
      </c>
      <c r="F40" s="7" t="inlineStr">
        <is>
          <t>logistics.yaml</t>
        </is>
      </c>
      <c r="G40" s="7" t="inlineStr">
        <is>
          <t>Desk build-up per 40ft box / 21 MT; component magnitudes are desk estimates (no 2022 tariff retrieved — carrier THC PDFs returned 403), not quotes</t>
        </is>
      </c>
      <c r="H40" s="7" t="inlineStr">
        <is>
          <t>PENDING — retrieve 2022 Wayback copies of a carrier's Mundra import THC/DO tariff and an Adani Mundra CFS tariff; get a 2022 Mundra-&gt;Rajkot 40ft trailer rate</t>
        </is>
      </c>
      <c r="I40" s="7" t="inlineStr">
        <is>
          <t>Components per 40ft box (INR): destination THC ~14,500; CFS handling + ground rent within free days ~10,000; DO + documentation ~1,000; CHA ~3,500; examination, radiation-check and labour ~2,500; inland haulage Mundra -&gt; Rajkot (~240 km) ~24,000. Total ~55,500 per box = ~2,650/MT at 21 MT. Range 1,800-3,800/MT. The per-tonne port cost is higher than NSA (fewer tonnes per box) but haulage is far shorter.</t>
        </is>
      </c>
    </row>
    <row r="41">
      <c r="A41" s="7" t="inlineStr">
        <is>
          <t>psic_required_uae_origin</t>
        </is>
      </c>
      <c r="B41" s="10" t="b">
        <v>1</v>
      </c>
      <c r="C41" s="7" t="inlineStr">
        <is>
          <t>bool</t>
        </is>
      </c>
      <c r="D41" s="7" t="inlineStr">
        <is>
          <t>DIRECT</t>
        </is>
      </c>
      <c r="F41" s="7" t="inlineStr">
        <is>
          <t>regulatory.yaml</t>
        </is>
      </c>
      <c r="G41" s="7" t="inlineStr">
        <is>
          <t>DGFT Public Notice 46/2015-2020 (14-Jan-2022): exemption limited to the six named safe origins; other origins remain subject to PSIC</t>
        </is>
      </c>
      <c r="H41" s="7" t="inlineStr">
        <is>
          <t>PARTIAL — republisher text read; DGFT original not fetched</t>
        </is>
      </c>
      <c r="I41" s="7" t="inlineStr">
        <is>
          <t>UAE is not a 'safe country', so Jebel Ali cargo into Nhava Sheva (JEA_NSA) needs a Pre-Shipment Inspection Certificate from a DGFT-recognised inspection agency (list at https://www.dgft.gov.in/CP/?opt=psia) even though JNPT is a designated port. Operational consequence: add PSIC cost and lead time to every Gulf fixture.</t>
        </is>
      </c>
    </row>
    <row r="42">
      <c r="A42" s="7" t="inlineStr">
        <is>
          <t>psic_required_safe_origin_designated_port</t>
        </is>
      </c>
      <c r="B42" s="10" t="b">
        <v>0</v>
      </c>
      <c r="C42" s="7" t="inlineStr">
        <is>
          <t>bool</t>
        </is>
      </c>
      <c r="D42" s="7" t="inlineStr">
        <is>
          <t>DIRECT</t>
        </is>
      </c>
      <c r="F42" s="7" t="inlineStr">
        <is>
          <t>regulatory.yaml</t>
        </is>
      </c>
      <c r="G42" s="7" t="inlineStr">
        <is>
          <t>DGFT Public Notice 46/2015-2020 (14-Jan-2022), para 2.54(d)(v)(iv) as amended (see import_policy_hs7602)</t>
        </is>
      </c>
      <c r="H42" s="7" t="inlineStr">
        <is>
          <t>PARTIAL — republisher text read (worldtradescanner, bizsolindia); DGFT original not fetched</t>
        </is>
      </c>
      <c r="I42" s="7" t="inlineStr">
        <is>
          <t>Metallic scrap from USA, UK, Canada, New Zealand, Australia and the EU needs no PSIC when cleared at one of ten ports (Chennai, Tuticorin, Kandla, JNPT, Mumbai, Krishnapatnam, Mundra, Kattupalli, Hazira, Kamarajar), provided it carries a supplier/scrap-yard certificate of no radioactive material/explosives and passes portal-monitor radiation and container-scanner checks at the port. =&gt; the USEC_MUN lane (US origin into Mundra) needs no PSIC.</t>
        </is>
      </c>
    </row>
    <row r="43">
      <c r="A43" s="7" t="inlineStr">
        <is>
          <t>finance_days_jea_nsa</t>
        </is>
      </c>
      <c r="B43" s="6" t="n">
        <v>40</v>
      </c>
      <c r="C43" s="7" t="inlineStr">
        <is>
          <t>days</t>
        </is>
      </c>
      <c r="D43" s="7" t="inlineStr">
        <is>
          <t>ASSUMPTION</t>
        </is>
      </c>
      <c r="F43" s="7" t="inlineStr">
        <is>
          <t>logistics.yaml</t>
        </is>
      </c>
      <c r="G43" s="7" t="inlineStr">
        <is>
          <t>Desk construction from components: LC-at-sight payment, transit_days_jea_nsa, clearance_delivery_days, 30-day domestic buyer credit</t>
        </is>
      </c>
      <c r="H43" s="7" t="inlineStr">
        <is>
          <t>PENDING — reconcile with the payment terms P2 assigns in config/trades.yaml (LC sight vs usance; buyer advance vs 30d credit)</t>
        </is>
      </c>
      <c r="I43" s="7" t="inlineStr">
        <is>
          <t>DEFINITION: days the desk's own INR working capital is tied up per tonne, from the day it pays the supplier to the day it receives the domestic buyer's payment. Timeline from B/L date: supplier paid under a sight LC on document presentation ~day 7 (goods already arrived after 5 days sailing; release by telex/LOI), BoE and duty ~day 8, out-of-charge + delivery ~day 17 (clearance_delivery_days after arrival, discharge queue included), buyer pays 30 days after delivery ~day 47 =&gt; 47 - 7 = 40 days. Applied in CONTRACTS §5 to (goods value at market FX + duties) for simplicity, which slightly overstates duty financing (duty is paid ~1 day after cash-out here). P1 must NOT add buyer-credit days again. A 60-90d usance LC would shorten this by the usance period (usance interest is then priced separately).</t>
        </is>
      </c>
    </row>
    <row r="44">
      <c r="A44" s="7" t="inlineStr">
        <is>
          <t>finance_days_usec_mun</t>
        </is>
      </c>
      <c r="B44" s="6" t="n">
        <v>73</v>
      </c>
      <c r="C44" s="7" t="inlineStr">
        <is>
          <t>days</t>
        </is>
      </c>
      <c r="D44" s="7" t="inlineStr">
        <is>
          <t>ASSUMPTION</t>
        </is>
      </c>
      <c r="F44" s="7" t="inlineStr">
        <is>
          <t>logistics.yaml</t>
        </is>
      </c>
      <c r="G44" s="7" t="inlineStr">
        <is>
          <t>Desk construction from components: LC-at-sight payment, transit_days_usec_mun, clearance_delivery_days, 30-day domestic buyer credit</t>
        </is>
      </c>
      <c r="H44" s="7" t="inlineStr">
        <is>
          <t>PENDING — reconcile with the payment terms P2 assigns in config/trades.yaml (LC sight vs usance; buyer advance vs 30d credit)</t>
        </is>
      </c>
      <c r="I44" s="7" t="inlineStr">
        <is>
          <t>Same DEFINITION as finance_days_jea_nsa. Timeline from B/L date: sight LC paid ~day 7, arrival day 40, BoE and duty ~day 41, delivery ~day 50, buyer pays ~day 80 =&gt; 80 - 7 = 73 days. Here duty is paid ~34 days after cash-out, so applying 73 days to duties overstates finance cost on duties by ~34 days' interest (~INR 50/MT at 2.75% effective duty on ~INR 2 lakh/MT assessable value); accepted for formula simplicity and noted for P1.</t>
        </is>
      </c>
    </row>
    <row r="45">
      <c r="A45" s="7" t="inlineStr">
        <is>
          <t>moisture_frac_zorba</t>
        </is>
      </c>
      <c r="B45" s="6" t="n">
        <v>0.01</v>
      </c>
      <c r="C45" s="7" t="inlineStr">
        <is>
          <t>frac_of_gross_weight</t>
        </is>
      </c>
      <c r="D45" s="7" t="inlineStr">
        <is>
          <t>ASSUMPTION</t>
        </is>
      </c>
      <c r="F45" s="7" t="inlineStr">
        <is>
          <t>scrap_grades.yaml</t>
        </is>
      </c>
      <c r="G45" s="7" t="inlineStr">
        <is>
          <t>ISRI 2022 Zorba spec sets metal content by agreement and requires the lot free of radioactive material, dross and ash, but sets no moisture limit; the sister fragmentizer grades require material to be 'dry' (Twitch/Tweak). Level = desk SPA franchise (standard_moisture_franchise_frac)</t>
        </is>
      </c>
      <c r="H45" s="7" t="inlineStr">
        <is>
          <t>N/A — assumption; SPA-driven</t>
        </is>
      </c>
      <c r="I45" s="7" t="inlineStr">
        <is>
          <t>Shredded Zorba from wet media separation can arrive at 1–3% moisture; the SPA deducts weight above the 1% franchise, so the desk pays for at most ~1%.</t>
        </is>
      </c>
    </row>
    <row r="46">
      <c r="A46" s="7" t="inlineStr">
        <is>
          <t>moisture_frac_taint_tabor</t>
        </is>
      </c>
      <c r="B46" s="6" t="n">
        <v>0.005</v>
      </c>
      <c r="C46" s="7" t="inlineStr">
        <is>
          <t>frac_of_gross_weight</t>
        </is>
      </c>
      <c r="D46" s="7" t="inlineStr">
        <is>
          <t>ASSUMPTION</t>
        </is>
      </c>
      <c r="F46" s="7" t="inlineStr">
        <is>
          <t>scrap_grades.yaml</t>
        </is>
      </c>
      <c r="G46" s="7" t="inlineStr">
        <is>
          <t>ISRI 2022 Taint/Tabor: clean mixed old alloy sheet, free of dirt and non-metallic items; no numeric moisture limit</t>
        </is>
      </c>
      <c r="H46" s="7" t="inlineStr">
        <is>
          <t>N/A — assumption</t>
        </is>
      </c>
      <c r="I46" s="7" t="inlineStr">
        <is>
          <t>Baled/cut sheet sheds water; residual moisture in bale interstices after monsoon-season ocean transit.</t>
        </is>
      </c>
    </row>
    <row r="47">
      <c r="A47" s="7" t="inlineStr">
        <is>
          <t>moisture_frac_tense</t>
        </is>
      </c>
      <c r="B47" s="6" t="n">
        <v>0.005</v>
      </c>
      <c r="C47" s="7" t="inlineStr">
        <is>
          <t>frac_of_gross_weight</t>
        </is>
      </c>
      <c r="D47" s="7" t="inlineStr">
        <is>
          <t>ASSUMPTION</t>
        </is>
      </c>
      <c r="F47" s="7" t="inlineStr">
        <is>
          <t>scrap_grades.yaml</t>
        </is>
      </c>
      <c r="G47" s="7" t="inlineStr">
        <is>
          <t>ISRI 2022 Tense: clean aluminium castings, free of iron, brass, dirt and other non-metallic items; no numeric moisture limit</t>
        </is>
      </c>
      <c r="H47" s="7" t="inlineStr">
        <is>
          <t>N/A — assumption</t>
        </is>
      </c>
      <c r="I47" s="7" t="inlineStr">
        <is>
          <t>Castings hold little water; 0.5% allows for surface moisture and dirt in cavities.</t>
        </is>
      </c>
    </row>
    <row r="48">
      <c r="A48" s="7" t="inlineStr">
        <is>
          <t>contamination_frac_zorba</t>
        </is>
      </c>
      <c r="B48" s="6" t="n">
        <v>0.06</v>
      </c>
      <c r="C48" s="7" t="inlineStr">
        <is>
          <t>frac_of_dry_weight</t>
        </is>
      </c>
      <c r="D48" s="7" t="inlineStr">
        <is>
          <t>ASSUMPTION</t>
        </is>
      </c>
      <c r="F48" s="7" t="inlineStr">
        <is>
          <t>scrap_grades.yaml</t>
        </is>
      </c>
      <c r="G48" s="7" t="inlineStr">
        <is>
          <t>Trade usage of 'Zorba 95/5' (BigMint assessment name): ~95% aluminium and ~5% heavy non-ferrous (Cu, brass, Zn, stainless); ISRI 2022 Zorba: sold by estimated non-ferrous metal content, passed over magnets</t>
        </is>
      </c>
      <c r="H48" s="7" t="inlineStr">
        <is>
          <t>PENDING — the 95/5 composition is trade naming, not an ISRI definition; confirm from a BigMint/Fastmarkets Zorba methodology note or a packing-list assay</t>
        </is>
      </c>
      <c r="I48" s="7" t="inlineStr">
        <is>
          <t>Non-aluminium fraction of the dry lot = heavies 0.05 (heavies_frac_zorba, credited separately) + ~0.01 rubber/plastic/dirt/free iron. Review fix: the previous Zorba 90 definition (0.08 contamination, 0.85 yield, no heavies credit) contradicted the Zorba 95/5 price evidence.</t>
        </is>
      </c>
    </row>
    <row r="49">
      <c r="A49" s="7" t="inlineStr">
        <is>
          <t>contamination_frac_taint_tabor</t>
        </is>
      </c>
      <c r="B49" s="6" t="n">
        <v>0.02</v>
      </c>
      <c r="C49" s="7" t="inlineStr">
        <is>
          <t>frac_of_dry_weight</t>
        </is>
      </c>
      <c r="D49" s="7" t="inlineStr">
        <is>
          <t>ASSUMPTION</t>
        </is>
      </c>
      <c r="F49" s="7" t="inlineStr">
        <is>
          <t>scrap_grades.yaml</t>
        </is>
      </c>
      <c r="G49" s="7" t="inlineStr">
        <is>
          <t>ISRI 2022 Taint/Tabor: 'Oil and grease not to total more than 1%. Up to 10% Tale [painted siding] permitted.'; free of foil, castings, screen, plastic, dirt</t>
        </is>
      </c>
      <c r="H49" s="7" t="inlineStr">
        <is>
          <t>N/A — assumption within ISRI limits</t>
        </is>
      </c>
      <c r="I49" s="7" t="inlineStr">
        <is>
          <t>≤1% oil/grease + paint/coating mass (~0.5–1% on a lot with up to 10% painted siding) + stray attachments.</t>
        </is>
      </c>
    </row>
    <row r="50">
      <c r="A50" s="7" t="inlineStr">
        <is>
          <t>contamination_frac_tense</t>
        </is>
      </c>
      <c r="B50" s="6" t="n">
        <v>0.02</v>
      </c>
      <c r="C50" s="7" t="inlineStr">
        <is>
          <t>frac_of_dry_weight</t>
        </is>
      </c>
      <c r="D50" s="7" t="inlineStr">
        <is>
          <t>ASSUMPTION</t>
        </is>
      </c>
      <c r="F50" s="7" t="inlineStr">
        <is>
          <t>scrap_grades.yaml</t>
        </is>
      </c>
      <c r="G50" s="7" t="inlineStr">
        <is>
          <t>ISRI 2022 Tense: 'Oil and grease not to total more than 2%'; India trade quotes are commonly for Tense with 6–9% attachments (BigMint 'UAE Tense (8-9 per cent)', 'US-origin Tense (6-7 per cent)')</t>
        </is>
      </c>
      <c r="H50" s="7" t="inlineStr">
        <is>
          <t>N/A — assumption within ISRI limits</t>
        </is>
      </c>
      <c r="I50" s="7" t="inlineStr">
        <is>
          <t>Desk buys ISRI-clean Tense; grade_factor_diff_tense already converts attachment-bearing quotes to a clean basis.</t>
        </is>
      </c>
    </row>
    <row r="51">
      <c r="A51" s="7" t="inlineStr">
        <is>
          <t>metal_yield_frac_zorba</t>
        </is>
      </c>
      <c r="B51" s="6" t="n">
        <v>0.93</v>
      </c>
      <c r="C51" s="7" t="inlineStr">
        <is>
          <t>frac_of_aluminium_to_ingot</t>
        </is>
      </c>
      <c r="D51" s="7" t="inlineStr">
        <is>
          <t>ASSUMPTION</t>
        </is>
      </c>
      <c r="F51" s="7" t="inlineStr">
        <is>
          <t>scrap_grades.yaml</t>
        </is>
      </c>
      <c r="G51" s="7" t="inlineStr">
        <is>
          <t>Desk assumption: melt recovery of shredded, eddy-current-separated aluminium (thin gauge, some coatings) 0.92–0.94</t>
        </is>
      </c>
      <c r="H51" s="7" t="inlineStr">
        <is>
          <t>PENDING — no published Indian smelter yield for Zorba retrieved; check a BigMint/Fastmarkets Zorba methodology note or an Indian secondary smelter DRHP</t>
        </is>
      </c>
      <c r="I51" s="7" t="inlineStr">
        <is>
          <t>Recovery_zorba = 0.99 × 0.94 × 0.93 = 0.866 (aluminium only). P1 recovery sensitivity: 0.92–0.94.</t>
        </is>
      </c>
    </row>
    <row r="52">
      <c r="A52" s="7" t="inlineStr">
        <is>
          <t>metal_yield_frac_taint_tabor</t>
        </is>
      </c>
      <c r="B52" s="6" t="n">
        <v>0.92</v>
      </c>
      <c r="C52" s="7" t="inlineStr">
        <is>
          <t>frac_of_clean_metal_to_ingot</t>
        </is>
      </c>
      <c r="D52" s="7" t="inlineStr">
        <is>
          <t>ASSUMPTION</t>
        </is>
      </c>
      <c r="F52" s="7" t="inlineStr">
        <is>
          <t>scrap_grades.yaml</t>
        </is>
      </c>
      <c r="G52" s="7" t="inlineStr">
        <is>
          <t>Desk assumption: melt loss of thin, partly painted old sheet 6–10% (coating burn-off and oxidation of high surface-area feed) — no public Indian figure retrieved</t>
        </is>
      </c>
      <c r="H52" s="7" t="inlineStr">
        <is>
          <t>PENDING — confirm melt-loss range with an Indian secondary smelter disclosure or an aluminium recycling engineering reference</t>
        </is>
      </c>
      <c r="I52" s="7" t="inlineStr">
        <is>
          <t>Recovery_taint_tabor = 0.995 × 0.98 × 0.92 = 0.897. P1 recovery sensitivity: 0.90–0.94.</t>
        </is>
      </c>
    </row>
    <row r="53">
      <c r="A53" s="7" t="inlineStr">
        <is>
          <t>metal_yield_frac_tense</t>
        </is>
      </c>
      <c r="B53" s="6" t="n">
        <v>0.9399999999999999</v>
      </c>
      <c r="C53" s="7" t="inlineStr">
        <is>
          <t>frac_of_clean_metal_to_ingot</t>
        </is>
      </c>
      <c r="D53" s="7" t="inlineStr">
        <is>
          <t>ASSUMPTION</t>
        </is>
      </c>
      <c r="F53" s="7" t="inlineStr">
        <is>
          <t>scrap_grades.yaml</t>
        </is>
      </c>
      <c r="G53" s="7" t="inlineStr">
        <is>
          <t>Desk assumption: melt loss of mixed auto castings 4–7% (thicker sections, lower surface area than sheet); no insert deduction because ISRI Tense is free of iron</t>
        </is>
      </c>
      <c r="H53" s="7" t="inlineStr">
        <is>
          <t>PENDING — as metal_yield_frac_taint_tabor</t>
        </is>
      </c>
      <c r="I53" s="7" t="inlineStr">
        <is>
          <t>Recovery_tense = 0.995 × 0.98 × 0.94 = 0.917; Tense chemistry (Si, Cu) is close to ADC12/LM-series, so little re-alloying is needed. P1 recovery sensitivity: 0.92–0.95.</t>
        </is>
      </c>
    </row>
    <row r="54">
      <c r="A54" s="7" t="inlineStr">
        <is>
          <t>heavies_frac_zorba</t>
        </is>
      </c>
      <c r="B54" s="6" t="n">
        <v>0.05</v>
      </c>
      <c r="C54" s="7" t="inlineStr">
        <is>
          <t>frac_of_dry_weight</t>
        </is>
      </c>
      <c r="D54" s="7" t="inlineStr">
        <is>
          <t>ASSUMPTION</t>
        </is>
      </c>
      <c r="F54" s="7" t="inlineStr">
        <is>
          <t>scrap_grades.yaml</t>
        </is>
      </c>
      <c r="G54" s="7" t="inlineStr">
        <is>
          <t>Grade name 'Zorba 95/5' (~5% heavy non-ferrous metals), see contamination_frac_zorba</t>
        </is>
      </c>
      <c r="H54" s="7" t="inlineStr">
        <is>
          <t>PENDING — as contamination_frac_zorba</t>
        </is>
      </c>
      <c r="I54" s="7" t="inlineStr">
        <is>
          <t>Heavies are floated / hand-picked out and sold to heavy-non-ferrous buyers; CONTRACTS §5 credits them (byproduct_inr_t).</t>
        </is>
      </c>
    </row>
    <row r="55">
      <c r="A55" s="7" t="inlineStr">
        <is>
          <t>heavies_frac_taint_tabor</t>
        </is>
      </c>
      <c r="B55" s="6" t="n">
        <v>0</v>
      </c>
      <c r="C55" s="7" t="inlineStr">
        <is>
          <t>frac_of_dry_weight</t>
        </is>
      </c>
      <c r="D55" s="7" t="inlineStr">
        <is>
          <t>ASSUMPTION</t>
        </is>
      </c>
      <c r="F55" s="7" t="inlineStr">
        <is>
          <t>scrap_grades.yaml</t>
        </is>
      </c>
      <c r="G55" s="7" t="inlineStr">
        <is>
          <t>ISRI 2022 Taint/Tabor: aluminium sheet only; attachments are not a saleable heavy fraction</t>
        </is>
      </c>
      <c r="H55" s="7" t="inlineStr">
        <is>
          <t>N/A — structural</t>
        </is>
      </c>
      <c r="I55" s="7" t="inlineStr">
        <is>
          <t>No by-product credit.</t>
        </is>
      </c>
    </row>
    <row r="56">
      <c r="A56" s="7" t="inlineStr">
        <is>
          <t>heavies_frac_tense</t>
        </is>
      </c>
      <c r="B56" s="6" t="n">
        <v>0</v>
      </c>
      <c r="C56" s="7" t="inlineStr">
        <is>
          <t>frac_of_dry_weight</t>
        </is>
      </c>
      <c r="D56" s="7" t="inlineStr">
        <is>
          <t>ASSUMPTION</t>
        </is>
      </c>
      <c r="F56" s="7" t="inlineStr">
        <is>
          <t>scrap_grades.yaml</t>
        </is>
      </c>
      <c r="G56" s="7" t="inlineStr">
        <is>
          <t>ISRI 2022 Tense: aluminium castings free of iron and brass</t>
        </is>
      </c>
      <c r="H56" s="7" t="inlineStr">
        <is>
          <t>N/A — structural</t>
        </is>
      </c>
      <c r="I56" s="7" t="inlineStr">
        <is>
          <t>No by-product credit.</t>
        </is>
      </c>
    </row>
    <row r="57">
      <c r="A57" s="7" t="inlineStr">
        <is>
          <t>grade_factor_diff_zorba</t>
        </is>
      </c>
      <c r="B57" s="6" t="n">
        <v>-0.02</v>
      </c>
      <c r="C57" s="7" t="inlineStr">
        <is>
          <t>signed_diff_of_lme_3m_frac_cfr_india</t>
        </is>
      </c>
      <c r="D57" s="7" t="inlineStr">
        <is>
          <t>ASSUMPTION</t>
        </is>
      </c>
      <c r="F57" s="7" t="inlineStr">
        <is>
          <t>scrap_grades.yaml</t>
        </is>
      </c>
      <c r="G57" s="7" t="inlineStr">
        <is>
          <t>[BigMint] UK Zorba 95/5 CFR India assessments (14) and one US Zorba 95/5 deal, 24-Feb-2024 → 31-Oct-2025: median(price ÷ LME 3M(D−1) − lag-2 mix) = −0.022 (IQR −0.044 … +0.007, n=15), rounded to 0.005 (data/interim/price_evidence/grade_differentials.csv)</t>
        </is>
      </c>
      <c r="H57" s="7" t="inlineStr">
        <is>
          <t>PARTIAL 2026-09-16 — every quote traced to its cached AlCircle sentence and date-matched Westmetall 3M; no 2022 Zorba quote exists in public. Next step: 2022 Zorba 95/5 CFR India assessments (BigMint/Fastmarkets archive) to replace the cross-period assumption.</t>
        </is>
      </c>
      <c r="I57" s="7" t="inlineStr">
        <is>
          <t>Sensitivities: assessments only −0.031; article-date (D0) LME −0.033. Zorba 95/5 is not adjusted for attachments (the '95/5' name already describes ~95% aluminium / ~5% heavy non-ferrous). Read grade_factor_zorba, do not add this again.</t>
        </is>
      </c>
    </row>
    <row r="58">
      <c r="A58" s="7" t="inlineStr">
        <is>
          <t>grade_factor_diff_taint_tabor</t>
        </is>
      </c>
      <c r="B58" s="6" t="n">
        <v>-0.02</v>
      </c>
      <c r="C58" s="7" t="inlineStr">
        <is>
          <t>signed_diff_of_lme_3m_frac_cfr_india</t>
        </is>
      </c>
      <c r="D58" s="7" t="inlineStr">
        <is>
          <t>ASSUMPTION</t>
        </is>
      </c>
      <c r="F58" s="7" t="inlineStr">
        <is>
          <t>scrap_grades.yaml</t>
        </is>
      </c>
      <c r="G58" s="7" t="inlineStr">
        <is>
          <t>[BigMint] US Taint/Tabor HRB (2–3%) assessments (3) and deals (US HRB 2–3%, UAE Taint/Tabor ×2), 13-Mar-2024 → 27-Aug-2025, adjusted to ISRI-clean by ÷(1 − stated attachments): median diff −0.018 (IQR −0.058 … −0.009, n=8); UK 'Taint Tabor C/S (9–10%)' prints excluded (undefined sub-grade, inconsistent levels)</t>
        </is>
      </c>
      <c r="H58" s="7" t="inlineStr">
        <is>
          <t>PARTIAL 2026-09-16 — quotes traced to cached sentences; small sample, and the Dec-2025 HRB prints cannot be scored yet (lag-2 unit value for Feb-2026 not used). Next step: 2022 Taint/Tabor CIF India quotes.</t>
        </is>
      </c>
      <c r="I58" s="7" t="inlineStr">
        <is>
          <t>Unadjusted median −0.028; assessments only −0.015. Still CONTRADICTS the MASTER_SPEC 88–92% guide: the clean-TT CFR factor averages 0.786 in Mar–Aug 2022 on this construction.</t>
        </is>
      </c>
    </row>
    <row r="59">
      <c r="A59" s="7" t="inlineStr">
        <is>
          <t>grade_factor_diff_tense</t>
        </is>
      </c>
      <c r="B59" s="6" t="n">
        <v>-0.07000000000000001</v>
      </c>
      <c r="C59" s="7" t="inlineStr">
        <is>
          <t>signed_diff_of_lme_3m_frac_cfr_india</t>
        </is>
      </c>
      <c r="D59" s="7" t="inlineStr">
        <is>
          <t>ASSUMPTION</t>
        </is>
      </c>
      <c r="F59" s="7" t="inlineStr">
        <is>
          <t>scrap_grades.yaml</t>
        </is>
      </c>
      <c r="G59" s="7" t="inlineStr">
        <is>
          <t>[BigMint] UAE Tense (benchmark labelled 8–9% attachments) and US Tense (labelled 6–7%) assessments (25) plus 3 deals (US 5–7%, Europe 2%, UK 6%), 14-Feb-2024 → 31-Oct-2025, adjusted to ISRI-clean ÷(1 − attachments): median diff −0.068 (IQR −0.082 … −0.024, n=28), rounded to 0.005</t>
        </is>
      </c>
      <c r="H59" s="7" t="inlineStr">
        <is>
          <t>PARTIAL 2026-09-16 — quotes traced to cached sentences; where an article omits the benchmark's attachment label the series label from other weeks is applied (attach_source=SERIES in the evidence table). Next step: 2022 Tense CFR India assessments.</t>
        </is>
      </c>
      <c r="I59" s="7" t="inlineStr">
        <is>
          <t>Unadjusted (as-quoted, with attachments) median −0.124. The attachment adjustment assumes a buyer pays for aluminium content only; iron inserts have some value, so the clean-equivalent may be slightly overstated.</t>
        </is>
      </c>
    </row>
    <row r="60">
      <c r="A60" s="7" t="inlineStr">
        <is>
          <t>conversion_cost_sensitivity_inr_t_ingot</t>
        </is>
      </c>
      <c r="B60" s="6" t="inlineStr">
        <is>
          <t>8000, 12000, 18000, 30000</t>
        </is>
      </c>
      <c r="C60" s="7" t="inlineStr">
        <is>
          <t>inr_per_mt_ingot</t>
        </is>
      </c>
      <c r="D60" s="7" t="inlineStr">
        <is>
          <t>ASSUMPTION</t>
        </is>
      </c>
      <c r="F60" s="7" t="inlineStr">
        <is>
          <t>commercial.yaml</t>
        </is>
      </c>
      <c r="G60" s="7" t="inlineStr">
        <is>
          <t>conversion_cost_inr_t range (8–18k, 2024 spreads) plus a CRISIL-consistent upper case (~15% non-scrap cost on ~INR 200k/t ingot)</t>
        </is>
      </c>
      <c r="H60" s="7" t="inlineStr">
        <is>
          <t>N/A — sensitivity grid</t>
        </is>
      </c>
      <c r="I60" s="7" t="inlineStr">
        <is>
          <t>P1 must report window_open for each value (named sensitivity).</t>
        </is>
      </c>
    </row>
    <row r="61">
      <c r="A61" s="7" t="inlineStr">
        <is>
          <t>domestic_anchor_premium_sensitivity_inr_t</t>
        </is>
      </c>
      <c r="B61" s="6" t="inlineStr">
        <is>
          <t>-55000, -52000, -9000, 13000</t>
        </is>
      </c>
      <c r="C61" s="7" t="inlineStr">
        <is>
          <t>inr_per_mt</t>
        </is>
      </c>
      <c r="D61" s="7" t="inlineStr">
        <is>
          <t>ASSUMPTION</t>
        </is>
      </c>
      <c r="F61" s="7" t="inlineStr">
        <is>
          <t>commercial.yaml</t>
        </is>
      </c>
      <c r="G61" s="7" t="inlineStr">
        <is>
          <t>CRISIL-consistent low case (−25% of ~INR 222k), evidence minimum (−52,068), base median, evidence maximum (+12,861), rounded</t>
        </is>
      </c>
      <c r="H61" s="7" t="inlineStr">
        <is>
          <t>N/A — sensitivity grid built from the domestic_anchor_premium_inr_t evidence</t>
        </is>
      </c>
      <c r="I61" s="7" t="inlineStr">
        <is>
          <t>P1 publishes the parity window for each value.</t>
        </is>
      </c>
    </row>
    <row r="62">
      <c r="A62" s="7" t="inlineStr">
        <is>
          <t>parity_goods_fx_basis</t>
        </is>
      </c>
      <c r="B62" s="6" t="inlineStr">
        <is>
          <t>usdinr_fwd_1m</t>
        </is>
      </c>
      <c r="C62" s="7" t="inlineStr">
        <is>
          <t>panel_column_name</t>
        </is>
      </c>
      <c r="D62" s="7" t="inlineStr">
        <is>
          <t>ASSUMPTION</t>
        </is>
      </c>
      <c r="F62" s="7" t="inlineStr">
        <is>
          <t>parity.yaml</t>
        </is>
      </c>
      <c r="G62" s="7" t="inlineStr">
        <is>
          <t>CONTRACTS §5 goods_inr_t: 'market spot (P1 may use usdinr_fwd_* matched to the LC payment date instead, and must say which)'. Column from data/processed/market_daily.csv (PROXY, covered-interest-parity forward).</t>
        </is>
      </c>
      <c r="H62" s="7" t="inlineStr">
        <is>
          <t>N/A — modelling choice; the spot alternative is published as sensitivity case goods_fx_spot</t>
        </is>
      </c>
      <c r="I62" s="7" t="inlineStr">
        <is>
          <t>Goods are paid under a sight LC on document presentation, ~7 days after the B/L (logistics.yaml finance_days_* notes), and the B/L falls inside the 15-day shipment window (typical_laycan_days) after the parity week — so the USD payment is roughly one month after the decision on both lanes. An importer that fixes the rupee cost on the decision date buys USD one month forward; the domestic anchor is also a forward price (the MCX contract matched to the sale date), so both legs are valued at prices lockable on the same day. Pricing goods at spot would book the ~1-month forward premium (≈ INR 340–610/t of scrap in the Mar–Aug 2022 weeks) as margin. finance_inr_t then covers payment → buyer receipt only, so no time period is financed twice.</t>
        </is>
      </c>
    </row>
    <row r="63">
      <c r="A63" s="7" t="inlineStr">
        <is>
          <t>mplus1_bl_month_offset_months</t>
        </is>
      </c>
      <c r="B63" s="6" t="n">
        <v>0</v>
      </c>
      <c r="C63" s="7" t="inlineStr">
        <is>
          <t>months_after_parity_week_month</t>
        </is>
      </c>
      <c r="D63" s="7" t="inlineStr">
        <is>
          <t>ASSUMPTION</t>
        </is>
      </c>
      <c r="F63" s="7" t="inlineStr">
        <is>
          <t>parity.yaml</t>
        </is>
      </c>
      <c r="G63" s="7" t="inlineStr">
        <is>
          <t>Desk convention for Table 1.7(a): a cargo contracted in the parity week loads within the 15-day shipment window (typical_laycan_days), so its B/L month is taken as the parity week's month; the M+1 quotational period is the next calendar month (exchange.yaml lme_m1_pricing_rule)</t>
        </is>
      </c>
      <c r="H63" s="7" t="inlineStr">
        <is>
          <t>N/A — convention</t>
        </is>
      </c>
      <c r="I63" s="7" t="inlineStr">
        <is>
          <t>A contract fixed in the last week of a month would often B/L the following month; the term-structure effect then shifts one month later, not in sign.</t>
        </is>
      </c>
    </row>
    <row r="66">
      <c r="A66" s="4" t="inlineStr">
        <is>
          <t>2. Dated parameters — the register's own breakpoints; every sheet resolves them by formula</t>
        </is>
      </c>
    </row>
    <row r="67">
      <c r="A67" s="3" t="inlineStr">
        <is>
          <t>grade_factor_zorba  ·  interp = linear  ·  frac_of_lme_3m_cfr_india  ·  ASSUMPTION  ·  grade_factor_mix (PROXY) + grade_factor_diff_zorba (ASSUMPTION); construction in file header. Desk grade = Zorba 95/5.</t>
        </is>
      </c>
    </row>
    <row r="68">
      <c r="A68" s="3" t="inlineStr">
        <is>
          <t xml:space="preserve">    verify: PARTIAL 2026-09-16 — the mix shape is VERIFIED official data; the level depends on a 2024–25 differential applied to 2022. Next step: as grade_factor_diff_zorba.</t>
        </is>
      </c>
    </row>
    <row r="69" ht="30" customHeight="1">
      <c r="A69" s="5" t="inlineStr">
        <is>
          <t>date</t>
        </is>
      </c>
      <c r="B69" s="5" t="inlineStr">
        <is>
          <t>value</t>
        </is>
      </c>
    </row>
    <row r="70">
      <c r="A70" s="11" t="n">
        <v>44545</v>
      </c>
      <c r="B70" s="6" t="n">
        <v>0.8159999999999999</v>
      </c>
    </row>
    <row r="71">
      <c r="A71" s="11" t="n">
        <v>44576</v>
      </c>
      <c r="B71" s="6" t="n">
        <v>0.747</v>
      </c>
    </row>
    <row r="72">
      <c r="A72" s="11" t="n">
        <v>44607</v>
      </c>
      <c r="B72" s="6" t="n">
        <v>0.751</v>
      </c>
    </row>
    <row r="73">
      <c r="A73" s="11" t="n">
        <v>44635</v>
      </c>
      <c r="B73" s="6" t="n">
        <v>0.6820000000000001</v>
      </c>
    </row>
    <row r="74">
      <c r="A74" s="11" t="n">
        <v>44666</v>
      </c>
      <c r="B74" s="6" t="n">
        <v>0.744</v>
      </c>
    </row>
    <row r="75">
      <c r="A75" s="11" t="n">
        <v>44696</v>
      </c>
      <c r="B75" s="6" t="n">
        <v>0.801</v>
      </c>
    </row>
    <row r="76">
      <c r="A76" s="11" t="n">
        <v>44727</v>
      </c>
      <c r="B76" s="6" t="n">
        <v>0.846</v>
      </c>
    </row>
    <row r="77">
      <c r="A77" s="11" t="n">
        <v>44757</v>
      </c>
      <c r="B77" s="6" t="n">
        <v>0.855</v>
      </c>
    </row>
    <row r="78">
      <c r="A78" s="11" t="n">
        <v>44788</v>
      </c>
      <c r="B78" s="6" t="n">
        <v>0.79</v>
      </c>
    </row>
    <row r="79">
      <c r="A79" s="11" t="n">
        <v>44819</v>
      </c>
      <c r="B79" s="6" t="n">
        <v>0.87</v>
      </c>
    </row>
    <row r="80">
      <c r="A80" s="3" t="inlineStr">
        <is>
          <t>grade_factor_taint_tabor  ·  interp = linear  ·  frac_of_lme_3m_cfr_india  ·  ASSUMPTION  ·  grade_factor_mix (PROXY) + grade_factor_diff_taint_tabor (ASSUMPTION); ISRI-clean Taint/Tabor</t>
        </is>
      </c>
    </row>
    <row r="81">
      <c r="A81" s="3" t="inlineStr">
        <is>
          <t xml:space="preserve">    verify: PARTIAL 2026-09-16 — as grade_factor_zorba. CONTRADICTS the MASTER_SPEC guide of 88–92% for Taint/Tabor: no retrieved evidence supports it.</t>
        </is>
      </c>
    </row>
    <row r="82" ht="30" customHeight="1">
      <c r="A82" s="5" t="inlineStr">
        <is>
          <t>date</t>
        </is>
      </c>
      <c r="B82" s="5" t="inlineStr">
        <is>
          <t>value</t>
        </is>
      </c>
    </row>
    <row r="83">
      <c r="A83" s="11" t="n">
        <v>44545</v>
      </c>
      <c r="B83" s="6" t="n">
        <v>0.8159999999999999</v>
      </c>
    </row>
    <row r="84">
      <c r="A84" s="11" t="n">
        <v>44576</v>
      </c>
      <c r="B84" s="6" t="n">
        <v>0.747</v>
      </c>
    </row>
    <row r="85">
      <c r="A85" s="11" t="n">
        <v>44607</v>
      </c>
      <c r="B85" s="6" t="n">
        <v>0.751</v>
      </c>
    </row>
    <row r="86">
      <c r="A86" s="11" t="n">
        <v>44635</v>
      </c>
      <c r="B86" s="6" t="n">
        <v>0.6820000000000001</v>
      </c>
    </row>
    <row r="87">
      <c r="A87" s="11" t="n">
        <v>44666</v>
      </c>
      <c r="B87" s="6" t="n">
        <v>0.744</v>
      </c>
    </row>
    <row r="88">
      <c r="A88" s="11" t="n">
        <v>44696</v>
      </c>
      <c r="B88" s="6" t="n">
        <v>0.801</v>
      </c>
    </row>
    <row r="89">
      <c r="A89" s="11" t="n">
        <v>44727</v>
      </c>
      <c r="B89" s="6" t="n">
        <v>0.846</v>
      </c>
    </row>
    <row r="90">
      <c r="A90" s="11" t="n">
        <v>44757</v>
      </c>
      <c r="B90" s="6" t="n">
        <v>0.855</v>
      </c>
    </row>
    <row r="91">
      <c r="A91" s="11" t="n">
        <v>44788</v>
      </c>
      <c r="B91" s="6" t="n">
        <v>0.79</v>
      </c>
    </row>
    <row r="92">
      <c r="A92" s="11" t="n">
        <v>44819</v>
      </c>
      <c r="B92" s="6" t="n">
        <v>0.87</v>
      </c>
    </row>
    <row r="93">
      <c r="A93" s="3" t="inlineStr">
        <is>
          <t>grade_factor_tense  ·  interp = linear  ·  frac_of_lme_3m_cfr_india  ·  ASSUMPTION  ·  grade_factor_mix (PROXY) + grade_factor_diff_tense (ASSUMPTION); ISRI-clean Tense</t>
        </is>
      </c>
    </row>
    <row r="94">
      <c r="A94" s="3" t="inlineStr">
        <is>
          <t xml:space="preserve">    verify: PARTIAL 2026-09-16 — as grade_factor_zorba.</t>
        </is>
      </c>
    </row>
    <row r="95" ht="30" customHeight="1">
      <c r="A95" s="5" t="inlineStr">
        <is>
          <t>date</t>
        </is>
      </c>
      <c r="B95" s="5" t="inlineStr">
        <is>
          <t>value</t>
        </is>
      </c>
    </row>
    <row r="96">
      <c r="A96" s="11" t="n">
        <v>44545</v>
      </c>
      <c r="B96" s="6" t="n">
        <v>0.766</v>
      </c>
    </row>
    <row r="97">
      <c r="A97" s="11" t="n">
        <v>44576</v>
      </c>
      <c r="B97" s="6" t="n">
        <v>0.697</v>
      </c>
    </row>
    <row r="98">
      <c r="A98" s="11" t="n">
        <v>44607</v>
      </c>
      <c r="B98" s="6" t="n">
        <v>0.701</v>
      </c>
    </row>
    <row r="99">
      <c r="A99" s="11" t="n">
        <v>44635</v>
      </c>
      <c r="B99" s="6" t="n">
        <v>0.632</v>
      </c>
    </row>
    <row r="100">
      <c r="A100" s="11" t="n">
        <v>44666</v>
      </c>
      <c r="B100" s="6" t="n">
        <v>0.694</v>
      </c>
    </row>
    <row r="101">
      <c r="A101" s="11" t="n">
        <v>44696</v>
      </c>
      <c r="B101" s="6" t="n">
        <v>0.751</v>
      </c>
    </row>
    <row r="102">
      <c r="A102" s="11" t="n">
        <v>44727</v>
      </c>
      <c r="B102" s="6" t="n">
        <v>0.796</v>
      </c>
    </row>
    <row r="103">
      <c r="A103" s="11" t="n">
        <v>44757</v>
      </c>
      <c r="B103" s="6" t="n">
        <v>0.805</v>
      </c>
    </row>
    <row r="104">
      <c r="A104" s="11" t="n">
        <v>44788</v>
      </c>
      <c r="B104" s="6" t="n">
        <v>0.74</v>
      </c>
    </row>
    <row r="105">
      <c r="A105" s="11" t="n">
        <v>44819</v>
      </c>
      <c r="B105" s="6" t="n">
        <v>0.82</v>
      </c>
    </row>
    <row r="106">
      <c r="A106" s="3" t="inlineStr">
        <is>
          <t>grade_factor_mix_pit  ·  interp = linear  ·  frac_of_lme_3m_cif_india  ·  ASSUMPTION  ·  Point-in-time variant: UV(m−1) ÷ mean LME 3M(m−3), i.e. the latest lag-2 ratio a desk could compute during month m</t>
        </is>
      </c>
    </row>
    <row r="107">
      <c r="A107" s="3" t="inlineStr">
        <is>
          <t xml:space="preserve">    verify: PENDING — the ~1-month DGCIS release lag behind this construction is assumed, not verified. Next step: check TRADESTAT/DGCIS release calendar for 8-digit monthly import data in 2022.</t>
        </is>
      </c>
    </row>
    <row r="108" ht="30" customHeight="1">
      <c r="A108" s="5" t="inlineStr">
        <is>
          <t>date</t>
        </is>
      </c>
      <c r="B108" s="5" t="inlineStr">
        <is>
          <t>value</t>
        </is>
      </c>
    </row>
    <row r="109">
      <c r="A109" s="11" t="n">
        <v>44545</v>
      </c>
      <c r="B109" s="6" t="n">
        <v>0.789</v>
      </c>
    </row>
    <row r="110">
      <c r="A110" s="11" t="n">
        <v>44576</v>
      </c>
      <c r="B110" s="6" t="n">
        <v>0.759</v>
      </c>
    </row>
    <row r="111">
      <c r="A111" s="11" t="n">
        <v>44607</v>
      </c>
      <c r="B111" s="6" t="n">
        <v>0.856</v>
      </c>
    </row>
    <row r="112">
      <c r="A112" s="11" t="n">
        <v>44635</v>
      </c>
      <c r="B112" s="6" t="n">
        <v>0.836</v>
      </c>
    </row>
    <row r="113">
      <c r="A113" s="11" t="n">
        <v>44666</v>
      </c>
      <c r="B113" s="6" t="n">
        <v>0.767</v>
      </c>
    </row>
    <row r="114">
      <c r="A114" s="11" t="n">
        <v>44696</v>
      </c>
      <c r="B114" s="6" t="n">
        <v>0.771</v>
      </c>
    </row>
    <row r="115">
      <c r="A115" s="11" t="n">
        <v>44727</v>
      </c>
      <c r="B115" s="6" t="n">
        <v>0.702</v>
      </c>
    </row>
    <row r="116">
      <c r="A116" s="11" t="n">
        <v>44757</v>
      </c>
      <c r="B116" s="6" t="n">
        <v>0.764</v>
      </c>
    </row>
    <row r="117">
      <c r="A117" s="11" t="n">
        <v>44788</v>
      </c>
      <c r="B117" s="6" t="n">
        <v>0.821</v>
      </c>
    </row>
    <row r="118">
      <c r="A118" s="11" t="n">
        <v>44819</v>
      </c>
      <c r="B118" s="6" t="n">
        <v>0.866</v>
      </c>
    </row>
    <row r="119">
      <c r="A119" s="3" t="inlineStr">
        <is>
          <t>wc_rate_inr_pa  ·  interp = step  ·  rate_pa  ·  ASSUMPTION  ·  sbi_mclr_1y_pa (DIRECT) + wc_rate_spread_over_mclr_pa (ASSUMPTION); flag = weakest component</t>
        </is>
      </c>
    </row>
    <row r="120">
      <c r="A120" s="3" t="inlineStr">
        <is>
          <t xml:space="preserve">    verify: N/A — derived path; components verified/assumed as stated (tests assert path = MCLR + spread)</t>
        </is>
      </c>
    </row>
    <row r="121" ht="30" customHeight="1">
      <c r="A121" s="5" t="inlineStr">
        <is>
          <t>date</t>
        </is>
      </c>
      <c r="B121" s="5" t="inlineStr">
        <is>
          <t>value</t>
        </is>
      </c>
    </row>
    <row r="122">
      <c r="A122" s="11" t="n">
        <v>44545</v>
      </c>
      <c r="B122" s="6" t="n">
        <v>0.095</v>
      </c>
    </row>
    <row r="123">
      <c r="A123" s="11" t="n">
        <v>44666</v>
      </c>
      <c r="B123" s="6" t="n">
        <v>0.096</v>
      </c>
    </row>
    <row r="124">
      <c r="A124" s="11" t="n">
        <v>44696</v>
      </c>
      <c r="B124" s="6" t="n">
        <v>0.097</v>
      </c>
    </row>
    <row r="125">
      <c r="A125" s="11" t="n">
        <v>44727</v>
      </c>
      <c r="B125" s="6" t="n">
        <v>0.099</v>
      </c>
    </row>
    <row r="126">
      <c r="A126" s="11" t="n">
        <v>44757</v>
      </c>
      <c r="B126" s="6" t="n">
        <v>0.1</v>
      </c>
    </row>
    <row r="127">
      <c r="A127" s="11" t="n">
        <v>44788</v>
      </c>
      <c r="B127" s="6" t="n">
        <v>0.102</v>
      </c>
    </row>
    <row r="128">
      <c r="A128" s="11" t="n">
        <v>44849</v>
      </c>
      <c r="B128" s="6" t="n">
        <v>0.1045</v>
      </c>
    </row>
    <row r="129">
      <c r="A129" s="11" t="n">
        <v>44880</v>
      </c>
      <c r="B129" s="6" t="n">
        <v>0.1055</v>
      </c>
    </row>
    <row r="130">
      <c r="A130" s="11" t="n">
        <v>44910</v>
      </c>
      <c r="B130" s="6" t="n">
        <v>0.108</v>
      </c>
    </row>
    <row r="131">
      <c r="A131" s="3" t="inlineStr">
        <is>
          <t>customs_usdinr_import  ·  interp = step  ·  inr_per_usd  ·  DIRECT  ·  CBIC exchange-rate notifications under s.14 Customs Act, Schedule I 'US Dollar — (a) For Imported Goods', each effective the day after issue as stated in its text (cached data/raw/regulatory/cbic_exchange_rates_2022/csnt&lt;N&gt;-2022.pdf, listed on https://taxinformation.cbic.gov.in/content-page/explore-notification, Customs &gt; Non Tariff &gt; 2022).</t>
        </is>
      </c>
    </row>
    <row r="132">
      <c r="A132" s="3" t="inlineStr">
        <is>
          <t xml:space="preserve">    verify: VERIFIED 2026-09-16 — all 15 USD-changing notifications Feb–Sep 2022 read. The interleaved amendments 16/2022, 36/2022, 38/2022, 42/2022, 53/2022, 54/2022, 83/2022 and 85/2022 were also read: they change only Turkish lira, Norwegian krone, rand, Swiss franc or sterling, never the USD rate.</t>
        </is>
      </c>
    </row>
    <row r="133" ht="30" customHeight="1">
      <c r="A133" s="5" t="inlineStr">
        <is>
          <t>date</t>
        </is>
      </c>
      <c r="B133" s="5" t="inlineStr">
        <is>
          <t>value</t>
        </is>
      </c>
    </row>
    <row r="134">
      <c r="A134" s="11" t="n">
        <v>44610</v>
      </c>
      <c r="B134" s="6" t="n">
        <v>76.05</v>
      </c>
    </row>
    <row r="135">
      <c r="A135" s="11" t="n">
        <v>44624</v>
      </c>
      <c r="B135" s="6" t="n">
        <v>76.65000000000001</v>
      </c>
    </row>
    <row r="136">
      <c r="A136" s="11" t="n">
        <v>44638</v>
      </c>
      <c r="B136" s="6" t="n">
        <v>76.90000000000001</v>
      </c>
    </row>
    <row r="137">
      <c r="A137" s="11" t="n">
        <v>44659</v>
      </c>
      <c r="B137" s="6" t="n">
        <v>76.8</v>
      </c>
    </row>
    <row r="138">
      <c r="A138" s="11" t="n">
        <v>44673</v>
      </c>
      <c r="B138" s="6" t="n">
        <v>77.15000000000001</v>
      </c>
    </row>
    <row r="139">
      <c r="A139" s="11" t="n">
        <v>44687</v>
      </c>
      <c r="B139" s="6" t="n">
        <v>77.05</v>
      </c>
    </row>
    <row r="140">
      <c r="A140" s="11" t="n">
        <v>44701</v>
      </c>
      <c r="B140" s="6" t="n">
        <v>78.59999999999999</v>
      </c>
    </row>
    <row r="141">
      <c r="A141" s="11" t="n">
        <v>44715</v>
      </c>
      <c r="B141" s="6" t="n">
        <v>78.5</v>
      </c>
    </row>
    <row r="142">
      <c r="A142" s="11" t="n">
        <v>44729</v>
      </c>
      <c r="B142" s="6" t="n">
        <v>78.95</v>
      </c>
    </row>
    <row r="143">
      <c r="A143" s="11" t="n">
        <v>44750</v>
      </c>
      <c r="B143" s="6" t="n">
        <v>79.90000000000001</v>
      </c>
    </row>
    <row r="144">
      <c r="A144" s="11" t="n">
        <v>44764</v>
      </c>
      <c r="B144" s="6" t="n">
        <v>80.95</v>
      </c>
    </row>
    <row r="145">
      <c r="A145" s="11" t="n">
        <v>44778</v>
      </c>
      <c r="B145" s="6" t="n">
        <v>80.25</v>
      </c>
    </row>
    <row r="146">
      <c r="A146" s="11" t="n">
        <v>44792</v>
      </c>
      <c r="B146" s="6" t="n">
        <v>80.5</v>
      </c>
    </row>
    <row r="147">
      <c r="A147" s="11" t="n">
        <v>44806</v>
      </c>
      <c r="B147" s="6" t="n">
        <v>80.45</v>
      </c>
    </row>
    <row r="148">
      <c r="A148" s="11" t="n">
        <v>44820</v>
      </c>
      <c r="B148" s="6" t="n">
        <v>80.40000000000001</v>
      </c>
    </row>
    <row r="150">
      <c r="A150" s="4" t="inlineStr">
        <is>
          <t>3. Workbook constants — model structure and check tolerances, not market observations</t>
        </is>
      </c>
    </row>
    <row r="152" ht="30" customHeight="1">
      <c r="A152" s="5" t="inlineStr">
        <is>
          <t>name</t>
        </is>
      </c>
      <c r="B152" s="5" t="inlineStr">
        <is>
          <t>value</t>
        </is>
      </c>
      <c r="C152" s="5" t="inlineStr">
        <is>
          <t>unit</t>
        </is>
      </c>
      <c r="D152" s="5" t="inlineStr">
        <is>
          <t>meaning</t>
        </is>
      </c>
    </row>
    <row r="153">
      <c r="A153" s="7" t="inlineStr">
        <is>
          <t>window_start</t>
        </is>
      </c>
      <c r="B153" s="12" t="n">
        <v>44621</v>
      </c>
      <c r="C153" s="7" t="inlineStr">
        <is>
          <t>date</t>
        </is>
      </c>
      <c r="D153" s="7" t="inlineStr">
        <is>
          <t>CONTRACTS §3 headline window start (desk.WINDOW_START)</t>
        </is>
      </c>
    </row>
    <row r="154">
      <c r="A154" s="7" t="inlineStr">
        <is>
          <t>window_end</t>
        </is>
      </c>
      <c r="B154" s="12" t="n">
        <v>44804</v>
      </c>
      <c r="C154" s="7" t="inlineStr">
        <is>
          <t>date</t>
        </is>
      </c>
      <c r="D154" s="7" t="inlineStr">
        <is>
          <t>CONTRACTS §3 headline window end (desk.WINDOW_END)</t>
        </is>
      </c>
    </row>
    <row r="155">
      <c r="A155" s="7" t="inlineStr">
        <is>
          <t>horizon_end</t>
        </is>
      </c>
      <c r="B155" s="12" t="n">
        <v>44865</v>
      </c>
      <c r="C155" s="7" t="inlineStr">
        <is>
          <t>date</t>
        </is>
      </c>
      <c r="D155" s="7" t="inlineStr">
        <is>
          <t>CONTRACTS §7 engine horizon (desk.HORIZON_END)</t>
        </is>
      </c>
    </row>
    <row r="156">
      <c r="A156" s="7" t="inlineStr">
        <is>
          <t>conv_step_5a</t>
        </is>
      </c>
      <c r="B156" s="6" t="n">
        <v>18000</v>
      </c>
      <c r="C156" s="7" t="inlineStr">
        <is>
          <t>inr_per_mt_ingot</t>
        </is>
      </c>
      <c r="D156" s="7" t="inlineStr">
        <is>
          <t>CONTRACTS §5a case 3: conversion one grid step above base</t>
        </is>
      </c>
    </row>
    <row r="157">
      <c r="A157" s="7" t="inlineStr">
        <is>
          <t>grid_tonnes_mt</t>
        </is>
      </c>
      <c r="B157" s="6" t="n">
        <v>1000</v>
      </c>
      <c r="C157" s="7" t="inlineStr">
        <is>
          <t>mt</t>
        </is>
      </c>
      <c r="D157" s="7" t="inlineStr">
        <is>
          <t>MASTER_SPEC Table 1.5 grids are quoted on 1,000 MT</t>
        </is>
      </c>
    </row>
    <row r="158">
      <c r="A158" s="7" t="inlineStr">
        <is>
          <t>day_count_inr</t>
        </is>
      </c>
      <c r="B158" s="6" t="n">
        <v>365</v>
      </c>
      <c r="C158" s="7" t="inlineStr">
        <is>
          <t>days</t>
        </is>
      </c>
      <c r="D158" s="7" t="inlineStr">
        <is>
          <t>desk.units.DAY_COUNT_INR — INR ACT/365</t>
        </is>
      </c>
    </row>
    <row r="159">
      <c r="A159" s="7" t="inlineStr">
        <is>
          <t>day_count_usd</t>
        </is>
      </c>
      <c r="B159" s="6" t="n">
        <v>360</v>
      </c>
      <c r="C159" s="7" t="inlineStr">
        <is>
          <t>days</t>
        </is>
      </c>
      <c r="D159" s="7" t="inlineStr">
        <is>
          <t>desk.units.DAY_COUNT_USD — USD ACT/360</t>
        </is>
      </c>
    </row>
    <row r="160">
      <c r="A160" s="7" t="inlineStr">
        <is>
          <t>kg_per_mt</t>
        </is>
      </c>
      <c r="B160" s="6" t="n">
        <v>1000</v>
      </c>
      <c r="C160" s="7" t="inlineStr">
        <is>
          <t>kg</t>
        </is>
      </c>
      <c r="D160" s="7" t="inlineStr">
        <is>
          <t>desk.units.KG_PER_MT</t>
        </is>
      </c>
    </row>
    <row r="161">
      <c r="A161" s="7" t="inlineStr">
        <is>
          <t>tol_parity_inr_t</t>
        </is>
      </c>
      <c r="B161" s="6" t="n">
        <v>1</v>
      </c>
      <c r="C161" s="7" t="inlineStr">
        <is>
          <t>inr_per_mt</t>
        </is>
      </c>
      <c r="D161" s="7" t="inlineStr">
        <is>
          <t>Checks tolerance: ₹1 per tonne on every parity line</t>
        </is>
      </c>
    </row>
    <row r="162">
      <c r="A162" s="7" t="inlineStr">
        <is>
          <t>tol_trade_inr</t>
        </is>
      </c>
      <c r="B162" s="6" t="n">
        <v>10</v>
      </c>
      <c r="C162" s="7" t="inlineStr">
        <is>
          <t>inr</t>
        </is>
      </c>
      <c r="D162" s="7" t="inlineStr">
        <is>
          <t>Checks tolerance: ₹10 per trade on MTM and cumulative P&amp;L</t>
        </is>
      </c>
    </row>
    <row r="163">
      <c r="A163" s="7" t="inlineStr">
        <is>
          <t>tol_grid_inr</t>
        </is>
      </c>
      <c r="B163" s="6" t="n">
        <v>10</v>
      </c>
      <c r="C163" s="7" t="inlineStr">
        <is>
          <t>inr</t>
        </is>
      </c>
      <c r="D163" s="7" t="inlineStr">
        <is>
          <t>Checks tolerance: ₹10 on a 1,000 MT sensitivity grid cell</t>
        </is>
      </c>
    </row>
    <row r="164">
      <c r="A164" s="7" t="inlineStr">
        <is>
          <t>tol_cashflow_inr</t>
        </is>
      </c>
      <c r="B164" s="6" t="n">
        <v>1</v>
      </c>
      <c r="C164" s="7" t="inlineStr">
        <is>
          <t>inr</t>
        </is>
      </c>
      <c r="D164" s="7" t="inlineStr">
        <is>
          <t>Checks tolerance: ₹1 per cash-ledger row (the published CSV rounds amount_ccy to 2 dp, so a re-derived INR amount cannot tie closer)</t>
        </is>
      </c>
    </row>
    <row r="165">
      <c r="A165" s="7" t="inlineStr">
        <is>
          <t>tol_mcx_inr</t>
        </is>
      </c>
      <c r="B165" s="6" t="n">
        <v>1</v>
      </c>
      <c r="C165" s="7" t="inlineStr">
        <is>
          <t>inr</t>
        </is>
      </c>
      <c r="D165" s="7" t="inlineStr">
        <is>
          <t>Checks tolerance: ₹1 per MCX margin row. The engine marks a futures line at the import-parity price it recomputes, not at the panel column the CSV rounds to 4 dp, so the workbook can follow it to the paisa (design D4)</t>
        </is>
      </c>
    </row>
    <row r="166">
      <c r="A166" s="7" t="inlineStr">
        <is>
          <t>tol_usd_t</t>
        </is>
      </c>
      <c r="B166" s="6" t="n">
        <v>0.01</v>
      </c>
      <c r="C166" s="7" t="inlineStr">
        <is>
          <t>usd_per_mt</t>
        </is>
      </c>
      <c r="D166" s="7" t="inlineStr">
        <is>
          <t>Checks tolerance: USD 0.01/t on term-structure prices</t>
        </is>
      </c>
    </row>
    <row r="169">
      <c r="A169" s="4" t="inlineStr">
        <is>
          <t>4. Phase 3 book parameters served from code, not from the register</t>
        </is>
      </c>
    </row>
    <row r="170">
      <c r="A170" s="3" t="inlineStr">
        <is>
          <t>`config/params/book.yaml` does not exist yet, so `desk.mtm.constants.BOOK_PARAM_FALLBACKS` supplies these (docs/design/30_position_model.md §14). They are shown separately so a code default can never be mistaken for a registered assumption; `pnl_controls.csv` lists every one the engine actually used.</t>
        </is>
      </c>
    </row>
    <row r="172" ht="30" customHeight="1">
      <c r="A172" s="5" t="inlineStr">
        <is>
          <t>key</t>
        </is>
      </c>
      <c r="B172" s="5" t="inlineStr">
        <is>
          <t>value</t>
        </is>
      </c>
      <c r="C172" s="5" t="inlineStr">
        <is>
          <t>unit</t>
        </is>
      </c>
      <c r="D172" s="5" t="inlineStr">
        <is>
          <t>flag</t>
        </is>
      </c>
      <c r="E172" s="5" t="inlineStr">
        <is>
          <t>verify</t>
        </is>
      </c>
      <c r="F172" s="5" t="inlineStr">
        <is>
          <t>source</t>
        </is>
      </c>
      <c r="G172" s="5" t="inlineStr">
        <is>
          <t>note</t>
        </is>
      </c>
    </row>
    <row r="173">
      <c r="A173" s="7" t="inlineStr">
        <is>
          <t>mcx_slippage_ticks</t>
        </is>
      </c>
      <c r="B173" s="6" t="n">
        <v>2</v>
      </c>
      <c r="C173" s="7" t="inlineStr">
        <is>
          <t>ticks</t>
        </is>
      </c>
      <c r="D173" s="7" t="inlineStr">
        <is>
          <t>ASSUMPTION</t>
        </is>
      </c>
      <c r="E173" s="7" t="inlineStr">
        <is>
          <t>N/A</t>
        </is>
      </c>
      <c r="F173" s="7" t="inlineStr">
        <is>
          <t>docs/design/30_position_model.md §14 (config/params/book.yaml not present)</t>
        </is>
      </c>
      <c r="G173" s="7" t="inlineStr">
        <is>
          <t>execution against the settle on a thin contract</t>
        </is>
      </c>
    </row>
    <row r="174">
      <c r="A174" s="7" t="inlineStr">
        <is>
          <t>mcx_txn_cost_frac</t>
        </is>
      </c>
      <c r="B174" s="6" t="n">
        <v>0.0003</v>
      </c>
      <c r="C174" s="7" t="inlineStr">
        <is>
          <t>frac_of_contract_value</t>
        </is>
      </c>
      <c r="D174" s="7" t="inlineStr">
        <is>
          <t>ASSUMPTION</t>
        </is>
      </c>
      <c r="E174" s="7" t="inlineStr">
        <is>
          <t>PENDING — MCX transaction-charge circular and Finance Act 2013 Ch. VII</t>
        </is>
      </c>
      <c r="F174" s="7" t="inlineStr">
        <is>
          <t>docs/design/30_position_model.md §14 (config/params/book.yaml not present)</t>
        </is>
      </c>
      <c r="G174" s="7" t="inlineStr">
        <is>
          <t>one combined charge for brokerage, exchange transaction charges, GST on them and the Commodity Transaction Tax on the sell side; deliberately un-decomposed rather than state a remembered rate (CONTRACTS §1.2)</t>
        </is>
      </c>
    </row>
    <row r="175">
      <c r="A175" s="7" t="inlineStr">
        <is>
          <t>lc_sight_payment_lag_days</t>
        </is>
      </c>
      <c r="B175" s="6" t="n">
        <v>7</v>
      </c>
      <c r="C175" s="7" t="inlineStr">
        <is>
          <t>days_after_bl</t>
        </is>
      </c>
      <c r="D175" s="7" t="inlineStr">
        <is>
          <t>ASSUMPTION</t>
        </is>
      </c>
      <c r="E175" s="7" t="inlineStr">
        <is>
          <t>N/A</t>
        </is>
      </c>
      <c r="F175" s="7" t="inlineStr">
        <is>
          <t>docs/design/30_position_model.md §14 (config/params/book.yaml not present)</t>
        </is>
      </c>
      <c r="G175" s="7" t="inlineStr">
        <is>
          <t>the document-presentation and payment timeline in the finance_days_jea_nsa note (supplier paid ~day 7)</t>
        </is>
      </c>
    </row>
    <row r="176">
      <c r="A176" s="7" t="inlineStr">
        <is>
          <t>lc_presentation_period_days</t>
        </is>
      </c>
      <c r="B176" s="6" t="n">
        <v>21</v>
      </c>
      <c r="C176" s="7" t="inlineStr">
        <is>
          <t>days_after_shipment</t>
        </is>
      </c>
      <c r="D176" s="7" t="inlineStr">
        <is>
          <t>ASSUMPTION</t>
        </is>
      </c>
      <c r="E176" s="7" t="inlineStr">
        <is>
          <t>PENDING — read the ICC UCP 600 text</t>
        </is>
      </c>
      <c r="F176" s="7" t="inlineStr">
        <is>
          <t>docs/design/30_position_model.md §14 (config/params/book.yaml not present)</t>
        </is>
      </c>
      <c r="G176" s="7" t="inlineStr">
        <is>
          <t>UCP 600 Art. 14(c) default presentation period; sets LC validity for the opening fee</t>
        </is>
      </c>
    </row>
    <row r="177">
      <c r="A177" s="7" t="inlineStr">
        <is>
          <t>boe_lag_days</t>
        </is>
      </c>
      <c r="B177" s="6" t="n">
        <v>1</v>
      </c>
      <c r="C177" s="7" t="inlineStr">
        <is>
          <t>days_after_arrival</t>
        </is>
      </c>
      <c r="D177" s="7" t="inlineStr">
        <is>
          <t>ASSUMPTION</t>
        </is>
      </c>
      <c r="E177" s="7" t="inlineStr">
        <is>
          <t>N/A</t>
        </is>
      </c>
      <c r="F177" s="7" t="inlineStr">
        <is>
          <t>docs/design/30_position_model.md §14 (config/params/book.yaml not present)</t>
        </is>
      </c>
      <c r="G177" s="7" t="inlineStr">
        <is>
          <t>the igst_credit_lag_days note puts the Bill of Entry ~1 day after arrival</t>
        </is>
      </c>
    </row>
    <row r="178">
      <c r="A178" s="7" t="inlineStr">
        <is>
          <t>survey_lag_days</t>
        </is>
      </c>
      <c r="B178" s="6" t="n">
        <v>1</v>
      </c>
      <c r="C178" s="7" t="inlineStr">
        <is>
          <t>days_after_arrival</t>
        </is>
      </c>
      <c r="D178" s="7" t="inlineStr">
        <is>
          <t>ASSUMPTION</t>
        </is>
      </c>
      <c r="E178" s="7" t="inlineStr">
        <is>
          <t>N/A</t>
        </is>
      </c>
      <c r="F178" s="7" t="inlineStr">
        <is>
          <t>docs/design/30_position_model.md §14 (config/params/book.yaml not present)</t>
        </is>
      </c>
      <c r="G178" s="7" t="inlineStr">
        <is>
          <t>joint survey at the CFS before the BoE is filed (design §11 simplification 5)</t>
        </is>
      </c>
    </row>
    <row r="179">
      <c r="A179" s="7" t="inlineStr">
        <is>
          <t>provisional_invoice_frac</t>
        </is>
      </c>
      <c r="B179" s="6" t="n">
        <v>0.95</v>
      </c>
      <c r="C179" s="7" t="inlineStr">
        <is>
          <t>frac</t>
        </is>
      </c>
      <c r="D179" s="7" t="inlineStr">
        <is>
          <t>ASSUMPTION</t>
        </is>
      </c>
      <c r="E179" s="7" t="inlineStr">
        <is>
          <t>N/A</t>
        </is>
      </c>
      <c r="F179" s="7" t="inlineStr">
        <is>
          <t>docs/design/30_position_model.md §14 (config/params/book.yaml not present)</t>
        </is>
      </c>
      <c r="G179" s="7" t="inlineStr">
        <is>
          <t>90-100% provisional payment is common on LME-linked scrap SPAs; P5 shows 0.90-1.00 as a sensitivity</t>
        </is>
      </c>
    </row>
    <row r="180">
      <c r="A180" s="7" t="inlineStr">
        <is>
          <t>final_invoice_lag_bdays</t>
        </is>
      </c>
      <c r="B180" s="6" t="n">
        <v>5</v>
      </c>
      <c r="C180" s="7" t="inlineStr">
        <is>
          <t>panel_days_after_pricing_end</t>
        </is>
      </c>
      <c r="D180" s="7" t="inlineStr">
        <is>
          <t>ASSUMPTION</t>
        </is>
      </c>
      <c r="E180" s="7" t="inlineStr">
        <is>
          <t>N/A</t>
        </is>
      </c>
      <c r="F180" s="7" t="inlineStr">
        <is>
          <t>docs/design/30_position_model.md §14 (config/params/book.yaml not present)</t>
        </is>
      </c>
      <c r="G180" s="7" t="inlineStr">
        <is>
          <t>the seller computes the M+1 average and invoices by T/T</t>
        </is>
      </c>
    </row>
    <row r="181">
      <c r="A181" s="7" t="inlineStr">
        <is>
          <t>claim_settle_lag_days</t>
        </is>
      </c>
      <c r="B181" s="6" t="n">
        <v>30</v>
      </c>
      <c r="C181" s="7" t="inlineStr">
        <is>
          <t>days_after_survey</t>
        </is>
      </c>
      <c r="D181" s="7" t="inlineStr">
        <is>
          <t>ASSUMPTION</t>
        </is>
      </c>
      <c r="E181" s="7" t="inlineStr">
        <is>
          <t>N/A</t>
        </is>
      </c>
      <c r="F181" s="7" t="inlineStr">
        <is>
          <t>docs/design/30_position_model.md §14 (config/params/book.yaml not present)</t>
        </is>
      </c>
      <c r="G181" s="7" t="inlineStr">
        <is>
          <t>survey report, seller acceptance, credit note</t>
        </is>
      </c>
    </row>
    <row r="182">
      <c r="A182" s="7" t="inlineStr">
        <is>
          <t>freight_stop_loss_frac</t>
        </is>
      </c>
      <c r="B182" s="6" t="n">
        <v>0.15</v>
      </c>
      <c r="C182" s="7" t="inlineStr">
        <is>
          <t>frac</t>
        </is>
      </c>
      <c r="D182" s="7" t="inlineStr">
        <is>
          <t>ASSUMPTION</t>
        </is>
      </c>
      <c r="E182" s="7" t="inlineStr">
        <is>
          <t>N/A</t>
        </is>
      </c>
      <c r="F182" s="7" t="inlineStr">
        <is>
          <t>docs/design/30_position_model.md §14 (config/params/book.yaml not present)</t>
        </is>
      </c>
      <c r="G182" s="7" t="inlineStr">
        <is>
          <t>the desk's freight-risk policy; the P5 memo may override it</t>
        </is>
      </c>
    </row>
    <row r="183">
      <c r="A183" s="7" t="inlineStr">
        <is>
          <t>overdue_interest_collected_frac</t>
        </is>
      </c>
      <c r="B183" s="6" t="n">
        <v>0</v>
      </c>
      <c r="C183" s="7" t="inlineStr">
        <is>
          <t>frac</t>
        </is>
      </c>
      <c r="D183" s="7" t="inlineStr">
        <is>
          <t>ASSUMPTION</t>
        </is>
      </c>
      <c r="E183" s="7" t="inlineStr">
        <is>
          <t>N/A</t>
        </is>
      </c>
      <c r="F183" s="7" t="inlineStr">
        <is>
          <t>docs/design/30_position_model.md §14 (config/params/book.yaml not present)</t>
        </is>
      </c>
      <c r="G183" s="7" t="inlineStr">
        <is>
          <t>penal interest on late foundry payments is rarely collected, so the delay is a pure funding cost</t>
        </is>
      </c>
    </row>
    <row r="186">
      <c r="A186" s="4" t="inlineStr">
        <is>
          <t>5. MCX contract months present in the panel (contract month → panel expiry day)</t>
        </is>
      </c>
    </row>
    <row r="187">
      <c r="A187" s="3" t="inlineStr">
        <is>
          <t>Derived from data/processed/market_daily.csv columns mcx_m1_expiry / mcx_m2_expiry; the panel expiry slot is what the Phase 3 engine carries a price to (docs/design/30_position_model.md §5.2).</t>
        </is>
      </c>
    </row>
    <row r="189" ht="30" customHeight="1">
      <c r="A189" s="5" t="inlineStr">
        <is>
          <t>contract_month</t>
        </is>
      </c>
      <c r="B189" s="5" t="inlineStr">
        <is>
          <t>panel_expiry</t>
        </is>
      </c>
    </row>
    <row r="190">
      <c r="A190" s="7" t="n">
        <v>202201</v>
      </c>
      <c r="B190" s="12" t="n">
        <v>44592</v>
      </c>
    </row>
    <row r="191">
      <c r="A191" s="7" t="n">
        <v>202202</v>
      </c>
      <c r="B191" s="12" t="n">
        <v>44620</v>
      </c>
    </row>
    <row r="192">
      <c r="A192" s="7" t="n">
        <v>202203</v>
      </c>
      <c r="B192" s="12" t="n">
        <v>44651</v>
      </c>
    </row>
    <row r="193">
      <c r="A193" s="7" t="n">
        <v>202204</v>
      </c>
      <c r="B193" s="12" t="n">
        <v>44680</v>
      </c>
    </row>
    <row r="194">
      <c r="A194" s="7" t="n">
        <v>202205</v>
      </c>
      <c r="B194" s="12" t="n">
        <v>44712</v>
      </c>
    </row>
    <row r="195">
      <c r="A195" s="7" t="n">
        <v>202206</v>
      </c>
      <c r="B195" s="12" t="n">
        <v>44742</v>
      </c>
    </row>
    <row r="196">
      <c r="A196" s="7" t="n">
        <v>202207</v>
      </c>
      <c r="B196" s="12" t="n">
        <v>44771</v>
      </c>
    </row>
    <row r="197">
      <c r="A197" s="7" t="n">
        <v>202208</v>
      </c>
      <c r="B197" s="12" t="n">
        <v>44804</v>
      </c>
    </row>
    <row r="198">
      <c r="A198" s="7" t="n">
        <v>202209</v>
      </c>
      <c r="B198" s="12" t="n">
        <v>44834</v>
      </c>
    </row>
    <row r="199">
      <c r="A199" s="7" t="n">
        <v>202210</v>
      </c>
      <c r="B199" s="12" t="n">
        <v>44865</v>
      </c>
    </row>
    <row r="200">
      <c r="A200" s="7" t="n">
        <v>202211</v>
      </c>
      <c r="B200" s="12" t="n">
        <v>44895</v>
      </c>
    </row>
    <row r="201">
      <c r="A201" s="7" t="n">
        <v>202212</v>
      </c>
      <c r="B201" s="12" t="n">
        <v>44925</v>
      </c>
    </row>
    <row r="202">
      <c r="A202" s="7" t="n">
        <v>202301</v>
      </c>
      <c r="B202" s="12" t="n">
        <v>44957</v>
      </c>
    </row>
  </sheetData>
  <autoFilter ref="A7:I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5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16.7" customWidth="1" min="2" max="2"/>
    <col width="14.6" customWidth="1" min="3" max="3"/>
    <col width="26" customWidth="1" min="4" max="4"/>
    <col width="14.6" customWidth="1" min="5" max="5"/>
    <col width="9" customWidth="1" min="6" max="6"/>
    <col width="15.65" customWidth="1" min="7" max="7"/>
    <col width="15.65" customWidth="1" min="8" max="8"/>
    <col width="16.7" customWidth="1" min="9" max="9"/>
    <col width="16.7" customWidth="1" min="10" max="10"/>
    <col width="13.55" customWidth="1" min="11" max="11"/>
    <col width="20.9" customWidth="1" min="12" max="12"/>
    <col width="18.8" customWidth="1" min="13" max="13"/>
    <col width="18.8" customWidth="1" min="14" max="14"/>
    <col width="24.05" customWidth="1" min="15" max="15"/>
    <col width="25.1" customWidth="1" min="16" max="16"/>
    <col width="13" customWidth="1" min="17" max="17"/>
    <col width="13" customWidth="1" min="18" max="18"/>
    <col width="14.6" customWidth="1" min="19" max="19"/>
    <col width="14.6" customWidth="1" min="20" max="20"/>
    <col width="16.7" customWidth="1" min="21" max="21"/>
    <col width="24.05" customWidth="1" min="22" max="22"/>
    <col width="16.7" customWidth="1" min="23" max="23"/>
    <col width="20.9" customWidth="1" min="24" max="24"/>
    <col width="26" customWidth="1" min="25" max="25"/>
    <col width="20.9" customWidth="1" min="26" max="26"/>
    <col width="23" customWidth="1" min="27" max="27"/>
    <col width="20.9" customWidth="1" min="28" max="28"/>
    <col width="21.95" customWidth="1" min="29" max="29"/>
    <col width="18" customWidth="1" min="30" max="30"/>
    <col width="18" customWidth="1" min="31" max="31"/>
    <col width="18" customWidth="1" min="32" max="32"/>
    <col width="18" customWidth="1" min="33" max="33"/>
    <col width="18" customWidth="1" min="34" max="34"/>
  </cols>
  <sheetData>
    <row r="1">
      <c r="A1" s="1" t="inlineStr">
        <is>
          <t>ACADEMIC SIMULATION — not actual trades</t>
        </is>
      </c>
    </row>
    <row r="2">
      <c r="A2" s="2" t="inlineStr">
        <is>
          <t>Market_Daily — LME trading-day panel (data/processed/market_daily.csv)</t>
        </is>
      </c>
    </row>
    <row r="3">
      <c r="A3" s="3" t="inlineStr">
        <is>
          <t>DIRECT: LME cash / 3M / spread / stock (Westmetall).  PROXY: usdinr (ECB cross), the 3-month rates, the MCX columns (duty-paid import parity).  ASSUMPTION: freight levels, wc_rate_inr_pa.  The row directly above the headers carries each column's flag, read from data/processed/series_provenance.csv and the register.</t>
        </is>
      </c>
    </row>
    <row r="4">
      <c r="A4" s="7" t="inlineStr">
        <is>
          <t>DIRECT</t>
        </is>
      </c>
      <c r="B4" s="7" t="inlineStr">
        <is>
          <t>DIRECT</t>
        </is>
      </c>
      <c r="C4" s="7" t="inlineStr">
        <is>
          <t>DIRECT</t>
        </is>
      </c>
      <c r="D4" s="7" t="inlineStr">
        <is>
          <t>DIRECT</t>
        </is>
      </c>
      <c r="E4" s="7" t="inlineStr">
        <is>
          <t>DIRECT</t>
        </is>
      </c>
      <c r="F4" s="7" t="inlineStr">
        <is>
          <t>PROXY</t>
        </is>
      </c>
      <c r="G4" s="7" t="inlineStr">
        <is>
          <t>PROXY</t>
        </is>
      </c>
      <c r="H4" s="7" t="inlineStr">
        <is>
          <t>PROXY</t>
        </is>
      </c>
      <c r="I4" s="7" t="inlineStr">
        <is>
          <t>PROXY</t>
        </is>
      </c>
      <c r="J4" s="7" t="inlineStr">
        <is>
          <t>PROXY</t>
        </is>
      </c>
      <c r="K4" s="7" t="inlineStr">
        <is>
          <t>DIRECT</t>
        </is>
      </c>
      <c r="L4" s="7" t="inlineStr">
        <is>
          <t>PROXY</t>
        </is>
      </c>
      <c r="M4" s="7" t="inlineStr">
        <is>
          <t>PROXY</t>
        </is>
      </c>
      <c r="N4" s="7" t="inlineStr">
        <is>
          <t>PROXY</t>
        </is>
      </c>
      <c r="O4" s="7" t="inlineStr">
        <is>
          <t>ASSUMPTION</t>
        </is>
      </c>
      <c r="P4" s="7" t="inlineStr">
        <is>
          <t>ASSUMPTION</t>
        </is>
      </c>
      <c r="Q4" s="7" t="inlineStr">
        <is>
          <t>ASSUMPTION</t>
        </is>
      </c>
      <c r="R4" s="7" t="inlineStr">
        <is>
          <t>ASSUMPTION</t>
        </is>
      </c>
      <c r="S4" s="7" t="inlineStr">
        <is>
          <t>—</t>
        </is>
      </c>
      <c r="T4" s="7" t="inlineStr">
        <is>
          <t>—</t>
        </is>
      </c>
      <c r="U4" s="7" t="inlineStr">
        <is>
          <t>ASSUMPTION</t>
        </is>
      </c>
      <c r="V4" s="7" t="inlineStr">
        <is>
          <t>DIRECT</t>
        </is>
      </c>
      <c r="W4" s="7" t="inlineStr">
        <is>
          <t>—</t>
        </is>
      </c>
      <c r="X4" s="7" t="inlineStr">
        <is>
          <t>ASSUMPTION</t>
        </is>
      </c>
      <c r="Y4" s="7" t="inlineStr">
        <is>
          <t>ASSUMPTION</t>
        </is>
      </c>
      <c r="Z4" s="7" t="inlineStr">
        <is>
          <t>ASSUMPTION</t>
        </is>
      </c>
      <c r="AA4" s="7" t="inlineStr">
        <is>
          <t>ASSUMPTION</t>
        </is>
      </c>
      <c r="AB4" s="7" t="inlineStr">
        <is>
          <t>PROXY</t>
        </is>
      </c>
      <c r="AC4" s="7" t="inlineStr">
        <is>
          <t>PROXY</t>
        </is>
      </c>
      <c r="AD4" s="7" t="inlineStr">
        <is>
          <t>PROXY</t>
        </is>
      </c>
      <c r="AE4" s="7" t="inlineStr">
        <is>
          <t>PROXY</t>
        </is>
      </c>
      <c r="AF4" s="7" t="inlineStr">
        <is>
          <t>ASSUMPTION</t>
        </is>
      </c>
      <c r="AG4" s="7" t="inlineStr">
        <is>
          <t>PROXY</t>
        </is>
      </c>
      <c r="AH4" s="7" t="inlineStr">
        <is>
          <t>ASSUMPTION</t>
        </is>
      </c>
    </row>
    <row r="5" ht="30" customHeight="1">
      <c r="A5" s="5" t="inlineStr">
        <is>
          <t>date</t>
        </is>
      </c>
      <c r="B5" s="5" t="inlineStr">
        <is>
          <t>lme_cash_usd_t</t>
        </is>
      </c>
      <c r="C5" s="5" t="inlineStr">
        <is>
          <t>lme_3m_usd_t</t>
        </is>
      </c>
      <c r="D5" s="5" t="inlineStr">
        <is>
          <t>lme_cash_3m_spread_usd_t</t>
        </is>
      </c>
      <c r="E5" s="5" t="inlineStr">
        <is>
          <t>lme_stock_mt</t>
        </is>
      </c>
      <c r="F5" s="5" t="inlineStr">
        <is>
          <t>usdinr</t>
        </is>
      </c>
      <c r="G5" s="5" t="inlineStr">
        <is>
          <t>usdinr_fwd_1m</t>
        </is>
      </c>
      <c r="H5" s="5" t="inlineStr">
        <is>
          <t>usdinr_fwd_3m</t>
        </is>
      </c>
      <c r="I5" s="5" t="inlineStr">
        <is>
          <t>inr_rate_3m_pa</t>
        </is>
      </c>
      <c r="J5" s="5" t="inlineStr">
        <is>
          <t>usd_rate_3m_pa</t>
        </is>
      </c>
      <c r="K5" s="5" t="inlineStr">
        <is>
          <t>rbi_repo_pa</t>
        </is>
      </c>
      <c r="L5" s="5" t="inlineStr">
        <is>
          <t>mcx_al_spot_inr_kg</t>
        </is>
      </c>
      <c r="M5" s="5" t="inlineStr">
        <is>
          <t>mcx_al_m1_inr_kg</t>
        </is>
      </c>
      <c r="N5" s="5" t="inlineStr">
        <is>
          <t>mcx_al_m2_inr_kg</t>
        </is>
      </c>
      <c r="O5" s="5" t="inlineStr">
        <is>
          <t>freight_jea_nsa_usd_t</t>
        </is>
      </c>
      <c r="P5" s="5" t="inlineStr">
        <is>
          <t>freight_usec_mun_usd_t</t>
        </is>
      </c>
      <c r="Q5" s="5" t="inlineStr">
        <is>
          <t>mcx_m1_expiry</t>
        </is>
      </c>
      <c r="R5" s="5" t="inlineStr">
        <is>
          <t>mcx_m2_expiry</t>
        </is>
      </c>
      <c r="S5" s="5" t="inlineStr">
        <is>
          <t>mcx_m1_month</t>
        </is>
      </c>
      <c r="T5" s="5" t="inlineStr">
        <is>
          <t>mcx_m2_month</t>
        </is>
      </c>
      <c r="U5" s="5" t="inlineStr">
        <is>
          <t>wc_rate_inr_pa</t>
        </is>
      </c>
      <c r="V5" s="5" t="inlineStr">
        <is>
          <t>customs_usdinr_import</t>
        </is>
      </c>
      <c r="W5" s="5" t="inlineStr">
        <is>
          <t>customs_fx_src</t>
        </is>
      </c>
      <c r="X5" s="5" t="inlineStr">
        <is>
          <t>grade_factor_zorba</t>
        </is>
      </c>
      <c r="Y5" s="5" t="inlineStr">
        <is>
          <t>grade_factor_taint_tabor</t>
        </is>
      </c>
      <c r="Z5" s="5" t="inlineStr">
        <is>
          <t>grade_factor_tense</t>
        </is>
      </c>
      <c r="AA5" s="5" t="inlineStr">
        <is>
          <t>grade_factor_mix_pit</t>
        </is>
      </c>
      <c r="AB5" s="5" t="inlineStr">
        <is>
          <t>mcx_theo_m1_inr_kg</t>
        </is>
      </c>
      <c r="AC5" s="5" t="inlineStr">
        <is>
          <t>mcx_basis_m1_inr_kg</t>
        </is>
      </c>
      <c r="AD5" s="5" t="inlineStr">
        <is>
          <t>mcx_src</t>
        </is>
      </c>
      <c r="AE5" s="5" t="inlineStr">
        <is>
          <t>usdinr_src</t>
        </is>
      </c>
      <c r="AF5" s="5" t="inlineStr">
        <is>
          <t>freight_src</t>
        </is>
      </c>
      <c r="AG5" s="5" t="inlineStr">
        <is>
          <t>usdinr_filled</t>
        </is>
      </c>
      <c r="AH5" s="5" t="inlineStr">
        <is>
          <t>freight_filled</t>
        </is>
      </c>
    </row>
    <row r="6">
      <c r="A6" s="11" t="n">
        <v>44565</v>
      </c>
      <c r="B6" s="13" t="n">
        <v>2815.5</v>
      </c>
      <c r="C6" s="13" t="n">
        <v>2823</v>
      </c>
      <c r="D6" s="13" t="n">
        <v>-7.5</v>
      </c>
      <c r="E6" s="13" t="n">
        <v>934375</v>
      </c>
      <c r="F6" s="13" t="n">
        <v>74.65689999999999</v>
      </c>
      <c r="G6" s="6" t="n">
        <v>74.88200000000001</v>
      </c>
      <c r="H6" s="6" t="n">
        <v>75.3103</v>
      </c>
      <c r="I6" s="14" t="n">
        <v>0.0363</v>
      </c>
      <c r="J6" s="14" t="n">
        <v>0.000789</v>
      </c>
      <c r="K6" s="14" t="n">
        <v>0.04</v>
      </c>
      <c r="L6" s="13" t="n">
        <v>227.5377</v>
      </c>
      <c r="M6" s="13" t="n">
        <v>228.1487</v>
      </c>
      <c r="N6" s="13" t="n">
        <v>228.7823</v>
      </c>
      <c r="O6" s="13" t="n">
        <v>24.07</v>
      </c>
      <c r="P6" s="13" t="n">
        <v>106.72</v>
      </c>
      <c r="Q6" s="12" t="n">
        <v>44592</v>
      </c>
      <c r="R6" s="12" t="n">
        <v>44620</v>
      </c>
      <c r="S6" s="8">
        <f>YEAR($Q6)*100+MONTH($Q6)</f>
        <v/>
      </c>
      <c r="T6" s="8">
        <f>YEAR($R6)*100+MONTH($R6)</f>
        <v/>
      </c>
      <c r="U6" s="15">
        <f>IF($A6&lt;=INDEX(pdates_wc_rate_inr_pa,1),INDEX(pvals_wc_rate_inr_pa,1),INDEX(pvals_wc_rate_inr_pa,MATCH($A6,pdates_wc_rate_inr_pa,1)))</f>
        <v/>
      </c>
      <c r="V6" s="8">
        <f>IF(AND($A6&gt;=customs_fx_first,$A6&lt;=customs_fx_last+customs_fx_notification_validity_days),IF($A6&lt;=INDEX(pdates_customs_usdinr_import,1),INDEX(pvals_customs_usdinr_import,1),INDEX(pvals_customs_usdinr_import,MATCH($A6,pdates_customs_usdinr_import,1))),$F6*(1+customs_fx_markup_frac))</f>
        <v/>
      </c>
      <c r="W6" s="8">
        <f>IF(AND($A6&gt;=customs_fx_first,$A6&lt;=customs_fx_last+customs_fx_notification_validity_days),"CBIC_NOTIFIED","MARKUP_FALLBACK")</f>
        <v/>
      </c>
      <c r="X6" s="8">
        <f>IF($A6&lt;=INDEX(pdates_grade_factor_zorba,1),INDEX(pvals_grade_factor_zorba,1),IF($A6&gt;=INDEX(pdates_grade_factor_zorba,10),INDEX(pvals_grade_factor_zorba,10),INDEX(pvals_grade_factor_zorba,MATCH($A6,pdates_grade_factor_zorba,1))+($A6-INDEX(pdates_grade_factor_zorba,MATCH($A6,pdates_grade_factor_zorba,1)))/(INDEX(pdates_grade_factor_zorba,MATCH($A6,pdates_grade_factor_zorba,1)+1)-INDEX(pdates_grade_factor_zorba,MATCH($A6,pdates_grade_factor_zorba,1)))*(INDEX(pvals_grade_factor_zorba,MATCH($A6,pdates_grade_factor_zorba,1)+1)-INDEX(pvals_grade_factor_zorba,MATCH($A6,pdates_grade_factor_zorba,1)))))</f>
        <v/>
      </c>
      <c r="Y6" s="8">
        <f>IF($A6&lt;=INDEX(pdates_grade_factor_taint_tabor,1),INDEX(pvals_grade_factor_taint_tabor,1),IF($A6&gt;=INDEX(pdates_grade_factor_taint_tabor,10),INDEX(pvals_grade_factor_taint_tabor,10),INDEX(pvals_grade_factor_taint_tabor,MATCH($A6,pdates_grade_factor_taint_tabor,1))+($A6-INDEX(pdates_grade_factor_taint_tabor,MATCH($A6,pdates_grade_factor_taint_tabor,1)))/(INDEX(pdates_grade_factor_taint_tabor,MATCH($A6,pdates_grade_factor_taint_tabor,1)+1)-INDEX(pdates_grade_factor_taint_tabor,MATCH($A6,pdates_grade_factor_taint_tabor,1)))*(INDEX(pvals_grade_factor_taint_tabor,MATCH($A6,pdates_grade_factor_taint_tabor,1)+1)-INDEX(pvals_grade_factor_taint_tabor,MATCH($A6,pdates_grade_factor_taint_tabor,1)))))</f>
        <v/>
      </c>
      <c r="Z6" s="8">
        <f>IF($A6&lt;=INDEX(pdates_grade_factor_tense,1),INDEX(pvals_grade_factor_tense,1),IF($A6&gt;=INDEX(pdates_grade_factor_tense,10),INDEX(pvals_grade_factor_tense,10),INDEX(pvals_grade_factor_tense,MATCH($A6,pdates_grade_factor_tense,1))+($A6-INDEX(pdates_grade_factor_tense,MATCH($A6,pdates_grade_factor_tense,1)))/(INDEX(pdates_grade_factor_tense,MATCH($A6,pdates_grade_factor_tense,1)+1)-INDEX(pdates_grade_factor_tense,MATCH($A6,pdates_grade_factor_tense,1)))*(INDEX(pvals_grade_factor_tense,MATCH($A6,pdates_grade_factor_tense,1)+1)-INDEX(pvals_grade_factor_tense,MATCH($A6,pdates_grade_factor_tense,1)))))</f>
        <v/>
      </c>
      <c r="AA6" s="8">
        <f>IF($A6&lt;=INDEX(pdates_grade_factor_mix_pit,1),INDEX(pvals_grade_factor_mix_pit,1),IF($A6&gt;=INDEX(pdates_grade_factor_mix_pit,10),INDEX(pvals_grade_factor_mix_pit,10),INDEX(pvals_grade_factor_mix_pit,MATCH($A6,pdates_grade_factor_mix_pit,1))+($A6-INDEX(pdates_grade_factor_mix_pit,MATCH($A6,pdates_grade_factor_mix_pit,1)))/(INDEX(pdates_grade_factor_mix_pit,MATCH($A6,pdates_grade_factor_mix_pit,1)+1)-INDEX(pdates_grade_factor_mix_pit,MATCH($A6,pdates_grade_factor_mix_pit,1)))*(INDEX(pvals_grade_factor_mix_pit,MATCH($A6,pdates_grade_factor_mix_pit,1)+1)-INDEX(pvals_grade_factor_mix_pit,MATCH($A6,pdates_grade_factor_mix_pit,1)))))</f>
        <v/>
      </c>
      <c r="AB6" s="16">
        <f>($B6*$F6/kg_per_mt*(1+bcd_primary_al_hs7601*(1+sws_rate_on_bcd))+mcx_domestic_premium_inr_kg)*(1+$I6*MAX(0,$Q6-$A6)/day_count_inr)</f>
        <v/>
      </c>
      <c r="AC6" s="16">
        <f>$M6-$AB6</f>
        <v/>
      </c>
      <c r="AD6" s="7" t="inlineStr">
        <is>
          <t>PROXY_IMPORT_PARITY</t>
        </is>
      </c>
      <c r="AE6" s="7" t="inlineStr">
        <is>
          <t>ECB_CROSS</t>
        </is>
      </c>
      <c r="AF6" s="7" t="inlineStr">
        <is>
          <t>WCI_DERIVED|USEC:EXTRAP_PRE|JEA:ASSUMPTION</t>
        </is>
      </c>
      <c r="AG6" s="17" t="b">
        <v>0</v>
      </c>
      <c r="AH6" s="17" t="b">
        <v>1</v>
      </c>
    </row>
    <row r="7">
      <c r="A7" s="11" t="n">
        <v>44566</v>
      </c>
      <c r="B7" s="13" t="n">
        <v>2866</v>
      </c>
      <c r="C7" s="13" t="n">
        <v>2885</v>
      </c>
      <c r="D7" s="13" t="n">
        <v>-19</v>
      </c>
      <c r="E7" s="13" t="n">
        <v>926800</v>
      </c>
      <c r="F7" s="13" t="n">
        <v>74.3537</v>
      </c>
      <c r="G7" s="6" t="n">
        <v>74.57729999999999</v>
      </c>
      <c r="H7" s="6" t="n">
        <v>75.0026</v>
      </c>
      <c r="I7" s="14" t="n">
        <v>0.0363</v>
      </c>
      <c r="J7" s="14" t="n">
        <v>0.000888</v>
      </c>
      <c r="K7" s="14" t="n">
        <v>0.04</v>
      </c>
      <c r="L7" s="13" t="n">
        <v>230.6783</v>
      </c>
      <c r="M7" s="13" t="n">
        <v>231.2747</v>
      </c>
      <c r="N7" s="13" t="n">
        <v>231.9171</v>
      </c>
      <c r="O7" s="13" t="n">
        <v>24.07</v>
      </c>
      <c r="P7" s="13" t="n">
        <v>106.72</v>
      </c>
      <c r="Q7" s="12" t="n">
        <v>44592</v>
      </c>
      <c r="R7" s="12" t="n">
        <v>44620</v>
      </c>
      <c r="S7" s="8">
        <f>YEAR($Q7)*100+MONTH($Q7)</f>
        <v/>
      </c>
      <c r="T7" s="8">
        <f>YEAR($R7)*100+MONTH($R7)</f>
        <v/>
      </c>
      <c r="U7" s="15">
        <f>IF($A7&lt;=INDEX(pdates_wc_rate_inr_pa,1),INDEX(pvals_wc_rate_inr_pa,1),INDEX(pvals_wc_rate_inr_pa,MATCH($A7,pdates_wc_rate_inr_pa,1)))</f>
        <v/>
      </c>
      <c r="V7" s="8">
        <f>IF(AND($A7&gt;=customs_fx_first,$A7&lt;=customs_fx_last+customs_fx_notification_validity_days),IF($A7&lt;=INDEX(pdates_customs_usdinr_import,1),INDEX(pvals_customs_usdinr_import,1),INDEX(pvals_customs_usdinr_import,MATCH($A7,pdates_customs_usdinr_import,1))),$F7*(1+customs_fx_markup_frac))</f>
        <v/>
      </c>
      <c r="W7" s="8">
        <f>IF(AND($A7&gt;=customs_fx_first,$A7&lt;=customs_fx_last+customs_fx_notification_validity_days),"CBIC_NOTIFIED","MARKUP_FALLBACK")</f>
        <v/>
      </c>
      <c r="X7" s="8">
        <f>IF($A7&lt;=INDEX(pdates_grade_factor_zorba,1),INDEX(pvals_grade_factor_zorba,1),IF($A7&gt;=INDEX(pdates_grade_factor_zorba,10),INDEX(pvals_grade_factor_zorba,10),INDEX(pvals_grade_factor_zorba,MATCH($A7,pdates_grade_factor_zorba,1))+($A7-INDEX(pdates_grade_factor_zorba,MATCH($A7,pdates_grade_factor_zorba,1)))/(INDEX(pdates_grade_factor_zorba,MATCH($A7,pdates_grade_factor_zorba,1)+1)-INDEX(pdates_grade_factor_zorba,MATCH($A7,pdates_grade_factor_zorba,1)))*(INDEX(pvals_grade_factor_zorba,MATCH($A7,pdates_grade_factor_zorba,1)+1)-INDEX(pvals_grade_factor_zorba,MATCH($A7,pdates_grade_factor_zorba,1)))))</f>
        <v/>
      </c>
      <c r="Y7" s="8">
        <f>IF($A7&lt;=INDEX(pdates_grade_factor_taint_tabor,1),INDEX(pvals_grade_factor_taint_tabor,1),IF($A7&gt;=INDEX(pdates_grade_factor_taint_tabor,10),INDEX(pvals_grade_factor_taint_tabor,10),INDEX(pvals_grade_factor_taint_tabor,MATCH($A7,pdates_grade_factor_taint_tabor,1))+($A7-INDEX(pdates_grade_factor_taint_tabor,MATCH($A7,pdates_grade_factor_taint_tabor,1)))/(INDEX(pdates_grade_factor_taint_tabor,MATCH($A7,pdates_grade_factor_taint_tabor,1)+1)-INDEX(pdates_grade_factor_taint_tabor,MATCH($A7,pdates_grade_factor_taint_tabor,1)))*(INDEX(pvals_grade_factor_taint_tabor,MATCH($A7,pdates_grade_factor_taint_tabor,1)+1)-INDEX(pvals_grade_factor_taint_tabor,MATCH($A7,pdates_grade_factor_taint_tabor,1)))))</f>
        <v/>
      </c>
      <c r="Z7" s="8">
        <f>IF($A7&lt;=INDEX(pdates_grade_factor_tense,1),INDEX(pvals_grade_factor_tense,1),IF($A7&gt;=INDEX(pdates_grade_factor_tense,10),INDEX(pvals_grade_factor_tense,10),INDEX(pvals_grade_factor_tense,MATCH($A7,pdates_grade_factor_tense,1))+($A7-INDEX(pdates_grade_factor_tense,MATCH($A7,pdates_grade_factor_tense,1)))/(INDEX(pdates_grade_factor_tense,MATCH($A7,pdates_grade_factor_tense,1)+1)-INDEX(pdates_grade_factor_tense,MATCH($A7,pdates_grade_factor_tense,1)))*(INDEX(pvals_grade_factor_tense,MATCH($A7,pdates_grade_factor_tense,1)+1)-INDEX(pvals_grade_factor_tense,MATCH($A7,pdates_grade_factor_tense,1)))))</f>
        <v/>
      </c>
      <c r="AA7" s="8">
        <f>IF($A7&lt;=INDEX(pdates_grade_factor_mix_pit,1),INDEX(pvals_grade_factor_mix_pit,1),IF($A7&gt;=INDEX(pdates_grade_factor_mix_pit,10),INDEX(pvals_grade_factor_mix_pit,10),INDEX(pvals_grade_factor_mix_pit,MATCH($A7,pdates_grade_factor_mix_pit,1))+($A7-INDEX(pdates_grade_factor_mix_pit,MATCH($A7,pdates_grade_factor_mix_pit,1)))/(INDEX(pdates_grade_factor_mix_pit,MATCH($A7,pdates_grade_factor_mix_pit,1)+1)-INDEX(pdates_grade_factor_mix_pit,MATCH($A7,pdates_grade_factor_mix_pit,1)))*(INDEX(pvals_grade_factor_mix_pit,MATCH($A7,pdates_grade_factor_mix_pit,1)+1)-INDEX(pvals_grade_factor_mix_pit,MATCH($A7,pdates_grade_factor_mix_pit,1)))))</f>
        <v/>
      </c>
      <c r="AB7" s="16">
        <f>($B7*$F7/kg_per_mt*(1+bcd_primary_al_hs7601*(1+sws_rate_on_bcd))+mcx_domestic_premium_inr_kg)*(1+$I7*MAX(0,$Q7-$A7)/day_count_inr)</f>
        <v/>
      </c>
      <c r="AC7" s="16">
        <f>$M7-$AB7</f>
        <v/>
      </c>
      <c r="AD7" s="7" t="inlineStr">
        <is>
          <t>PROXY_IMPORT_PARITY</t>
        </is>
      </c>
      <c r="AE7" s="7" t="inlineStr">
        <is>
          <t>ECB_CROSS</t>
        </is>
      </c>
      <c r="AF7" s="7" t="inlineStr">
        <is>
          <t>WCI_DERIVED|USEC:EXTRAP_PRE|JEA:ASSUMPTION</t>
        </is>
      </c>
      <c r="AG7" s="17" t="b">
        <v>0</v>
      </c>
      <c r="AH7" s="17" t="b">
        <v>1</v>
      </c>
    </row>
    <row r="8">
      <c r="A8" s="11" t="n">
        <v>44567</v>
      </c>
      <c r="B8" s="13" t="n">
        <v>2912.5</v>
      </c>
      <c r="C8" s="13" t="n">
        <v>2923.5</v>
      </c>
      <c r="D8" s="13" t="n">
        <v>-11</v>
      </c>
      <c r="E8" s="13" t="n">
        <v>921400</v>
      </c>
      <c r="F8" s="13" t="n">
        <v>74.45650000000001</v>
      </c>
      <c r="G8" s="6" t="n">
        <v>74.6797</v>
      </c>
      <c r="H8" s="6" t="n">
        <v>75.1044</v>
      </c>
      <c r="I8" s="14" t="n">
        <v>0.0363</v>
      </c>
      <c r="J8" s="14" t="n">
        <v>0.0009859999999999999</v>
      </c>
      <c r="K8" s="14" t="n">
        <v>0.04</v>
      </c>
      <c r="L8" s="13" t="n">
        <v>234.7451</v>
      </c>
      <c r="M8" s="13" t="n">
        <v>235.3287</v>
      </c>
      <c r="N8" s="13" t="n">
        <v>235.9824</v>
      </c>
      <c r="O8" s="13" t="n">
        <v>24.33</v>
      </c>
      <c r="P8" s="13" t="n">
        <v>107.9</v>
      </c>
      <c r="Q8" s="12" t="n">
        <v>44592</v>
      </c>
      <c r="R8" s="12" t="n">
        <v>44620</v>
      </c>
      <c r="S8" s="8">
        <f>YEAR($Q8)*100+MONTH($Q8)</f>
        <v/>
      </c>
      <c r="T8" s="8">
        <f>YEAR($R8)*100+MONTH($R8)</f>
        <v/>
      </c>
      <c r="U8" s="15">
        <f>IF($A8&lt;=INDEX(pdates_wc_rate_inr_pa,1),INDEX(pvals_wc_rate_inr_pa,1),INDEX(pvals_wc_rate_inr_pa,MATCH($A8,pdates_wc_rate_inr_pa,1)))</f>
        <v/>
      </c>
      <c r="V8" s="8">
        <f>IF(AND($A8&gt;=customs_fx_first,$A8&lt;=customs_fx_last+customs_fx_notification_validity_days),IF($A8&lt;=INDEX(pdates_customs_usdinr_import,1),INDEX(pvals_customs_usdinr_import,1),INDEX(pvals_customs_usdinr_import,MATCH($A8,pdates_customs_usdinr_import,1))),$F8*(1+customs_fx_markup_frac))</f>
        <v/>
      </c>
      <c r="W8" s="8">
        <f>IF(AND($A8&gt;=customs_fx_first,$A8&lt;=customs_fx_last+customs_fx_notification_validity_days),"CBIC_NOTIFIED","MARKUP_FALLBACK")</f>
        <v/>
      </c>
      <c r="X8" s="8">
        <f>IF($A8&lt;=INDEX(pdates_grade_factor_zorba,1),INDEX(pvals_grade_factor_zorba,1),IF($A8&gt;=INDEX(pdates_grade_factor_zorba,10),INDEX(pvals_grade_factor_zorba,10),INDEX(pvals_grade_factor_zorba,MATCH($A8,pdates_grade_factor_zorba,1))+($A8-INDEX(pdates_grade_factor_zorba,MATCH($A8,pdates_grade_factor_zorba,1)))/(INDEX(pdates_grade_factor_zorba,MATCH($A8,pdates_grade_factor_zorba,1)+1)-INDEX(pdates_grade_factor_zorba,MATCH($A8,pdates_grade_factor_zorba,1)))*(INDEX(pvals_grade_factor_zorba,MATCH($A8,pdates_grade_factor_zorba,1)+1)-INDEX(pvals_grade_factor_zorba,MATCH($A8,pdates_grade_factor_zorba,1)))))</f>
        <v/>
      </c>
      <c r="Y8" s="8">
        <f>IF($A8&lt;=INDEX(pdates_grade_factor_taint_tabor,1),INDEX(pvals_grade_factor_taint_tabor,1),IF($A8&gt;=INDEX(pdates_grade_factor_taint_tabor,10),INDEX(pvals_grade_factor_taint_tabor,10),INDEX(pvals_grade_factor_taint_tabor,MATCH($A8,pdates_grade_factor_taint_tabor,1))+($A8-INDEX(pdates_grade_factor_taint_tabor,MATCH($A8,pdates_grade_factor_taint_tabor,1)))/(INDEX(pdates_grade_factor_taint_tabor,MATCH($A8,pdates_grade_factor_taint_tabor,1)+1)-INDEX(pdates_grade_factor_taint_tabor,MATCH($A8,pdates_grade_factor_taint_tabor,1)))*(INDEX(pvals_grade_factor_taint_tabor,MATCH($A8,pdates_grade_factor_taint_tabor,1)+1)-INDEX(pvals_grade_factor_taint_tabor,MATCH($A8,pdates_grade_factor_taint_tabor,1)))))</f>
        <v/>
      </c>
      <c r="Z8" s="8">
        <f>IF($A8&lt;=INDEX(pdates_grade_factor_tense,1),INDEX(pvals_grade_factor_tense,1),IF($A8&gt;=INDEX(pdates_grade_factor_tense,10),INDEX(pvals_grade_factor_tense,10),INDEX(pvals_grade_factor_tense,MATCH($A8,pdates_grade_factor_tense,1))+($A8-INDEX(pdates_grade_factor_tense,MATCH($A8,pdates_grade_factor_tense,1)))/(INDEX(pdates_grade_factor_tense,MATCH($A8,pdates_grade_factor_tense,1)+1)-INDEX(pdates_grade_factor_tense,MATCH($A8,pdates_grade_factor_tense,1)))*(INDEX(pvals_grade_factor_tense,MATCH($A8,pdates_grade_factor_tense,1)+1)-INDEX(pvals_grade_factor_tense,MATCH($A8,pdates_grade_factor_tense,1)))))</f>
        <v/>
      </c>
      <c r="AA8" s="8">
        <f>IF($A8&lt;=INDEX(pdates_grade_factor_mix_pit,1),INDEX(pvals_grade_factor_mix_pit,1),IF($A8&gt;=INDEX(pdates_grade_factor_mix_pit,10),INDEX(pvals_grade_factor_mix_pit,10),INDEX(pvals_grade_factor_mix_pit,MATCH($A8,pdates_grade_factor_mix_pit,1))+($A8-INDEX(pdates_grade_factor_mix_pit,MATCH($A8,pdates_grade_factor_mix_pit,1)))/(INDEX(pdates_grade_factor_mix_pit,MATCH($A8,pdates_grade_factor_mix_pit,1)+1)-INDEX(pdates_grade_factor_mix_pit,MATCH($A8,pdates_grade_factor_mix_pit,1)))*(INDEX(pvals_grade_factor_mix_pit,MATCH($A8,pdates_grade_factor_mix_pit,1)+1)-INDEX(pvals_grade_factor_mix_pit,MATCH($A8,pdates_grade_factor_mix_pit,1)))))</f>
        <v/>
      </c>
      <c r="AB8" s="16">
        <f>($B8*$F8/kg_per_mt*(1+bcd_primary_al_hs7601*(1+sws_rate_on_bcd))+mcx_domestic_premium_inr_kg)*(1+$I8*MAX(0,$Q8-$A8)/day_count_inr)</f>
        <v/>
      </c>
      <c r="AC8" s="16">
        <f>$M8-$AB8</f>
        <v/>
      </c>
      <c r="AD8" s="7" t="inlineStr">
        <is>
          <t>PROXY_IMPORT_PARITY</t>
        </is>
      </c>
      <c r="AE8" s="7" t="inlineStr">
        <is>
          <t>ECB_CROSS</t>
        </is>
      </c>
      <c r="AF8" s="7" t="inlineStr">
        <is>
          <t>WCI_REPORTED|USEC:EXTRAP_PRE|JEA:ASSUMPTION</t>
        </is>
      </c>
      <c r="AG8" s="17" t="b">
        <v>0</v>
      </c>
      <c r="AH8" s="17" t="b">
        <v>0</v>
      </c>
    </row>
    <row r="9">
      <c r="A9" s="11" t="n">
        <v>44568</v>
      </c>
      <c r="B9" s="13" t="n">
        <v>2919.5</v>
      </c>
      <c r="C9" s="13" t="n">
        <v>2932</v>
      </c>
      <c r="D9" s="13" t="n">
        <v>-12.5</v>
      </c>
      <c r="E9" s="13" t="n">
        <v>916875</v>
      </c>
      <c r="F9" s="13" t="n">
        <v>74.33</v>
      </c>
      <c r="G9" s="6" t="n">
        <v>74.5528</v>
      </c>
      <c r="H9" s="6" t="n">
        <v>74.9768</v>
      </c>
      <c r="I9" s="14" t="n">
        <v>0.0363</v>
      </c>
      <c r="J9" s="14" t="n">
        <v>0.0009859999999999999</v>
      </c>
      <c r="K9" s="14" t="n">
        <v>0.04</v>
      </c>
      <c r="L9" s="13" t="n">
        <v>234.9095</v>
      </c>
      <c r="M9" s="13" t="n">
        <v>235.4702</v>
      </c>
      <c r="N9" s="13" t="n">
        <v>236.1243</v>
      </c>
      <c r="O9" s="13" t="n">
        <v>24.33</v>
      </c>
      <c r="P9" s="13" t="n">
        <v>107.9</v>
      </c>
      <c r="Q9" s="12" t="n">
        <v>44592</v>
      </c>
      <c r="R9" s="12" t="n">
        <v>44620</v>
      </c>
      <c r="S9" s="8">
        <f>YEAR($Q9)*100+MONTH($Q9)</f>
        <v/>
      </c>
      <c r="T9" s="8">
        <f>YEAR($R9)*100+MONTH($R9)</f>
        <v/>
      </c>
      <c r="U9" s="15">
        <f>IF($A9&lt;=INDEX(pdates_wc_rate_inr_pa,1),INDEX(pvals_wc_rate_inr_pa,1),INDEX(pvals_wc_rate_inr_pa,MATCH($A9,pdates_wc_rate_inr_pa,1)))</f>
        <v/>
      </c>
      <c r="V9" s="8">
        <f>IF(AND($A9&gt;=customs_fx_first,$A9&lt;=customs_fx_last+customs_fx_notification_validity_days),IF($A9&lt;=INDEX(pdates_customs_usdinr_import,1),INDEX(pvals_customs_usdinr_import,1),INDEX(pvals_customs_usdinr_import,MATCH($A9,pdates_customs_usdinr_import,1))),$F9*(1+customs_fx_markup_frac))</f>
        <v/>
      </c>
      <c r="W9" s="8">
        <f>IF(AND($A9&gt;=customs_fx_first,$A9&lt;=customs_fx_last+customs_fx_notification_validity_days),"CBIC_NOTIFIED","MARKUP_FALLBACK")</f>
        <v/>
      </c>
      <c r="X9" s="8">
        <f>IF($A9&lt;=INDEX(pdates_grade_factor_zorba,1),INDEX(pvals_grade_factor_zorba,1),IF($A9&gt;=INDEX(pdates_grade_factor_zorba,10),INDEX(pvals_grade_factor_zorba,10),INDEX(pvals_grade_factor_zorba,MATCH($A9,pdates_grade_factor_zorba,1))+($A9-INDEX(pdates_grade_factor_zorba,MATCH($A9,pdates_grade_factor_zorba,1)))/(INDEX(pdates_grade_factor_zorba,MATCH($A9,pdates_grade_factor_zorba,1)+1)-INDEX(pdates_grade_factor_zorba,MATCH($A9,pdates_grade_factor_zorba,1)))*(INDEX(pvals_grade_factor_zorba,MATCH($A9,pdates_grade_factor_zorba,1)+1)-INDEX(pvals_grade_factor_zorba,MATCH($A9,pdates_grade_factor_zorba,1)))))</f>
        <v/>
      </c>
      <c r="Y9" s="8">
        <f>IF($A9&lt;=INDEX(pdates_grade_factor_taint_tabor,1),INDEX(pvals_grade_factor_taint_tabor,1),IF($A9&gt;=INDEX(pdates_grade_factor_taint_tabor,10),INDEX(pvals_grade_factor_taint_tabor,10),INDEX(pvals_grade_factor_taint_tabor,MATCH($A9,pdates_grade_factor_taint_tabor,1))+($A9-INDEX(pdates_grade_factor_taint_tabor,MATCH($A9,pdates_grade_factor_taint_tabor,1)))/(INDEX(pdates_grade_factor_taint_tabor,MATCH($A9,pdates_grade_factor_taint_tabor,1)+1)-INDEX(pdates_grade_factor_taint_tabor,MATCH($A9,pdates_grade_factor_taint_tabor,1)))*(INDEX(pvals_grade_factor_taint_tabor,MATCH($A9,pdates_grade_factor_taint_tabor,1)+1)-INDEX(pvals_grade_factor_taint_tabor,MATCH($A9,pdates_grade_factor_taint_tabor,1)))))</f>
        <v/>
      </c>
      <c r="Z9" s="8">
        <f>IF($A9&lt;=INDEX(pdates_grade_factor_tense,1),INDEX(pvals_grade_factor_tense,1),IF($A9&gt;=INDEX(pdates_grade_factor_tense,10),INDEX(pvals_grade_factor_tense,10),INDEX(pvals_grade_factor_tense,MATCH($A9,pdates_grade_factor_tense,1))+($A9-INDEX(pdates_grade_factor_tense,MATCH($A9,pdates_grade_factor_tense,1)))/(INDEX(pdates_grade_factor_tense,MATCH($A9,pdates_grade_factor_tense,1)+1)-INDEX(pdates_grade_factor_tense,MATCH($A9,pdates_grade_factor_tense,1)))*(INDEX(pvals_grade_factor_tense,MATCH($A9,pdates_grade_factor_tense,1)+1)-INDEX(pvals_grade_factor_tense,MATCH($A9,pdates_grade_factor_tense,1)))))</f>
        <v/>
      </c>
      <c r="AA9" s="8">
        <f>IF($A9&lt;=INDEX(pdates_grade_factor_mix_pit,1),INDEX(pvals_grade_factor_mix_pit,1),IF($A9&gt;=INDEX(pdates_grade_factor_mix_pit,10),INDEX(pvals_grade_factor_mix_pit,10),INDEX(pvals_grade_factor_mix_pit,MATCH($A9,pdates_grade_factor_mix_pit,1))+($A9-INDEX(pdates_grade_factor_mix_pit,MATCH($A9,pdates_grade_factor_mix_pit,1)))/(INDEX(pdates_grade_factor_mix_pit,MATCH($A9,pdates_grade_factor_mix_pit,1)+1)-INDEX(pdates_grade_factor_mix_pit,MATCH($A9,pdates_grade_factor_mix_pit,1)))*(INDEX(pvals_grade_factor_mix_pit,MATCH($A9,pdates_grade_factor_mix_pit,1)+1)-INDEX(pvals_grade_factor_mix_pit,MATCH($A9,pdates_grade_factor_mix_pit,1)))))</f>
        <v/>
      </c>
      <c r="AB9" s="16">
        <f>($B9*$F9/kg_per_mt*(1+bcd_primary_al_hs7601*(1+sws_rate_on_bcd))+mcx_domestic_premium_inr_kg)*(1+$I9*MAX(0,$Q9-$A9)/day_count_inr)</f>
        <v/>
      </c>
      <c r="AC9" s="16">
        <f>$M9-$AB9</f>
        <v/>
      </c>
      <c r="AD9" s="7" t="inlineStr">
        <is>
          <t>PROXY_IMPORT_PARITY</t>
        </is>
      </c>
      <c r="AE9" s="7" t="inlineStr">
        <is>
          <t>ECB_CROSS</t>
        </is>
      </c>
      <c r="AF9" s="7" t="inlineStr">
        <is>
          <t>WCI_REPORTED|USEC:EXTRAP_PRE|JEA:ASSUMPTION</t>
        </is>
      </c>
      <c r="AG9" s="17" t="b">
        <v>0</v>
      </c>
      <c r="AH9" s="17" t="b">
        <v>1</v>
      </c>
    </row>
    <row r="10">
      <c r="A10" s="11" t="n">
        <v>44571</v>
      </c>
      <c r="B10" s="13" t="n">
        <v>2923</v>
      </c>
      <c r="C10" s="13" t="n">
        <v>2934.5</v>
      </c>
      <c r="D10" s="13" t="n">
        <v>-11.5</v>
      </c>
      <c r="E10" s="13" t="n">
        <v>911500</v>
      </c>
      <c r="F10" s="13" t="n">
        <v>74.0414</v>
      </c>
      <c r="G10" s="6" t="n">
        <v>74.26139999999999</v>
      </c>
      <c r="H10" s="6" t="n">
        <v>74.6801</v>
      </c>
      <c r="I10" s="14" t="n">
        <v>0.0363</v>
      </c>
      <c r="J10" s="14" t="n">
        <v>0.001282</v>
      </c>
      <c r="K10" s="14" t="n">
        <v>0.04</v>
      </c>
      <c r="L10" s="13" t="n">
        <v>234.2779</v>
      </c>
      <c r="M10" s="13" t="n">
        <v>234.7672</v>
      </c>
      <c r="N10" s="13" t="n">
        <v>235.4196</v>
      </c>
      <c r="O10" s="13" t="n">
        <v>24.33</v>
      </c>
      <c r="P10" s="13" t="n">
        <v>107.9</v>
      </c>
      <c r="Q10" s="12" t="n">
        <v>44592</v>
      </c>
      <c r="R10" s="12" t="n">
        <v>44620</v>
      </c>
      <c r="S10" s="8">
        <f>YEAR($Q10)*100+MONTH($Q10)</f>
        <v/>
      </c>
      <c r="T10" s="8">
        <f>YEAR($R10)*100+MONTH($R10)</f>
        <v/>
      </c>
      <c r="U10" s="15">
        <f>IF($A10&lt;=INDEX(pdates_wc_rate_inr_pa,1),INDEX(pvals_wc_rate_inr_pa,1),INDEX(pvals_wc_rate_inr_pa,MATCH($A10,pdates_wc_rate_inr_pa,1)))</f>
        <v/>
      </c>
      <c r="V10" s="8">
        <f>IF(AND($A10&gt;=customs_fx_first,$A10&lt;=customs_fx_last+customs_fx_notification_validity_days),IF($A10&lt;=INDEX(pdates_customs_usdinr_import,1),INDEX(pvals_customs_usdinr_import,1),INDEX(pvals_customs_usdinr_import,MATCH($A10,pdates_customs_usdinr_import,1))),$F10*(1+customs_fx_markup_frac))</f>
        <v/>
      </c>
      <c r="W10" s="8">
        <f>IF(AND($A10&gt;=customs_fx_first,$A10&lt;=customs_fx_last+customs_fx_notification_validity_days),"CBIC_NOTIFIED","MARKUP_FALLBACK")</f>
        <v/>
      </c>
      <c r="X10" s="8">
        <f>IF($A10&lt;=INDEX(pdates_grade_factor_zorba,1),INDEX(pvals_grade_factor_zorba,1),IF($A10&gt;=INDEX(pdates_grade_factor_zorba,10),INDEX(pvals_grade_factor_zorba,10),INDEX(pvals_grade_factor_zorba,MATCH($A10,pdates_grade_factor_zorba,1))+($A10-INDEX(pdates_grade_factor_zorba,MATCH($A10,pdates_grade_factor_zorba,1)))/(INDEX(pdates_grade_factor_zorba,MATCH($A10,pdates_grade_factor_zorba,1)+1)-INDEX(pdates_grade_factor_zorba,MATCH($A10,pdates_grade_factor_zorba,1)))*(INDEX(pvals_grade_factor_zorba,MATCH($A10,pdates_grade_factor_zorba,1)+1)-INDEX(pvals_grade_factor_zorba,MATCH($A10,pdates_grade_factor_zorba,1)))))</f>
        <v/>
      </c>
      <c r="Y10" s="8">
        <f>IF($A10&lt;=INDEX(pdates_grade_factor_taint_tabor,1),INDEX(pvals_grade_factor_taint_tabor,1),IF($A10&gt;=INDEX(pdates_grade_factor_taint_tabor,10),INDEX(pvals_grade_factor_taint_tabor,10),INDEX(pvals_grade_factor_taint_tabor,MATCH($A10,pdates_grade_factor_taint_tabor,1))+($A10-INDEX(pdates_grade_factor_taint_tabor,MATCH($A10,pdates_grade_factor_taint_tabor,1)))/(INDEX(pdates_grade_factor_taint_tabor,MATCH($A10,pdates_grade_factor_taint_tabor,1)+1)-INDEX(pdates_grade_factor_taint_tabor,MATCH($A10,pdates_grade_factor_taint_tabor,1)))*(INDEX(pvals_grade_factor_taint_tabor,MATCH($A10,pdates_grade_factor_taint_tabor,1)+1)-INDEX(pvals_grade_factor_taint_tabor,MATCH($A10,pdates_grade_factor_taint_tabor,1)))))</f>
        <v/>
      </c>
      <c r="Z10" s="8">
        <f>IF($A10&lt;=INDEX(pdates_grade_factor_tense,1),INDEX(pvals_grade_factor_tense,1),IF($A10&gt;=INDEX(pdates_grade_factor_tense,10),INDEX(pvals_grade_factor_tense,10),INDEX(pvals_grade_factor_tense,MATCH($A10,pdates_grade_factor_tense,1))+($A10-INDEX(pdates_grade_factor_tense,MATCH($A10,pdates_grade_factor_tense,1)))/(INDEX(pdates_grade_factor_tense,MATCH($A10,pdates_grade_factor_tense,1)+1)-INDEX(pdates_grade_factor_tense,MATCH($A10,pdates_grade_factor_tense,1)))*(INDEX(pvals_grade_factor_tense,MATCH($A10,pdates_grade_factor_tense,1)+1)-INDEX(pvals_grade_factor_tense,MATCH($A10,pdates_grade_factor_tense,1)))))</f>
        <v/>
      </c>
      <c r="AA10" s="8">
        <f>IF($A10&lt;=INDEX(pdates_grade_factor_mix_pit,1),INDEX(pvals_grade_factor_mix_pit,1),IF($A10&gt;=INDEX(pdates_grade_factor_mix_pit,10),INDEX(pvals_grade_factor_mix_pit,10),INDEX(pvals_grade_factor_mix_pit,MATCH($A10,pdates_grade_factor_mix_pit,1))+($A10-INDEX(pdates_grade_factor_mix_pit,MATCH($A10,pdates_grade_factor_mix_pit,1)))/(INDEX(pdates_grade_factor_mix_pit,MATCH($A10,pdates_grade_factor_mix_pit,1)+1)-INDEX(pdates_grade_factor_mix_pit,MATCH($A10,pdates_grade_factor_mix_pit,1)))*(INDEX(pvals_grade_factor_mix_pit,MATCH($A10,pdates_grade_factor_mix_pit,1)+1)-INDEX(pvals_grade_factor_mix_pit,MATCH($A10,pdates_grade_factor_mix_pit,1)))))</f>
        <v/>
      </c>
      <c r="AB10" s="16">
        <f>($B10*$F10/kg_per_mt*(1+bcd_primary_al_hs7601*(1+sws_rate_on_bcd))+mcx_domestic_premium_inr_kg)*(1+$I10*MAX(0,$Q10-$A10)/day_count_inr)</f>
        <v/>
      </c>
      <c r="AC10" s="16">
        <f>$M10-$AB10</f>
        <v/>
      </c>
      <c r="AD10" s="7" t="inlineStr">
        <is>
          <t>PROXY_IMPORT_PARITY</t>
        </is>
      </c>
      <c r="AE10" s="7" t="inlineStr">
        <is>
          <t>ECB_CROSS</t>
        </is>
      </c>
      <c r="AF10" s="7" t="inlineStr">
        <is>
          <t>WCI_REPORTED|USEC:EXTRAP_PRE|JEA:ASSUMPTION</t>
        </is>
      </c>
      <c r="AG10" s="17" t="b">
        <v>0</v>
      </c>
      <c r="AH10" s="17" t="b">
        <v>1</v>
      </c>
    </row>
    <row r="11">
      <c r="A11" s="11" t="n">
        <v>44572</v>
      </c>
      <c r="B11" s="13" t="n">
        <v>2950</v>
      </c>
      <c r="C11" s="13" t="n">
        <v>2962</v>
      </c>
      <c r="D11" s="13" t="n">
        <v>-12</v>
      </c>
      <c r="E11" s="13" t="n">
        <v>902850</v>
      </c>
      <c r="F11" s="13" t="n">
        <v>73.878</v>
      </c>
      <c r="G11" s="6" t="n">
        <v>74.09820000000001</v>
      </c>
      <c r="H11" s="6" t="n">
        <v>74.5172</v>
      </c>
      <c r="I11" s="14" t="n">
        <v>0.0363</v>
      </c>
      <c r="J11" s="14" t="n">
        <v>0.001184</v>
      </c>
      <c r="K11" s="14" t="n">
        <v>0.04</v>
      </c>
      <c r="L11" s="13" t="n">
        <v>235.9202</v>
      </c>
      <c r="M11" s="13" t="n">
        <v>236.3894</v>
      </c>
      <c r="N11" s="13" t="n">
        <v>237.0464</v>
      </c>
      <c r="O11" s="13" t="n">
        <v>24.33</v>
      </c>
      <c r="P11" s="13" t="n">
        <v>107.9</v>
      </c>
      <c r="Q11" s="12" t="n">
        <v>44592</v>
      </c>
      <c r="R11" s="12" t="n">
        <v>44620</v>
      </c>
      <c r="S11" s="8">
        <f>YEAR($Q11)*100+MONTH($Q11)</f>
        <v/>
      </c>
      <c r="T11" s="8">
        <f>YEAR($R11)*100+MONTH($R11)</f>
        <v/>
      </c>
      <c r="U11" s="15">
        <f>IF($A11&lt;=INDEX(pdates_wc_rate_inr_pa,1),INDEX(pvals_wc_rate_inr_pa,1),INDEX(pvals_wc_rate_inr_pa,MATCH($A11,pdates_wc_rate_inr_pa,1)))</f>
        <v/>
      </c>
      <c r="V11" s="8">
        <f>IF(AND($A11&gt;=customs_fx_first,$A11&lt;=customs_fx_last+customs_fx_notification_validity_days),IF($A11&lt;=INDEX(pdates_customs_usdinr_import,1),INDEX(pvals_customs_usdinr_import,1),INDEX(pvals_customs_usdinr_import,MATCH($A11,pdates_customs_usdinr_import,1))),$F11*(1+customs_fx_markup_frac))</f>
        <v/>
      </c>
      <c r="W11" s="8">
        <f>IF(AND($A11&gt;=customs_fx_first,$A11&lt;=customs_fx_last+customs_fx_notification_validity_days),"CBIC_NOTIFIED","MARKUP_FALLBACK")</f>
        <v/>
      </c>
      <c r="X11" s="8">
        <f>IF($A11&lt;=INDEX(pdates_grade_factor_zorba,1),INDEX(pvals_grade_factor_zorba,1),IF($A11&gt;=INDEX(pdates_grade_factor_zorba,10),INDEX(pvals_grade_factor_zorba,10),INDEX(pvals_grade_factor_zorba,MATCH($A11,pdates_grade_factor_zorba,1))+($A11-INDEX(pdates_grade_factor_zorba,MATCH($A11,pdates_grade_factor_zorba,1)))/(INDEX(pdates_grade_factor_zorba,MATCH($A11,pdates_grade_factor_zorba,1)+1)-INDEX(pdates_grade_factor_zorba,MATCH($A11,pdates_grade_factor_zorba,1)))*(INDEX(pvals_grade_factor_zorba,MATCH($A11,pdates_grade_factor_zorba,1)+1)-INDEX(pvals_grade_factor_zorba,MATCH($A11,pdates_grade_factor_zorba,1)))))</f>
        <v/>
      </c>
      <c r="Y11" s="8">
        <f>IF($A11&lt;=INDEX(pdates_grade_factor_taint_tabor,1),INDEX(pvals_grade_factor_taint_tabor,1),IF($A11&gt;=INDEX(pdates_grade_factor_taint_tabor,10),INDEX(pvals_grade_factor_taint_tabor,10),INDEX(pvals_grade_factor_taint_tabor,MATCH($A11,pdates_grade_factor_taint_tabor,1))+($A11-INDEX(pdates_grade_factor_taint_tabor,MATCH($A11,pdates_grade_factor_taint_tabor,1)))/(INDEX(pdates_grade_factor_taint_tabor,MATCH($A11,pdates_grade_factor_taint_tabor,1)+1)-INDEX(pdates_grade_factor_taint_tabor,MATCH($A11,pdates_grade_factor_taint_tabor,1)))*(INDEX(pvals_grade_factor_taint_tabor,MATCH($A11,pdates_grade_factor_taint_tabor,1)+1)-INDEX(pvals_grade_factor_taint_tabor,MATCH($A11,pdates_grade_factor_taint_tabor,1)))))</f>
        <v/>
      </c>
      <c r="Z11" s="8">
        <f>IF($A11&lt;=INDEX(pdates_grade_factor_tense,1),INDEX(pvals_grade_factor_tense,1),IF($A11&gt;=INDEX(pdates_grade_factor_tense,10),INDEX(pvals_grade_factor_tense,10),INDEX(pvals_grade_factor_tense,MATCH($A11,pdates_grade_factor_tense,1))+($A11-INDEX(pdates_grade_factor_tense,MATCH($A11,pdates_grade_factor_tense,1)))/(INDEX(pdates_grade_factor_tense,MATCH($A11,pdates_grade_factor_tense,1)+1)-INDEX(pdates_grade_factor_tense,MATCH($A11,pdates_grade_factor_tense,1)))*(INDEX(pvals_grade_factor_tense,MATCH($A11,pdates_grade_factor_tense,1)+1)-INDEX(pvals_grade_factor_tense,MATCH($A11,pdates_grade_factor_tense,1)))))</f>
        <v/>
      </c>
      <c r="AA11" s="8">
        <f>IF($A11&lt;=INDEX(pdates_grade_factor_mix_pit,1),INDEX(pvals_grade_factor_mix_pit,1),IF($A11&gt;=INDEX(pdates_grade_factor_mix_pit,10),INDEX(pvals_grade_factor_mix_pit,10),INDEX(pvals_grade_factor_mix_pit,MATCH($A11,pdates_grade_factor_mix_pit,1))+($A11-INDEX(pdates_grade_factor_mix_pit,MATCH($A11,pdates_grade_factor_mix_pit,1)))/(INDEX(pdates_grade_factor_mix_pit,MATCH($A11,pdates_grade_factor_mix_pit,1)+1)-INDEX(pdates_grade_factor_mix_pit,MATCH($A11,pdates_grade_factor_mix_pit,1)))*(INDEX(pvals_grade_factor_mix_pit,MATCH($A11,pdates_grade_factor_mix_pit,1)+1)-INDEX(pvals_grade_factor_mix_pit,MATCH($A11,pdates_grade_factor_mix_pit,1)))))</f>
        <v/>
      </c>
      <c r="AB11" s="16">
        <f>($B11*$F11/kg_per_mt*(1+bcd_primary_al_hs7601*(1+sws_rate_on_bcd))+mcx_domestic_premium_inr_kg)*(1+$I11*MAX(0,$Q11-$A11)/day_count_inr)</f>
        <v/>
      </c>
      <c r="AC11" s="16">
        <f>$M11-$AB11</f>
        <v/>
      </c>
      <c r="AD11" s="7" t="inlineStr">
        <is>
          <t>PROXY_IMPORT_PARITY</t>
        </is>
      </c>
      <c r="AE11" s="7" t="inlineStr">
        <is>
          <t>ECB_CROSS</t>
        </is>
      </c>
      <c r="AF11" s="7" t="inlineStr">
        <is>
          <t>WCI_REPORTED|USEC:EXTRAP_PRE|JEA:ASSUMPTION</t>
        </is>
      </c>
      <c r="AG11" s="17" t="b">
        <v>0</v>
      </c>
      <c r="AH11" s="17" t="b">
        <v>1</v>
      </c>
    </row>
    <row r="12">
      <c r="A12" s="11" t="n">
        <v>44573</v>
      </c>
      <c r="B12" s="13" t="n">
        <v>3003</v>
      </c>
      <c r="C12" s="13" t="n">
        <v>3014</v>
      </c>
      <c r="D12" s="13" t="n">
        <v>-11</v>
      </c>
      <c r="E12" s="13" t="n">
        <v>898525</v>
      </c>
      <c r="F12" s="13" t="n">
        <v>73.9037</v>
      </c>
      <c r="G12" s="6" t="n">
        <v>74.124</v>
      </c>
      <c r="H12" s="6" t="n">
        <v>74.5431</v>
      </c>
      <c r="I12" s="14" t="n">
        <v>0.0363</v>
      </c>
      <c r="J12" s="14" t="n">
        <v>0.001184</v>
      </c>
      <c r="K12" s="14" t="n">
        <v>0.04</v>
      </c>
      <c r="L12" s="13" t="n">
        <v>240.2423</v>
      </c>
      <c r="M12" s="13" t="n">
        <v>240.6962</v>
      </c>
      <c r="N12" s="13" t="n">
        <v>241.3652</v>
      </c>
      <c r="O12" s="13" t="n">
        <v>24.33</v>
      </c>
      <c r="P12" s="13" t="n">
        <v>107.9</v>
      </c>
      <c r="Q12" s="12" t="n">
        <v>44592</v>
      </c>
      <c r="R12" s="12" t="n">
        <v>44620</v>
      </c>
      <c r="S12" s="8">
        <f>YEAR($Q12)*100+MONTH($Q12)</f>
        <v/>
      </c>
      <c r="T12" s="8">
        <f>YEAR($R12)*100+MONTH($R12)</f>
        <v/>
      </c>
      <c r="U12" s="15">
        <f>IF($A12&lt;=INDEX(pdates_wc_rate_inr_pa,1),INDEX(pvals_wc_rate_inr_pa,1),INDEX(pvals_wc_rate_inr_pa,MATCH($A12,pdates_wc_rate_inr_pa,1)))</f>
        <v/>
      </c>
      <c r="V12" s="8">
        <f>IF(AND($A12&gt;=customs_fx_first,$A12&lt;=customs_fx_last+customs_fx_notification_validity_days),IF($A12&lt;=INDEX(pdates_customs_usdinr_import,1),INDEX(pvals_customs_usdinr_import,1),INDEX(pvals_customs_usdinr_import,MATCH($A12,pdates_customs_usdinr_import,1))),$F12*(1+customs_fx_markup_frac))</f>
        <v/>
      </c>
      <c r="W12" s="8">
        <f>IF(AND($A12&gt;=customs_fx_first,$A12&lt;=customs_fx_last+customs_fx_notification_validity_days),"CBIC_NOTIFIED","MARKUP_FALLBACK")</f>
        <v/>
      </c>
      <c r="X12" s="8">
        <f>IF($A12&lt;=INDEX(pdates_grade_factor_zorba,1),INDEX(pvals_grade_factor_zorba,1),IF($A12&gt;=INDEX(pdates_grade_factor_zorba,10),INDEX(pvals_grade_factor_zorba,10),INDEX(pvals_grade_factor_zorba,MATCH($A12,pdates_grade_factor_zorba,1))+($A12-INDEX(pdates_grade_factor_zorba,MATCH($A12,pdates_grade_factor_zorba,1)))/(INDEX(pdates_grade_factor_zorba,MATCH($A12,pdates_grade_factor_zorba,1)+1)-INDEX(pdates_grade_factor_zorba,MATCH($A12,pdates_grade_factor_zorba,1)))*(INDEX(pvals_grade_factor_zorba,MATCH($A12,pdates_grade_factor_zorba,1)+1)-INDEX(pvals_grade_factor_zorba,MATCH($A12,pdates_grade_factor_zorba,1)))))</f>
        <v/>
      </c>
      <c r="Y12" s="8">
        <f>IF($A12&lt;=INDEX(pdates_grade_factor_taint_tabor,1),INDEX(pvals_grade_factor_taint_tabor,1),IF($A12&gt;=INDEX(pdates_grade_factor_taint_tabor,10),INDEX(pvals_grade_factor_taint_tabor,10),INDEX(pvals_grade_factor_taint_tabor,MATCH($A12,pdates_grade_factor_taint_tabor,1))+($A12-INDEX(pdates_grade_factor_taint_tabor,MATCH($A12,pdates_grade_factor_taint_tabor,1)))/(INDEX(pdates_grade_factor_taint_tabor,MATCH($A12,pdates_grade_factor_taint_tabor,1)+1)-INDEX(pdates_grade_factor_taint_tabor,MATCH($A12,pdates_grade_factor_taint_tabor,1)))*(INDEX(pvals_grade_factor_taint_tabor,MATCH($A12,pdates_grade_factor_taint_tabor,1)+1)-INDEX(pvals_grade_factor_taint_tabor,MATCH($A12,pdates_grade_factor_taint_tabor,1)))))</f>
        <v/>
      </c>
      <c r="Z12" s="8">
        <f>IF($A12&lt;=INDEX(pdates_grade_factor_tense,1),INDEX(pvals_grade_factor_tense,1),IF($A12&gt;=INDEX(pdates_grade_factor_tense,10),INDEX(pvals_grade_factor_tense,10),INDEX(pvals_grade_factor_tense,MATCH($A12,pdates_grade_factor_tense,1))+($A12-INDEX(pdates_grade_factor_tense,MATCH($A12,pdates_grade_factor_tense,1)))/(INDEX(pdates_grade_factor_tense,MATCH($A12,pdates_grade_factor_tense,1)+1)-INDEX(pdates_grade_factor_tense,MATCH($A12,pdates_grade_factor_tense,1)))*(INDEX(pvals_grade_factor_tense,MATCH($A12,pdates_grade_factor_tense,1)+1)-INDEX(pvals_grade_factor_tense,MATCH($A12,pdates_grade_factor_tense,1)))))</f>
        <v/>
      </c>
      <c r="AA12" s="8">
        <f>IF($A12&lt;=INDEX(pdates_grade_factor_mix_pit,1),INDEX(pvals_grade_factor_mix_pit,1),IF($A12&gt;=INDEX(pdates_grade_factor_mix_pit,10),INDEX(pvals_grade_factor_mix_pit,10),INDEX(pvals_grade_factor_mix_pit,MATCH($A12,pdates_grade_factor_mix_pit,1))+($A12-INDEX(pdates_grade_factor_mix_pit,MATCH($A12,pdates_grade_factor_mix_pit,1)))/(INDEX(pdates_grade_factor_mix_pit,MATCH($A12,pdates_grade_factor_mix_pit,1)+1)-INDEX(pdates_grade_factor_mix_pit,MATCH($A12,pdates_grade_factor_mix_pit,1)))*(INDEX(pvals_grade_factor_mix_pit,MATCH($A12,pdates_grade_factor_mix_pit,1)+1)-INDEX(pvals_grade_factor_mix_pit,MATCH($A12,pdates_grade_factor_mix_pit,1)))))</f>
        <v/>
      </c>
      <c r="AB12" s="16">
        <f>($B12*$F12/kg_per_mt*(1+bcd_primary_al_hs7601*(1+sws_rate_on_bcd))+mcx_domestic_premium_inr_kg)*(1+$I12*MAX(0,$Q12-$A12)/day_count_inr)</f>
        <v/>
      </c>
      <c r="AC12" s="16">
        <f>$M12-$AB12</f>
        <v/>
      </c>
      <c r="AD12" s="7" t="inlineStr">
        <is>
          <t>PROXY_IMPORT_PARITY</t>
        </is>
      </c>
      <c r="AE12" s="7" t="inlineStr">
        <is>
          <t>ECB_CROSS</t>
        </is>
      </c>
      <c r="AF12" s="7" t="inlineStr">
        <is>
          <t>WCI_REPORTED|USEC:EXTRAP_PRE|JEA:ASSUMPTION</t>
        </is>
      </c>
      <c r="AG12" s="17" t="b">
        <v>0</v>
      </c>
      <c r="AH12" s="17" t="b">
        <v>1</v>
      </c>
    </row>
    <row r="13">
      <c r="A13" s="11" t="n">
        <v>44574</v>
      </c>
      <c r="B13" s="13" t="n">
        <v>2960</v>
      </c>
      <c r="C13" s="13" t="n">
        <v>2970</v>
      </c>
      <c r="D13" s="13" t="n">
        <v>-10</v>
      </c>
      <c r="E13" s="13" t="n">
        <v>895000</v>
      </c>
      <c r="F13" s="13" t="n">
        <v>73.90470000000001</v>
      </c>
      <c r="G13" s="6" t="n">
        <v>74.125</v>
      </c>
      <c r="H13" s="6" t="n">
        <v>74.5442</v>
      </c>
      <c r="I13" s="14" t="n">
        <v>0.0363</v>
      </c>
      <c r="J13" s="14" t="n">
        <v>0.001184</v>
      </c>
      <c r="K13" s="14" t="n">
        <v>0.04</v>
      </c>
      <c r="L13" s="13" t="n">
        <v>236.8054</v>
      </c>
      <c r="M13" s="13" t="n">
        <v>237.2294</v>
      </c>
      <c r="N13" s="13" t="n">
        <v>237.8888</v>
      </c>
      <c r="O13" s="13" t="n">
        <v>24.69</v>
      </c>
      <c r="P13" s="13" t="n">
        <v>109.46</v>
      </c>
      <c r="Q13" s="12" t="n">
        <v>44592</v>
      </c>
      <c r="R13" s="12" t="n">
        <v>44620</v>
      </c>
      <c r="S13" s="8">
        <f>YEAR($Q13)*100+MONTH($Q13)</f>
        <v/>
      </c>
      <c r="T13" s="8">
        <f>YEAR($R13)*100+MONTH($R13)</f>
        <v/>
      </c>
      <c r="U13" s="15">
        <f>IF($A13&lt;=INDEX(pdates_wc_rate_inr_pa,1),INDEX(pvals_wc_rate_inr_pa,1),INDEX(pvals_wc_rate_inr_pa,MATCH($A13,pdates_wc_rate_inr_pa,1)))</f>
        <v/>
      </c>
      <c r="V13" s="8">
        <f>IF(AND($A13&gt;=customs_fx_first,$A13&lt;=customs_fx_last+customs_fx_notification_validity_days),IF($A13&lt;=INDEX(pdates_customs_usdinr_import,1),INDEX(pvals_customs_usdinr_import,1),INDEX(pvals_customs_usdinr_import,MATCH($A13,pdates_customs_usdinr_import,1))),$F13*(1+customs_fx_markup_frac))</f>
        <v/>
      </c>
      <c r="W13" s="8">
        <f>IF(AND($A13&gt;=customs_fx_first,$A13&lt;=customs_fx_last+customs_fx_notification_validity_days),"CBIC_NOTIFIED","MARKUP_FALLBACK")</f>
        <v/>
      </c>
      <c r="X13" s="8">
        <f>IF($A13&lt;=INDEX(pdates_grade_factor_zorba,1),INDEX(pvals_grade_factor_zorba,1),IF($A13&gt;=INDEX(pdates_grade_factor_zorba,10),INDEX(pvals_grade_factor_zorba,10),INDEX(pvals_grade_factor_zorba,MATCH($A13,pdates_grade_factor_zorba,1))+($A13-INDEX(pdates_grade_factor_zorba,MATCH($A13,pdates_grade_factor_zorba,1)))/(INDEX(pdates_grade_factor_zorba,MATCH($A13,pdates_grade_factor_zorba,1)+1)-INDEX(pdates_grade_factor_zorba,MATCH($A13,pdates_grade_factor_zorba,1)))*(INDEX(pvals_grade_factor_zorba,MATCH($A13,pdates_grade_factor_zorba,1)+1)-INDEX(pvals_grade_factor_zorba,MATCH($A13,pdates_grade_factor_zorba,1)))))</f>
        <v/>
      </c>
      <c r="Y13" s="8">
        <f>IF($A13&lt;=INDEX(pdates_grade_factor_taint_tabor,1),INDEX(pvals_grade_factor_taint_tabor,1),IF($A13&gt;=INDEX(pdates_grade_factor_taint_tabor,10),INDEX(pvals_grade_factor_taint_tabor,10),INDEX(pvals_grade_factor_taint_tabor,MATCH($A13,pdates_grade_factor_taint_tabor,1))+($A13-INDEX(pdates_grade_factor_taint_tabor,MATCH($A13,pdates_grade_factor_taint_tabor,1)))/(INDEX(pdates_grade_factor_taint_tabor,MATCH($A13,pdates_grade_factor_taint_tabor,1)+1)-INDEX(pdates_grade_factor_taint_tabor,MATCH($A13,pdates_grade_factor_taint_tabor,1)))*(INDEX(pvals_grade_factor_taint_tabor,MATCH($A13,pdates_grade_factor_taint_tabor,1)+1)-INDEX(pvals_grade_factor_taint_tabor,MATCH($A13,pdates_grade_factor_taint_tabor,1)))))</f>
        <v/>
      </c>
      <c r="Z13" s="8">
        <f>IF($A13&lt;=INDEX(pdates_grade_factor_tense,1),INDEX(pvals_grade_factor_tense,1),IF($A13&gt;=INDEX(pdates_grade_factor_tense,10),INDEX(pvals_grade_factor_tense,10),INDEX(pvals_grade_factor_tense,MATCH($A13,pdates_grade_factor_tense,1))+($A13-INDEX(pdates_grade_factor_tense,MATCH($A13,pdates_grade_factor_tense,1)))/(INDEX(pdates_grade_factor_tense,MATCH($A13,pdates_grade_factor_tense,1)+1)-INDEX(pdates_grade_factor_tense,MATCH($A13,pdates_grade_factor_tense,1)))*(INDEX(pvals_grade_factor_tense,MATCH($A13,pdates_grade_factor_tense,1)+1)-INDEX(pvals_grade_factor_tense,MATCH($A13,pdates_grade_factor_tense,1)))))</f>
        <v/>
      </c>
      <c r="AA13" s="8">
        <f>IF($A13&lt;=INDEX(pdates_grade_factor_mix_pit,1),INDEX(pvals_grade_factor_mix_pit,1),IF($A13&gt;=INDEX(pdates_grade_factor_mix_pit,10),INDEX(pvals_grade_factor_mix_pit,10),INDEX(pvals_grade_factor_mix_pit,MATCH($A13,pdates_grade_factor_mix_pit,1))+($A13-INDEX(pdates_grade_factor_mix_pit,MATCH($A13,pdates_grade_factor_mix_pit,1)))/(INDEX(pdates_grade_factor_mix_pit,MATCH($A13,pdates_grade_factor_mix_pit,1)+1)-INDEX(pdates_grade_factor_mix_pit,MATCH($A13,pdates_grade_factor_mix_pit,1)))*(INDEX(pvals_grade_factor_mix_pit,MATCH($A13,pdates_grade_factor_mix_pit,1)+1)-INDEX(pvals_grade_factor_mix_pit,MATCH($A13,pdates_grade_factor_mix_pit,1)))))</f>
        <v/>
      </c>
      <c r="AB13" s="16">
        <f>($B13*$F13/kg_per_mt*(1+bcd_primary_al_hs7601*(1+sws_rate_on_bcd))+mcx_domestic_premium_inr_kg)*(1+$I13*MAX(0,$Q13-$A13)/day_count_inr)</f>
        <v/>
      </c>
      <c r="AC13" s="16">
        <f>$M13-$AB13</f>
        <v/>
      </c>
      <c r="AD13" s="7" t="inlineStr">
        <is>
          <t>PROXY_IMPORT_PARITY</t>
        </is>
      </c>
      <c r="AE13" s="7" t="inlineStr">
        <is>
          <t>ECB_CROSS</t>
        </is>
      </c>
      <c r="AF13" s="7" t="inlineStr">
        <is>
          <t>WCI_REPORTED|USEC:EXTRAP_PRE|JEA:ASSUMPTION</t>
        </is>
      </c>
      <c r="AG13" s="17" t="b">
        <v>0</v>
      </c>
      <c r="AH13" s="17" t="b">
        <v>0</v>
      </c>
    </row>
    <row r="14">
      <c r="A14" s="11" t="n">
        <v>44575</v>
      </c>
      <c r="B14" s="13" t="n">
        <v>2977.5</v>
      </c>
      <c r="C14" s="13" t="n">
        <v>2980</v>
      </c>
      <c r="D14" s="13" t="n">
        <v>-2.5</v>
      </c>
      <c r="E14" s="13" t="n">
        <v>891550</v>
      </c>
      <c r="F14" s="13" t="n">
        <v>74.2068</v>
      </c>
      <c r="G14" s="6" t="n">
        <v>74.4273</v>
      </c>
      <c r="H14" s="6" t="n">
        <v>74.84699999999999</v>
      </c>
      <c r="I14" s="14" t="n">
        <v>0.0363</v>
      </c>
      <c r="J14" s="14" t="n">
        <v>0.001282</v>
      </c>
      <c r="K14" s="14" t="n">
        <v>0.04</v>
      </c>
      <c r="L14" s="13" t="n">
        <v>239.1792</v>
      </c>
      <c r="M14" s="13" t="n">
        <v>239.5836</v>
      </c>
      <c r="N14" s="13" t="n">
        <v>240.2496</v>
      </c>
      <c r="O14" s="13" t="n">
        <v>24.69</v>
      </c>
      <c r="P14" s="13" t="n">
        <v>109.46</v>
      </c>
      <c r="Q14" s="12" t="n">
        <v>44592</v>
      </c>
      <c r="R14" s="12" t="n">
        <v>44620</v>
      </c>
      <c r="S14" s="8">
        <f>YEAR($Q14)*100+MONTH($Q14)</f>
        <v/>
      </c>
      <c r="T14" s="8">
        <f>YEAR($R14)*100+MONTH($R14)</f>
        <v/>
      </c>
      <c r="U14" s="15">
        <f>IF($A14&lt;=INDEX(pdates_wc_rate_inr_pa,1),INDEX(pvals_wc_rate_inr_pa,1),INDEX(pvals_wc_rate_inr_pa,MATCH($A14,pdates_wc_rate_inr_pa,1)))</f>
        <v/>
      </c>
      <c r="V14" s="8">
        <f>IF(AND($A14&gt;=customs_fx_first,$A14&lt;=customs_fx_last+customs_fx_notification_validity_days),IF($A14&lt;=INDEX(pdates_customs_usdinr_import,1),INDEX(pvals_customs_usdinr_import,1),INDEX(pvals_customs_usdinr_import,MATCH($A14,pdates_customs_usdinr_import,1))),$F14*(1+customs_fx_markup_frac))</f>
        <v/>
      </c>
      <c r="W14" s="8">
        <f>IF(AND($A14&gt;=customs_fx_first,$A14&lt;=customs_fx_last+customs_fx_notification_validity_days),"CBIC_NOTIFIED","MARKUP_FALLBACK")</f>
        <v/>
      </c>
      <c r="X14" s="8">
        <f>IF($A14&lt;=INDEX(pdates_grade_factor_zorba,1),INDEX(pvals_grade_factor_zorba,1),IF($A14&gt;=INDEX(pdates_grade_factor_zorba,10),INDEX(pvals_grade_factor_zorba,10),INDEX(pvals_grade_factor_zorba,MATCH($A14,pdates_grade_factor_zorba,1))+($A14-INDEX(pdates_grade_factor_zorba,MATCH($A14,pdates_grade_factor_zorba,1)))/(INDEX(pdates_grade_factor_zorba,MATCH($A14,pdates_grade_factor_zorba,1)+1)-INDEX(pdates_grade_factor_zorba,MATCH($A14,pdates_grade_factor_zorba,1)))*(INDEX(pvals_grade_factor_zorba,MATCH($A14,pdates_grade_factor_zorba,1)+1)-INDEX(pvals_grade_factor_zorba,MATCH($A14,pdates_grade_factor_zorba,1)))))</f>
        <v/>
      </c>
      <c r="Y14" s="8">
        <f>IF($A14&lt;=INDEX(pdates_grade_factor_taint_tabor,1),INDEX(pvals_grade_factor_taint_tabor,1),IF($A14&gt;=INDEX(pdates_grade_factor_taint_tabor,10),INDEX(pvals_grade_factor_taint_tabor,10),INDEX(pvals_grade_factor_taint_tabor,MATCH($A14,pdates_grade_factor_taint_tabor,1))+($A14-INDEX(pdates_grade_factor_taint_tabor,MATCH($A14,pdates_grade_factor_taint_tabor,1)))/(INDEX(pdates_grade_factor_taint_tabor,MATCH($A14,pdates_grade_factor_taint_tabor,1)+1)-INDEX(pdates_grade_factor_taint_tabor,MATCH($A14,pdates_grade_factor_taint_tabor,1)))*(INDEX(pvals_grade_factor_taint_tabor,MATCH($A14,pdates_grade_factor_taint_tabor,1)+1)-INDEX(pvals_grade_factor_taint_tabor,MATCH($A14,pdates_grade_factor_taint_tabor,1)))))</f>
        <v/>
      </c>
      <c r="Z14" s="8">
        <f>IF($A14&lt;=INDEX(pdates_grade_factor_tense,1),INDEX(pvals_grade_factor_tense,1),IF($A14&gt;=INDEX(pdates_grade_factor_tense,10),INDEX(pvals_grade_factor_tense,10),INDEX(pvals_grade_factor_tense,MATCH($A14,pdates_grade_factor_tense,1))+($A14-INDEX(pdates_grade_factor_tense,MATCH($A14,pdates_grade_factor_tense,1)))/(INDEX(pdates_grade_factor_tense,MATCH($A14,pdates_grade_factor_tense,1)+1)-INDEX(pdates_grade_factor_tense,MATCH($A14,pdates_grade_factor_tense,1)))*(INDEX(pvals_grade_factor_tense,MATCH($A14,pdates_grade_factor_tense,1)+1)-INDEX(pvals_grade_factor_tense,MATCH($A14,pdates_grade_factor_tense,1)))))</f>
        <v/>
      </c>
      <c r="AA14" s="8">
        <f>IF($A14&lt;=INDEX(pdates_grade_factor_mix_pit,1),INDEX(pvals_grade_factor_mix_pit,1),IF($A14&gt;=INDEX(pdates_grade_factor_mix_pit,10),INDEX(pvals_grade_factor_mix_pit,10),INDEX(pvals_grade_factor_mix_pit,MATCH($A14,pdates_grade_factor_mix_pit,1))+($A14-INDEX(pdates_grade_factor_mix_pit,MATCH($A14,pdates_grade_factor_mix_pit,1)))/(INDEX(pdates_grade_factor_mix_pit,MATCH($A14,pdates_grade_factor_mix_pit,1)+1)-INDEX(pdates_grade_factor_mix_pit,MATCH($A14,pdates_grade_factor_mix_pit,1)))*(INDEX(pvals_grade_factor_mix_pit,MATCH($A14,pdates_grade_factor_mix_pit,1)+1)-INDEX(pvals_grade_factor_mix_pit,MATCH($A14,pdates_grade_factor_mix_pit,1)))))</f>
        <v/>
      </c>
      <c r="AB14" s="16">
        <f>($B14*$F14/kg_per_mt*(1+bcd_primary_al_hs7601*(1+sws_rate_on_bcd))+mcx_domestic_premium_inr_kg)*(1+$I14*MAX(0,$Q14-$A14)/day_count_inr)</f>
        <v/>
      </c>
      <c r="AC14" s="16">
        <f>$M14-$AB14</f>
        <v/>
      </c>
      <c r="AD14" s="7" t="inlineStr">
        <is>
          <t>PROXY_IMPORT_PARITY</t>
        </is>
      </c>
      <c r="AE14" s="7" t="inlineStr">
        <is>
          <t>ECB_CROSS</t>
        </is>
      </c>
      <c r="AF14" s="7" t="inlineStr">
        <is>
          <t>WCI_REPORTED|USEC:EXTRAP_PRE|JEA:ASSUMPTION</t>
        </is>
      </c>
      <c r="AG14" s="17" t="b">
        <v>0</v>
      </c>
      <c r="AH14" s="17" t="b">
        <v>1</v>
      </c>
    </row>
    <row r="15">
      <c r="A15" s="11" t="n">
        <v>44578</v>
      </c>
      <c r="B15" s="13" t="n">
        <v>3009</v>
      </c>
      <c r="C15" s="13" t="n">
        <v>2996</v>
      </c>
      <c r="D15" s="13" t="n">
        <v>13</v>
      </c>
      <c r="E15" s="13" t="n">
        <v>892800</v>
      </c>
      <c r="F15" s="13" t="n">
        <v>74.30459999999999</v>
      </c>
      <c r="G15" s="6" t="n">
        <v>74.5254</v>
      </c>
      <c r="H15" s="6" t="n">
        <v>74.9456</v>
      </c>
      <c r="I15" s="14" t="n">
        <v>0.0363</v>
      </c>
      <c r="J15" s="14" t="n">
        <v>0.001282</v>
      </c>
      <c r="K15" s="14" t="n">
        <v>0.04</v>
      </c>
      <c r="L15" s="13" t="n">
        <v>242.0281</v>
      </c>
      <c r="M15" s="13" t="n">
        <v>242.3651</v>
      </c>
      <c r="N15" s="13" t="n">
        <v>243.039</v>
      </c>
      <c r="O15" s="13" t="n">
        <v>24.69</v>
      </c>
      <c r="P15" s="13" t="n">
        <v>109.46</v>
      </c>
      <c r="Q15" s="12" t="n">
        <v>44592</v>
      </c>
      <c r="R15" s="12" t="n">
        <v>44620</v>
      </c>
      <c r="S15" s="8">
        <f>YEAR($Q15)*100+MONTH($Q15)</f>
        <v/>
      </c>
      <c r="T15" s="8">
        <f>YEAR($R15)*100+MONTH($R15)</f>
        <v/>
      </c>
      <c r="U15" s="15">
        <f>IF($A15&lt;=INDEX(pdates_wc_rate_inr_pa,1),INDEX(pvals_wc_rate_inr_pa,1),INDEX(pvals_wc_rate_inr_pa,MATCH($A15,pdates_wc_rate_inr_pa,1)))</f>
        <v/>
      </c>
      <c r="V15" s="8">
        <f>IF(AND($A15&gt;=customs_fx_first,$A15&lt;=customs_fx_last+customs_fx_notification_validity_days),IF($A15&lt;=INDEX(pdates_customs_usdinr_import,1),INDEX(pvals_customs_usdinr_import,1),INDEX(pvals_customs_usdinr_import,MATCH($A15,pdates_customs_usdinr_import,1))),$F15*(1+customs_fx_markup_frac))</f>
        <v/>
      </c>
      <c r="W15" s="8">
        <f>IF(AND($A15&gt;=customs_fx_first,$A15&lt;=customs_fx_last+customs_fx_notification_validity_days),"CBIC_NOTIFIED","MARKUP_FALLBACK")</f>
        <v/>
      </c>
      <c r="X15" s="8">
        <f>IF($A15&lt;=INDEX(pdates_grade_factor_zorba,1),INDEX(pvals_grade_factor_zorba,1),IF($A15&gt;=INDEX(pdates_grade_factor_zorba,10),INDEX(pvals_grade_factor_zorba,10),INDEX(pvals_grade_factor_zorba,MATCH($A15,pdates_grade_factor_zorba,1))+($A15-INDEX(pdates_grade_factor_zorba,MATCH($A15,pdates_grade_factor_zorba,1)))/(INDEX(pdates_grade_factor_zorba,MATCH($A15,pdates_grade_factor_zorba,1)+1)-INDEX(pdates_grade_factor_zorba,MATCH($A15,pdates_grade_factor_zorba,1)))*(INDEX(pvals_grade_factor_zorba,MATCH($A15,pdates_grade_factor_zorba,1)+1)-INDEX(pvals_grade_factor_zorba,MATCH($A15,pdates_grade_factor_zorba,1)))))</f>
        <v/>
      </c>
      <c r="Y15" s="8">
        <f>IF($A15&lt;=INDEX(pdates_grade_factor_taint_tabor,1),INDEX(pvals_grade_factor_taint_tabor,1),IF($A15&gt;=INDEX(pdates_grade_factor_taint_tabor,10),INDEX(pvals_grade_factor_taint_tabor,10),INDEX(pvals_grade_factor_taint_tabor,MATCH($A15,pdates_grade_factor_taint_tabor,1))+($A15-INDEX(pdates_grade_factor_taint_tabor,MATCH($A15,pdates_grade_factor_taint_tabor,1)))/(INDEX(pdates_grade_factor_taint_tabor,MATCH($A15,pdates_grade_factor_taint_tabor,1)+1)-INDEX(pdates_grade_factor_taint_tabor,MATCH($A15,pdates_grade_factor_taint_tabor,1)))*(INDEX(pvals_grade_factor_taint_tabor,MATCH($A15,pdates_grade_factor_taint_tabor,1)+1)-INDEX(pvals_grade_factor_taint_tabor,MATCH($A15,pdates_grade_factor_taint_tabor,1)))))</f>
        <v/>
      </c>
      <c r="Z15" s="8">
        <f>IF($A15&lt;=INDEX(pdates_grade_factor_tense,1),INDEX(pvals_grade_factor_tense,1),IF($A15&gt;=INDEX(pdates_grade_factor_tense,10),INDEX(pvals_grade_factor_tense,10),INDEX(pvals_grade_factor_tense,MATCH($A15,pdates_grade_factor_tense,1))+($A15-INDEX(pdates_grade_factor_tense,MATCH($A15,pdates_grade_factor_tense,1)))/(INDEX(pdates_grade_factor_tense,MATCH($A15,pdates_grade_factor_tense,1)+1)-INDEX(pdates_grade_factor_tense,MATCH($A15,pdates_grade_factor_tense,1)))*(INDEX(pvals_grade_factor_tense,MATCH($A15,pdates_grade_factor_tense,1)+1)-INDEX(pvals_grade_factor_tense,MATCH($A15,pdates_grade_factor_tense,1)))))</f>
        <v/>
      </c>
      <c r="AA15" s="8">
        <f>IF($A15&lt;=INDEX(pdates_grade_factor_mix_pit,1),INDEX(pvals_grade_factor_mix_pit,1),IF($A15&gt;=INDEX(pdates_grade_factor_mix_pit,10),INDEX(pvals_grade_factor_mix_pit,10),INDEX(pvals_grade_factor_mix_pit,MATCH($A15,pdates_grade_factor_mix_pit,1))+($A15-INDEX(pdates_grade_factor_mix_pit,MATCH($A15,pdates_grade_factor_mix_pit,1)))/(INDEX(pdates_grade_factor_mix_pit,MATCH($A15,pdates_grade_factor_mix_pit,1)+1)-INDEX(pdates_grade_factor_mix_pit,MATCH($A15,pdates_grade_factor_mix_pit,1)))*(INDEX(pvals_grade_factor_mix_pit,MATCH($A15,pdates_grade_factor_mix_pit,1)+1)-INDEX(pvals_grade_factor_mix_pit,MATCH($A15,pdates_grade_factor_mix_pit,1)))))</f>
        <v/>
      </c>
      <c r="AB15" s="16">
        <f>($B15*$F15/kg_per_mt*(1+bcd_primary_al_hs7601*(1+sws_rate_on_bcd))+mcx_domestic_premium_inr_kg)*(1+$I15*MAX(0,$Q15-$A15)/day_count_inr)</f>
        <v/>
      </c>
      <c r="AC15" s="16">
        <f>$M15-$AB15</f>
        <v/>
      </c>
      <c r="AD15" s="7" t="inlineStr">
        <is>
          <t>PROXY_IMPORT_PARITY</t>
        </is>
      </c>
      <c r="AE15" s="7" t="inlineStr">
        <is>
          <t>ECB_CROSS</t>
        </is>
      </c>
      <c r="AF15" s="7" t="inlineStr">
        <is>
          <t>WCI_REPORTED|USEC:EXTRAP_PRE|JEA:ASSUMPTION</t>
        </is>
      </c>
      <c r="AG15" s="17" t="b">
        <v>0</v>
      </c>
      <c r="AH15" s="17" t="b">
        <v>1</v>
      </c>
    </row>
    <row r="16">
      <c r="A16" s="11" t="n">
        <v>44579</v>
      </c>
      <c r="B16" s="13" t="n">
        <v>3006</v>
      </c>
      <c r="C16" s="13" t="n">
        <v>3006</v>
      </c>
      <c r="D16" s="13" t="n">
        <v>0</v>
      </c>
      <c r="E16" s="13" t="n">
        <v>884125</v>
      </c>
      <c r="F16" s="13" t="n">
        <v>74.6134</v>
      </c>
      <c r="G16" s="6" t="n">
        <v>74.8326</v>
      </c>
      <c r="H16" s="6" t="n">
        <v>75.2497</v>
      </c>
      <c r="I16" s="14" t="n">
        <v>0.0363</v>
      </c>
      <c r="J16" s="14" t="n">
        <v>0.001677</v>
      </c>
      <c r="K16" s="14" t="n">
        <v>0.04</v>
      </c>
      <c r="L16" s="13" t="n">
        <v>242.7916</v>
      </c>
      <c r="M16" s="13" t="n">
        <v>243.1055</v>
      </c>
      <c r="N16" s="13" t="n">
        <v>243.7816</v>
      </c>
      <c r="O16" s="13" t="n">
        <v>24.69</v>
      </c>
      <c r="P16" s="13" t="n">
        <v>109.46</v>
      </c>
      <c r="Q16" s="12" t="n">
        <v>44592</v>
      </c>
      <c r="R16" s="12" t="n">
        <v>44620</v>
      </c>
      <c r="S16" s="8">
        <f>YEAR($Q16)*100+MONTH($Q16)</f>
        <v/>
      </c>
      <c r="T16" s="8">
        <f>YEAR($R16)*100+MONTH($R16)</f>
        <v/>
      </c>
      <c r="U16" s="15">
        <f>IF($A16&lt;=INDEX(pdates_wc_rate_inr_pa,1),INDEX(pvals_wc_rate_inr_pa,1),INDEX(pvals_wc_rate_inr_pa,MATCH($A16,pdates_wc_rate_inr_pa,1)))</f>
        <v/>
      </c>
      <c r="V16" s="8">
        <f>IF(AND($A16&gt;=customs_fx_first,$A16&lt;=customs_fx_last+customs_fx_notification_validity_days),IF($A16&lt;=INDEX(pdates_customs_usdinr_import,1),INDEX(pvals_customs_usdinr_import,1),INDEX(pvals_customs_usdinr_import,MATCH($A16,pdates_customs_usdinr_import,1))),$F16*(1+customs_fx_markup_frac))</f>
        <v/>
      </c>
      <c r="W16" s="8">
        <f>IF(AND($A16&gt;=customs_fx_first,$A16&lt;=customs_fx_last+customs_fx_notification_validity_days),"CBIC_NOTIFIED","MARKUP_FALLBACK")</f>
        <v/>
      </c>
      <c r="X16" s="8">
        <f>IF($A16&lt;=INDEX(pdates_grade_factor_zorba,1),INDEX(pvals_grade_factor_zorba,1),IF($A16&gt;=INDEX(pdates_grade_factor_zorba,10),INDEX(pvals_grade_factor_zorba,10),INDEX(pvals_grade_factor_zorba,MATCH($A16,pdates_grade_factor_zorba,1))+($A16-INDEX(pdates_grade_factor_zorba,MATCH($A16,pdates_grade_factor_zorba,1)))/(INDEX(pdates_grade_factor_zorba,MATCH($A16,pdates_grade_factor_zorba,1)+1)-INDEX(pdates_grade_factor_zorba,MATCH($A16,pdates_grade_factor_zorba,1)))*(INDEX(pvals_grade_factor_zorba,MATCH($A16,pdates_grade_factor_zorba,1)+1)-INDEX(pvals_grade_factor_zorba,MATCH($A16,pdates_grade_factor_zorba,1)))))</f>
        <v/>
      </c>
      <c r="Y16" s="8">
        <f>IF($A16&lt;=INDEX(pdates_grade_factor_taint_tabor,1),INDEX(pvals_grade_factor_taint_tabor,1),IF($A16&gt;=INDEX(pdates_grade_factor_taint_tabor,10),INDEX(pvals_grade_factor_taint_tabor,10),INDEX(pvals_grade_factor_taint_tabor,MATCH($A16,pdates_grade_factor_taint_tabor,1))+($A16-INDEX(pdates_grade_factor_taint_tabor,MATCH($A16,pdates_grade_factor_taint_tabor,1)))/(INDEX(pdates_grade_factor_taint_tabor,MATCH($A16,pdates_grade_factor_taint_tabor,1)+1)-INDEX(pdates_grade_factor_taint_tabor,MATCH($A16,pdates_grade_factor_taint_tabor,1)))*(INDEX(pvals_grade_factor_taint_tabor,MATCH($A16,pdates_grade_factor_taint_tabor,1)+1)-INDEX(pvals_grade_factor_taint_tabor,MATCH($A16,pdates_grade_factor_taint_tabor,1)))))</f>
        <v/>
      </c>
      <c r="Z16" s="8">
        <f>IF($A16&lt;=INDEX(pdates_grade_factor_tense,1),INDEX(pvals_grade_factor_tense,1),IF($A16&gt;=INDEX(pdates_grade_factor_tense,10),INDEX(pvals_grade_factor_tense,10),INDEX(pvals_grade_factor_tense,MATCH($A16,pdates_grade_factor_tense,1))+($A16-INDEX(pdates_grade_factor_tense,MATCH($A16,pdates_grade_factor_tense,1)))/(INDEX(pdates_grade_factor_tense,MATCH($A16,pdates_grade_factor_tense,1)+1)-INDEX(pdates_grade_factor_tense,MATCH($A16,pdates_grade_factor_tense,1)))*(INDEX(pvals_grade_factor_tense,MATCH($A16,pdates_grade_factor_tense,1)+1)-INDEX(pvals_grade_factor_tense,MATCH($A16,pdates_grade_factor_tense,1)))))</f>
        <v/>
      </c>
      <c r="AA16" s="8">
        <f>IF($A16&lt;=INDEX(pdates_grade_factor_mix_pit,1),INDEX(pvals_grade_factor_mix_pit,1),IF($A16&gt;=INDEX(pdates_grade_factor_mix_pit,10),INDEX(pvals_grade_factor_mix_pit,10),INDEX(pvals_grade_factor_mix_pit,MATCH($A16,pdates_grade_factor_mix_pit,1))+($A16-INDEX(pdates_grade_factor_mix_pit,MATCH($A16,pdates_grade_factor_mix_pit,1)))/(INDEX(pdates_grade_factor_mix_pit,MATCH($A16,pdates_grade_factor_mix_pit,1)+1)-INDEX(pdates_grade_factor_mix_pit,MATCH($A16,pdates_grade_factor_mix_pit,1)))*(INDEX(pvals_grade_factor_mix_pit,MATCH($A16,pdates_grade_factor_mix_pit,1)+1)-INDEX(pvals_grade_factor_mix_pit,MATCH($A16,pdates_grade_factor_mix_pit,1)))))</f>
        <v/>
      </c>
      <c r="AB16" s="16">
        <f>($B16*$F16/kg_per_mt*(1+bcd_primary_al_hs7601*(1+sws_rate_on_bcd))+mcx_domestic_premium_inr_kg)*(1+$I16*MAX(0,$Q16-$A16)/day_count_inr)</f>
        <v/>
      </c>
      <c r="AC16" s="16">
        <f>$M16-$AB16</f>
        <v/>
      </c>
      <c r="AD16" s="7" t="inlineStr">
        <is>
          <t>PROXY_IMPORT_PARITY</t>
        </is>
      </c>
      <c r="AE16" s="7" t="inlineStr">
        <is>
          <t>ECB_CROSS</t>
        </is>
      </c>
      <c r="AF16" s="7" t="inlineStr">
        <is>
          <t>WCI_REPORTED|USEC:EXTRAP_PRE|JEA:ASSUMPTION</t>
        </is>
      </c>
      <c r="AG16" s="17" t="b">
        <v>0</v>
      </c>
      <c r="AH16" s="17" t="b">
        <v>1</v>
      </c>
    </row>
    <row r="17">
      <c r="A17" s="11" t="n">
        <v>44580</v>
      </c>
      <c r="B17" s="13" t="n">
        <v>3036</v>
      </c>
      <c r="C17" s="13" t="n">
        <v>3027</v>
      </c>
      <c r="D17" s="13" t="n">
        <v>9</v>
      </c>
      <c r="E17" s="13" t="n">
        <v>878750</v>
      </c>
      <c r="F17" s="13" t="n">
        <v>74.4059</v>
      </c>
      <c r="G17" s="6" t="n">
        <v>74.6245</v>
      </c>
      <c r="H17" s="6" t="n">
        <v>75.04040000000001</v>
      </c>
      <c r="I17" s="14" t="n">
        <v>0.0363</v>
      </c>
      <c r="J17" s="14" t="n">
        <v>0.001677</v>
      </c>
      <c r="K17" s="14" t="n">
        <v>0.04</v>
      </c>
      <c r="L17" s="13" t="n">
        <v>244.5328</v>
      </c>
      <c r="M17" s="13" t="n">
        <v>244.8246</v>
      </c>
      <c r="N17" s="13" t="n">
        <v>245.5055</v>
      </c>
      <c r="O17" s="13" t="n">
        <v>24.69</v>
      </c>
      <c r="P17" s="13" t="n">
        <v>109.46</v>
      </c>
      <c r="Q17" s="12" t="n">
        <v>44592</v>
      </c>
      <c r="R17" s="12" t="n">
        <v>44620</v>
      </c>
      <c r="S17" s="8">
        <f>YEAR($Q17)*100+MONTH($Q17)</f>
        <v/>
      </c>
      <c r="T17" s="8">
        <f>YEAR($R17)*100+MONTH($R17)</f>
        <v/>
      </c>
      <c r="U17" s="15">
        <f>IF($A17&lt;=INDEX(pdates_wc_rate_inr_pa,1),INDEX(pvals_wc_rate_inr_pa,1),INDEX(pvals_wc_rate_inr_pa,MATCH($A17,pdates_wc_rate_inr_pa,1)))</f>
        <v/>
      </c>
      <c r="V17" s="8">
        <f>IF(AND($A17&gt;=customs_fx_first,$A17&lt;=customs_fx_last+customs_fx_notification_validity_days),IF($A17&lt;=INDEX(pdates_customs_usdinr_import,1),INDEX(pvals_customs_usdinr_import,1),INDEX(pvals_customs_usdinr_import,MATCH($A17,pdates_customs_usdinr_import,1))),$F17*(1+customs_fx_markup_frac))</f>
        <v/>
      </c>
      <c r="W17" s="8">
        <f>IF(AND($A17&gt;=customs_fx_first,$A17&lt;=customs_fx_last+customs_fx_notification_validity_days),"CBIC_NOTIFIED","MARKUP_FALLBACK")</f>
        <v/>
      </c>
      <c r="X17" s="8">
        <f>IF($A17&lt;=INDEX(pdates_grade_factor_zorba,1),INDEX(pvals_grade_factor_zorba,1),IF($A17&gt;=INDEX(pdates_grade_factor_zorba,10),INDEX(pvals_grade_factor_zorba,10),INDEX(pvals_grade_factor_zorba,MATCH($A17,pdates_grade_factor_zorba,1))+($A17-INDEX(pdates_grade_factor_zorba,MATCH($A17,pdates_grade_factor_zorba,1)))/(INDEX(pdates_grade_factor_zorba,MATCH($A17,pdates_grade_factor_zorba,1)+1)-INDEX(pdates_grade_factor_zorba,MATCH($A17,pdates_grade_factor_zorba,1)))*(INDEX(pvals_grade_factor_zorba,MATCH($A17,pdates_grade_factor_zorba,1)+1)-INDEX(pvals_grade_factor_zorba,MATCH($A17,pdates_grade_factor_zorba,1)))))</f>
        <v/>
      </c>
      <c r="Y17" s="8">
        <f>IF($A17&lt;=INDEX(pdates_grade_factor_taint_tabor,1),INDEX(pvals_grade_factor_taint_tabor,1),IF($A17&gt;=INDEX(pdates_grade_factor_taint_tabor,10),INDEX(pvals_grade_factor_taint_tabor,10),INDEX(pvals_grade_factor_taint_tabor,MATCH($A17,pdates_grade_factor_taint_tabor,1))+($A17-INDEX(pdates_grade_factor_taint_tabor,MATCH($A17,pdates_grade_factor_taint_tabor,1)))/(INDEX(pdates_grade_factor_taint_tabor,MATCH($A17,pdates_grade_factor_taint_tabor,1)+1)-INDEX(pdates_grade_factor_taint_tabor,MATCH($A17,pdates_grade_factor_taint_tabor,1)))*(INDEX(pvals_grade_factor_taint_tabor,MATCH($A17,pdates_grade_factor_taint_tabor,1)+1)-INDEX(pvals_grade_factor_taint_tabor,MATCH($A17,pdates_grade_factor_taint_tabor,1)))))</f>
        <v/>
      </c>
      <c r="Z17" s="8">
        <f>IF($A17&lt;=INDEX(pdates_grade_factor_tense,1),INDEX(pvals_grade_factor_tense,1),IF($A17&gt;=INDEX(pdates_grade_factor_tense,10),INDEX(pvals_grade_factor_tense,10),INDEX(pvals_grade_factor_tense,MATCH($A17,pdates_grade_factor_tense,1))+($A17-INDEX(pdates_grade_factor_tense,MATCH($A17,pdates_grade_factor_tense,1)))/(INDEX(pdates_grade_factor_tense,MATCH($A17,pdates_grade_factor_tense,1)+1)-INDEX(pdates_grade_factor_tense,MATCH($A17,pdates_grade_factor_tense,1)))*(INDEX(pvals_grade_factor_tense,MATCH($A17,pdates_grade_factor_tense,1)+1)-INDEX(pvals_grade_factor_tense,MATCH($A17,pdates_grade_factor_tense,1)))))</f>
        <v/>
      </c>
      <c r="AA17" s="8">
        <f>IF($A17&lt;=INDEX(pdates_grade_factor_mix_pit,1),INDEX(pvals_grade_factor_mix_pit,1),IF($A17&gt;=INDEX(pdates_grade_factor_mix_pit,10),INDEX(pvals_grade_factor_mix_pit,10),INDEX(pvals_grade_factor_mix_pit,MATCH($A17,pdates_grade_factor_mix_pit,1))+($A17-INDEX(pdates_grade_factor_mix_pit,MATCH($A17,pdates_grade_factor_mix_pit,1)))/(INDEX(pdates_grade_factor_mix_pit,MATCH($A17,pdates_grade_factor_mix_pit,1)+1)-INDEX(pdates_grade_factor_mix_pit,MATCH($A17,pdates_grade_factor_mix_pit,1)))*(INDEX(pvals_grade_factor_mix_pit,MATCH($A17,pdates_grade_factor_mix_pit,1)+1)-INDEX(pvals_grade_factor_mix_pit,MATCH($A17,pdates_grade_factor_mix_pit,1)))))</f>
        <v/>
      </c>
      <c r="AB17" s="16">
        <f>($B17*$F17/kg_per_mt*(1+bcd_primary_al_hs7601*(1+sws_rate_on_bcd))+mcx_domestic_premium_inr_kg)*(1+$I17*MAX(0,$Q17-$A17)/day_count_inr)</f>
        <v/>
      </c>
      <c r="AC17" s="16">
        <f>$M17-$AB17</f>
        <v/>
      </c>
      <c r="AD17" s="7" t="inlineStr">
        <is>
          <t>PROXY_IMPORT_PARITY</t>
        </is>
      </c>
      <c r="AE17" s="7" t="inlineStr">
        <is>
          <t>ECB_CROSS</t>
        </is>
      </c>
      <c r="AF17" s="7" t="inlineStr">
        <is>
          <t>WCI_REPORTED|USEC:EXTRAP_PRE|JEA:ASSUMPTION</t>
        </is>
      </c>
      <c r="AG17" s="17" t="b">
        <v>0</v>
      </c>
      <c r="AH17" s="17" t="b">
        <v>1</v>
      </c>
    </row>
    <row r="18">
      <c r="A18" s="11" t="n">
        <v>44581</v>
      </c>
      <c r="B18" s="13" t="n">
        <v>3109.5</v>
      </c>
      <c r="C18" s="13" t="n">
        <v>3082</v>
      </c>
      <c r="D18" s="13" t="n">
        <v>27.5</v>
      </c>
      <c r="E18" s="13" t="n">
        <v>873650</v>
      </c>
      <c r="F18" s="13" t="n">
        <v>74.4064</v>
      </c>
      <c r="G18" s="6" t="n">
        <v>74.62439999999999</v>
      </c>
      <c r="H18" s="6" t="n">
        <v>75.0391</v>
      </c>
      <c r="I18" s="14" t="n">
        <v>0.0363</v>
      </c>
      <c r="J18" s="14" t="n">
        <v>0.001775</v>
      </c>
      <c r="K18" s="14" t="n">
        <v>0.04</v>
      </c>
      <c r="L18" s="13" t="n">
        <v>250.4545</v>
      </c>
      <c r="M18" s="13" t="n">
        <v>250.7284</v>
      </c>
      <c r="N18" s="13" t="n">
        <v>251.4259</v>
      </c>
      <c r="O18" s="13" t="n">
        <v>25.08</v>
      </c>
      <c r="P18" s="13" t="n">
        <v>111.22</v>
      </c>
      <c r="Q18" s="12" t="n">
        <v>44592</v>
      </c>
      <c r="R18" s="12" t="n">
        <v>44620</v>
      </c>
      <c r="S18" s="8">
        <f>YEAR($Q18)*100+MONTH($Q18)</f>
        <v/>
      </c>
      <c r="T18" s="8">
        <f>YEAR($R18)*100+MONTH($R18)</f>
        <v/>
      </c>
      <c r="U18" s="15">
        <f>IF($A18&lt;=INDEX(pdates_wc_rate_inr_pa,1),INDEX(pvals_wc_rate_inr_pa,1),INDEX(pvals_wc_rate_inr_pa,MATCH($A18,pdates_wc_rate_inr_pa,1)))</f>
        <v/>
      </c>
      <c r="V18" s="8">
        <f>IF(AND($A18&gt;=customs_fx_first,$A18&lt;=customs_fx_last+customs_fx_notification_validity_days),IF($A18&lt;=INDEX(pdates_customs_usdinr_import,1),INDEX(pvals_customs_usdinr_import,1),INDEX(pvals_customs_usdinr_import,MATCH($A18,pdates_customs_usdinr_import,1))),$F18*(1+customs_fx_markup_frac))</f>
        <v/>
      </c>
      <c r="W18" s="8">
        <f>IF(AND($A18&gt;=customs_fx_first,$A18&lt;=customs_fx_last+customs_fx_notification_validity_days),"CBIC_NOTIFIED","MARKUP_FALLBACK")</f>
        <v/>
      </c>
      <c r="X18" s="8">
        <f>IF($A18&lt;=INDEX(pdates_grade_factor_zorba,1),INDEX(pvals_grade_factor_zorba,1),IF($A18&gt;=INDEX(pdates_grade_factor_zorba,10),INDEX(pvals_grade_factor_zorba,10),INDEX(pvals_grade_factor_zorba,MATCH($A18,pdates_grade_factor_zorba,1))+($A18-INDEX(pdates_grade_factor_zorba,MATCH($A18,pdates_grade_factor_zorba,1)))/(INDEX(pdates_grade_factor_zorba,MATCH($A18,pdates_grade_factor_zorba,1)+1)-INDEX(pdates_grade_factor_zorba,MATCH($A18,pdates_grade_factor_zorba,1)))*(INDEX(pvals_grade_factor_zorba,MATCH($A18,pdates_grade_factor_zorba,1)+1)-INDEX(pvals_grade_factor_zorba,MATCH($A18,pdates_grade_factor_zorba,1)))))</f>
        <v/>
      </c>
      <c r="Y18" s="8">
        <f>IF($A18&lt;=INDEX(pdates_grade_factor_taint_tabor,1),INDEX(pvals_grade_factor_taint_tabor,1),IF($A18&gt;=INDEX(pdates_grade_factor_taint_tabor,10),INDEX(pvals_grade_factor_taint_tabor,10),INDEX(pvals_grade_factor_taint_tabor,MATCH($A18,pdates_grade_factor_taint_tabor,1))+($A18-INDEX(pdates_grade_factor_taint_tabor,MATCH($A18,pdates_grade_factor_taint_tabor,1)))/(INDEX(pdates_grade_factor_taint_tabor,MATCH($A18,pdates_grade_factor_taint_tabor,1)+1)-INDEX(pdates_grade_factor_taint_tabor,MATCH($A18,pdates_grade_factor_taint_tabor,1)))*(INDEX(pvals_grade_factor_taint_tabor,MATCH($A18,pdates_grade_factor_taint_tabor,1)+1)-INDEX(pvals_grade_factor_taint_tabor,MATCH($A18,pdates_grade_factor_taint_tabor,1)))))</f>
        <v/>
      </c>
      <c r="Z18" s="8">
        <f>IF($A18&lt;=INDEX(pdates_grade_factor_tense,1),INDEX(pvals_grade_factor_tense,1),IF($A18&gt;=INDEX(pdates_grade_factor_tense,10),INDEX(pvals_grade_factor_tense,10),INDEX(pvals_grade_factor_tense,MATCH($A18,pdates_grade_factor_tense,1))+($A18-INDEX(pdates_grade_factor_tense,MATCH($A18,pdates_grade_factor_tense,1)))/(INDEX(pdates_grade_factor_tense,MATCH($A18,pdates_grade_factor_tense,1)+1)-INDEX(pdates_grade_factor_tense,MATCH($A18,pdates_grade_factor_tense,1)))*(INDEX(pvals_grade_factor_tense,MATCH($A18,pdates_grade_factor_tense,1)+1)-INDEX(pvals_grade_factor_tense,MATCH($A18,pdates_grade_factor_tense,1)))))</f>
        <v/>
      </c>
      <c r="AA18" s="8">
        <f>IF($A18&lt;=INDEX(pdates_grade_factor_mix_pit,1),INDEX(pvals_grade_factor_mix_pit,1),IF($A18&gt;=INDEX(pdates_grade_factor_mix_pit,10),INDEX(pvals_grade_factor_mix_pit,10),INDEX(pvals_grade_factor_mix_pit,MATCH($A18,pdates_grade_factor_mix_pit,1))+($A18-INDEX(pdates_grade_factor_mix_pit,MATCH($A18,pdates_grade_factor_mix_pit,1)))/(INDEX(pdates_grade_factor_mix_pit,MATCH($A18,pdates_grade_factor_mix_pit,1)+1)-INDEX(pdates_grade_factor_mix_pit,MATCH($A18,pdates_grade_factor_mix_pit,1)))*(INDEX(pvals_grade_factor_mix_pit,MATCH($A18,pdates_grade_factor_mix_pit,1)+1)-INDEX(pvals_grade_factor_mix_pit,MATCH($A18,pdates_grade_factor_mix_pit,1)))))</f>
        <v/>
      </c>
      <c r="AB18" s="16">
        <f>($B18*$F18/kg_per_mt*(1+bcd_primary_al_hs7601*(1+sws_rate_on_bcd))+mcx_domestic_premium_inr_kg)*(1+$I18*MAX(0,$Q18-$A18)/day_count_inr)</f>
        <v/>
      </c>
      <c r="AC18" s="16">
        <f>$M18-$AB18</f>
        <v/>
      </c>
      <c r="AD18" s="7" t="inlineStr">
        <is>
          <t>PROXY_IMPORT_PARITY</t>
        </is>
      </c>
      <c r="AE18" s="7" t="inlineStr">
        <is>
          <t>ECB_CROSS</t>
        </is>
      </c>
      <c r="AF18" s="7" t="inlineStr">
        <is>
          <t>WCI_REPORTED|USEC:EXTRAP_PRE|JEA:ASSUMPTION</t>
        </is>
      </c>
      <c r="AG18" s="17" t="b">
        <v>0</v>
      </c>
      <c r="AH18" s="17" t="b">
        <v>0</v>
      </c>
    </row>
    <row r="19">
      <c r="A19" s="11" t="n">
        <v>44582</v>
      </c>
      <c r="B19" s="13" t="n">
        <v>3079.5</v>
      </c>
      <c r="C19" s="13" t="n">
        <v>3061</v>
      </c>
      <c r="D19" s="13" t="n">
        <v>18.5</v>
      </c>
      <c r="E19" s="13" t="n">
        <v>865950</v>
      </c>
      <c r="F19" s="13" t="n">
        <v>74.39109999999999</v>
      </c>
      <c r="G19" s="6" t="n">
        <v>74.6097</v>
      </c>
      <c r="H19" s="6" t="n">
        <v>75.02549999999999</v>
      </c>
      <c r="I19" s="14" t="n">
        <v>0.0363</v>
      </c>
      <c r="J19" s="14" t="n">
        <v>0.001677</v>
      </c>
      <c r="K19" s="14" t="n">
        <v>0.04</v>
      </c>
      <c r="L19" s="13" t="n">
        <v>247.9871</v>
      </c>
      <c r="M19" s="13" t="n">
        <v>248.2337</v>
      </c>
      <c r="N19" s="13" t="n">
        <v>248.9243</v>
      </c>
      <c r="O19" s="13" t="n">
        <v>25.08</v>
      </c>
      <c r="P19" s="13" t="n">
        <v>111.22</v>
      </c>
      <c r="Q19" s="12" t="n">
        <v>44592</v>
      </c>
      <c r="R19" s="12" t="n">
        <v>44620</v>
      </c>
      <c r="S19" s="8">
        <f>YEAR($Q19)*100+MONTH($Q19)</f>
        <v/>
      </c>
      <c r="T19" s="8">
        <f>YEAR($R19)*100+MONTH($R19)</f>
        <v/>
      </c>
      <c r="U19" s="15">
        <f>IF($A19&lt;=INDEX(pdates_wc_rate_inr_pa,1),INDEX(pvals_wc_rate_inr_pa,1),INDEX(pvals_wc_rate_inr_pa,MATCH($A19,pdates_wc_rate_inr_pa,1)))</f>
        <v/>
      </c>
      <c r="V19" s="8">
        <f>IF(AND($A19&gt;=customs_fx_first,$A19&lt;=customs_fx_last+customs_fx_notification_validity_days),IF($A19&lt;=INDEX(pdates_customs_usdinr_import,1),INDEX(pvals_customs_usdinr_import,1),INDEX(pvals_customs_usdinr_import,MATCH($A19,pdates_customs_usdinr_import,1))),$F19*(1+customs_fx_markup_frac))</f>
        <v/>
      </c>
      <c r="W19" s="8">
        <f>IF(AND($A19&gt;=customs_fx_first,$A19&lt;=customs_fx_last+customs_fx_notification_validity_days),"CBIC_NOTIFIED","MARKUP_FALLBACK")</f>
        <v/>
      </c>
      <c r="X19" s="8">
        <f>IF($A19&lt;=INDEX(pdates_grade_factor_zorba,1),INDEX(pvals_grade_factor_zorba,1),IF($A19&gt;=INDEX(pdates_grade_factor_zorba,10),INDEX(pvals_grade_factor_zorba,10),INDEX(pvals_grade_factor_zorba,MATCH($A19,pdates_grade_factor_zorba,1))+($A19-INDEX(pdates_grade_factor_zorba,MATCH($A19,pdates_grade_factor_zorba,1)))/(INDEX(pdates_grade_factor_zorba,MATCH($A19,pdates_grade_factor_zorba,1)+1)-INDEX(pdates_grade_factor_zorba,MATCH($A19,pdates_grade_factor_zorba,1)))*(INDEX(pvals_grade_factor_zorba,MATCH($A19,pdates_grade_factor_zorba,1)+1)-INDEX(pvals_grade_factor_zorba,MATCH($A19,pdates_grade_factor_zorba,1)))))</f>
        <v/>
      </c>
      <c r="Y19" s="8">
        <f>IF($A19&lt;=INDEX(pdates_grade_factor_taint_tabor,1),INDEX(pvals_grade_factor_taint_tabor,1),IF($A19&gt;=INDEX(pdates_grade_factor_taint_tabor,10),INDEX(pvals_grade_factor_taint_tabor,10),INDEX(pvals_grade_factor_taint_tabor,MATCH($A19,pdates_grade_factor_taint_tabor,1))+($A19-INDEX(pdates_grade_factor_taint_tabor,MATCH($A19,pdates_grade_factor_taint_tabor,1)))/(INDEX(pdates_grade_factor_taint_tabor,MATCH($A19,pdates_grade_factor_taint_tabor,1)+1)-INDEX(pdates_grade_factor_taint_tabor,MATCH($A19,pdates_grade_factor_taint_tabor,1)))*(INDEX(pvals_grade_factor_taint_tabor,MATCH($A19,pdates_grade_factor_taint_tabor,1)+1)-INDEX(pvals_grade_factor_taint_tabor,MATCH($A19,pdates_grade_factor_taint_tabor,1)))))</f>
        <v/>
      </c>
      <c r="Z19" s="8">
        <f>IF($A19&lt;=INDEX(pdates_grade_factor_tense,1),INDEX(pvals_grade_factor_tense,1),IF($A19&gt;=INDEX(pdates_grade_factor_tense,10),INDEX(pvals_grade_factor_tense,10),INDEX(pvals_grade_factor_tense,MATCH($A19,pdates_grade_factor_tense,1))+($A19-INDEX(pdates_grade_factor_tense,MATCH($A19,pdates_grade_factor_tense,1)))/(INDEX(pdates_grade_factor_tense,MATCH($A19,pdates_grade_factor_tense,1)+1)-INDEX(pdates_grade_factor_tense,MATCH($A19,pdates_grade_factor_tense,1)))*(INDEX(pvals_grade_factor_tense,MATCH($A19,pdates_grade_factor_tense,1)+1)-INDEX(pvals_grade_factor_tense,MATCH($A19,pdates_grade_factor_tense,1)))))</f>
        <v/>
      </c>
      <c r="AA19" s="8">
        <f>IF($A19&lt;=INDEX(pdates_grade_factor_mix_pit,1),INDEX(pvals_grade_factor_mix_pit,1),IF($A19&gt;=INDEX(pdates_grade_factor_mix_pit,10),INDEX(pvals_grade_factor_mix_pit,10),INDEX(pvals_grade_factor_mix_pit,MATCH($A19,pdates_grade_factor_mix_pit,1))+($A19-INDEX(pdates_grade_factor_mix_pit,MATCH($A19,pdates_grade_factor_mix_pit,1)))/(INDEX(pdates_grade_factor_mix_pit,MATCH($A19,pdates_grade_factor_mix_pit,1)+1)-INDEX(pdates_grade_factor_mix_pit,MATCH($A19,pdates_grade_factor_mix_pit,1)))*(INDEX(pvals_grade_factor_mix_pit,MATCH($A19,pdates_grade_factor_mix_pit,1)+1)-INDEX(pvals_grade_factor_mix_pit,MATCH($A19,pdates_grade_factor_mix_pit,1)))))</f>
        <v/>
      </c>
      <c r="AB19" s="16">
        <f>($B19*$F19/kg_per_mt*(1+bcd_primary_al_hs7601*(1+sws_rate_on_bcd))+mcx_domestic_premium_inr_kg)*(1+$I19*MAX(0,$Q19-$A19)/day_count_inr)</f>
        <v/>
      </c>
      <c r="AC19" s="16">
        <f>$M19-$AB19</f>
        <v/>
      </c>
      <c r="AD19" s="7" t="inlineStr">
        <is>
          <t>PROXY_IMPORT_PARITY</t>
        </is>
      </c>
      <c r="AE19" s="7" t="inlineStr">
        <is>
          <t>ECB_CROSS</t>
        </is>
      </c>
      <c r="AF19" s="7" t="inlineStr">
        <is>
          <t>WCI_REPORTED|USEC:EXTRAP_PRE|JEA:ASSUMPTION</t>
        </is>
      </c>
      <c r="AG19" s="17" t="b">
        <v>0</v>
      </c>
      <c r="AH19" s="17" t="b">
        <v>1</v>
      </c>
    </row>
    <row r="20">
      <c r="A20" s="11" t="n">
        <v>44585</v>
      </c>
      <c r="B20" s="13" t="n">
        <v>3044.5</v>
      </c>
      <c r="C20" s="13" t="n">
        <v>3031</v>
      </c>
      <c r="D20" s="13" t="n">
        <v>13.5</v>
      </c>
      <c r="E20" s="13" t="n">
        <v>859800</v>
      </c>
      <c r="F20" s="13" t="n">
        <v>74.61920000000001</v>
      </c>
      <c r="G20" s="6" t="n">
        <v>74.8365</v>
      </c>
      <c r="H20" s="6" t="n">
        <v>75.2499</v>
      </c>
      <c r="I20" s="14" t="n">
        <v>0.0363</v>
      </c>
      <c r="J20" s="14" t="n">
        <v>0.001973</v>
      </c>
      <c r="K20" s="14" t="n">
        <v>0.04</v>
      </c>
      <c r="L20" s="13" t="n">
        <v>245.9204</v>
      </c>
      <c r="M20" s="13" t="n">
        <v>246.0916</v>
      </c>
      <c r="N20" s="13" t="n">
        <v>246.7764</v>
      </c>
      <c r="O20" s="13" t="n">
        <v>25.08</v>
      </c>
      <c r="P20" s="13" t="n">
        <v>111.22</v>
      </c>
      <c r="Q20" s="12" t="n">
        <v>44592</v>
      </c>
      <c r="R20" s="12" t="n">
        <v>44620</v>
      </c>
      <c r="S20" s="8">
        <f>YEAR($Q20)*100+MONTH($Q20)</f>
        <v/>
      </c>
      <c r="T20" s="8">
        <f>YEAR($R20)*100+MONTH($R20)</f>
        <v/>
      </c>
      <c r="U20" s="15">
        <f>IF($A20&lt;=INDEX(pdates_wc_rate_inr_pa,1),INDEX(pvals_wc_rate_inr_pa,1),INDEX(pvals_wc_rate_inr_pa,MATCH($A20,pdates_wc_rate_inr_pa,1)))</f>
        <v/>
      </c>
      <c r="V20" s="8">
        <f>IF(AND($A20&gt;=customs_fx_first,$A20&lt;=customs_fx_last+customs_fx_notification_validity_days),IF($A20&lt;=INDEX(pdates_customs_usdinr_import,1),INDEX(pvals_customs_usdinr_import,1),INDEX(pvals_customs_usdinr_import,MATCH($A20,pdates_customs_usdinr_import,1))),$F20*(1+customs_fx_markup_frac))</f>
        <v/>
      </c>
      <c r="W20" s="8">
        <f>IF(AND($A20&gt;=customs_fx_first,$A20&lt;=customs_fx_last+customs_fx_notification_validity_days),"CBIC_NOTIFIED","MARKUP_FALLBACK")</f>
        <v/>
      </c>
      <c r="X20" s="8">
        <f>IF($A20&lt;=INDEX(pdates_grade_factor_zorba,1),INDEX(pvals_grade_factor_zorba,1),IF($A20&gt;=INDEX(pdates_grade_factor_zorba,10),INDEX(pvals_grade_factor_zorba,10),INDEX(pvals_grade_factor_zorba,MATCH($A20,pdates_grade_factor_zorba,1))+($A20-INDEX(pdates_grade_factor_zorba,MATCH($A20,pdates_grade_factor_zorba,1)))/(INDEX(pdates_grade_factor_zorba,MATCH($A20,pdates_grade_factor_zorba,1)+1)-INDEX(pdates_grade_factor_zorba,MATCH($A20,pdates_grade_factor_zorba,1)))*(INDEX(pvals_grade_factor_zorba,MATCH($A20,pdates_grade_factor_zorba,1)+1)-INDEX(pvals_grade_factor_zorba,MATCH($A20,pdates_grade_factor_zorba,1)))))</f>
        <v/>
      </c>
      <c r="Y20" s="8">
        <f>IF($A20&lt;=INDEX(pdates_grade_factor_taint_tabor,1),INDEX(pvals_grade_factor_taint_tabor,1),IF($A20&gt;=INDEX(pdates_grade_factor_taint_tabor,10),INDEX(pvals_grade_factor_taint_tabor,10),INDEX(pvals_grade_factor_taint_tabor,MATCH($A20,pdates_grade_factor_taint_tabor,1))+($A20-INDEX(pdates_grade_factor_taint_tabor,MATCH($A20,pdates_grade_factor_taint_tabor,1)))/(INDEX(pdates_grade_factor_taint_tabor,MATCH($A20,pdates_grade_factor_taint_tabor,1)+1)-INDEX(pdates_grade_factor_taint_tabor,MATCH($A20,pdates_grade_factor_taint_tabor,1)))*(INDEX(pvals_grade_factor_taint_tabor,MATCH($A20,pdates_grade_factor_taint_tabor,1)+1)-INDEX(pvals_grade_factor_taint_tabor,MATCH($A20,pdates_grade_factor_taint_tabor,1)))))</f>
        <v/>
      </c>
      <c r="Z20" s="8">
        <f>IF($A20&lt;=INDEX(pdates_grade_factor_tense,1),INDEX(pvals_grade_factor_tense,1),IF($A20&gt;=INDEX(pdates_grade_factor_tense,10),INDEX(pvals_grade_factor_tense,10),INDEX(pvals_grade_factor_tense,MATCH($A20,pdates_grade_factor_tense,1))+($A20-INDEX(pdates_grade_factor_tense,MATCH($A20,pdates_grade_factor_tense,1)))/(INDEX(pdates_grade_factor_tense,MATCH($A20,pdates_grade_factor_tense,1)+1)-INDEX(pdates_grade_factor_tense,MATCH($A20,pdates_grade_factor_tense,1)))*(INDEX(pvals_grade_factor_tense,MATCH($A20,pdates_grade_factor_tense,1)+1)-INDEX(pvals_grade_factor_tense,MATCH($A20,pdates_grade_factor_tense,1)))))</f>
        <v/>
      </c>
      <c r="AA20" s="8">
        <f>IF($A20&lt;=INDEX(pdates_grade_factor_mix_pit,1),INDEX(pvals_grade_factor_mix_pit,1),IF($A20&gt;=INDEX(pdates_grade_factor_mix_pit,10),INDEX(pvals_grade_factor_mix_pit,10),INDEX(pvals_grade_factor_mix_pit,MATCH($A20,pdates_grade_factor_mix_pit,1))+($A20-INDEX(pdates_grade_factor_mix_pit,MATCH($A20,pdates_grade_factor_mix_pit,1)))/(INDEX(pdates_grade_factor_mix_pit,MATCH($A20,pdates_grade_factor_mix_pit,1)+1)-INDEX(pdates_grade_factor_mix_pit,MATCH($A20,pdates_grade_factor_mix_pit,1)))*(INDEX(pvals_grade_factor_mix_pit,MATCH($A20,pdates_grade_factor_mix_pit,1)+1)-INDEX(pvals_grade_factor_mix_pit,MATCH($A20,pdates_grade_factor_mix_pit,1)))))</f>
        <v/>
      </c>
      <c r="AB20" s="16">
        <f>($B20*$F20/kg_per_mt*(1+bcd_primary_al_hs7601*(1+sws_rate_on_bcd))+mcx_domestic_premium_inr_kg)*(1+$I20*MAX(0,$Q20-$A20)/day_count_inr)</f>
        <v/>
      </c>
      <c r="AC20" s="16">
        <f>$M20-$AB20</f>
        <v/>
      </c>
      <c r="AD20" s="7" t="inlineStr">
        <is>
          <t>PROXY_IMPORT_PARITY</t>
        </is>
      </c>
      <c r="AE20" s="7" t="inlineStr">
        <is>
          <t>ECB_CROSS</t>
        </is>
      </c>
      <c r="AF20" s="7" t="inlineStr">
        <is>
          <t>WCI_REPORTED|USEC:EXTRAP_PRE|JEA:ASSUMPTION</t>
        </is>
      </c>
      <c r="AG20" s="17" t="b">
        <v>0</v>
      </c>
      <c r="AH20" s="17" t="b">
        <v>1</v>
      </c>
    </row>
    <row r="21">
      <c r="A21" s="11" t="n">
        <v>44586</v>
      </c>
      <c r="B21" s="13" t="n">
        <v>3064</v>
      </c>
      <c r="C21" s="13" t="n">
        <v>3061</v>
      </c>
      <c r="D21" s="13" t="n">
        <v>3</v>
      </c>
      <c r="E21" s="13" t="n">
        <v>845625</v>
      </c>
      <c r="F21" s="13" t="n">
        <v>74.7932</v>
      </c>
      <c r="G21" s="6" t="n">
        <v>75.0111</v>
      </c>
      <c r="H21" s="6" t="n">
        <v>75.4255</v>
      </c>
      <c r="I21" s="14" t="n">
        <v>0.0363</v>
      </c>
      <c r="J21" s="14" t="n">
        <v>0.001973</v>
      </c>
      <c r="K21" s="14" t="n">
        <v>0.04</v>
      </c>
      <c r="L21" s="13" t="n">
        <v>248.0726</v>
      </c>
      <c r="M21" s="13" t="n">
        <v>248.2206</v>
      </c>
      <c r="N21" s="13" t="n">
        <v>248.9114</v>
      </c>
      <c r="O21" s="13" t="n">
        <v>25.08</v>
      </c>
      <c r="P21" s="13" t="n">
        <v>111.22</v>
      </c>
      <c r="Q21" s="12" t="n">
        <v>44592</v>
      </c>
      <c r="R21" s="12" t="n">
        <v>44620</v>
      </c>
      <c r="S21" s="8">
        <f>YEAR($Q21)*100+MONTH($Q21)</f>
        <v/>
      </c>
      <c r="T21" s="8">
        <f>YEAR($R21)*100+MONTH($R21)</f>
        <v/>
      </c>
      <c r="U21" s="15">
        <f>IF($A21&lt;=INDEX(pdates_wc_rate_inr_pa,1),INDEX(pvals_wc_rate_inr_pa,1),INDEX(pvals_wc_rate_inr_pa,MATCH($A21,pdates_wc_rate_inr_pa,1)))</f>
        <v/>
      </c>
      <c r="V21" s="8">
        <f>IF(AND($A21&gt;=customs_fx_first,$A21&lt;=customs_fx_last+customs_fx_notification_validity_days),IF($A21&lt;=INDEX(pdates_customs_usdinr_import,1),INDEX(pvals_customs_usdinr_import,1),INDEX(pvals_customs_usdinr_import,MATCH($A21,pdates_customs_usdinr_import,1))),$F21*(1+customs_fx_markup_frac))</f>
        <v/>
      </c>
      <c r="W21" s="8">
        <f>IF(AND($A21&gt;=customs_fx_first,$A21&lt;=customs_fx_last+customs_fx_notification_validity_days),"CBIC_NOTIFIED","MARKUP_FALLBACK")</f>
        <v/>
      </c>
      <c r="X21" s="8">
        <f>IF($A21&lt;=INDEX(pdates_grade_factor_zorba,1),INDEX(pvals_grade_factor_zorba,1),IF($A21&gt;=INDEX(pdates_grade_factor_zorba,10),INDEX(pvals_grade_factor_zorba,10),INDEX(pvals_grade_factor_zorba,MATCH($A21,pdates_grade_factor_zorba,1))+($A21-INDEX(pdates_grade_factor_zorba,MATCH($A21,pdates_grade_factor_zorba,1)))/(INDEX(pdates_grade_factor_zorba,MATCH($A21,pdates_grade_factor_zorba,1)+1)-INDEX(pdates_grade_factor_zorba,MATCH($A21,pdates_grade_factor_zorba,1)))*(INDEX(pvals_grade_factor_zorba,MATCH($A21,pdates_grade_factor_zorba,1)+1)-INDEX(pvals_grade_factor_zorba,MATCH($A21,pdates_grade_factor_zorba,1)))))</f>
        <v/>
      </c>
      <c r="Y21" s="8">
        <f>IF($A21&lt;=INDEX(pdates_grade_factor_taint_tabor,1),INDEX(pvals_grade_factor_taint_tabor,1),IF($A21&gt;=INDEX(pdates_grade_factor_taint_tabor,10),INDEX(pvals_grade_factor_taint_tabor,10),INDEX(pvals_grade_factor_taint_tabor,MATCH($A21,pdates_grade_factor_taint_tabor,1))+($A21-INDEX(pdates_grade_factor_taint_tabor,MATCH($A21,pdates_grade_factor_taint_tabor,1)))/(INDEX(pdates_grade_factor_taint_tabor,MATCH($A21,pdates_grade_factor_taint_tabor,1)+1)-INDEX(pdates_grade_factor_taint_tabor,MATCH($A21,pdates_grade_factor_taint_tabor,1)))*(INDEX(pvals_grade_factor_taint_tabor,MATCH($A21,pdates_grade_factor_taint_tabor,1)+1)-INDEX(pvals_grade_factor_taint_tabor,MATCH($A21,pdates_grade_factor_taint_tabor,1)))))</f>
        <v/>
      </c>
      <c r="Z21" s="8">
        <f>IF($A21&lt;=INDEX(pdates_grade_factor_tense,1),INDEX(pvals_grade_factor_tense,1),IF($A21&gt;=INDEX(pdates_grade_factor_tense,10),INDEX(pvals_grade_factor_tense,10),INDEX(pvals_grade_factor_tense,MATCH($A21,pdates_grade_factor_tense,1))+($A21-INDEX(pdates_grade_factor_tense,MATCH($A21,pdates_grade_factor_tense,1)))/(INDEX(pdates_grade_factor_tense,MATCH($A21,pdates_grade_factor_tense,1)+1)-INDEX(pdates_grade_factor_tense,MATCH($A21,pdates_grade_factor_tense,1)))*(INDEX(pvals_grade_factor_tense,MATCH($A21,pdates_grade_factor_tense,1)+1)-INDEX(pvals_grade_factor_tense,MATCH($A21,pdates_grade_factor_tense,1)))))</f>
        <v/>
      </c>
      <c r="AA21" s="8">
        <f>IF($A21&lt;=INDEX(pdates_grade_factor_mix_pit,1),INDEX(pvals_grade_factor_mix_pit,1),IF($A21&gt;=INDEX(pdates_grade_factor_mix_pit,10),INDEX(pvals_grade_factor_mix_pit,10),INDEX(pvals_grade_factor_mix_pit,MATCH($A21,pdates_grade_factor_mix_pit,1))+($A21-INDEX(pdates_grade_factor_mix_pit,MATCH($A21,pdates_grade_factor_mix_pit,1)))/(INDEX(pdates_grade_factor_mix_pit,MATCH($A21,pdates_grade_factor_mix_pit,1)+1)-INDEX(pdates_grade_factor_mix_pit,MATCH($A21,pdates_grade_factor_mix_pit,1)))*(INDEX(pvals_grade_factor_mix_pit,MATCH($A21,pdates_grade_factor_mix_pit,1)+1)-INDEX(pvals_grade_factor_mix_pit,MATCH($A21,pdates_grade_factor_mix_pit,1)))))</f>
        <v/>
      </c>
      <c r="AB21" s="16">
        <f>($B21*$F21/kg_per_mt*(1+bcd_primary_al_hs7601*(1+sws_rate_on_bcd))+mcx_domestic_premium_inr_kg)*(1+$I21*MAX(0,$Q21-$A21)/day_count_inr)</f>
        <v/>
      </c>
      <c r="AC21" s="16">
        <f>$M21-$AB21</f>
        <v/>
      </c>
      <c r="AD21" s="7" t="inlineStr">
        <is>
          <t>PROXY_IMPORT_PARITY</t>
        </is>
      </c>
      <c r="AE21" s="7" t="inlineStr">
        <is>
          <t>ECB_CROSS</t>
        </is>
      </c>
      <c r="AF21" s="7" t="inlineStr">
        <is>
          <t>WCI_REPORTED|USEC:EXTRAP_PRE|JEA:ASSUMPTION</t>
        </is>
      </c>
      <c r="AG21" s="17" t="b">
        <v>0</v>
      </c>
      <c r="AH21" s="17" t="b">
        <v>1</v>
      </c>
    </row>
    <row r="22">
      <c r="A22" s="11" t="n">
        <v>44587</v>
      </c>
      <c r="B22" s="13" t="n">
        <v>3093</v>
      </c>
      <c r="C22" s="13" t="n">
        <v>3080</v>
      </c>
      <c r="D22" s="13" t="n">
        <v>13</v>
      </c>
      <c r="E22" s="13" t="n">
        <v>835000</v>
      </c>
      <c r="F22" s="13" t="n">
        <v>74.8681</v>
      </c>
      <c r="G22" s="6" t="n">
        <v>75.0868</v>
      </c>
      <c r="H22" s="6" t="n">
        <v>75.5029</v>
      </c>
      <c r="I22" s="14" t="n">
        <v>0.0363</v>
      </c>
      <c r="J22" s="14" t="n">
        <v>0.001874</v>
      </c>
      <c r="K22" s="14" t="n">
        <v>0.04</v>
      </c>
      <c r="L22" s="13" t="n">
        <v>250.6713</v>
      </c>
      <c r="M22" s="13" t="n">
        <v>250.796</v>
      </c>
      <c r="N22" s="13" t="n">
        <v>251.494</v>
      </c>
      <c r="O22" s="13" t="n">
        <v>25.08</v>
      </c>
      <c r="P22" s="13" t="n">
        <v>111.22</v>
      </c>
      <c r="Q22" s="12" t="n">
        <v>44592</v>
      </c>
      <c r="R22" s="12" t="n">
        <v>44620</v>
      </c>
      <c r="S22" s="8">
        <f>YEAR($Q22)*100+MONTH($Q22)</f>
        <v/>
      </c>
      <c r="T22" s="8">
        <f>YEAR($R22)*100+MONTH($R22)</f>
        <v/>
      </c>
      <c r="U22" s="15">
        <f>IF($A22&lt;=INDEX(pdates_wc_rate_inr_pa,1),INDEX(pvals_wc_rate_inr_pa,1),INDEX(pvals_wc_rate_inr_pa,MATCH($A22,pdates_wc_rate_inr_pa,1)))</f>
        <v/>
      </c>
      <c r="V22" s="8">
        <f>IF(AND($A22&gt;=customs_fx_first,$A22&lt;=customs_fx_last+customs_fx_notification_validity_days),IF($A22&lt;=INDEX(pdates_customs_usdinr_import,1),INDEX(pvals_customs_usdinr_import,1),INDEX(pvals_customs_usdinr_import,MATCH($A22,pdates_customs_usdinr_import,1))),$F22*(1+customs_fx_markup_frac))</f>
        <v/>
      </c>
      <c r="W22" s="8">
        <f>IF(AND($A22&gt;=customs_fx_first,$A22&lt;=customs_fx_last+customs_fx_notification_validity_days),"CBIC_NOTIFIED","MARKUP_FALLBACK")</f>
        <v/>
      </c>
      <c r="X22" s="8">
        <f>IF($A22&lt;=INDEX(pdates_grade_factor_zorba,1),INDEX(pvals_grade_factor_zorba,1),IF($A22&gt;=INDEX(pdates_grade_factor_zorba,10),INDEX(pvals_grade_factor_zorba,10),INDEX(pvals_grade_factor_zorba,MATCH($A22,pdates_grade_factor_zorba,1))+($A22-INDEX(pdates_grade_factor_zorba,MATCH($A22,pdates_grade_factor_zorba,1)))/(INDEX(pdates_grade_factor_zorba,MATCH($A22,pdates_grade_factor_zorba,1)+1)-INDEX(pdates_grade_factor_zorba,MATCH($A22,pdates_grade_factor_zorba,1)))*(INDEX(pvals_grade_factor_zorba,MATCH($A22,pdates_grade_factor_zorba,1)+1)-INDEX(pvals_grade_factor_zorba,MATCH($A22,pdates_grade_factor_zorba,1)))))</f>
        <v/>
      </c>
      <c r="Y22" s="8">
        <f>IF($A22&lt;=INDEX(pdates_grade_factor_taint_tabor,1),INDEX(pvals_grade_factor_taint_tabor,1),IF($A22&gt;=INDEX(pdates_grade_factor_taint_tabor,10),INDEX(pvals_grade_factor_taint_tabor,10),INDEX(pvals_grade_factor_taint_tabor,MATCH($A22,pdates_grade_factor_taint_tabor,1))+($A22-INDEX(pdates_grade_factor_taint_tabor,MATCH($A22,pdates_grade_factor_taint_tabor,1)))/(INDEX(pdates_grade_factor_taint_tabor,MATCH($A22,pdates_grade_factor_taint_tabor,1)+1)-INDEX(pdates_grade_factor_taint_tabor,MATCH($A22,pdates_grade_factor_taint_tabor,1)))*(INDEX(pvals_grade_factor_taint_tabor,MATCH($A22,pdates_grade_factor_taint_tabor,1)+1)-INDEX(pvals_grade_factor_taint_tabor,MATCH($A22,pdates_grade_factor_taint_tabor,1)))))</f>
        <v/>
      </c>
      <c r="Z22" s="8">
        <f>IF($A22&lt;=INDEX(pdates_grade_factor_tense,1),INDEX(pvals_grade_factor_tense,1),IF($A22&gt;=INDEX(pdates_grade_factor_tense,10),INDEX(pvals_grade_factor_tense,10),INDEX(pvals_grade_factor_tense,MATCH($A22,pdates_grade_factor_tense,1))+($A22-INDEX(pdates_grade_factor_tense,MATCH($A22,pdates_grade_factor_tense,1)))/(INDEX(pdates_grade_factor_tense,MATCH($A22,pdates_grade_factor_tense,1)+1)-INDEX(pdates_grade_factor_tense,MATCH($A22,pdates_grade_factor_tense,1)))*(INDEX(pvals_grade_factor_tense,MATCH($A22,pdates_grade_factor_tense,1)+1)-INDEX(pvals_grade_factor_tense,MATCH($A22,pdates_grade_factor_tense,1)))))</f>
        <v/>
      </c>
      <c r="AA22" s="8">
        <f>IF($A22&lt;=INDEX(pdates_grade_factor_mix_pit,1),INDEX(pvals_grade_factor_mix_pit,1),IF($A22&gt;=INDEX(pdates_grade_factor_mix_pit,10),INDEX(pvals_grade_factor_mix_pit,10),INDEX(pvals_grade_factor_mix_pit,MATCH($A22,pdates_grade_factor_mix_pit,1))+($A22-INDEX(pdates_grade_factor_mix_pit,MATCH($A22,pdates_grade_factor_mix_pit,1)))/(INDEX(pdates_grade_factor_mix_pit,MATCH($A22,pdates_grade_factor_mix_pit,1)+1)-INDEX(pdates_grade_factor_mix_pit,MATCH($A22,pdates_grade_factor_mix_pit,1)))*(INDEX(pvals_grade_factor_mix_pit,MATCH($A22,pdates_grade_factor_mix_pit,1)+1)-INDEX(pvals_grade_factor_mix_pit,MATCH($A22,pdates_grade_factor_mix_pit,1)))))</f>
        <v/>
      </c>
      <c r="AB22" s="16">
        <f>($B22*$F22/kg_per_mt*(1+bcd_primary_al_hs7601*(1+sws_rate_on_bcd))+mcx_domestic_premium_inr_kg)*(1+$I22*MAX(0,$Q22-$A22)/day_count_inr)</f>
        <v/>
      </c>
      <c r="AC22" s="16">
        <f>$M22-$AB22</f>
        <v/>
      </c>
      <c r="AD22" s="7" t="inlineStr">
        <is>
          <t>PROXY_IMPORT_PARITY</t>
        </is>
      </c>
      <c r="AE22" s="7" t="inlineStr">
        <is>
          <t>ECB_CROSS</t>
        </is>
      </c>
      <c r="AF22" s="7" t="inlineStr">
        <is>
          <t>WCI_REPORTED|USEC:EXTRAP_PRE|JEA:ASSUMPTION</t>
        </is>
      </c>
      <c r="AG22" s="17" t="b">
        <v>0</v>
      </c>
      <c r="AH22" s="17" t="b">
        <v>1</v>
      </c>
    </row>
    <row r="23">
      <c r="A23" s="11" t="n">
        <v>44588</v>
      </c>
      <c r="B23" s="13" t="n">
        <v>3107</v>
      </c>
      <c r="C23" s="13" t="n">
        <v>3096</v>
      </c>
      <c r="D23" s="13" t="n">
        <v>11</v>
      </c>
      <c r="E23" s="13" t="n">
        <v>823525</v>
      </c>
      <c r="F23" s="13" t="n">
        <v>75.08</v>
      </c>
      <c r="G23" s="6" t="n">
        <v>75.2987</v>
      </c>
      <c r="H23" s="6" t="n">
        <v>75.71469999999999</v>
      </c>
      <c r="I23" s="14" t="n">
        <v>0.0363</v>
      </c>
      <c r="J23" s="14" t="n">
        <v>0.001973</v>
      </c>
      <c r="K23" s="14" t="n">
        <v>0.04</v>
      </c>
      <c r="L23" s="13" t="n">
        <v>252.5186</v>
      </c>
      <c r="M23" s="13" t="n">
        <v>252.6191</v>
      </c>
      <c r="N23" s="13" t="n">
        <v>253.3223</v>
      </c>
      <c r="O23" s="13" t="n">
        <v>24.36</v>
      </c>
      <c r="P23" s="13" t="n">
        <v>108.02</v>
      </c>
      <c r="Q23" s="12" t="n">
        <v>44592</v>
      </c>
      <c r="R23" s="12" t="n">
        <v>44620</v>
      </c>
      <c r="S23" s="8">
        <f>YEAR($Q23)*100+MONTH($Q23)</f>
        <v/>
      </c>
      <c r="T23" s="8">
        <f>YEAR($R23)*100+MONTH($R23)</f>
        <v/>
      </c>
      <c r="U23" s="15">
        <f>IF($A23&lt;=INDEX(pdates_wc_rate_inr_pa,1),INDEX(pvals_wc_rate_inr_pa,1),INDEX(pvals_wc_rate_inr_pa,MATCH($A23,pdates_wc_rate_inr_pa,1)))</f>
        <v/>
      </c>
      <c r="V23" s="8">
        <f>IF(AND($A23&gt;=customs_fx_first,$A23&lt;=customs_fx_last+customs_fx_notification_validity_days),IF($A23&lt;=INDEX(pdates_customs_usdinr_import,1),INDEX(pvals_customs_usdinr_import,1),INDEX(pvals_customs_usdinr_import,MATCH($A23,pdates_customs_usdinr_import,1))),$F23*(1+customs_fx_markup_frac))</f>
        <v/>
      </c>
      <c r="W23" s="8">
        <f>IF(AND($A23&gt;=customs_fx_first,$A23&lt;=customs_fx_last+customs_fx_notification_validity_days),"CBIC_NOTIFIED","MARKUP_FALLBACK")</f>
        <v/>
      </c>
      <c r="X23" s="8">
        <f>IF($A23&lt;=INDEX(pdates_grade_factor_zorba,1),INDEX(pvals_grade_factor_zorba,1),IF($A23&gt;=INDEX(pdates_grade_factor_zorba,10),INDEX(pvals_grade_factor_zorba,10),INDEX(pvals_grade_factor_zorba,MATCH($A23,pdates_grade_factor_zorba,1))+($A23-INDEX(pdates_grade_factor_zorba,MATCH($A23,pdates_grade_factor_zorba,1)))/(INDEX(pdates_grade_factor_zorba,MATCH($A23,pdates_grade_factor_zorba,1)+1)-INDEX(pdates_grade_factor_zorba,MATCH($A23,pdates_grade_factor_zorba,1)))*(INDEX(pvals_grade_factor_zorba,MATCH($A23,pdates_grade_factor_zorba,1)+1)-INDEX(pvals_grade_factor_zorba,MATCH($A23,pdates_grade_factor_zorba,1)))))</f>
        <v/>
      </c>
      <c r="Y23" s="8">
        <f>IF($A23&lt;=INDEX(pdates_grade_factor_taint_tabor,1),INDEX(pvals_grade_factor_taint_tabor,1),IF($A23&gt;=INDEX(pdates_grade_factor_taint_tabor,10),INDEX(pvals_grade_factor_taint_tabor,10),INDEX(pvals_grade_factor_taint_tabor,MATCH($A23,pdates_grade_factor_taint_tabor,1))+($A23-INDEX(pdates_grade_factor_taint_tabor,MATCH($A23,pdates_grade_factor_taint_tabor,1)))/(INDEX(pdates_grade_factor_taint_tabor,MATCH($A23,pdates_grade_factor_taint_tabor,1)+1)-INDEX(pdates_grade_factor_taint_tabor,MATCH($A23,pdates_grade_factor_taint_tabor,1)))*(INDEX(pvals_grade_factor_taint_tabor,MATCH($A23,pdates_grade_factor_taint_tabor,1)+1)-INDEX(pvals_grade_factor_taint_tabor,MATCH($A23,pdates_grade_factor_taint_tabor,1)))))</f>
        <v/>
      </c>
      <c r="Z23" s="8">
        <f>IF($A23&lt;=INDEX(pdates_grade_factor_tense,1),INDEX(pvals_grade_factor_tense,1),IF($A23&gt;=INDEX(pdates_grade_factor_tense,10),INDEX(pvals_grade_factor_tense,10),INDEX(pvals_grade_factor_tense,MATCH($A23,pdates_grade_factor_tense,1))+($A23-INDEX(pdates_grade_factor_tense,MATCH($A23,pdates_grade_factor_tense,1)))/(INDEX(pdates_grade_factor_tense,MATCH($A23,pdates_grade_factor_tense,1)+1)-INDEX(pdates_grade_factor_tense,MATCH($A23,pdates_grade_factor_tense,1)))*(INDEX(pvals_grade_factor_tense,MATCH($A23,pdates_grade_factor_tense,1)+1)-INDEX(pvals_grade_factor_tense,MATCH($A23,pdates_grade_factor_tense,1)))))</f>
        <v/>
      </c>
      <c r="AA23" s="8">
        <f>IF($A23&lt;=INDEX(pdates_grade_factor_mix_pit,1),INDEX(pvals_grade_factor_mix_pit,1),IF($A23&gt;=INDEX(pdates_grade_factor_mix_pit,10),INDEX(pvals_grade_factor_mix_pit,10),INDEX(pvals_grade_factor_mix_pit,MATCH($A23,pdates_grade_factor_mix_pit,1))+($A23-INDEX(pdates_grade_factor_mix_pit,MATCH($A23,pdates_grade_factor_mix_pit,1)))/(INDEX(pdates_grade_factor_mix_pit,MATCH($A23,pdates_grade_factor_mix_pit,1)+1)-INDEX(pdates_grade_factor_mix_pit,MATCH($A23,pdates_grade_factor_mix_pit,1)))*(INDEX(pvals_grade_factor_mix_pit,MATCH($A23,pdates_grade_factor_mix_pit,1)+1)-INDEX(pvals_grade_factor_mix_pit,MATCH($A23,pdates_grade_factor_mix_pit,1)))))</f>
        <v/>
      </c>
      <c r="AB23" s="16">
        <f>($B23*$F23/kg_per_mt*(1+bcd_primary_al_hs7601*(1+sws_rate_on_bcd))+mcx_domestic_premium_inr_kg)*(1+$I23*MAX(0,$Q23-$A23)/day_count_inr)</f>
        <v/>
      </c>
      <c r="AC23" s="16">
        <f>$M23-$AB23</f>
        <v/>
      </c>
      <c r="AD23" s="7" t="inlineStr">
        <is>
          <t>PROXY_IMPORT_PARITY</t>
        </is>
      </c>
      <c r="AE23" s="7" t="inlineStr">
        <is>
          <t>ECB_CROSS</t>
        </is>
      </c>
      <c r="AF23" s="7" t="inlineStr">
        <is>
          <t>WCI_REPORTED|USEC:EXTRAP_PRE|JEA:ASSUMPTION</t>
        </is>
      </c>
      <c r="AG23" s="17" t="b">
        <v>0</v>
      </c>
      <c r="AH23" s="17" t="b">
        <v>0</v>
      </c>
    </row>
    <row r="24">
      <c r="A24" s="11" t="n">
        <v>44589</v>
      </c>
      <c r="B24" s="13" t="n">
        <v>3110</v>
      </c>
      <c r="C24" s="13" t="n">
        <v>3085.5</v>
      </c>
      <c r="D24" s="13" t="n">
        <v>24.5</v>
      </c>
      <c r="E24" s="13" t="n">
        <v>811050</v>
      </c>
      <c r="F24" s="13" t="n">
        <v>75.05970000000001</v>
      </c>
      <c r="G24" s="6" t="n">
        <v>75.279</v>
      </c>
      <c r="H24" s="6" t="n">
        <v>75.6961</v>
      </c>
      <c r="I24" s="14" t="n">
        <v>0.0363</v>
      </c>
      <c r="J24" s="14" t="n">
        <v>0.001874</v>
      </c>
      <c r="K24" s="14" t="n">
        <v>0.04</v>
      </c>
      <c r="L24" s="13" t="n">
        <v>252.6941</v>
      </c>
      <c r="M24" s="13" t="n">
        <v>252.7695</v>
      </c>
      <c r="N24" s="13" t="n">
        <v>253.4732</v>
      </c>
      <c r="O24" s="13" t="n">
        <v>24.36</v>
      </c>
      <c r="P24" s="13" t="n">
        <v>108.02</v>
      </c>
      <c r="Q24" s="12" t="n">
        <v>44592</v>
      </c>
      <c r="R24" s="12" t="n">
        <v>44620</v>
      </c>
      <c r="S24" s="8">
        <f>YEAR($Q24)*100+MONTH($Q24)</f>
        <v/>
      </c>
      <c r="T24" s="8">
        <f>YEAR($R24)*100+MONTH($R24)</f>
        <v/>
      </c>
      <c r="U24" s="15">
        <f>IF($A24&lt;=INDEX(pdates_wc_rate_inr_pa,1),INDEX(pvals_wc_rate_inr_pa,1),INDEX(pvals_wc_rate_inr_pa,MATCH($A24,pdates_wc_rate_inr_pa,1)))</f>
        <v/>
      </c>
      <c r="V24" s="8">
        <f>IF(AND($A24&gt;=customs_fx_first,$A24&lt;=customs_fx_last+customs_fx_notification_validity_days),IF($A24&lt;=INDEX(pdates_customs_usdinr_import,1),INDEX(pvals_customs_usdinr_import,1),INDEX(pvals_customs_usdinr_import,MATCH($A24,pdates_customs_usdinr_import,1))),$F24*(1+customs_fx_markup_frac))</f>
        <v/>
      </c>
      <c r="W24" s="8">
        <f>IF(AND($A24&gt;=customs_fx_first,$A24&lt;=customs_fx_last+customs_fx_notification_validity_days),"CBIC_NOTIFIED","MARKUP_FALLBACK")</f>
        <v/>
      </c>
      <c r="X24" s="8">
        <f>IF($A24&lt;=INDEX(pdates_grade_factor_zorba,1),INDEX(pvals_grade_factor_zorba,1),IF($A24&gt;=INDEX(pdates_grade_factor_zorba,10),INDEX(pvals_grade_factor_zorba,10),INDEX(pvals_grade_factor_zorba,MATCH($A24,pdates_grade_factor_zorba,1))+($A24-INDEX(pdates_grade_factor_zorba,MATCH($A24,pdates_grade_factor_zorba,1)))/(INDEX(pdates_grade_factor_zorba,MATCH($A24,pdates_grade_factor_zorba,1)+1)-INDEX(pdates_grade_factor_zorba,MATCH($A24,pdates_grade_factor_zorba,1)))*(INDEX(pvals_grade_factor_zorba,MATCH($A24,pdates_grade_factor_zorba,1)+1)-INDEX(pvals_grade_factor_zorba,MATCH($A24,pdates_grade_factor_zorba,1)))))</f>
        <v/>
      </c>
      <c r="Y24" s="8">
        <f>IF($A24&lt;=INDEX(pdates_grade_factor_taint_tabor,1),INDEX(pvals_grade_factor_taint_tabor,1),IF($A24&gt;=INDEX(pdates_grade_factor_taint_tabor,10),INDEX(pvals_grade_factor_taint_tabor,10),INDEX(pvals_grade_factor_taint_tabor,MATCH($A24,pdates_grade_factor_taint_tabor,1))+($A24-INDEX(pdates_grade_factor_taint_tabor,MATCH($A24,pdates_grade_factor_taint_tabor,1)))/(INDEX(pdates_grade_factor_taint_tabor,MATCH($A24,pdates_grade_factor_taint_tabor,1)+1)-INDEX(pdates_grade_factor_taint_tabor,MATCH($A24,pdates_grade_factor_taint_tabor,1)))*(INDEX(pvals_grade_factor_taint_tabor,MATCH($A24,pdates_grade_factor_taint_tabor,1)+1)-INDEX(pvals_grade_factor_taint_tabor,MATCH($A24,pdates_grade_factor_taint_tabor,1)))))</f>
        <v/>
      </c>
      <c r="Z24" s="8">
        <f>IF($A24&lt;=INDEX(pdates_grade_factor_tense,1),INDEX(pvals_grade_factor_tense,1),IF($A24&gt;=INDEX(pdates_grade_factor_tense,10),INDEX(pvals_grade_factor_tense,10),INDEX(pvals_grade_factor_tense,MATCH($A24,pdates_grade_factor_tense,1))+($A24-INDEX(pdates_grade_factor_tense,MATCH($A24,pdates_grade_factor_tense,1)))/(INDEX(pdates_grade_factor_tense,MATCH($A24,pdates_grade_factor_tense,1)+1)-INDEX(pdates_grade_factor_tense,MATCH($A24,pdates_grade_factor_tense,1)))*(INDEX(pvals_grade_factor_tense,MATCH($A24,pdates_grade_factor_tense,1)+1)-INDEX(pvals_grade_factor_tense,MATCH($A24,pdates_grade_factor_tense,1)))))</f>
        <v/>
      </c>
      <c r="AA24" s="8">
        <f>IF($A24&lt;=INDEX(pdates_grade_factor_mix_pit,1),INDEX(pvals_grade_factor_mix_pit,1),IF($A24&gt;=INDEX(pdates_grade_factor_mix_pit,10),INDEX(pvals_grade_factor_mix_pit,10),INDEX(pvals_grade_factor_mix_pit,MATCH($A24,pdates_grade_factor_mix_pit,1))+($A24-INDEX(pdates_grade_factor_mix_pit,MATCH($A24,pdates_grade_factor_mix_pit,1)))/(INDEX(pdates_grade_factor_mix_pit,MATCH($A24,pdates_grade_factor_mix_pit,1)+1)-INDEX(pdates_grade_factor_mix_pit,MATCH($A24,pdates_grade_factor_mix_pit,1)))*(INDEX(pvals_grade_factor_mix_pit,MATCH($A24,pdates_grade_factor_mix_pit,1)+1)-INDEX(pvals_grade_factor_mix_pit,MATCH($A24,pdates_grade_factor_mix_pit,1)))))</f>
        <v/>
      </c>
      <c r="AB24" s="16">
        <f>($B24*$F24/kg_per_mt*(1+bcd_primary_al_hs7601*(1+sws_rate_on_bcd))+mcx_domestic_premium_inr_kg)*(1+$I24*MAX(0,$Q24-$A24)/day_count_inr)</f>
        <v/>
      </c>
      <c r="AC24" s="16">
        <f>$M24-$AB24</f>
        <v/>
      </c>
      <c r="AD24" s="7" t="inlineStr">
        <is>
          <t>PROXY_IMPORT_PARITY</t>
        </is>
      </c>
      <c r="AE24" s="7" t="inlineStr">
        <is>
          <t>ECB_CROSS</t>
        </is>
      </c>
      <c r="AF24" s="7" t="inlineStr">
        <is>
          <t>WCI_REPORTED|USEC:EXTRAP_PRE|JEA:ASSUMPTION</t>
        </is>
      </c>
      <c r="AG24" s="17" t="b">
        <v>0</v>
      </c>
      <c r="AH24" s="17" t="b">
        <v>1</v>
      </c>
    </row>
    <row r="25">
      <c r="A25" s="11" t="n">
        <v>44592</v>
      </c>
      <c r="B25" s="13" t="n">
        <v>3076</v>
      </c>
      <c r="C25" s="13" t="n">
        <v>3052</v>
      </c>
      <c r="D25" s="13" t="n">
        <v>24</v>
      </c>
      <c r="E25" s="13" t="n">
        <v>799475</v>
      </c>
      <c r="F25" s="13" t="n">
        <v>74.72709999999999</v>
      </c>
      <c r="G25" s="6" t="n">
        <v>74.9213</v>
      </c>
      <c r="H25" s="6" t="n">
        <v>75.34439999999999</v>
      </c>
      <c r="I25" s="14" t="n">
        <v>0.0363</v>
      </c>
      <c r="J25" s="14" t="n">
        <v>0.002367</v>
      </c>
      <c r="K25" s="14" t="n">
        <v>0.04</v>
      </c>
      <c r="L25" s="13" t="n">
        <v>248.8241</v>
      </c>
      <c r="M25" s="13" t="n">
        <v>248.8241</v>
      </c>
      <c r="N25" s="13" t="n">
        <v>249.5169</v>
      </c>
      <c r="O25" s="13" t="n">
        <v>24.36</v>
      </c>
      <c r="P25" s="13" t="n">
        <v>108.02</v>
      </c>
      <c r="Q25" s="12" t="n">
        <v>44592</v>
      </c>
      <c r="R25" s="12" t="n">
        <v>44620</v>
      </c>
      <c r="S25" s="8">
        <f>YEAR($Q25)*100+MONTH($Q25)</f>
        <v/>
      </c>
      <c r="T25" s="8">
        <f>YEAR($R25)*100+MONTH($R25)</f>
        <v/>
      </c>
      <c r="U25" s="15">
        <f>IF($A25&lt;=INDEX(pdates_wc_rate_inr_pa,1),INDEX(pvals_wc_rate_inr_pa,1),INDEX(pvals_wc_rate_inr_pa,MATCH($A25,pdates_wc_rate_inr_pa,1)))</f>
        <v/>
      </c>
      <c r="V25" s="8">
        <f>IF(AND($A25&gt;=customs_fx_first,$A25&lt;=customs_fx_last+customs_fx_notification_validity_days),IF($A25&lt;=INDEX(pdates_customs_usdinr_import,1),INDEX(pvals_customs_usdinr_import,1),INDEX(pvals_customs_usdinr_import,MATCH($A25,pdates_customs_usdinr_import,1))),$F25*(1+customs_fx_markup_frac))</f>
        <v/>
      </c>
      <c r="W25" s="8">
        <f>IF(AND($A25&gt;=customs_fx_first,$A25&lt;=customs_fx_last+customs_fx_notification_validity_days),"CBIC_NOTIFIED","MARKUP_FALLBACK")</f>
        <v/>
      </c>
      <c r="X25" s="8">
        <f>IF($A25&lt;=INDEX(pdates_grade_factor_zorba,1),INDEX(pvals_grade_factor_zorba,1),IF($A25&gt;=INDEX(pdates_grade_factor_zorba,10),INDEX(pvals_grade_factor_zorba,10),INDEX(pvals_grade_factor_zorba,MATCH($A25,pdates_grade_factor_zorba,1))+($A25-INDEX(pdates_grade_factor_zorba,MATCH($A25,pdates_grade_factor_zorba,1)))/(INDEX(pdates_grade_factor_zorba,MATCH($A25,pdates_grade_factor_zorba,1)+1)-INDEX(pdates_grade_factor_zorba,MATCH($A25,pdates_grade_factor_zorba,1)))*(INDEX(pvals_grade_factor_zorba,MATCH($A25,pdates_grade_factor_zorba,1)+1)-INDEX(pvals_grade_factor_zorba,MATCH($A25,pdates_grade_factor_zorba,1)))))</f>
        <v/>
      </c>
      <c r="Y25" s="8">
        <f>IF($A25&lt;=INDEX(pdates_grade_factor_taint_tabor,1),INDEX(pvals_grade_factor_taint_tabor,1),IF($A25&gt;=INDEX(pdates_grade_factor_taint_tabor,10),INDEX(pvals_grade_factor_taint_tabor,10),INDEX(pvals_grade_factor_taint_tabor,MATCH($A25,pdates_grade_factor_taint_tabor,1))+($A25-INDEX(pdates_grade_factor_taint_tabor,MATCH($A25,pdates_grade_factor_taint_tabor,1)))/(INDEX(pdates_grade_factor_taint_tabor,MATCH($A25,pdates_grade_factor_taint_tabor,1)+1)-INDEX(pdates_grade_factor_taint_tabor,MATCH($A25,pdates_grade_factor_taint_tabor,1)))*(INDEX(pvals_grade_factor_taint_tabor,MATCH($A25,pdates_grade_factor_taint_tabor,1)+1)-INDEX(pvals_grade_factor_taint_tabor,MATCH($A25,pdates_grade_factor_taint_tabor,1)))))</f>
        <v/>
      </c>
      <c r="Z25" s="8">
        <f>IF($A25&lt;=INDEX(pdates_grade_factor_tense,1),INDEX(pvals_grade_factor_tense,1),IF($A25&gt;=INDEX(pdates_grade_factor_tense,10),INDEX(pvals_grade_factor_tense,10),INDEX(pvals_grade_factor_tense,MATCH($A25,pdates_grade_factor_tense,1))+($A25-INDEX(pdates_grade_factor_tense,MATCH($A25,pdates_grade_factor_tense,1)))/(INDEX(pdates_grade_factor_tense,MATCH($A25,pdates_grade_factor_tense,1)+1)-INDEX(pdates_grade_factor_tense,MATCH($A25,pdates_grade_factor_tense,1)))*(INDEX(pvals_grade_factor_tense,MATCH($A25,pdates_grade_factor_tense,1)+1)-INDEX(pvals_grade_factor_tense,MATCH($A25,pdates_grade_factor_tense,1)))))</f>
        <v/>
      </c>
      <c r="AA25" s="8">
        <f>IF($A25&lt;=INDEX(pdates_grade_factor_mix_pit,1),INDEX(pvals_grade_factor_mix_pit,1),IF($A25&gt;=INDEX(pdates_grade_factor_mix_pit,10),INDEX(pvals_grade_factor_mix_pit,10),INDEX(pvals_grade_factor_mix_pit,MATCH($A25,pdates_grade_factor_mix_pit,1))+($A25-INDEX(pdates_grade_factor_mix_pit,MATCH($A25,pdates_grade_factor_mix_pit,1)))/(INDEX(pdates_grade_factor_mix_pit,MATCH($A25,pdates_grade_factor_mix_pit,1)+1)-INDEX(pdates_grade_factor_mix_pit,MATCH($A25,pdates_grade_factor_mix_pit,1)))*(INDEX(pvals_grade_factor_mix_pit,MATCH($A25,pdates_grade_factor_mix_pit,1)+1)-INDEX(pvals_grade_factor_mix_pit,MATCH($A25,pdates_grade_factor_mix_pit,1)))))</f>
        <v/>
      </c>
      <c r="AB25" s="16">
        <f>($B25*$F25/kg_per_mt*(1+bcd_primary_al_hs7601*(1+sws_rate_on_bcd))+mcx_domestic_premium_inr_kg)*(1+$I25*MAX(0,$Q25-$A25)/day_count_inr)</f>
        <v/>
      </c>
      <c r="AC25" s="16">
        <f>$M25-$AB25</f>
        <v/>
      </c>
      <c r="AD25" s="7" t="inlineStr">
        <is>
          <t>PROXY_IMPORT_PARITY</t>
        </is>
      </c>
      <c r="AE25" s="7" t="inlineStr">
        <is>
          <t>ECB_CROSS</t>
        </is>
      </c>
      <c r="AF25" s="7" t="inlineStr">
        <is>
          <t>WCI_REPORTED|USEC:EXTRAP_PRE|JEA:ASSUMPTION</t>
        </is>
      </c>
      <c r="AG25" s="17" t="b">
        <v>0</v>
      </c>
      <c r="AH25" s="17" t="b">
        <v>1</v>
      </c>
    </row>
    <row r="26">
      <c r="A26" s="11" t="n">
        <v>44593</v>
      </c>
      <c r="B26" s="13" t="n">
        <v>3072</v>
      </c>
      <c r="C26" s="13" t="n">
        <v>3049</v>
      </c>
      <c r="D26" s="13" t="n">
        <v>23</v>
      </c>
      <c r="E26" s="13" t="n">
        <v>788425</v>
      </c>
      <c r="F26" s="13" t="n">
        <v>74.7753</v>
      </c>
      <c r="G26" s="6" t="n">
        <v>74.98099999999999</v>
      </c>
      <c r="H26" s="6" t="n">
        <v>75.4289</v>
      </c>
      <c r="I26" s="14" t="n">
        <v>0.037862</v>
      </c>
      <c r="J26" s="14" t="n">
        <v>0.001973</v>
      </c>
      <c r="K26" s="14" t="n">
        <v>0.04</v>
      </c>
      <c r="L26" s="13" t="n">
        <v>248.6608</v>
      </c>
      <c r="M26" s="13" t="n">
        <v>249.3572</v>
      </c>
      <c r="N26" s="13" t="n">
        <v>250.1568</v>
      </c>
      <c r="O26" s="13" t="n">
        <v>24.36</v>
      </c>
      <c r="P26" s="13" t="n">
        <v>108.02</v>
      </c>
      <c r="Q26" s="12" t="n">
        <v>44620</v>
      </c>
      <c r="R26" s="12" t="n">
        <v>44651</v>
      </c>
      <c r="S26" s="8">
        <f>YEAR($Q26)*100+MONTH($Q26)</f>
        <v/>
      </c>
      <c r="T26" s="8">
        <f>YEAR($R26)*100+MONTH($R26)</f>
        <v/>
      </c>
      <c r="U26" s="15">
        <f>IF($A26&lt;=INDEX(pdates_wc_rate_inr_pa,1),INDEX(pvals_wc_rate_inr_pa,1),INDEX(pvals_wc_rate_inr_pa,MATCH($A26,pdates_wc_rate_inr_pa,1)))</f>
        <v/>
      </c>
      <c r="V26" s="8">
        <f>IF(AND($A26&gt;=customs_fx_first,$A26&lt;=customs_fx_last+customs_fx_notification_validity_days),IF($A26&lt;=INDEX(pdates_customs_usdinr_import,1),INDEX(pvals_customs_usdinr_import,1),INDEX(pvals_customs_usdinr_import,MATCH($A26,pdates_customs_usdinr_import,1))),$F26*(1+customs_fx_markup_frac))</f>
        <v/>
      </c>
      <c r="W26" s="8">
        <f>IF(AND($A26&gt;=customs_fx_first,$A26&lt;=customs_fx_last+customs_fx_notification_validity_days),"CBIC_NOTIFIED","MARKUP_FALLBACK")</f>
        <v/>
      </c>
      <c r="X26" s="8">
        <f>IF($A26&lt;=INDEX(pdates_grade_factor_zorba,1),INDEX(pvals_grade_factor_zorba,1),IF($A26&gt;=INDEX(pdates_grade_factor_zorba,10),INDEX(pvals_grade_factor_zorba,10),INDEX(pvals_grade_factor_zorba,MATCH($A26,pdates_grade_factor_zorba,1))+($A26-INDEX(pdates_grade_factor_zorba,MATCH($A26,pdates_grade_factor_zorba,1)))/(INDEX(pdates_grade_factor_zorba,MATCH($A26,pdates_grade_factor_zorba,1)+1)-INDEX(pdates_grade_factor_zorba,MATCH($A26,pdates_grade_factor_zorba,1)))*(INDEX(pvals_grade_factor_zorba,MATCH($A26,pdates_grade_factor_zorba,1)+1)-INDEX(pvals_grade_factor_zorba,MATCH($A26,pdates_grade_factor_zorba,1)))))</f>
        <v/>
      </c>
      <c r="Y26" s="8">
        <f>IF($A26&lt;=INDEX(pdates_grade_factor_taint_tabor,1),INDEX(pvals_grade_factor_taint_tabor,1),IF($A26&gt;=INDEX(pdates_grade_factor_taint_tabor,10),INDEX(pvals_grade_factor_taint_tabor,10),INDEX(pvals_grade_factor_taint_tabor,MATCH($A26,pdates_grade_factor_taint_tabor,1))+($A26-INDEX(pdates_grade_factor_taint_tabor,MATCH($A26,pdates_grade_factor_taint_tabor,1)))/(INDEX(pdates_grade_factor_taint_tabor,MATCH($A26,pdates_grade_factor_taint_tabor,1)+1)-INDEX(pdates_grade_factor_taint_tabor,MATCH($A26,pdates_grade_factor_taint_tabor,1)))*(INDEX(pvals_grade_factor_taint_tabor,MATCH($A26,pdates_grade_factor_taint_tabor,1)+1)-INDEX(pvals_grade_factor_taint_tabor,MATCH($A26,pdates_grade_factor_taint_tabor,1)))))</f>
        <v/>
      </c>
      <c r="Z26" s="8">
        <f>IF($A26&lt;=INDEX(pdates_grade_factor_tense,1),INDEX(pvals_grade_factor_tense,1),IF($A26&gt;=INDEX(pdates_grade_factor_tense,10),INDEX(pvals_grade_factor_tense,10),INDEX(pvals_grade_factor_tense,MATCH($A26,pdates_grade_factor_tense,1))+($A26-INDEX(pdates_grade_factor_tense,MATCH($A26,pdates_grade_factor_tense,1)))/(INDEX(pdates_grade_factor_tense,MATCH($A26,pdates_grade_factor_tense,1)+1)-INDEX(pdates_grade_factor_tense,MATCH($A26,pdates_grade_factor_tense,1)))*(INDEX(pvals_grade_factor_tense,MATCH($A26,pdates_grade_factor_tense,1)+1)-INDEX(pvals_grade_factor_tense,MATCH($A26,pdates_grade_factor_tense,1)))))</f>
        <v/>
      </c>
      <c r="AA26" s="8">
        <f>IF($A26&lt;=INDEX(pdates_grade_factor_mix_pit,1),INDEX(pvals_grade_factor_mix_pit,1),IF($A26&gt;=INDEX(pdates_grade_factor_mix_pit,10),INDEX(pvals_grade_factor_mix_pit,10),INDEX(pvals_grade_factor_mix_pit,MATCH($A26,pdates_grade_factor_mix_pit,1))+($A26-INDEX(pdates_grade_factor_mix_pit,MATCH($A26,pdates_grade_factor_mix_pit,1)))/(INDEX(pdates_grade_factor_mix_pit,MATCH($A26,pdates_grade_factor_mix_pit,1)+1)-INDEX(pdates_grade_factor_mix_pit,MATCH($A26,pdates_grade_factor_mix_pit,1)))*(INDEX(pvals_grade_factor_mix_pit,MATCH($A26,pdates_grade_factor_mix_pit,1)+1)-INDEX(pvals_grade_factor_mix_pit,MATCH($A26,pdates_grade_factor_mix_pit,1)))))</f>
        <v/>
      </c>
      <c r="AB26" s="16">
        <f>($B26*$F26/kg_per_mt*(1+bcd_primary_al_hs7601*(1+sws_rate_on_bcd))+mcx_domestic_premium_inr_kg)*(1+$I26*MAX(0,$Q26-$A26)/day_count_inr)</f>
        <v/>
      </c>
      <c r="AC26" s="16">
        <f>$M26-$AB26</f>
        <v/>
      </c>
      <c r="AD26" s="7" t="inlineStr">
        <is>
          <t>PROXY_IMPORT_PARITY</t>
        </is>
      </c>
      <c r="AE26" s="7" t="inlineStr">
        <is>
          <t>ECB_CROSS</t>
        </is>
      </c>
      <c r="AF26" s="7" t="inlineStr">
        <is>
          <t>WCI_REPORTED|USEC:EXTRAP_PRE|JEA:ASSUMPTION</t>
        </is>
      </c>
      <c r="AG26" s="17" t="b">
        <v>0</v>
      </c>
      <c r="AH26" s="17" t="b">
        <v>1</v>
      </c>
    </row>
    <row r="27">
      <c r="A27" s="11" t="n">
        <v>44594</v>
      </c>
      <c r="B27" s="13" t="n">
        <v>3043</v>
      </c>
      <c r="C27" s="13" t="n">
        <v>3028</v>
      </c>
      <c r="D27" s="13" t="n">
        <v>15</v>
      </c>
      <c r="E27" s="13" t="n">
        <v>782225</v>
      </c>
      <c r="F27" s="13" t="n">
        <v>74.72669999999999</v>
      </c>
      <c r="G27" s="6" t="n">
        <v>74.93219999999999</v>
      </c>
      <c r="H27" s="6" t="n">
        <v>75.3798</v>
      </c>
      <c r="I27" s="14" t="n">
        <v>0.037862</v>
      </c>
      <c r="J27" s="14" t="n">
        <v>0.001973</v>
      </c>
      <c r="K27" s="14" t="n">
        <v>0.04</v>
      </c>
      <c r="L27" s="13" t="n">
        <v>246.1533</v>
      </c>
      <c r="M27" s="13" t="n">
        <v>246.8172</v>
      </c>
      <c r="N27" s="13" t="n">
        <v>247.6087</v>
      </c>
      <c r="O27" s="13" t="n">
        <v>24.36</v>
      </c>
      <c r="P27" s="13" t="n">
        <v>108.02</v>
      </c>
      <c r="Q27" s="12" t="n">
        <v>44620</v>
      </c>
      <c r="R27" s="12" t="n">
        <v>44651</v>
      </c>
      <c r="S27" s="8">
        <f>YEAR($Q27)*100+MONTH($Q27)</f>
        <v/>
      </c>
      <c r="T27" s="8">
        <f>YEAR($R27)*100+MONTH($R27)</f>
        <v/>
      </c>
      <c r="U27" s="15">
        <f>IF($A27&lt;=INDEX(pdates_wc_rate_inr_pa,1),INDEX(pvals_wc_rate_inr_pa,1),INDEX(pvals_wc_rate_inr_pa,MATCH($A27,pdates_wc_rate_inr_pa,1)))</f>
        <v/>
      </c>
      <c r="V27" s="8">
        <f>IF(AND($A27&gt;=customs_fx_first,$A27&lt;=customs_fx_last+customs_fx_notification_validity_days),IF($A27&lt;=INDEX(pdates_customs_usdinr_import,1),INDEX(pvals_customs_usdinr_import,1),INDEX(pvals_customs_usdinr_import,MATCH($A27,pdates_customs_usdinr_import,1))),$F27*(1+customs_fx_markup_frac))</f>
        <v/>
      </c>
      <c r="W27" s="8">
        <f>IF(AND($A27&gt;=customs_fx_first,$A27&lt;=customs_fx_last+customs_fx_notification_validity_days),"CBIC_NOTIFIED","MARKUP_FALLBACK")</f>
        <v/>
      </c>
      <c r="X27" s="8">
        <f>IF($A27&lt;=INDEX(pdates_grade_factor_zorba,1),INDEX(pvals_grade_factor_zorba,1),IF($A27&gt;=INDEX(pdates_grade_factor_zorba,10),INDEX(pvals_grade_factor_zorba,10),INDEX(pvals_grade_factor_zorba,MATCH($A27,pdates_grade_factor_zorba,1))+($A27-INDEX(pdates_grade_factor_zorba,MATCH($A27,pdates_grade_factor_zorba,1)))/(INDEX(pdates_grade_factor_zorba,MATCH($A27,pdates_grade_factor_zorba,1)+1)-INDEX(pdates_grade_factor_zorba,MATCH($A27,pdates_grade_factor_zorba,1)))*(INDEX(pvals_grade_factor_zorba,MATCH($A27,pdates_grade_factor_zorba,1)+1)-INDEX(pvals_grade_factor_zorba,MATCH($A27,pdates_grade_factor_zorba,1)))))</f>
        <v/>
      </c>
      <c r="Y27" s="8">
        <f>IF($A27&lt;=INDEX(pdates_grade_factor_taint_tabor,1),INDEX(pvals_grade_factor_taint_tabor,1),IF($A27&gt;=INDEX(pdates_grade_factor_taint_tabor,10),INDEX(pvals_grade_factor_taint_tabor,10),INDEX(pvals_grade_factor_taint_tabor,MATCH($A27,pdates_grade_factor_taint_tabor,1))+($A27-INDEX(pdates_grade_factor_taint_tabor,MATCH($A27,pdates_grade_factor_taint_tabor,1)))/(INDEX(pdates_grade_factor_taint_tabor,MATCH($A27,pdates_grade_factor_taint_tabor,1)+1)-INDEX(pdates_grade_factor_taint_tabor,MATCH($A27,pdates_grade_factor_taint_tabor,1)))*(INDEX(pvals_grade_factor_taint_tabor,MATCH($A27,pdates_grade_factor_taint_tabor,1)+1)-INDEX(pvals_grade_factor_taint_tabor,MATCH($A27,pdates_grade_factor_taint_tabor,1)))))</f>
        <v/>
      </c>
      <c r="Z27" s="8">
        <f>IF($A27&lt;=INDEX(pdates_grade_factor_tense,1),INDEX(pvals_grade_factor_tense,1),IF($A27&gt;=INDEX(pdates_grade_factor_tense,10),INDEX(pvals_grade_factor_tense,10),INDEX(pvals_grade_factor_tense,MATCH($A27,pdates_grade_factor_tense,1))+($A27-INDEX(pdates_grade_factor_tense,MATCH($A27,pdates_grade_factor_tense,1)))/(INDEX(pdates_grade_factor_tense,MATCH($A27,pdates_grade_factor_tense,1)+1)-INDEX(pdates_grade_factor_tense,MATCH($A27,pdates_grade_factor_tense,1)))*(INDEX(pvals_grade_factor_tense,MATCH($A27,pdates_grade_factor_tense,1)+1)-INDEX(pvals_grade_factor_tense,MATCH($A27,pdates_grade_factor_tense,1)))))</f>
        <v/>
      </c>
      <c r="AA27" s="8">
        <f>IF($A27&lt;=INDEX(pdates_grade_factor_mix_pit,1),INDEX(pvals_grade_factor_mix_pit,1),IF($A27&gt;=INDEX(pdates_grade_factor_mix_pit,10),INDEX(pvals_grade_factor_mix_pit,10),INDEX(pvals_grade_factor_mix_pit,MATCH($A27,pdates_grade_factor_mix_pit,1))+($A27-INDEX(pdates_grade_factor_mix_pit,MATCH($A27,pdates_grade_factor_mix_pit,1)))/(INDEX(pdates_grade_factor_mix_pit,MATCH($A27,pdates_grade_factor_mix_pit,1)+1)-INDEX(pdates_grade_factor_mix_pit,MATCH($A27,pdates_grade_factor_mix_pit,1)))*(INDEX(pvals_grade_factor_mix_pit,MATCH($A27,pdates_grade_factor_mix_pit,1)+1)-INDEX(pvals_grade_factor_mix_pit,MATCH($A27,pdates_grade_factor_mix_pit,1)))))</f>
        <v/>
      </c>
      <c r="AB27" s="16">
        <f>($B27*$F27/kg_per_mt*(1+bcd_primary_al_hs7601*(1+sws_rate_on_bcd))+mcx_domestic_premium_inr_kg)*(1+$I27*MAX(0,$Q27-$A27)/day_count_inr)</f>
        <v/>
      </c>
      <c r="AC27" s="16">
        <f>$M27-$AB27</f>
        <v/>
      </c>
      <c r="AD27" s="7" t="inlineStr">
        <is>
          <t>PROXY_IMPORT_PARITY</t>
        </is>
      </c>
      <c r="AE27" s="7" t="inlineStr">
        <is>
          <t>ECB_CROSS</t>
        </is>
      </c>
      <c r="AF27" s="7" t="inlineStr">
        <is>
          <t>WCI_REPORTED|USEC:EXTRAP_PRE|JEA:ASSUMPTION</t>
        </is>
      </c>
      <c r="AG27" s="17" t="b">
        <v>0</v>
      </c>
      <c r="AH27" s="17" t="b">
        <v>1</v>
      </c>
    </row>
    <row r="28">
      <c r="A28" s="11" t="n">
        <v>44595</v>
      </c>
      <c r="B28" s="13" t="n">
        <v>3058.5</v>
      </c>
      <c r="C28" s="13" t="n">
        <v>3035</v>
      </c>
      <c r="D28" s="13" t="n">
        <v>23.5</v>
      </c>
      <c r="E28" s="13" t="n">
        <v>781900</v>
      </c>
      <c r="F28" s="13" t="n">
        <v>74.8875</v>
      </c>
      <c r="G28" s="6" t="n">
        <v>75.0929</v>
      </c>
      <c r="H28" s="6" t="n">
        <v>75.5402</v>
      </c>
      <c r="I28" s="14" t="n">
        <v>0.037862</v>
      </c>
      <c r="J28" s="14" t="n">
        <v>0.002071</v>
      </c>
      <c r="K28" s="14" t="n">
        <v>0.04</v>
      </c>
      <c r="L28" s="13" t="n">
        <v>247.9395</v>
      </c>
      <c r="M28" s="13" t="n">
        <v>248.5825</v>
      </c>
      <c r="N28" s="13" t="n">
        <v>249.3798</v>
      </c>
      <c r="O28" s="13" t="n">
        <v>24.25</v>
      </c>
      <c r="P28" s="13" t="n">
        <v>107.54</v>
      </c>
      <c r="Q28" s="12" t="n">
        <v>44620</v>
      </c>
      <c r="R28" s="12" t="n">
        <v>44651</v>
      </c>
      <c r="S28" s="8">
        <f>YEAR($Q28)*100+MONTH($Q28)</f>
        <v/>
      </c>
      <c r="T28" s="8">
        <f>YEAR($R28)*100+MONTH($R28)</f>
        <v/>
      </c>
      <c r="U28" s="15">
        <f>IF($A28&lt;=INDEX(pdates_wc_rate_inr_pa,1),INDEX(pvals_wc_rate_inr_pa,1),INDEX(pvals_wc_rate_inr_pa,MATCH($A28,pdates_wc_rate_inr_pa,1)))</f>
        <v/>
      </c>
      <c r="V28" s="8">
        <f>IF(AND($A28&gt;=customs_fx_first,$A28&lt;=customs_fx_last+customs_fx_notification_validity_days),IF($A28&lt;=INDEX(pdates_customs_usdinr_import,1),INDEX(pvals_customs_usdinr_import,1),INDEX(pvals_customs_usdinr_import,MATCH($A28,pdates_customs_usdinr_import,1))),$F28*(1+customs_fx_markup_frac))</f>
        <v/>
      </c>
      <c r="W28" s="8">
        <f>IF(AND($A28&gt;=customs_fx_first,$A28&lt;=customs_fx_last+customs_fx_notification_validity_days),"CBIC_NOTIFIED","MARKUP_FALLBACK")</f>
        <v/>
      </c>
      <c r="X28" s="8">
        <f>IF($A28&lt;=INDEX(pdates_grade_factor_zorba,1),INDEX(pvals_grade_factor_zorba,1),IF($A28&gt;=INDEX(pdates_grade_factor_zorba,10),INDEX(pvals_grade_factor_zorba,10),INDEX(pvals_grade_factor_zorba,MATCH($A28,pdates_grade_factor_zorba,1))+($A28-INDEX(pdates_grade_factor_zorba,MATCH($A28,pdates_grade_factor_zorba,1)))/(INDEX(pdates_grade_factor_zorba,MATCH($A28,pdates_grade_factor_zorba,1)+1)-INDEX(pdates_grade_factor_zorba,MATCH($A28,pdates_grade_factor_zorba,1)))*(INDEX(pvals_grade_factor_zorba,MATCH($A28,pdates_grade_factor_zorba,1)+1)-INDEX(pvals_grade_factor_zorba,MATCH($A28,pdates_grade_factor_zorba,1)))))</f>
        <v/>
      </c>
      <c r="Y28" s="8">
        <f>IF($A28&lt;=INDEX(pdates_grade_factor_taint_tabor,1),INDEX(pvals_grade_factor_taint_tabor,1),IF($A28&gt;=INDEX(pdates_grade_factor_taint_tabor,10),INDEX(pvals_grade_factor_taint_tabor,10),INDEX(pvals_grade_factor_taint_tabor,MATCH($A28,pdates_grade_factor_taint_tabor,1))+($A28-INDEX(pdates_grade_factor_taint_tabor,MATCH($A28,pdates_grade_factor_taint_tabor,1)))/(INDEX(pdates_grade_factor_taint_tabor,MATCH($A28,pdates_grade_factor_taint_tabor,1)+1)-INDEX(pdates_grade_factor_taint_tabor,MATCH($A28,pdates_grade_factor_taint_tabor,1)))*(INDEX(pvals_grade_factor_taint_tabor,MATCH($A28,pdates_grade_factor_taint_tabor,1)+1)-INDEX(pvals_grade_factor_taint_tabor,MATCH($A28,pdates_grade_factor_taint_tabor,1)))))</f>
        <v/>
      </c>
      <c r="Z28" s="8">
        <f>IF($A28&lt;=INDEX(pdates_grade_factor_tense,1),INDEX(pvals_grade_factor_tense,1),IF($A28&gt;=INDEX(pdates_grade_factor_tense,10),INDEX(pvals_grade_factor_tense,10),INDEX(pvals_grade_factor_tense,MATCH($A28,pdates_grade_factor_tense,1))+($A28-INDEX(pdates_grade_factor_tense,MATCH($A28,pdates_grade_factor_tense,1)))/(INDEX(pdates_grade_factor_tense,MATCH($A28,pdates_grade_factor_tense,1)+1)-INDEX(pdates_grade_factor_tense,MATCH($A28,pdates_grade_factor_tense,1)))*(INDEX(pvals_grade_factor_tense,MATCH($A28,pdates_grade_factor_tense,1)+1)-INDEX(pvals_grade_factor_tense,MATCH($A28,pdates_grade_factor_tense,1)))))</f>
        <v/>
      </c>
      <c r="AA28" s="8">
        <f>IF($A28&lt;=INDEX(pdates_grade_factor_mix_pit,1),INDEX(pvals_grade_factor_mix_pit,1),IF($A28&gt;=INDEX(pdates_grade_factor_mix_pit,10),INDEX(pvals_grade_factor_mix_pit,10),INDEX(pvals_grade_factor_mix_pit,MATCH($A28,pdates_grade_factor_mix_pit,1))+($A28-INDEX(pdates_grade_factor_mix_pit,MATCH($A28,pdates_grade_factor_mix_pit,1)))/(INDEX(pdates_grade_factor_mix_pit,MATCH($A28,pdates_grade_factor_mix_pit,1)+1)-INDEX(pdates_grade_factor_mix_pit,MATCH($A28,pdates_grade_factor_mix_pit,1)))*(INDEX(pvals_grade_factor_mix_pit,MATCH($A28,pdates_grade_factor_mix_pit,1)+1)-INDEX(pvals_grade_factor_mix_pit,MATCH($A28,pdates_grade_factor_mix_pit,1)))))</f>
        <v/>
      </c>
      <c r="AB28" s="16">
        <f>($B28*$F28/kg_per_mt*(1+bcd_primary_al_hs7601*(1+sws_rate_on_bcd))+mcx_domestic_premium_inr_kg)*(1+$I28*MAX(0,$Q28-$A28)/day_count_inr)</f>
        <v/>
      </c>
      <c r="AC28" s="16">
        <f>$M28-$AB28</f>
        <v/>
      </c>
      <c r="AD28" s="7" t="inlineStr">
        <is>
          <t>PROXY_IMPORT_PARITY</t>
        </is>
      </c>
      <c r="AE28" s="7" t="inlineStr">
        <is>
          <t>ECB_CROSS</t>
        </is>
      </c>
      <c r="AF28" s="7" t="inlineStr">
        <is>
          <t>WCI_DERIVED|USEC:EXTRAP_PRE|JEA:ASSUMPTION</t>
        </is>
      </c>
      <c r="AG28" s="17" t="b">
        <v>0</v>
      </c>
      <c r="AH28" s="17" t="b">
        <v>0</v>
      </c>
    </row>
    <row r="29">
      <c r="A29" s="11" t="n">
        <v>44596</v>
      </c>
      <c r="B29" s="13" t="n">
        <v>3087</v>
      </c>
      <c r="C29" s="13" t="n">
        <v>3065</v>
      </c>
      <c r="D29" s="13" t="n">
        <v>22</v>
      </c>
      <c r="E29" s="13" t="n">
        <v>775475</v>
      </c>
      <c r="F29" s="13" t="n">
        <v>74.7073</v>
      </c>
      <c r="G29" s="6" t="n">
        <v>74.9111</v>
      </c>
      <c r="H29" s="6" t="n">
        <v>75.3548</v>
      </c>
      <c r="I29" s="14" t="n">
        <v>0.037862</v>
      </c>
      <c r="J29" s="14" t="n">
        <v>0.002268</v>
      </c>
      <c r="K29" s="14" t="n">
        <v>0.04</v>
      </c>
      <c r="L29" s="13" t="n">
        <v>249.6477</v>
      </c>
      <c r="M29" s="13" t="n">
        <v>250.2692</v>
      </c>
      <c r="N29" s="13" t="n">
        <v>251.072</v>
      </c>
      <c r="O29" s="13" t="n">
        <v>24.25</v>
      </c>
      <c r="P29" s="13" t="n">
        <v>107.54</v>
      </c>
      <c r="Q29" s="12" t="n">
        <v>44620</v>
      </c>
      <c r="R29" s="12" t="n">
        <v>44651</v>
      </c>
      <c r="S29" s="8">
        <f>YEAR($Q29)*100+MONTH($Q29)</f>
        <v/>
      </c>
      <c r="T29" s="8">
        <f>YEAR($R29)*100+MONTH($R29)</f>
        <v/>
      </c>
      <c r="U29" s="15">
        <f>IF($A29&lt;=INDEX(pdates_wc_rate_inr_pa,1),INDEX(pvals_wc_rate_inr_pa,1),INDEX(pvals_wc_rate_inr_pa,MATCH($A29,pdates_wc_rate_inr_pa,1)))</f>
        <v/>
      </c>
      <c r="V29" s="8">
        <f>IF(AND($A29&gt;=customs_fx_first,$A29&lt;=customs_fx_last+customs_fx_notification_validity_days),IF($A29&lt;=INDEX(pdates_customs_usdinr_import,1),INDEX(pvals_customs_usdinr_import,1),INDEX(pvals_customs_usdinr_import,MATCH($A29,pdates_customs_usdinr_import,1))),$F29*(1+customs_fx_markup_frac))</f>
        <v/>
      </c>
      <c r="W29" s="8">
        <f>IF(AND($A29&gt;=customs_fx_first,$A29&lt;=customs_fx_last+customs_fx_notification_validity_days),"CBIC_NOTIFIED","MARKUP_FALLBACK")</f>
        <v/>
      </c>
      <c r="X29" s="8">
        <f>IF($A29&lt;=INDEX(pdates_grade_factor_zorba,1),INDEX(pvals_grade_factor_zorba,1),IF($A29&gt;=INDEX(pdates_grade_factor_zorba,10),INDEX(pvals_grade_factor_zorba,10),INDEX(pvals_grade_factor_zorba,MATCH($A29,pdates_grade_factor_zorba,1))+($A29-INDEX(pdates_grade_factor_zorba,MATCH($A29,pdates_grade_factor_zorba,1)))/(INDEX(pdates_grade_factor_zorba,MATCH($A29,pdates_grade_factor_zorba,1)+1)-INDEX(pdates_grade_factor_zorba,MATCH($A29,pdates_grade_factor_zorba,1)))*(INDEX(pvals_grade_factor_zorba,MATCH($A29,pdates_grade_factor_zorba,1)+1)-INDEX(pvals_grade_factor_zorba,MATCH($A29,pdates_grade_factor_zorba,1)))))</f>
        <v/>
      </c>
      <c r="Y29" s="8">
        <f>IF($A29&lt;=INDEX(pdates_grade_factor_taint_tabor,1),INDEX(pvals_grade_factor_taint_tabor,1),IF($A29&gt;=INDEX(pdates_grade_factor_taint_tabor,10),INDEX(pvals_grade_factor_taint_tabor,10),INDEX(pvals_grade_factor_taint_tabor,MATCH($A29,pdates_grade_factor_taint_tabor,1))+($A29-INDEX(pdates_grade_factor_taint_tabor,MATCH($A29,pdates_grade_factor_taint_tabor,1)))/(INDEX(pdates_grade_factor_taint_tabor,MATCH($A29,pdates_grade_factor_taint_tabor,1)+1)-INDEX(pdates_grade_factor_taint_tabor,MATCH($A29,pdates_grade_factor_taint_tabor,1)))*(INDEX(pvals_grade_factor_taint_tabor,MATCH($A29,pdates_grade_factor_taint_tabor,1)+1)-INDEX(pvals_grade_factor_taint_tabor,MATCH($A29,pdates_grade_factor_taint_tabor,1)))))</f>
        <v/>
      </c>
      <c r="Z29" s="8">
        <f>IF($A29&lt;=INDEX(pdates_grade_factor_tense,1),INDEX(pvals_grade_factor_tense,1),IF($A29&gt;=INDEX(pdates_grade_factor_tense,10),INDEX(pvals_grade_factor_tense,10),INDEX(pvals_grade_factor_tense,MATCH($A29,pdates_grade_factor_tense,1))+($A29-INDEX(pdates_grade_factor_tense,MATCH($A29,pdates_grade_factor_tense,1)))/(INDEX(pdates_grade_factor_tense,MATCH($A29,pdates_grade_factor_tense,1)+1)-INDEX(pdates_grade_factor_tense,MATCH($A29,pdates_grade_factor_tense,1)))*(INDEX(pvals_grade_factor_tense,MATCH($A29,pdates_grade_factor_tense,1)+1)-INDEX(pvals_grade_factor_tense,MATCH($A29,pdates_grade_factor_tense,1)))))</f>
        <v/>
      </c>
      <c r="AA29" s="8">
        <f>IF($A29&lt;=INDEX(pdates_grade_factor_mix_pit,1),INDEX(pvals_grade_factor_mix_pit,1),IF($A29&gt;=INDEX(pdates_grade_factor_mix_pit,10),INDEX(pvals_grade_factor_mix_pit,10),INDEX(pvals_grade_factor_mix_pit,MATCH($A29,pdates_grade_factor_mix_pit,1))+($A29-INDEX(pdates_grade_factor_mix_pit,MATCH($A29,pdates_grade_factor_mix_pit,1)))/(INDEX(pdates_grade_factor_mix_pit,MATCH($A29,pdates_grade_factor_mix_pit,1)+1)-INDEX(pdates_grade_factor_mix_pit,MATCH($A29,pdates_grade_factor_mix_pit,1)))*(INDEX(pvals_grade_factor_mix_pit,MATCH($A29,pdates_grade_factor_mix_pit,1)+1)-INDEX(pvals_grade_factor_mix_pit,MATCH($A29,pdates_grade_factor_mix_pit,1)))))</f>
        <v/>
      </c>
      <c r="AB29" s="16">
        <f>($B29*$F29/kg_per_mt*(1+bcd_primary_al_hs7601*(1+sws_rate_on_bcd))+mcx_domestic_premium_inr_kg)*(1+$I29*MAX(0,$Q29-$A29)/day_count_inr)</f>
        <v/>
      </c>
      <c r="AC29" s="16">
        <f>$M29-$AB29</f>
        <v/>
      </c>
      <c r="AD29" s="7" t="inlineStr">
        <is>
          <t>PROXY_IMPORT_PARITY</t>
        </is>
      </c>
      <c r="AE29" s="7" t="inlineStr">
        <is>
          <t>ECB_CROSS</t>
        </is>
      </c>
      <c r="AF29" s="7" t="inlineStr">
        <is>
          <t>WCI_DERIVED|USEC:EXTRAP_PRE|JEA:ASSUMPTION</t>
        </is>
      </c>
      <c r="AG29" s="17" t="b">
        <v>0</v>
      </c>
      <c r="AH29" s="17" t="b">
        <v>1</v>
      </c>
    </row>
    <row r="30">
      <c r="A30" s="11" t="n">
        <v>44599</v>
      </c>
      <c r="B30" s="13" t="n">
        <v>3148</v>
      </c>
      <c r="C30" s="13" t="n">
        <v>3111</v>
      </c>
      <c r="D30" s="13" t="n">
        <v>37</v>
      </c>
      <c r="E30" s="13" t="n">
        <v>768250</v>
      </c>
      <c r="F30" s="13" t="n">
        <v>74.7222</v>
      </c>
      <c r="G30" s="6" t="n">
        <v>74.92310000000001</v>
      </c>
      <c r="H30" s="6" t="n">
        <v>75.36060000000001</v>
      </c>
      <c r="I30" s="14" t="n">
        <v>0.037862</v>
      </c>
      <c r="J30" s="14" t="n">
        <v>0.002762</v>
      </c>
      <c r="K30" s="14" t="n">
        <v>0.04</v>
      </c>
      <c r="L30" s="13" t="n">
        <v>254.6316</v>
      </c>
      <c r="M30" s="13" t="n">
        <v>255.1863</v>
      </c>
      <c r="N30" s="13" t="n">
        <v>256.0051</v>
      </c>
      <c r="O30" s="13" t="n">
        <v>24.25</v>
      </c>
      <c r="P30" s="13" t="n">
        <v>107.54</v>
      </c>
      <c r="Q30" s="12" t="n">
        <v>44620</v>
      </c>
      <c r="R30" s="12" t="n">
        <v>44651</v>
      </c>
      <c r="S30" s="8">
        <f>YEAR($Q30)*100+MONTH($Q30)</f>
        <v/>
      </c>
      <c r="T30" s="8">
        <f>YEAR($R30)*100+MONTH($R30)</f>
        <v/>
      </c>
      <c r="U30" s="15">
        <f>IF($A30&lt;=INDEX(pdates_wc_rate_inr_pa,1),INDEX(pvals_wc_rate_inr_pa,1),INDEX(pvals_wc_rate_inr_pa,MATCH($A30,pdates_wc_rate_inr_pa,1)))</f>
        <v/>
      </c>
      <c r="V30" s="8">
        <f>IF(AND($A30&gt;=customs_fx_first,$A30&lt;=customs_fx_last+customs_fx_notification_validity_days),IF($A30&lt;=INDEX(pdates_customs_usdinr_import,1),INDEX(pvals_customs_usdinr_import,1),INDEX(pvals_customs_usdinr_import,MATCH($A30,pdates_customs_usdinr_import,1))),$F30*(1+customs_fx_markup_frac))</f>
        <v/>
      </c>
      <c r="W30" s="8">
        <f>IF(AND($A30&gt;=customs_fx_first,$A30&lt;=customs_fx_last+customs_fx_notification_validity_days),"CBIC_NOTIFIED","MARKUP_FALLBACK")</f>
        <v/>
      </c>
      <c r="X30" s="8">
        <f>IF($A30&lt;=INDEX(pdates_grade_factor_zorba,1),INDEX(pvals_grade_factor_zorba,1),IF($A30&gt;=INDEX(pdates_grade_factor_zorba,10),INDEX(pvals_grade_factor_zorba,10),INDEX(pvals_grade_factor_zorba,MATCH($A30,pdates_grade_factor_zorba,1))+($A30-INDEX(pdates_grade_factor_zorba,MATCH($A30,pdates_grade_factor_zorba,1)))/(INDEX(pdates_grade_factor_zorba,MATCH($A30,pdates_grade_factor_zorba,1)+1)-INDEX(pdates_grade_factor_zorba,MATCH($A30,pdates_grade_factor_zorba,1)))*(INDEX(pvals_grade_factor_zorba,MATCH($A30,pdates_grade_factor_zorba,1)+1)-INDEX(pvals_grade_factor_zorba,MATCH($A30,pdates_grade_factor_zorba,1)))))</f>
        <v/>
      </c>
      <c r="Y30" s="8">
        <f>IF($A30&lt;=INDEX(pdates_grade_factor_taint_tabor,1),INDEX(pvals_grade_factor_taint_tabor,1),IF($A30&gt;=INDEX(pdates_grade_factor_taint_tabor,10),INDEX(pvals_grade_factor_taint_tabor,10),INDEX(pvals_grade_factor_taint_tabor,MATCH($A30,pdates_grade_factor_taint_tabor,1))+($A30-INDEX(pdates_grade_factor_taint_tabor,MATCH($A30,pdates_grade_factor_taint_tabor,1)))/(INDEX(pdates_grade_factor_taint_tabor,MATCH($A30,pdates_grade_factor_taint_tabor,1)+1)-INDEX(pdates_grade_factor_taint_tabor,MATCH($A30,pdates_grade_factor_taint_tabor,1)))*(INDEX(pvals_grade_factor_taint_tabor,MATCH($A30,pdates_grade_factor_taint_tabor,1)+1)-INDEX(pvals_grade_factor_taint_tabor,MATCH($A30,pdates_grade_factor_taint_tabor,1)))))</f>
        <v/>
      </c>
      <c r="Z30" s="8">
        <f>IF($A30&lt;=INDEX(pdates_grade_factor_tense,1),INDEX(pvals_grade_factor_tense,1),IF($A30&gt;=INDEX(pdates_grade_factor_tense,10),INDEX(pvals_grade_factor_tense,10),INDEX(pvals_grade_factor_tense,MATCH($A30,pdates_grade_factor_tense,1))+($A30-INDEX(pdates_grade_factor_tense,MATCH($A30,pdates_grade_factor_tense,1)))/(INDEX(pdates_grade_factor_tense,MATCH($A30,pdates_grade_factor_tense,1)+1)-INDEX(pdates_grade_factor_tense,MATCH($A30,pdates_grade_factor_tense,1)))*(INDEX(pvals_grade_factor_tense,MATCH($A30,pdates_grade_factor_tense,1)+1)-INDEX(pvals_grade_factor_tense,MATCH($A30,pdates_grade_factor_tense,1)))))</f>
        <v/>
      </c>
      <c r="AA30" s="8">
        <f>IF($A30&lt;=INDEX(pdates_grade_factor_mix_pit,1),INDEX(pvals_grade_factor_mix_pit,1),IF($A30&gt;=INDEX(pdates_grade_factor_mix_pit,10),INDEX(pvals_grade_factor_mix_pit,10),INDEX(pvals_grade_factor_mix_pit,MATCH($A30,pdates_grade_factor_mix_pit,1))+($A30-INDEX(pdates_grade_factor_mix_pit,MATCH($A30,pdates_grade_factor_mix_pit,1)))/(INDEX(pdates_grade_factor_mix_pit,MATCH($A30,pdates_grade_factor_mix_pit,1)+1)-INDEX(pdates_grade_factor_mix_pit,MATCH($A30,pdates_grade_factor_mix_pit,1)))*(INDEX(pvals_grade_factor_mix_pit,MATCH($A30,pdates_grade_factor_mix_pit,1)+1)-INDEX(pvals_grade_factor_mix_pit,MATCH($A30,pdates_grade_factor_mix_pit,1)))))</f>
        <v/>
      </c>
      <c r="AB30" s="16">
        <f>($B30*$F30/kg_per_mt*(1+bcd_primary_al_hs7601*(1+sws_rate_on_bcd))+mcx_domestic_premium_inr_kg)*(1+$I30*MAX(0,$Q30-$A30)/day_count_inr)</f>
        <v/>
      </c>
      <c r="AC30" s="16">
        <f>$M30-$AB30</f>
        <v/>
      </c>
      <c r="AD30" s="7" t="inlineStr">
        <is>
          <t>PROXY_IMPORT_PARITY</t>
        </is>
      </c>
      <c r="AE30" s="7" t="inlineStr">
        <is>
          <t>ECB_CROSS</t>
        </is>
      </c>
      <c r="AF30" s="7" t="inlineStr">
        <is>
          <t>WCI_DERIVED|USEC:EXTRAP_PRE|JEA:ASSUMPTION</t>
        </is>
      </c>
      <c r="AG30" s="17" t="b">
        <v>0</v>
      </c>
      <c r="AH30" s="17" t="b">
        <v>1</v>
      </c>
    </row>
    <row r="31">
      <c r="A31" s="11" t="n">
        <v>44600</v>
      </c>
      <c r="B31" s="13" t="n">
        <v>3245</v>
      </c>
      <c r="C31" s="13" t="n">
        <v>3195.5</v>
      </c>
      <c r="D31" s="13" t="n">
        <v>49.5</v>
      </c>
      <c r="E31" s="13" t="n">
        <v>767700</v>
      </c>
      <c r="F31" s="13" t="n">
        <v>74.73220000000001</v>
      </c>
      <c r="G31" s="6" t="n">
        <v>74.9337</v>
      </c>
      <c r="H31" s="6" t="n">
        <v>75.3725</v>
      </c>
      <c r="I31" s="14" t="n">
        <v>0.037862</v>
      </c>
      <c r="J31" s="14" t="n">
        <v>0.002663</v>
      </c>
      <c r="K31" s="14" t="n">
        <v>0.04</v>
      </c>
      <c r="L31" s="13" t="n">
        <v>262.5127</v>
      </c>
      <c r="M31" s="13" t="n">
        <v>263.0573</v>
      </c>
      <c r="N31" s="13" t="n">
        <v>263.9015</v>
      </c>
      <c r="O31" s="13" t="n">
        <v>24.25</v>
      </c>
      <c r="P31" s="13" t="n">
        <v>107.54</v>
      </c>
      <c r="Q31" s="12" t="n">
        <v>44620</v>
      </c>
      <c r="R31" s="12" t="n">
        <v>44651</v>
      </c>
      <c r="S31" s="8">
        <f>YEAR($Q31)*100+MONTH($Q31)</f>
        <v/>
      </c>
      <c r="T31" s="8">
        <f>YEAR($R31)*100+MONTH($R31)</f>
        <v/>
      </c>
      <c r="U31" s="15">
        <f>IF($A31&lt;=INDEX(pdates_wc_rate_inr_pa,1),INDEX(pvals_wc_rate_inr_pa,1),INDEX(pvals_wc_rate_inr_pa,MATCH($A31,pdates_wc_rate_inr_pa,1)))</f>
        <v/>
      </c>
      <c r="V31" s="8">
        <f>IF(AND($A31&gt;=customs_fx_first,$A31&lt;=customs_fx_last+customs_fx_notification_validity_days),IF($A31&lt;=INDEX(pdates_customs_usdinr_import,1),INDEX(pvals_customs_usdinr_import,1),INDEX(pvals_customs_usdinr_import,MATCH($A31,pdates_customs_usdinr_import,1))),$F31*(1+customs_fx_markup_frac))</f>
        <v/>
      </c>
      <c r="W31" s="8">
        <f>IF(AND($A31&gt;=customs_fx_first,$A31&lt;=customs_fx_last+customs_fx_notification_validity_days),"CBIC_NOTIFIED","MARKUP_FALLBACK")</f>
        <v/>
      </c>
      <c r="X31" s="8">
        <f>IF($A31&lt;=INDEX(pdates_grade_factor_zorba,1),INDEX(pvals_grade_factor_zorba,1),IF($A31&gt;=INDEX(pdates_grade_factor_zorba,10),INDEX(pvals_grade_factor_zorba,10),INDEX(pvals_grade_factor_zorba,MATCH($A31,pdates_grade_factor_zorba,1))+($A31-INDEX(pdates_grade_factor_zorba,MATCH($A31,pdates_grade_factor_zorba,1)))/(INDEX(pdates_grade_factor_zorba,MATCH($A31,pdates_grade_factor_zorba,1)+1)-INDEX(pdates_grade_factor_zorba,MATCH($A31,pdates_grade_factor_zorba,1)))*(INDEX(pvals_grade_factor_zorba,MATCH($A31,pdates_grade_factor_zorba,1)+1)-INDEX(pvals_grade_factor_zorba,MATCH($A31,pdates_grade_factor_zorba,1)))))</f>
        <v/>
      </c>
      <c r="Y31" s="8">
        <f>IF($A31&lt;=INDEX(pdates_grade_factor_taint_tabor,1),INDEX(pvals_grade_factor_taint_tabor,1),IF($A31&gt;=INDEX(pdates_grade_factor_taint_tabor,10),INDEX(pvals_grade_factor_taint_tabor,10),INDEX(pvals_grade_factor_taint_tabor,MATCH($A31,pdates_grade_factor_taint_tabor,1))+($A31-INDEX(pdates_grade_factor_taint_tabor,MATCH($A31,pdates_grade_factor_taint_tabor,1)))/(INDEX(pdates_grade_factor_taint_tabor,MATCH($A31,pdates_grade_factor_taint_tabor,1)+1)-INDEX(pdates_grade_factor_taint_tabor,MATCH($A31,pdates_grade_factor_taint_tabor,1)))*(INDEX(pvals_grade_factor_taint_tabor,MATCH($A31,pdates_grade_factor_taint_tabor,1)+1)-INDEX(pvals_grade_factor_taint_tabor,MATCH($A31,pdates_grade_factor_taint_tabor,1)))))</f>
        <v/>
      </c>
      <c r="Z31" s="8">
        <f>IF($A31&lt;=INDEX(pdates_grade_factor_tense,1),INDEX(pvals_grade_factor_tense,1),IF($A31&gt;=INDEX(pdates_grade_factor_tense,10),INDEX(pvals_grade_factor_tense,10),INDEX(pvals_grade_factor_tense,MATCH($A31,pdates_grade_factor_tense,1))+($A31-INDEX(pdates_grade_factor_tense,MATCH($A31,pdates_grade_factor_tense,1)))/(INDEX(pdates_grade_factor_tense,MATCH($A31,pdates_grade_factor_tense,1)+1)-INDEX(pdates_grade_factor_tense,MATCH($A31,pdates_grade_factor_tense,1)))*(INDEX(pvals_grade_factor_tense,MATCH($A31,pdates_grade_factor_tense,1)+1)-INDEX(pvals_grade_factor_tense,MATCH($A31,pdates_grade_factor_tense,1)))))</f>
        <v/>
      </c>
      <c r="AA31" s="8">
        <f>IF($A31&lt;=INDEX(pdates_grade_factor_mix_pit,1),INDEX(pvals_grade_factor_mix_pit,1),IF($A31&gt;=INDEX(pdates_grade_factor_mix_pit,10),INDEX(pvals_grade_factor_mix_pit,10),INDEX(pvals_grade_factor_mix_pit,MATCH($A31,pdates_grade_factor_mix_pit,1))+($A31-INDEX(pdates_grade_factor_mix_pit,MATCH($A31,pdates_grade_factor_mix_pit,1)))/(INDEX(pdates_grade_factor_mix_pit,MATCH($A31,pdates_grade_factor_mix_pit,1)+1)-INDEX(pdates_grade_factor_mix_pit,MATCH($A31,pdates_grade_factor_mix_pit,1)))*(INDEX(pvals_grade_factor_mix_pit,MATCH($A31,pdates_grade_factor_mix_pit,1)+1)-INDEX(pvals_grade_factor_mix_pit,MATCH($A31,pdates_grade_factor_mix_pit,1)))))</f>
        <v/>
      </c>
      <c r="AB31" s="16">
        <f>($B31*$F31/kg_per_mt*(1+bcd_primary_al_hs7601*(1+sws_rate_on_bcd))+mcx_domestic_premium_inr_kg)*(1+$I31*MAX(0,$Q31-$A31)/day_count_inr)</f>
        <v/>
      </c>
      <c r="AC31" s="16">
        <f>$M31-$AB31</f>
        <v/>
      </c>
      <c r="AD31" s="7" t="inlineStr">
        <is>
          <t>PROXY_IMPORT_PARITY</t>
        </is>
      </c>
      <c r="AE31" s="7" t="inlineStr">
        <is>
          <t>ECB_CROSS</t>
        </is>
      </c>
      <c r="AF31" s="7" t="inlineStr">
        <is>
          <t>WCI_DERIVED|USEC:EXTRAP_PRE|JEA:ASSUMPTION</t>
        </is>
      </c>
      <c r="AG31" s="17" t="b">
        <v>0</v>
      </c>
      <c r="AH31" s="17" t="b">
        <v>1</v>
      </c>
    </row>
    <row r="32">
      <c r="A32" s="11" t="n">
        <v>44601</v>
      </c>
      <c r="B32" s="13" t="n">
        <v>3248</v>
      </c>
      <c r="C32" s="13" t="n">
        <v>3225.5</v>
      </c>
      <c r="D32" s="13" t="n">
        <v>22.5</v>
      </c>
      <c r="E32" s="13" t="n">
        <v>761950</v>
      </c>
      <c r="F32" s="13" t="n">
        <v>74.8373</v>
      </c>
      <c r="G32" s="6" t="n">
        <v>75.03919999999999</v>
      </c>
      <c r="H32" s="6" t="n">
        <v>75.4786</v>
      </c>
      <c r="I32" s="14" t="n">
        <v>0.037862</v>
      </c>
      <c r="J32" s="14" t="n">
        <v>0.002663</v>
      </c>
      <c r="K32" s="14" t="n">
        <v>0.04</v>
      </c>
      <c r="L32" s="13" t="n">
        <v>263.125</v>
      </c>
      <c r="M32" s="13" t="n">
        <v>263.6435</v>
      </c>
      <c r="N32" s="13" t="n">
        <v>264.4897</v>
      </c>
      <c r="O32" s="13" t="n">
        <v>24.25</v>
      </c>
      <c r="P32" s="13" t="n">
        <v>107.54</v>
      </c>
      <c r="Q32" s="12" t="n">
        <v>44620</v>
      </c>
      <c r="R32" s="12" t="n">
        <v>44651</v>
      </c>
      <c r="S32" s="8">
        <f>YEAR($Q32)*100+MONTH($Q32)</f>
        <v/>
      </c>
      <c r="T32" s="8">
        <f>YEAR($R32)*100+MONTH($R32)</f>
        <v/>
      </c>
      <c r="U32" s="15">
        <f>IF($A32&lt;=INDEX(pdates_wc_rate_inr_pa,1),INDEX(pvals_wc_rate_inr_pa,1),INDEX(pvals_wc_rate_inr_pa,MATCH($A32,pdates_wc_rate_inr_pa,1)))</f>
        <v/>
      </c>
      <c r="V32" s="8">
        <f>IF(AND($A32&gt;=customs_fx_first,$A32&lt;=customs_fx_last+customs_fx_notification_validity_days),IF($A32&lt;=INDEX(pdates_customs_usdinr_import,1),INDEX(pvals_customs_usdinr_import,1),INDEX(pvals_customs_usdinr_import,MATCH($A32,pdates_customs_usdinr_import,1))),$F32*(1+customs_fx_markup_frac))</f>
        <v/>
      </c>
      <c r="W32" s="8">
        <f>IF(AND($A32&gt;=customs_fx_first,$A32&lt;=customs_fx_last+customs_fx_notification_validity_days),"CBIC_NOTIFIED","MARKUP_FALLBACK")</f>
        <v/>
      </c>
      <c r="X32" s="8">
        <f>IF($A32&lt;=INDEX(pdates_grade_factor_zorba,1),INDEX(pvals_grade_factor_zorba,1),IF($A32&gt;=INDEX(pdates_grade_factor_zorba,10),INDEX(pvals_grade_factor_zorba,10),INDEX(pvals_grade_factor_zorba,MATCH($A32,pdates_grade_factor_zorba,1))+($A32-INDEX(pdates_grade_factor_zorba,MATCH($A32,pdates_grade_factor_zorba,1)))/(INDEX(pdates_grade_factor_zorba,MATCH($A32,pdates_grade_factor_zorba,1)+1)-INDEX(pdates_grade_factor_zorba,MATCH($A32,pdates_grade_factor_zorba,1)))*(INDEX(pvals_grade_factor_zorba,MATCH($A32,pdates_grade_factor_zorba,1)+1)-INDEX(pvals_grade_factor_zorba,MATCH($A32,pdates_grade_factor_zorba,1)))))</f>
        <v/>
      </c>
      <c r="Y32" s="8">
        <f>IF($A32&lt;=INDEX(pdates_grade_factor_taint_tabor,1),INDEX(pvals_grade_factor_taint_tabor,1),IF($A32&gt;=INDEX(pdates_grade_factor_taint_tabor,10),INDEX(pvals_grade_factor_taint_tabor,10),INDEX(pvals_grade_factor_taint_tabor,MATCH($A32,pdates_grade_factor_taint_tabor,1))+($A32-INDEX(pdates_grade_factor_taint_tabor,MATCH($A32,pdates_grade_factor_taint_tabor,1)))/(INDEX(pdates_grade_factor_taint_tabor,MATCH($A32,pdates_grade_factor_taint_tabor,1)+1)-INDEX(pdates_grade_factor_taint_tabor,MATCH($A32,pdates_grade_factor_taint_tabor,1)))*(INDEX(pvals_grade_factor_taint_tabor,MATCH($A32,pdates_grade_factor_taint_tabor,1)+1)-INDEX(pvals_grade_factor_taint_tabor,MATCH($A32,pdates_grade_factor_taint_tabor,1)))))</f>
        <v/>
      </c>
      <c r="Z32" s="8">
        <f>IF($A32&lt;=INDEX(pdates_grade_factor_tense,1),INDEX(pvals_grade_factor_tense,1),IF($A32&gt;=INDEX(pdates_grade_factor_tense,10),INDEX(pvals_grade_factor_tense,10),INDEX(pvals_grade_factor_tense,MATCH($A32,pdates_grade_factor_tense,1))+($A32-INDEX(pdates_grade_factor_tense,MATCH($A32,pdates_grade_factor_tense,1)))/(INDEX(pdates_grade_factor_tense,MATCH($A32,pdates_grade_factor_tense,1)+1)-INDEX(pdates_grade_factor_tense,MATCH($A32,pdates_grade_factor_tense,1)))*(INDEX(pvals_grade_factor_tense,MATCH($A32,pdates_grade_factor_tense,1)+1)-INDEX(pvals_grade_factor_tense,MATCH($A32,pdates_grade_factor_tense,1)))))</f>
        <v/>
      </c>
      <c r="AA32" s="8">
        <f>IF($A32&lt;=INDEX(pdates_grade_factor_mix_pit,1),INDEX(pvals_grade_factor_mix_pit,1),IF($A32&gt;=INDEX(pdates_grade_factor_mix_pit,10),INDEX(pvals_grade_factor_mix_pit,10),INDEX(pvals_grade_factor_mix_pit,MATCH($A32,pdates_grade_factor_mix_pit,1))+($A32-INDEX(pdates_grade_factor_mix_pit,MATCH($A32,pdates_grade_factor_mix_pit,1)))/(INDEX(pdates_grade_factor_mix_pit,MATCH($A32,pdates_grade_factor_mix_pit,1)+1)-INDEX(pdates_grade_factor_mix_pit,MATCH($A32,pdates_grade_factor_mix_pit,1)))*(INDEX(pvals_grade_factor_mix_pit,MATCH($A32,pdates_grade_factor_mix_pit,1)+1)-INDEX(pvals_grade_factor_mix_pit,MATCH($A32,pdates_grade_factor_mix_pit,1)))))</f>
        <v/>
      </c>
      <c r="AB32" s="16">
        <f>($B32*$F32/kg_per_mt*(1+bcd_primary_al_hs7601*(1+sws_rate_on_bcd))+mcx_domestic_premium_inr_kg)*(1+$I32*MAX(0,$Q32-$A32)/day_count_inr)</f>
        <v/>
      </c>
      <c r="AC32" s="16">
        <f>$M32-$AB32</f>
        <v/>
      </c>
      <c r="AD32" s="7" t="inlineStr">
        <is>
          <t>PROXY_IMPORT_PARITY</t>
        </is>
      </c>
      <c r="AE32" s="7" t="inlineStr">
        <is>
          <t>ECB_CROSS</t>
        </is>
      </c>
      <c r="AF32" s="7" t="inlineStr">
        <is>
          <t>WCI_DERIVED|USEC:EXTRAP_PRE|JEA:ASSUMPTION</t>
        </is>
      </c>
      <c r="AG32" s="17" t="b">
        <v>0</v>
      </c>
      <c r="AH32" s="17" t="b">
        <v>1</v>
      </c>
    </row>
    <row r="33">
      <c r="A33" s="11" t="n">
        <v>44602</v>
      </c>
      <c r="B33" s="13" t="n">
        <v>3313</v>
      </c>
      <c r="C33" s="13" t="n">
        <v>3287</v>
      </c>
      <c r="D33" s="13" t="n">
        <v>26</v>
      </c>
      <c r="E33" s="13" t="n">
        <v>880975</v>
      </c>
      <c r="F33" s="13" t="n">
        <v>75.1266</v>
      </c>
      <c r="G33" s="6" t="n">
        <v>75.3205</v>
      </c>
      <c r="H33" s="6" t="n">
        <v>75.7426</v>
      </c>
      <c r="I33" s="14" t="n">
        <v>0.037862</v>
      </c>
      <c r="J33" s="14" t="n">
        <v>0.004142</v>
      </c>
      <c r="K33" s="14" t="n">
        <v>0.04</v>
      </c>
      <c r="L33" s="13" t="n">
        <v>269.4282</v>
      </c>
      <c r="M33" s="13" t="n">
        <v>269.9313</v>
      </c>
      <c r="N33" s="13" t="n">
        <v>270.7977</v>
      </c>
      <c r="O33" s="13" t="n">
        <v>24.21</v>
      </c>
      <c r="P33" s="13" t="n">
        <v>107.33</v>
      </c>
      <c r="Q33" s="12" t="n">
        <v>44620</v>
      </c>
      <c r="R33" s="12" t="n">
        <v>44651</v>
      </c>
      <c r="S33" s="8">
        <f>YEAR($Q33)*100+MONTH($Q33)</f>
        <v/>
      </c>
      <c r="T33" s="8">
        <f>YEAR($R33)*100+MONTH($R33)</f>
        <v/>
      </c>
      <c r="U33" s="15">
        <f>IF($A33&lt;=INDEX(pdates_wc_rate_inr_pa,1),INDEX(pvals_wc_rate_inr_pa,1),INDEX(pvals_wc_rate_inr_pa,MATCH($A33,pdates_wc_rate_inr_pa,1)))</f>
        <v/>
      </c>
      <c r="V33" s="8">
        <f>IF(AND($A33&gt;=customs_fx_first,$A33&lt;=customs_fx_last+customs_fx_notification_validity_days),IF($A33&lt;=INDEX(pdates_customs_usdinr_import,1),INDEX(pvals_customs_usdinr_import,1),INDEX(pvals_customs_usdinr_import,MATCH($A33,pdates_customs_usdinr_import,1))),$F33*(1+customs_fx_markup_frac))</f>
        <v/>
      </c>
      <c r="W33" s="8">
        <f>IF(AND($A33&gt;=customs_fx_first,$A33&lt;=customs_fx_last+customs_fx_notification_validity_days),"CBIC_NOTIFIED","MARKUP_FALLBACK")</f>
        <v/>
      </c>
      <c r="X33" s="8">
        <f>IF($A33&lt;=INDEX(pdates_grade_factor_zorba,1),INDEX(pvals_grade_factor_zorba,1),IF($A33&gt;=INDEX(pdates_grade_factor_zorba,10),INDEX(pvals_grade_factor_zorba,10),INDEX(pvals_grade_factor_zorba,MATCH($A33,pdates_grade_factor_zorba,1))+($A33-INDEX(pdates_grade_factor_zorba,MATCH($A33,pdates_grade_factor_zorba,1)))/(INDEX(pdates_grade_factor_zorba,MATCH($A33,pdates_grade_factor_zorba,1)+1)-INDEX(pdates_grade_factor_zorba,MATCH($A33,pdates_grade_factor_zorba,1)))*(INDEX(pvals_grade_factor_zorba,MATCH($A33,pdates_grade_factor_zorba,1)+1)-INDEX(pvals_grade_factor_zorba,MATCH($A33,pdates_grade_factor_zorba,1)))))</f>
        <v/>
      </c>
      <c r="Y33" s="8">
        <f>IF($A33&lt;=INDEX(pdates_grade_factor_taint_tabor,1),INDEX(pvals_grade_factor_taint_tabor,1),IF($A33&gt;=INDEX(pdates_grade_factor_taint_tabor,10),INDEX(pvals_grade_factor_taint_tabor,10),INDEX(pvals_grade_factor_taint_tabor,MATCH($A33,pdates_grade_factor_taint_tabor,1))+($A33-INDEX(pdates_grade_factor_taint_tabor,MATCH($A33,pdates_grade_factor_taint_tabor,1)))/(INDEX(pdates_grade_factor_taint_tabor,MATCH($A33,pdates_grade_factor_taint_tabor,1)+1)-INDEX(pdates_grade_factor_taint_tabor,MATCH($A33,pdates_grade_factor_taint_tabor,1)))*(INDEX(pvals_grade_factor_taint_tabor,MATCH($A33,pdates_grade_factor_taint_tabor,1)+1)-INDEX(pvals_grade_factor_taint_tabor,MATCH($A33,pdates_grade_factor_taint_tabor,1)))))</f>
        <v/>
      </c>
      <c r="Z33" s="8">
        <f>IF($A33&lt;=INDEX(pdates_grade_factor_tense,1),INDEX(pvals_grade_factor_tense,1),IF($A33&gt;=INDEX(pdates_grade_factor_tense,10),INDEX(pvals_grade_factor_tense,10),INDEX(pvals_grade_factor_tense,MATCH($A33,pdates_grade_factor_tense,1))+($A33-INDEX(pdates_grade_factor_tense,MATCH($A33,pdates_grade_factor_tense,1)))/(INDEX(pdates_grade_factor_tense,MATCH($A33,pdates_grade_factor_tense,1)+1)-INDEX(pdates_grade_factor_tense,MATCH($A33,pdates_grade_factor_tense,1)))*(INDEX(pvals_grade_factor_tense,MATCH($A33,pdates_grade_factor_tense,1)+1)-INDEX(pvals_grade_factor_tense,MATCH($A33,pdates_grade_factor_tense,1)))))</f>
        <v/>
      </c>
      <c r="AA33" s="8">
        <f>IF($A33&lt;=INDEX(pdates_grade_factor_mix_pit,1),INDEX(pvals_grade_factor_mix_pit,1),IF($A33&gt;=INDEX(pdates_grade_factor_mix_pit,10),INDEX(pvals_grade_factor_mix_pit,10),INDEX(pvals_grade_factor_mix_pit,MATCH($A33,pdates_grade_factor_mix_pit,1))+($A33-INDEX(pdates_grade_factor_mix_pit,MATCH($A33,pdates_grade_factor_mix_pit,1)))/(INDEX(pdates_grade_factor_mix_pit,MATCH($A33,pdates_grade_factor_mix_pit,1)+1)-INDEX(pdates_grade_factor_mix_pit,MATCH($A33,pdates_grade_factor_mix_pit,1)))*(INDEX(pvals_grade_factor_mix_pit,MATCH($A33,pdates_grade_factor_mix_pit,1)+1)-INDEX(pvals_grade_factor_mix_pit,MATCH($A33,pdates_grade_factor_mix_pit,1)))))</f>
        <v/>
      </c>
      <c r="AB33" s="16">
        <f>($B33*$F33/kg_per_mt*(1+bcd_primary_al_hs7601*(1+sws_rate_on_bcd))+mcx_domestic_premium_inr_kg)*(1+$I33*MAX(0,$Q33-$A33)/day_count_inr)</f>
        <v/>
      </c>
      <c r="AC33" s="16">
        <f>$M33-$AB33</f>
        <v/>
      </c>
      <c r="AD33" s="7" t="inlineStr">
        <is>
          <t>PROXY_IMPORT_PARITY</t>
        </is>
      </c>
      <c r="AE33" s="7" t="inlineStr">
        <is>
          <t>ECB_CROSS</t>
        </is>
      </c>
      <c r="AF33" s="7" t="inlineStr">
        <is>
          <t>WCI_REPORTED|USEC:EXTRAP_PRE|JEA:ASSUMPTION</t>
        </is>
      </c>
      <c r="AG33" s="17" t="b">
        <v>0</v>
      </c>
      <c r="AH33" s="17" t="b">
        <v>0</v>
      </c>
    </row>
    <row r="34">
      <c r="A34" s="11" t="n">
        <v>44603</v>
      </c>
      <c r="B34" s="13" t="n">
        <v>3200</v>
      </c>
      <c r="C34" s="13" t="n">
        <v>3180</v>
      </c>
      <c r="D34" s="13" t="n">
        <v>20</v>
      </c>
      <c r="E34" s="13" t="n">
        <v>875250</v>
      </c>
      <c r="F34" s="13" t="n">
        <v>75.19799999999999</v>
      </c>
      <c r="G34" s="6" t="n">
        <v>75.3944</v>
      </c>
      <c r="H34" s="6" t="n">
        <v>75.8219</v>
      </c>
      <c r="I34" s="14" t="n">
        <v>0.037862</v>
      </c>
      <c r="J34" s="14" t="n">
        <v>0.003748</v>
      </c>
      <c r="K34" s="14" t="n">
        <v>0.04</v>
      </c>
      <c r="L34" s="13" t="n">
        <v>260.4859</v>
      </c>
      <c r="M34" s="13" t="n">
        <v>260.9452</v>
      </c>
      <c r="N34" s="13" t="n">
        <v>261.7829</v>
      </c>
      <c r="O34" s="13" t="n">
        <v>24.21</v>
      </c>
      <c r="P34" s="13" t="n">
        <v>107.33</v>
      </c>
      <c r="Q34" s="12" t="n">
        <v>44620</v>
      </c>
      <c r="R34" s="12" t="n">
        <v>44651</v>
      </c>
      <c r="S34" s="8">
        <f>YEAR($Q34)*100+MONTH($Q34)</f>
        <v/>
      </c>
      <c r="T34" s="8">
        <f>YEAR($R34)*100+MONTH($R34)</f>
        <v/>
      </c>
      <c r="U34" s="15">
        <f>IF($A34&lt;=INDEX(pdates_wc_rate_inr_pa,1),INDEX(pvals_wc_rate_inr_pa,1),INDEX(pvals_wc_rate_inr_pa,MATCH($A34,pdates_wc_rate_inr_pa,1)))</f>
        <v/>
      </c>
      <c r="V34" s="8">
        <f>IF(AND($A34&gt;=customs_fx_first,$A34&lt;=customs_fx_last+customs_fx_notification_validity_days),IF($A34&lt;=INDEX(pdates_customs_usdinr_import,1),INDEX(pvals_customs_usdinr_import,1),INDEX(pvals_customs_usdinr_import,MATCH($A34,pdates_customs_usdinr_import,1))),$F34*(1+customs_fx_markup_frac))</f>
        <v/>
      </c>
      <c r="W34" s="8">
        <f>IF(AND($A34&gt;=customs_fx_first,$A34&lt;=customs_fx_last+customs_fx_notification_validity_days),"CBIC_NOTIFIED","MARKUP_FALLBACK")</f>
        <v/>
      </c>
      <c r="X34" s="8">
        <f>IF($A34&lt;=INDEX(pdates_grade_factor_zorba,1),INDEX(pvals_grade_factor_zorba,1),IF($A34&gt;=INDEX(pdates_grade_factor_zorba,10),INDEX(pvals_grade_factor_zorba,10),INDEX(pvals_grade_factor_zorba,MATCH($A34,pdates_grade_factor_zorba,1))+($A34-INDEX(pdates_grade_factor_zorba,MATCH($A34,pdates_grade_factor_zorba,1)))/(INDEX(pdates_grade_factor_zorba,MATCH($A34,pdates_grade_factor_zorba,1)+1)-INDEX(pdates_grade_factor_zorba,MATCH($A34,pdates_grade_factor_zorba,1)))*(INDEX(pvals_grade_factor_zorba,MATCH($A34,pdates_grade_factor_zorba,1)+1)-INDEX(pvals_grade_factor_zorba,MATCH($A34,pdates_grade_factor_zorba,1)))))</f>
        <v/>
      </c>
      <c r="Y34" s="8">
        <f>IF($A34&lt;=INDEX(pdates_grade_factor_taint_tabor,1),INDEX(pvals_grade_factor_taint_tabor,1),IF($A34&gt;=INDEX(pdates_grade_factor_taint_tabor,10),INDEX(pvals_grade_factor_taint_tabor,10),INDEX(pvals_grade_factor_taint_tabor,MATCH($A34,pdates_grade_factor_taint_tabor,1))+($A34-INDEX(pdates_grade_factor_taint_tabor,MATCH($A34,pdates_grade_factor_taint_tabor,1)))/(INDEX(pdates_grade_factor_taint_tabor,MATCH($A34,pdates_grade_factor_taint_tabor,1)+1)-INDEX(pdates_grade_factor_taint_tabor,MATCH($A34,pdates_grade_factor_taint_tabor,1)))*(INDEX(pvals_grade_factor_taint_tabor,MATCH($A34,pdates_grade_factor_taint_tabor,1)+1)-INDEX(pvals_grade_factor_taint_tabor,MATCH($A34,pdates_grade_factor_taint_tabor,1)))))</f>
        <v/>
      </c>
      <c r="Z34" s="8">
        <f>IF($A34&lt;=INDEX(pdates_grade_factor_tense,1),INDEX(pvals_grade_factor_tense,1),IF($A34&gt;=INDEX(pdates_grade_factor_tense,10),INDEX(pvals_grade_factor_tense,10),INDEX(pvals_grade_factor_tense,MATCH($A34,pdates_grade_factor_tense,1))+($A34-INDEX(pdates_grade_factor_tense,MATCH($A34,pdates_grade_factor_tense,1)))/(INDEX(pdates_grade_factor_tense,MATCH($A34,pdates_grade_factor_tense,1)+1)-INDEX(pdates_grade_factor_tense,MATCH($A34,pdates_grade_factor_tense,1)))*(INDEX(pvals_grade_factor_tense,MATCH($A34,pdates_grade_factor_tense,1)+1)-INDEX(pvals_grade_factor_tense,MATCH($A34,pdates_grade_factor_tense,1)))))</f>
        <v/>
      </c>
      <c r="AA34" s="8">
        <f>IF($A34&lt;=INDEX(pdates_grade_factor_mix_pit,1),INDEX(pvals_grade_factor_mix_pit,1),IF($A34&gt;=INDEX(pdates_grade_factor_mix_pit,10),INDEX(pvals_grade_factor_mix_pit,10),INDEX(pvals_grade_factor_mix_pit,MATCH($A34,pdates_grade_factor_mix_pit,1))+($A34-INDEX(pdates_grade_factor_mix_pit,MATCH($A34,pdates_grade_factor_mix_pit,1)))/(INDEX(pdates_grade_factor_mix_pit,MATCH($A34,pdates_grade_factor_mix_pit,1)+1)-INDEX(pdates_grade_factor_mix_pit,MATCH($A34,pdates_grade_factor_mix_pit,1)))*(INDEX(pvals_grade_factor_mix_pit,MATCH($A34,pdates_grade_factor_mix_pit,1)+1)-INDEX(pvals_grade_factor_mix_pit,MATCH($A34,pdates_grade_factor_mix_pit,1)))))</f>
        <v/>
      </c>
      <c r="AB34" s="16">
        <f>($B34*$F34/kg_per_mt*(1+bcd_primary_al_hs7601*(1+sws_rate_on_bcd))+mcx_domestic_premium_inr_kg)*(1+$I34*MAX(0,$Q34-$A34)/day_count_inr)</f>
        <v/>
      </c>
      <c r="AC34" s="16">
        <f>$M34-$AB34</f>
        <v/>
      </c>
      <c r="AD34" s="7" t="inlineStr">
        <is>
          <t>PROXY_IMPORT_PARITY</t>
        </is>
      </c>
      <c r="AE34" s="7" t="inlineStr">
        <is>
          <t>ECB_CROSS</t>
        </is>
      </c>
      <c r="AF34" s="7" t="inlineStr">
        <is>
          <t>WCI_REPORTED|USEC:EXTRAP_PRE|JEA:ASSUMPTION</t>
        </is>
      </c>
      <c r="AG34" s="17" t="b">
        <v>0</v>
      </c>
      <c r="AH34" s="17" t="b">
        <v>1</v>
      </c>
    </row>
    <row r="35">
      <c r="A35" s="11" t="n">
        <v>44606</v>
      </c>
      <c r="B35" s="13" t="n">
        <v>3306</v>
      </c>
      <c r="C35" s="13" t="n">
        <v>3232</v>
      </c>
      <c r="D35" s="13" t="n">
        <v>74</v>
      </c>
      <c r="E35" s="13" t="n">
        <v>868950</v>
      </c>
      <c r="F35" s="13" t="n">
        <v>75.53149999999999</v>
      </c>
      <c r="G35" s="6" t="n">
        <v>75.7242</v>
      </c>
      <c r="H35" s="6" t="n">
        <v>76.1435</v>
      </c>
      <c r="I35" s="14" t="n">
        <v>0.037862</v>
      </c>
      <c r="J35" s="14" t="n">
        <v>0.004537</v>
      </c>
      <c r="K35" s="14" t="n">
        <v>0.04</v>
      </c>
      <c r="L35" s="13" t="n">
        <v>270.308</v>
      </c>
      <c r="M35" s="13" t="n">
        <v>270.7005</v>
      </c>
      <c r="N35" s="13" t="n">
        <v>271.5698</v>
      </c>
      <c r="O35" s="13" t="n">
        <v>24.21</v>
      </c>
      <c r="P35" s="13" t="n">
        <v>107.33</v>
      </c>
      <c r="Q35" s="12" t="n">
        <v>44620</v>
      </c>
      <c r="R35" s="12" t="n">
        <v>44651</v>
      </c>
      <c r="S35" s="8">
        <f>YEAR($Q35)*100+MONTH($Q35)</f>
        <v/>
      </c>
      <c r="T35" s="8">
        <f>YEAR($R35)*100+MONTH($R35)</f>
        <v/>
      </c>
      <c r="U35" s="15">
        <f>IF($A35&lt;=INDEX(pdates_wc_rate_inr_pa,1),INDEX(pvals_wc_rate_inr_pa,1),INDEX(pvals_wc_rate_inr_pa,MATCH($A35,pdates_wc_rate_inr_pa,1)))</f>
        <v/>
      </c>
      <c r="V35" s="8">
        <f>IF(AND($A35&gt;=customs_fx_first,$A35&lt;=customs_fx_last+customs_fx_notification_validity_days),IF($A35&lt;=INDEX(pdates_customs_usdinr_import,1),INDEX(pvals_customs_usdinr_import,1),INDEX(pvals_customs_usdinr_import,MATCH($A35,pdates_customs_usdinr_import,1))),$F35*(1+customs_fx_markup_frac))</f>
        <v/>
      </c>
      <c r="W35" s="8">
        <f>IF(AND($A35&gt;=customs_fx_first,$A35&lt;=customs_fx_last+customs_fx_notification_validity_days),"CBIC_NOTIFIED","MARKUP_FALLBACK")</f>
        <v/>
      </c>
      <c r="X35" s="8">
        <f>IF($A35&lt;=INDEX(pdates_grade_factor_zorba,1),INDEX(pvals_grade_factor_zorba,1),IF($A35&gt;=INDEX(pdates_grade_factor_zorba,10),INDEX(pvals_grade_factor_zorba,10),INDEX(pvals_grade_factor_zorba,MATCH($A35,pdates_grade_factor_zorba,1))+($A35-INDEX(pdates_grade_factor_zorba,MATCH($A35,pdates_grade_factor_zorba,1)))/(INDEX(pdates_grade_factor_zorba,MATCH($A35,pdates_grade_factor_zorba,1)+1)-INDEX(pdates_grade_factor_zorba,MATCH($A35,pdates_grade_factor_zorba,1)))*(INDEX(pvals_grade_factor_zorba,MATCH($A35,pdates_grade_factor_zorba,1)+1)-INDEX(pvals_grade_factor_zorba,MATCH($A35,pdates_grade_factor_zorba,1)))))</f>
        <v/>
      </c>
      <c r="Y35" s="8">
        <f>IF($A35&lt;=INDEX(pdates_grade_factor_taint_tabor,1),INDEX(pvals_grade_factor_taint_tabor,1),IF($A35&gt;=INDEX(pdates_grade_factor_taint_tabor,10),INDEX(pvals_grade_factor_taint_tabor,10),INDEX(pvals_grade_factor_taint_tabor,MATCH($A35,pdates_grade_factor_taint_tabor,1))+($A35-INDEX(pdates_grade_factor_taint_tabor,MATCH($A35,pdates_grade_factor_taint_tabor,1)))/(INDEX(pdates_grade_factor_taint_tabor,MATCH($A35,pdates_grade_factor_taint_tabor,1)+1)-INDEX(pdates_grade_factor_taint_tabor,MATCH($A35,pdates_grade_factor_taint_tabor,1)))*(INDEX(pvals_grade_factor_taint_tabor,MATCH($A35,pdates_grade_factor_taint_tabor,1)+1)-INDEX(pvals_grade_factor_taint_tabor,MATCH($A35,pdates_grade_factor_taint_tabor,1)))))</f>
        <v/>
      </c>
      <c r="Z35" s="8">
        <f>IF($A35&lt;=INDEX(pdates_grade_factor_tense,1),INDEX(pvals_grade_factor_tense,1),IF($A35&gt;=INDEX(pdates_grade_factor_tense,10),INDEX(pvals_grade_factor_tense,10),INDEX(pvals_grade_factor_tense,MATCH($A35,pdates_grade_factor_tense,1))+($A35-INDEX(pdates_grade_factor_tense,MATCH($A35,pdates_grade_factor_tense,1)))/(INDEX(pdates_grade_factor_tense,MATCH($A35,pdates_grade_factor_tense,1)+1)-INDEX(pdates_grade_factor_tense,MATCH($A35,pdates_grade_factor_tense,1)))*(INDEX(pvals_grade_factor_tense,MATCH($A35,pdates_grade_factor_tense,1)+1)-INDEX(pvals_grade_factor_tense,MATCH($A35,pdates_grade_factor_tense,1)))))</f>
        <v/>
      </c>
      <c r="AA35" s="8">
        <f>IF($A35&lt;=INDEX(pdates_grade_factor_mix_pit,1),INDEX(pvals_grade_factor_mix_pit,1),IF($A35&gt;=INDEX(pdates_grade_factor_mix_pit,10),INDEX(pvals_grade_factor_mix_pit,10),INDEX(pvals_grade_factor_mix_pit,MATCH($A35,pdates_grade_factor_mix_pit,1))+($A35-INDEX(pdates_grade_factor_mix_pit,MATCH($A35,pdates_grade_factor_mix_pit,1)))/(INDEX(pdates_grade_factor_mix_pit,MATCH($A35,pdates_grade_factor_mix_pit,1)+1)-INDEX(pdates_grade_factor_mix_pit,MATCH($A35,pdates_grade_factor_mix_pit,1)))*(INDEX(pvals_grade_factor_mix_pit,MATCH($A35,pdates_grade_factor_mix_pit,1)+1)-INDEX(pvals_grade_factor_mix_pit,MATCH($A35,pdates_grade_factor_mix_pit,1)))))</f>
        <v/>
      </c>
      <c r="AB35" s="16">
        <f>($B35*$F35/kg_per_mt*(1+bcd_primary_al_hs7601*(1+sws_rate_on_bcd))+mcx_domestic_premium_inr_kg)*(1+$I35*MAX(0,$Q35-$A35)/day_count_inr)</f>
        <v/>
      </c>
      <c r="AC35" s="16">
        <f>$M35-$AB35</f>
        <v/>
      </c>
      <c r="AD35" s="7" t="inlineStr">
        <is>
          <t>PROXY_IMPORT_PARITY</t>
        </is>
      </c>
      <c r="AE35" s="7" t="inlineStr">
        <is>
          <t>ECB_CROSS</t>
        </is>
      </c>
      <c r="AF35" s="7" t="inlineStr">
        <is>
          <t>WCI_REPORTED|USEC:EXTRAP_PRE|JEA:ASSUMPTION</t>
        </is>
      </c>
      <c r="AG35" s="17" t="b">
        <v>0</v>
      </c>
      <c r="AH35" s="17" t="b">
        <v>1</v>
      </c>
    </row>
    <row r="36">
      <c r="A36" s="11" t="n">
        <v>44607</v>
      </c>
      <c r="B36" s="13" t="n">
        <v>3223</v>
      </c>
      <c r="C36" s="13" t="n">
        <v>3195</v>
      </c>
      <c r="D36" s="13" t="n">
        <v>28</v>
      </c>
      <c r="E36" s="13" t="n">
        <v>860250</v>
      </c>
      <c r="F36" s="13" t="n">
        <v>75.3134</v>
      </c>
      <c r="G36" s="6" t="n">
        <v>75.5078</v>
      </c>
      <c r="H36" s="6" t="n">
        <v>75.93089999999999</v>
      </c>
      <c r="I36" s="14" t="n">
        <v>0.037862</v>
      </c>
      <c r="J36" s="14" t="n">
        <v>0.004142</v>
      </c>
      <c r="K36" s="14" t="n">
        <v>0.04</v>
      </c>
      <c r="L36" s="13" t="n">
        <v>262.7607</v>
      </c>
      <c r="M36" s="13" t="n">
        <v>263.1151</v>
      </c>
      <c r="N36" s="13" t="n">
        <v>263.96</v>
      </c>
      <c r="O36" s="13" t="n">
        <v>24.21</v>
      </c>
      <c r="P36" s="13" t="n">
        <v>107.33</v>
      </c>
      <c r="Q36" s="12" t="n">
        <v>44620</v>
      </c>
      <c r="R36" s="12" t="n">
        <v>44651</v>
      </c>
      <c r="S36" s="8">
        <f>YEAR($Q36)*100+MONTH($Q36)</f>
        <v/>
      </c>
      <c r="T36" s="8">
        <f>YEAR($R36)*100+MONTH($R36)</f>
        <v/>
      </c>
      <c r="U36" s="15">
        <f>IF($A36&lt;=INDEX(pdates_wc_rate_inr_pa,1),INDEX(pvals_wc_rate_inr_pa,1),INDEX(pvals_wc_rate_inr_pa,MATCH($A36,pdates_wc_rate_inr_pa,1)))</f>
        <v/>
      </c>
      <c r="V36" s="8">
        <f>IF(AND($A36&gt;=customs_fx_first,$A36&lt;=customs_fx_last+customs_fx_notification_validity_days),IF($A36&lt;=INDEX(pdates_customs_usdinr_import,1),INDEX(pvals_customs_usdinr_import,1),INDEX(pvals_customs_usdinr_import,MATCH($A36,pdates_customs_usdinr_import,1))),$F36*(1+customs_fx_markup_frac))</f>
        <v/>
      </c>
      <c r="W36" s="8">
        <f>IF(AND($A36&gt;=customs_fx_first,$A36&lt;=customs_fx_last+customs_fx_notification_validity_days),"CBIC_NOTIFIED","MARKUP_FALLBACK")</f>
        <v/>
      </c>
      <c r="X36" s="8">
        <f>IF($A36&lt;=INDEX(pdates_grade_factor_zorba,1),INDEX(pvals_grade_factor_zorba,1),IF($A36&gt;=INDEX(pdates_grade_factor_zorba,10),INDEX(pvals_grade_factor_zorba,10),INDEX(pvals_grade_factor_zorba,MATCH($A36,pdates_grade_factor_zorba,1))+($A36-INDEX(pdates_grade_factor_zorba,MATCH($A36,pdates_grade_factor_zorba,1)))/(INDEX(pdates_grade_factor_zorba,MATCH($A36,pdates_grade_factor_zorba,1)+1)-INDEX(pdates_grade_factor_zorba,MATCH($A36,pdates_grade_factor_zorba,1)))*(INDEX(pvals_grade_factor_zorba,MATCH($A36,pdates_grade_factor_zorba,1)+1)-INDEX(pvals_grade_factor_zorba,MATCH($A36,pdates_grade_factor_zorba,1)))))</f>
        <v/>
      </c>
      <c r="Y36" s="8">
        <f>IF($A36&lt;=INDEX(pdates_grade_factor_taint_tabor,1),INDEX(pvals_grade_factor_taint_tabor,1),IF($A36&gt;=INDEX(pdates_grade_factor_taint_tabor,10),INDEX(pvals_grade_factor_taint_tabor,10),INDEX(pvals_grade_factor_taint_tabor,MATCH($A36,pdates_grade_factor_taint_tabor,1))+($A36-INDEX(pdates_grade_factor_taint_tabor,MATCH($A36,pdates_grade_factor_taint_tabor,1)))/(INDEX(pdates_grade_factor_taint_tabor,MATCH($A36,pdates_grade_factor_taint_tabor,1)+1)-INDEX(pdates_grade_factor_taint_tabor,MATCH($A36,pdates_grade_factor_taint_tabor,1)))*(INDEX(pvals_grade_factor_taint_tabor,MATCH($A36,pdates_grade_factor_taint_tabor,1)+1)-INDEX(pvals_grade_factor_taint_tabor,MATCH($A36,pdates_grade_factor_taint_tabor,1)))))</f>
        <v/>
      </c>
      <c r="Z36" s="8">
        <f>IF($A36&lt;=INDEX(pdates_grade_factor_tense,1),INDEX(pvals_grade_factor_tense,1),IF($A36&gt;=INDEX(pdates_grade_factor_tense,10),INDEX(pvals_grade_factor_tense,10),INDEX(pvals_grade_factor_tense,MATCH($A36,pdates_grade_factor_tense,1))+($A36-INDEX(pdates_grade_factor_tense,MATCH($A36,pdates_grade_factor_tense,1)))/(INDEX(pdates_grade_factor_tense,MATCH($A36,pdates_grade_factor_tense,1)+1)-INDEX(pdates_grade_factor_tense,MATCH($A36,pdates_grade_factor_tense,1)))*(INDEX(pvals_grade_factor_tense,MATCH($A36,pdates_grade_factor_tense,1)+1)-INDEX(pvals_grade_factor_tense,MATCH($A36,pdates_grade_factor_tense,1)))))</f>
        <v/>
      </c>
      <c r="AA36" s="8">
        <f>IF($A36&lt;=INDEX(pdates_grade_factor_mix_pit,1),INDEX(pvals_grade_factor_mix_pit,1),IF($A36&gt;=INDEX(pdates_grade_factor_mix_pit,10),INDEX(pvals_grade_factor_mix_pit,10),INDEX(pvals_grade_factor_mix_pit,MATCH($A36,pdates_grade_factor_mix_pit,1))+($A36-INDEX(pdates_grade_factor_mix_pit,MATCH($A36,pdates_grade_factor_mix_pit,1)))/(INDEX(pdates_grade_factor_mix_pit,MATCH($A36,pdates_grade_factor_mix_pit,1)+1)-INDEX(pdates_grade_factor_mix_pit,MATCH($A36,pdates_grade_factor_mix_pit,1)))*(INDEX(pvals_grade_factor_mix_pit,MATCH($A36,pdates_grade_factor_mix_pit,1)+1)-INDEX(pvals_grade_factor_mix_pit,MATCH($A36,pdates_grade_factor_mix_pit,1)))))</f>
        <v/>
      </c>
      <c r="AB36" s="16">
        <f>($B36*$F36/kg_per_mt*(1+bcd_primary_al_hs7601*(1+sws_rate_on_bcd))+mcx_domestic_premium_inr_kg)*(1+$I36*MAX(0,$Q36-$A36)/day_count_inr)</f>
        <v/>
      </c>
      <c r="AC36" s="16">
        <f>$M36-$AB36</f>
        <v/>
      </c>
      <c r="AD36" s="7" t="inlineStr">
        <is>
          <t>PROXY_IMPORT_PARITY</t>
        </is>
      </c>
      <c r="AE36" s="7" t="inlineStr">
        <is>
          <t>ECB_CROSS</t>
        </is>
      </c>
      <c r="AF36" s="7" t="inlineStr">
        <is>
          <t>WCI_REPORTED|USEC:EXTRAP_PRE|JEA:ASSUMPTION</t>
        </is>
      </c>
      <c r="AG36" s="17" t="b">
        <v>0</v>
      </c>
      <c r="AH36" s="17" t="b">
        <v>1</v>
      </c>
    </row>
    <row r="37">
      <c r="A37" s="11" t="n">
        <v>44608</v>
      </c>
      <c r="B37" s="13" t="n">
        <v>3282</v>
      </c>
      <c r="C37" s="13" t="n">
        <v>3242</v>
      </c>
      <c r="D37" s="13" t="n">
        <v>40</v>
      </c>
      <c r="E37" s="13" t="n">
        <v>857225</v>
      </c>
      <c r="F37" s="13" t="n">
        <v>75.0866</v>
      </c>
      <c r="G37" s="6" t="n">
        <v>75.2816</v>
      </c>
      <c r="H37" s="6" t="n">
        <v>75.706</v>
      </c>
      <c r="I37" s="14" t="n">
        <v>0.037862</v>
      </c>
      <c r="J37" s="14" t="n">
        <v>0.003945</v>
      </c>
      <c r="K37" s="14" t="n">
        <v>0.04</v>
      </c>
      <c r="L37" s="13" t="n">
        <v>266.765</v>
      </c>
      <c r="M37" s="13" t="n">
        <v>267.0971</v>
      </c>
      <c r="N37" s="13" t="n">
        <v>267.9549</v>
      </c>
      <c r="O37" s="13" t="n">
        <v>24.21</v>
      </c>
      <c r="P37" s="13" t="n">
        <v>107.33</v>
      </c>
      <c r="Q37" s="12" t="n">
        <v>44620</v>
      </c>
      <c r="R37" s="12" t="n">
        <v>44651</v>
      </c>
      <c r="S37" s="8">
        <f>YEAR($Q37)*100+MONTH($Q37)</f>
        <v/>
      </c>
      <c r="T37" s="8">
        <f>YEAR($R37)*100+MONTH($R37)</f>
        <v/>
      </c>
      <c r="U37" s="15">
        <f>IF($A37&lt;=INDEX(pdates_wc_rate_inr_pa,1),INDEX(pvals_wc_rate_inr_pa,1),INDEX(pvals_wc_rate_inr_pa,MATCH($A37,pdates_wc_rate_inr_pa,1)))</f>
        <v/>
      </c>
      <c r="V37" s="8">
        <f>IF(AND($A37&gt;=customs_fx_first,$A37&lt;=customs_fx_last+customs_fx_notification_validity_days),IF($A37&lt;=INDEX(pdates_customs_usdinr_import,1),INDEX(pvals_customs_usdinr_import,1),INDEX(pvals_customs_usdinr_import,MATCH($A37,pdates_customs_usdinr_import,1))),$F37*(1+customs_fx_markup_frac))</f>
        <v/>
      </c>
      <c r="W37" s="8">
        <f>IF(AND($A37&gt;=customs_fx_first,$A37&lt;=customs_fx_last+customs_fx_notification_validity_days),"CBIC_NOTIFIED","MARKUP_FALLBACK")</f>
        <v/>
      </c>
      <c r="X37" s="8">
        <f>IF($A37&lt;=INDEX(pdates_grade_factor_zorba,1),INDEX(pvals_grade_factor_zorba,1),IF($A37&gt;=INDEX(pdates_grade_factor_zorba,10),INDEX(pvals_grade_factor_zorba,10),INDEX(pvals_grade_factor_zorba,MATCH($A37,pdates_grade_factor_zorba,1))+($A37-INDEX(pdates_grade_factor_zorba,MATCH($A37,pdates_grade_factor_zorba,1)))/(INDEX(pdates_grade_factor_zorba,MATCH($A37,pdates_grade_factor_zorba,1)+1)-INDEX(pdates_grade_factor_zorba,MATCH($A37,pdates_grade_factor_zorba,1)))*(INDEX(pvals_grade_factor_zorba,MATCH($A37,pdates_grade_factor_zorba,1)+1)-INDEX(pvals_grade_factor_zorba,MATCH($A37,pdates_grade_factor_zorba,1)))))</f>
        <v/>
      </c>
      <c r="Y37" s="8">
        <f>IF($A37&lt;=INDEX(pdates_grade_factor_taint_tabor,1),INDEX(pvals_grade_factor_taint_tabor,1),IF($A37&gt;=INDEX(pdates_grade_factor_taint_tabor,10),INDEX(pvals_grade_factor_taint_tabor,10),INDEX(pvals_grade_factor_taint_tabor,MATCH($A37,pdates_grade_factor_taint_tabor,1))+($A37-INDEX(pdates_grade_factor_taint_tabor,MATCH($A37,pdates_grade_factor_taint_tabor,1)))/(INDEX(pdates_grade_factor_taint_tabor,MATCH($A37,pdates_grade_factor_taint_tabor,1)+1)-INDEX(pdates_grade_factor_taint_tabor,MATCH($A37,pdates_grade_factor_taint_tabor,1)))*(INDEX(pvals_grade_factor_taint_tabor,MATCH($A37,pdates_grade_factor_taint_tabor,1)+1)-INDEX(pvals_grade_factor_taint_tabor,MATCH($A37,pdates_grade_factor_taint_tabor,1)))))</f>
        <v/>
      </c>
      <c r="Z37" s="8">
        <f>IF($A37&lt;=INDEX(pdates_grade_factor_tense,1),INDEX(pvals_grade_factor_tense,1),IF($A37&gt;=INDEX(pdates_grade_factor_tense,10),INDEX(pvals_grade_factor_tense,10),INDEX(pvals_grade_factor_tense,MATCH($A37,pdates_grade_factor_tense,1))+($A37-INDEX(pdates_grade_factor_tense,MATCH($A37,pdates_grade_factor_tense,1)))/(INDEX(pdates_grade_factor_tense,MATCH($A37,pdates_grade_factor_tense,1)+1)-INDEX(pdates_grade_factor_tense,MATCH($A37,pdates_grade_factor_tense,1)))*(INDEX(pvals_grade_factor_tense,MATCH($A37,pdates_grade_factor_tense,1)+1)-INDEX(pvals_grade_factor_tense,MATCH($A37,pdates_grade_factor_tense,1)))))</f>
        <v/>
      </c>
      <c r="AA37" s="8">
        <f>IF($A37&lt;=INDEX(pdates_grade_factor_mix_pit,1),INDEX(pvals_grade_factor_mix_pit,1),IF($A37&gt;=INDEX(pdates_grade_factor_mix_pit,10),INDEX(pvals_grade_factor_mix_pit,10),INDEX(pvals_grade_factor_mix_pit,MATCH($A37,pdates_grade_factor_mix_pit,1))+($A37-INDEX(pdates_grade_factor_mix_pit,MATCH($A37,pdates_grade_factor_mix_pit,1)))/(INDEX(pdates_grade_factor_mix_pit,MATCH($A37,pdates_grade_factor_mix_pit,1)+1)-INDEX(pdates_grade_factor_mix_pit,MATCH($A37,pdates_grade_factor_mix_pit,1)))*(INDEX(pvals_grade_factor_mix_pit,MATCH($A37,pdates_grade_factor_mix_pit,1)+1)-INDEX(pvals_grade_factor_mix_pit,MATCH($A37,pdates_grade_factor_mix_pit,1)))))</f>
        <v/>
      </c>
      <c r="AB37" s="16">
        <f>($B37*$F37/kg_per_mt*(1+bcd_primary_al_hs7601*(1+sws_rate_on_bcd))+mcx_domestic_premium_inr_kg)*(1+$I37*MAX(0,$Q37-$A37)/day_count_inr)</f>
        <v/>
      </c>
      <c r="AC37" s="16">
        <f>$M37-$AB37</f>
        <v/>
      </c>
      <c r="AD37" s="7" t="inlineStr">
        <is>
          <t>PROXY_IMPORT_PARITY</t>
        </is>
      </c>
      <c r="AE37" s="7" t="inlineStr">
        <is>
          <t>ECB_CROSS</t>
        </is>
      </c>
      <c r="AF37" s="7" t="inlineStr">
        <is>
          <t>WCI_REPORTED|USEC:EXTRAP_PRE|JEA:ASSUMPTION</t>
        </is>
      </c>
      <c r="AG37" s="17" t="b">
        <v>0</v>
      </c>
      <c r="AH37" s="17" t="b">
        <v>1</v>
      </c>
    </row>
    <row r="38">
      <c r="A38" s="11" t="n">
        <v>44609</v>
      </c>
      <c r="B38" s="13" t="n">
        <v>3294</v>
      </c>
      <c r="C38" s="13" t="n">
        <v>3241</v>
      </c>
      <c r="D38" s="13" t="n">
        <v>53</v>
      </c>
      <c r="E38" s="13" t="n">
        <v>855525</v>
      </c>
      <c r="F38" s="13" t="n">
        <v>75.0163</v>
      </c>
      <c r="G38" s="6" t="n">
        <v>75.2122</v>
      </c>
      <c r="H38" s="6" t="n">
        <v>75.6387</v>
      </c>
      <c r="I38" s="14" t="n">
        <v>0.037862</v>
      </c>
      <c r="J38" s="14" t="n">
        <v>0.003748</v>
      </c>
      <c r="K38" s="14" t="n">
        <v>0.04</v>
      </c>
      <c r="L38" s="13" t="n">
        <v>267.4897</v>
      </c>
      <c r="M38" s="13" t="n">
        <v>267.795</v>
      </c>
      <c r="N38" s="13" t="n">
        <v>268.6551</v>
      </c>
      <c r="O38" s="13" t="n">
        <v>24.26</v>
      </c>
      <c r="P38" s="13" t="n">
        <v>107.55</v>
      </c>
      <c r="Q38" s="12" t="n">
        <v>44620</v>
      </c>
      <c r="R38" s="12" t="n">
        <v>44651</v>
      </c>
      <c r="S38" s="8">
        <f>YEAR($Q38)*100+MONTH($Q38)</f>
        <v/>
      </c>
      <c r="T38" s="8">
        <f>YEAR($R38)*100+MONTH($R38)</f>
        <v/>
      </c>
      <c r="U38" s="15">
        <f>IF($A38&lt;=INDEX(pdates_wc_rate_inr_pa,1),INDEX(pvals_wc_rate_inr_pa,1),INDEX(pvals_wc_rate_inr_pa,MATCH($A38,pdates_wc_rate_inr_pa,1)))</f>
        <v/>
      </c>
      <c r="V38" s="8">
        <f>IF(AND($A38&gt;=customs_fx_first,$A38&lt;=customs_fx_last+customs_fx_notification_validity_days),IF($A38&lt;=INDEX(pdates_customs_usdinr_import,1),INDEX(pvals_customs_usdinr_import,1),INDEX(pvals_customs_usdinr_import,MATCH($A38,pdates_customs_usdinr_import,1))),$F38*(1+customs_fx_markup_frac))</f>
        <v/>
      </c>
      <c r="W38" s="8">
        <f>IF(AND($A38&gt;=customs_fx_first,$A38&lt;=customs_fx_last+customs_fx_notification_validity_days),"CBIC_NOTIFIED","MARKUP_FALLBACK")</f>
        <v/>
      </c>
      <c r="X38" s="8">
        <f>IF($A38&lt;=INDEX(pdates_grade_factor_zorba,1),INDEX(pvals_grade_factor_zorba,1),IF($A38&gt;=INDEX(pdates_grade_factor_zorba,10),INDEX(pvals_grade_factor_zorba,10),INDEX(pvals_grade_factor_zorba,MATCH($A38,pdates_grade_factor_zorba,1))+($A38-INDEX(pdates_grade_factor_zorba,MATCH($A38,pdates_grade_factor_zorba,1)))/(INDEX(pdates_grade_factor_zorba,MATCH($A38,pdates_grade_factor_zorba,1)+1)-INDEX(pdates_grade_factor_zorba,MATCH($A38,pdates_grade_factor_zorba,1)))*(INDEX(pvals_grade_factor_zorba,MATCH($A38,pdates_grade_factor_zorba,1)+1)-INDEX(pvals_grade_factor_zorba,MATCH($A38,pdates_grade_factor_zorba,1)))))</f>
        <v/>
      </c>
      <c r="Y38" s="8">
        <f>IF($A38&lt;=INDEX(pdates_grade_factor_taint_tabor,1),INDEX(pvals_grade_factor_taint_tabor,1),IF($A38&gt;=INDEX(pdates_grade_factor_taint_tabor,10),INDEX(pvals_grade_factor_taint_tabor,10),INDEX(pvals_grade_factor_taint_tabor,MATCH($A38,pdates_grade_factor_taint_tabor,1))+($A38-INDEX(pdates_grade_factor_taint_tabor,MATCH($A38,pdates_grade_factor_taint_tabor,1)))/(INDEX(pdates_grade_factor_taint_tabor,MATCH($A38,pdates_grade_factor_taint_tabor,1)+1)-INDEX(pdates_grade_factor_taint_tabor,MATCH($A38,pdates_grade_factor_taint_tabor,1)))*(INDEX(pvals_grade_factor_taint_tabor,MATCH($A38,pdates_grade_factor_taint_tabor,1)+1)-INDEX(pvals_grade_factor_taint_tabor,MATCH($A38,pdates_grade_factor_taint_tabor,1)))))</f>
        <v/>
      </c>
      <c r="Z38" s="8">
        <f>IF($A38&lt;=INDEX(pdates_grade_factor_tense,1),INDEX(pvals_grade_factor_tense,1),IF($A38&gt;=INDEX(pdates_grade_factor_tense,10),INDEX(pvals_grade_factor_tense,10),INDEX(pvals_grade_factor_tense,MATCH($A38,pdates_grade_factor_tense,1))+($A38-INDEX(pdates_grade_factor_tense,MATCH($A38,pdates_grade_factor_tense,1)))/(INDEX(pdates_grade_factor_tense,MATCH($A38,pdates_grade_factor_tense,1)+1)-INDEX(pdates_grade_factor_tense,MATCH($A38,pdates_grade_factor_tense,1)))*(INDEX(pvals_grade_factor_tense,MATCH($A38,pdates_grade_factor_tense,1)+1)-INDEX(pvals_grade_factor_tense,MATCH($A38,pdates_grade_factor_tense,1)))))</f>
        <v/>
      </c>
      <c r="AA38" s="8">
        <f>IF($A38&lt;=INDEX(pdates_grade_factor_mix_pit,1),INDEX(pvals_grade_factor_mix_pit,1),IF($A38&gt;=INDEX(pdates_grade_factor_mix_pit,10),INDEX(pvals_grade_factor_mix_pit,10),INDEX(pvals_grade_factor_mix_pit,MATCH($A38,pdates_grade_factor_mix_pit,1))+($A38-INDEX(pdates_grade_factor_mix_pit,MATCH($A38,pdates_grade_factor_mix_pit,1)))/(INDEX(pdates_grade_factor_mix_pit,MATCH($A38,pdates_grade_factor_mix_pit,1)+1)-INDEX(pdates_grade_factor_mix_pit,MATCH($A38,pdates_grade_factor_mix_pit,1)))*(INDEX(pvals_grade_factor_mix_pit,MATCH($A38,pdates_grade_factor_mix_pit,1)+1)-INDEX(pvals_grade_factor_mix_pit,MATCH($A38,pdates_grade_factor_mix_pit,1)))))</f>
        <v/>
      </c>
      <c r="AB38" s="16">
        <f>($B38*$F38/kg_per_mt*(1+bcd_primary_al_hs7601*(1+sws_rate_on_bcd))+mcx_domestic_premium_inr_kg)*(1+$I38*MAX(0,$Q38-$A38)/day_count_inr)</f>
        <v/>
      </c>
      <c r="AC38" s="16">
        <f>$M38-$AB38</f>
        <v/>
      </c>
      <c r="AD38" s="7" t="inlineStr">
        <is>
          <t>PROXY_IMPORT_PARITY</t>
        </is>
      </c>
      <c r="AE38" s="7" t="inlineStr">
        <is>
          <t>ECB_CROSS</t>
        </is>
      </c>
      <c r="AF38" s="7" t="inlineStr">
        <is>
          <t>WCI_REPORTED|USEC:EXTRAP_PRE|JEA:ASSUMPTION</t>
        </is>
      </c>
      <c r="AG38" s="17" t="b">
        <v>0</v>
      </c>
      <c r="AH38" s="17" t="b">
        <v>0</v>
      </c>
    </row>
    <row r="39">
      <c r="A39" s="11" t="n">
        <v>44610</v>
      </c>
      <c r="B39" s="13" t="n">
        <v>3314</v>
      </c>
      <c r="C39" s="13" t="n">
        <v>3265</v>
      </c>
      <c r="D39" s="13" t="n">
        <v>49</v>
      </c>
      <c r="E39" s="13" t="n">
        <v>849275</v>
      </c>
      <c r="F39" s="13" t="n">
        <v>74.5574</v>
      </c>
      <c r="G39" s="6" t="n">
        <v>74.7533</v>
      </c>
      <c r="H39" s="6" t="n">
        <v>75.1798</v>
      </c>
      <c r="I39" s="14" t="n">
        <v>0.037862</v>
      </c>
      <c r="J39" s="14" t="n">
        <v>0.003551</v>
      </c>
      <c r="K39" s="14" t="n">
        <v>0.04</v>
      </c>
      <c r="L39" s="13" t="n">
        <v>267.4676</v>
      </c>
      <c r="M39" s="13" t="n">
        <v>267.745</v>
      </c>
      <c r="N39" s="13" t="n">
        <v>268.6051</v>
      </c>
      <c r="O39" s="13" t="n">
        <v>24.26</v>
      </c>
      <c r="P39" s="13" t="n">
        <v>107.55</v>
      </c>
      <c r="Q39" s="12" t="n">
        <v>44620</v>
      </c>
      <c r="R39" s="12" t="n">
        <v>44651</v>
      </c>
      <c r="S39" s="8">
        <f>YEAR($Q39)*100+MONTH($Q39)</f>
        <v/>
      </c>
      <c r="T39" s="8">
        <f>YEAR($R39)*100+MONTH($R39)</f>
        <v/>
      </c>
      <c r="U39" s="15">
        <f>IF($A39&lt;=INDEX(pdates_wc_rate_inr_pa,1),INDEX(pvals_wc_rate_inr_pa,1),INDEX(pvals_wc_rate_inr_pa,MATCH($A39,pdates_wc_rate_inr_pa,1)))</f>
        <v/>
      </c>
      <c r="V39" s="8">
        <f>IF(AND($A39&gt;=customs_fx_first,$A39&lt;=customs_fx_last+customs_fx_notification_validity_days),IF($A39&lt;=INDEX(pdates_customs_usdinr_import,1),INDEX(pvals_customs_usdinr_import,1),INDEX(pvals_customs_usdinr_import,MATCH($A39,pdates_customs_usdinr_import,1))),$F39*(1+customs_fx_markup_frac))</f>
        <v/>
      </c>
      <c r="W39" s="8">
        <f>IF(AND($A39&gt;=customs_fx_first,$A39&lt;=customs_fx_last+customs_fx_notification_validity_days),"CBIC_NOTIFIED","MARKUP_FALLBACK")</f>
        <v/>
      </c>
      <c r="X39" s="8">
        <f>IF($A39&lt;=INDEX(pdates_grade_factor_zorba,1),INDEX(pvals_grade_factor_zorba,1),IF($A39&gt;=INDEX(pdates_grade_factor_zorba,10),INDEX(pvals_grade_factor_zorba,10),INDEX(pvals_grade_factor_zorba,MATCH($A39,pdates_grade_factor_zorba,1))+($A39-INDEX(pdates_grade_factor_zorba,MATCH($A39,pdates_grade_factor_zorba,1)))/(INDEX(pdates_grade_factor_zorba,MATCH($A39,pdates_grade_factor_zorba,1)+1)-INDEX(pdates_grade_factor_zorba,MATCH($A39,pdates_grade_factor_zorba,1)))*(INDEX(pvals_grade_factor_zorba,MATCH($A39,pdates_grade_factor_zorba,1)+1)-INDEX(pvals_grade_factor_zorba,MATCH($A39,pdates_grade_factor_zorba,1)))))</f>
        <v/>
      </c>
      <c r="Y39" s="8">
        <f>IF($A39&lt;=INDEX(pdates_grade_factor_taint_tabor,1),INDEX(pvals_grade_factor_taint_tabor,1),IF($A39&gt;=INDEX(pdates_grade_factor_taint_tabor,10),INDEX(pvals_grade_factor_taint_tabor,10),INDEX(pvals_grade_factor_taint_tabor,MATCH($A39,pdates_grade_factor_taint_tabor,1))+($A39-INDEX(pdates_grade_factor_taint_tabor,MATCH($A39,pdates_grade_factor_taint_tabor,1)))/(INDEX(pdates_grade_factor_taint_tabor,MATCH($A39,pdates_grade_factor_taint_tabor,1)+1)-INDEX(pdates_grade_factor_taint_tabor,MATCH($A39,pdates_grade_factor_taint_tabor,1)))*(INDEX(pvals_grade_factor_taint_tabor,MATCH($A39,pdates_grade_factor_taint_tabor,1)+1)-INDEX(pvals_grade_factor_taint_tabor,MATCH($A39,pdates_grade_factor_taint_tabor,1)))))</f>
        <v/>
      </c>
      <c r="Z39" s="8">
        <f>IF($A39&lt;=INDEX(pdates_grade_factor_tense,1),INDEX(pvals_grade_factor_tense,1),IF($A39&gt;=INDEX(pdates_grade_factor_tense,10),INDEX(pvals_grade_factor_tense,10),INDEX(pvals_grade_factor_tense,MATCH($A39,pdates_grade_factor_tense,1))+($A39-INDEX(pdates_grade_factor_tense,MATCH($A39,pdates_grade_factor_tense,1)))/(INDEX(pdates_grade_factor_tense,MATCH($A39,pdates_grade_factor_tense,1)+1)-INDEX(pdates_grade_factor_tense,MATCH($A39,pdates_grade_factor_tense,1)))*(INDEX(pvals_grade_factor_tense,MATCH($A39,pdates_grade_factor_tense,1)+1)-INDEX(pvals_grade_factor_tense,MATCH($A39,pdates_grade_factor_tense,1)))))</f>
        <v/>
      </c>
      <c r="AA39" s="8">
        <f>IF($A39&lt;=INDEX(pdates_grade_factor_mix_pit,1),INDEX(pvals_grade_factor_mix_pit,1),IF($A39&gt;=INDEX(pdates_grade_factor_mix_pit,10),INDEX(pvals_grade_factor_mix_pit,10),INDEX(pvals_grade_factor_mix_pit,MATCH($A39,pdates_grade_factor_mix_pit,1))+($A39-INDEX(pdates_grade_factor_mix_pit,MATCH($A39,pdates_grade_factor_mix_pit,1)))/(INDEX(pdates_grade_factor_mix_pit,MATCH($A39,pdates_grade_factor_mix_pit,1)+1)-INDEX(pdates_grade_factor_mix_pit,MATCH($A39,pdates_grade_factor_mix_pit,1)))*(INDEX(pvals_grade_factor_mix_pit,MATCH($A39,pdates_grade_factor_mix_pit,1)+1)-INDEX(pvals_grade_factor_mix_pit,MATCH($A39,pdates_grade_factor_mix_pit,1)))))</f>
        <v/>
      </c>
      <c r="AB39" s="16">
        <f>($B39*$F39/kg_per_mt*(1+bcd_primary_al_hs7601*(1+sws_rate_on_bcd))+mcx_domestic_premium_inr_kg)*(1+$I39*MAX(0,$Q39-$A39)/day_count_inr)</f>
        <v/>
      </c>
      <c r="AC39" s="16">
        <f>$M39-$AB39</f>
        <v/>
      </c>
      <c r="AD39" s="7" t="inlineStr">
        <is>
          <t>PROXY_IMPORT_PARITY</t>
        </is>
      </c>
      <c r="AE39" s="7" t="inlineStr">
        <is>
          <t>ECB_CROSS</t>
        </is>
      </c>
      <c r="AF39" s="7" t="inlineStr">
        <is>
          <t>WCI_REPORTED|USEC:EXTRAP_PRE|JEA:ASSUMPTION</t>
        </is>
      </c>
      <c r="AG39" s="17" t="b">
        <v>0</v>
      </c>
      <c r="AH39" s="17" t="b">
        <v>1</v>
      </c>
    </row>
    <row r="40">
      <c r="A40" s="11" t="n">
        <v>44613</v>
      </c>
      <c r="B40" s="13" t="n">
        <v>3315</v>
      </c>
      <c r="C40" s="13" t="n">
        <v>3270</v>
      </c>
      <c r="D40" s="13" t="n">
        <v>45</v>
      </c>
      <c r="E40" s="13" t="n">
        <v>843475</v>
      </c>
      <c r="F40" s="13" t="n">
        <v>74.6842</v>
      </c>
      <c r="G40" s="6" t="n">
        <v>74.8805</v>
      </c>
      <c r="H40" s="6" t="n">
        <v>75.30759999999999</v>
      </c>
      <c r="I40" s="14" t="n">
        <v>0.037862</v>
      </c>
      <c r="J40" s="14" t="n">
        <v>0.003551</v>
      </c>
      <c r="K40" s="14" t="n">
        <v>0.04</v>
      </c>
      <c r="L40" s="13" t="n">
        <v>268.0033</v>
      </c>
      <c r="M40" s="13" t="n">
        <v>268.1979</v>
      </c>
      <c r="N40" s="13" t="n">
        <v>269.0597</v>
      </c>
      <c r="O40" s="13" t="n">
        <v>24.26</v>
      </c>
      <c r="P40" s="13" t="n">
        <v>107.55</v>
      </c>
      <c r="Q40" s="12" t="n">
        <v>44620</v>
      </c>
      <c r="R40" s="12" t="n">
        <v>44651</v>
      </c>
      <c r="S40" s="8">
        <f>YEAR($Q40)*100+MONTH($Q40)</f>
        <v/>
      </c>
      <c r="T40" s="8">
        <f>YEAR($R40)*100+MONTH($R40)</f>
        <v/>
      </c>
      <c r="U40" s="15">
        <f>IF($A40&lt;=INDEX(pdates_wc_rate_inr_pa,1),INDEX(pvals_wc_rate_inr_pa,1),INDEX(pvals_wc_rate_inr_pa,MATCH($A40,pdates_wc_rate_inr_pa,1)))</f>
        <v/>
      </c>
      <c r="V40" s="8">
        <f>IF(AND($A40&gt;=customs_fx_first,$A40&lt;=customs_fx_last+customs_fx_notification_validity_days),IF($A40&lt;=INDEX(pdates_customs_usdinr_import,1),INDEX(pvals_customs_usdinr_import,1),INDEX(pvals_customs_usdinr_import,MATCH($A40,pdates_customs_usdinr_import,1))),$F40*(1+customs_fx_markup_frac))</f>
        <v/>
      </c>
      <c r="W40" s="8">
        <f>IF(AND($A40&gt;=customs_fx_first,$A40&lt;=customs_fx_last+customs_fx_notification_validity_days),"CBIC_NOTIFIED","MARKUP_FALLBACK")</f>
        <v/>
      </c>
      <c r="X40" s="8">
        <f>IF($A40&lt;=INDEX(pdates_grade_factor_zorba,1),INDEX(pvals_grade_factor_zorba,1),IF($A40&gt;=INDEX(pdates_grade_factor_zorba,10),INDEX(pvals_grade_factor_zorba,10),INDEX(pvals_grade_factor_zorba,MATCH($A40,pdates_grade_factor_zorba,1))+($A40-INDEX(pdates_grade_factor_zorba,MATCH($A40,pdates_grade_factor_zorba,1)))/(INDEX(pdates_grade_factor_zorba,MATCH($A40,pdates_grade_factor_zorba,1)+1)-INDEX(pdates_grade_factor_zorba,MATCH($A40,pdates_grade_factor_zorba,1)))*(INDEX(pvals_grade_factor_zorba,MATCH($A40,pdates_grade_factor_zorba,1)+1)-INDEX(pvals_grade_factor_zorba,MATCH($A40,pdates_grade_factor_zorba,1)))))</f>
        <v/>
      </c>
      <c r="Y40" s="8">
        <f>IF($A40&lt;=INDEX(pdates_grade_factor_taint_tabor,1),INDEX(pvals_grade_factor_taint_tabor,1),IF($A40&gt;=INDEX(pdates_grade_factor_taint_tabor,10),INDEX(pvals_grade_factor_taint_tabor,10),INDEX(pvals_grade_factor_taint_tabor,MATCH($A40,pdates_grade_factor_taint_tabor,1))+($A40-INDEX(pdates_grade_factor_taint_tabor,MATCH($A40,pdates_grade_factor_taint_tabor,1)))/(INDEX(pdates_grade_factor_taint_tabor,MATCH($A40,pdates_grade_factor_taint_tabor,1)+1)-INDEX(pdates_grade_factor_taint_tabor,MATCH($A40,pdates_grade_factor_taint_tabor,1)))*(INDEX(pvals_grade_factor_taint_tabor,MATCH($A40,pdates_grade_factor_taint_tabor,1)+1)-INDEX(pvals_grade_factor_taint_tabor,MATCH($A40,pdates_grade_factor_taint_tabor,1)))))</f>
        <v/>
      </c>
      <c r="Z40" s="8">
        <f>IF($A40&lt;=INDEX(pdates_grade_factor_tense,1),INDEX(pvals_grade_factor_tense,1),IF($A40&gt;=INDEX(pdates_grade_factor_tense,10),INDEX(pvals_grade_factor_tense,10),INDEX(pvals_grade_factor_tense,MATCH($A40,pdates_grade_factor_tense,1))+($A40-INDEX(pdates_grade_factor_tense,MATCH($A40,pdates_grade_factor_tense,1)))/(INDEX(pdates_grade_factor_tense,MATCH($A40,pdates_grade_factor_tense,1)+1)-INDEX(pdates_grade_factor_tense,MATCH($A40,pdates_grade_factor_tense,1)))*(INDEX(pvals_grade_factor_tense,MATCH($A40,pdates_grade_factor_tense,1)+1)-INDEX(pvals_grade_factor_tense,MATCH($A40,pdates_grade_factor_tense,1)))))</f>
        <v/>
      </c>
      <c r="AA40" s="8">
        <f>IF($A40&lt;=INDEX(pdates_grade_factor_mix_pit,1),INDEX(pvals_grade_factor_mix_pit,1),IF($A40&gt;=INDEX(pdates_grade_factor_mix_pit,10),INDEX(pvals_grade_factor_mix_pit,10),INDEX(pvals_grade_factor_mix_pit,MATCH($A40,pdates_grade_factor_mix_pit,1))+($A40-INDEX(pdates_grade_factor_mix_pit,MATCH($A40,pdates_grade_factor_mix_pit,1)))/(INDEX(pdates_grade_factor_mix_pit,MATCH($A40,pdates_grade_factor_mix_pit,1)+1)-INDEX(pdates_grade_factor_mix_pit,MATCH($A40,pdates_grade_factor_mix_pit,1)))*(INDEX(pvals_grade_factor_mix_pit,MATCH($A40,pdates_grade_factor_mix_pit,1)+1)-INDEX(pvals_grade_factor_mix_pit,MATCH($A40,pdates_grade_factor_mix_pit,1)))))</f>
        <v/>
      </c>
      <c r="AB40" s="16">
        <f>($B40*$F40/kg_per_mt*(1+bcd_primary_al_hs7601*(1+sws_rate_on_bcd))+mcx_domestic_premium_inr_kg)*(1+$I40*MAX(0,$Q40-$A40)/day_count_inr)</f>
        <v/>
      </c>
      <c r="AC40" s="16">
        <f>$M40-$AB40</f>
        <v/>
      </c>
      <c r="AD40" s="7" t="inlineStr">
        <is>
          <t>PROXY_IMPORT_PARITY</t>
        </is>
      </c>
      <c r="AE40" s="7" t="inlineStr">
        <is>
          <t>ECB_CROSS</t>
        </is>
      </c>
      <c r="AF40" s="7" t="inlineStr">
        <is>
          <t>WCI_REPORTED|USEC:EXTRAP_PRE|JEA:ASSUMPTION</t>
        </is>
      </c>
      <c r="AG40" s="17" t="b">
        <v>0</v>
      </c>
      <c r="AH40" s="17" t="b">
        <v>1</v>
      </c>
    </row>
    <row r="41">
      <c r="A41" s="11" t="n">
        <v>44614</v>
      </c>
      <c r="B41" s="13" t="n">
        <v>3420</v>
      </c>
      <c r="C41" s="13" t="n">
        <v>3366.5</v>
      </c>
      <c r="D41" s="13" t="n">
        <v>53.5</v>
      </c>
      <c r="E41" s="13" t="n">
        <v>835125</v>
      </c>
      <c r="F41" s="13" t="n">
        <v>74.72929999999999</v>
      </c>
      <c r="G41" s="6" t="n">
        <v>74.9234</v>
      </c>
      <c r="H41" s="6" t="n">
        <v>75.3458</v>
      </c>
      <c r="I41" s="14" t="n">
        <v>0.037862</v>
      </c>
      <c r="J41" s="14" t="n">
        <v>0.003945</v>
      </c>
      <c r="K41" s="14" t="n">
        <v>0.04</v>
      </c>
      <c r="L41" s="13" t="n">
        <v>276.6591</v>
      </c>
      <c r="M41" s="13" t="n">
        <v>276.8313</v>
      </c>
      <c r="N41" s="13" t="n">
        <v>277.7209</v>
      </c>
      <c r="O41" s="13" t="n">
        <v>24.26</v>
      </c>
      <c r="P41" s="13" t="n">
        <v>107.55</v>
      </c>
      <c r="Q41" s="12" t="n">
        <v>44620</v>
      </c>
      <c r="R41" s="12" t="n">
        <v>44651</v>
      </c>
      <c r="S41" s="8">
        <f>YEAR($Q41)*100+MONTH($Q41)</f>
        <v/>
      </c>
      <c r="T41" s="8">
        <f>YEAR($R41)*100+MONTH($R41)</f>
        <v/>
      </c>
      <c r="U41" s="15">
        <f>IF($A41&lt;=INDEX(pdates_wc_rate_inr_pa,1),INDEX(pvals_wc_rate_inr_pa,1),INDEX(pvals_wc_rate_inr_pa,MATCH($A41,pdates_wc_rate_inr_pa,1)))</f>
        <v/>
      </c>
      <c r="V41" s="8">
        <f>IF(AND($A41&gt;=customs_fx_first,$A41&lt;=customs_fx_last+customs_fx_notification_validity_days),IF($A41&lt;=INDEX(pdates_customs_usdinr_import,1),INDEX(pvals_customs_usdinr_import,1),INDEX(pvals_customs_usdinr_import,MATCH($A41,pdates_customs_usdinr_import,1))),$F41*(1+customs_fx_markup_frac))</f>
        <v/>
      </c>
      <c r="W41" s="8">
        <f>IF(AND($A41&gt;=customs_fx_first,$A41&lt;=customs_fx_last+customs_fx_notification_validity_days),"CBIC_NOTIFIED","MARKUP_FALLBACK")</f>
        <v/>
      </c>
      <c r="X41" s="8">
        <f>IF($A41&lt;=INDEX(pdates_grade_factor_zorba,1),INDEX(pvals_grade_factor_zorba,1),IF($A41&gt;=INDEX(pdates_grade_factor_zorba,10),INDEX(pvals_grade_factor_zorba,10),INDEX(pvals_grade_factor_zorba,MATCH($A41,pdates_grade_factor_zorba,1))+($A41-INDEX(pdates_grade_factor_zorba,MATCH($A41,pdates_grade_factor_zorba,1)))/(INDEX(pdates_grade_factor_zorba,MATCH($A41,pdates_grade_factor_zorba,1)+1)-INDEX(pdates_grade_factor_zorba,MATCH($A41,pdates_grade_factor_zorba,1)))*(INDEX(pvals_grade_factor_zorba,MATCH($A41,pdates_grade_factor_zorba,1)+1)-INDEX(pvals_grade_factor_zorba,MATCH($A41,pdates_grade_factor_zorba,1)))))</f>
        <v/>
      </c>
      <c r="Y41" s="8">
        <f>IF($A41&lt;=INDEX(pdates_grade_factor_taint_tabor,1),INDEX(pvals_grade_factor_taint_tabor,1),IF($A41&gt;=INDEX(pdates_grade_factor_taint_tabor,10),INDEX(pvals_grade_factor_taint_tabor,10),INDEX(pvals_grade_factor_taint_tabor,MATCH($A41,pdates_grade_factor_taint_tabor,1))+($A41-INDEX(pdates_grade_factor_taint_tabor,MATCH($A41,pdates_grade_factor_taint_tabor,1)))/(INDEX(pdates_grade_factor_taint_tabor,MATCH($A41,pdates_grade_factor_taint_tabor,1)+1)-INDEX(pdates_grade_factor_taint_tabor,MATCH($A41,pdates_grade_factor_taint_tabor,1)))*(INDEX(pvals_grade_factor_taint_tabor,MATCH($A41,pdates_grade_factor_taint_tabor,1)+1)-INDEX(pvals_grade_factor_taint_tabor,MATCH($A41,pdates_grade_factor_taint_tabor,1)))))</f>
        <v/>
      </c>
      <c r="Z41" s="8">
        <f>IF($A41&lt;=INDEX(pdates_grade_factor_tense,1),INDEX(pvals_grade_factor_tense,1),IF($A41&gt;=INDEX(pdates_grade_factor_tense,10),INDEX(pvals_grade_factor_tense,10),INDEX(pvals_grade_factor_tense,MATCH($A41,pdates_grade_factor_tense,1))+($A41-INDEX(pdates_grade_factor_tense,MATCH($A41,pdates_grade_factor_tense,1)))/(INDEX(pdates_grade_factor_tense,MATCH($A41,pdates_grade_factor_tense,1)+1)-INDEX(pdates_grade_factor_tense,MATCH($A41,pdates_grade_factor_tense,1)))*(INDEX(pvals_grade_factor_tense,MATCH($A41,pdates_grade_factor_tense,1)+1)-INDEX(pvals_grade_factor_tense,MATCH($A41,pdates_grade_factor_tense,1)))))</f>
        <v/>
      </c>
      <c r="AA41" s="8">
        <f>IF($A41&lt;=INDEX(pdates_grade_factor_mix_pit,1),INDEX(pvals_grade_factor_mix_pit,1),IF($A41&gt;=INDEX(pdates_grade_factor_mix_pit,10),INDEX(pvals_grade_factor_mix_pit,10),INDEX(pvals_grade_factor_mix_pit,MATCH($A41,pdates_grade_factor_mix_pit,1))+($A41-INDEX(pdates_grade_factor_mix_pit,MATCH($A41,pdates_grade_factor_mix_pit,1)))/(INDEX(pdates_grade_factor_mix_pit,MATCH($A41,pdates_grade_factor_mix_pit,1)+1)-INDEX(pdates_grade_factor_mix_pit,MATCH($A41,pdates_grade_factor_mix_pit,1)))*(INDEX(pvals_grade_factor_mix_pit,MATCH($A41,pdates_grade_factor_mix_pit,1)+1)-INDEX(pvals_grade_factor_mix_pit,MATCH($A41,pdates_grade_factor_mix_pit,1)))))</f>
        <v/>
      </c>
      <c r="AB41" s="16">
        <f>($B41*$F41/kg_per_mt*(1+bcd_primary_al_hs7601*(1+sws_rate_on_bcd))+mcx_domestic_premium_inr_kg)*(1+$I41*MAX(0,$Q41-$A41)/day_count_inr)</f>
        <v/>
      </c>
      <c r="AC41" s="16">
        <f>$M41-$AB41</f>
        <v/>
      </c>
      <c r="AD41" s="7" t="inlineStr">
        <is>
          <t>PROXY_IMPORT_PARITY</t>
        </is>
      </c>
      <c r="AE41" s="7" t="inlineStr">
        <is>
          <t>ECB_CROSS</t>
        </is>
      </c>
      <c r="AF41" s="7" t="inlineStr">
        <is>
          <t>WCI_REPORTED|USEC:EXTRAP_PRE|JEA:ASSUMPTION</t>
        </is>
      </c>
      <c r="AG41" s="17" t="b">
        <v>0</v>
      </c>
      <c r="AH41" s="17" t="b">
        <v>1</v>
      </c>
    </row>
    <row r="42">
      <c r="A42" s="11" t="n">
        <v>44615</v>
      </c>
      <c r="B42" s="13" t="n">
        <v>3323.5</v>
      </c>
      <c r="C42" s="13" t="n">
        <v>3290</v>
      </c>
      <c r="D42" s="13" t="n">
        <v>33.5</v>
      </c>
      <c r="E42" s="13" t="n">
        <v>833900</v>
      </c>
      <c r="F42" s="13" t="n">
        <v>74.58880000000001</v>
      </c>
      <c r="G42" s="6" t="n">
        <v>74.7842</v>
      </c>
      <c r="H42" s="6" t="n">
        <v>75.20950000000001</v>
      </c>
      <c r="I42" s="14" t="n">
        <v>0.037862</v>
      </c>
      <c r="J42" s="14" t="n">
        <v>0.003649</v>
      </c>
      <c r="K42" s="14" t="n">
        <v>0.04</v>
      </c>
      <c r="L42" s="13" t="n">
        <v>268.3473</v>
      </c>
      <c r="M42" s="13" t="n">
        <v>268.4865</v>
      </c>
      <c r="N42" s="13" t="n">
        <v>269.3494</v>
      </c>
      <c r="O42" s="13" t="n">
        <v>24.26</v>
      </c>
      <c r="P42" s="13" t="n">
        <v>107.55</v>
      </c>
      <c r="Q42" s="12" t="n">
        <v>44620</v>
      </c>
      <c r="R42" s="12" t="n">
        <v>44651</v>
      </c>
      <c r="S42" s="8">
        <f>YEAR($Q42)*100+MONTH($Q42)</f>
        <v/>
      </c>
      <c r="T42" s="8">
        <f>YEAR($R42)*100+MONTH($R42)</f>
        <v/>
      </c>
      <c r="U42" s="15">
        <f>IF($A42&lt;=INDEX(pdates_wc_rate_inr_pa,1),INDEX(pvals_wc_rate_inr_pa,1),INDEX(pvals_wc_rate_inr_pa,MATCH($A42,pdates_wc_rate_inr_pa,1)))</f>
        <v/>
      </c>
      <c r="V42" s="8">
        <f>IF(AND($A42&gt;=customs_fx_first,$A42&lt;=customs_fx_last+customs_fx_notification_validity_days),IF($A42&lt;=INDEX(pdates_customs_usdinr_import,1),INDEX(pvals_customs_usdinr_import,1),INDEX(pvals_customs_usdinr_import,MATCH($A42,pdates_customs_usdinr_import,1))),$F42*(1+customs_fx_markup_frac))</f>
        <v/>
      </c>
      <c r="W42" s="8">
        <f>IF(AND($A42&gt;=customs_fx_first,$A42&lt;=customs_fx_last+customs_fx_notification_validity_days),"CBIC_NOTIFIED","MARKUP_FALLBACK")</f>
        <v/>
      </c>
      <c r="X42" s="8">
        <f>IF($A42&lt;=INDEX(pdates_grade_factor_zorba,1),INDEX(pvals_grade_factor_zorba,1),IF($A42&gt;=INDEX(pdates_grade_factor_zorba,10),INDEX(pvals_grade_factor_zorba,10),INDEX(pvals_grade_factor_zorba,MATCH($A42,pdates_grade_factor_zorba,1))+($A42-INDEX(pdates_grade_factor_zorba,MATCH($A42,pdates_grade_factor_zorba,1)))/(INDEX(pdates_grade_factor_zorba,MATCH($A42,pdates_grade_factor_zorba,1)+1)-INDEX(pdates_grade_factor_zorba,MATCH($A42,pdates_grade_factor_zorba,1)))*(INDEX(pvals_grade_factor_zorba,MATCH($A42,pdates_grade_factor_zorba,1)+1)-INDEX(pvals_grade_factor_zorba,MATCH($A42,pdates_grade_factor_zorba,1)))))</f>
        <v/>
      </c>
      <c r="Y42" s="8">
        <f>IF($A42&lt;=INDEX(pdates_grade_factor_taint_tabor,1),INDEX(pvals_grade_factor_taint_tabor,1),IF($A42&gt;=INDEX(pdates_grade_factor_taint_tabor,10),INDEX(pvals_grade_factor_taint_tabor,10),INDEX(pvals_grade_factor_taint_tabor,MATCH($A42,pdates_grade_factor_taint_tabor,1))+($A42-INDEX(pdates_grade_factor_taint_tabor,MATCH($A42,pdates_grade_factor_taint_tabor,1)))/(INDEX(pdates_grade_factor_taint_tabor,MATCH($A42,pdates_grade_factor_taint_tabor,1)+1)-INDEX(pdates_grade_factor_taint_tabor,MATCH($A42,pdates_grade_factor_taint_tabor,1)))*(INDEX(pvals_grade_factor_taint_tabor,MATCH($A42,pdates_grade_factor_taint_tabor,1)+1)-INDEX(pvals_grade_factor_taint_tabor,MATCH($A42,pdates_grade_factor_taint_tabor,1)))))</f>
        <v/>
      </c>
      <c r="Z42" s="8">
        <f>IF($A42&lt;=INDEX(pdates_grade_factor_tense,1),INDEX(pvals_grade_factor_tense,1),IF($A42&gt;=INDEX(pdates_grade_factor_tense,10),INDEX(pvals_grade_factor_tense,10),INDEX(pvals_grade_factor_tense,MATCH($A42,pdates_grade_factor_tense,1))+($A42-INDEX(pdates_grade_factor_tense,MATCH($A42,pdates_grade_factor_tense,1)))/(INDEX(pdates_grade_factor_tense,MATCH($A42,pdates_grade_factor_tense,1)+1)-INDEX(pdates_grade_factor_tense,MATCH($A42,pdates_grade_factor_tense,1)))*(INDEX(pvals_grade_factor_tense,MATCH($A42,pdates_grade_factor_tense,1)+1)-INDEX(pvals_grade_factor_tense,MATCH($A42,pdates_grade_factor_tense,1)))))</f>
        <v/>
      </c>
      <c r="AA42" s="8">
        <f>IF($A42&lt;=INDEX(pdates_grade_factor_mix_pit,1),INDEX(pvals_grade_factor_mix_pit,1),IF($A42&gt;=INDEX(pdates_grade_factor_mix_pit,10),INDEX(pvals_grade_factor_mix_pit,10),INDEX(pvals_grade_factor_mix_pit,MATCH($A42,pdates_grade_factor_mix_pit,1))+($A42-INDEX(pdates_grade_factor_mix_pit,MATCH($A42,pdates_grade_factor_mix_pit,1)))/(INDEX(pdates_grade_factor_mix_pit,MATCH($A42,pdates_grade_factor_mix_pit,1)+1)-INDEX(pdates_grade_factor_mix_pit,MATCH($A42,pdates_grade_factor_mix_pit,1)))*(INDEX(pvals_grade_factor_mix_pit,MATCH($A42,pdates_grade_factor_mix_pit,1)+1)-INDEX(pvals_grade_factor_mix_pit,MATCH($A42,pdates_grade_factor_mix_pit,1)))))</f>
        <v/>
      </c>
      <c r="AB42" s="16">
        <f>($B42*$F42/kg_per_mt*(1+bcd_primary_al_hs7601*(1+sws_rate_on_bcd))+mcx_domestic_premium_inr_kg)*(1+$I42*MAX(0,$Q42-$A42)/day_count_inr)</f>
        <v/>
      </c>
      <c r="AC42" s="16">
        <f>$M42-$AB42</f>
        <v/>
      </c>
      <c r="AD42" s="7" t="inlineStr">
        <is>
          <t>PROXY_IMPORT_PARITY</t>
        </is>
      </c>
      <c r="AE42" s="7" t="inlineStr">
        <is>
          <t>ECB_CROSS</t>
        </is>
      </c>
      <c r="AF42" s="7" t="inlineStr">
        <is>
          <t>WCI_REPORTED|USEC:EXTRAP_PRE|JEA:ASSUMPTION</t>
        </is>
      </c>
      <c r="AG42" s="17" t="b">
        <v>0</v>
      </c>
      <c r="AH42" s="17" t="b">
        <v>1</v>
      </c>
    </row>
    <row r="43">
      <c r="A43" s="11" t="n">
        <v>44616</v>
      </c>
      <c r="B43" s="13" t="n">
        <v>3519</v>
      </c>
      <c r="C43" s="13" t="n">
        <v>3445</v>
      </c>
      <c r="D43" s="13" t="n">
        <v>74</v>
      </c>
      <c r="E43" s="13" t="n">
        <v>824150</v>
      </c>
      <c r="F43" s="13" t="n">
        <v>75.5138</v>
      </c>
      <c r="G43" s="6" t="n">
        <v>75.7139</v>
      </c>
      <c r="H43" s="6" t="n">
        <v>76.14960000000001</v>
      </c>
      <c r="I43" s="14" t="n">
        <v>0.037862</v>
      </c>
      <c r="J43" s="14" t="n">
        <v>0.003255</v>
      </c>
      <c r="K43" s="14" t="n">
        <v>0.04</v>
      </c>
      <c r="L43" s="13" t="n">
        <v>287.656</v>
      </c>
      <c r="M43" s="13" t="n">
        <v>287.7754</v>
      </c>
      <c r="N43" s="13" t="n">
        <v>288.7004</v>
      </c>
      <c r="O43" s="13" t="n">
        <v>24.51</v>
      </c>
      <c r="P43" s="13" t="n">
        <v>108.68</v>
      </c>
      <c r="Q43" s="12" t="n">
        <v>44620</v>
      </c>
      <c r="R43" s="12" t="n">
        <v>44651</v>
      </c>
      <c r="S43" s="8">
        <f>YEAR($Q43)*100+MONTH($Q43)</f>
        <v/>
      </c>
      <c r="T43" s="8">
        <f>YEAR($R43)*100+MONTH($R43)</f>
        <v/>
      </c>
      <c r="U43" s="15">
        <f>IF($A43&lt;=INDEX(pdates_wc_rate_inr_pa,1),INDEX(pvals_wc_rate_inr_pa,1),INDEX(pvals_wc_rate_inr_pa,MATCH($A43,pdates_wc_rate_inr_pa,1)))</f>
        <v/>
      </c>
      <c r="V43" s="8">
        <f>IF(AND($A43&gt;=customs_fx_first,$A43&lt;=customs_fx_last+customs_fx_notification_validity_days),IF($A43&lt;=INDEX(pdates_customs_usdinr_import,1),INDEX(pvals_customs_usdinr_import,1),INDEX(pvals_customs_usdinr_import,MATCH($A43,pdates_customs_usdinr_import,1))),$F43*(1+customs_fx_markup_frac))</f>
        <v/>
      </c>
      <c r="W43" s="8">
        <f>IF(AND($A43&gt;=customs_fx_first,$A43&lt;=customs_fx_last+customs_fx_notification_validity_days),"CBIC_NOTIFIED","MARKUP_FALLBACK")</f>
        <v/>
      </c>
      <c r="X43" s="8">
        <f>IF($A43&lt;=INDEX(pdates_grade_factor_zorba,1),INDEX(pvals_grade_factor_zorba,1),IF($A43&gt;=INDEX(pdates_grade_factor_zorba,10),INDEX(pvals_grade_factor_zorba,10),INDEX(pvals_grade_factor_zorba,MATCH($A43,pdates_grade_factor_zorba,1))+($A43-INDEX(pdates_grade_factor_zorba,MATCH($A43,pdates_grade_factor_zorba,1)))/(INDEX(pdates_grade_factor_zorba,MATCH($A43,pdates_grade_factor_zorba,1)+1)-INDEX(pdates_grade_factor_zorba,MATCH($A43,pdates_grade_factor_zorba,1)))*(INDEX(pvals_grade_factor_zorba,MATCH($A43,pdates_grade_factor_zorba,1)+1)-INDEX(pvals_grade_factor_zorba,MATCH($A43,pdates_grade_factor_zorba,1)))))</f>
        <v/>
      </c>
      <c r="Y43" s="8">
        <f>IF($A43&lt;=INDEX(pdates_grade_factor_taint_tabor,1),INDEX(pvals_grade_factor_taint_tabor,1),IF($A43&gt;=INDEX(pdates_grade_factor_taint_tabor,10),INDEX(pvals_grade_factor_taint_tabor,10),INDEX(pvals_grade_factor_taint_tabor,MATCH($A43,pdates_grade_factor_taint_tabor,1))+($A43-INDEX(pdates_grade_factor_taint_tabor,MATCH($A43,pdates_grade_factor_taint_tabor,1)))/(INDEX(pdates_grade_factor_taint_tabor,MATCH($A43,pdates_grade_factor_taint_tabor,1)+1)-INDEX(pdates_grade_factor_taint_tabor,MATCH($A43,pdates_grade_factor_taint_tabor,1)))*(INDEX(pvals_grade_factor_taint_tabor,MATCH($A43,pdates_grade_factor_taint_tabor,1)+1)-INDEX(pvals_grade_factor_taint_tabor,MATCH($A43,pdates_grade_factor_taint_tabor,1)))))</f>
        <v/>
      </c>
      <c r="Z43" s="8">
        <f>IF($A43&lt;=INDEX(pdates_grade_factor_tense,1),INDEX(pvals_grade_factor_tense,1),IF($A43&gt;=INDEX(pdates_grade_factor_tense,10),INDEX(pvals_grade_factor_tense,10),INDEX(pvals_grade_factor_tense,MATCH($A43,pdates_grade_factor_tense,1))+($A43-INDEX(pdates_grade_factor_tense,MATCH($A43,pdates_grade_factor_tense,1)))/(INDEX(pdates_grade_factor_tense,MATCH($A43,pdates_grade_factor_tense,1)+1)-INDEX(pdates_grade_factor_tense,MATCH($A43,pdates_grade_factor_tense,1)))*(INDEX(pvals_grade_factor_tense,MATCH($A43,pdates_grade_factor_tense,1)+1)-INDEX(pvals_grade_factor_tense,MATCH($A43,pdates_grade_factor_tense,1)))))</f>
        <v/>
      </c>
      <c r="AA43" s="8">
        <f>IF($A43&lt;=INDEX(pdates_grade_factor_mix_pit,1),INDEX(pvals_grade_factor_mix_pit,1),IF($A43&gt;=INDEX(pdates_grade_factor_mix_pit,10),INDEX(pvals_grade_factor_mix_pit,10),INDEX(pvals_grade_factor_mix_pit,MATCH($A43,pdates_grade_factor_mix_pit,1))+($A43-INDEX(pdates_grade_factor_mix_pit,MATCH($A43,pdates_grade_factor_mix_pit,1)))/(INDEX(pdates_grade_factor_mix_pit,MATCH($A43,pdates_grade_factor_mix_pit,1)+1)-INDEX(pdates_grade_factor_mix_pit,MATCH($A43,pdates_grade_factor_mix_pit,1)))*(INDEX(pvals_grade_factor_mix_pit,MATCH($A43,pdates_grade_factor_mix_pit,1)+1)-INDEX(pvals_grade_factor_mix_pit,MATCH($A43,pdates_grade_factor_mix_pit,1)))))</f>
        <v/>
      </c>
      <c r="AB43" s="16">
        <f>($B43*$F43/kg_per_mt*(1+bcd_primary_al_hs7601*(1+sws_rate_on_bcd))+mcx_domestic_premium_inr_kg)*(1+$I43*MAX(0,$Q43-$A43)/day_count_inr)</f>
        <v/>
      </c>
      <c r="AC43" s="16">
        <f>$M43-$AB43</f>
        <v/>
      </c>
      <c r="AD43" s="7" t="inlineStr">
        <is>
          <t>PROXY_IMPORT_PARITY</t>
        </is>
      </c>
      <c r="AE43" s="7" t="inlineStr">
        <is>
          <t>ECB_CROSS</t>
        </is>
      </c>
      <c r="AF43" s="7" t="inlineStr">
        <is>
          <t>WCI_REPORTED|USEC:EXTRAP_PRE|JEA:ASSUMPTION</t>
        </is>
      </c>
      <c r="AG43" s="17" t="b">
        <v>0</v>
      </c>
      <c r="AH43" s="17" t="b">
        <v>0</v>
      </c>
    </row>
    <row r="44">
      <c r="A44" s="11" t="n">
        <v>44617</v>
      </c>
      <c r="B44" s="13" t="n">
        <v>3355.5</v>
      </c>
      <c r="C44" s="13" t="n">
        <v>3314</v>
      </c>
      <c r="D44" s="13" t="n">
        <v>41.5</v>
      </c>
      <c r="E44" s="13" t="n">
        <v>823125</v>
      </c>
      <c r="F44" s="13" t="n">
        <v>75.2024</v>
      </c>
      <c r="G44" s="6" t="n">
        <v>75.40170000000001</v>
      </c>
      <c r="H44" s="6" t="n">
        <v>75.8356</v>
      </c>
      <c r="I44" s="14" t="n">
        <v>0.037862</v>
      </c>
      <c r="J44" s="14" t="n">
        <v>0.003255</v>
      </c>
      <c r="K44" s="14" t="n">
        <v>0.04</v>
      </c>
      <c r="L44" s="13" t="n">
        <v>273.1598</v>
      </c>
      <c r="M44" s="13" t="n">
        <v>273.2448</v>
      </c>
      <c r="N44" s="13" t="n">
        <v>274.1232</v>
      </c>
      <c r="O44" s="13" t="n">
        <v>24.51</v>
      </c>
      <c r="P44" s="13" t="n">
        <v>108.68</v>
      </c>
      <c r="Q44" s="12" t="n">
        <v>44620</v>
      </c>
      <c r="R44" s="12" t="n">
        <v>44651</v>
      </c>
      <c r="S44" s="8">
        <f>YEAR($Q44)*100+MONTH($Q44)</f>
        <v/>
      </c>
      <c r="T44" s="8">
        <f>YEAR($R44)*100+MONTH($R44)</f>
        <v/>
      </c>
      <c r="U44" s="15">
        <f>IF($A44&lt;=INDEX(pdates_wc_rate_inr_pa,1),INDEX(pvals_wc_rate_inr_pa,1),INDEX(pvals_wc_rate_inr_pa,MATCH($A44,pdates_wc_rate_inr_pa,1)))</f>
        <v/>
      </c>
      <c r="V44" s="8">
        <f>IF(AND($A44&gt;=customs_fx_first,$A44&lt;=customs_fx_last+customs_fx_notification_validity_days),IF($A44&lt;=INDEX(pdates_customs_usdinr_import,1),INDEX(pvals_customs_usdinr_import,1),INDEX(pvals_customs_usdinr_import,MATCH($A44,pdates_customs_usdinr_import,1))),$F44*(1+customs_fx_markup_frac))</f>
        <v/>
      </c>
      <c r="W44" s="8">
        <f>IF(AND($A44&gt;=customs_fx_first,$A44&lt;=customs_fx_last+customs_fx_notification_validity_days),"CBIC_NOTIFIED","MARKUP_FALLBACK")</f>
        <v/>
      </c>
      <c r="X44" s="8">
        <f>IF($A44&lt;=INDEX(pdates_grade_factor_zorba,1),INDEX(pvals_grade_factor_zorba,1),IF($A44&gt;=INDEX(pdates_grade_factor_zorba,10),INDEX(pvals_grade_factor_zorba,10),INDEX(pvals_grade_factor_zorba,MATCH($A44,pdates_grade_factor_zorba,1))+($A44-INDEX(pdates_grade_factor_zorba,MATCH($A44,pdates_grade_factor_zorba,1)))/(INDEX(pdates_grade_factor_zorba,MATCH($A44,pdates_grade_factor_zorba,1)+1)-INDEX(pdates_grade_factor_zorba,MATCH($A44,pdates_grade_factor_zorba,1)))*(INDEX(pvals_grade_factor_zorba,MATCH($A44,pdates_grade_factor_zorba,1)+1)-INDEX(pvals_grade_factor_zorba,MATCH($A44,pdates_grade_factor_zorba,1)))))</f>
        <v/>
      </c>
      <c r="Y44" s="8">
        <f>IF($A44&lt;=INDEX(pdates_grade_factor_taint_tabor,1),INDEX(pvals_grade_factor_taint_tabor,1),IF($A44&gt;=INDEX(pdates_grade_factor_taint_tabor,10),INDEX(pvals_grade_factor_taint_tabor,10),INDEX(pvals_grade_factor_taint_tabor,MATCH($A44,pdates_grade_factor_taint_tabor,1))+($A44-INDEX(pdates_grade_factor_taint_tabor,MATCH($A44,pdates_grade_factor_taint_tabor,1)))/(INDEX(pdates_grade_factor_taint_tabor,MATCH($A44,pdates_grade_factor_taint_tabor,1)+1)-INDEX(pdates_grade_factor_taint_tabor,MATCH($A44,pdates_grade_factor_taint_tabor,1)))*(INDEX(pvals_grade_factor_taint_tabor,MATCH($A44,pdates_grade_factor_taint_tabor,1)+1)-INDEX(pvals_grade_factor_taint_tabor,MATCH($A44,pdates_grade_factor_taint_tabor,1)))))</f>
        <v/>
      </c>
      <c r="Z44" s="8">
        <f>IF($A44&lt;=INDEX(pdates_grade_factor_tense,1),INDEX(pvals_grade_factor_tense,1),IF($A44&gt;=INDEX(pdates_grade_factor_tense,10),INDEX(pvals_grade_factor_tense,10),INDEX(pvals_grade_factor_tense,MATCH($A44,pdates_grade_factor_tense,1))+($A44-INDEX(pdates_grade_factor_tense,MATCH($A44,pdates_grade_factor_tense,1)))/(INDEX(pdates_grade_factor_tense,MATCH($A44,pdates_grade_factor_tense,1)+1)-INDEX(pdates_grade_factor_tense,MATCH($A44,pdates_grade_factor_tense,1)))*(INDEX(pvals_grade_factor_tense,MATCH($A44,pdates_grade_factor_tense,1)+1)-INDEX(pvals_grade_factor_tense,MATCH($A44,pdates_grade_factor_tense,1)))))</f>
        <v/>
      </c>
      <c r="AA44" s="8">
        <f>IF($A44&lt;=INDEX(pdates_grade_factor_mix_pit,1),INDEX(pvals_grade_factor_mix_pit,1),IF($A44&gt;=INDEX(pdates_grade_factor_mix_pit,10),INDEX(pvals_grade_factor_mix_pit,10),INDEX(pvals_grade_factor_mix_pit,MATCH($A44,pdates_grade_factor_mix_pit,1))+($A44-INDEX(pdates_grade_factor_mix_pit,MATCH($A44,pdates_grade_factor_mix_pit,1)))/(INDEX(pdates_grade_factor_mix_pit,MATCH($A44,pdates_grade_factor_mix_pit,1)+1)-INDEX(pdates_grade_factor_mix_pit,MATCH($A44,pdates_grade_factor_mix_pit,1)))*(INDEX(pvals_grade_factor_mix_pit,MATCH($A44,pdates_grade_factor_mix_pit,1)+1)-INDEX(pvals_grade_factor_mix_pit,MATCH($A44,pdates_grade_factor_mix_pit,1)))))</f>
        <v/>
      </c>
      <c r="AB44" s="16">
        <f>($B44*$F44/kg_per_mt*(1+bcd_primary_al_hs7601*(1+sws_rate_on_bcd))+mcx_domestic_premium_inr_kg)*(1+$I44*MAX(0,$Q44-$A44)/day_count_inr)</f>
        <v/>
      </c>
      <c r="AC44" s="16">
        <f>$M44-$AB44</f>
        <v/>
      </c>
      <c r="AD44" s="7" t="inlineStr">
        <is>
          <t>PROXY_IMPORT_PARITY</t>
        </is>
      </c>
      <c r="AE44" s="7" t="inlineStr">
        <is>
          <t>ECB_CROSS</t>
        </is>
      </c>
      <c r="AF44" s="7" t="inlineStr">
        <is>
          <t>WCI_REPORTED|USEC:EXTRAP_PRE|JEA:ASSUMPTION</t>
        </is>
      </c>
      <c r="AG44" s="17" t="b">
        <v>0</v>
      </c>
      <c r="AH44" s="17" t="b">
        <v>1</v>
      </c>
    </row>
    <row r="45">
      <c r="A45" s="11" t="n">
        <v>44620</v>
      </c>
      <c r="B45" s="13" t="n">
        <v>3450</v>
      </c>
      <c r="C45" s="13" t="n">
        <v>3447</v>
      </c>
      <c r="D45" s="13" t="n">
        <v>3</v>
      </c>
      <c r="E45" s="13" t="n">
        <v>824025</v>
      </c>
      <c r="F45" s="13" t="n">
        <v>75.5014</v>
      </c>
      <c r="G45" s="6" t="n">
        <v>75.6986</v>
      </c>
      <c r="H45" s="6" t="n">
        <v>76.1279</v>
      </c>
      <c r="I45" s="14" t="n">
        <v>0.037862</v>
      </c>
      <c r="J45" s="14" t="n">
        <v>0.003748</v>
      </c>
      <c r="K45" s="14" t="n">
        <v>0.04</v>
      </c>
      <c r="L45" s="13" t="n">
        <v>281.9694</v>
      </c>
      <c r="M45" s="13" t="n">
        <v>281.9694</v>
      </c>
      <c r="N45" s="13" t="n">
        <v>282.8761</v>
      </c>
      <c r="O45" s="13" t="n">
        <v>24.51</v>
      </c>
      <c r="P45" s="13" t="n">
        <v>108.68</v>
      </c>
      <c r="Q45" s="12" t="n">
        <v>44620</v>
      </c>
      <c r="R45" s="12" t="n">
        <v>44651</v>
      </c>
      <c r="S45" s="8">
        <f>YEAR($Q45)*100+MONTH($Q45)</f>
        <v/>
      </c>
      <c r="T45" s="8">
        <f>YEAR($R45)*100+MONTH($R45)</f>
        <v/>
      </c>
      <c r="U45" s="15">
        <f>IF($A45&lt;=INDEX(pdates_wc_rate_inr_pa,1),INDEX(pvals_wc_rate_inr_pa,1),INDEX(pvals_wc_rate_inr_pa,MATCH($A45,pdates_wc_rate_inr_pa,1)))</f>
        <v/>
      </c>
      <c r="V45" s="8">
        <f>IF(AND($A45&gt;=customs_fx_first,$A45&lt;=customs_fx_last+customs_fx_notification_validity_days),IF($A45&lt;=INDEX(pdates_customs_usdinr_import,1),INDEX(pvals_customs_usdinr_import,1),INDEX(pvals_customs_usdinr_import,MATCH($A45,pdates_customs_usdinr_import,1))),$F45*(1+customs_fx_markup_frac))</f>
        <v/>
      </c>
      <c r="W45" s="8">
        <f>IF(AND($A45&gt;=customs_fx_first,$A45&lt;=customs_fx_last+customs_fx_notification_validity_days),"CBIC_NOTIFIED","MARKUP_FALLBACK")</f>
        <v/>
      </c>
      <c r="X45" s="8">
        <f>IF($A45&lt;=INDEX(pdates_grade_factor_zorba,1),INDEX(pvals_grade_factor_zorba,1),IF($A45&gt;=INDEX(pdates_grade_factor_zorba,10),INDEX(pvals_grade_factor_zorba,10),INDEX(pvals_grade_factor_zorba,MATCH($A45,pdates_grade_factor_zorba,1))+($A45-INDEX(pdates_grade_factor_zorba,MATCH($A45,pdates_grade_factor_zorba,1)))/(INDEX(pdates_grade_factor_zorba,MATCH($A45,pdates_grade_factor_zorba,1)+1)-INDEX(pdates_grade_factor_zorba,MATCH($A45,pdates_grade_factor_zorba,1)))*(INDEX(pvals_grade_factor_zorba,MATCH($A45,pdates_grade_factor_zorba,1)+1)-INDEX(pvals_grade_factor_zorba,MATCH($A45,pdates_grade_factor_zorba,1)))))</f>
        <v/>
      </c>
      <c r="Y45" s="8">
        <f>IF($A45&lt;=INDEX(pdates_grade_factor_taint_tabor,1),INDEX(pvals_grade_factor_taint_tabor,1),IF($A45&gt;=INDEX(pdates_grade_factor_taint_tabor,10),INDEX(pvals_grade_factor_taint_tabor,10),INDEX(pvals_grade_factor_taint_tabor,MATCH($A45,pdates_grade_factor_taint_tabor,1))+($A45-INDEX(pdates_grade_factor_taint_tabor,MATCH($A45,pdates_grade_factor_taint_tabor,1)))/(INDEX(pdates_grade_factor_taint_tabor,MATCH($A45,pdates_grade_factor_taint_tabor,1)+1)-INDEX(pdates_grade_factor_taint_tabor,MATCH($A45,pdates_grade_factor_taint_tabor,1)))*(INDEX(pvals_grade_factor_taint_tabor,MATCH($A45,pdates_grade_factor_taint_tabor,1)+1)-INDEX(pvals_grade_factor_taint_tabor,MATCH($A45,pdates_grade_factor_taint_tabor,1)))))</f>
        <v/>
      </c>
      <c r="Z45" s="8">
        <f>IF($A45&lt;=INDEX(pdates_grade_factor_tense,1),INDEX(pvals_grade_factor_tense,1),IF($A45&gt;=INDEX(pdates_grade_factor_tense,10),INDEX(pvals_grade_factor_tense,10),INDEX(pvals_grade_factor_tense,MATCH($A45,pdates_grade_factor_tense,1))+($A45-INDEX(pdates_grade_factor_tense,MATCH($A45,pdates_grade_factor_tense,1)))/(INDEX(pdates_grade_factor_tense,MATCH($A45,pdates_grade_factor_tense,1)+1)-INDEX(pdates_grade_factor_tense,MATCH($A45,pdates_grade_factor_tense,1)))*(INDEX(pvals_grade_factor_tense,MATCH($A45,pdates_grade_factor_tense,1)+1)-INDEX(pvals_grade_factor_tense,MATCH($A45,pdates_grade_factor_tense,1)))))</f>
        <v/>
      </c>
      <c r="AA45" s="8">
        <f>IF($A45&lt;=INDEX(pdates_grade_factor_mix_pit,1),INDEX(pvals_grade_factor_mix_pit,1),IF($A45&gt;=INDEX(pdates_grade_factor_mix_pit,10),INDEX(pvals_grade_factor_mix_pit,10),INDEX(pvals_grade_factor_mix_pit,MATCH($A45,pdates_grade_factor_mix_pit,1))+($A45-INDEX(pdates_grade_factor_mix_pit,MATCH($A45,pdates_grade_factor_mix_pit,1)))/(INDEX(pdates_grade_factor_mix_pit,MATCH($A45,pdates_grade_factor_mix_pit,1)+1)-INDEX(pdates_grade_factor_mix_pit,MATCH($A45,pdates_grade_factor_mix_pit,1)))*(INDEX(pvals_grade_factor_mix_pit,MATCH($A45,pdates_grade_factor_mix_pit,1)+1)-INDEX(pvals_grade_factor_mix_pit,MATCH($A45,pdates_grade_factor_mix_pit,1)))))</f>
        <v/>
      </c>
      <c r="AB45" s="16">
        <f>($B45*$F45/kg_per_mt*(1+bcd_primary_al_hs7601*(1+sws_rate_on_bcd))+mcx_domestic_premium_inr_kg)*(1+$I45*MAX(0,$Q45-$A45)/day_count_inr)</f>
        <v/>
      </c>
      <c r="AC45" s="16">
        <f>$M45-$AB45</f>
        <v/>
      </c>
      <c r="AD45" s="7" t="inlineStr">
        <is>
          <t>PROXY_IMPORT_PARITY</t>
        </is>
      </c>
      <c r="AE45" s="7" t="inlineStr">
        <is>
          <t>ECB_CROSS</t>
        </is>
      </c>
      <c r="AF45" s="7" t="inlineStr">
        <is>
          <t>WCI_REPORTED|USEC:EXTRAP_PRE|JEA:ASSUMPTION</t>
        </is>
      </c>
      <c r="AG45" s="17" t="b">
        <v>0</v>
      </c>
      <c r="AH45" s="17" t="b">
        <v>1</v>
      </c>
    </row>
    <row r="46">
      <c r="A46" s="11" t="n">
        <v>44621</v>
      </c>
      <c r="B46" s="13" t="n">
        <v>3495.5</v>
      </c>
      <c r="C46" s="13" t="n">
        <v>3464</v>
      </c>
      <c r="D46" s="13" t="n">
        <v>31.5</v>
      </c>
      <c r="E46" s="13" t="n">
        <v>814275</v>
      </c>
      <c r="F46" s="13" t="n">
        <v>75.7046</v>
      </c>
      <c r="G46" s="6" t="n">
        <v>75.92700000000001</v>
      </c>
      <c r="H46" s="6" t="n">
        <v>76.3643</v>
      </c>
      <c r="I46" s="14" t="n">
        <v>0.037798</v>
      </c>
      <c r="J46" s="14" t="n">
        <v>0.003156</v>
      </c>
      <c r="K46" s="14" t="n">
        <v>0.04</v>
      </c>
      <c r="L46" s="13" t="n">
        <v>286.457</v>
      </c>
      <c r="M46" s="13" t="n">
        <v>287.347</v>
      </c>
      <c r="N46" s="13" t="n">
        <v>288.2072</v>
      </c>
      <c r="O46" s="13" t="n">
        <v>24.51</v>
      </c>
      <c r="P46" s="13" t="n">
        <v>108.68</v>
      </c>
      <c r="Q46" s="12" t="n">
        <v>44651</v>
      </c>
      <c r="R46" s="12" t="n">
        <v>44680</v>
      </c>
      <c r="S46" s="8">
        <f>YEAR($Q46)*100+MONTH($Q46)</f>
        <v/>
      </c>
      <c r="T46" s="8">
        <f>YEAR($R46)*100+MONTH($R46)</f>
        <v/>
      </c>
      <c r="U46" s="15">
        <f>IF($A46&lt;=INDEX(pdates_wc_rate_inr_pa,1),INDEX(pvals_wc_rate_inr_pa,1),INDEX(pvals_wc_rate_inr_pa,MATCH($A46,pdates_wc_rate_inr_pa,1)))</f>
        <v/>
      </c>
      <c r="V46" s="8">
        <f>IF(AND($A46&gt;=customs_fx_first,$A46&lt;=customs_fx_last+customs_fx_notification_validity_days),IF($A46&lt;=INDEX(pdates_customs_usdinr_import,1),INDEX(pvals_customs_usdinr_import,1),INDEX(pvals_customs_usdinr_import,MATCH($A46,pdates_customs_usdinr_import,1))),$F46*(1+customs_fx_markup_frac))</f>
        <v/>
      </c>
      <c r="W46" s="8">
        <f>IF(AND($A46&gt;=customs_fx_first,$A46&lt;=customs_fx_last+customs_fx_notification_validity_days),"CBIC_NOTIFIED","MARKUP_FALLBACK")</f>
        <v/>
      </c>
      <c r="X46" s="8">
        <f>IF($A46&lt;=INDEX(pdates_grade_factor_zorba,1),INDEX(pvals_grade_factor_zorba,1),IF($A46&gt;=INDEX(pdates_grade_factor_zorba,10),INDEX(pvals_grade_factor_zorba,10),INDEX(pvals_grade_factor_zorba,MATCH($A46,pdates_grade_factor_zorba,1))+($A46-INDEX(pdates_grade_factor_zorba,MATCH($A46,pdates_grade_factor_zorba,1)))/(INDEX(pdates_grade_factor_zorba,MATCH($A46,pdates_grade_factor_zorba,1)+1)-INDEX(pdates_grade_factor_zorba,MATCH($A46,pdates_grade_factor_zorba,1)))*(INDEX(pvals_grade_factor_zorba,MATCH($A46,pdates_grade_factor_zorba,1)+1)-INDEX(pvals_grade_factor_zorba,MATCH($A46,pdates_grade_factor_zorba,1)))))</f>
        <v/>
      </c>
      <c r="Y46" s="8">
        <f>IF($A46&lt;=INDEX(pdates_grade_factor_taint_tabor,1),INDEX(pvals_grade_factor_taint_tabor,1),IF($A46&gt;=INDEX(pdates_grade_factor_taint_tabor,10),INDEX(pvals_grade_factor_taint_tabor,10),INDEX(pvals_grade_factor_taint_tabor,MATCH($A46,pdates_grade_factor_taint_tabor,1))+($A46-INDEX(pdates_grade_factor_taint_tabor,MATCH($A46,pdates_grade_factor_taint_tabor,1)))/(INDEX(pdates_grade_factor_taint_tabor,MATCH($A46,pdates_grade_factor_taint_tabor,1)+1)-INDEX(pdates_grade_factor_taint_tabor,MATCH($A46,pdates_grade_factor_taint_tabor,1)))*(INDEX(pvals_grade_factor_taint_tabor,MATCH($A46,pdates_grade_factor_taint_tabor,1)+1)-INDEX(pvals_grade_factor_taint_tabor,MATCH($A46,pdates_grade_factor_taint_tabor,1)))))</f>
        <v/>
      </c>
      <c r="Z46" s="8">
        <f>IF($A46&lt;=INDEX(pdates_grade_factor_tense,1),INDEX(pvals_grade_factor_tense,1),IF($A46&gt;=INDEX(pdates_grade_factor_tense,10),INDEX(pvals_grade_factor_tense,10),INDEX(pvals_grade_factor_tense,MATCH($A46,pdates_grade_factor_tense,1))+($A46-INDEX(pdates_grade_factor_tense,MATCH($A46,pdates_grade_factor_tense,1)))/(INDEX(pdates_grade_factor_tense,MATCH($A46,pdates_grade_factor_tense,1)+1)-INDEX(pdates_grade_factor_tense,MATCH($A46,pdates_grade_factor_tense,1)))*(INDEX(pvals_grade_factor_tense,MATCH($A46,pdates_grade_factor_tense,1)+1)-INDEX(pvals_grade_factor_tense,MATCH($A46,pdates_grade_factor_tense,1)))))</f>
        <v/>
      </c>
      <c r="AA46" s="8">
        <f>IF($A46&lt;=INDEX(pdates_grade_factor_mix_pit,1),INDEX(pvals_grade_factor_mix_pit,1),IF($A46&gt;=INDEX(pdates_grade_factor_mix_pit,10),INDEX(pvals_grade_factor_mix_pit,10),INDEX(pvals_grade_factor_mix_pit,MATCH($A46,pdates_grade_factor_mix_pit,1))+($A46-INDEX(pdates_grade_factor_mix_pit,MATCH($A46,pdates_grade_factor_mix_pit,1)))/(INDEX(pdates_grade_factor_mix_pit,MATCH($A46,pdates_grade_factor_mix_pit,1)+1)-INDEX(pdates_grade_factor_mix_pit,MATCH($A46,pdates_grade_factor_mix_pit,1)))*(INDEX(pvals_grade_factor_mix_pit,MATCH($A46,pdates_grade_factor_mix_pit,1)+1)-INDEX(pvals_grade_factor_mix_pit,MATCH($A46,pdates_grade_factor_mix_pit,1)))))</f>
        <v/>
      </c>
      <c r="AB46" s="16">
        <f>($B46*$F46/kg_per_mt*(1+bcd_primary_al_hs7601*(1+sws_rate_on_bcd))+mcx_domestic_premium_inr_kg)*(1+$I46*MAX(0,$Q46-$A46)/day_count_inr)</f>
        <v/>
      </c>
      <c r="AC46" s="16">
        <f>$M46-$AB46</f>
        <v/>
      </c>
      <c r="AD46" s="7" t="inlineStr">
        <is>
          <t>PROXY_IMPORT_PARITY</t>
        </is>
      </c>
      <c r="AE46" s="7" t="inlineStr">
        <is>
          <t>ECB_CROSS</t>
        </is>
      </c>
      <c r="AF46" s="7" t="inlineStr">
        <is>
          <t>WCI_REPORTED|USEC:EXTRAP_PRE|JEA:ASSUMPTION</t>
        </is>
      </c>
      <c r="AG46" s="17" t="b">
        <v>0</v>
      </c>
      <c r="AH46" s="17" t="b">
        <v>1</v>
      </c>
    </row>
    <row r="47">
      <c r="A47" s="11" t="n">
        <v>44622</v>
      </c>
      <c r="B47" s="13" t="n">
        <v>3605</v>
      </c>
      <c r="C47" s="13" t="n">
        <v>3570</v>
      </c>
      <c r="D47" s="13" t="n">
        <v>35</v>
      </c>
      <c r="E47" s="13" t="n">
        <v>809750</v>
      </c>
      <c r="F47" s="13" t="n">
        <v>75.7937</v>
      </c>
      <c r="G47" s="6" t="n">
        <v>76.0157</v>
      </c>
      <c r="H47" s="6" t="n">
        <v>76.4522</v>
      </c>
      <c r="I47" s="14" t="n">
        <v>0.037798</v>
      </c>
      <c r="J47" s="14" t="n">
        <v>0.003255</v>
      </c>
      <c r="K47" s="14" t="n">
        <v>0.04</v>
      </c>
      <c r="L47" s="13" t="n">
        <v>295.7783</v>
      </c>
      <c r="M47" s="13" t="n">
        <v>296.6665</v>
      </c>
      <c r="N47" s="13" t="n">
        <v>297.5548</v>
      </c>
      <c r="O47" s="13" t="n">
        <v>24.51</v>
      </c>
      <c r="P47" s="13" t="n">
        <v>108.68</v>
      </c>
      <c r="Q47" s="12" t="n">
        <v>44651</v>
      </c>
      <c r="R47" s="12" t="n">
        <v>44680</v>
      </c>
      <c r="S47" s="8">
        <f>YEAR($Q47)*100+MONTH($Q47)</f>
        <v/>
      </c>
      <c r="T47" s="8">
        <f>YEAR($R47)*100+MONTH($R47)</f>
        <v/>
      </c>
      <c r="U47" s="15">
        <f>IF($A47&lt;=INDEX(pdates_wc_rate_inr_pa,1),INDEX(pvals_wc_rate_inr_pa,1),INDEX(pvals_wc_rate_inr_pa,MATCH($A47,pdates_wc_rate_inr_pa,1)))</f>
        <v/>
      </c>
      <c r="V47" s="8">
        <f>IF(AND($A47&gt;=customs_fx_first,$A47&lt;=customs_fx_last+customs_fx_notification_validity_days),IF($A47&lt;=INDEX(pdates_customs_usdinr_import,1),INDEX(pvals_customs_usdinr_import,1),INDEX(pvals_customs_usdinr_import,MATCH($A47,pdates_customs_usdinr_import,1))),$F47*(1+customs_fx_markup_frac))</f>
        <v/>
      </c>
      <c r="W47" s="8">
        <f>IF(AND($A47&gt;=customs_fx_first,$A47&lt;=customs_fx_last+customs_fx_notification_validity_days),"CBIC_NOTIFIED","MARKUP_FALLBACK")</f>
        <v/>
      </c>
      <c r="X47" s="8">
        <f>IF($A47&lt;=INDEX(pdates_grade_factor_zorba,1),INDEX(pvals_grade_factor_zorba,1),IF($A47&gt;=INDEX(pdates_grade_factor_zorba,10),INDEX(pvals_grade_factor_zorba,10),INDEX(pvals_grade_factor_zorba,MATCH($A47,pdates_grade_factor_zorba,1))+($A47-INDEX(pdates_grade_factor_zorba,MATCH($A47,pdates_grade_factor_zorba,1)))/(INDEX(pdates_grade_factor_zorba,MATCH($A47,pdates_grade_factor_zorba,1)+1)-INDEX(pdates_grade_factor_zorba,MATCH($A47,pdates_grade_factor_zorba,1)))*(INDEX(pvals_grade_factor_zorba,MATCH($A47,pdates_grade_factor_zorba,1)+1)-INDEX(pvals_grade_factor_zorba,MATCH($A47,pdates_grade_factor_zorba,1)))))</f>
        <v/>
      </c>
      <c r="Y47" s="8">
        <f>IF($A47&lt;=INDEX(pdates_grade_factor_taint_tabor,1),INDEX(pvals_grade_factor_taint_tabor,1),IF($A47&gt;=INDEX(pdates_grade_factor_taint_tabor,10),INDEX(pvals_grade_factor_taint_tabor,10),INDEX(pvals_grade_factor_taint_tabor,MATCH($A47,pdates_grade_factor_taint_tabor,1))+($A47-INDEX(pdates_grade_factor_taint_tabor,MATCH($A47,pdates_grade_factor_taint_tabor,1)))/(INDEX(pdates_grade_factor_taint_tabor,MATCH($A47,pdates_grade_factor_taint_tabor,1)+1)-INDEX(pdates_grade_factor_taint_tabor,MATCH($A47,pdates_grade_factor_taint_tabor,1)))*(INDEX(pvals_grade_factor_taint_tabor,MATCH($A47,pdates_grade_factor_taint_tabor,1)+1)-INDEX(pvals_grade_factor_taint_tabor,MATCH($A47,pdates_grade_factor_taint_tabor,1)))))</f>
        <v/>
      </c>
      <c r="Z47" s="8">
        <f>IF($A47&lt;=INDEX(pdates_grade_factor_tense,1),INDEX(pvals_grade_factor_tense,1),IF($A47&gt;=INDEX(pdates_grade_factor_tense,10),INDEX(pvals_grade_factor_tense,10),INDEX(pvals_grade_factor_tense,MATCH($A47,pdates_grade_factor_tense,1))+($A47-INDEX(pdates_grade_factor_tense,MATCH($A47,pdates_grade_factor_tense,1)))/(INDEX(pdates_grade_factor_tense,MATCH($A47,pdates_grade_factor_tense,1)+1)-INDEX(pdates_grade_factor_tense,MATCH($A47,pdates_grade_factor_tense,1)))*(INDEX(pvals_grade_factor_tense,MATCH($A47,pdates_grade_factor_tense,1)+1)-INDEX(pvals_grade_factor_tense,MATCH($A47,pdates_grade_factor_tense,1)))))</f>
        <v/>
      </c>
      <c r="AA47" s="8">
        <f>IF($A47&lt;=INDEX(pdates_grade_factor_mix_pit,1),INDEX(pvals_grade_factor_mix_pit,1),IF($A47&gt;=INDEX(pdates_grade_factor_mix_pit,10),INDEX(pvals_grade_factor_mix_pit,10),INDEX(pvals_grade_factor_mix_pit,MATCH($A47,pdates_grade_factor_mix_pit,1))+($A47-INDEX(pdates_grade_factor_mix_pit,MATCH($A47,pdates_grade_factor_mix_pit,1)))/(INDEX(pdates_grade_factor_mix_pit,MATCH($A47,pdates_grade_factor_mix_pit,1)+1)-INDEX(pdates_grade_factor_mix_pit,MATCH($A47,pdates_grade_factor_mix_pit,1)))*(INDEX(pvals_grade_factor_mix_pit,MATCH($A47,pdates_grade_factor_mix_pit,1)+1)-INDEX(pvals_grade_factor_mix_pit,MATCH($A47,pdates_grade_factor_mix_pit,1)))))</f>
        <v/>
      </c>
      <c r="AB47" s="16">
        <f>($B47*$F47/kg_per_mt*(1+bcd_primary_al_hs7601*(1+sws_rate_on_bcd))+mcx_domestic_premium_inr_kg)*(1+$I47*MAX(0,$Q47-$A47)/day_count_inr)</f>
        <v/>
      </c>
      <c r="AC47" s="16">
        <f>$M47-$AB47</f>
        <v/>
      </c>
      <c r="AD47" s="7" t="inlineStr">
        <is>
          <t>PROXY_IMPORT_PARITY</t>
        </is>
      </c>
      <c r="AE47" s="7" t="inlineStr">
        <is>
          <t>ECB_CROSS</t>
        </is>
      </c>
      <c r="AF47" s="7" t="inlineStr">
        <is>
          <t>WCI_REPORTED|USEC:EXTRAP_PRE|JEA:ASSUMPTION</t>
        </is>
      </c>
      <c r="AG47" s="17" t="b">
        <v>0</v>
      </c>
      <c r="AH47" s="17" t="b">
        <v>1</v>
      </c>
    </row>
    <row r="48">
      <c r="A48" s="11" t="n">
        <v>44623</v>
      </c>
      <c r="B48" s="13" t="n">
        <v>3728.5</v>
      </c>
      <c r="C48" s="13" t="n">
        <v>3704</v>
      </c>
      <c r="D48" s="13" t="n">
        <v>24.5</v>
      </c>
      <c r="E48" s="13" t="n">
        <v>801100</v>
      </c>
      <c r="F48" s="13" t="n">
        <v>75.9967</v>
      </c>
      <c r="G48" s="6" t="n">
        <v>76.2161</v>
      </c>
      <c r="H48" s="6" t="n">
        <v>76.6474</v>
      </c>
      <c r="I48" s="14" t="n">
        <v>0.037798</v>
      </c>
      <c r="J48" s="14" t="n">
        <v>0.003748</v>
      </c>
      <c r="K48" s="14" t="n">
        <v>0.04</v>
      </c>
      <c r="L48" s="13" t="n">
        <v>306.7304</v>
      </c>
      <c r="M48" s="13" t="n">
        <v>307.6198</v>
      </c>
      <c r="N48" s="13" t="n">
        <v>308.5409</v>
      </c>
      <c r="O48" s="13" t="n">
        <v>24</v>
      </c>
      <c r="P48" s="13" t="n">
        <v>106.41</v>
      </c>
      <c r="Q48" s="12" t="n">
        <v>44651</v>
      </c>
      <c r="R48" s="12" t="n">
        <v>44680</v>
      </c>
      <c r="S48" s="8">
        <f>YEAR($Q48)*100+MONTH($Q48)</f>
        <v/>
      </c>
      <c r="T48" s="8">
        <f>YEAR($R48)*100+MONTH($R48)</f>
        <v/>
      </c>
      <c r="U48" s="15">
        <f>IF($A48&lt;=INDEX(pdates_wc_rate_inr_pa,1),INDEX(pvals_wc_rate_inr_pa,1),INDEX(pvals_wc_rate_inr_pa,MATCH($A48,pdates_wc_rate_inr_pa,1)))</f>
        <v/>
      </c>
      <c r="V48" s="8">
        <f>IF(AND($A48&gt;=customs_fx_first,$A48&lt;=customs_fx_last+customs_fx_notification_validity_days),IF($A48&lt;=INDEX(pdates_customs_usdinr_import,1),INDEX(pvals_customs_usdinr_import,1),INDEX(pvals_customs_usdinr_import,MATCH($A48,pdates_customs_usdinr_import,1))),$F48*(1+customs_fx_markup_frac))</f>
        <v/>
      </c>
      <c r="W48" s="8">
        <f>IF(AND($A48&gt;=customs_fx_first,$A48&lt;=customs_fx_last+customs_fx_notification_validity_days),"CBIC_NOTIFIED","MARKUP_FALLBACK")</f>
        <v/>
      </c>
      <c r="X48" s="8">
        <f>IF($A48&lt;=INDEX(pdates_grade_factor_zorba,1),INDEX(pvals_grade_factor_zorba,1),IF($A48&gt;=INDEX(pdates_grade_factor_zorba,10),INDEX(pvals_grade_factor_zorba,10),INDEX(pvals_grade_factor_zorba,MATCH($A48,pdates_grade_factor_zorba,1))+($A48-INDEX(pdates_grade_factor_zorba,MATCH($A48,pdates_grade_factor_zorba,1)))/(INDEX(pdates_grade_factor_zorba,MATCH($A48,pdates_grade_factor_zorba,1)+1)-INDEX(pdates_grade_factor_zorba,MATCH($A48,pdates_grade_factor_zorba,1)))*(INDEX(pvals_grade_factor_zorba,MATCH($A48,pdates_grade_factor_zorba,1)+1)-INDEX(pvals_grade_factor_zorba,MATCH($A48,pdates_grade_factor_zorba,1)))))</f>
        <v/>
      </c>
      <c r="Y48" s="8">
        <f>IF($A48&lt;=INDEX(pdates_grade_factor_taint_tabor,1),INDEX(pvals_grade_factor_taint_tabor,1),IF($A48&gt;=INDEX(pdates_grade_factor_taint_tabor,10),INDEX(pvals_grade_factor_taint_tabor,10),INDEX(pvals_grade_factor_taint_tabor,MATCH($A48,pdates_grade_factor_taint_tabor,1))+($A48-INDEX(pdates_grade_factor_taint_tabor,MATCH($A48,pdates_grade_factor_taint_tabor,1)))/(INDEX(pdates_grade_factor_taint_tabor,MATCH($A48,pdates_grade_factor_taint_tabor,1)+1)-INDEX(pdates_grade_factor_taint_tabor,MATCH($A48,pdates_grade_factor_taint_tabor,1)))*(INDEX(pvals_grade_factor_taint_tabor,MATCH($A48,pdates_grade_factor_taint_tabor,1)+1)-INDEX(pvals_grade_factor_taint_tabor,MATCH($A48,pdates_grade_factor_taint_tabor,1)))))</f>
        <v/>
      </c>
      <c r="Z48" s="8">
        <f>IF($A48&lt;=INDEX(pdates_grade_factor_tense,1),INDEX(pvals_grade_factor_tense,1),IF($A48&gt;=INDEX(pdates_grade_factor_tense,10),INDEX(pvals_grade_factor_tense,10),INDEX(pvals_grade_factor_tense,MATCH($A48,pdates_grade_factor_tense,1))+($A48-INDEX(pdates_grade_factor_tense,MATCH($A48,pdates_grade_factor_tense,1)))/(INDEX(pdates_grade_factor_tense,MATCH($A48,pdates_grade_factor_tense,1)+1)-INDEX(pdates_grade_factor_tense,MATCH($A48,pdates_grade_factor_tense,1)))*(INDEX(pvals_grade_factor_tense,MATCH($A48,pdates_grade_factor_tense,1)+1)-INDEX(pvals_grade_factor_tense,MATCH($A48,pdates_grade_factor_tense,1)))))</f>
        <v/>
      </c>
      <c r="AA48" s="8">
        <f>IF($A48&lt;=INDEX(pdates_grade_factor_mix_pit,1),INDEX(pvals_grade_factor_mix_pit,1),IF($A48&gt;=INDEX(pdates_grade_factor_mix_pit,10),INDEX(pvals_grade_factor_mix_pit,10),INDEX(pvals_grade_factor_mix_pit,MATCH($A48,pdates_grade_factor_mix_pit,1))+($A48-INDEX(pdates_grade_factor_mix_pit,MATCH($A48,pdates_grade_factor_mix_pit,1)))/(INDEX(pdates_grade_factor_mix_pit,MATCH($A48,pdates_grade_factor_mix_pit,1)+1)-INDEX(pdates_grade_factor_mix_pit,MATCH($A48,pdates_grade_factor_mix_pit,1)))*(INDEX(pvals_grade_factor_mix_pit,MATCH($A48,pdates_grade_factor_mix_pit,1)+1)-INDEX(pvals_grade_factor_mix_pit,MATCH($A48,pdates_grade_factor_mix_pit,1)))))</f>
        <v/>
      </c>
      <c r="AB48" s="16">
        <f>($B48*$F48/kg_per_mt*(1+bcd_primary_al_hs7601*(1+sws_rate_on_bcd))+mcx_domestic_premium_inr_kg)*(1+$I48*MAX(0,$Q48-$A48)/day_count_inr)</f>
        <v/>
      </c>
      <c r="AC48" s="16">
        <f>$M48-$AB48</f>
        <v/>
      </c>
      <c r="AD48" s="7" t="inlineStr">
        <is>
          <t>PROXY_IMPORT_PARITY</t>
        </is>
      </c>
      <c r="AE48" s="7" t="inlineStr">
        <is>
          <t>ECB_CROSS</t>
        </is>
      </c>
      <c r="AF48" s="7" t="inlineStr">
        <is>
          <t>WCI_REPORTED|USEC:EXTRAP_PRE|JEA:ASSUMPTION</t>
        </is>
      </c>
      <c r="AG48" s="17" t="b">
        <v>0</v>
      </c>
      <c r="AH48" s="17" t="b">
        <v>0</v>
      </c>
    </row>
    <row r="49">
      <c r="A49" s="11" t="n">
        <v>44624</v>
      </c>
      <c r="B49" s="13" t="n">
        <v>3851</v>
      </c>
      <c r="C49" s="13" t="n">
        <v>3820</v>
      </c>
      <c r="D49" s="13" t="n">
        <v>31</v>
      </c>
      <c r="E49" s="13" t="n">
        <v>794150</v>
      </c>
      <c r="F49" s="13" t="n">
        <v>76.34310000000001</v>
      </c>
      <c r="G49" s="6" t="n">
        <v>76.5667</v>
      </c>
      <c r="H49" s="6" t="n">
        <v>77.0064</v>
      </c>
      <c r="I49" s="14" t="n">
        <v>0.037798</v>
      </c>
      <c r="J49" s="14" t="n">
        <v>0.003255</v>
      </c>
      <c r="K49" s="14" t="n">
        <v>0.04</v>
      </c>
      <c r="L49" s="13" t="n">
        <v>318.2521</v>
      </c>
      <c r="M49" s="13" t="n">
        <v>319.1419</v>
      </c>
      <c r="N49" s="13" t="n">
        <v>320.0976</v>
      </c>
      <c r="O49" s="13" t="n">
        <v>24</v>
      </c>
      <c r="P49" s="13" t="n">
        <v>106.41</v>
      </c>
      <c r="Q49" s="12" t="n">
        <v>44651</v>
      </c>
      <c r="R49" s="12" t="n">
        <v>44680</v>
      </c>
      <c r="S49" s="8">
        <f>YEAR($Q49)*100+MONTH($Q49)</f>
        <v/>
      </c>
      <c r="T49" s="8">
        <f>YEAR($R49)*100+MONTH($R49)</f>
        <v/>
      </c>
      <c r="U49" s="15">
        <f>IF($A49&lt;=INDEX(pdates_wc_rate_inr_pa,1),INDEX(pvals_wc_rate_inr_pa,1),INDEX(pvals_wc_rate_inr_pa,MATCH($A49,pdates_wc_rate_inr_pa,1)))</f>
        <v/>
      </c>
      <c r="V49" s="8">
        <f>IF(AND($A49&gt;=customs_fx_first,$A49&lt;=customs_fx_last+customs_fx_notification_validity_days),IF($A49&lt;=INDEX(pdates_customs_usdinr_import,1),INDEX(pvals_customs_usdinr_import,1),INDEX(pvals_customs_usdinr_import,MATCH($A49,pdates_customs_usdinr_import,1))),$F49*(1+customs_fx_markup_frac))</f>
        <v/>
      </c>
      <c r="W49" s="8">
        <f>IF(AND($A49&gt;=customs_fx_first,$A49&lt;=customs_fx_last+customs_fx_notification_validity_days),"CBIC_NOTIFIED","MARKUP_FALLBACK")</f>
        <v/>
      </c>
      <c r="X49" s="8">
        <f>IF($A49&lt;=INDEX(pdates_grade_factor_zorba,1),INDEX(pvals_grade_factor_zorba,1),IF($A49&gt;=INDEX(pdates_grade_factor_zorba,10),INDEX(pvals_grade_factor_zorba,10),INDEX(pvals_grade_factor_zorba,MATCH($A49,pdates_grade_factor_zorba,1))+($A49-INDEX(pdates_grade_factor_zorba,MATCH($A49,pdates_grade_factor_zorba,1)))/(INDEX(pdates_grade_factor_zorba,MATCH($A49,pdates_grade_factor_zorba,1)+1)-INDEX(pdates_grade_factor_zorba,MATCH($A49,pdates_grade_factor_zorba,1)))*(INDEX(pvals_grade_factor_zorba,MATCH($A49,pdates_grade_factor_zorba,1)+1)-INDEX(pvals_grade_factor_zorba,MATCH($A49,pdates_grade_factor_zorba,1)))))</f>
        <v/>
      </c>
      <c r="Y49" s="8">
        <f>IF($A49&lt;=INDEX(pdates_grade_factor_taint_tabor,1),INDEX(pvals_grade_factor_taint_tabor,1),IF($A49&gt;=INDEX(pdates_grade_factor_taint_tabor,10),INDEX(pvals_grade_factor_taint_tabor,10),INDEX(pvals_grade_factor_taint_tabor,MATCH($A49,pdates_grade_factor_taint_tabor,1))+($A49-INDEX(pdates_grade_factor_taint_tabor,MATCH($A49,pdates_grade_factor_taint_tabor,1)))/(INDEX(pdates_grade_factor_taint_tabor,MATCH($A49,pdates_grade_factor_taint_tabor,1)+1)-INDEX(pdates_grade_factor_taint_tabor,MATCH($A49,pdates_grade_factor_taint_tabor,1)))*(INDEX(pvals_grade_factor_taint_tabor,MATCH($A49,pdates_grade_factor_taint_tabor,1)+1)-INDEX(pvals_grade_factor_taint_tabor,MATCH($A49,pdates_grade_factor_taint_tabor,1)))))</f>
        <v/>
      </c>
      <c r="Z49" s="8">
        <f>IF($A49&lt;=INDEX(pdates_grade_factor_tense,1),INDEX(pvals_grade_factor_tense,1),IF($A49&gt;=INDEX(pdates_grade_factor_tense,10),INDEX(pvals_grade_factor_tense,10),INDEX(pvals_grade_factor_tense,MATCH($A49,pdates_grade_factor_tense,1))+($A49-INDEX(pdates_grade_factor_tense,MATCH($A49,pdates_grade_factor_tense,1)))/(INDEX(pdates_grade_factor_tense,MATCH($A49,pdates_grade_factor_tense,1)+1)-INDEX(pdates_grade_factor_tense,MATCH($A49,pdates_grade_factor_tense,1)))*(INDEX(pvals_grade_factor_tense,MATCH($A49,pdates_grade_factor_tense,1)+1)-INDEX(pvals_grade_factor_tense,MATCH($A49,pdates_grade_factor_tense,1)))))</f>
        <v/>
      </c>
      <c r="AA49" s="8">
        <f>IF($A49&lt;=INDEX(pdates_grade_factor_mix_pit,1),INDEX(pvals_grade_factor_mix_pit,1),IF($A49&gt;=INDEX(pdates_grade_factor_mix_pit,10),INDEX(pvals_grade_factor_mix_pit,10),INDEX(pvals_grade_factor_mix_pit,MATCH($A49,pdates_grade_factor_mix_pit,1))+($A49-INDEX(pdates_grade_factor_mix_pit,MATCH($A49,pdates_grade_factor_mix_pit,1)))/(INDEX(pdates_grade_factor_mix_pit,MATCH($A49,pdates_grade_factor_mix_pit,1)+1)-INDEX(pdates_grade_factor_mix_pit,MATCH($A49,pdates_grade_factor_mix_pit,1)))*(INDEX(pvals_grade_factor_mix_pit,MATCH($A49,pdates_grade_factor_mix_pit,1)+1)-INDEX(pvals_grade_factor_mix_pit,MATCH($A49,pdates_grade_factor_mix_pit,1)))))</f>
        <v/>
      </c>
      <c r="AB49" s="16">
        <f>($B49*$F49/kg_per_mt*(1+bcd_primary_al_hs7601*(1+sws_rate_on_bcd))+mcx_domestic_premium_inr_kg)*(1+$I49*MAX(0,$Q49-$A49)/day_count_inr)</f>
        <v/>
      </c>
      <c r="AC49" s="16">
        <f>$M49-$AB49</f>
        <v/>
      </c>
      <c r="AD49" s="7" t="inlineStr">
        <is>
          <t>PROXY_IMPORT_PARITY</t>
        </is>
      </c>
      <c r="AE49" s="7" t="inlineStr">
        <is>
          <t>ECB_CROSS</t>
        </is>
      </c>
      <c r="AF49" s="7" t="inlineStr">
        <is>
          <t>WCI_REPORTED|USEC:EXTRAP_PRE|JEA:ASSUMPTION</t>
        </is>
      </c>
      <c r="AG49" s="17" t="b">
        <v>0</v>
      </c>
      <c r="AH49" s="17" t="b">
        <v>1</v>
      </c>
    </row>
    <row r="50">
      <c r="A50" s="11" t="n">
        <v>44627</v>
      </c>
      <c r="B50" s="13" t="n">
        <v>3984.5</v>
      </c>
      <c r="C50" s="13" t="n">
        <v>3968</v>
      </c>
      <c r="D50" s="13" t="n">
        <v>16.5</v>
      </c>
      <c r="E50" s="13" t="n">
        <v>786475</v>
      </c>
      <c r="F50" s="13" t="n">
        <v>76.92749999999999</v>
      </c>
      <c r="G50" s="6" t="n">
        <v>77.1489</v>
      </c>
      <c r="H50" s="6" t="n">
        <v>77.58410000000001</v>
      </c>
      <c r="I50" s="14" t="n">
        <v>0.037798</v>
      </c>
      <c r="J50" s="14" t="n">
        <v>0.003847</v>
      </c>
      <c r="K50" s="14" t="n">
        <v>0.04</v>
      </c>
      <c r="L50" s="13" t="n">
        <v>331.8053</v>
      </c>
      <c r="M50" s="13" t="n">
        <v>332.63</v>
      </c>
      <c r="N50" s="13" t="n">
        <v>333.6264</v>
      </c>
      <c r="O50" s="13" t="n">
        <v>24</v>
      </c>
      <c r="P50" s="13" t="n">
        <v>106.41</v>
      </c>
      <c r="Q50" s="12" t="n">
        <v>44651</v>
      </c>
      <c r="R50" s="12" t="n">
        <v>44680</v>
      </c>
      <c r="S50" s="8">
        <f>YEAR($Q50)*100+MONTH($Q50)</f>
        <v/>
      </c>
      <c r="T50" s="8">
        <f>YEAR($R50)*100+MONTH($R50)</f>
        <v/>
      </c>
      <c r="U50" s="15">
        <f>IF($A50&lt;=INDEX(pdates_wc_rate_inr_pa,1),INDEX(pvals_wc_rate_inr_pa,1),INDEX(pvals_wc_rate_inr_pa,MATCH($A50,pdates_wc_rate_inr_pa,1)))</f>
        <v/>
      </c>
      <c r="V50" s="8">
        <f>IF(AND($A50&gt;=customs_fx_first,$A50&lt;=customs_fx_last+customs_fx_notification_validity_days),IF($A50&lt;=INDEX(pdates_customs_usdinr_import,1),INDEX(pvals_customs_usdinr_import,1),INDEX(pvals_customs_usdinr_import,MATCH($A50,pdates_customs_usdinr_import,1))),$F50*(1+customs_fx_markup_frac))</f>
        <v/>
      </c>
      <c r="W50" s="8">
        <f>IF(AND($A50&gt;=customs_fx_first,$A50&lt;=customs_fx_last+customs_fx_notification_validity_days),"CBIC_NOTIFIED","MARKUP_FALLBACK")</f>
        <v/>
      </c>
      <c r="X50" s="8">
        <f>IF($A50&lt;=INDEX(pdates_grade_factor_zorba,1),INDEX(pvals_grade_factor_zorba,1),IF($A50&gt;=INDEX(pdates_grade_factor_zorba,10),INDEX(pvals_grade_factor_zorba,10),INDEX(pvals_grade_factor_zorba,MATCH($A50,pdates_grade_factor_zorba,1))+($A50-INDEX(pdates_grade_factor_zorba,MATCH($A50,pdates_grade_factor_zorba,1)))/(INDEX(pdates_grade_factor_zorba,MATCH($A50,pdates_grade_factor_zorba,1)+1)-INDEX(pdates_grade_factor_zorba,MATCH($A50,pdates_grade_factor_zorba,1)))*(INDEX(pvals_grade_factor_zorba,MATCH($A50,pdates_grade_factor_zorba,1)+1)-INDEX(pvals_grade_factor_zorba,MATCH($A50,pdates_grade_factor_zorba,1)))))</f>
        <v/>
      </c>
      <c r="Y50" s="8">
        <f>IF($A50&lt;=INDEX(pdates_grade_factor_taint_tabor,1),INDEX(pvals_grade_factor_taint_tabor,1),IF($A50&gt;=INDEX(pdates_grade_factor_taint_tabor,10),INDEX(pvals_grade_factor_taint_tabor,10),INDEX(pvals_grade_factor_taint_tabor,MATCH($A50,pdates_grade_factor_taint_tabor,1))+($A50-INDEX(pdates_grade_factor_taint_tabor,MATCH($A50,pdates_grade_factor_taint_tabor,1)))/(INDEX(pdates_grade_factor_taint_tabor,MATCH($A50,pdates_grade_factor_taint_tabor,1)+1)-INDEX(pdates_grade_factor_taint_tabor,MATCH($A50,pdates_grade_factor_taint_tabor,1)))*(INDEX(pvals_grade_factor_taint_tabor,MATCH($A50,pdates_grade_factor_taint_tabor,1)+1)-INDEX(pvals_grade_factor_taint_tabor,MATCH($A50,pdates_grade_factor_taint_tabor,1)))))</f>
        <v/>
      </c>
      <c r="Z50" s="8">
        <f>IF($A50&lt;=INDEX(pdates_grade_factor_tense,1),INDEX(pvals_grade_factor_tense,1),IF($A50&gt;=INDEX(pdates_grade_factor_tense,10),INDEX(pvals_grade_factor_tense,10),INDEX(pvals_grade_factor_tense,MATCH($A50,pdates_grade_factor_tense,1))+($A50-INDEX(pdates_grade_factor_tense,MATCH($A50,pdates_grade_factor_tense,1)))/(INDEX(pdates_grade_factor_tense,MATCH($A50,pdates_grade_factor_tense,1)+1)-INDEX(pdates_grade_factor_tense,MATCH($A50,pdates_grade_factor_tense,1)))*(INDEX(pvals_grade_factor_tense,MATCH($A50,pdates_grade_factor_tense,1)+1)-INDEX(pvals_grade_factor_tense,MATCH($A50,pdates_grade_factor_tense,1)))))</f>
        <v/>
      </c>
      <c r="AA50" s="8">
        <f>IF($A50&lt;=INDEX(pdates_grade_factor_mix_pit,1),INDEX(pvals_grade_factor_mix_pit,1),IF($A50&gt;=INDEX(pdates_grade_factor_mix_pit,10),INDEX(pvals_grade_factor_mix_pit,10),INDEX(pvals_grade_factor_mix_pit,MATCH($A50,pdates_grade_factor_mix_pit,1))+($A50-INDEX(pdates_grade_factor_mix_pit,MATCH($A50,pdates_grade_factor_mix_pit,1)))/(INDEX(pdates_grade_factor_mix_pit,MATCH($A50,pdates_grade_factor_mix_pit,1)+1)-INDEX(pdates_grade_factor_mix_pit,MATCH($A50,pdates_grade_factor_mix_pit,1)))*(INDEX(pvals_grade_factor_mix_pit,MATCH($A50,pdates_grade_factor_mix_pit,1)+1)-INDEX(pvals_grade_factor_mix_pit,MATCH($A50,pdates_grade_factor_mix_pit,1)))))</f>
        <v/>
      </c>
      <c r="AB50" s="16">
        <f>($B50*$F50/kg_per_mt*(1+bcd_primary_al_hs7601*(1+sws_rate_on_bcd))+mcx_domestic_premium_inr_kg)*(1+$I50*MAX(0,$Q50-$A50)/day_count_inr)</f>
        <v/>
      </c>
      <c r="AC50" s="16">
        <f>$M50-$AB50</f>
        <v/>
      </c>
      <c r="AD50" s="7" t="inlineStr">
        <is>
          <t>PROXY_IMPORT_PARITY</t>
        </is>
      </c>
      <c r="AE50" s="7" t="inlineStr">
        <is>
          <t>ECB_CROSS</t>
        </is>
      </c>
      <c r="AF50" s="7" t="inlineStr">
        <is>
          <t>WCI_REPORTED|USEC:EXTRAP_PRE|JEA:ASSUMPTION</t>
        </is>
      </c>
      <c r="AG50" s="17" t="b">
        <v>0</v>
      </c>
      <c r="AH50" s="17" t="b">
        <v>1</v>
      </c>
    </row>
    <row r="51">
      <c r="A51" s="11" t="n">
        <v>44628</v>
      </c>
      <c r="B51" s="13" t="n">
        <v>3500.5</v>
      </c>
      <c r="C51" s="13" t="n">
        <v>3516</v>
      </c>
      <c r="D51" s="13" t="n">
        <v>-15.5</v>
      </c>
      <c r="E51" s="13" t="n">
        <v>779350</v>
      </c>
      <c r="F51" s="13" t="n">
        <v>77.051</v>
      </c>
      <c r="G51" s="6" t="n">
        <v>77.2741</v>
      </c>
      <c r="H51" s="6" t="n">
        <v>77.71259999999999</v>
      </c>
      <c r="I51" s="14" t="n">
        <v>0.037798</v>
      </c>
      <c r="J51" s="14" t="n">
        <v>0.003649</v>
      </c>
      <c r="K51" s="14" t="n">
        <v>0.04</v>
      </c>
      <c r="L51" s="13" t="n">
        <v>291.9687</v>
      </c>
      <c r="M51" s="13" t="n">
        <v>292.6641</v>
      </c>
      <c r="N51" s="13" t="n">
        <v>293.5409</v>
      </c>
      <c r="O51" s="13" t="n">
        <v>24</v>
      </c>
      <c r="P51" s="13" t="n">
        <v>106.41</v>
      </c>
      <c r="Q51" s="12" t="n">
        <v>44651</v>
      </c>
      <c r="R51" s="12" t="n">
        <v>44680</v>
      </c>
      <c r="S51" s="8">
        <f>YEAR($Q51)*100+MONTH($Q51)</f>
        <v/>
      </c>
      <c r="T51" s="8">
        <f>YEAR($R51)*100+MONTH($R51)</f>
        <v/>
      </c>
      <c r="U51" s="15">
        <f>IF($A51&lt;=INDEX(pdates_wc_rate_inr_pa,1),INDEX(pvals_wc_rate_inr_pa,1),INDEX(pvals_wc_rate_inr_pa,MATCH($A51,pdates_wc_rate_inr_pa,1)))</f>
        <v/>
      </c>
      <c r="V51" s="8">
        <f>IF(AND($A51&gt;=customs_fx_first,$A51&lt;=customs_fx_last+customs_fx_notification_validity_days),IF($A51&lt;=INDEX(pdates_customs_usdinr_import,1),INDEX(pvals_customs_usdinr_import,1),INDEX(pvals_customs_usdinr_import,MATCH($A51,pdates_customs_usdinr_import,1))),$F51*(1+customs_fx_markup_frac))</f>
        <v/>
      </c>
      <c r="W51" s="8">
        <f>IF(AND($A51&gt;=customs_fx_first,$A51&lt;=customs_fx_last+customs_fx_notification_validity_days),"CBIC_NOTIFIED","MARKUP_FALLBACK")</f>
        <v/>
      </c>
      <c r="X51" s="8">
        <f>IF($A51&lt;=INDEX(pdates_grade_factor_zorba,1),INDEX(pvals_grade_factor_zorba,1),IF($A51&gt;=INDEX(pdates_grade_factor_zorba,10),INDEX(pvals_grade_factor_zorba,10),INDEX(pvals_grade_factor_zorba,MATCH($A51,pdates_grade_factor_zorba,1))+($A51-INDEX(pdates_grade_factor_zorba,MATCH($A51,pdates_grade_factor_zorba,1)))/(INDEX(pdates_grade_factor_zorba,MATCH($A51,pdates_grade_factor_zorba,1)+1)-INDEX(pdates_grade_factor_zorba,MATCH($A51,pdates_grade_factor_zorba,1)))*(INDEX(pvals_grade_factor_zorba,MATCH($A51,pdates_grade_factor_zorba,1)+1)-INDEX(pvals_grade_factor_zorba,MATCH($A51,pdates_grade_factor_zorba,1)))))</f>
        <v/>
      </c>
      <c r="Y51" s="8">
        <f>IF($A51&lt;=INDEX(pdates_grade_factor_taint_tabor,1),INDEX(pvals_grade_factor_taint_tabor,1),IF($A51&gt;=INDEX(pdates_grade_factor_taint_tabor,10),INDEX(pvals_grade_factor_taint_tabor,10),INDEX(pvals_grade_factor_taint_tabor,MATCH($A51,pdates_grade_factor_taint_tabor,1))+($A51-INDEX(pdates_grade_factor_taint_tabor,MATCH($A51,pdates_grade_factor_taint_tabor,1)))/(INDEX(pdates_grade_factor_taint_tabor,MATCH($A51,pdates_grade_factor_taint_tabor,1)+1)-INDEX(pdates_grade_factor_taint_tabor,MATCH($A51,pdates_grade_factor_taint_tabor,1)))*(INDEX(pvals_grade_factor_taint_tabor,MATCH($A51,pdates_grade_factor_taint_tabor,1)+1)-INDEX(pvals_grade_factor_taint_tabor,MATCH($A51,pdates_grade_factor_taint_tabor,1)))))</f>
        <v/>
      </c>
      <c r="Z51" s="8">
        <f>IF($A51&lt;=INDEX(pdates_grade_factor_tense,1),INDEX(pvals_grade_factor_tense,1),IF($A51&gt;=INDEX(pdates_grade_factor_tense,10),INDEX(pvals_grade_factor_tense,10),INDEX(pvals_grade_factor_tense,MATCH($A51,pdates_grade_factor_tense,1))+($A51-INDEX(pdates_grade_factor_tense,MATCH($A51,pdates_grade_factor_tense,1)))/(INDEX(pdates_grade_factor_tense,MATCH($A51,pdates_grade_factor_tense,1)+1)-INDEX(pdates_grade_factor_tense,MATCH($A51,pdates_grade_factor_tense,1)))*(INDEX(pvals_grade_factor_tense,MATCH($A51,pdates_grade_factor_tense,1)+1)-INDEX(pvals_grade_factor_tense,MATCH($A51,pdates_grade_factor_tense,1)))))</f>
        <v/>
      </c>
      <c r="AA51" s="8">
        <f>IF($A51&lt;=INDEX(pdates_grade_factor_mix_pit,1),INDEX(pvals_grade_factor_mix_pit,1),IF($A51&gt;=INDEX(pdates_grade_factor_mix_pit,10),INDEX(pvals_grade_factor_mix_pit,10),INDEX(pvals_grade_factor_mix_pit,MATCH($A51,pdates_grade_factor_mix_pit,1))+($A51-INDEX(pdates_grade_factor_mix_pit,MATCH($A51,pdates_grade_factor_mix_pit,1)))/(INDEX(pdates_grade_factor_mix_pit,MATCH($A51,pdates_grade_factor_mix_pit,1)+1)-INDEX(pdates_grade_factor_mix_pit,MATCH($A51,pdates_grade_factor_mix_pit,1)))*(INDEX(pvals_grade_factor_mix_pit,MATCH($A51,pdates_grade_factor_mix_pit,1)+1)-INDEX(pvals_grade_factor_mix_pit,MATCH($A51,pdates_grade_factor_mix_pit,1)))))</f>
        <v/>
      </c>
      <c r="AB51" s="16">
        <f>($B51*$F51/kg_per_mt*(1+bcd_primary_al_hs7601*(1+sws_rate_on_bcd))+mcx_domestic_premium_inr_kg)*(1+$I51*MAX(0,$Q51-$A51)/day_count_inr)</f>
        <v/>
      </c>
      <c r="AC51" s="16">
        <f>$M51-$AB51</f>
        <v/>
      </c>
      <c r="AD51" s="7" t="inlineStr">
        <is>
          <t>PROXY_IMPORT_PARITY</t>
        </is>
      </c>
      <c r="AE51" s="7" t="inlineStr">
        <is>
          <t>ECB_CROSS</t>
        </is>
      </c>
      <c r="AF51" s="7" t="inlineStr">
        <is>
          <t>WCI_REPORTED|USEC:EXTRAP_PRE|JEA:ASSUMPTION</t>
        </is>
      </c>
      <c r="AG51" s="17" t="b">
        <v>0</v>
      </c>
      <c r="AH51" s="17" t="b">
        <v>1</v>
      </c>
    </row>
    <row r="52">
      <c r="A52" s="11" t="n">
        <v>44629</v>
      </c>
      <c r="B52" s="13" t="n">
        <v>3532</v>
      </c>
      <c r="C52" s="13" t="n">
        <v>3535</v>
      </c>
      <c r="D52" s="13" t="n">
        <v>-3</v>
      </c>
      <c r="E52" s="13" t="n">
        <v>771175</v>
      </c>
      <c r="F52" s="13" t="n">
        <v>76.59650000000001</v>
      </c>
      <c r="G52" s="6" t="n">
        <v>76.8169</v>
      </c>
      <c r="H52" s="6" t="n">
        <v>77.2503</v>
      </c>
      <c r="I52" s="14" t="n">
        <v>0.037798</v>
      </c>
      <c r="J52" s="14" t="n">
        <v>0.003847</v>
      </c>
      <c r="K52" s="14" t="n">
        <v>0.04</v>
      </c>
      <c r="L52" s="13" t="n">
        <v>292.8583</v>
      </c>
      <c r="M52" s="13" t="n">
        <v>293.5255</v>
      </c>
      <c r="N52" s="13" t="n">
        <v>294.405</v>
      </c>
      <c r="O52" s="13" t="n">
        <v>24</v>
      </c>
      <c r="P52" s="13" t="n">
        <v>106.41</v>
      </c>
      <c r="Q52" s="12" t="n">
        <v>44651</v>
      </c>
      <c r="R52" s="12" t="n">
        <v>44680</v>
      </c>
      <c r="S52" s="8">
        <f>YEAR($Q52)*100+MONTH($Q52)</f>
        <v/>
      </c>
      <c r="T52" s="8">
        <f>YEAR($R52)*100+MONTH($R52)</f>
        <v/>
      </c>
      <c r="U52" s="15">
        <f>IF($A52&lt;=INDEX(pdates_wc_rate_inr_pa,1),INDEX(pvals_wc_rate_inr_pa,1),INDEX(pvals_wc_rate_inr_pa,MATCH($A52,pdates_wc_rate_inr_pa,1)))</f>
        <v/>
      </c>
      <c r="V52" s="8">
        <f>IF(AND($A52&gt;=customs_fx_first,$A52&lt;=customs_fx_last+customs_fx_notification_validity_days),IF($A52&lt;=INDEX(pdates_customs_usdinr_import,1),INDEX(pvals_customs_usdinr_import,1),INDEX(pvals_customs_usdinr_import,MATCH($A52,pdates_customs_usdinr_import,1))),$F52*(1+customs_fx_markup_frac))</f>
        <v/>
      </c>
      <c r="W52" s="8">
        <f>IF(AND($A52&gt;=customs_fx_first,$A52&lt;=customs_fx_last+customs_fx_notification_validity_days),"CBIC_NOTIFIED","MARKUP_FALLBACK")</f>
        <v/>
      </c>
      <c r="X52" s="8">
        <f>IF($A52&lt;=INDEX(pdates_grade_factor_zorba,1),INDEX(pvals_grade_factor_zorba,1),IF($A52&gt;=INDEX(pdates_grade_factor_zorba,10),INDEX(pvals_grade_factor_zorba,10),INDEX(pvals_grade_factor_zorba,MATCH($A52,pdates_grade_factor_zorba,1))+($A52-INDEX(pdates_grade_factor_zorba,MATCH($A52,pdates_grade_factor_zorba,1)))/(INDEX(pdates_grade_factor_zorba,MATCH($A52,pdates_grade_factor_zorba,1)+1)-INDEX(pdates_grade_factor_zorba,MATCH($A52,pdates_grade_factor_zorba,1)))*(INDEX(pvals_grade_factor_zorba,MATCH($A52,pdates_grade_factor_zorba,1)+1)-INDEX(pvals_grade_factor_zorba,MATCH($A52,pdates_grade_factor_zorba,1)))))</f>
        <v/>
      </c>
      <c r="Y52" s="8">
        <f>IF($A52&lt;=INDEX(pdates_grade_factor_taint_tabor,1),INDEX(pvals_grade_factor_taint_tabor,1),IF($A52&gt;=INDEX(pdates_grade_factor_taint_tabor,10),INDEX(pvals_grade_factor_taint_tabor,10),INDEX(pvals_grade_factor_taint_tabor,MATCH($A52,pdates_grade_factor_taint_tabor,1))+($A52-INDEX(pdates_grade_factor_taint_tabor,MATCH($A52,pdates_grade_factor_taint_tabor,1)))/(INDEX(pdates_grade_factor_taint_tabor,MATCH($A52,pdates_grade_factor_taint_tabor,1)+1)-INDEX(pdates_grade_factor_taint_tabor,MATCH($A52,pdates_grade_factor_taint_tabor,1)))*(INDEX(pvals_grade_factor_taint_tabor,MATCH($A52,pdates_grade_factor_taint_tabor,1)+1)-INDEX(pvals_grade_factor_taint_tabor,MATCH($A52,pdates_grade_factor_taint_tabor,1)))))</f>
        <v/>
      </c>
      <c r="Z52" s="8">
        <f>IF($A52&lt;=INDEX(pdates_grade_factor_tense,1),INDEX(pvals_grade_factor_tense,1),IF($A52&gt;=INDEX(pdates_grade_factor_tense,10),INDEX(pvals_grade_factor_tense,10),INDEX(pvals_grade_factor_tense,MATCH($A52,pdates_grade_factor_tense,1))+($A52-INDEX(pdates_grade_factor_tense,MATCH($A52,pdates_grade_factor_tense,1)))/(INDEX(pdates_grade_factor_tense,MATCH($A52,pdates_grade_factor_tense,1)+1)-INDEX(pdates_grade_factor_tense,MATCH($A52,pdates_grade_factor_tense,1)))*(INDEX(pvals_grade_factor_tense,MATCH($A52,pdates_grade_factor_tense,1)+1)-INDEX(pvals_grade_factor_tense,MATCH($A52,pdates_grade_factor_tense,1)))))</f>
        <v/>
      </c>
      <c r="AA52" s="8">
        <f>IF($A52&lt;=INDEX(pdates_grade_factor_mix_pit,1),INDEX(pvals_grade_factor_mix_pit,1),IF($A52&gt;=INDEX(pdates_grade_factor_mix_pit,10),INDEX(pvals_grade_factor_mix_pit,10),INDEX(pvals_grade_factor_mix_pit,MATCH($A52,pdates_grade_factor_mix_pit,1))+($A52-INDEX(pdates_grade_factor_mix_pit,MATCH($A52,pdates_grade_factor_mix_pit,1)))/(INDEX(pdates_grade_factor_mix_pit,MATCH($A52,pdates_grade_factor_mix_pit,1)+1)-INDEX(pdates_grade_factor_mix_pit,MATCH($A52,pdates_grade_factor_mix_pit,1)))*(INDEX(pvals_grade_factor_mix_pit,MATCH($A52,pdates_grade_factor_mix_pit,1)+1)-INDEX(pvals_grade_factor_mix_pit,MATCH($A52,pdates_grade_factor_mix_pit,1)))))</f>
        <v/>
      </c>
      <c r="AB52" s="16">
        <f>($B52*$F52/kg_per_mt*(1+bcd_primary_al_hs7601*(1+sws_rate_on_bcd))+mcx_domestic_premium_inr_kg)*(1+$I52*MAX(0,$Q52-$A52)/day_count_inr)</f>
        <v/>
      </c>
      <c r="AC52" s="16">
        <f>$M52-$AB52</f>
        <v/>
      </c>
      <c r="AD52" s="7" t="inlineStr">
        <is>
          <t>PROXY_IMPORT_PARITY</t>
        </is>
      </c>
      <c r="AE52" s="7" t="inlineStr">
        <is>
          <t>ECB_CROSS</t>
        </is>
      </c>
      <c r="AF52" s="7" t="inlineStr">
        <is>
          <t>WCI_REPORTED|USEC:EXTRAP_PRE|JEA:ASSUMPTION</t>
        </is>
      </c>
      <c r="AG52" s="17" t="b">
        <v>0</v>
      </c>
      <c r="AH52" s="17" t="b">
        <v>1</v>
      </c>
    </row>
    <row r="53">
      <c r="A53" s="11" t="n">
        <v>44630</v>
      </c>
      <c r="B53" s="13" t="n">
        <v>3535</v>
      </c>
      <c r="C53" s="13" t="n">
        <v>3531</v>
      </c>
      <c r="D53" s="13" t="n">
        <v>4</v>
      </c>
      <c r="E53" s="13" t="n">
        <v>762775</v>
      </c>
      <c r="F53" s="13" t="n">
        <v>76.3326</v>
      </c>
      <c r="G53" s="6" t="n">
        <v>76.5522</v>
      </c>
      <c r="H53" s="6" t="n">
        <v>76.9841</v>
      </c>
      <c r="I53" s="14" t="n">
        <v>0.037798</v>
      </c>
      <c r="J53" s="14" t="n">
        <v>0.003847</v>
      </c>
      <c r="K53" s="14" t="n">
        <v>0.04</v>
      </c>
      <c r="L53" s="13" t="n">
        <v>292.0972</v>
      </c>
      <c r="M53" s="13" t="n">
        <v>292.7324</v>
      </c>
      <c r="N53" s="13" t="n">
        <v>293.6096</v>
      </c>
      <c r="O53" s="13" t="n">
        <v>23.74</v>
      </c>
      <c r="P53" s="13" t="n">
        <v>105.27</v>
      </c>
      <c r="Q53" s="12" t="n">
        <v>44651</v>
      </c>
      <c r="R53" s="12" t="n">
        <v>44680</v>
      </c>
      <c r="S53" s="8">
        <f>YEAR($Q53)*100+MONTH($Q53)</f>
        <v/>
      </c>
      <c r="T53" s="8">
        <f>YEAR($R53)*100+MONTH($R53)</f>
        <v/>
      </c>
      <c r="U53" s="15">
        <f>IF($A53&lt;=INDEX(pdates_wc_rate_inr_pa,1),INDEX(pvals_wc_rate_inr_pa,1),INDEX(pvals_wc_rate_inr_pa,MATCH($A53,pdates_wc_rate_inr_pa,1)))</f>
        <v/>
      </c>
      <c r="V53" s="8">
        <f>IF(AND($A53&gt;=customs_fx_first,$A53&lt;=customs_fx_last+customs_fx_notification_validity_days),IF($A53&lt;=INDEX(pdates_customs_usdinr_import,1),INDEX(pvals_customs_usdinr_import,1),INDEX(pvals_customs_usdinr_import,MATCH($A53,pdates_customs_usdinr_import,1))),$F53*(1+customs_fx_markup_frac))</f>
        <v/>
      </c>
      <c r="W53" s="8">
        <f>IF(AND($A53&gt;=customs_fx_first,$A53&lt;=customs_fx_last+customs_fx_notification_validity_days),"CBIC_NOTIFIED","MARKUP_FALLBACK")</f>
        <v/>
      </c>
      <c r="X53" s="8">
        <f>IF($A53&lt;=INDEX(pdates_grade_factor_zorba,1),INDEX(pvals_grade_factor_zorba,1),IF($A53&gt;=INDEX(pdates_grade_factor_zorba,10),INDEX(pvals_grade_factor_zorba,10),INDEX(pvals_grade_factor_zorba,MATCH($A53,pdates_grade_factor_zorba,1))+($A53-INDEX(pdates_grade_factor_zorba,MATCH($A53,pdates_grade_factor_zorba,1)))/(INDEX(pdates_grade_factor_zorba,MATCH($A53,pdates_grade_factor_zorba,1)+1)-INDEX(pdates_grade_factor_zorba,MATCH($A53,pdates_grade_factor_zorba,1)))*(INDEX(pvals_grade_factor_zorba,MATCH($A53,pdates_grade_factor_zorba,1)+1)-INDEX(pvals_grade_factor_zorba,MATCH($A53,pdates_grade_factor_zorba,1)))))</f>
        <v/>
      </c>
      <c r="Y53" s="8">
        <f>IF($A53&lt;=INDEX(pdates_grade_factor_taint_tabor,1),INDEX(pvals_grade_factor_taint_tabor,1),IF($A53&gt;=INDEX(pdates_grade_factor_taint_tabor,10),INDEX(pvals_grade_factor_taint_tabor,10),INDEX(pvals_grade_factor_taint_tabor,MATCH($A53,pdates_grade_factor_taint_tabor,1))+($A53-INDEX(pdates_grade_factor_taint_tabor,MATCH($A53,pdates_grade_factor_taint_tabor,1)))/(INDEX(pdates_grade_factor_taint_tabor,MATCH($A53,pdates_grade_factor_taint_tabor,1)+1)-INDEX(pdates_grade_factor_taint_tabor,MATCH($A53,pdates_grade_factor_taint_tabor,1)))*(INDEX(pvals_grade_factor_taint_tabor,MATCH($A53,pdates_grade_factor_taint_tabor,1)+1)-INDEX(pvals_grade_factor_taint_tabor,MATCH($A53,pdates_grade_factor_taint_tabor,1)))))</f>
        <v/>
      </c>
      <c r="Z53" s="8">
        <f>IF($A53&lt;=INDEX(pdates_grade_factor_tense,1),INDEX(pvals_grade_factor_tense,1),IF($A53&gt;=INDEX(pdates_grade_factor_tense,10),INDEX(pvals_grade_factor_tense,10),INDEX(pvals_grade_factor_tense,MATCH($A53,pdates_grade_factor_tense,1))+($A53-INDEX(pdates_grade_factor_tense,MATCH($A53,pdates_grade_factor_tense,1)))/(INDEX(pdates_grade_factor_tense,MATCH($A53,pdates_grade_factor_tense,1)+1)-INDEX(pdates_grade_factor_tense,MATCH($A53,pdates_grade_factor_tense,1)))*(INDEX(pvals_grade_factor_tense,MATCH($A53,pdates_grade_factor_tense,1)+1)-INDEX(pvals_grade_factor_tense,MATCH($A53,pdates_grade_factor_tense,1)))))</f>
        <v/>
      </c>
      <c r="AA53" s="8">
        <f>IF($A53&lt;=INDEX(pdates_grade_factor_mix_pit,1),INDEX(pvals_grade_factor_mix_pit,1),IF($A53&gt;=INDEX(pdates_grade_factor_mix_pit,10),INDEX(pvals_grade_factor_mix_pit,10),INDEX(pvals_grade_factor_mix_pit,MATCH($A53,pdates_grade_factor_mix_pit,1))+($A53-INDEX(pdates_grade_factor_mix_pit,MATCH($A53,pdates_grade_factor_mix_pit,1)))/(INDEX(pdates_grade_factor_mix_pit,MATCH($A53,pdates_grade_factor_mix_pit,1)+1)-INDEX(pdates_grade_factor_mix_pit,MATCH($A53,pdates_grade_factor_mix_pit,1)))*(INDEX(pvals_grade_factor_mix_pit,MATCH($A53,pdates_grade_factor_mix_pit,1)+1)-INDEX(pvals_grade_factor_mix_pit,MATCH($A53,pdates_grade_factor_mix_pit,1)))))</f>
        <v/>
      </c>
      <c r="AB53" s="16">
        <f>($B53*$F53/kg_per_mt*(1+bcd_primary_al_hs7601*(1+sws_rate_on_bcd))+mcx_domestic_premium_inr_kg)*(1+$I53*MAX(0,$Q53-$A53)/day_count_inr)</f>
        <v/>
      </c>
      <c r="AC53" s="16">
        <f>$M53-$AB53</f>
        <v/>
      </c>
      <c r="AD53" s="7" t="inlineStr">
        <is>
          <t>PROXY_IMPORT_PARITY</t>
        </is>
      </c>
      <c r="AE53" s="7" t="inlineStr">
        <is>
          <t>ECB_CROSS</t>
        </is>
      </c>
      <c r="AF53" s="7" t="inlineStr">
        <is>
          <t>WCI_REPORTED|USEC:EXTRAP_PRE|JEA:ASSUMPTION</t>
        </is>
      </c>
      <c r="AG53" s="17" t="b">
        <v>0</v>
      </c>
      <c r="AH53" s="17" t="b">
        <v>0</v>
      </c>
    </row>
    <row r="54">
      <c r="A54" s="11" t="n">
        <v>44631</v>
      </c>
      <c r="B54" s="13" t="n">
        <v>3472</v>
      </c>
      <c r="C54" s="13" t="n">
        <v>3500</v>
      </c>
      <c r="D54" s="13" t="n">
        <v>-28</v>
      </c>
      <c r="E54" s="13" t="n">
        <v>755950</v>
      </c>
      <c r="F54" s="13" t="n">
        <v>76.4217</v>
      </c>
      <c r="G54" s="6" t="n">
        <v>76.64100000000001</v>
      </c>
      <c r="H54" s="6" t="n">
        <v>77.07210000000001</v>
      </c>
      <c r="I54" s="14" t="n">
        <v>0.037798</v>
      </c>
      <c r="J54" s="14" t="n">
        <v>0.003945</v>
      </c>
      <c r="K54" s="14" t="n">
        <v>0.04</v>
      </c>
      <c r="L54" s="13" t="n">
        <v>287.2264</v>
      </c>
      <c r="M54" s="13" t="n">
        <v>287.8213</v>
      </c>
      <c r="N54" s="13" t="n">
        <v>288.6838</v>
      </c>
      <c r="O54" s="13" t="n">
        <v>23.74</v>
      </c>
      <c r="P54" s="13" t="n">
        <v>105.27</v>
      </c>
      <c r="Q54" s="12" t="n">
        <v>44651</v>
      </c>
      <c r="R54" s="12" t="n">
        <v>44680</v>
      </c>
      <c r="S54" s="8">
        <f>YEAR($Q54)*100+MONTH($Q54)</f>
        <v/>
      </c>
      <c r="T54" s="8">
        <f>YEAR($R54)*100+MONTH($R54)</f>
        <v/>
      </c>
      <c r="U54" s="15">
        <f>IF($A54&lt;=INDEX(pdates_wc_rate_inr_pa,1),INDEX(pvals_wc_rate_inr_pa,1),INDEX(pvals_wc_rate_inr_pa,MATCH($A54,pdates_wc_rate_inr_pa,1)))</f>
        <v/>
      </c>
      <c r="V54" s="8">
        <f>IF(AND($A54&gt;=customs_fx_first,$A54&lt;=customs_fx_last+customs_fx_notification_validity_days),IF($A54&lt;=INDEX(pdates_customs_usdinr_import,1),INDEX(pvals_customs_usdinr_import,1),INDEX(pvals_customs_usdinr_import,MATCH($A54,pdates_customs_usdinr_import,1))),$F54*(1+customs_fx_markup_frac))</f>
        <v/>
      </c>
      <c r="W54" s="8">
        <f>IF(AND($A54&gt;=customs_fx_first,$A54&lt;=customs_fx_last+customs_fx_notification_validity_days),"CBIC_NOTIFIED","MARKUP_FALLBACK")</f>
        <v/>
      </c>
      <c r="X54" s="8">
        <f>IF($A54&lt;=INDEX(pdates_grade_factor_zorba,1),INDEX(pvals_grade_factor_zorba,1),IF($A54&gt;=INDEX(pdates_grade_factor_zorba,10),INDEX(pvals_grade_factor_zorba,10),INDEX(pvals_grade_factor_zorba,MATCH($A54,pdates_grade_factor_zorba,1))+($A54-INDEX(pdates_grade_factor_zorba,MATCH($A54,pdates_grade_factor_zorba,1)))/(INDEX(pdates_grade_factor_zorba,MATCH($A54,pdates_grade_factor_zorba,1)+1)-INDEX(pdates_grade_factor_zorba,MATCH($A54,pdates_grade_factor_zorba,1)))*(INDEX(pvals_grade_factor_zorba,MATCH($A54,pdates_grade_factor_zorba,1)+1)-INDEX(pvals_grade_factor_zorba,MATCH($A54,pdates_grade_factor_zorba,1)))))</f>
        <v/>
      </c>
      <c r="Y54" s="8">
        <f>IF($A54&lt;=INDEX(pdates_grade_factor_taint_tabor,1),INDEX(pvals_grade_factor_taint_tabor,1),IF($A54&gt;=INDEX(pdates_grade_factor_taint_tabor,10),INDEX(pvals_grade_factor_taint_tabor,10),INDEX(pvals_grade_factor_taint_tabor,MATCH($A54,pdates_grade_factor_taint_tabor,1))+($A54-INDEX(pdates_grade_factor_taint_tabor,MATCH($A54,pdates_grade_factor_taint_tabor,1)))/(INDEX(pdates_grade_factor_taint_tabor,MATCH($A54,pdates_grade_factor_taint_tabor,1)+1)-INDEX(pdates_grade_factor_taint_tabor,MATCH($A54,pdates_grade_factor_taint_tabor,1)))*(INDEX(pvals_grade_factor_taint_tabor,MATCH($A54,pdates_grade_factor_taint_tabor,1)+1)-INDEX(pvals_grade_factor_taint_tabor,MATCH($A54,pdates_grade_factor_taint_tabor,1)))))</f>
        <v/>
      </c>
      <c r="Z54" s="8">
        <f>IF($A54&lt;=INDEX(pdates_grade_factor_tense,1),INDEX(pvals_grade_factor_tense,1),IF($A54&gt;=INDEX(pdates_grade_factor_tense,10),INDEX(pvals_grade_factor_tense,10),INDEX(pvals_grade_factor_tense,MATCH($A54,pdates_grade_factor_tense,1))+($A54-INDEX(pdates_grade_factor_tense,MATCH($A54,pdates_grade_factor_tense,1)))/(INDEX(pdates_grade_factor_tense,MATCH($A54,pdates_grade_factor_tense,1)+1)-INDEX(pdates_grade_factor_tense,MATCH($A54,pdates_grade_factor_tense,1)))*(INDEX(pvals_grade_factor_tense,MATCH($A54,pdates_grade_factor_tense,1)+1)-INDEX(pvals_grade_factor_tense,MATCH($A54,pdates_grade_factor_tense,1)))))</f>
        <v/>
      </c>
      <c r="AA54" s="8">
        <f>IF($A54&lt;=INDEX(pdates_grade_factor_mix_pit,1),INDEX(pvals_grade_factor_mix_pit,1),IF($A54&gt;=INDEX(pdates_grade_factor_mix_pit,10),INDEX(pvals_grade_factor_mix_pit,10),INDEX(pvals_grade_factor_mix_pit,MATCH($A54,pdates_grade_factor_mix_pit,1))+($A54-INDEX(pdates_grade_factor_mix_pit,MATCH($A54,pdates_grade_factor_mix_pit,1)))/(INDEX(pdates_grade_factor_mix_pit,MATCH($A54,pdates_grade_factor_mix_pit,1)+1)-INDEX(pdates_grade_factor_mix_pit,MATCH($A54,pdates_grade_factor_mix_pit,1)))*(INDEX(pvals_grade_factor_mix_pit,MATCH($A54,pdates_grade_factor_mix_pit,1)+1)-INDEX(pvals_grade_factor_mix_pit,MATCH($A54,pdates_grade_factor_mix_pit,1)))))</f>
        <v/>
      </c>
      <c r="AB54" s="16">
        <f>($B54*$F54/kg_per_mt*(1+bcd_primary_al_hs7601*(1+sws_rate_on_bcd))+mcx_domestic_premium_inr_kg)*(1+$I54*MAX(0,$Q54-$A54)/day_count_inr)</f>
        <v/>
      </c>
      <c r="AC54" s="16">
        <f>$M54-$AB54</f>
        <v/>
      </c>
      <c r="AD54" s="7" t="inlineStr">
        <is>
          <t>PROXY_IMPORT_PARITY</t>
        </is>
      </c>
      <c r="AE54" s="7" t="inlineStr">
        <is>
          <t>ECB_CROSS</t>
        </is>
      </c>
      <c r="AF54" s="7" t="inlineStr">
        <is>
          <t>WCI_REPORTED|USEC:EXTRAP_PRE|JEA:ASSUMPTION</t>
        </is>
      </c>
      <c r="AG54" s="17" t="b">
        <v>0</v>
      </c>
      <c r="AH54" s="17" t="b">
        <v>1</v>
      </c>
    </row>
    <row r="55">
      <c r="A55" s="11" t="n">
        <v>44634</v>
      </c>
      <c r="B55" s="13" t="n">
        <v>3399</v>
      </c>
      <c r="C55" s="13" t="n">
        <v>3411</v>
      </c>
      <c r="D55" s="13" t="n">
        <v>-12</v>
      </c>
      <c r="E55" s="13" t="n">
        <v>752850</v>
      </c>
      <c r="F55" s="13" t="n">
        <v>76.57940000000001</v>
      </c>
      <c r="G55" s="6" t="n">
        <v>76.79519999999999</v>
      </c>
      <c r="H55" s="6" t="n">
        <v>77.21939999999999</v>
      </c>
      <c r="I55" s="14" t="n">
        <v>0.037798</v>
      </c>
      <c r="J55" s="14" t="n">
        <v>0.004537</v>
      </c>
      <c r="K55" s="14" t="n">
        <v>0.04</v>
      </c>
      <c r="L55" s="13" t="n">
        <v>281.7676</v>
      </c>
      <c r="M55" s="13" t="n">
        <v>282.2636</v>
      </c>
      <c r="N55" s="13" t="n">
        <v>283.1098</v>
      </c>
      <c r="O55" s="13" t="n">
        <v>23.74</v>
      </c>
      <c r="P55" s="13" t="n">
        <v>105.27</v>
      </c>
      <c r="Q55" s="12" t="n">
        <v>44651</v>
      </c>
      <c r="R55" s="12" t="n">
        <v>44680</v>
      </c>
      <c r="S55" s="8">
        <f>YEAR($Q55)*100+MONTH($Q55)</f>
        <v/>
      </c>
      <c r="T55" s="8">
        <f>YEAR($R55)*100+MONTH($R55)</f>
        <v/>
      </c>
      <c r="U55" s="15">
        <f>IF($A55&lt;=INDEX(pdates_wc_rate_inr_pa,1),INDEX(pvals_wc_rate_inr_pa,1),INDEX(pvals_wc_rate_inr_pa,MATCH($A55,pdates_wc_rate_inr_pa,1)))</f>
        <v/>
      </c>
      <c r="V55" s="8">
        <f>IF(AND($A55&gt;=customs_fx_first,$A55&lt;=customs_fx_last+customs_fx_notification_validity_days),IF($A55&lt;=INDEX(pdates_customs_usdinr_import,1),INDEX(pvals_customs_usdinr_import,1),INDEX(pvals_customs_usdinr_import,MATCH($A55,pdates_customs_usdinr_import,1))),$F55*(1+customs_fx_markup_frac))</f>
        <v/>
      </c>
      <c r="W55" s="8">
        <f>IF(AND($A55&gt;=customs_fx_first,$A55&lt;=customs_fx_last+customs_fx_notification_validity_days),"CBIC_NOTIFIED","MARKUP_FALLBACK")</f>
        <v/>
      </c>
      <c r="X55" s="8">
        <f>IF($A55&lt;=INDEX(pdates_grade_factor_zorba,1),INDEX(pvals_grade_factor_zorba,1),IF($A55&gt;=INDEX(pdates_grade_factor_zorba,10),INDEX(pvals_grade_factor_zorba,10),INDEX(pvals_grade_factor_zorba,MATCH($A55,pdates_grade_factor_zorba,1))+($A55-INDEX(pdates_grade_factor_zorba,MATCH($A55,pdates_grade_factor_zorba,1)))/(INDEX(pdates_grade_factor_zorba,MATCH($A55,pdates_grade_factor_zorba,1)+1)-INDEX(pdates_grade_factor_zorba,MATCH($A55,pdates_grade_factor_zorba,1)))*(INDEX(pvals_grade_factor_zorba,MATCH($A55,pdates_grade_factor_zorba,1)+1)-INDEX(pvals_grade_factor_zorba,MATCH($A55,pdates_grade_factor_zorba,1)))))</f>
        <v/>
      </c>
      <c r="Y55" s="8">
        <f>IF($A55&lt;=INDEX(pdates_grade_factor_taint_tabor,1),INDEX(pvals_grade_factor_taint_tabor,1),IF($A55&gt;=INDEX(pdates_grade_factor_taint_tabor,10),INDEX(pvals_grade_factor_taint_tabor,10),INDEX(pvals_grade_factor_taint_tabor,MATCH($A55,pdates_grade_factor_taint_tabor,1))+($A55-INDEX(pdates_grade_factor_taint_tabor,MATCH($A55,pdates_grade_factor_taint_tabor,1)))/(INDEX(pdates_grade_factor_taint_tabor,MATCH($A55,pdates_grade_factor_taint_tabor,1)+1)-INDEX(pdates_grade_factor_taint_tabor,MATCH($A55,pdates_grade_factor_taint_tabor,1)))*(INDEX(pvals_grade_factor_taint_tabor,MATCH($A55,pdates_grade_factor_taint_tabor,1)+1)-INDEX(pvals_grade_factor_taint_tabor,MATCH($A55,pdates_grade_factor_taint_tabor,1)))))</f>
        <v/>
      </c>
      <c r="Z55" s="8">
        <f>IF($A55&lt;=INDEX(pdates_grade_factor_tense,1),INDEX(pvals_grade_factor_tense,1),IF($A55&gt;=INDEX(pdates_grade_factor_tense,10),INDEX(pvals_grade_factor_tense,10),INDEX(pvals_grade_factor_tense,MATCH($A55,pdates_grade_factor_tense,1))+($A55-INDEX(pdates_grade_factor_tense,MATCH($A55,pdates_grade_factor_tense,1)))/(INDEX(pdates_grade_factor_tense,MATCH($A55,pdates_grade_factor_tense,1)+1)-INDEX(pdates_grade_factor_tense,MATCH($A55,pdates_grade_factor_tense,1)))*(INDEX(pvals_grade_factor_tense,MATCH($A55,pdates_grade_factor_tense,1)+1)-INDEX(pvals_grade_factor_tense,MATCH($A55,pdates_grade_factor_tense,1)))))</f>
        <v/>
      </c>
      <c r="AA55" s="8">
        <f>IF($A55&lt;=INDEX(pdates_grade_factor_mix_pit,1),INDEX(pvals_grade_factor_mix_pit,1),IF($A55&gt;=INDEX(pdates_grade_factor_mix_pit,10),INDEX(pvals_grade_factor_mix_pit,10),INDEX(pvals_grade_factor_mix_pit,MATCH($A55,pdates_grade_factor_mix_pit,1))+($A55-INDEX(pdates_grade_factor_mix_pit,MATCH($A55,pdates_grade_factor_mix_pit,1)))/(INDEX(pdates_grade_factor_mix_pit,MATCH($A55,pdates_grade_factor_mix_pit,1)+1)-INDEX(pdates_grade_factor_mix_pit,MATCH($A55,pdates_grade_factor_mix_pit,1)))*(INDEX(pvals_grade_factor_mix_pit,MATCH($A55,pdates_grade_factor_mix_pit,1)+1)-INDEX(pvals_grade_factor_mix_pit,MATCH($A55,pdates_grade_factor_mix_pit,1)))))</f>
        <v/>
      </c>
      <c r="AB55" s="16">
        <f>($B55*$F55/kg_per_mt*(1+bcd_primary_al_hs7601*(1+sws_rate_on_bcd))+mcx_domestic_premium_inr_kg)*(1+$I55*MAX(0,$Q55-$A55)/day_count_inr)</f>
        <v/>
      </c>
      <c r="AC55" s="16">
        <f>$M55-$AB55</f>
        <v/>
      </c>
      <c r="AD55" s="7" t="inlineStr">
        <is>
          <t>PROXY_IMPORT_PARITY</t>
        </is>
      </c>
      <c r="AE55" s="7" t="inlineStr">
        <is>
          <t>ECB_CROSS</t>
        </is>
      </c>
      <c r="AF55" s="7" t="inlineStr">
        <is>
          <t>WCI_REPORTED|USEC:EXTRAP_PRE|JEA:ASSUMPTION</t>
        </is>
      </c>
      <c r="AG55" s="17" t="b">
        <v>0</v>
      </c>
      <c r="AH55" s="17" t="b">
        <v>1</v>
      </c>
    </row>
    <row r="56">
      <c r="A56" s="11" t="n">
        <v>44635</v>
      </c>
      <c r="B56" s="13" t="n">
        <v>3217.5</v>
      </c>
      <c r="C56" s="13" t="n">
        <v>3254</v>
      </c>
      <c r="D56" s="13" t="n">
        <v>-36.5</v>
      </c>
      <c r="E56" s="13" t="n">
        <v>742200</v>
      </c>
      <c r="F56" s="13" t="n">
        <v>76.3857</v>
      </c>
      <c r="G56" s="6" t="n">
        <v>76.6003</v>
      </c>
      <c r="H56" s="6" t="n">
        <v>77.0222</v>
      </c>
      <c r="I56" s="14" t="n">
        <v>0.037798</v>
      </c>
      <c r="J56" s="14" t="n">
        <v>0.004636</v>
      </c>
      <c r="K56" s="14" t="n">
        <v>0.04</v>
      </c>
      <c r="L56" s="13" t="n">
        <v>266.0471</v>
      </c>
      <c r="M56" s="13" t="n">
        <v>266.4879</v>
      </c>
      <c r="N56" s="13" t="n">
        <v>267.2869</v>
      </c>
      <c r="O56" s="13" t="n">
        <v>23.74</v>
      </c>
      <c r="P56" s="13" t="n">
        <v>105.27</v>
      </c>
      <c r="Q56" s="12" t="n">
        <v>44651</v>
      </c>
      <c r="R56" s="12" t="n">
        <v>44680</v>
      </c>
      <c r="S56" s="8">
        <f>YEAR($Q56)*100+MONTH($Q56)</f>
        <v/>
      </c>
      <c r="T56" s="8">
        <f>YEAR($R56)*100+MONTH($R56)</f>
        <v/>
      </c>
      <c r="U56" s="15">
        <f>IF($A56&lt;=INDEX(pdates_wc_rate_inr_pa,1),INDEX(pvals_wc_rate_inr_pa,1),INDEX(pvals_wc_rate_inr_pa,MATCH($A56,pdates_wc_rate_inr_pa,1)))</f>
        <v/>
      </c>
      <c r="V56" s="8">
        <f>IF(AND($A56&gt;=customs_fx_first,$A56&lt;=customs_fx_last+customs_fx_notification_validity_days),IF($A56&lt;=INDEX(pdates_customs_usdinr_import,1),INDEX(pvals_customs_usdinr_import,1),INDEX(pvals_customs_usdinr_import,MATCH($A56,pdates_customs_usdinr_import,1))),$F56*(1+customs_fx_markup_frac))</f>
        <v/>
      </c>
      <c r="W56" s="8">
        <f>IF(AND($A56&gt;=customs_fx_first,$A56&lt;=customs_fx_last+customs_fx_notification_validity_days),"CBIC_NOTIFIED","MARKUP_FALLBACK")</f>
        <v/>
      </c>
      <c r="X56" s="8">
        <f>IF($A56&lt;=INDEX(pdates_grade_factor_zorba,1),INDEX(pvals_grade_factor_zorba,1),IF($A56&gt;=INDEX(pdates_grade_factor_zorba,10),INDEX(pvals_grade_factor_zorba,10),INDEX(pvals_grade_factor_zorba,MATCH($A56,pdates_grade_factor_zorba,1))+($A56-INDEX(pdates_grade_factor_zorba,MATCH($A56,pdates_grade_factor_zorba,1)))/(INDEX(pdates_grade_factor_zorba,MATCH($A56,pdates_grade_factor_zorba,1)+1)-INDEX(pdates_grade_factor_zorba,MATCH($A56,pdates_grade_factor_zorba,1)))*(INDEX(pvals_grade_factor_zorba,MATCH($A56,pdates_grade_factor_zorba,1)+1)-INDEX(pvals_grade_factor_zorba,MATCH($A56,pdates_grade_factor_zorba,1)))))</f>
        <v/>
      </c>
      <c r="Y56" s="8">
        <f>IF($A56&lt;=INDEX(pdates_grade_factor_taint_tabor,1),INDEX(pvals_grade_factor_taint_tabor,1),IF($A56&gt;=INDEX(pdates_grade_factor_taint_tabor,10),INDEX(pvals_grade_factor_taint_tabor,10),INDEX(pvals_grade_factor_taint_tabor,MATCH($A56,pdates_grade_factor_taint_tabor,1))+($A56-INDEX(pdates_grade_factor_taint_tabor,MATCH($A56,pdates_grade_factor_taint_tabor,1)))/(INDEX(pdates_grade_factor_taint_tabor,MATCH($A56,pdates_grade_factor_taint_tabor,1)+1)-INDEX(pdates_grade_factor_taint_tabor,MATCH($A56,pdates_grade_factor_taint_tabor,1)))*(INDEX(pvals_grade_factor_taint_tabor,MATCH($A56,pdates_grade_factor_taint_tabor,1)+1)-INDEX(pvals_grade_factor_taint_tabor,MATCH($A56,pdates_grade_factor_taint_tabor,1)))))</f>
        <v/>
      </c>
      <c r="Z56" s="8">
        <f>IF($A56&lt;=INDEX(pdates_grade_factor_tense,1),INDEX(pvals_grade_factor_tense,1),IF($A56&gt;=INDEX(pdates_grade_factor_tense,10),INDEX(pvals_grade_factor_tense,10),INDEX(pvals_grade_factor_tense,MATCH($A56,pdates_grade_factor_tense,1))+($A56-INDEX(pdates_grade_factor_tense,MATCH($A56,pdates_grade_factor_tense,1)))/(INDEX(pdates_grade_factor_tense,MATCH($A56,pdates_grade_factor_tense,1)+1)-INDEX(pdates_grade_factor_tense,MATCH($A56,pdates_grade_factor_tense,1)))*(INDEX(pvals_grade_factor_tense,MATCH($A56,pdates_grade_factor_tense,1)+1)-INDEX(pvals_grade_factor_tense,MATCH($A56,pdates_grade_factor_tense,1)))))</f>
        <v/>
      </c>
      <c r="AA56" s="8">
        <f>IF($A56&lt;=INDEX(pdates_grade_factor_mix_pit,1),INDEX(pvals_grade_factor_mix_pit,1),IF($A56&gt;=INDEX(pdates_grade_factor_mix_pit,10),INDEX(pvals_grade_factor_mix_pit,10),INDEX(pvals_grade_factor_mix_pit,MATCH($A56,pdates_grade_factor_mix_pit,1))+($A56-INDEX(pdates_grade_factor_mix_pit,MATCH($A56,pdates_grade_factor_mix_pit,1)))/(INDEX(pdates_grade_factor_mix_pit,MATCH($A56,pdates_grade_factor_mix_pit,1)+1)-INDEX(pdates_grade_factor_mix_pit,MATCH($A56,pdates_grade_factor_mix_pit,1)))*(INDEX(pvals_grade_factor_mix_pit,MATCH($A56,pdates_grade_factor_mix_pit,1)+1)-INDEX(pvals_grade_factor_mix_pit,MATCH($A56,pdates_grade_factor_mix_pit,1)))))</f>
        <v/>
      </c>
      <c r="AB56" s="16">
        <f>($B56*$F56/kg_per_mt*(1+bcd_primary_al_hs7601*(1+sws_rate_on_bcd))+mcx_domestic_premium_inr_kg)*(1+$I56*MAX(0,$Q56-$A56)/day_count_inr)</f>
        <v/>
      </c>
      <c r="AC56" s="16">
        <f>$M56-$AB56</f>
        <v/>
      </c>
      <c r="AD56" s="7" t="inlineStr">
        <is>
          <t>PROXY_IMPORT_PARITY</t>
        </is>
      </c>
      <c r="AE56" s="7" t="inlineStr">
        <is>
          <t>ECB_CROSS</t>
        </is>
      </c>
      <c r="AF56" s="7" t="inlineStr">
        <is>
          <t>WCI_REPORTED|USEC:EXTRAP_PRE|JEA:ASSUMPTION</t>
        </is>
      </c>
      <c r="AG56" s="17" t="b">
        <v>0</v>
      </c>
      <c r="AH56" s="17" t="b">
        <v>1</v>
      </c>
    </row>
    <row r="57">
      <c r="A57" s="11" t="n">
        <v>44636</v>
      </c>
      <c r="B57" s="13" t="n">
        <v>3306</v>
      </c>
      <c r="C57" s="13" t="n">
        <v>3327</v>
      </c>
      <c r="D57" s="13" t="n">
        <v>-21</v>
      </c>
      <c r="E57" s="13" t="n">
        <v>733900</v>
      </c>
      <c r="F57" s="13" t="n">
        <v>76.20569999999999</v>
      </c>
      <c r="G57" s="6" t="n">
        <v>76.4217</v>
      </c>
      <c r="H57" s="6" t="n">
        <v>76.8464</v>
      </c>
      <c r="I57" s="14" t="n">
        <v>0.037798</v>
      </c>
      <c r="J57" s="14" t="n">
        <v>0.00434</v>
      </c>
      <c r="K57" s="14" t="n">
        <v>0.04</v>
      </c>
      <c r="L57" s="13" t="n">
        <v>272.7208</v>
      </c>
      <c r="M57" s="13" t="n">
        <v>273.1444</v>
      </c>
      <c r="N57" s="13" t="n">
        <v>273.9634</v>
      </c>
      <c r="O57" s="13" t="n">
        <v>23.74</v>
      </c>
      <c r="P57" s="13" t="n">
        <v>105.27</v>
      </c>
      <c r="Q57" s="12" t="n">
        <v>44651</v>
      </c>
      <c r="R57" s="12" t="n">
        <v>44680</v>
      </c>
      <c r="S57" s="8">
        <f>YEAR($Q57)*100+MONTH($Q57)</f>
        <v/>
      </c>
      <c r="T57" s="8">
        <f>YEAR($R57)*100+MONTH($R57)</f>
        <v/>
      </c>
      <c r="U57" s="15">
        <f>IF($A57&lt;=INDEX(pdates_wc_rate_inr_pa,1),INDEX(pvals_wc_rate_inr_pa,1),INDEX(pvals_wc_rate_inr_pa,MATCH($A57,pdates_wc_rate_inr_pa,1)))</f>
        <v/>
      </c>
      <c r="V57" s="8">
        <f>IF(AND($A57&gt;=customs_fx_first,$A57&lt;=customs_fx_last+customs_fx_notification_validity_days),IF($A57&lt;=INDEX(pdates_customs_usdinr_import,1),INDEX(pvals_customs_usdinr_import,1),INDEX(pvals_customs_usdinr_import,MATCH($A57,pdates_customs_usdinr_import,1))),$F57*(1+customs_fx_markup_frac))</f>
        <v/>
      </c>
      <c r="W57" s="8">
        <f>IF(AND($A57&gt;=customs_fx_first,$A57&lt;=customs_fx_last+customs_fx_notification_validity_days),"CBIC_NOTIFIED","MARKUP_FALLBACK")</f>
        <v/>
      </c>
      <c r="X57" s="8">
        <f>IF($A57&lt;=INDEX(pdates_grade_factor_zorba,1),INDEX(pvals_grade_factor_zorba,1),IF($A57&gt;=INDEX(pdates_grade_factor_zorba,10),INDEX(pvals_grade_factor_zorba,10),INDEX(pvals_grade_factor_zorba,MATCH($A57,pdates_grade_factor_zorba,1))+($A57-INDEX(pdates_grade_factor_zorba,MATCH($A57,pdates_grade_factor_zorba,1)))/(INDEX(pdates_grade_factor_zorba,MATCH($A57,pdates_grade_factor_zorba,1)+1)-INDEX(pdates_grade_factor_zorba,MATCH($A57,pdates_grade_factor_zorba,1)))*(INDEX(pvals_grade_factor_zorba,MATCH($A57,pdates_grade_factor_zorba,1)+1)-INDEX(pvals_grade_factor_zorba,MATCH($A57,pdates_grade_factor_zorba,1)))))</f>
        <v/>
      </c>
      <c r="Y57" s="8">
        <f>IF($A57&lt;=INDEX(pdates_grade_factor_taint_tabor,1),INDEX(pvals_grade_factor_taint_tabor,1),IF($A57&gt;=INDEX(pdates_grade_factor_taint_tabor,10),INDEX(pvals_grade_factor_taint_tabor,10),INDEX(pvals_grade_factor_taint_tabor,MATCH($A57,pdates_grade_factor_taint_tabor,1))+($A57-INDEX(pdates_grade_factor_taint_tabor,MATCH($A57,pdates_grade_factor_taint_tabor,1)))/(INDEX(pdates_grade_factor_taint_tabor,MATCH($A57,pdates_grade_factor_taint_tabor,1)+1)-INDEX(pdates_grade_factor_taint_tabor,MATCH($A57,pdates_grade_factor_taint_tabor,1)))*(INDEX(pvals_grade_factor_taint_tabor,MATCH($A57,pdates_grade_factor_taint_tabor,1)+1)-INDEX(pvals_grade_factor_taint_tabor,MATCH($A57,pdates_grade_factor_taint_tabor,1)))))</f>
        <v/>
      </c>
      <c r="Z57" s="8">
        <f>IF($A57&lt;=INDEX(pdates_grade_factor_tense,1),INDEX(pvals_grade_factor_tense,1),IF($A57&gt;=INDEX(pdates_grade_factor_tense,10),INDEX(pvals_grade_factor_tense,10),INDEX(pvals_grade_factor_tense,MATCH($A57,pdates_grade_factor_tense,1))+($A57-INDEX(pdates_grade_factor_tense,MATCH($A57,pdates_grade_factor_tense,1)))/(INDEX(pdates_grade_factor_tense,MATCH($A57,pdates_grade_factor_tense,1)+1)-INDEX(pdates_grade_factor_tense,MATCH($A57,pdates_grade_factor_tense,1)))*(INDEX(pvals_grade_factor_tense,MATCH($A57,pdates_grade_factor_tense,1)+1)-INDEX(pvals_grade_factor_tense,MATCH($A57,pdates_grade_factor_tense,1)))))</f>
        <v/>
      </c>
      <c r="AA57" s="8">
        <f>IF($A57&lt;=INDEX(pdates_grade_factor_mix_pit,1),INDEX(pvals_grade_factor_mix_pit,1),IF($A57&gt;=INDEX(pdates_grade_factor_mix_pit,10),INDEX(pvals_grade_factor_mix_pit,10),INDEX(pvals_grade_factor_mix_pit,MATCH($A57,pdates_grade_factor_mix_pit,1))+($A57-INDEX(pdates_grade_factor_mix_pit,MATCH($A57,pdates_grade_factor_mix_pit,1)))/(INDEX(pdates_grade_factor_mix_pit,MATCH($A57,pdates_grade_factor_mix_pit,1)+1)-INDEX(pdates_grade_factor_mix_pit,MATCH($A57,pdates_grade_factor_mix_pit,1)))*(INDEX(pvals_grade_factor_mix_pit,MATCH($A57,pdates_grade_factor_mix_pit,1)+1)-INDEX(pvals_grade_factor_mix_pit,MATCH($A57,pdates_grade_factor_mix_pit,1)))))</f>
        <v/>
      </c>
      <c r="AB57" s="16">
        <f>($B57*$F57/kg_per_mt*(1+bcd_primary_al_hs7601*(1+sws_rate_on_bcd))+mcx_domestic_premium_inr_kg)*(1+$I57*MAX(0,$Q57-$A57)/day_count_inr)</f>
        <v/>
      </c>
      <c r="AC57" s="16">
        <f>$M57-$AB57</f>
        <v/>
      </c>
      <c r="AD57" s="7" t="inlineStr">
        <is>
          <t>PROXY_IMPORT_PARITY</t>
        </is>
      </c>
      <c r="AE57" s="7" t="inlineStr">
        <is>
          <t>ECB_CROSS</t>
        </is>
      </c>
      <c r="AF57" s="7" t="inlineStr">
        <is>
          <t>WCI_REPORTED|USEC:EXTRAP_PRE|JEA:ASSUMPTION</t>
        </is>
      </c>
      <c r="AG57" s="17" t="b">
        <v>0</v>
      </c>
      <c r="AH57" s="17" t="b">
        <v>1</v>
      </c>
    </row>
    <row r="58">
      <c r="A58" s="11" t="n">
        <v>44637</v>
      </c>
      <c r="B58" s="13" t="n">
        <v>3288</v>
      </c>
      <c r="C58" s="13" t="n">
        <v>3317</v>
      </c>
      <c r="D58" s="13" t="n">
        <v>-29</v>
      </c>
      <c r="E58" s="13" t="n">
        <v>724700</v>
      </c>
      <c r="F58" s="13" t="n">
        <v>75.86960000000001</v>
      </c>
      <c r="G58" s="6" t="n">
        <v>76.08669999999999</v>
      </c>
      <c r="H58" s="6" t="n">
        <v>76.5133</v>
      </c>
      <c r="I58" s="14" t="n">
        <v>0.037798</v>
      </c>
      <c r="J58" s="14" t="n">
        <v>0.004044</v>
      </c>
      <c r="K58" s="14" t="n">
        <v>0.04</v>
      </c>
      <c r="L58" s="13" t="n">
        <v>270.0396</v>
      </c>
      <c r="M58" s="13" t="n">
        <v>270.4311</v>
      </c>
      <c r="N58" s="13" t="n">
        <v>271.2421</v>
      </c>
      <c r="O58" s="13" t="n">
        <v>22.84</v>
      </c>
      <c r="P58" s="13" t="n">
        <v>101.29</v>
      </c>
      <c r="Q58" s="12" t="n">
        <v>44651</v>
      </c>
      <c r="R58" s="12" t="n">
        <v>44680</v>
      </c>
      <c r="S58" s="8">
        <f>YEAR($Q58)*100+MONTH($Q58)</f>
        <v/>
      </c>
      <c r="T58" s="8">
        <f>YEAR($R58)*100+MONTH($R58)</f>
        <v/>
      </c>
      <c r="U58" s="15">
        <f>IF($A58&lt;=INDEX(pdates_wc_rate_inr_pa,1),INDEX(pvals_wc_rate_inr_pa,1),INDEX(pvals_wc_rate_inr_pa,MATCH($A58,pdates_wc_rate_inr_pa,1)))</f>
        <v/>
      </c>
      <c r="V58" s="8">
        <f>IF(AND($A58&gt;=customs_fx_first,$A58&lt;=customs_fx_last+customs_fx_notification_validity_days),IF($A58&lt;=INDEX(pdates_customs_usdinr_import,1),INDEX(pvals_customs_usdinr_import,1),INDEX(pvals_customs_usdinr_import,MATCH($A58,pdates_customs_usdinr_import,1))),$F58*(1+customs_fx_markup_frac))</f>
        <v/>
      </c>
      <c r="W58" s="8">
        <f>IF(AND($A58&gt;=customs_fx_first,$A58&lt;=customs_fx_last+customs_fx_notification_validity_days),"CBIC_NOTIFIED","MARKUP_FALLBACK")</f>
        <v/>
      </c>
      <c r="X58" s="8">
        <f>IF($A58&lt;=INDEX(pdates_grade_factor_zorba,1),INDEX(pvals_grade_factor_zorba,1),IF($A58&gt;=INDEX(pdates_grade_factor_zorba,10),INDEX(pvals_grade_factor_zorba,10),INDEX(pvals_grade_factor_zorba,MATCH($A58,pdates_grade_factor_zorba,1))+($A58-INDEX(pdates_grade_factor_zorba,MATCH($A58,pdates_grade_factor_zorba,1)))/(INDEX(pdates_grade_factor_zorba,MATCH($A58,pdates_grade_factor_zorba,1)+1)-INDEX(pdates_grade_factor_zorba,MATCH($A58,pdates_grade_factor_zorba,1)))*(INDEX(pvals_grade_factor_zorba,MATCH($A58,pdates_grade_factor_zorba,1)+1)-INDEX(pvals_grade_factor_zorba,MATCH($A58,pdates_grade_factor_zorba,1)))))</f>
        <v/>
      </c>
      <c r="Y58" s="8">
        <f>IF($A58&lt;=INDEX(pdates_grade_factor_taint_tabor,1),INDEX(pvals_grade_factor_taint_tabor,1),IF($A58&gt;=INDEX(pdates_grade_factor_taint_tabor,10),INDEX(pvals_grade_factor_taint_tabor,10),INDEX(pvals_grade_factor_taint_tabor,MATCH($A58,pdates_grade_factor_taint_tabor,1))+($A58-INDEX(pdates_grade_factor_taint_tabor,MATCH($A58,pdates_grade_factor_taint_tabor,1)))/(INDEX(pdates_grade_factor_taint_tabor,MATCH($A58,pdates_grade_factor_taint_tabor,1)+1)-INDEX(pdates_grade_factor_taint_tabor,MATCH($A58,pdates_grade_factor_taint_tabor,1)))*(INDEX(pvals_grade_factor_taint_tabor,MATCH($A58,pdates_grade_factor_taint_tabor,1)+1)-INDEX(pvals_grade_factor_taint_tabor,MATCH($A58,pdates_grade_factor_taint_tabor,1)))))</f>
        <v/>
      </c>
      <c r="Z58" s="8">
        <f>IF($A58&lt;=INDEX(pdates_grade_factor_tense,1),INDEX(pvals_grade_factor_tense,1),IF($A58&gt;=INDEX(pdates_grade_factor_tense,10),INDEX(pvals_grade_factor_tense,10),INDEX(pvals_grade_factor_tense,MATCH($A58,pdates_grade_factor_tense,1))+($A58-INDEX(pdates_grade_factor_tense,MATCH($A58,pdates_grade_factor_tense,1)))/(INDEX(pdates_grade_factor_tense,MATCH($A58,pdates_grade_factor_tense,1)+1)-INDEX(pdates_grade_factor_tense,MATCH($A58,pdates_grade_factor_tense,1)))*(INDEX(pvals_grade_factor_tense,MATCH($A58,pdates_grade_factor_tense,1)+1)-INDEX(pvals_grade_factor_tense,MATCH($A58,pdates_grade_factor_tense,1)))))</f>
        <v/>
      </c>
      <c r="AA58" s="8">
        <f>IF($A58&lt;=INDEX(pdates_grade_factor_mix_pit,1),INDEX(pvals_grade_factor_mix_pit,1),IF($A58&gt;=INDEX(pdates_grade_factor_mix_pit,10),INDEX(pvals_grade_factor_mix_pit,10),INDEX(pvals_grade_factor_mix_pit,MATCH($A58,pdates_grade_factor_mix_pit,1))+($A58-INDEX(pdates_grade_factor_mix_pit,MATCH($A58,pdates_grade_factor_mix_pit,1)))/(INDEX(pdates_grade_factor_mix_pit,MATCH($A58,pdates_grade_factor_mix_pit,1)+1)-INDEX(pdates_grade_factor_mix_pit,MATCH($A58,pdates_grade_factor_mix_pit,1)))*(INDEX(pvals_grade_factor_mix_pit,MATCH($A58,pdates_grade_factor_mix_pit,1)+1)-INDEX(pvals_grade_factor_mix_pit,MATCH($A58,pdates_grade_factor_mix_pit,1)))))</f>
        <v/>
      </c>
      <c r="AB58" s="16">
        <f>($B58*$F58/kg_per_mt*(1+bcd_primary_al_hs7601*(1+sws_rate_on_bcd))+mcx_domestic_premium_inr_kg)*(1+$I58*MAX(0,$Q58-$A58)/day_count_inr)</f>
        <v/>
      </c>
      <c r="AC58" s="16">
        <f>$M58-$AB58</f>
        <v/>
      </c>
      <c r="AD58" s="7" t="inlineStr">
        <is>
          <t>PROXY_IMPORT_PARITY</t>
        </is>
      </c>
      <c r="AE58" s="7" t="inlineStr">
        <is>
          <t>ECB_CROSS</t>
        </is>
      </c>
      <c r="AF58" s="7" t="inlineStr">
        <is>
          <t>WCI_REPORTED|USEC:EXTRAP_PRE|JEA:ASSUMPTION</t>
        </is>
      </c>
      <c r="AG58" s="17" t="b">
        <v>0</v>
      </c>
      <c r="AH58" s="17" t="b">
        <v>0</v>
      </c>
    </row>
    <row r="59">
      <c r="A59" s="11" t="n">
        <v>44638</v>
      </c>
      <c r="B59" s="13" t="n">
        <v>3380.5</v>
      </c>
      <c r="C59" s="13" t="n">
        <v>3400</v>
      </c>
      <c r="D59" s="13" t="n">
        <v>-19.5</v>
      </c>
      <c r="E59" s="13" t="n">
        <v>715225</v>
      </c>
      <c r="F59" s="13" t="n">
        <v>76.11060000000001</v>
      </c>
      <c r="G59" s="6" t="n">
        <v>76.32769999999999</v>
      </c>
      <c r="H59" s="6" t="n">
        <v>76.7544</v>
      </c>
      <c r="I59" s="14" t="n">
        <v>0.037798</v>
      </c>
      <c r="J59" s="14" t="n">
        <v>0.004142</v>
      </c>
      <c r="K59" s="14" t="n">
        <v>0.04</v>
      </c>
      <c r="L59" s="13" t="n">
        <v>278.5185</v>
      </c>
      <c r="M59" s="13" t="n">
        <v>278.8934</v>
      </c>
      <c r="N59" s="13" t="n">
        <v>279.7298</v>
      </c>
      <c r="O59" s="13" t="n">
        <v>22.84</v>
      </c>
      <c r="P59" s="13" t="n">
        <v>101.29</v>
      </c>
      <c r="Q59" s="12" t="n">
        <v>44651</v>
      </c>
      <c r="R59" s="12" t="n">
        <v>44680</v>
      </c>
      <c r="S59" s="8">
        <f>YEAR($Q59)*100+MONTH($Q59)</f>
        <v/>
      </c>
      <c r="T59" s="8">
        <f>YEAR($R59)*100+MONTH($R59)</f>
        <v/>
      </c>
      <c r="U59" s="15">
        <f>IF($A59&lt;=INDEX(pdates_wc_rate_inr_pa,1),INDEX(pvals_wc_rate_inr_pa,1),INDEX(pvals_wc_rate_inr_pa,MATCH($A59,pdates_wc_rate_inr_pa,1)))</f>
        <v/>
      </c>
      <c r="V59" s="8">
        <f>IF(AND($A59&gt;=customs_fx_first,$A59&lt;=customs_fx_last+customs_fx_notification_validity_days),IF($A59&lt;=INDEX(pdates_customs_usdinr_import,1),INDEX(pvals_customs_usdinr_import,1),INDEX(pvals_customs_usdinr_import,MATCH($A59,pdates_customs_usdinr_import,1))),$F59*(1+customs_fx_markup_frac))</f>
        <v/>
      </c>
      <c r="W59" s="8">
        <f>IF(AND($A59&gt;=customs_fx_first,$A59&lt;=customs_fx_last+customs_fx_notification_validity_days),"CBIC_NOTIFIED","MARKUP_FALLBACK")</f>
        <v/>
      </c>
      <c r="X59" s="8">
        <f>IF($A59&lt;=INDEX(pdates_grade_factor_zorba,1),INDEX(pvals_grade_factor_zorba,1),IF($A59&gt;=INDEX(pdates_grade_factor_zorba,10),INDEX(pvals_grade_factor_zorba,10),INDEX(pvals_grade_factor_zorba,MATCH($A59,pdates_grade_factor_zorba,1))+($A59-INDEX(pdates_grade_factor_zorba,MATCH($A59,pdates_grade_factor_zorba,1)))/(INDEX(pdates_grade_factor_zorba,MATCH($A59,pdates_grade_factor_zorba,1)+1)-INDEX(pdates_grade_factor_zorba,MATCH($A59,pdates_grade_factor_zorba,1)))*(INDEX(pvals_grade_factor_zorba,MATCH($A59,pdates_grade_factor_zorba,1)+1)-INDEX(pvals_grade_factor_zorba,MATCH($A59,pdates_grade_factor_zorba,1)))))</f>
        <v/>
      </c>
      <c r="Y59" s="8">
        <f>IF($A59&lt;=INDEX(pdates_grade_factor_taint_tabor,1),INDEX(pvals_grade_factor_taint_tabor,1),IF($A59&gt;=INDEX(pdates_grade_factor_taint_tabor,10),INDEX(pvals_grade_factor_taint_tabor,10),INDEX(pvals_grade_factor_taint_tabor,MATCH($A59,pdates_grade_factor_taint_tabor,1))+($A59-INDEX(pdates_grade_factor_taint_tabor,MATCH($A59,pdates_grade_factor_taint_tabor,1)))/(INDEX(pdates_grade_factor_taint_tabor,MATCH($A59,pdates_grade_factor_taint_tabor,1)+1)-INDEX(pdates_grade_factor_taint_tabor,MATCH($A59,pdates_grade_factor_taint_tabor,1)))*(INDEX(pvals_grade_factor_taint_tabor,MATCH($A59,pdates_grade_factor_taint_tabor,1)+1)-INDEX(pvals_grade_factor_taint_tabor,MATCH($A59,pdates_grade_factor_taint_tabor,1)))))</f>
        <v/>
      </c>
      <c r="Z59" s="8">
        <f>IF($A59&lt;=INDEX(pdates_grade_factor_tense,1),INDEX(pvals_grade_factor_tense,1),IF($A59&gt;=INDEX(pdates_grade_factor_tense,10),INDEX(pvals_grade_factor_tense,10),INDEX(pvals_grade_factor_tense,MATCH($A59,pdates_grade_factor_tense,1))+($A59-INDEX(pdates_grade_factor_tense,MATCH($A59,pdates_grade_factor_tense,1)))/(INDEX(pdates_grade_factor_tense,MATCH($A59,pdates_grade_factor_tense,1)+1)-INDEX(pdates_grade_factor_tense,MATCH($A59,pdates_grade_factor_tense,1)))*(INDEX(pvals_grade_factor_tense,MATCH($A59,pdates_grade_factor_tense,1)+1)-INDEX(pvals_grade_factor_tense,MATCH($A59,pdates_grade_factor_tense,1)))))</f>
        <v/>
      </c>
      <c r="AA59" s="8">
        <f>IF($A59&lt;=INDEX(pdates_grade_factor_mix_pit,1),INDEX(pvals_grade_factor_mix_pit,1),IF($A59&gt;=INDEX(pdates_grade_factor_mix_pit,10),INDEX(pvals_grade_factor_mix_pit,10),INDEX(pvals_grade_factor_mix_pit,MATCH($A59,pdates_grade_factor_mix_pit,1))+($A59-INDEX(pdates_grade_factor_mix_pit,MATCH($A59,pdates_grade_factor_mix_pit,1)))/(INDEX(pdates_grade_factor_mix_pit,MATCH($A59,pdates_grade_factor_mix_pit,1)+1)-INDEX(pdates_grade_factor_mix_pit,MATCH($A59,pdates_grade_factor_mix_pit,1)))*(INDEX(pvals_grade_factor_mix_pit,MATCH($A59,pdates_grade_factor_mix_pit,1)+1)-INDEX(pvals_grade_factor_mix_pit,MATCH($A59,pdates_grade_factor_mix_pit,1)))))</f>
        <v/>
      </c>
      <c r="AB59" s="16">
        <f>($B59*$F59/kg_per_mt*(1+bcd_primary_al_hs7601*(1+sws_rate_on_bcd))+mcx_domestic_premium_inr_kg)*(1+$I59*MAX(0,$Q59-$A59)/day_count_inr)</f>
        <v/>
      </c>
      <c r="AC59" s="16">
        <f>$M59-$AB59</f>
        <v/>
      </c>
      <c r="AD59" s="7" t="inlineStr">
        <is>
          <t>PROXY_IMPORT_PARITY</t>
        </is>
      </c>
      <c r="AE59" s="7" t="inlineStr">
        <is>
          <t>ECB_CROSS</t>
        </is>
      </c>
      <c r="AF59" s="7" t="inlineStr">
        <is>
          <t>WCI_REPORTED|USEC:EXTRAP_PRE|JEA:ASSUMPTION</t>
        </is>
      </c>
      <c r="AG59" s="17" t="b">
        <v>0</v>
      </c>
      <c r="AH59" s="17" t="b">
        <v>1</v>
      </c>
    </row>
    <row r="60">
      <c r="A60" s="11" t="n">
        <v>44641</v>
      </c>
      <c r="B60" s="13" t="n">
        <v>3518</v>
      </c>
      <c r="C60" s="13" t="n">
        <v>3525</v>
      </c>
      <c r="D60" s="13" t="n">
        <v>-7</v>
      </c>
      <c r="E60" s="13" t="n">
        <v>704850</v>
      </c>
      <c r="F60" s="13" t="n">
        <v>76.267</v>
      </c>
      <c r="G60" s="6" t="n">
        <v>76.47539999999999</v>
      </c>
      <c r="H60" s="6" t="n">
        <v>76.88509999999999</v>
      </c>
      <c r="I60" s="14" t="n">
        <v>0.037798</v>
      </c>
      <c r="J60" s="14" t="n">
        <v>0.005523</v>
      </c>
      <c r="K60" s="14" t="n">
        <v>0.04</v>
      </c>
      <c r="L60" s="13" t="n">
        <v>290.4427</v>
      </c>
      <c r="M60" s="13" t="n">
        <v>290.7434</v>
      </c>
      <c r="N60" s="13" t="n">
        <v>291.6157</v>
      </c>
      <c r="O60" s="13" t="n">
        <v>22.84</v>
      </c>
      <c r="P60" s="13" t="n">
        <v>101.29</v>
      </c>
      <c r="Q60" s="12" t="n">
        <v>44651</v>
      </c>
      <c r="R60" s="12" t="n">
        <v>44680</v>
      </c>
      <c r="S60" s="8">
        <f>YEAR($Q60)*100+MONTH($Q60)</f>
        <v/>
      </c>
      <c r="T60" s="8">
        <f>YEAR($R60)*100+MONTH($R60)</f>
        <v/>
      </c>
      <c r="U60" s="15">
        <f>IF($A60&lt;=INDEX(pdates_wc_rate_inr_pa,1),INDEX(pvals_wc_rate_inr_pa,1),INDEX(pvals_wc_rate_inr_pa,MATCH($A60,pdates_wc_rate_inr_pa,1)))</f>
        <v/>
      </c>
      <c r="V60" s="8">
        <f>IF(AND($A60&gt;=customs_fx_first,$A60&lt;=customs_fx_last+customs_fx_notification_validity_days),IF($A60&lt;=INDEX(pdates_customs_usdinr_import,1),INDEX(pvals_customs_usdinr_import,1),INDEX(pvals_customs_usdinr_import,MATCH($A60,pdates_customs_usdinr_import,1))),$F60*(1+customs_fx_markup_frac))</f>
        <v/>
      </c>
      <c r="W60" s="8">
        <f>IF(AND($A60&gt;=customs_fx_first,$A60&lt;=customs_fx_last+customs_fx_notification_validity_days),"CBIC_NOTIFIED","MARKUP_FALLBACK")</f>
        <v/>
      </c>
      <c r="X60" s="8">
        <f>IF($A60&lt;=INDEX(pdates_grade_factor_zorba,1),INDEX(pvals_grade_factor_zorba,1),IF($A60&gt;=INDEX(pdates_grade_factor_zorba,10),INDEX(pvals_grade_factor_zorba,10),INDEX(pvals_grade_factor_zorba,MATCH($A60,pdates_grade_factor_zorba,1))+($A60-INDEX(pdates_grade_factor_zorba,MATCH($A60,pdates_grade_factor_zorba,1)))/(INDEX(pdates_grade_factor_zorba,MATCH($A60,pdates_grade_factor_zorba,1)+1)-INDEX(pdates_grade_factor_zorba,MATCH($A60,pdates_grade_factor_zorba,1)))*(INDEX(pvals_grade_factor_zorba,MATCH($A60,pdates_grade_factor_zorba,1)+1)-INDEX(pvals_grade_factor_zorba,MATCH($A60,pdates_grade_factor_zorba,1)))))</f>
        <v/>
      </c>
      <c r="Y60" s="8">
        <f>IF($A60&lt;=INDEX(pdates_grade_factor_taint_tabor,1),INDEX(pvals_grade_factor_taint_tabor,1),IF($A60&gt;=INDEX(pdates_grade_factor_taint_tabor,10),INDEX(pvals_grade_factor_taint_tabor,10),INDEX(pvals_grade_factor_taint_tabor,MATCH($A60,pdates_grade_factor_taint_tabor,1))+($A60-INDEX(pdates_grade_factor_taint_tabor,MATCH($A60,pdates_grade_factor_taint_tabor,1)))/(INDEX(pdates_grade_factor_taint_tabor,MATCH($A60,pdates_grade_factor_taint_tabor,1)+1)-INDEX(pdates_grade_factor_taint_tabor,MATCH($A60,pdates_grade_factor_taint_tabor,1)))*(INDEX(pvals_grade_factor_taint_tabor,MATCH($A60,pdates_grade_factor_taint_tabor,1)+1)-INDEX(pvals_grade_factor_taint_tabor,MATCH($A60,pdates_grade_factor_taint_tabor,1)))))</f>
        <v/>
      </c>
      <c r="Z60" s="8">
        <f>IF($A60&lt;=INDEX(pdates_grade_factor_tense,1),INDEX(pvals_grade_factor_tense,1),IF($A60&gt;=INDEX(pdates_grade_factor_tense,10),INDEX(pvals_grade_factor_tense,10),INDEX(pvals_grade_factor_tense,MATCH($A60,pdates_grade_factor_tense,1))+($A60-INDEX(pdates_grade_factor_tense,MATCH($A60,pdates_grade_factor_tense,1)))/(INDEX(pdates_grade_factor_tense,MATCH($A60,pdates_grade_factor_tense,1)+1)-INDEX(pdates_grade_factor_tense,MATCH($A60,pdates_grade_factor_tense,1)))*(INDEX(pvals_grade_factor_tense,MATCH($A60,pdates_grade_factor_tense,1)+1)-INDEX(pvals_grade_factor_tense,MATCH($A60,pdates_grade_factor_tense,1)))))</f>
        <v/>
      </c>
      <c r="AA60" s="8">
        <f>IF($A60&lt;=INDEX(pdates_grade_factor_mix_pit,1),INDEX(pvals_grade_factor_mix_pit,1),IF($A60&gt;=INDEX(pdates_grade_factor_mix_pit,10),INDEX(pvals_grade_factor_mix_pit,10),INDEX(pvals_grade_factor_mix_pit,MATCH($A60,pdates_grade_factor_mix_pit,1))+($A60-INDEX(pdates_grade_factor_mix_pit,MATCH($A60,pdates_grade_factor_mix_pit,1)))/(INDEX(pdates_grade_factor_mix_pit,MATCH($A60,pdates_grade_factor_mix_pit,1)+1)-INDEX(pdates_grade_factor_mix_pit,MATCH($A60,pdates_grade_factor_mix_pit,1)))*(INDEX(pvals_grade_factor_mix_pit,MATCH($A60,pdates_grade_factor_mix_pit,1)+1)-INDEX(pvals_grade_factor_mix_pit,MATCH($A60,pdates_grade_factor_mix_pit,1)))))</f>
        <v/>
      </c>
      <c r="AB60" s="16">
        <f>($B60*$F60/kg_per_mt*(1+bcd_primary_al_hs7601*(1+sws_rate_on_bcd))+mcx_domestic_premium_inr_kg)*(1+$I60*MAX(0,$Q60-$A60)/day_count_inr)</f>
        <v/>
      </c>
      <c r="AC60" s="16">
        <f>$M60-$AB60</f>
        <v/>
      </c>
      <c r="AD60" s="7" t="inlineStr">
        <is>
          <t>PROXY_IMPORT_PARITY</t>
        </is>
      </c>
      <c r="AE60" s="7" t="inlineStr">
        <is>
          <t>ECB_CROSS</t>
        </is>
      </c>
      <c r="AF60" s="7" t="inlineStr">
        <is>
          <t>WCI_REPORTED|USEC:EXTRAP_PRE|JEA:ASSUMPTION</t>
        </is>
      </c>
      <c r="AG60" s="17" t="b">
        <v>0</v>
      </c>
      <c r="AH60" s="17" t="b">
        <v>1</v>
      </c>
    </row>
    <row r="61">
      <c r="A61" s="11" t="n">
        <v>44642</v>
      </c>
      <c r="B61" s="13" t="n">
        <v>3550.5</v>
      </c>
      <c r="C61" s="13" t="n">
        <v>3550.5</v>
      </c>
      <c r="D61" s="13" t="n">
        <v>0</v>
      </c>
      <c r="E61" s="13" t="n">
        <v>695825</v>
      </c>
      <c r="F61" s="13" t="n">
        <v>76.1198</v>
      </c>
      <c r="G61" s="6" t="n">
        <v>76.3305</v>
      </c>
      <c r="H61" s="6" t="n">
        <v>76.7444</v>
      </c>
      <c r="I61" s="14" t="n">
        <v>0.037798</v>
      </c>
      <c r="J61" s="14" t="n">
        <v>0.005129</v>
      </c>
      <c r="K61" s="14" t="n">
        <v>0.04</v>
      </c>
      <c r="L61" s="13" t="n">
        <v>292.5601</v>
      </c>
      <c r="M61" s="13" t="n">
        <v>292.8327</v>
      </c>
      <c r="N61" s="13" t="n">
        <v>293.7113</v>
      </c>
      <c r="O61" s="13" t="n">
        <v>22.84</v>
      </c>
      <c r="P61" s="13" t="n">
        <v>101.29</v>
      </c>
      <c r="Q61" s="12" t="n">
        <v>44651</v>
      </c>
      <c r="R61" s="12" t="n">
        <v>44680</v>
      </c>
      <c r="S61" s="8">
        <f>YEAR($Q61)*100+MONTH($Q61)</f>
        <v/>
      </c>
      <c r="T61" s="8">
        <f>YEAR($R61)*100+MONTH($R61)</f>
        <v/>
      </c>
      <c r="U61" s="15">
        <f>IF($A61&lt;=INDEX(pdates_wc_rate_inr_pa,1),INDEX(pvals_wc_rate_inr_pa,1),INDEX(pvals_wc_rate_inr_pa,MATCH($A61,pdates_wc_rate_inr_pa,1)))</f>
        <v/>
      </c>
      <c r="V61" s="8">
        <f>IF(AND($A61&gt;=customs_fx_first,$A61&lt;=customs_fx_last+customs_fx_notification_validity_days),IF($A61&lt;=INDEX(pdates_customs_usdinr_import,1),INDEX(pvals_customs_usdinr_import,1),INDEX(pvals_customs_usdinr_import,MATCH($A61,pdates_customs_usdinr_import,1))),$F61*(1+customs_fx_markup_frac))</f>
        <v/>
      </c>
      <c r="W61" s="8">
        <f>IF(AND($A61&gt;=customs_fx_first,$A61&lt;=customs_fx_last+customs_fx_notification_validity_days),"CBIC_NOTIFIED","MARKUP_FALLBACK")</f>
        <v/>
      </c>
      <c r="X61" s="8">
        <f>IF($A61&lt;=INDEX(pdates_grade_factor_zorba,1),INDEX(pvals_grade_factor_zorba,1),IF($A61&gt;=INDEX(pdates_grade_factor_zorba,10),INDEX(pvals_grade_factor_zorba,10),INDEX(pvals_grade_factor_zorba,MATCH($A61,pdates_grade_factor_zorba,1))+($A61-INDEX(pdates_grade_factor_zorba,MATCH($A61,pdates_grade_factor_zorba,1)))/(INDEX(pdates_grade_factor_zorba,MATCH($A61,pdates_grade_factor_zorba,1)+1)-INDEX(pdates_grade_factor_zorba,MATCH($A61,pdates_grade_factor_zorba,1)))*(INDEX(pvals_grade_factor_zorba,MATCH($A61,pdates_grade_factor_zorba,1)+1)-INDEX(pvals_grade_factor_zorba,MATCH($A61,pdates_grade_factor_zorba,1)))))</f>
        <v/>
      </c>
      <c r="Y61" s="8">
        <f>IF($A61&lt;=INDEX(pdates_grade_factor_taint_tabor,1),INDEX(pvals_grade_factor_taint_tabor,1),IF($A61&gt;=INDEX(pdates_grade_factor_taint_tabor,10),INDEX(pvals_grade_factor_taint_tabor,10),INDEX(pvals_grade_factor_taint_tabor,MATCH($A61,pdates_grade_factor_taint_tabor,1))+($A61-INDEX(pdates_grade_factor_taint_tabor,MATCH($A61,pdates_grade_factor_taint_tabor,1)))/(INDEX(pdates_grade_factor_taint_tabor,MATCH($A61,pdates_grade_factor_taint_tabor,1)+1)-INDEX(pdates_grade_factor_taint_tabor,MATCH($A61,pdates_grade_factor_taint_tabor,1)))*(INDEX(pvals_grade_factor_taint_tabor,MATCH($A61,pdates_grade_factor_taint_tabor,1)+1)-INDEX(pvals_grade_factor_taint_tabor,MATCH($A61,pdates_grade_factor_taint_tabor,1)))))</f>
        <v/>
      </c>
      <c r="Z61" s="8">
        <f>IF($A61&lt;=INDEX(pdates_grade_factor_tense,1),INDEX(pvals_grade_factor_tense,1),IF($A61&gt;=INDEX(pdates_grade_factor_tense,10),INDEX(pvals_grade_factor_tense,10),INDEX(pvals_grade_factor_tense,MATCH($A61,pdates_grade_factor_tense,1))+($A61-INDEX(pdates_grade_factor_tense,MATCH($A61,pdates_grade_factor_tense,1)))/(INDEX(pdates_grade_factor_tense,MATCH($A61,pdates_grade_factor_tense,1)+1)-INDEX(pdates_grade_factor_tense,MATCH($A61,pdates_grade_factor_tense,1)))*(INDEX(pvals_grade_factor_tense,MATCH($A61,pdates_grade_factor_tense,1)+1)-INDEX(pvals_grade_factor_tense,MATCH($A61,pdates_grade_factor_tense,1)))))</f>
        <v/>
      </c>
      <c r="AA61" s="8">
        <f>IF($A61&lt;=INDEX(pdates_grade_factor_mix_pit,1),INDEX(pvals_grade_factor_mix_pit,1),IF($A61&gt;=INDEX(pdates_grade_factor_mix_pit,10),INDEX(pvals_grade_factor_mix_pit,10),INDEX(pvals_grade_factor_mix_pit,MATCH($A61,pdates_grade_factor_mix_pit,1))+($A61-INDEX(pdates_grade_factor_mix_pit,MATCH($A61,pdates_grade_factor_mix_pit,1)))/(INDEX(pdates_grade_factor_mix_pit,MATCH($A61,pdates_grade_factor_mix_pit,1)+1)-INDEX(pdates_grade_factor_mix_pit,MATCH($A61,pdates_grade_factor_mix_pit,1)))*(INDEX(pvals_grade_factor_mix_pit,MATCH($A61,pdates_grade_factor_mix_pit,1)+1)-INDEX(pvals_grade_factor_mix_pit,MATCH($A61,pdates_grade_factor_mix_pit,1)))))</f>
        <v/>
      </c>
      <c r="AB61" s="16">
        <f>($B61*$F61/kg_per_mt*(1+bcd_primary_al_hs7601*(1+sws_rate_on_bcd))+mcx_domestic_premium_inr_kg)*(1+$I61*MAX(0,$Q61-$A61)/day_count_inr)</f>
        <v/>
      </c>
      <c r="AC61" s="16">
        <f>$M61-$AB61</f>
        <v/>
      </c>
      <c r="AD61" s="7" t="inlineStr">
        <is>
          <t>PROXY_IMPORT_PARITY</t>
        </is>
      </c>
      <c r="AE61" s="7" t="inlineStr">
        <is>
          <t>ECB_CROSS</t>
        </is>
      </c>
      <c r="AF61" s="7" t="inlineStr">
        <is>
          <t>WCI_REPORTED|USEC:EXTRAP_PRE|JEA:ASSUMPTION</t>
        </is>
      </c>
      <c r="AG61" s="17" t="b">
        <v>0</v>
      </c>
      <c r="AH61" s="17" t="b">
        <v>1</v>
      </c>
    </row>
    <row r="62">
      <c r="A62" s="11" t="n">
        <v>44643</v>
      </c>
      <c r="B62" s="13" t="n">
        <v>3560</v>
      </c>
      <c r="C62" s="13" t="n">
        <v>3560</v>
      </c>
      <c r="D62" s="13" t="n">
        <v>0</v>
      </c>
      <c r="E62" s="13" t="n">
        <v>689575</v>
      </c>
      <c r="F62" s="13" t="n">
        <v>76.4383</v>
      </c>
      <c r="G62" s="6" t="n">
        <v>76.65049999999999</v>
      </c>
      <c r="H62" s="6" t="n">
        <v>77.0675</v>
      </c>
      <c r="I62" s="14" t="n">
        <v>0.037798</v>
      </c>
      <c r="J62" s="14" t="n">
        <v>0.00503</v>
      </c>
      <c r="K62" s="14" t="n">
        <v>0.04</v>
      </c>
      <c r="L62" s="13" t="n">
        <v>294.5703</v>
      </c>
      <c r="M62" s="13" t="n">
        <v>294.8143</v>
      </c>
      <c r="N62" s="13" t="n">
        <v>295.6989</v>
      </c>
      <c r="O62" s="13" t="n">
        <v>22.84</v>
      </c>
      <c r="P62" s="13" t="n">
        <v>101.29</v>
      </c>
      <c r="Q62" s="12" t="n">
        <v>44651</v>
      </c>
      <c r="R62" s="12" t="n">
        <v>44680</v>
      </c>
      <c r="S62" s="8">
        <f>YEAR($Q62)*100+MONTH($Q62)</f>
        <v/>
      </c>
      <c r="T62" s="8">
        <f>YEAR($R62)*100+MONTH($R62)</f>
        <v/>
      </c>
      <c r="U62" s="15">
        <f>IF($A62&lt;=INDEX(pdates_wc_rate_inr_pa,1),INDEX(pvals_wc_rate_inr_pa,1),INDEX(pvals_wc_rate_inr_pa,MATCH($A62,pdates_wc_rate_inr_pa,1)))</f>
        <v/>
      </c>
      <c r="V62" s="8">
        <f>IF(AND($A62&gt;=customs_fx_first,$A62&lt;=customs_fx_last+customs_fx_notification_validity_days),IF($A62&lt;=INDEX(pdates_customs_usdinr_import,1),INDEX(pvals_customs_usdinr_import,1),INDEX(pvals_customs_usdinr_import,MATCH($A62,pdates_customs_usdinr_import,1))),$F62*(1+customs_fx_markup_frac))</f>
        <v/>
      </c>
      <c r="W62" s="8">
        <f>IF(AND($A62&gt;=customs_fx_first,$A62&lt;=customs_fx_last+customs_fx_notification_validity_days),"CBIC_NOTIFIED","MARKUP_FALLBACK")</f>
        <v/>
      </c>
      <c r="X62" s="8">
        <f>IF($A62&lt;=INDEX(pdates_grade_factor_zorba,1),INDEX(pvals_grade_factor_zorba,1),IF($A62&gt;=INDEX(pdates_grade_factor_zorba,10),INDEX(pvals_grade_factor_zorba,10),INDEX(pvals_grade_factor_zorba,MATCH($A62,pdates_grade_factor_zorba,1))+($A62-INDEX(pdates_grade_factor_zorba,MATCH($A62,pdates_grade_factor_zorba,1)))/(INDEX(pdates_grade_factor_zorba,MATCH($A62,pdates_grade_factor_zorba,1)+1)-INDEX(pdates_grade_factor_zorba,MATCH($A62,pdates_grade_factor_zorba,1)))*(INDEX(pvals_grade_factor_zorba,MATCH($A62,pdates_grade_factor_zorba,1)+1)-INDEX(pvals_grade_factor_zorba,MATCH($A62,pdates_grade_factor_zorba,1)))))</f>
        <v/>
      </c>
      <c r="Y62" s="8">
        <f>IF($A62&lt;=INDEX(pdates_grade_factor_taint_tabor,1),INDEX(pvals_grade_factor_taint_tabor,1),IF($A62&gt;=INDEX(pdates_grade_factor_taint_tabor,10),INDEX(pvals_grade_factor_taint_tabor,10),INDEX(pvals_grade_factor_taint_tabor,MATCH($A62,pdates_grade_factor_taint_tabor,1))+($A62-INDEX(pdates_grade_factor_taint_tabor,MATCH($A62,pdates_grade_factor_taint_tabor,1)))/(INDEX(pdates_grade_factor_taint_tabor,MATCH($A62,pdates_grade_factor_taint_tabor,1)+1)-INDEX(pdates_grade_factor_taint_tabor,MATCH($A62,pdates_grade_factor_taint_tabor,1)))*(INDEX(pvals_grade_factor_taint_tabor,MATCH($A62,pdates_grade_factor_taint_tabor,1)+1)-INDEX(pvals_grade_factor_taint_tabor,MATCH($A62,pdates_grade_factor_taint_tabor,1)))))</f>
        <v/>
      </c>
      <c r="Z62" s="8">
        <f>IF($A62&lt;=INDEX(pdates_grade_factor_tense,1),INDEX(pvals_grade_factor_tense,1),IF($A62&gt;=INDEX(pdates_grade_factor_tense,10),INDEX(pvals_grade_factor_tense,10),INDEX(pvals_grade_factor_tense,MATCH($A62,pdates_grade_factor_tense,1))+($A62-INDEX(pdates_grade_factor_tense,MATCH($A62,pdates_grade_factor_tense,1)))/(INDEX(pdates_grade_factor_tense,MATCH($A62,pdates_grade_factor_tense,1)+1)-INDEX(pdates_grade_factor_tense,MATCH($A62,pdates_grade_factor_tense,1)))*(INDEX(pvals_grade_factor_tense,MATCH($A62,pdates_grade_factor_tense,1)+1)-INDEX(pvals_grade_factor_tense,MATCH($A62,pdates_grade_factor_tense,1)))))</f>
        <v/>
      </c>
      <c r="AA62" s="8">
        <f>IF($A62&lt;=INDEX(pdates_grade_factor_mix_pit,1),INDEX(pvals_grade_factor_mix_pit,1),IF($A62&gt;=INDEX(pdates_grade_factor_mix_pit,10),INDEX(pvals_grade_factor_mix_pit,10),INDEX(pvals_grade_factor_mix_pit,MATCH($A62,pdates_grade_factor_mix_pit,1))+($A62-INDEX(pdates_grade_factor_mix_pit,MATCH($A62,pdates_grade_factor_mix_pit,1)))/(INDEX(pdates_grade_factor_mix_pit,MATCH($A62,pdates_grade_factor_mix_pit,1)+1)-INDEX(pdates_grade_factor_mix_pit,MATCH($A62,pdates_grade_factor_mix_pit,1)))*(INDEX(pvals_grade_factor_mix_pit,MATCH($A62,pdates_grade_factor_mix_pit,1)+1)-INDEX(pvals_grade_factor_mix_pit,MATCH($A62,pdates_grade_factor_mix_pit,1)))))</f>
        <v/>
      </c>
      <c r="AB62" s="16">
        <f>($B62*$F62/kg_per_mt*(1+bcd_primary_al_hs7601*(1+sws_rate_on_bcd))+mcx_domestic_premium_inr_kg)*(1+$I62*MAX(0,$Q62-$A62)/day_count_inr)</f>
        <v/>
      </c>
      <c r="AC62" s="16">
        <f>$M62-$AB62</f>
        <v/>
      </c>
      <c r="AD62" s="7" t="inlineStr">
        <is>
          <t>PROXY_IMPORT_PARITY</t>
        </is>
      </c>
      <c r="AE62" s="7" t="inlineStr">
        <is>
          <t>ECB_CROSS</t>
        </is>
      </c>
      <c r="AF62" s="7" t="inlineStr">
        <is>
          <t>WCI_REPORTED|USEC:EXTRAP_PRE|JEA:ASSUMPTION</t>
        </is>
      </c>
      <c r="AG62" s="17" t="b">
        <v>0</v>
      </c>
      <c r="AH62" s="17" t="b">
        <v>1</v>
      </c>
    </row>
    <row r="63">
      <c r="A63" s="11" t="n">
        <v>44644</v>
      </c>
      <c r="B63" s="13" t="n">
        <v>3664</v>
      </c>
      <c r="C63" s="13" t="n">
        <v>3675.5</v>
      </c>
      <c r="D63" s="13" t="n">
        <v>-11.5</v>
      </c>
      <c r="E63" s="13" t="n">
        <v>684250</v>
      </c>
      <c r="F63" s="13" t="n">
        <v>76.4064</v>
      </c>
      <c r="G63" s="6" t="n">
        <v>76.6185</v>
      </c>
      <c r="H63" s="6" t="n">
        <v>77.03530000000001</v>
      </c>
      <c r="I63" s="14" t="n">
        <v>0.037798</v>
      </c>
      <c r="J63" s="14" t="n">
        <v>0.00503</v>
      </c>
      <c r="K63" s="14" t="n">
        <v>0.04</v>
      </c>
      <c r="L63" s="13" t="n">
        <v>303.0492</v>
      </c>
      <c r="M63" s="13" t="n">
        <v>303.2689</v>
      </c>
      <c r="N63" s="13" t="n">
        <v>304.179</v>
      </c>
      <c r="O63" s="13" t="n">
        <v>21.91</v>
      </c>
      <c r="P63" s="13" t="n">
        <v>97.14</v>
      </c>
      <c r="Q63" s="12" t="n">
        <v>44651</v>
      </c>
      <c r="R63" s="12" t="n">
        <v>44680</v>
      </c>
      <c r="S63" s="8">
        <f>YEAR($Q63)*100+MONTH($Q63)</f>
        <v/>
      </c>
      <c r="T63" s="8">
        <f>YEAR($R63)*100+MONTH($R63)</f>
        <v/>
      </c>
      <c r="U63" s="15">
        <f>IF($A63&lt;=INDEX(pdates_wc_rate_inr_pa,1),INDEX(pvals_wc_rate_inr_pa,1),INDEX(pvals_wc_rate_inr_pa,MATCH($A63,pdates_wc_rate_inr_pa,1)))</f>
        <v/>
      </c>
      <c r="V63" s="8">
        <f>IF(AND($A63&gt;=customs_fx_first,$A63&lt;=customs_fx_last+customs_fx_notification_validity_days),IF($A63&lt;=INDEX(pdates_customs_usdinr_import,1),INDEX(pvals_customs_usdinr_import,1),INDEX(pvals_customs_usdinr_import,MATCH($A63,pdates_customs_usdinr_import,1))),$F63*(1+customs_fx_markup_frac))</f>
        <v/>
      </c>
      <c r="W63" s="8">
        <f>IF(AND($A63&gt;=customs_fx_first,$A63&lt;=customs_fx_last+customs_fx_notification_validity_days),"CBIC_NOTIFIED","MARKUP_FALLBACK")</f>
        <v/>
      </c>
      <c r="X63" s="8">
        <f>IF($A63&lt;=INDEX(pdates_grade_factor_zorba,1),INDEX(pvals_grade_factor_zorba,1),IF($A63&gt;=INDEX(pdates_grade_factor_zorba,10),INDEX(pvals_grade_factor_zorba,10),INDEX(pvals_grade_factor_zorba,MATCH($A63,pdates_grade_factor_zorba,1))+($A63-INDEX(pdates_grade_factor_zorba,MATCH($A63,pdates_grade_factor_zorba,1)))/(INDEX(pdates_grade_factor_zorba,MATCH($A63,pdates_grade_factor_zorba,1)+1)-INDEX(pdates_grade_factor_zorba,MATCH($A63,pdates_grade_factor_zorba,1)))*(INDEX(pvals_grade_factor_zorba,MATCH($A63,pdates_grade_factor_zorba,1)+1)-INDEX(pvals_grade_factor_zorba,MATCH($A63,pdates_grade_factor_zorba,1)))))</f>
        <v/>
      </c>
      <c r="Y63" s="8">
        <f>IF($A63&lt;=INDEX(pdates_grade_factor_taint_tabor,1),INDEX(pvals_grade_factor_taint_tabor,1),IF($A63&gt;=INDEX(pdates_grade_factor_taint_tabor,10),INDEX(pvals_grade_factor_taint_tabor,10),INDEX(pvals_grade_factor_taint_tabor,MATCH($A63,pdates_grade_factor_taint_tabor,1))+($A63-INDEX(pdates_grade_factor_taint_tabor,MATCH($A63,pdates_grade_factor_taint_tabor,1)))/(INDEX(pdates_grade_factor_taint_tabor,MATCH($A63,pdates_grade_factor_taint_tabor,1)+1)-INDEX(pdates_grade_factor_taint_tabor,MATCH($A63,pdates_grade_factor_taint_tabor,1)))*(INDEX(pvals_grade_factor_taint_tabor,MATCH($A63,pdates_grade_factor_taint_tabor,1)+1)-INDEX(pvals_grade_factor_taint_tabor,MATCH($A63,pdates_grade_factor_taint_tabor,1)))))</f>
        <v/>
      </c>
      <c r="Z63" s="8">
        <f>IF($A63&lt;=INDEX(pdates_grade_factor_tense,1),INDEX(pvals_grade_factor_tense,1),IF($A63&gt;=INDEX(pdates_grade_factor_tense,10),INDEX(pvals_grade_factor_tense,10),INDEX(pvals_grade_factor_tense,MATCH($A63,pdates_grade_factor_tense,1))+($A63-INDEX(pdates_grade_factor_tense,MATCH($A63,pdates_grade_factor_tense,1)))/(INDEX(pdates_grade_factor_tense,MATCH($A63,pdates_grade_factor_tense,1)+1)-INDEX(pdates_grade_factor_tense,MATCH($A63,pdates_grade_factor_tense,1)))*(INDEX(pvals_grade_factor_tense,MATCH($A63,pdates_grade_factor_tense,1)+1)-INDEX(pvals_grade_factor_tense,MATCH($A63,pdates_grade_factor_tense,1)))))</f>
        <v/>
      </c>
      <c r="AA63" s="8">
        <f>IF($A63&lt;=INDEX(pdates_grade_factor_mix_pit,1),INDEX(pvals_grade_factor_mix_pit,1),IF($A63&gt;=INDEX(pdates_grade_factor_mix_pit,10),INDEX(pvals_grade_factor_mix_pit,10),INDEX(pvals_grade_factor_mix_pit,MATCH($A63,pdates_grade_factor_mix_pit,1))+($A63-INDEX(pdates_grade_factor_mix_pit,MATCH($A63,pdates_grade_factor_mix_pit,1)))/(INDEX(pdates_grade_factor_mix_pit,MATCH($A63,pdates_grade_factor_mix_pit,1)+1)-INDEX(pdates_grade_factor_mix_pit,MATCH($A63,pdates_grade_factor_mix_pit,1)))*(INDEX(pvals_grade_factor_mix_pit,MATCH($A63,pdates_grade_factor_mix_pit,1)+1)-INDEX(pvals_grade_factor_mix_pit,MATCH($A63,pdates_grade_factor_mix_pit,1)))))</f>
        <v/>
      </c>
      <c r="AB63" s="16">
        <f>($B63*$F63/kg_per_mt*(1+bcd_primary_al_hs7601*(1+sws_rate_on_bcd))+mcx_domestic_premium_inr_kg)*(1+$I63*MAX(0,$Q63-$A63)/day_count_inr)</f>
        <v/>
      </c>
      <c r="AC63" s="16">
        <f>$M63-$AB63</f>
        <v/>
      </c>
      <c r="AD63" s="7" t="inlineStr">
        <is>
          <t>PROXY_IMPORT_PARITY</t>
        </is>
      </c>
      <c r="AE63" s="7" t="inlineStr">
        <is>
          <t>ECB_CROSS</t>
        </is>
      </c>
      <c r="AF63" s="7" t="inlineStr">
        <is>
          <t>WCI_REPORTED|USEC:EXTRAP_PRE|JEA:ASSUMPTION</t>
        </is>
      </c>
      <c r="AG63" s="17" t="b">
        <v>0</v>
      </c>
      <c r="AH63" s="17" t="b">
        <v>0</v>
      </c>
    </row>
    <row r="64">
      <c r="A64" s="11" t="n">
        <v>44645</v>
      </c>
      <c r="B64" s="13" t="n">
        <v>3583</v>
      </c>
      <c r="C64" s="13" t="n">
        <v>3590.5</v>
      </c>
      <c r="D64" s="13" t="n">
        <v>-7.5</v>
      </c>
      <c r="E64" s="13" t="n">
        <v>678100</v>
      </c>
      <c r="F64" s="13" t="n">
        <v>76.1893</v>
      </c>
      <c r="G64" s="6" t="n">
        <v>76.3989</v>
      </c>
      <c r="H64" s="6" t="n">
        <v>76.81059999999999</v>
      </c>
      <c r="I64" s="14" t="n">
        <v>0.037798</v>
      </c>
      <c r="J64" s="14" t="n">
        <v>0.005326</v>
      </c>
      <c r="K64" s="14" t="n">
        <v>0.04</v>
      </c>
      <c r="L64" s="13" t="n">
        <v>295.5076</v>
      </c>
      <c r="M64" s="13" t="n">
        <v>295.6912</v>
      </c>
      <c r="N64" s="13" t="n">
        <v>296.5787</v>
      </c>
      <c r="O64" s="13" t="n">
        <v>21.91</v>
      </c>
      <c r="P64" s="13" t="n">
        <v>97.14</v>
      </c>
      <c r="Q64" s="12" t="n">
        <v>44651</v>
      </c>
      <c r="R64" s="12" t="n">
        <v>44680</v>
      </c>
      <c r="S64" s="8">
        <f>YEAR($Q64)*100+MONTH($Q64)</f>
        <v/>
      </c>
      <c r="T64" s="8">
        <f>YEAR($R64)*100+MONTH($R64)</f>
        <v/>
      </c>
      <c r="U64" s="15">
        <f>IF($A64&lt;=INDEX(pdates_wc_rate_inr_pa,1),INDEX(pvals_wc_rate_inr_pa,1),INDEX(pvals_wc_rate_inr_pa,MATCH($A64,pdates_wc_rate_inr_pa,1)))</f>
        <v/>
      </c>
      <c r="V64" s="8">
        <f>IF(AND($A64&gt;=customs_fx_first,$A64&lt;=customs_fx_last+customs_fx_notification_validity_days),IF($A64&lt;=INDEX(pdates_customs_usdinr_import,1),INDEX(pvals_customs_usdinr_import,1),INDEX(pvals_customs_usdinr_import,MATCH($A64,pdates_customs_usdinr_import,1))),$F64*(1+customs_fx_markup_frac))</f>
        <v/>
      </c>
      <c r="W64" s="8">
        <f>IF(AND($A64&gt;=customs_fx_first,$A64&lt;=customs_fx_last+customs_fx_notification_validity_days),"CBIC_NOTIFIED","MARKUP_FALLBACK")</f>
        <v/>
      </c>
      <c r="X64" s="8">
        <f>IF($A64&lt;=INDEX(pdates_grade_factor_zorba,1),INDEX(pvals_grade_factor_zorba,1),IF($A64&gt;=INDEX(pdates_grade_factor_zorba,10),INDEX(pvals_grade_factor_zorba,10),INDEX(pvals_grade_factor_zorba,MATCH($A64,pdates_grade_factor_zorba,1))+($A64-INDEX(pdates_grade_factor_zorba,MATCH($A64,pdates_grade_factor_zorba,1)))/(INDEX(pdates_grade_factor_zorba,MATCH($A64,pdates_grade_factor_zorba,1)+1)-INDEX(pdates_grade_factor_zorba,MATCH($A64,pdates_grade_factor_zorba,1)))*(INDEX(pvals_grade_factor_zorba,MATCH($A64,pdates_grade_factor_zorba,1)+1)-INDEX(pvals_grade_factor_zorba,MATCH($A64,pdates_grade_factor_zorba,1)))))</f>
        <v/>
      </c>
      <c r="Y64" s="8">
        <f>IF($A64&lt;=INDEX(pdates_grade_factor_taint_tabor,1),INDEX(pvals_grade_factor_taint_tabor,1),IF($A64&gt;=INDEX(pdates_grade_factor_taint_tabor,10),INDEX(pvals_grade_factor_taint_tabor,10),INDEX(pvals_grade_factor_taint_tabor,MATCH($A64,pdates_grade_factor_taint_tabor,1))+($A64-INDEX(pdates_grade_factor_taint_tabor,MATCH($A64,pdates_grade_factor_taint_tabor,1)))/(INDEX(pdates_grade_factor_taint_tabor,MATCH($A64,pdates_grade_factor_taint_tabor,1)+1)-INDEX(pdates_grade_factor_taint_tabor,MATCH($A64,pdates_grade_factor_taint_tabor,1)))*(INDEX(pvals_grade_factor_taint_tabor,MATCH($A64,pdates_grade_factor_taint_tabor,1)+1)-INDEX(pvals_grade_factor_taint_tabor,MATCH($A64,pdates_grade_factor_taint_tabor,1)))))</f>
        <v/>
      </c>
      <c r="Z64" s="8">
        <f>IF($A64&lt;=INDEX(pdates_grade_factor_tense,1),INDEX(pvals_grade_factor_tense,1),IF($A64&gt;=INDEX(pdates_grade_factor_tense,10),INDEX(pvals_grade_factor_tense,10),INDEX(pvals_grade_factor_tense,MATCH($A64,pdates_grade_factor_tense,1))+($A64-INDEX(pdates_grade_factor_tense,MATCH($A64,pdates_grade_factor_tense,1)))/(INDEX(pdates_grade_factor_tense,MATCH($A64,pdates_grade_factor_tense,1)+1)-INDEX(pdates_grade_factor_tense,MATCH($A64,pdates_grade_factor_tense,1)))*(INDEX(pvals_grade_factor_tense,MATCH($A64,pdates_grade_factor_tense,1)+1)-INDEX(pvals_grade_factor_tense,MATCH($A64,pdates_grade_factor_tense,1)))))</f>
        <v/>
      </c>
      <c r="AA64" s="8">
        <f>IF($A64&lt;=INDEX(pdates_grade_factor_mix_pit,1),INDEX(pvals_grade_factor_mix_pit,1),IF($A64&gt;=INDEX(pdates_grade_factor_mix_pit,10),INDEX(pvals_grade_factor_mix_pit,10),INDEX(pvals_grade_factor_mix_pit,MATCH($A64,pdates_grade_factor_mix_pit,1))+($A64-INDEX(pdates_grade_factor_mix_pit,MATCH($A64,pdates_grade_factor_mix_pit,1)))/(INDEX(pdates_grade_factor_mix_pit,MATCH($A64,pdates_grade_factor_mix_pit,1)+1)-INDEX(pdates_grade_factor_mix_pit,MATCH($A64,pdates_grade_factor_mix_pit,1)))*(INDEX(pvals_grade_factor_mix_pit,MATCH($A64,pdates_grade_factor_mix_pit,1)+1)-INDEX(pvals_grade_factor_mix_pit,MATCH($A64,pdates_grade_factor_mix_pit,1)))))</f>
        <v/>
      </c>
      <c r="AB64" s="16">
        <f>($B64*$F64/kg_per_mt*(1+bcd_primary_al_hs7601*(1+sws_rate_on_bcd))+mcx_domestic_premium_inr_kg)*(1+$I64*MAX(0,$Q64-$A64)/day_count_inr)</f>
        <v/>
      </c>
      <c r="AC64" s="16">
        <f>$M64-$AB64</f>
        <v/>
      </c>
      <c r="AD64" s="7" t="inlineStr">
        <is>
          <t>PROXY_IMPORT_PARITY</t>
        </is>
      </c>
      <c r="AE64" s="7" t="inlineStr">
        <is>
          <t>ECB_CROSS</t>
        </is>
      </c>
      <c r="AF64" s="7" t="inlineStr">
        <is>
          <t>WCI_REPORTED|USEC:EXTRAP_PRE|JEA:ASSUMPTION</t>
        </is>
      </c>
      <c r="AG64" s="17" t="b">
        <v>0</v>
      </c>
      <c r="AH64" s="17" t="b">
        <v>1</v>
      </c>
    </row>
    <row r="65">
      <c r="A65" s="11" t="n">
        <v>44648</v>
      </c>
      <c r="B65" s="13" t="n">
        <v>3606</v>
      </c>
      <c r="C65" s="13" t="n">
        <v>3616</v>
      </c>
      <c r="D65" s="13" t="n">
        <v>-10</v>
      </c>
      <c r="E65" s="13" t="n">
        <v>671025</v>
      </c>
      <c r="F65" s="13" t="n">
        <v>76.1285</v>
      </c>
      <c r="G65" s="6" t="n">
        <v>76.33329999999999</v>
      </c>
      <c r="H65" s="6" t="n">
        <v>76.7358</v>
      </c>
      <c r="I65" s="14" t="n">
        <v>0.037798</v>
      </c>
      <c r="J65" s="14" t="n">
        <v>0.006016</v>
      </c>
      <c r="K65" s="14" t="n">
        <v>0.04</v>
      </c>
      <c r="L65" s="13" t="n">
        <v>297.1672</v>
      </c>
      <c r="M65" s="13" t="n">
        <v>297.2595</v>
      </c>
      <c r="N65" s="13" t="n">
        <v>298.152</v>
      </c>
      <c r="O65" s="13" t="n">
        <v>21.91</v>
      </c>
      <c r="P65" s="13" t="n">
        <v>97.14</v>
      </c>
      <c r="Q65" s="12" t="n">
        <v>44651</v>
      </c>
      <c r="R65" s="12" t="n">
        <v>44680</v>
      </c>
      <c r="S65" s="8">
        <f>YEAR($Q65)*100+MONTH($Q65)</f>
        <v/>
      </c>
      <c r="T65" s="8">
        <f>YEAR($R65)*100+MONTH($R65)</f>
        <v/>
      </c>
      <c r="U65" s="15">
        <f>IF($A65&lt;=INDEX(pdates_wc_rate_inr_pa,1),INDEX(pvals_wc_rate_inr_pa,1),INDEX(pvals_wc_rate_inr_pa,MATCH($A65,pdates_wc_rate_inr_pa,1)))</f>
        <v/>
      </c>
      <c r="V65" s="8">
        <f>IF(AND($A65&gt;=customs_fx_first,$A65&lt;=customs_fx_last+customs_fx_notification_validity_days),IF($A65&lt;=INDEX(pdates_customs_usdinr_import,1),INDEX(pvals_customs_usdinr_import,1),INDEX(pvals_customs_usdinr_import,MATCH($A65,pdates_customs_usdinr_import,1))),$F65*(1+customs_fx_markup_frac))</f>
        <v/>
      </c>
      <c r="W65" s="8">
        <f>IF(AND($A65&gt;=customs_fx_first,$A65&lt;=customs_fx_last+customs_fx_notification_validity_days),"CBIC_NOTIFIED","MARKUP_FALLBACK")</f>
        <v/>
      </c>
      <c r="X65" s="8">
        <f>IF($A65&lt;=INDEX(pdates_grade_factor_zorba,1),INDEX(pvals_grade_factor_zorba,1),IF($A65&gt;=INDEX(pdates_grade_factor_zorba,10),INDEX(pvals_grade_factor_zorba,10),INDEX(pvals_grade_factor_zorba,MATCH($A65,pdates_grade_factor_zorba,1))+($A65-INDEX(pdates_grade_factor_zorba,MATCH($A65,pdates_grade_factor_zorba,1)))/(INDEX(pdates_grade_factor_zorba,MATCH($A65,pdates_grade_factor_zorba,1)+1)-INDEX(pdates_grade_factor_zorba,MATCH($A65,pdates_grade_factor_zorba,1)))*(INDEX(pvals_grade_factor_zorba,MATCH($A65,pdates_grade_factor_zorba,1)+1)-INDEX(pvals_grade_factor_zorba,MATCH($A65,pdates_grade_factor_zorba,1)))))</f>
        <v/>
      </c>
      <c r="Y65" s="8">
        <f>IF($A65&lt;=INDEX(pdates_grade_factor_taint_tabor,1),INDEX(pvals_grade_factor_taint_tabor,1),IF($A65&gt;=INDEX(pdates_grade_factor_taint_tabor,10),INDEX(pvals_grade_factor_taint_tabor,10),INDEX(pvals_grade_factor_taint_tabor,MATCH($A65,pdates_grade_factor_taint_tabor,1))+($A65-INDEX(pdates_grade_factor_taint_tabor,MATCH($A65,pdates_grade_factor_taint_tabor,1)))/(INDEX(pdates_grade_factor_taint_tabor,MATCH($A65,pdates_grade_factor_taint_tabor,1)+1)-INDEX(pdates_grade_factor_taint_tabor,MATCH($A65,pdates_grade_factor_taint_tabor,1)))*(INDEX(pvals_grade_factor_taint_tabor,MATCH($A65,pdates_grade_factor_taint_tabor,1)+1)-INDEX(pvals_grade_factor_taint_tabor,MATCH($A65,pdates_grade_factor_taint_tabor,1)))))</f>
        <v/>
      </c>
      <c r="Z65" s="8">
        <f>IF($A65&lt;=INDEX(pdates_grade_factor_tense,1),INDEX(pvals_grade_factor_tense,1),IF($A65&gt;=INDEX(pdates_grade_factor_tense,10),INDEX(pvals_grade_factor_tense,10),INDEX(pvals_grade_factor_tense,MATCH($A65,pdates_grade_factor_tense,1))+($A65-INDEX(pdates_grade_factor_tense,MATCH($A65,pdates_grade_factor_tense,1)))/(INDEX(pdates_grade_factor_tense,MATCH($A65,pdates_grade_factor_tense,1)+1)-INDEX(pdates_grade_factor_tense,MATCH($A65,pdates_grade_factor_tense,1)))*(INDEX(pvals_grade_factor_tense,MATCH($A65,pdates_grade_factor_tense,1)+1)-INDEX(pvals_grade_factor_tense,MATCH($A65,pdates_grade_factor_tense,1)))))</f>
        <v/>
      </c>
      <c r="AA65" s="8">
        <f>IF($A65&lt;=INDEX(pdates_grade_factor_mix_pit,1),INDEX(pvals_grade_factor_mix_pit,1),IF($A65&gt;=INDEX(pdates_grade_factor_mix_pit,10),INDEX(pvals_grade_factor_mix_pit,10),INDEX(pvals_grade_factor_mix_pit,MATCH($A65,pdates_grade_factor_mix_pit,1))+($A65-INDEX(pdates_grade_factor_mix_pit,MATCH($A65,pdates_grade_factor_mix_pit,1)))/(INDEX(pdates_grade_factor_mix_pit,MATCH($A65,pdates_grade_factor_mix_pit,1)+1)-INDEX(pdates_grade_factor_mix_pit,MATCH($A65,pdates_grade_factor_mix_pit,1)))*(INDEX(pvals_grade_factor_mix_pit,MATCH($A65,pdates_grade_factor_mix_pit,1)+1)-INDEX(pvals_grade_factor_mix_pit,MATCH($A65,pdates_grade_factor_mix_pit,1)))))</f>
        <v/>
      </c>
      <c r="AB65" s="16">
        <f>($B65*$F65/kg_per_mt*(1+bcd_primary_al_hs7601*(1+sws_rate_on_bcd))+mcx_domestic_premium_inr_kg)*(1+$I65*MAX(0,$Q65-$A65)/day_count_inr)</f>
        <v/>
      </c>
      <c r="AC65" s="16">
        <f>$M65-$AB65</f>
        <v/>
      </c>
      <c r="AD65" s="7" t="inlineStr">
        <is>
          <t>PROXY_IMPORT_PARITY</t>
        </is>
      </c>
      <c r="AE65" s="7" t="inlineStr">
        <is>
          <t>ECB_CROSS</t>
        </is>
      </c>
      <c r="AF65" s="7" t="inlineStr">
        <is>
          <t>WCI_REPORTED|USEC:EXTRAP_PRE|JEA:ASSUMPTION</t>
        </is>
      </c>
      <c r="AG65" s="17" t="b">
        <v>0</v>
      </c>
      <c r="AH65" s="17" t="b">
        <v>1</v>
      </c>
    </row>
    <row r="66">
      <c r="A66" s="11" t="n">
        <v>44649</v>
      </c>
      <c r="B66" s="13" t="n">
        <v>3583</v>
      </c>
      <c r="C66" s="13" t="n">
        <v>3608</v>
      </c>
      <c r="D66" s="13" t="n">
        <v>-25</v>
      </c>
      <c r="E66" s="13" t="n">
        <v>663225</v>
      </c>
      <c r="F66" s="13" t="n">
        <v>75.7497</v>
      </c>
      <c r="G66" s="6" t="n">
        <v>75.95610000000001</v>
      </c>
      <c r="H66" s="6" t="n">
        <v>76.3616</v>
      </c>
      <c r="I66" s="14" t="n">
        <v>0.037798</v>
      </c>
      <c r="J66" s="14" t="n">
        <v>0.005622</v>
      </c>
      <c r="K66" s="14" t="n">
        <v>0.04</v>
      </c>
      <c r="L66" s="13" t="n">
        <v>293.8026</v>
      </c>
      <c r="M66" s="13" t="n">
        <v>293.8634</v>
      </c>
      <c r="N66" s="13" t="n">
        <v>294.7458</v>
      </c>
      <c r="O66" s="13" t="n">
        <v>21.91</v>
      </c>
      <c r="P66" s="13" t="n">
        <v>97.14</v>
      </c>
      <c r="Q66" s="12" t="n">
        <v>44651</v>
      </c>
      <c r="R66" s="12" t="n">
        <v>44680</v>
      </c>
      <c r="S66" s="8">
        <f>YEAR($Q66)*100+MONTH($Q66)</f>
        <v/>
      </c>
      <c r="T66" s="8">
        <f>YEAR($R66)*100+MONTH($R66)</f>
        <v/>
      </c>
      <c r="U66" s="15">
        <f>IF($A66&lt;=INDEX(pdates_wc_rate_inr_pa,1),INDEX(pvals_wc_rate_inr_pa,1),INDEX(pvals_wc_rate_inr_pa,MATCH($A66,pdates_wc_rate_inr_pa,1)))</f>
        <v/>
      </c>
      <c r="V66" s="8">
        <f>IF(AND($A66&gt;=customs_fx_first,$A66&lt;=customs_fx_last+customs_fx_notification_validity_days),IF($A66&lt;=INDEX(pdates_customs_usdinr_import,1),INDEX(pvals_customs_usdinr_import,1),INDEX(pvals_customs_usdinr_import,MATCH($A66,pdates_customs_usdinr_import,1))),$F66*(1+customs_fx_markup_frac))</f>
        <v/>
      </c>
      <c r="W66" s="8">
        <f>IF(AND($A66&gt;=customs_fx_first,$A66&lt;=customs_fx_last+customs_fx_notification_validity_days),"CBIC_NOTIFIED","MARKUP_FALLBACK")</f>
        <v/>
      </c>
      <c r="X66" s="8">
        <f>IF($A66&lt;=INDEX(pdates_grade_factor_zorba,1),INDEX(pvals_grade_factor_zorba,1),IF($A66&gt;=INDEX(pdates_grade_factor_zorba,10),INDEX(pvals_grade_factor_zorba,10),INDEX(pvals_grade_factor_zorba,MATCH($A66,pdates_grade_factor_zorba,1))+($A66-INDEX(pdates_grade_factor_zorba,MATCH($A66,pdates_grade_factor_zorba,1)))/(INDEX(pdates_grade_factor_zorba,MATCH($A66,pdates_grade_factor_zorba,1)+1)-INDEX(pdates_grade_factor_zorba,MATCH($A66,pdates_grade_factor_zorba,1)))*(INDEX(pvals_grade_factor_zorba,MATCH($A66,pdates_grade_factor_zorba,1)+1)-INDEX(pvals_grade_factor_zorba,MATCH($A66,pdates_grade_factor_zorba,1)))))</f>
        <v/>
      </c>
      <c r="Y66" s="8">
        <f>IF($A66&lt;=INDEX(pdates_grade_factor_taint_tabor,1),INDEX(pvals_grade_factor_taint_tabor,1),IF($A66&gt;=INDEX(pdates_grade_factor_taint_tabor,10),INDEX(pvals_grade_factor_taint_tabor,10),INDEX(pvals_grade_factor_taint_tabor,MATCH($A66,pdates_grade_factor_taint_tabor,1))+($A66-INDEX(pdates_grade_factor_taint_tabor,MATCH($A66,pdates_grade_factor_taint_tabor,1)))/(INDEX(pdates_grade_factor_taint_tabor,MATCH($A66,pdates_grade_factor_taint_tabor,1)+1)-INDEX(pdates_grade_factor_taint_tabor,MATCH($A66,pdates_grade_factor_taint_tabor,1)))*(INDEX(pvals_grade_factor_taint_tabor,MATCH($A66,pdates_grade_factor_taint_tabor,1)+1)-INDEX(pvals_grade_factor_taint_tabor,MATCH($A66,pdates_grade_factor_taint_tabor,1)))))</f>
        <v/>
      </c>
      <c r="Z66" s="8">
        <f>IF($A66&lt;=INDEX(pdates_grade_factor_tense,1),INDEX(pvals_grade_factor_tense,1),IF($A66&gt;=INDEX(pdates_grade_factor_tense,10),INDEX(pvals_grade_factor_tense,10),INDEX(pvals_grade_factor_tense,MATCH($A66,pdates_grade_factor_tense,1))+($A66-INDEX(pdates_grade_factor_tense,MATCH($A66,pdates_grade_factor_tense,1)))/(INDEX(pdates_grade_factor_tense,MATCH($A66,pdates_grade_factor_tense,1)+1)-INDEX(pdates_grade_factor_tense,MATCH($A66,pdates_grade_factor_tense,1)))*(INDEX(pvals_grade_factor_tense,MATCH($A66,pdates_grade_factor_tense,1)+1)-INDEX(pvals_grade_factor_tense,MATCH($A66,pdates_grade_factor_tense,1)))))</f>
        <v/>
      </c>
      <c r="AA66" s="8">
        <f>IF($A66&lt;=INDEX(pdates_grade_factor_mix_pit,1),INDEX(pvals_grade_factor_mix_pit,1),IF($A66&gt;=INDEX(pdates_grade_factor_mix_pit,10),INDEX(pvals_grade_factor_mix_pit,10),INDEX(pvals_grade_factor_mix_pit,MATCH($A66,pdates_grade_factor_mix_pit,1))+($A66-INDEX(pdates_grade_factor_mix_pit,MATCH($A66,pdates_grade_factor_mix_pit,1)))/(INDEX(pdates_grade_factor_mix_pit,MATCH($A66,pdates_grade_factor_mix_pit,1)+1)-INDEX(pdates_grade_factor_mix_pit,MATCH($A66,pdates_grade_factor_mix_pit,1)))*(INDEX(pvals_grade_factor_mix_pit,MATCH($A66,pdates_grade_factor_mix_pit,1)+1)-INDEX(pvals_grade_factor_mix_pit,MATCH($A66,pdates_grade_factor_mix_pit,1)))))</f>
        <v/>
      </c>
      <c r="AB66" s="16">
        <f>($B66*$F66/kg_per_mt*(1+bcd_primary_al_hs7601*(1+sws_rate_on_bcd))+mcx_domestic_premium_inr_kg)*(1+$I66*MAX(0,$Q66-$A66)/day_count_inr)</f>
        <v/>
      </c>
      <c r="AC66" s="16">
        <f>$M66-$AB66</f>
        <v/>
      </c>
      <c r="AD66" s="7" t="inlineStr">
        <is>
          <t>PROXY_IMPORT_PARITY</t>
        </is>
      </c>
      <c r="AE66" s="7" t="inlineStr">
        <is>
          <t>ECB_CROSS</t>
        </is>
      </c>
      <c r="AF66" s="7" t="inlineStr">
        <is>
          <t>WCI_REPORTED|USEC:EXTRAP_PRE|JEA:ASSUMPTION</t>
        </is>
      </c>
      <c r="AG66" s="17" t="b">
        <v>0</v>
      </c>
      <c r="AH66" s="17" t="b">
        <v>1</v>
      </c>
    </row>
    <row r="67">
      <c r="A67" s="11" t="n">
        <v>44650</v>
      </c>
      <c r="B67" s="13" t="n">
        <v>3508</v>
      </c>
      <c r="C67" s="13" t="n">
        <v>3527</v>
      </c>
      <c r="D67" s="13" t="n">
        <v>-19</v>
      </c>
      <c r="E67" s="13" t="n">
        <v>654475</v>
      </c>
      <c r="F67" s="13" t="n">
        <v>75.8404</v>
      </c>
      <c r="G67" s="6" t="n">
        <v>76.04770000000001</v>
      </c>
      <c r="H67" s="6" t="n">
        <v>76.455</v>
      </c>
      <c r="I67" s="14" t="n">
        <v>0.037798</v>
      </c>
      <c r="J67" s="14" t="n">
        <v>0.005523</v>
      </c>
      <c r="K67" s="14" t="n">
        <v>0.04</v>
      </c>
      <c r="L67" s="13" t="n">
        <v>287.9971</v>
      </c>
      <c r="M67" s="13" t="n">
        <v>288.0269</v>
      </c>
      <c r="N67" s="13" t="n">
        <v>288.8918</v>
      </c>
      <c r="O67" s="13" t="n">
        <v>21.91</v>
      </c>
      <c r="P67" s="13" t="n">
        <v>97.14</v>
      </c>
      <c r="Q67" s="12" t="n">
        <v>44651</v>
      </c>
      <c r="R67" s="12" t="n">
        <v>44680</v>
      </c>
      <c r="S67" s="8">
        <f>YEAR($Q67)*100+MONTH($Q67)</f>
        <v/>
      </c>
      <c r="T67" s="8">
        <f>YEAR($R67)*100+MONTH($R67)</f>
        <v/>
      </c>
      <c r="U67" s="15">
        <f>IF($A67&lt;=INDEX(pdates_wc_rate_inr_pa,1),INDEX(pvals_wc_rate_inr_pa,1),INDEX(pvals_wc_rate_inr_pa,MATCH($A67,pdates_wc_rate_inr_pa,1)))</f>
        <v/>
      </c>
      <c r="V67" s="8">
        <f>IF(AND($A67&gt;=customs_fx_first,$A67&lt;=customs_fx_last+customs_fx_notification_validity_days),IF($A67&lt;=INDEX(pdates_customs_usdinr_import,1),INDEX(pvals_customs_usdinr_import,1),INDEX(pvals_customs_usdinr_import,MATCH($A67,pdates_customs_usdinr_import,1))),$F67*(1+customs_fx_markup_frac))</f>
        <v/>
      </c>
      <c r="W67" s="8">
        <f>IF(AND($A67&gt;=customs_fx_first,$A67&lt;=customs_fx_last+customs_fx_notification_validity_days),"CBIC_NOTIFIED","MARKUP_FALLBACK")</f>
        <v/>
      </c>
      <c r="X67" s="8">
        <f>IF($A67&lt;=INDEX(pdates_grade_factor_zorba,1),INDEX(pvals_grade_factor_zorba,1),IF($A67&gt;=INDEX(pdates_grade_factor_zorba,10),INDEX(pvals_grade_factor_zorba,10),INDEX(pvals_grade_factor_zorba,MATCH($A67,pdates_grade_factor_zorba,1))+($A67-INDEX(pdates_grade_factor_zorba,MATCH($A67,pdates_grade_factor_zorba,1)))/(INDEX(pdates_grade_factor_zorba,MATCH($A67,pdates_grade_factor_zorba,1)+1)-INDEX(pdates_grade_factor_zorba,MATCH($A67,pdates_grade_factor_zorba,1)))*(INDEX(pvals_grade_factor_zorba,MATCH($A67,pdates_grade_factor_zorba,1)+1)-INDEX(pvals_grade_factor_zorba,MATCH($A67,pdates_grade_factor_zorba,1)))))</f>
        <v/>
      </c>
      <c r="Y67" s="8">
        <f>IF($A67&lt;=INDEX(pdates_grade_factor_taint_tabor,1),INDEX(pvals_grade_factor_taint_tabor,1),IF($A67&gt;=INDEX(pdates_grade_factor_taint_tabor,10),INDEX(pvals_grade_factor_taint_tabor,10),INDEX(pvals_grade_factor_taint_tabor,MATCH($A67,pdates_grade_factor_taint_tabor,1))+($A67-INDEX(pdates_grade_factor_taint_tabor,MATCH($A67,pdates_grade_factor_taint_tabor,1)))/(INDEX(pdates_grade_factor_taint_tabor,MATCH($A67,pdates_grade_factor_taint_tabor,1)+1)-INDEX(pdates_grade_factor_taint_tabor,MATCH($A67,pdates_grade_factor_taint_tabor,1)))*(INDEX(pvals_grade_factor_taint_tabor,MATCH($A67,pdates_grade_factor_taint_tabor,1)+1)-INDEX(pvals_grade_factor_taint_tabor,MATCH($A67,pdates_grade_factor_taint_tabor,1)))))</f>
        <v/>
      </c>
      <c r="Z67" s="8">
        <f>IF($A67&lt;=INDEX(pdates_grade_factor_tense,1),INDEX(pvals_grade_factor_tense,1),IF($A67&gt;=INDEX(pdates_grade_factor_tense,10),INDEX(pvals_grade_factor_tense,10),INDEX(pvals_grade_factor_tense,MATCH($A67,pdates_grade_factor_tense,1))+($A67-INDEX(pdates_grade_factor_tense,MATCH($A67,pdates_grade_factor_tense,1)))/(INDEX(pdates_grade_factor_tense,MATCH($A67,pdates_grade_factor_tense,1)+1)-INDEX(pdates_grade_factor_tense,MATCH($A67,pdates_grade_factor_tense,1)))*(INDEX(pvals_grade_factor_tense,MATCH($A67,pdates_grade_factor_tense,1)+1)-INDEX(pvals_grade_factor_tense,MATCH($A67,pdates_grade_factor_tense,1)))))</f>
        <v/>
      </c>
      <c r="AA67" s="8">
        <f>IF($A67&lt;=INDEX(pdates_grade_factor_mix_pit,1),INDEX(pvals_grade_factor_mix_pit,1),IF($A67&gt;=INDEX(pdates_grade_factor_mix_pit,10),INDEX(pvals_grade_factor_mix_pit,10),INDEX(pvals_grade_factor_mix_pit,MATCH($A67,pdates_grade_factor_mix_pit,1))+($A67-INDEX(pdates_grade_factor_mix_pit,MATCH($A67,pdates_grade_factor_mix_pit,1)))/(INDEX(pdates_grade_factor_mix_pit,MATCH($A67,pdates_grade_factor_mix_pit,1)+1)-INDEX(pdates_grade_factor_mix_pit,MATCH($A67,pdates_grade_factor_mix_pit,1)))*(INDEX(pvals_grade_factor_mix_pit,MATCH($A67,pdates_grade_factor_mix_pit,1)+1)-INDEX(pvals_grade_factor_mix_pit,MATCH($A67,pdates_grade_factor_mix_pit,1)))))</f>
        <v/>
      </c>
      <c r="AB67" s="16">
        <f>($B67*$F67/kg_per_mt*(1+bcd_primary_al_hs7601*(1+sws_rate_on_bcd))+mcx_domestic_premium_inr_kg)*(1+$I67*MAX(0,$Q67-$A67)/day_count_inr)</f>
        <v/>
      </c>
      <c r="AC67" s="16">
        <f>$M67-$AB67</f>
        <v/>
      </c>
      <c r="AD67" s="7" t="inlineStr">
        <is>
          <t>PROXY_IMPORT_PARITY</t>
        </is>
      </c>
      <c r="AE67" s="7" t="inlineStr">
        <is>
          <t>ECB_CROSS</t>
        </is>
      </c>
      <c r="AF67" s="7" t="inlineStr">
        <is>
          <t>WCI_REPORTED|USEC:EXTRAP_PRE|JEA:ASSUMPTION</t>
        </is>
      </c>
      <c r="AG67" s="17" t="b">
        <v>0</v>
      </c>
      <c r="AH67" s="17" t="b">
        <v>1</v>
      </c>
    </row>
    <row r="68">
      <c r="A68" s="11" t="n">
        <v>44651</v>
      </c>
      <c r="B68" s="13" t="n">
        <v>3503</v>
      </c>
      <c r="C68" s="13" t="n">
        <v>3518</v>
      </c>
      <c r="D68" s="13" t="n">
        <v>-15</v>
      </c>
      <c r="E68" s="13" t="n">
        <v>646850</v>
      </c>
      <c r="F68" s="13" t="n">
        <v>75.78959999999999</v>
      </c>
      <c r="G68" s="6" t="n">
        <v>75.99250000000001</v>
      </c>
      <c r="H68" s="6" t="n">
        <v>76.40470000000001</v>
      </c>
      <c r="I68" s="14" t="n">
        <v>0.037798</v>
      </c>
      <c r="J68" s="14" t="n">
        <v>0.005129</v>
      </c>
      <c r="K68" s="14" t="n">
        <v>0.04</v>
      </c>
      <c r="L68" s="13" t="n">
        <v>287.394</v>
      </c>
      <c r="M68" s="13" t="n">
        <v>287.394</v>
      </c>
      <c r="N68" s="13" t="n">
        <v>288.2571</v>
      </c>
      <c r="O68" s="13" t="n">
        <v>21.12</v>
      </c>
      <c r="P68" s="13" t="n">
        <v>93.66</v>
      </c>
      <c r="Q68" s="12" t="n">
        <v>44651</v>
      </c>
      <c r="R68" s="12" t="n">
        <v>44680</v>
      </c>
      <c r="S68" s="8">
        <f>YEAR($Q68)*100+MONTH($Q68)</f>
        <v/>
      </c>
      <c r="T68" s="8">
        <f>YEAR($R68)*100+MONTH($R68)</f>
        <v/>
      </c>
      <c r="U68" s="15">
        <f>IF($A68&lt;=INDEX(pdates_wc_rate_inr_pa,1),INDEX(pvals_wc_rate_inr_pa,1),INDEX(pvals_wc_rate_inr_pa,MATCH($A68,pdates_wc_rate_inr_pa,1)))</f>
        <v/>
      </c>
      <c r="V68" s="8">
        <f>IF(AND($A68&gt;=customs_fx_first,$A68&lt;=customs_fx_last+customs_fx_notification_validity_days),IF($A68&lt;=INDEX(pdates_customs_usdinr_import,1),INDEX(pvals_customs_usdinr_import,1),INDEX(pvals_customs_usdinr_import,MATCH($A68,pdates_customs_usdinr_import,1))),$F68*(1+customs_fx_markup_frac))</f>
        <v/>
      </c>
      <c r="W68" s="8">
        <f>IF(AND($A68&gt;=customs_fx_first,$A68&lt;=customs_fx_last+customs_fx_notification_validity_days),"CBIC_NOTIFIED","MARKUP_FALLBACK")</f>
        <v/>
      </c>
      <c r="X68" s="8">
        <f>IF($A68&lt;=INDEX(pdates_grade_factor_zorba,1),INDEX(pvals_grade_factor_zorba,1),IF($A68&gt;=INDEX(pdates_grade_factor_zorba,10),INDEX(pvals_grade_factor_zorba,10),INDEX(pvals_grade_factor_zorba,MATCH($A68,pdates_grade_factor_zorba,1))+($A68-INDEX(pdates_grade_factor_zorba,MATCH($A68,pdates_grade_factor_zorba,1)))/(INDEX(pdates_grade_factor_zorba,MATCH($A68,pdates_grade_factor_zorba,1)+1)-INDEX(pdates_grade_factor_zorba,MATCH($A68,pdates_grade_factor_zorba,1)))*(INDEX(pvals_grade_factor_zorba,MATCH($A68,pdates_grade_factor_zorba,1)+1)-INDEX(pvals_grade_factor_zorba,MATCH($A68,pdates_grade_factor_zorba,1)))))</f>
        <v/>
      </c>
      <c r="Y68" s="8">
        <f>IF($A68&lt;=INDEX(pdates_grade_factor_taint_tabor,1),INDEX(pvals_grade_factor_taint_tabor,1),IF($A68&gt;=INDEX(pdates_grade_factor_taint_tabor,10),INDEX(pvals_grade_factor_taint_tabor,10),INDEX(pvals_grade_factor_taint_tabor,MATCH($A68,pdates_grade_factor_taint_tabor,1))+($A68-INDEX(pdates_grade_factor_taint_tabor,MATCH($A68,pdates_grade_factor_taint_tabor,1)))/(INDEX(pdates_grade_factor_taint_tabor,MATCH($A68,pdates_grade_factor_taint_tabor,1)+1)-INDEX(pdates_grade_factor_taint_tabor,MATCH($A68,pdates_grade_factor_taint_tabor,1)))*(INDEX(pvals_grade_factor_taint_tabor,MATCH($A68,pdates_grade_factor_taint_tabor,1)+1)-INDEX(pvals_grade_factor_taint_tabor,MATCH($A68,pdates_grade_factor_taint_tabor,1)))))</f>
        <v/>
      </c>
      <c r="Z68" s="8">
        <f>IF($A68&lt;=INDEX(pdates_grade_factor_tense,1),INDEX(pvals_grade_factor_tense,1),IF($A68&gt;=INDEX(pdates_grade_factor_tense,10),INDEX(pvals_grade_factor_tense,10),INDEX(pvals_grade_factor_tense,MATCH($A68,pdates_grade_factor_tense,1))+($A68-INDEX(pdates_grade_factor_tense,MATCH($A68,pdates_grade_factor_tense,1)))/(INDEX(pdates_grade_factor_tense,MATCH($A68,pdates_grade_factor_tense,1)+1)-INDEX(pdates_grade_factor_tense,MATCH($A68,pdates_grade_factor_tense,1)))*(INDEX(pvals_grade_factor_tense,MATCH($A68,pdates_grade_factor_tense,1)+1)-INDEX(pvals_grade_factor_tense,MATCH($A68,pdates_grade_factor_tense,1)))))</f>
        <v/>
      </c>
      <c r="AA68" s="8">
        <f>IF($A68&lt;=INDEX(pdates_grade_factor_mix_pit,1),INDEX(pvals_grade_factor_mix_pit,1),IF($A68&gt;=INDEX(pdates_grade_factor_mix_pit,10),INDEX(pvals_grade_factor_mix_pit,10),INDEX(pvals_grade_factor_mix_pit,MATCH($A68,pdates_grade_factor_mix_pit,1))+($A68-INDEX(pdates_grade_factor_mix_pit,MATCH($A68,pdates_grade_factor_mix_pit,1)))/(INDEX(pdates_grade_factor_mix_pit,MATCH($A68,pdates_grade_factor_mix_pit,1)+1)-INDEX(pdates_grade_factor_mix_pit,MATCH($A68,pdates_grade_factor_mix_pit,1)))*(INDEX(pvals_grade_factor_mix_pit,MATCH($A68,pdates_grade_factor_mix_pit,1)+1)-INDEX(pvals_grade_factor_mix_pit,MATCH($A68,pdates_grade_factor_mix_pit,1)))))</f>
        <v/>
      </c>
      <c r="AB68" s="16">
        <f>($B68*$F68/kg_per_mt*(1+bcd_primary_al_hs7601*(1+sws_rate_on_bcd))+mcx_domestic_premium_inr_kg)*(1+$I68*MAX(0,$Q68-$A68)/day_count_inr)</f>
        <v/>
      </c>
      <c r="AC68" s="16">
        <f>$M68-$AB68</f>
        <v/>
      </c>
      <c r="AD68" s="7" t="inlineStr">
        <is>
          <t>PROXY_IMPORT_PARITY</t>
        </is>
      </c>
      <c r="AE68" s="7" t="inlineStr">
        <is>
          <t>ECB_CROSS</t>
        </is>
      </c>
      <c r="AF68" s="7" t="inlineStr">
        <is>
          <t>WCI_REPORTED|USEC:SIBLING|JEA:ASSUMPTION</t>
        </is>
      </c>
      <c r="AG68" s="17" t="b">
        <v>0</v>
      </c>
      <c r="AH68" s="17" t="b">
        <v>0</v>
      </c>
    </row>
    <row r="69">
      <c r="A69" s="11" t="n">
        <v>44652</v>
      </c>
      <c r="B69" s="13" t="n">
        <v>3483</v>
      </c>
      <c r="C69" s="13" t="n">
        <v>3499</v>
      </c>
      <c r="D69" s="13" t="n">
        <v>-16</v>
      </c>
      <c r="E69" s="13" t="n">
        <v>635975</v>
      </c>
      <c r="F69" s="13" t="n">
        <v>75.9905</v>
      </c>
      <c r="G69" s="6" t="n">
        <v>76.2025</v>
      </c>
      <c r="H69" s="6" t="n">
        <v>76.63290000000001</v>
      </c>
      <c r="I69" s="14" t="n">
        <v>0.039255</v>
      </c>
      <c r="J69" s="14" t="n">
        <v>0.005227</v>
      </c>
      <c r="K69" s="14" t="n">
        <v>0.04</v>
      </c>
      <c r="L69" s="13" t="n">
        <v>286.5106</v>
      </c>
      <c r="M69" s="13" t="n">
        <v>287.3734</v>
      </c>
      <c r="N69" s="13" t="n">
        <v>288.3594</v>
      </c>
      <c r="O69" s="13" t="n">
        <v>21.12</v>
      </c>
      <c r="P69" s="13" t="n">
        <v>93.66</v>
      </c>
      <c r="Q69" s="12" t="n">
        <v>44680</v>
      </c>
      <c r="R69" s="12" t="n">
        <v>44712</v>
      </c>
      <c r="S69" s="8">
        <f>YEAR($Q69)*100+MONTH($Q69)</f>
        <v/>
      </c>
      <c r="T69" s="8">
        <f>YEAR($R69)*100+MONTH($R69)</f>
        <v/>
      </c>
      <c r="U69" s="15">
        <f>IF($A69&lt;=INDEX(pdates_wc_rate_inr_pa,1),INDEX(pvals_wc_rate_inr_pa,1),INDEX(pvals_wc_rate_inr_pa,MATCH($A69,pdates_wc_rate_inr_pa,1)))</f>
        <v/>
      </c>
      <c r="V69" s="8">
        <f>IF(AND($A69&gt;=customs_fx_first,$A69&lt;=customs_fx_last+customs_fx_notification_validity_days),IF($A69&lt;=INDEX(pdates_customs_usdinr_import,1),INDEX(pvals_customs_usdinr_import,1),INDEX(pvals_customs_usdinr_import,MATCH($A69,pdates_customs_usdinr_import,1))),$F69*(1+customs_fx_markup_frac))</f>
        <v/>
      </c>
      <c r="W69" s="8">
        <f>IF(AND($A69&gt;=customs_fx_first,$A69&lt;=customs_fx_last+customs_fx_notification_validity_days),"CBIC_NOTIFIED","MARKUP_FALLBACK")</f>
        <v/>
      </c>
      <c r="X69" s="8">
        <f>IF($A69&lt;=INDEX(pdates_grade_factor_zorba,1),INDEX(pvals_grade_factor_zorba,1),IF($A69&gt;=INDEX(pdates_grade_factor_zorba,10),INDEX(pvals_grade_factor_zorba,10),INDEX(pvals_grade_factor_zorba,MATCH($A69,pdates_grade_factor_zorba,1))+($A69-INDEX(pdates_grade_factor_zorba,MATCH($A69,pdates_grade_factor_zorba,1)))/(INDEX(pdates_grade_factor_zorba,MATCH($A69,pdates_grade_factor_zorba,1)+1)-INDEX(pdates_grade_factor_zorba,MATCH($A69,pdates_grade_factor_zorba,1)))*(INDEX(pvals_grade_factor_zorba,MATCH($A69,pdates_grade_factor_zorba,1)+1)-INDEX(pvals_grade_factor_zorba,MATCH($A69,pdates_grade_factor_zorba,1)))))</f>
        <v/>
      </c>
      <c r="Y69" s="8">
        <f>IF($A69&lt;=INDEX(pdates_grade_factor_taint_tabor,1),INDEX(pvals_grade_factor_taint_tabor,1),IF($A69&gt;=INDEX(pdates_grade_factor_taint_tabor,10),INDEX(pvals_grade_factor_taint_tabor,10),INDEX(pvals_grade_factor_taint_tabor,MATCH($A69,pdates_grade_factor_taint_tabor,1))+($A69-INDEX(pdates_grade_factor_taint_tabor,MATCH($A69,pdates_grade_factor_taint_tabor,1)))/(INDEX(pdates_grade_factor_taint_tabor,MATCH($A69,pdates_grade_factor_taint_tabor,1)+1)-INDEX(pdates_grade_factor_taint_tabor,MATCH($A69,pdates_grade_factor_taint_tabor,1)))*(INDEX(pvals_grade_factor_taint_tabor,MATCH($A69,pdates_grade_factor_taint_tabor,1)+1)-INDEX(pvals_grade_factor_taint_tabor,MATCH($A69,pdates_grade_factor_taint_tabor,1)))))</f>
        <v/>
      </c>
      <c r="Z69" s="8">
        <f>IF($A69&lt;=INDEX(pdates_grade_factor_tense,1),INDEX(pvals_grade_factor_tense,1),IF($A69&gt;=INDEX(pdates_grade_factor_tense,10),INDEX(pvals_grade_factor_tense,10),INDEX(pvals_grade_factor_tense,MATCH($A69,pdates_grade_factor_tense,1))+($A69-INDEX(pdates_grade_factor_tense,MATCH($A69,pdates_grade_factor_tense,1)))/(INDEX(pdates_grade_factor_tense,MATCH($A69,pdates_grade_factor_tense,1)+1)-INDEX(pdates_grade_factor_tense,MATCH($A69,pdates_grade_factor_tense,1)))*(INDEX(pvals_grade_factor_tense,MATCH($A69,pdates_grade_factor_tense,1)+1)-INDEX(pvals_grade_factor_tense,MATCH($A69,pdates_grade_factor_tense,1)))))</f>
        <v/>
      </c>
      <c r="AA69" s="8">
        <f>IF($A69&lt;=INDEX(pdates_grade_factor_mix_pit,1),INDEX(pvals_grade_factor_mix_pit,1),IF($A69&gt;=INDEX(pdates_grade_factor_mix_pit,10),INDEX(pvals_grade_factor_mix_pit,10),INDEX(pvals_grade_factor_mix_pit,MATCH($A69,pdates_grade_factor_mix_pit,1))+($A69-INDEX(pdates_grade_factor_mix_pit,MATCH($A69,pdates_grade_factor_mix_pit,1)))/(INDEX(pdates_grade_factor_mix_pit,MATCH($A69,pdates_grade_factor_mix_pit,1)+1)-INDEX(pdates_grade_factor_mix_pit,MATCH($A69,pdates_grade_factor_mix_pit,1)))*(INDEX(pvals_grade_factor_mix_pit,MATCH($A69,pdates_grade_factor_mix_pit,1)+1)-INDEX(pvals_grade_factor_mix_pit,MATCH($A69,pdates_grade_factor_mix_pit,1)))))</f>
        <v/>
      </c>
      <c r="AB69" s="16">
        <f>($B69*$F69/kg_per_mt*(1+bcd_primary_al_hs7601*(1+sws_rate_on_bcd))+mcx_domestic_premium_inr_kg)*(1+$I69*MAX(0,$Q69-$A69)/day_count_inr)</f>
        <v/>
      </c>
      <c r="AC69" s="16">
        <f>$M69-$AB69</f>
        <v/>
      </c>
      <c r="AD69" s="7" t="inlineStr">
        <is>
          <t>PROXY_IMPORT_PARITY</t>
        </is>
      </c>
      <c r="AE69" s="7" t="inlineStr">
        <is>
          <t>ECB_CROSS</t>
        </is>
      </c>
      <c r="AF69" s="7" t="inlineStr">
        <is>
          <t>WCI_REPORTED|USEC:SIBLING|JEA:ASSUMPTION</t>
        </is>
      </c>
      <c r="AG69" s="17" t="b">
        <v>0</v>
      </c>
      <c r="AH69" s="17" t="b">
        <v>1</v>
      </c>
    </row>
    <row r="70">
      <c r="A70" s="11" t="n">
        <v>44655</v>
      </c>
      <c r="B70" s="13" t="n">
        <v>3444</v>
      </c>
      <c r="C70" s="13" t="n">
        <v>3461</v>
      </c>
      <c r="D70" s="13" t="n">
        <v>-17</v>
      </c>
      <c r="E70" s="13" t="n">
        <v>629775</v>
      </c>
      <c r="F70" s="13" t="n">
        <v>75.5275</v>
      </c>
      <c r="G70" s="6" t="n">
        <v>75.72880000000001</v>
      </c>
      <c r="H70" s="6" t="n">
        <v>76.13760000000001</v>
      </c>
      <c r="I70" s="14" t="n">
        <v>0.039255</v>
      </c>
      <c r="J70" s="14" t="n">
        <v>0.006707</v>
      </c>
      <c r="K70" s="14" t="n">
        <v>0.04</v>
      </c>
      <c r="L70" s="13" t="n">
        <v>281.5763</v>
      </c>
      <c r="M70" s="13" t="n">
        <v>282.3334</v>
      </c>
      <c r="N70" s="13" t="n">
        <v>283.3025</v>
      </c>
      <c r="O70" s="13" t="n">
        <v>21.12</v>
      </c>
      <c r="P70" s="13" t="n">
        <v>93.66</v>
      </c>
      <c r="Q70" s="12" t="n">
        <v>44680</v>
      </c>
      <c r="R70" s="12" t="n">
        <v>44712</v>
      </c>
      <c r="S70" s="8">
        <f>YEAR($Q70)*100+MONTH($Q70)</f>
        <v/>
      </c>
      <c r="T70" s="8">
        <f>YEAR($R70)*100+MONTH($R70)</f>
        <v/>
      </c>
      <c r="U70" s="15">
        <f>IF($A70&lt;=INDEX(pdates_wc_rate_inr_pa,1),INDEX(pvals_wc_rate_inr_pa,1),INDEX(pvals_wc_rate_inr_pa,MATCH($A70,pdates_wc_rate_inr_pa,1)))</f>
        <v/>
      </c>
      <c r="V70" s="8">
        <f>IF(AND($A70&gt;=customs_fx_first,$A70&lt;=customs_fx_last+customs_fx_notification_validity_days),IF($A70&lt;=INDEX(pdates_customs_usdinr_import,1),INDEX(pvals_customs_usdinr_import,1),INDEX(pvals_customs_usdinr_import,MATCH($A70,pdates_customs_usdinr_import,1))),$F70*(1+customs_fx_markup_frac))</f>
        <v/>
      </c>
      <c r="W70" s="8">
        <f>IF(AND($A70&gt;=customs_fx_first,$A70&lt;=customs_fx_last+customs_fx_notification_validity_days),"CBIC_NOTIFIED","MARKUP_FALLBACK")</f>
        <v/>
      </c>
      <c r="X70" s="8">
        <f>IF($A70&lt;=INDEX(pdates_grade_factor_zorba,1),INDEX(pvals_grade_factor_zorba,1),IF($A70&gt;=INDEX(pdates_grade_factor_zorba,10),INDEX(pvals_grade_factor_zorba,10),INDEX(pvals_grade_factor_zorba,MATCH($A70,pdates_grade_factor_zorba,1))+($A70-INDEX(pdates_grade_factor_zorba,MATCH($A70,pdates_grade_factor_zorba,1)))/(INDEX(pdates_grade_factor_zorba,MATCH($A70,pdates_grade_factor_zorba,1)+1)-INDEX(pdates_grade_factor_zorba,MATCH($A70,pdates_grade_factor_zorba,1)))*(INDEX(pvals_grade_factor_zorba,MATCH($A70,pdates_grade_factor_zorba,1)+1)-INDEX(pvals_grade_factor_zorba,MATCH($A70,pdates_grade_factor_zorba,1)))))</f>
        <v/>
      </c>
      <c r="Y70" s="8">
        <f>IF($A70&lt;=INDEX(pdates_grade_factor_taint_tabor,1),INDEX(pvals_grade_factor_taint_tabor,1),IF($A70&gt;=INDEX(pdates_grade_factor_taint_tabor,10),INDEX(pvals_grade_factor_taint_tabor,10),INDEX(pvals_grade_factor_taint_tabor,MATCH($A70,pdates_grade_factor_taint_tabor,1))+($A70-INDEX(pdates_grade_factor_taint_tabor,MATCH($A70,pdates_grade_factor_taint_tabor,1)))/(INDEX(pdates_grade_factor_taint_tabor,MATCH($A70,pdates_grade_factor_taint_tabor,1)+1)-INDEX(pdates_grade_factor_taint_tabor,MATCH($A70,pdates_grade_factor_taint_tabor,1)))*(INDEX(pvals_grade_factor_taint_tabor,MATCH($A70,pdates_grade_factor_taint_tabor,1)+1)-INDEX(pvals_grade_factor_taint_tabor,MATCH($A70,pdates_grade_factor_taint_tabor,1)))))</f>
        <v/>
      </c>
      <c r="Z70" s="8">
        <f>IF($A70&lt;=INDEX(pdates_grade_factor_tense,1),INDEX(pvals_grade_factor_tense,1),IF($A70&gt;=INDEX(pdates_grade_factor_tense,10),INDEX(pvals_grade_factor_tense,10),INDEX(pvals_grade_factor_tense,MATCH($A70,pdates_grade_factor_tense,1))+($A70-INDEX(pdates_grade_factor_tense,MATCH($A70,pdates_grade_factor_tense,1)))/(INDEX(pdates_grade_factor_tense,MATCH($A70,pdates_grade_factor_tense,1)+1)-INDEX(pdates_grade_factor_tense,MATCH($A70,pdates_grade_factor_tense,1)))*(INDEX(pvals_grade_factor_tense,MATCH($A70,pdates_grade_factor_tense,1)+1)-INDEX(pvals_grade_factor_tense,MATCH($A70,pdates_grade_factor_tense,1)))))</f>
        <v/>
      </c>
      <c r="AA70" s="8">
        <f>IF($A70&lt;=INDEX(pdates_grade_factor_mix_pit,1),INDEX(pvals_grade_factor_mix_pit,1),IF($A70&gt;=INDEX(pdates_grade_factor_mix_pit,10),INDEX(pvals_grade_factor_mix_pit,10),INDEX(pvals_grade_factor_mix_pit,MATCH($A70,pdates_grade_factor_mix_pit,1))+($A70-INDEX(pdates_grade_factor_mix_pit,MATCH($A70,pdates_grade_factor_mix_pit,1)))/(INDEX(pdates_grade_factor_mix_pit,MATCH($A70,pdates_grade_factor_mix_pit,1)+1)-INDEX(pdates_grade_factor_mix_pit,MATCH($A70,pdates_grade_factor_mix_pit,1)))*(INDEX(pvals_grade_factor_mix_pit,MATCH($A70,pdates_grade_factor_mix_pit,1)+1)-INDEX(pvals_grade_factor_mix_pit,MATCH($A70,pdates_grade_factor_mix_pit,1)))))</f>
        <v/>
      </c>
      <c r="AB70" s="16">
        <f>($B70*$F70/kg_per_mt*(1+bcd_primary_al_hs7601*(1+sws_rate_on_bcd))+mcx_domestic_premium_inr_kg)*(1+$I70*MAX(0,$Q70-$A70)/day_count_inr)</f>
        <v/>
      </c>
      <c r="AC70" s="16">
        <f>$M70-$AB70</f>
        <v/>
      </c>
      <c r="AD70" s="7" t="inlineStr">
        <is>
          <t>PROXY_IMPORT_PARITY</t>
        </is>
      </c>
      <c r="AE70" s="7" t="inlineStr">
        <is>
          <t>ECB_CROSS</t>
        </is>
      </c>
      <c r="AF70" s="7" t="inlineStr">
        <is>
          <t>WCI_REPORTED|USEC:SIBLING|JEA:ASSUMPTION</t>
        </is>
      </c>
      <c r="AG70" s="17" t="b">
        <v>0</v>
      </c>
      <c r="AH70" s="17" t="b">
        <v>1</v>
      </c>
    </row>
    <row r="71">
      <c r="A71" s="11" t="n">
        <v>44656</v>
      </c>
      <c r="B71" s="13" t="n">
        <v>3415</v>
      </c>
      <c r="C71" s="13" t="n">
        <v>3441</v>
      </c>
      <c r="D71" s="13" t="n">
        <v>-26</v>
      </c>
      <c r="E71" s="13" t="n">
        <v>623325</v>
      </c>
      <c r="F71" s="13" t="n">
        <v>75.33499999999999</v>
      </c>
      <c r="G71" s="6" t="n">
        <v>75.5371</v>
      </c>
      <c r="H71" s="6" t="n">
        <v>75.9474</v>
      </c>
      <c r="I71" s="14" t="n">
        <v>0.039255</v>
      </c>
      <c r="J71" s="14" t="n">
        <v>0.00651</v>
      </c>
      <c r="K71" s="14" t="n">
        <v>0.04</v>
      </c>
      <c r="L71" s="13" t="n">
        <v>278.4937</v>
      </c>
      <c r="M71" s="13" t="n">
        <v>279.2126</v>
      </c>
      <c r="N71" s="13" t="n">
        <v>280.171</v>
      </c>
      <c r="O71" s="13" t="n">
        <v>21.12</v>
      </c>
      <c r="P71" s="13" t="n">
        <v>93.66</v>
      </c>
      <c r="Q71" s="12" t="n">
        <v>44680</v>
      </c>
      <c r="R71" s="12" t="n">
        <v>44712</v>
      </c>
      <c r="S71" s="8">
        <f>YEAR($Q71)*100+MONTH($Q71)</f>
        <v/>
      </c>
      <c r="T71" s="8">
        <f>YEAR($R71)*100+MONTH($R71)</f>
        <v/>
      </c>
      <c r="U71" s="15">
        <f>IF($A71&lt;=INDEX(pdates_wc_rate_inr_pa,1),INDEX(pvals_wc_rate_inr_pa,1),INDEX(pvals_wc_rate_inr_pa,MATCH($A71,pdates_wc_rate_inr_pa,1)))</f>
        <v/>
      </c>
      <c r="V71" s="8">
        <f>IF(AND($A71&gt;=customs_fx_first,$A71&lt;=customs_fx_last+customs_fx_notification_validity_days),IF($A71&lt;=INDEX(pdates_customs_usdinr_import,1),INDEX(pvals_customs_usdinr_import,1),INDEX(pvals_customs_usdinr_import,MATCH($A71,pdates_customs_usdinr_import,1))),$F71*(1+customs_fx_markup_frac))</f>
        <v/>
      </c>
      <c r="W71" s="8">
        <f>IF(AND($A71&gt;=customs_fx_first,$A71&lt;=customs_fx_last+customs_fx_notification_validity_days),"CBIC_NOTIFIED","MARKUP_FALLBACK")</f>
        <v/>
      </c>
      <c r="X71" s="8">
        <f>IF($A71&lt;=INDEX(pdates_grade_factor_zorba,1),INDEX(pvals_grade_factor_zorba,1),IF($A71&gt;=INDEX(pdates_grade_factor_zorba,10),INDEX(pvals_grade_factor_zorba,10),INDEX(pvals_grade_factor_zorba,MATCH($A71,pdates_grade_factor_zorba,1))+($A71-INDEX(pdates_grade_factor_zorba,MATCH($A71,pdates_grade_factor_zorba,1)))/(INDEX(pdates_grade_factor_zorba,MATCH($A71,pdates_grade_factor_zorba,1)+1)-INDEX(pdates_grade_factor_zorba,MATCH($A71,pdates_grade_factor_zorba,1)))*(INDEX(pvals_grade_factor_zorba,MATCH($A71,pdates_grade_factor_zorba,1)+1)-INDEX(pvals_grade_factor_zorba,MATCH($A71,pdates_grade_factor_zorba,1)))))</f>
        <v/>
      </c>
      <c r="Y71" s="8">
        <f>IF($A71&lt;=INDEX(pdates_grade_factor_taint_tabor,1),INDEX(pvals_grade_factor_taint_tabor,1),IF($A71&gt;=INDEX(pdates_grade_factor_taint_tabor,10),INDEX(pvals_grade_factor_taint_tabor,10),INDEX(pvals_grade_factor_taint_tabor,MATCH($A71,pdates_grade_factor_taint_tabor,1))+($A71-INDEX(pdates_grade_factor_taint_tabor,MATCH($A71,pdates_grade_factor_taint_tabor,1)))/(INDEX(pdates_grade_factor_taint_tabor,MATCH($A71,pdates_grade_factor_taint_tabor,1)+1)-INDEX(pdates_grade_factor_taint_tabor,MATCH($A71,pdates_grade_factor_taint_tabor,1)))*(INDEX(pvals_grade_factor_taint_tabor,MATCH($A71,pdates_grade_factor_taint_tabor,1)+1)-INDEX(pvals_grade_factor_taint_tabor,MATCH($A71,pdates_grade_factor_taint_tabor,1)))))</f>
        <v/>
      </c>
      <c r="Z71" s="8">
        <f>IF($A71&lt;=INDEX(pdates_grade_factor_tense,1),INDEX(pvals_grade_factor_tense,1),IF($A71&gt;=INDEX(pdates_grade_factor_tense,10),INDEX(pvals_grade_factor_tense,10),INDEX(pvals_grade_factor_tense,MATCH($A71,pdates_grade_factor_tense,1))+($A71-INDEX(pdates_grade_factor_tense,MATCH($A71,pdates_grade_factor_tense,1)))/(INDEX(pdates_grade_factor_tense,MATCH($A71,pdates_grade_factor_tense,1)+1)-INDEX(pdates_grade_factor_tense,MATCH($A71,pdates_grade_factor_tense,1)))*(INDEX(pvals_grade_factor_tense,MATCH($A71,pdates_grade_factor_tense,1)+1)-INDEX(pvals_grade_factor_tense,MATCH($A71,pdates_grade_factor_tense,1)))))</f>
        <v/>
      </c>
      <c r="AA71" s="8">
        <f>IF($A71&lt;=INDEX(pdates_grade_factor_mix_pit,1),INDEX(pvals_grade_factor_mix_pit,1),IF($A71&gt;=INDEX(pdates_grade_factor_mix_pit,10),INDEX(pvals_grade_factor_mix_pit,10),INDEX(pvals_grade_factor_mix_pit,MATCH($A71,pdates_grade_factor_mix_pit,1))+($A71-INDEX(pdates_grade_factor_mix_pit,MATCH($A71,pdates_grade_factor_mix_pit,1)))/(INDEX(pdates_grade_factor_mix_pit,MATCH($A71,pdates_grade_factor_mix_pit,1)+1)-INDEX(pdates_grade_factor_mix_pit,MATCH($A71,pdates_grade_factor_mix_pit,1)))*(INDEX(pvals_grade_factor_mix_pit,MATCH($A71,pdates_grade_factor_mix_pit,1)+1)-INDEX(pvals_grade_factor_mix_pit,MATCH($A71,pdates_grade_factor_mix_pit,1)))))</f>
        <v/>
      </c>
      <c r="AB71" s="16">
        <f>($B71*$F71/kg_per_mt*(1+bcd_primary_al_hs7601*(1+sws_rate_on_bcd))+mcx_domestic_premium_inr_kg)*(1+$I71*MAX(0,$Q71-$A71)/day_count_inr)</f>
        <v/>
      </c>
      <c r="AC71" s="16">
        <f>$M71-$AB71</f>
        <v/>
      </c>
      <c r="AD71" s="7" t="inlineStr">
        <is>
          <t>PROXY_IMPORT_PARITY</t>
        </is>
      </c>
      <c r="AE71" s="7" t="inlineStr">
        <is>
          <t>ECB_CROSS</t>
        </is>
      </c>
      <c r="AF71" s="7" t="inlineStr">
        <is>
          <t>WCI_REPORTED|USEC:SIBLING|JEA:ASSUMPTION</t>
        </is>
      </c>
      <c r="AG71" s="17" t="b">
        <v>0</v>
      </c>
      <c r="AH71" s="17" t="b">
        <v>1</v>
      </c>
    </row>
    <row r="72">
      <c r="A72" s="11" t="n">
        <v>44657</v>
      </c>
      <c r="B72" s="13" t="n">
        <v>3443.5</v>
      </c>
      <c r="C72" s="13" t="n">
        <v>3467</v>
      </c>
      <c r="D72" s="13" t="n">
        <v>-23.5</v>
      </c>
      <c r="E72" s="13" t="n">
        <v>619875</v>
      </c>
      <c r="F72" s="13" t="n">
        <v>75.8348</v>
      </c>
      <c r="G72" s="6" t="n">
        <v>76.0369</v>
      </c>
      <c r="H72" s="6" t="n">
        <v>76.4473</v>
      </c>
      <c r="I72" s="14" t="n">
        <v>0.039255</v>
      </c>
      <c r="J72" s="14" t="n">
        <v>0.006707</v>
      </c>
      <c r="K72" s="14" t="n">
        <v>0.04</v>
      </c>
      <c r="L72" s="13" t="n">
        <v>282.6809</v>
      </c>
      <c r="M72" s="13" t="n">
        <v>283.3802</v>
      </c>
      <c r="N72" s="13" t="n">
        <v>284.353</v>
      </c>
      <c r="O72" s="13" t="n">
        <v>21.12</v>
      </c>
      <c r="P72" s="13" t="n">
        <v>93.66</v>
      </c>
      <c r="Q72" s="12" t="n">
        <v>44680</v>
      </c>
      <c r="R72" s="12" t="n">
        <v>44712</v>
      </c>
      <c r="S72" s="8">
        <f>YEAR($Q72)*100+MONTH($Q72)</f>
        <v/>
      </c>
      <c r="T72" s="8">
        <f>YEAR($R72)*100+MONTH($R72)</f>
        <v/>
      </c>
      <c r="U72" s="15">
        <f>IF($A72&lt;=INDEX(pdates_wc_rate_inr_pa,1),INDEX(pvals_wc_rate_inr_pa,1),INDEX(pvals_wc_rate_inr_pa,MATCH($A72,pdates_wc_rate_inr_pa,1)))</f>
        <v/>
      </c>
      <c r="V72" s="8">
        <f>IF(AND($A72&gt;=customs_fx_first,$A72&lt;=customs_fx_last+customs_fx_notification_validity_days),IF($A72&lt;=INDEX(pdates_customs_usdinr_import,1),INDEX(pvals_customs_usdinr_import,1),INDEX(pvals_customs_usdinr_import,MATCH($A72,pdates_customs_usdinr_import,1))),$F72*(1+customs_fx_markup_frac))</f>
        <v/>
      </c>
      <c r="W72" s="8">
        <f>IF(AND($A72&gt;=customs_fx_first,$A72&lt;=customs_fx_last+customs_fx_notification_validity_days),"CBIC_NOTIFIED","MARKUP_FALLBACK")</f>
        <v/>
      </c>
      <c r="X72" s="8">
        <f>IF($A72&lt;=INDEX(pdates_grade_factor_zorba,1),INDEX(pvals_grade_factor_zorba,1),IF($A72&gt;=INDEX(pdates_grade_factor_zorba,10),INDEX(pvals_grade_factor_zorba,10),INDEX(pvals_grade_factor_zorba,MATCH($A72,pdates_grade_factor_zorba,1))+($A72-INDEX(pdates_grade_factor_zorba,MATCH($A72,pdates_grade_factor_zorba,1)))/(INDEX(pdates_grade_factor_zorba,MATCH($A72,pdates_grade_factor_zorba,1)+1)-INDEX(pdates_grade_factor_zorba,MATCH($A72,pdates_grade_factor_zorba,1)))*(INDEX(pvals_grade_factor_zorba,MATCH($A72,pdates_grade_factor_zorba,1)+1)-INDEX(pvals_grade_factor_zorba,MATCH($A72,pdates_grade_factor_zorba,1)))))</f>
        <v/>
      </c>
      <c r="Y72" s="8">
        <f>IF($A72&lt;=INDEX(pdates_grade_factor_taint_tabor,1),INDEX(pvals_grade_factor_taint_tabor,1),IF($A72&gt;=INDEX(pdates_grade_factor_taint_tabor,10),INDEX(pvals_grade_factor_taint_tabor,10),INDEX(pvals_grade_factor_taint_tabor,MATCH($A72,pdates_grade_factor_taint_tabor,1))+($A72-INDEX(pdates_grade_factor_taint_tabor,MATCH($A72,pdates_grade_factor_taint_tabor,1)))/(INDEX(pdates_grade_factor_taint_tabor,MATCH($A72,pdates_grade_factor_taint_tabor,1)+1)-INDEX(pdates_grade_factor_taint_tabor,MATCH($A72,pdates_grade_factor_taint_tabor,1)))*(INDEX(pvals_grade_factor_taint_tabor,MATCH($A72,pdates_grade_factor_taint_tabor,1)+1)-INDEX(pvals_grade_factor_taint_tabor,MATCH($A72,pdates_grade_factor_taint_tabor,1)))))</f>
        <v/>
      </c>
      <c r="Z72" s="8">
        <f>IF($A72&lt;=INDEX(pdates_grade_factor_tense,1),INDEX(pvals_grade_factor_tense,1),IF($A72&gt;=INDEX(pdates_grade_factor_tense,10),INDEX(pvals_grade_factor_tense,10),INDEX(pvals_grade_factor_tense,MATCH($A72,pdates_grade_factor_tense,1))+($A72-INDEX(pdates_grade_factor_tense,MATCH($A72,pdates_grade_factor_tense,1)))/(INDEX(pdates_grade_factor_tense,MATCH($A72,pdates_grade_factor_tense,1)+1)-INDEX(pdates_grade_factor_tense,MATCH($A72,pdates_grade_factor_tense,1)))*(INDEX(pvals_grade_factor_tense,MATCH($A72,pdates_grade_factor_tense,1)+1)-INDEX(pvals_grade_factor_tense,MATCH($A72,pdates_grade_factor_tense,1)))))</f>
        <v/>
      </c>
      <c r="AA72" s="8">
        <f>IF($A72&lt;=INDEX(pdates_grade_factor_mix_pit,1),INDEX(pvals_grade_factor_mix_pit,1),IF($A72&gt;=INDEX(pdates_grade_factor_mix_pit,10),INDEX(pvals_grade_factor_mix_pit,10),INDEX(pvals_grade_factor_mix_pit,MATCH($A72,pdates_grade_factor_mix_pit,1))+($A72-INDEX(pdates_grade_factor_mix_pit,MATCH($A72,pdates_grade_factor_mix_pit,1)))/(INDEX(pdates_grade_factor_mix_pit,MATCH($A72,pdates_grade_factor_mix_pit,1)+1)-INDEX(pdates_grade_factor_mix_pit,MATCH($A72,pdates_grade_factor_mix_pit,1)))*(INDEX(pvals_grade_factor_mix_pit,MATCH($A72,pdates_grade_factor_mix_pit,1)+1)-INDEX(pvals_grade_factor_mix_pit,MATCH($A72,pdates_grade_factor_mix_pit,1)))))</f>
        <v/>
      </c>
      <c r="AB72" s="16">
        <f>($B72*$F72/kg_per_mt*(1+bcd_primary_al_hs7601*(1+sws_rate_on_bcd))+mcx_domestic_premium_inr_kg)*(1+$I72*MAX(0,$Q72-$A72)/day_count_inr)</f>
        <v/>
      </c>
      <c r="AC72" s="16">
        <f>$M72-$AB72</f>
        <v/>
      </c>
      <c r="AD72" s="7" t="inlineStr">
        <is>
          <t>PROXY_IMPORT_PARITY</t>
        </is>
      </c>
      <c r="AE72" s="7" t="inlineStr">
        <is>
          <t>ECB_CROSS</t>
        </is>
      </c>
      <c r="AF72" s="7" t="inlineStr">
        <is>
          <t>WCI_REPORTED|USEC:SIBLING|JEA:ASSUMPTION</t>
        </is>
      </c>
      <c r="AG72" s="17" t="b">
        <v>0</v>
      </c>
      <c r="AH72" s="17" t="b">
        <v>1</v>
      </c>
    </row>
    <row r="73">
      <c r="A73" s="11" t="n">
        <v>44658</v>
      </c>
      <c r="B73" s="13" t="n">
        <v>3346</v>
      </c>
      <c r="C73" s="13" t="n">
        <v>3374</v>
      </c>
      <c r="D73" s="13" t="n">
        <v>-28</v>
      </c>
      <c r="E73" s="13" t="n">
        <v>619775</v>
      </c>
      <c r="F73" s="13" t="n">
        <v>75.9903</v>
      </c>
      <c r="G73" s="6" t="n">
        <v>76.1923</v>
      </c>
      <c r="H73" s="6" t="n">
        <v>76.6022</v>
      </c>
      <c r="I73" s="14" t="n">
        <v>0.039255</v>
      </c>
      <c r="J73" s="14" t="n">
        <v>0.006805</v>
      </c>
      <c r="K73" s="14" t="n">
        <v>0.04</v>
      </c>
      <c r="L73" s="13" t="n">
        <v>275.2403</v>
      </c>
      <c r="M73" s="13" t="n">
        <v>275.8915</v>
      </c>
      <c r="N73" s="13" t="n">
        <v>276.8388</v>
      </c>
      <c r="O73" s="13" t="n">
        <v>21.11</v>
      </c>
      <c r="P73" s="13" t="n">
        <v>93.59999999999999</v>
      </c>
      <c r="Q73" s="12" t="n">
        <v>44680</v>
      </c>
      <c r="R73" s="12" t="n">
        <v>44712</v>
      </c>
      <c r="S73" s="8">
        <f>YEAR($Q73)*100+MONTH($Q73)</f>
        <v/>
      </c>
      <c r="T73" s="8">
        <f>YEAR($R73)*100+MONTH($R73)</f>
        <v/>
      </c>
      <c r="U73" s="15">
        <f>IF($A73&lt;=INDEX(pdates_wc_rate_inr_pa,1),INDEX(pvals_wc_rate_inr_pa,1),INDEX(pvals_wc_rate_inr_pa,MATCH($A73,pdates_wc_rate_inr_pa,1)))</f>
        <v/>
      </c>
      <c r="V73" s="8">
        <f>IF(AND($A73&gt;=customs_fx_first,$A73&lt;=customs_fx_last+customs_fx_notification_validity_days),IF($A73&lt;=INDEX(pdates_customs_usdinr_import,1),INDEX(pvals_customs_usdinr_import,1),INDEX(pvals_customs_usdinr_import,MATCH($A73,pdates_customs_usdinr_import,1))),$F73*(1+customs_fx_markup_frac))</f>
        <v/>
      </c>
      <c r="W73" s="8">
        <f>IF(AND($A73&gt;=customs_fx_first,$A73&lt;=customs_fx_last+customs_fx_notification_validity_days),"CBIC_NOTIFIED","MARKUP_FALLBACK")</f>
        <v/>
      </c>
      <c r="X73" s="8">
        <f>IF($A73&lt;=INDEX(pdates_grade_factor_zorba,1),INDEX(pvals_grade_factor_zorba,1),IF($A73&gt;=INDEX(pdates_grade_factor_zorba,10),INDEX(pvals_grade_factor_zorba,10),INDEX(pvals_grade_factor_zorba,MATCH($A73,pdates_grade_factor_zorba,1))+($A73-INDEX(pdates_grade_factor_zorba,MATCH($A73,pdates_grade_factor_zorba,1)))/(INDEX(pdates_grade_factor_zorba,MATCH($A73,pdates_grade_factor_zorba,1)+1)-INDEX(pdates_grade_factor_zorba,MATCH($A73,pdates_grade_factor_zorba,1)))*(INDEX(pvals_grade_factor_zorba,MATCH($A73,pdates_grade_factor_zorba,1)+1)-INDEX(pvals_grade_factor_zorba,MATCH($A73,pdates_grade_factor_zorba,1)))))</f>
        <v/>
      </c>
      <c r="Y73" s="8">
        <f>IF($A73&lt;=INDEX(pdates_grade_factor_taint_tabor,1),INDEX(pvals_grade_factor_taint_tabor,1),IF($A73&gt;=INDEX(pdates_grade_factor_taint_tabor,10),INDEX(pvals_grade_factor_taint_tabor,10),INDEX(pvals_grade_factor_taint_tabor,MATCH($A73,pdates_grade_factor_taint_tabor,1))+($A73-INDEX(pdates_grade_factor_taint_tabor,MATCH($A73,pdates_grade_factor_taint_tabor,1)))/(INDEX(pdates_grade_factor_taint_tabor,MATCH($A73,pdates_grade_factor_taint_tabor,1)+1)-INDEX(pdates_grade_factor_taint_tabor,MATCH($A73,pdates_grade_factor_taint_tabor,1)))*(INDEX(pvals_grade_factor_taint_tabor,MATCH($A73,pdates_grade_factor_taint_tabor,1)+1)-INDEX(pvals_grade_factor_taint_tabor,MATCH($A73,pdates_grade_factor_taint_tabor,1)))))</f>
        <v/>
      </c>
      <c r="Z73" s="8">
        <f>IF($A73&lt;=INDEX(pdates_grade_factor_tense,1),INDEX(pvals_grade_factor_tense,1),IF($A73&gt;=INDEX(pdates_grade_factor_tense,10),INDEX(pvals_grade_factor_tense,10),INDEX(pvals_grade_factor_tense,MATCH($A73,pdates_grade_factor_tense,1))+($A73-INDEX(pdates_grade_factor_tense,MATCH($A73,pdates_grade_factor_tense,1)))/(INDEX(pdates_grade_factor_tense,MATCH($A73,pdates_grade_factor_tense,1)+1)-INDEX(pdates_grade_factor_tense,MATCH($A73,pdates_grade_factor_tense,1)))*(INDEX(pvals_grade_factor_tense,MATCH($A73,pdates_grade_factor_tense,1)+1)-INDEX(pvals_grade_factor_tense,MATCH($A73,pdates_grade_factor_tense,1)))))</f>
        <v/>
      </c>
      <c r="AA73" s="8">
        <f>IF($A73&lt;=INDEX(pdates_grade_factor_mix_pit,1),INDEX(pvals_grade_factor_mix_pit,1),IF($A73&gt;=INDEX(pdates_grade_factor_mix_pit,10),INDEX(pvals_grade_factor_mix_pit,10),INDEX(pvals_grade_factor_mix_pit,MATCH($A73,pdates_grade_factor_mix_pit,1))+($A73-INDEX(pdates_grade_factor_mix_pit,MATCH($A73,pdates_grade_factor_mix_pit,1)))/(INDEX(pdates_grade_factor_mix_pit,MATCH($A73,pdates_grade_factor_mix_pit,1)+1)-INDEX(pdates_grade_factor_mix_pit,MATCH($A73,pdates_grade_factor_mix_pit,1)))*(INDEX(pvals_grade_factor_mix_pit,MATCH($A73,pdates_grade_factor_mix_pit,1)+1)-INDEX(pvals_grade_factor_mix_pit,MATCH($A73,pdates_grade_factor_mix_pit,1)))))</f>
        <v/>
      </c>
      <c r="AB73" s="16">
        <f>($B73*$F73/kg_per_mt*(1+bcd_primary_al_hs7601*(1+sws_rate_on_bcd))+mcx_domestic_premium_inr_kg)*(1+$I73*MAX(0,$Q73-$A73)/day_count_inr)</f>
        <v/>
      </c>
      <c r="AC73" s="16">
        <f>$M73-$AB73</f>
        <v/>
      </c>
      <c r="AD73" s="7" t="inlineStr">
        <is>
          <t>PROXY_IMPORT_PARITY</t>
        </is>
      </c>
      <c r="AE73" s="7" t="inlineStr">
        <is>
          <t>ECB_CROSS</t>
        </is>
      </c>
      <c r="AF73" s="7" t="inlineStr">
        <is>
          <t>WCI_REPORTED|USEC:SIBLING|JEA:ASSUMPTION</t>
        </is>
      </c>
      <c r="AG73" s="17" t="b">
        <v>0</v>
      </c>
      <c r="AH73" s="17" t="b">
        <v>0</v>
      </c>
    </row>
    <row r="74">
      <c r="A74" s="11" t="n">
        <v>44659</v>
      </c>
      <c r="B74" s="13" t="n">
        <v>3395</v>
      </c>
      <c r="C74" s="13" t="n">
        <v>3423</v>
      </c>
      <c r="D74" s="13" t="n">
        <v>-28</v>
      </c>
      <c r="E74" s="13" t="n">
        <v>615750</v>
      </c>
      <c r="F74" s="13" t="n">
        <v>75.85769999999999</v>
      </c>
      <c r="G74" s="6" t="n">
        <v>76.0586</v>
      </c>
      <c r="H74" s="6" t="n">
        <v>76.4666</v>
      </c>
      <c r="I74" s="14" t="n">
        <v>0.039255</v>
      </c>
      <c r="J74" s="14" t="n">
        <v>0.006904</v>
      </c>
      <c r="K74" s="14" t="n">
        <v>0.04</v>
      </c>
      <c r="L74" s="13" t="n">
        <v>278.7837</v>
      </c>
      <c r="M74" s="13" t="n">
        <v>279.4133</v>
      </c>
      <c r="N74" s="13" t="n">
        <v>280.3728</v>
      </c>
      <c r="O74" s="13" t="n">
        <v>21.11</v>
      </c>
      <c r="P74" s="13" t="n">
        <v>93.59999999999999</v>
      </c>
      <c r="Q74" s="12" t="n">
        <v>44680</v>
      </c>
      <c r="R74" s="12" t="n">
        <v>44712</v>
      </c>
      <c r="S74" s="8">
        <f>YEAR($Q74)*100+MONTH($Q74)</f>
        <v/>
      </c>
      <c r="T74" s="8">
        <f>YEAR($R74)*100+MONTH($R74)</f>
        <v/>
      </c>
      <c r="U74" s="15">
        <f>IF($A74&lt;=INDEX(pdates_wc_rate_inr_pa,1),INDEX(pvals_wc_rate_inr_pa,1),INDEX(pvals_wc_rate_inr_pa,MATCH($A74,pdates_wc_rate_inr_pa,1)))</f>
        <v/>
      </c>
      <c r="V74" s="8">
        <f>IF(AND($A74&gt;=customs_fx_first,$A74&lt;=customs_fx_last+customs_fx_notification_validity_days),IF($A74&lt;=INDEX(pdates_customs_usdinr_import,1),INDEX(pvals_customs_usdinr_import,1),INDEX(pvals_customs_usdinr_import,MATCH($A74,pdates_customs_usdinr_import,1))),$F74*(1+customs_fx_markup_frac))</f>
        <v/>
      </c>
      <c r="W74" s="8">
        <f>IF(AND($A74&gt;=customs_fx_first,$A74&lt;=customs_fx_last+customs_fx_notification_validity_days),"CBIC_NOTIFIED","MARKUP_FALLBACK")</f>
        <v/>
      </c>
      <c r="X74" s="8">
        <f>IF($A74&lt;=INDEX(pdates_grade_factor_zorba,1),INDEX(pvals_grade_factor_zorba,1),IF($A74&gt;=INDEX(pdates_grade_factor_zorba,10),INDEX(pvals_grade_factor_zorba,10),INDEX(pvals_grade_factor_zorba,MATCH($A74,pdates_grade_factor_zorba,1))+($A74-INDEX(pdates_grade_factor_zorba,MATCH($A74,pdates_grade_factor_zorba,1)))/(INDEX(pdates_grade_factor_zorba,MATCH($A74,pdates_grade_factor_zorba,1)+1)-INDEX(pdates_grade_factor_zorba,MATCH($A74,pdates_grade_factor_zorba,1)))*(INDEX(pvals_grade_factor_zorba,MATCH($A74,pdates_grade_factor_zorba,1)+1)-INDEX(pvals_grade_factor_zorba,MATCH($A74,pdates_grade_factor_zorba,1)))))</f>
        <v/>
      </c>
      <c r="Y74" s="8">
        <f>IF($A74&lt;=INDEX(pdates_grade_factor_taint_tabor,1),INDEX(pvals_grade_factor_taint_tabor,1),IF($A74&gt;=INDEX(pdates_grade_factor_taint_tabor,10),INDEX(pvals_grade_factor_taint_tabor,10),INDEX(pvals_grade_factor_taint_tabor,MATCH($A74,pdates_grade_factor_taint_tabor,1))+($A74-INDEX(pdates_grade_factor_taint_tabor,MATCH($A74,pdates_grade_factor_taint_tabor,1)))/(INDEX(pdates_grade_factor_taint_tabor,MATCH($A74,pdates_grade_factor_taint_tabor,1)+1)-INDEX(pdates_grade_factor_taint_tabor,MATCH($A74,pdates_grade_factor_taint_tabor,1)))*(INDEX(pvals_grade_factor_taint_tabor,MATCH($A74,pdates_grade_factor_taint_tabor,1)+1)-INDEX(pvals_grade_factor_taint_tabor,MATCH($A74,pdates_grade_factor_taint_tabor,1)))))</f>
        <v/>
      </c>
      <c r="Z74" s="8">
        <f>IF($A74&lt;=INDEX(pdates_grade_factor_tense,1),INDEX(pvals_grade_factor_tense,1),IF($A74&gt;=INDEX(pdates_grade_factor_tense,10),INDEX(pvals_grade_factor_tense,10),INDEX(pvals_grade_factor_tense,MATCH($A74,pdates_grade_factor_tense,1))+($A74-INDEX(pdates_grade_factor_tense,MATCH($A74,pdates_grade_factor_tense,1)))/(INDEX(pdates_grade_factor_tense,MATCH($A74,pdates_grade_factor_tense,1)+1)-INDEX(pdates_grade_factor_tense,MATCH($A74,pdates_grade_factor_tense,1)))*(INDEX(pvals_grade_factor_tense,MATCH($A74,pdates_grade_factor_tense,1)+1)-INDEX(pvals_grade_factor_tense,MATCH($A74,pdates_grade_factor_tense,1)))))</f>
        <v/>
      </c>
      <c r="AA74" s="8">
        <f>IF($A74&lt;=INDEX(pdates_grade_factor_mix_pit,1),INDEX(pvals_grade_factor_mix_pit,1),IF($A74&gt;=INDEX(pdates_grade_factor_mix_pit,10),INDEX(pvals_grade_factor_mix_pit,10),INDEX(pvals_grade_factor_mix_pit,MATCH($A74,pdates_grade_factor_mix_pit,1))+($A74-INDEX(pdates_grade_factor_mix_pit,MATCH($A74,pdates_grade_factor_mix_pit,1)))/(INDEX(pdates_grade_factor_mix_pit,MATCH($A74,pdates_grade_factor_mix_pit,1)+1)-INDEX(pdates_grade_factor_mix_pit,MATCH($A74,pdates_grade_factor_mix_pit,1)))*(INDEX(pvals_grade_factor_mix_pit,MATCH($A74,pdates_grade_factor_mix_pit,1)+1)-INDEX(pvals_grade_factor_mix_pit,MATCH($A74,pdates_grade_factor_mix_pit,1)))))</f>
        <v/>
      </c>
      <c r="AB74" s="16">
        <f>($B74*$F74/kg_per_mt*(1+bcd_primary_al_hs7601*(1+sws_rate_on_bcd))+mcx_domestic_premium_inr_kg)*(1+$I74*MAX(0,$Q74-$A74)/day_count_inr)</f>
        <v/>
      </c>
      <c r="AC74" s="16">
        <f>$M74-$AB74</f>
        <v/>
      </c>
      <c r="AD74" s="7" t="inlineStr">
        <is>
          <t>PROXY_IMPORT_PARITY</t>
        </is>
      </c>
      <c r="AE74" s="7" t="inlineStr">
        <is>
          <t>ECB_CROSS</t>
        </is>
      </c>
      <c r="AF74" s="7" t="inlineStr">
        <is>
          <t>WCI_REPORTED|USEC:SIBLING|JEA:ASSUMPTION</t>
        </is>
      </c>
      <c r="AG74" s="17" t="b">
        <v>0</v>
      </c>
      <c r="AH74" s="17" t="b">
        <v>1</v>
      </c>
    </row>
    <row r="75">
      <c r="A75" s="11" t="n">
        <v>44662</v>
      </c>
      <c r="B75" s="13" t="n">
        <v>3234.5</v>
      </c>
      <c r="C75" s="13" t="n">
        <v>3251</v>
      </c>
      <c r="D75" s="13" t="n">
        <v>-16.5</v>
      </c>
      <c r="E75" s="13" t="n">
        <v>609850</v>
      </c>
      <c r="F75" s="13" t="n">
        <v>75.8794</v>
      </c>
      <c r="G75" s="6" t="n">
        <v>76.0748</v>
      </c>
      <c r="H75" s="6" t="n">
        <v>76.4714</v>
      </c>
      <c r="I75" s="14" t="n">
        <v>0.039255</v>
      </c>
      <c r="J75" s="14" t="n">
        <v>0.007792</v>
      </c>
      <c r="K75" s="14" t="n">
        <v>0.04</v>
      </c>
      <c r="L75" s="13" t="n">
        <v>265.6801</v>
      </c>
      <c r="M75" s="13" t="n">
        <v>266.1944</v>
      </c>
      <c r="N75" s="13" t="n">
        <v>267.1087</v>
      </c>
      <c r="O75" s="13" t="n">
        <v>21.11</v>
      </c>
      <c r="P75" s="13" t="n">
        <v>93.59999999999999</v>
      </c>
      <c r="Q75" s="12" t="n">
        <v>44680</v>
      </c>
      <c r="R75" s="12" t="n">
        <v>44712</v>
      </c>
      <c r="S75" s="8">
        <f>YEAR($Q75)*100+MONTH($Q75)</f>
        <v/>
      </c>
      <c r="T75" s="8">
        <f>YEAR($R75)*100+MONTH($R75)</f>
        <v/>
      </c>
      <c r="U75" s="15">
        <f>IF($A75&lt;=INDEX(pdates_wc_rate_inr_pa,1),INDEX(pvals_wc_rate_inr_pa,1),INDEX(pvals_wc_rate_inr_pa,MATCH($A75,pdates_wc_rate_inr_pa,1)))</f>
        <v/>
      </c>
      <c r="V75" s="8">
        <f>IF(AND($A75&gt;=customs_fx_first,$A75&lt;=customs_fx_last+customs_fx_notification_validity_days),IF($A75&lt;=INDEX(pdates_customs_usdinr_import,1),INDEX(pvals_customs_usdinr_import,1),INDEX(pvals_customs_usdinr_import,MATCH($A75,pdates_customs_usdinr_import,1))),$F75*(1+customs_fx_markup_frac))</f>
        <v/>
      </c>
      <c r="W75" s="8">
        <f>IF(AND($A75&gt;=customs_fx_first,$A75&lt;=customs_fx_last+customs_fx_notification_validity_days),"CBIC_NOTIFIED","MARKUP_FALLBACK")</f>
        <v/>
      </c>
      <c r="X75" s="8">
        <f>IF($A75&lt;=INDEX(pdates_grade_factor_zorba,1),INDEX(pvals_grade_factor_zorba,1),IF($A75&gt;=INDEX(pdates_grade_factor_zorba,10),INDEX(pvals_grade_factor_zorba,10),INDEX(pvals_grade_factor_zorba,MATCH($A75,pdates_grade_factor_zorba,1))+($A75-INDEX(pdates_grade_factor_zorba,MATCH($A75,pdates_grade_factor_zorba,1)))/(INDEX(pdates_grade_factor_zorba,MATCH($A75,pdates_grade_factor_zorba,1)+1)-INDEX(pdates_grade_factor_zorba,MATCH($A75,pdates_grade_factor_zorba,1)))*(INDEX(pvals_grade_factor_zorba,MATCH($A75,pdates_grade_factor_zorba,1)+1)-INDEX(pvals_grade_factor_zorba,MATCH($A75,pdates_grade_factor_zorba,1)))))</f>
        <v/>
      </c>
      <c r="Y75" s="8">
        <f>IF($A75&lt;=INDEX(pdates_grade_factor_taint_tabor,1),INDEX(pvals_grade_factor_taint_tabor,1),IF($A75&gt;=INDEX(pdates_grade_factor_taint_tabor,10),INDEX(pvals_grade_factor_taint_tabor,10),INDEX(pvals_grade_factor_taint_tabor,MATCH($A75,pdates_grade_factor_taint_tabor,1))+($A75-INDEX(pdates_grade_factor_taint_tabor,MATCH($A75,pdates_grade_factor_taint_tabor,1)))/(INDEX(pdates_grade_factor_taint_tabor,MATCH($A75,pdates_grade_factor_taint_tabor,1)+1)-INDEX(pdates_grade_factor_taint_tabor,MATCH($A75,pdates_grade_factor_taint_tabor,1)))*(INDEX(pvals_grade_factor_taint_tabor,MATCH($A75,pdates_grade_factor_taint_tabor,1)+1)-INDEX(pvals_grade_factor_taint_tabor,MATCH($A75,pdates_grade_factor_taint_tabor,1)))))</f>
        <v/>
      </c>
      <c r="Z75" s="8">
        <f>IF($A75&lt;=INDEX(pdates_grade_factor_tense,1),INDEX(pvals_grade_factor_tense,1),IF($A75&gt;=INDEX(pdates_grade_factor_tense,10),INDEX(pvals_grade_factor_tense,10),INDEX(pvals_grade_factor_tense,MATCH($A75,pdates_grade_factor_tense,1))+($A75-INDEX(pdates_grade_factor_tense,MATCH($A75,pdates_grade_factor_tense,1)))/(INDEX(pdates_grade_factor_tense,MATCH($A75,pdates_grade_factor_tense,1)+1)-INDEX(pdates_grade_factor_tense,MATCH($A75,pdates_grade_factor_tense,1)))*(INDEX(pvals_grade_factor_tense,MATCH($A75,pdates_grade_factor_tense,1)+1)-INDEX(pvals_grade_factor_tense,MATCH($A75,pdates_grade_factor_tense,1)))))</f>
        <v/>
      </c>
      <c r="AA75" s="8">
        <f>IF($A75&lt;=INDEX(pdates_grade_factor_mix_pit,1),INDEX(pvals_grade_factor_mix_pit,1),IF($A75&gt;=INDEX(pdates_grade_factor_mix_pit,10),INDEX(pvals_grade_factor_mix_pit,10),INDEX(pvals_grade_factor_mix_pit,MATCH($A75,pdates_grade_factor_mix_pit,1))+($A75-INDEX(pdates_grade_factor_mix_pit,MATCH($A75,pdates_grade_factor_mix_pit,1)))/(INDEX(pdates_grade_factor_mix_pit,MATCH($A75,pdates_grade_factor_mix_pit,1)+1)-INDEX(pdates_grade_factor_mix_pit,MATCH($A75,pdates_grade_factor_mix_pit,1)))*(INDEX(pvals_grade_factor_mix_pit,MATCH($A75,pdates_grade_factor_mix_pit,1)+1)-INDEX(pvals_grade_factor_mix_pit,MATCH($A75,pdates_grade_factor_mix_pit,1)))))</f>
        <v/>
      </c>
      <c r="AB75" s="16">
        <f>($B75*$F75/kg_per_mt*(1+bcd_primary_al_hs7601*(1+sws_rate_on_bcd))+mcx_domestic_premium_inr_kg)*(1+$I75*MAX(0,$Q75-$A75)/day_count_inr)</f>
        <v/>
      </c>
      <c r="AC75" s="16">
        <f>$M75-$AB75</f>
        <v/>
      </c>
      <c r="AD75" s="7" t="inlineStr">
        <is>
          <t>PROXY_IMPORT_PARITY</t>
        </is>
      </c>
      <c r="AE75" s="7" t="inlineStr">
        <is>
          <t>ECB_CROSS</t>
        </is>
      </c>
      <c r="AF75" s="7" t="inlineStr">
        <is>
          <t>WCI_REPORTED|USEC:SIBLING|JEA:ASSUMPTION</t>
        </is>
      </c>
      <c r="AG75" s="17" t="b">
        <v>0</v>
      </c>
      <c r="AH75" s="17" t="b">
        <v>1</v>
      </c>
    </row>
    <row r="76">
      <c r="A76" s="11" t="n">
        <v>44663</v>
      </c>
      <c r="B76" s="13" t="n">
        <v>3214.5</v>
      </c>
      <c r="C76" s="13" t="n">
        <v>3245</v>
      </c>
      <c r="D76" s="13" t="n">
        <v>-30.5</v>
      </c>
      <c r="E76" s="13" t="n">
        <v>610775</v>
      </c>
      <c r="F76" s="13" t="n">
        <v>76.17019999999999</v>
      </c>
      <c r="G76" s="6" t="n">
        <v>76.3689</v>
      </c>
      <c r="H76" s="6" t="n">
        <v>76.7722</v>
      </c>
      <c r="I76" s="14" t="n">
        <v>0.039255</v>
      </c>
      <c r="J76" s="14" t="n">
        <v>0.007397</v>
      </c>
      <c r="K76" s="14" t="n">
        <v>0.04</v>
      </c>
      <c r="L76" s="13" t="n">
        <v>265.0492</v>
      </c>
      <c r="M76" s="13" t="n">
        <v>265.5338</v>
      </c>
      <c r="N76" s="13" t="n">
        <v>266.4459</v>
      </c>
      <c r="O76" s="13" t="n">
        <v>21.11</v>
      </c>
      <c r="P76" s="13" t="n">
        <v>93.59999999999999</v>
      </c>
      <c r="Q76" s="12" t="n">
        <v>44680</v>
      </c>
      <c r="R76" s="12" t="n">
        <v>44712</v>
      </c>
      <c r="S76" s="8">
        <f>YEAR($Q76)*100+MONTH($Q76)</f>
        <v/>
      </c>
      <c r="T76" s="8">
        <f>YEAR($R76)*100+MONTH($R76)</f>
        <v/>
      </c>
      <c r="U76" s="15">
        <f>IF($A76&lt;=INDEX(pdates_wc_rate_inr_pa,1),INDEX(pvals_wc_rate_inr_pa,1),INDEX(pvals_wc_rate_inr_pa,MATCH($A76,pdates_wc_rate_inr_pa,1)))</f>
        <v/>
      </c>
      <c r="V76" s="8">
        <f>IF(AND($A76&gt;=customs_fx_first,$A76&lt;=customs_fx_last+customs_fx_notification_validity_days),IF($A76&lt;=INDEX(pdates_customs_usdinr_import,1),INDEX(pvals_customs_usdinr_import,1),INDEX(pvals_customs_usdinr_import,MATCH($A76,pdates_customs_usdinr_import,1))),$F76*(1+customs_fx_markup_frac))</f>
        <v/>
      </c>
      <c r="W76" s="8">
        <f>IF(AND($A76&gt;=customs_fx_first,$A76&lt;=customs_fx_last+customs_fx_notification_validity_days),"CBIC_NOTIFIED","MARKUP_FALLBACK")</f>
        <v/>
      </c>
      <c r="X76" s="8">
        <f>IF($A76&lt;=INDEX(pdates_grade_factor_zorba,1),INDEX(pvals_grade_factor_zorba,1),IF($A76&gt;=INDEX(pdates_grade_factor_zorba,10),INDEX(pvals_grade_factor_zorba,10),INDEX(pvals_grade_factor_zorba,MATCH($A76,pdates_grade_factor_zorba,1))+($A76-INDEX(pdates_grade_factor_zorba,MATCH($A76,pdates_grade_factor_zorba,1)))/(INDEX(pdates_grade_factor_zorba,MATCH($A76,pdates_grade_factor_zorba,1)+1)-INDEX(pdates_grade_factor_zorba,MATCH($A76,pdates_grade_factor_zorba,1)))*(INDEX(pvals_grade_factor_zorba,MATCH($A76,pdates_grade_factor_zorba,1)+1)-INDEX(pvals_grade_factor_zorba,MATCH($A76,pdates_grade_factor_zorba,1)))))</f>
        <v/>
      </c>
      <c r="Y76" s="8">
        <f>IF($A76&lt;=INDEX(pdates_grade_factor_taint_tabor,1),INDEX(pvals_grade_factor_taint_tabor,1),IF($A76&gt;=INDEX(pdates_grade_factor_taint_tabor,10),INDEX(pvals_grade_factor_taint_tabor,10),INDEX(pvals_grade_factor_taint_tabor,MATCH($A76,pdates_grade_factor_taint_tabor,1))+($A76-INDEX(pdates_grade_factor_taint_tabor,MATCH($A76,pdates_grade_factor_taint_tabor,1)))/(INDEX(pdates_grade_factor_taint_tabor,MATCH($A76,pdates_grade_factor_taint_tabor,1)+1)-INDEX(pdates_grade_factor_taint_tabor,MATCH($A76,pdates_grade_factor_taint_tabor,1)))*(INDEX(pvals_grade_factor_taint_tabor,MATCH($A76,pdates_grade_factor_taint_tabor,1)+1)-INDEX(pvals_grade_factor_taint_tabor,MATCH($A76,pdates_grade_factor_taint_tabor,1)))))</f>
        <v/>
      </c>
      <c r="Z76" s="8">
        <f>IF($A76&lt;=INDEX(pdates_grade_factor_tense,1),INDEX(pvals_grade_factor_tense,1),IF($A76&gt;=INDEX(pdates_grade_factor_tense,10),INDEX(pvals_grade_factor_tense,10),INDEX(pvals_grade_factor_tense,MATCH($A76,pdates_grade_factor_tense,1))+($A76-INDEX(pdates_grade_factor_tense,MATCH($A76,pdates_grade_factor_tense,1)))/(INDEX(pdates_grade_factor_tense,MATCH($A76,pdates_grade_factor_tense,1)+1)-INDEX(pdates_grade_factor_tense,MATCH($A76,pdates_grade_factor_tense,1)))*(INDEX(pvals_grade_factor_tense,MATCH($A76,pdates_grade_factor_tense,1)+1)-INDEX(pvals_grade_factor_tense,MATCH($A76,pdates_grade_factor_tense,1)))))</f>
        <v/>
      </c>
      <c r="AA76" s="8">
        <f>IF($A76&lt;=INDEX(pdates_grade_factor_mix_pit,1),INDEX(pvals_grade_factor_mix_pit,1),IF($A76&gt;=INDEX(pdates_grade_factor_mix_pit,10),INDEX(pvals_grade_factor_mix_pit,10),INDEX(pvals_grade_factor_mix_pit,MATCH($A76,pdates_grade_factor_mix_pit,1))+($A76-INDEX(pdates_grade_factor_mix_pit,MATCH($A76,pdates_grade_factor_mix_pit,1)))/(INDEX(pdates_grade_factor_mix_pit,MATCH($A76,pdates_grade_factor_mix_pit,1)+1)-INDEX(pdates_grade_factor_mix_pit,MATCH($A76,pdates_grade_factor_mix_pit,1)))*(INDEX(pvals_grade_factor_mix_pit,MATCH($A76,pdates_grade_factor_mix_pit,1)+1)-INDEX(pvals_grade_factor_mix_pit,MATCH($A76,pdates_grade_factor_mix_pit,1)))))</f>
        <v/>
      </c>
      <c r="AB76" s="16">
        <f>($B76*$F76/kg_per_mt*(1+bcd_primary_al_hs7601*(1+sws_rate_on_bcd))+mcx_domestic_premium_inr_kg)*(1+$I76*MAX(0,$Q76-$A76)/day_count_inr)</f>
        <v/>
      </c>
      <c r="AC76" s="16">
        <f>$M76-$AB76</f>
        <v/>
      </c>
      <c r="AD76" s="7" t="inlineStr">
        <is>
          <t>PROXY_IMPORT_PARITY</t>
        </is>
      </c>
      <c r="AE76" s="7" t="inlineStr">
        <is>
          <t>ECB_CROSS</t>
        </is>
      </c>
      <c r="AF76" s="7" t="inlineStr">
        <is>
          <t>WCI_REPORTED|USEC:SIBLING|JEA:ASSUMPTION</t>
        </is>
      </c>
      <c r="AG76" s="17" t="b">
        <v>0</v>
      </c>
      <c r="AH76" s="17" t="b">
        <v>1</v>
      </c>
    </row>
    <row r="77">
      <c r="A77" s="11" t="n">
        <v>44664</v>
      </c>
      <c r="B77" s="13" t="n">
        <v>3207</v>
      </c>
      <c r="C77" s="13" t="n">
        <v>3238.5</v>
      </c>
      <c r="D77" s="13" t="n">
        <v>-31.5</v>
      </c>
      <c r="E77" s="13" t="n">
        <v>612275</v>
      </c>
      <c r="F77" s="13" t="n">
        <v>76.18510000000001</v>
      </c>
      <c r="G77" s="6" t="n">
        <v>76.3832</v>
      </c>
      <c r="H77" s="6" t="n">
        <v>76.7852</v>
      </c>
      <c r="I77" s="14" t="n">
        <v>0.039255</v>
      </c>
      <c r="J77" s="14" t="n">
        <v>0.007496</v>
      </c>
      <c r="K77" s="14" t="n">
        <v>0.04</v>
      </c>
      <c r="L77" s="13" t="n">
        <v>264.4825</v>
      </c>
      <c r="M77" s="13" t="n">
        <v>264.9376</v>
      </c>
      <c r="N77" s="13" t="n">
        <v>265.8478</v>
      </c>
      <c r="O77" s="13" t="n">
        <v>21.11</v>
      </c>
      <c r="P77" s="13" t="n">
        <v>93.59999999999999</v>
      </c>
      <c r="Q77" s="12" t="n">
        <v>44680</v>
      </c>
      <c r="R77" s="12" t="n">
        <v>44712</v>
      </c>
      <c r="S77" s="8">
        <f>YEAR($Q77)*100+MONTH($Q77)</f>
        <v/>
      </c>
      <c r="T77" s="8">
        <f>YEAR($R77)*100+MONTH($R77)</f>
        <v/>
      </c>
      <c r="U77" s="15">
        <f>IF($A77&lt;=INDEX(pdates_wc_rate_inr_pa,1),INDEX(pvals_wc_rate_inr_pa,1),INDEX(pvals_wc_rate_inr_pa,MATCH($A77,pdates_wc_rate_inr_pa,1)))</f>
        <v/>
      </c>
      <c r="V77" s="8">
        <f>IF(AND($A77&gt;=customs_fx_first,$A77&lt;=customs_fx_last+customs_fx_notification_validity_days),IF($A77&lt;=INDEX(pdates_customs_usdinr_import,1),INDEX(pvals_customs_usdinr_import,1),INDEX(pvals_customs_usdinr_import,MATCH($A77,pdates_customs_usdinr_import,1))),$F77*(1+customs_fx_markup_frac))</f>
        <v/>
      </c>
      <c r="W77" s="8">
        <f>IF(AND($A77&gt;=customs_fx_first,$A77&lt;=customs_fx_last+customs_fx_notification_validity_days),"CBIC_NOTIFIED","MARKUP_FALLBACK")</f>
        <v/>
      </c>
      <c r="X77" s="8">
        <f>IF($A77&lt;=INDEX(pdates_grade_factor_zorba,1),INDEX(pvals_grade_factor_zorba,1),IF($A77&gt;=INDEX(pdates_grade_factor_zorba,10),INDEX(pvals_grade_factor_zorba,10),INDEX(pvals_grade_factor_zorba,MATCH($A77,pdates_grade_factor_zorba,1))+($A77-INDEX(pdates_grade_factor_zorba,MATCH($A77,pdates_grade_factor_zorba,1)))/(INDEX(pdates_grade_factor_zorba,MATCH($A77,pdates_grade_factor_zorba,1)+1)-INDEX(pdates_grade_factor_zorba,MATCH($A77,pdates_grade_factor_zorba,1)))*(INDEX(pvals_grade_factor_zorba,MATCH($A77,pdates_grade_factor_zorba,1)+1)-INDEX(pvals_grade_factor_zorba,MATCH($A77,pdates_grade_factor_zorba,1)))))</f>
        <v/>
      </c>
      <c r="Y77" s="8">
        <f>IF($A77&lt;=INDEX(pdates_grade_factor_taint_tabor,1),INDEX(pvals_grade_factor_taint_tabor,1),IF($A77&gt;=INDEX(pdates_grade_factor_taint_tabor,10),INDEX(pvals_grade_factor_taint_tabor,10),INDEX(pvals_grade_factor_taint_tabor,MATCH($A77,pdates_grade_factor_taint_tabor,1))+($A77-INDEX(pdates_grade_factor_taint_tabor,MATCH($A77,pdates_grade_factor_taint_tabor,1)))/(INDEX(pdates_grade_factor_taint_tabor,MATCH($A77,pdates_grade_factor_taint_tabor,1)+1)-INDEX(pdates_grade_factor_taint_tabor,MATCH($A77,pdates_grade_factor_taint_tabor,1)))*(INDEX(pvals_grade_factor_taint_tabor,MATCH($A77,pdates_grade_factor_taint_tabor,1)+1)-INDEX(pvals_grade_factor_taint_tabor,MATCH($A77,pdates_grade_factor_taint_tabor,1)))))</f>
        <v/>
      </c>
      <c r="Z77" s="8">
        <f>IF($A77&lt;=INDEX(pdates_grade_factor_tense,1),INDEX(pvals_grade_factor_tense,1),IF($A77&gt;=INDEX(pdates_grade_factor_tense,10),INDEX(pvals_grade_factor_tense,10),INDEX(pvals_grade_factor_tense,MATCH($A77,pdates_grade_factor_tense,1))+($A77-INDEX(pdates_grade_factor_tense,MATCH($A77,pdates_grade_factor_tense,1)))/(INDEX(pdates_grade_factor_tense,MATCH($A77,pdates_grade_factor_tense,1)+1)-INDEX(pdates_grade_factor_tense,MATCH($A77,pdates_grade_factor_tense,1)))*(INDEX(pvals_grade_factor_tense,MATCH($A77,pdates_grade_factor_tense,1)+1)-INDEX(pvals_grade_factor_tense,MATCH($A77,pdates_grade_factor_tense,1)))))</f>
        <v/>
      </c>
      <c r="AA77" s="8">
        <f>IF($A77&lt;=INDEX(pdates_grade_factor_mix_pit,1),INDEX(pvals_grade_factor_mix_pit,1),IF($A77&gt;=INDEX(pdates_grade_factor_mix_pit,10),INDEX(pvals_grade_factor_mix_pit,10),INDEX(pvals_grade_factor_mix_pit,MATCH($A77,pdates_grade_factor_mix_pit,1))+($A77-INDEX(pdates_grade_factor_mix_pit,MATCH($A77,pdates_grade_factor_mix_pit,1)))/(INDEX(pdates_grade_factor_mix_pit,MATCH($A77,pdates_grade_factor_mix_pit,1)+1)-INDEX(pdates_grade_factor_mix_pit,MATCH($A77,pdates_grade_factor_mix_pit,1)))*(INDEX(pvals_grade_factor_mix_pit,MATCH($A77,pdates_grade_factor_mix_pit,1)+1)-INDEX(pvals_grade_factor_mix_pit,MATCH($A77,pdates_grade_factor_mix_pit,1)))))</f>
        <v/>
      </c>
      <c r="AB77" s="16">
        <f>($B77*$F77/kg_per_mt*(1+bcd_primary_al_hs7601*(1+sws_rate_on_bcd))+mcx_domestic_premium_inr_kg)*(1+$I77*MAX(0,$Q77-$A77)/day_count_inr)</f>
        <v/>
      </c>
      <c r="AC77" s="16">
        <f>$M77-$AB77</f>
        <v/>
      </c>
      <c r="AD77" s="7" t="inlineStr">
        <is>
          <t>PROXY_IMPORT_PARITY</t>
        </is>
      </c>
      <c r="AE77" s="7" t="inlineStr">
        <is>
          <t>ECB_CROSS</t>
        </is>
      </c>
      <c r="AF77" s="7" t="inlineStr">
        <is>
          <t>WCI_REPORTED|USEC:SIBLING|JEA:ASSUMPTION</t>
        </is>
      </c>
      <c r="AG77" s="17" t="b">
        <v>0</v>
      </c>
      <c r="AH77" s="17" t="b">
        <v>1</v>
      </c>
    </row>
    <row r="78">
      <c r="A78" s="11" t="n">
        <v>44665</v>
      </c>
      <c r="B78" s="13" t="n">
        <v>3237.5</v>
      </c>
      <c r="C78" s="13" t="n">
        <v>3266</v>
      </c>
      <c r="D78" s="13" t="n">
        <v>-28.5</v>
      </c>
      <c r="E78" s="13" t="n">
        <v>608000</v>
      </c>
      <c r="F78" s="13" t="n">
        <v>76.1298</v>
      </c>
      <c r="G78" s="6" t="n">
        <v>76.3259</v>
      </c>
      <c r="H78" s="6" t="n">
        <v>76.7238</v>
      </c>
      <c r="I78" s="14" t="n">
        <v>0.039255</v>
      </c>
      <c r="J78" s="14" t="n">
        <v>0.007792</v>
      </c>
      <c r="K78" s="14" t="n">
        <v>0.04</v>
      </c>
      <c r="L78" s="13" t="n">
        <v>266.804</v>
      </c>
      <c r="M78" s="13" t="n">
        <v>267.2344</v>
      </c>
      <c r="N78" s="13" t="n">
        <v>268.1526</v>
      </c>
      <c r="O78" s="13" t="n">
        <v>21.13</v>
      </c>
      <c r="P78" s="13" t="n">
        <v>93.69</v>
      </c>
      <c r="Q78" s="12" t="n">
        <v>44680</v>
      </c>
      <c r="R78" s="12" t="n">
        <v>44712</v>
      </c>
      <c r="S78" s="8">
        <f>YEAR($Q78)*100+MONTH($Q78)</f>
        <v/>
      </c>
      <c r="T78" s="8">
        <f>YEAR($R78)*100+MONTH($R78)</f>
        <v/>
      </c>
      <c r="U78" s="15">
        <f>IF($A78&lt;=INDEX(pdates_wc_rate_inr_pa,1),INDEX(pvals_wc_rate_inr_pa,1),INDEX(pvals_wc_rate_inr_pa,MATCH($A78,pdates_wc_rate_inr_pa,1)))</f>
        <v/>
      </c>
      <c r="V78" s="8">
        <f>IF(AND($A78&gt;=customs_fx_first,$A78&lt;=customs_fx_last+customs_fx_notification_validity_days),IF($A78&lt;=INDEX(pdates_customs_usdinr_import,1),INDEX(pvals_customs_usdinr_import,1),INDEX(pvals_customs_usdinr_import,MATCH($A78,pdates_customs_usdinr_import,1))),$F78*(1+customs_fx_markup_frac))</f>
        <v/>
      </c>
      <c r="W78" s="8">
        <f>IF(AND($A78&gt;=customs_fx_first,$A78&lt;=customs_fx_last+customs_fx_notification_validity_days),"CBIC_NOTIFIED","MARKUP_FALLBACK")</f>
        <v/>
      </c>
      <c r="X78" s="8">
        <f>IF($A78&lt;=INDEX(pdates_grade_factor_zorba,1),INDEX(pvals_grade_factor_zorba,1),IF($A78&gt;=INDEX(pdates_grade_factor_zorba,10),INDEX(pvals_grade_factor_zorba,10),INDEX(pvals_grade_factor_zorba,MATCH($A78,pdates_grade_factor_zorba,1))+($A78-INDEX(pdates_grade_factor_zorba,MATCH($A78,pdates_grade_factor_zorba,1)))/(INDEX(pdates_grade_factor_zorba,MATCH($A78,pdates_grade_factor_zorba,1)+1)-INDEX(pdates_grade_factor_zorba,MATCH($A78,pdates_grade_factor_zorba,1)))*(INDEX(pvals_grade_factor_zorba,MATCH($A78,pdates_grade_factor_zorba,1)+1)-INDEX(pvals_grade_factor_zorba,MATCH($A78,pdates_grade_factor_zorba,1)))))</f>
        <v/>
      </c>
      <c r="Y78" s="8">
        <f>IF($A78&lt;=INDEX(pdates_grade_factor_taint_tabor,1),INDEX(pvals_grade_factor_taint_tabor,1),IF($A78&gt;=INDEX(pdates_grade_factor_taint_tabor,10),INDEX(pvals_grade_factor_taint_tabor,10),INDEX(pvals_grade_factor_taint_tabor,MATCH($A78,pdates_grade_factor_taint_tabor,1))+($A78-INDEX(pdates_grade_factor_taint_tabor,MATCH($A78,pdates_grade_factor_taint_tabor,1)))/(INDEX(pdates_grade_factor_taint_tabor,MATCH($A78,pdates_grade_factor_taint_tabor,1)+1)-INDEX(pdates_grade_factor_taint_tabor,MATCH($A78,pdates_grade_factor_taint_tabor,1)))*(INDEX(pvals_grade_factor_taint_tabor,MATCH($A78,pdates_grade_factor_taint_tabor,1)+1)-INDEX(pvals_grade_factor_taint_tabor,MATCH($A78,pdates_grade_factor_taint_tabor,1)))))</f>
        <v/>
      </c>
      <c r="Z78" s="8">
        <f>IF($A78&lt;=INDEX(pdates_grade_factor_tense,1),INDEX(pvals_grade_factor_tense,1),IF($A78&gt;=INDEX(pdates_grade_factor_tense,10),INDEX(pvals_grade_factor_tense,10),INDEX(pvals_grade_factor_tense,MATCH($A78,pdates_grade_factor_tense,1))+($A78-INDEX(pdates_grade_factor_tense,MATCH($A78,pdates_grade_factor_tense,1)))/(INDEX(pdates_grade_factor_tense,MATCH($A78,pdates_grade_factor_tense,1)+1)-INDEX(pdates_grade_factor_tense,MATCH($A78,pdates_grade_factor_tense,1)))*(INDEX(pvals_grade_factor_tense,MATCH($A78,pdates_grade_factor_tense,1)+1)-INDEX(pvals_grade_factor_tense,MATCH($A78,pdates_grade_factor_tense,1)))))</f>
        <v/>
      </c>
      <c r="AA78" s="8">
        <f>IF($A78&lt;=INDEX(pdates_grade_factor_mix_pit,1),INDEX(pvals_grade_factor_mix_pit,1),IF($A78&gt;=INDEX(pdates_grade_factor_mix_pit,10),INDEX(pvals_grade_factor_mix_pit,10),INDEX(pvals_grade_factor_mix_pit,MATCH($A78,pdates_grade_factor_mix_pit,1))+($A78-INDEX(pdates_grade_factor_mix_pit,MATCH($A78,pdates_grade_factor_mix_pit,1)))/(INDEX(pdates_grade_factor_mix_pit,MATCH($A78,pdates_grade_factor_mix_pit,1)+1)-INDEX(pdates_grade_factor_mix_pit,MATCH($A78,pdates_grade_factor_mix_pit,1)))*(INDEX(pvals_grade_factor_mix_pit,MATCH($A78,pdates_grade_factor_mix_pit,1)+1)-INDEX(pvals_grade_factor_mix_pit,MATCH($A78,pdates_grade_factor_mix_pit,1)))))</f>
        <v/>
      </c>
      <c r="AB78" s="16">
        <f>($B78*$F78/kg_per_mt*(1+bcd_primary_al_hs7601*(1+sws_rate_on_bcd))+mcx_domestic_premium_inr_kg)*(1+$I78*MAX(0,$Q78-$A78)/day_count_inr)</f>
        <v/>
      </c>
      <c r="AC78" s="16">
        <f>$M78-$AB78</f>
        <v/>
      </c>
      <c r="AD78" s="7" t="inlineStr">
        <is>
          <t>PROXY_IMPORT_PARITY</t>
        </is>
      </c>
      <c r="AE78" s="7" t="inlineStr">
        <is>
          <t>ECB_CROSS</t>
        </is>
      </c>
      <c r="AF78" s="7" t="inlineStr">
        <is>
          <t>WCI_REPORTED|USEC:SIBLING|JEA:ASSUMPTION</t>
        </is>
      </c>
      <c r="AG78" s="17" t="b">
        <v>0</v>
      </c>
      <c r="AH78" s="17" t="b">
        <v>0</v>
      </c>
    </row>
    <row r="79">
      <c r="A79" s="11" t="n">
        <v>44670</v>
      </c>
      <c r="B79" s="13" t="n">
        <v>3312</v>
      </c>
      <c r="C79" s="13" t="n">
        <v>3326</v>
      </c>
      <c r="D79" s="13" t="n">
        <v>-14</v>
      </c>
      <c r="E79" s="13" t="n">
        <v>603650</v>
      </c>
      <c r="F79" s="13" t="n">
        <v>76.46380000000001</v>
      </c>
      <c r="G79" s="6" t="n">
        <v>76.65819999999999</v>
      </c>
      <c r="H79" s="6" t="n">
        <v>77.0527</v>
      </c>
      <c r="I79" s="14" t="n">
        <v>0.039255</v>
      </c>
      <c r="J79" s="14" t="n">
        <v>0.008186000000000001</v>
      </c>
      <c r="K79" s="14" t="n">
        <v>0.04</v>
      </c>
      <c r="L79" s="13" t="n">
        <v>274.1411</v>
      </c>
      <c r="M79" s="13" t="n">
        <v>274.4359</v>
      </c>
      <c r="N79" s="13" t="n">
        <v>275.3794</v>
      </c>
      <c r="O79" s="13" t="n">
        <v>21.13</v>
      </c>
      <c r="P79" s="13" t="n">
        <v>93.69</v>
      </c>
      <c r="Q79" s="12" t="n">
        <v>44680</v>
      </c>
      <c r="R79" s="12" t="n">
        <v>44712</v>
      </c>
      <c r="S79" s="8">
        <f>YEAR($Q79)*100+MONTH($Q79)</f>
        <v/>
      </c>
      <c r="T79" s="8">
        <f>YEAR($R79)*100+MONTH($R79)</f>
        <v/>
      </c>
      <c r="U79" s="15">
        <f>IF($A79&lt;=INDEX(pdates_wc_rate_inr_pa,1),INDEX(pvals_wc_rate_inr_pa,1),INDEX(pvals_wc_rate_inr_pa,MATCH($A79,pdates_wc_rate_inr_pa,1)))</f>
        <v/>
      </c>
      <c r="V79" s="8">
        <f>IF(AND($A79&gt;=customs_fx_first,$A79&lt;=customs_fx_last+customs_fx_notification_validity_days),IF($A79&lt;=INDEX(pdates_customs_usdinr_import,1),INDEX(pvals_customs_usdinr_import,1),INDEX(pvals_customs_usdinr_import,MATCH($A79,pdates_customs_usdinr_import,1))),$F79*(1+customs_fx_markup_frac))</f>
        <v/>
      </c>
      <c r="W79" s="8">
        <f>IF(AND($A79&gt;=customs_fx_first,$A79&lt;=customs_fx_last+customs_fx_notification_validity_days),"CBIC_NOTIFIED","MARKUP_FALLBACK")</f>
        <v/>
      </c>
      <c r="X79" s="8">
        <f>IF($A79&lt;=INDEX(pdates_grade_factor_zorba,1),INDEX(pvals_grade_factor_zorba,1),IF($A79&gt;=INDEX(pdates_grade_factor_zorba,10),INDEX(pvals_grade_factor_zorba,10),INDEX(pvals_grade_factor_zorba,MATCH($A79,pdates_grade_factor_zorba,1))+($A79-INDEX(pdates_grade_factor_zorba,MATCH($A79,pdates_grade_factor_zorba,1)))/(INDEX(pdates_grade_factor_zorba,MATCH($A79,pdates_grade_factor_zorba,1)+1)-INDEX(pdates_grade_factor_zorba,MATCH($A79,pdates_grade_factor_zorba,1)))*(INDEX(pvals_grade_factor_zorba,MATCH($A79,pdates_grade_factor_zorba,1)+1)-INDEX(pvals_grade_factor_zorba,MATCH($A79,pdates_grade_factor_zorba,1)))))</f>
        <v/>
      </c>
      <c r="Y79" s="8">
        <f>IF($A79&lt;=INDEX(pdates_grade_factor_taint_tabor,1),INDEX(pvals_grade_factor_taint_tabor,1),IF($A79&gt;=INDEX(pdates_grade_factor_taint_tabor,10),INDEX(pvals_grade_factor_taint_tabor,10),INDEX(pvals_grade_factor_taint_tabor,MATCH($A79,pdates_grade_factor_taint_tabor,1))+($A79-INDEX(pdates_grade_factor_taint_tabor,MATCH($A79,pdates_grade_factor_taint_tabor,1)))/(INDEX(pdates_grade_factor_taint_tabor,MATCH($A79,pdates_grade_factor_taint_tabor,1)+1)-INDEX(pdates_grade_factor_taint_tabor,MATCH($A79,pdates_grade_factor_taint_tabor,1)))*(INDEX(pvals_grade_factor_taint_tabor,MATCH($A79,pdates_grade_factor_taint_tabor,1)+1)-INDEX(pvals_grade_factor_taint_tabor,MATCH($A79,pdates_grade_factor_taint_tabor,1)))))</f>
        <v/>
      </c>
      <c r="Z79" s="8">
        <f>IF($A79&lt;=INDEX(pdates_grade_factor_tense,1),INDEX(pvals_grade_factor_tense,1),IF($A79&gt;=INDEX(pdates_grade_factor_tense,10),INDEX(pvals_grade_factor_tense,10),INDEX(pvals_grade_factor_tense,MATCH($A79,pdates_grade_factor_tense,1))+($A79-INDEX(pdates_grade_factor_tense,MATCH($A79,pdates_grade_factor_tense,1)))/(INDEX(pdates_grade_factor_tense,MATCH($A79,pdates_grade_factor_tense,1)+1)-INDEX(pdates_grade_factor_tense,MATCH($A79,pdates_grade_factor_tense,1)))*(INDEX(pvals_grade_factor_tense,MATCH($A79,pdates_grade_factor_tense,1)+1)-INDEX(pvals_grade_factor_tense,MATCH($A79,pdates_grade_factor_tense,1)))))</f>
        <v/>
      </c>
      <c r="AA79" s="8">
        <f>IF($A79&lt;=INDEX(pdates_grade_factor_mix_pit,1),INDEX(pvals_grade_factor_mix_pit,1),IF($A79&gt;=INDEX(pdates_grade_factor_mix_pit,10),INDEX(pvals_grade_factor_mix_pit,10),INDEX(pvals_grade_factor_mix_pit,MATCH($A79,pdates_grade_factor_mix_pit,1))+($A79-INDEX(pdates_grade_factor_mix_pit,MATCH($A79,pdates_grade_factor_mix_pit,1)))/(INDEX(pdates_grade_factor_mix_pit,MATCH($A79,pdates_grade_factor_mix_pit,1)+1)-INDEX(pdates_grade_factor_mix_pit,MATCH($A79,pdates_grade_factor_mix_pit,1)))*(INDEX(pvals_grade_factor_mix_pit,MATCH($A79,pdates_grade_factor_mix_pit,1)+1)-INDEX(pvals_grade_factor_mix_pit,MATCH($A79,pdates_grade_factor_mix_pit,1)))))</f>
        <v/>
      </c>
      <c r="AB79" s="16">
        <f>($B79*$F79/kg_per_mt*(1+bcd_primary_al_hs7601*(1+sws_rate_on_bcd))+mcx_domestic_premium_inr_kg)*(1+$I79*MAX(0,$Q79-$A79)/day_count_inr)</f>
        <v/>
      </c>
      <c r="AC79" s="16">
        <f>$M79-$AB79</f>
        <v/>
      </c>
      <c r="AD79" s="7" t="inlineStr">
        <is>
          <t>PROXY_IMPORT_PARITY</t>
        </is>
      </c>
      <c r="AE79" s="7" t="inlineStr">
        <is>
          <t>ECB_CROSS</t>
        </is>
      </c>
      <c r="AF79" s="7" t="inlineStr">
        <is>
          <t>WCI_REPORTED|USEC:SIBLING|JEA:ASSUMPTION</t>
        </is>
      </c>
      <c r="AG79" s="17" t="b">
        <v>0</v>
      </c>
      <c r="AH79" s="17" t="b">
        <v>1</v>
      </c>
    </row>
    <row r="80">
      <c r="A80" s="11" t="n">
        <v>44671</v>
      </c>
      <c r="B80" s="13" t="n">
        <v>3240</v>
      </c>
      <c r="C80" s="13" t="n">
        <v>3250</v>
      </c>
      <c r="D80" s="13" t="n">
        <v>-10</v>
      </c>
      <c r="E80" s="13" t="n">
        <v>592175</v>
      </c>
      <c r="F80" s="13" t="n">
        <v>76.3018</v>
      </c>
      <c r="G80" s="6" t="n">
        <v>76.4958</v>
      </c>
      <c r="H80" s="6" t="n">
        <v>76.88939999999999</v>
      </c>
      <c r="I80" s="14" t="n">
        <v>0.039255</v>
      </c>
      <c r="J80" s="14" t="n">
        <v>0.008186000000000001</v>
      </c>
      <c r="K80" s="14" t="n">
        <v>0.04</v>
      </c>
      <c r="L80" s="13" t="n">
        <v>267.6133</v>
      </c>
      <c r="M80" s="13" t="n">
        <v>267.8723</v>
      </c>
      <c r="N80" s="13" t="n">
        <v>268.7933</v>
      </c>
      <c r="O80" s="13" t="n">
        <v>21.13</v>
      </c>
      <c r="P80" s="13" t="n">
        <v>93.69</v>
      </c>
      <c r="Q80" s="12" t="n">
        <v>44680</v>
      </c>
      <c r="R80" s="12" t="n">
        <v>44712</v>
      </c>
      <c r="S80" s="8">
        <f>YEAR($Q80)*100+MONTH($Q80)</f>
        <v/>
      </c>
      <c r="T80" s="8">
        <f>YEAR($R80)*100+MONTH($R80)</f>
        <v/>
      </c>
      <c r="U80" s="15">
        <f>IF($A80&lt;=INDEX(pdates_wc_rate_inr_pa,1),INDEX(pvals_wc_rate_inr_pa,1),INDEX(pvals_wc_rate_inr_pa,MATCH($A80,pdates_wc_rate_inr_pa,1)))</f>
        <v/>
      </c>
      <c r="V80" s="8">
        <f>IF(AND($A80&gt;=customs_fx_first,$A80&lt;=customs_fx_last+customs_fx_notification_validity_days),IF($A80&lt;=INDEX(pdates_customs_usdinr_import,1),INDEX(pvals_customs_usdinr_import,1),INDEX(pvals_customs_usdinr_import,MATCH($A80,pdates_customs_usdinr_import,1))),$F80*(1+customs_fx_markup_frac))</f>
        <v/>
      </c>
      <c r="W80" s="8">
        <f>IF(AND($A80&gt;=customs_fx_first,$A80&lt;=customs_fx_last+customs_fx_notification_validity_days),"CBIC_NOTIFIED","MARKUP_FALLBACK")</f>
        <v/>
      </c>
      <c r="X80" s="8">
        <f>IF($A80&lt;=INDEX(pdates_grade_factor_zorba,1),INDEX(pvals_grade_factor_zorba,1),IF($A80&gt;=INDEX(pdates_grade_factor_zorba,10),INDEX(pvals_grade_factor_zorba,10),INDEX(pvals_grade_factor_zorba,MATCH($A80,pdates_grade_factor_zorba,1))+($A80-INDEX(pdates_grade_factor_zorba,MATCH($A80,pdates_grade_factor_zorba,1)))/(INDEX(pdates_grade_factor_zorba,MATCH($A80,pdates_grade_factor_zorba,1)+1)-INDEX(pdates_grade_factor_zorba,MATCH($A80,pdates_grade_factor_zorba,1)))*(INDEX(pvals_grade_factor_zorba,MATCH($A80,pdates_grade_factor_zorba,1)+1)-INDEX(pvals_grade_factor_zorba,MATCH($A80,pdates_grade_factor_zorba,1)))))</f>
        <v/>
      </c>
      <c r="Y80" s="8">
        <f>IF($A80&lt;=INDEX(pdates_grade_factor_taint_tabor,1),INDEX(pvals_grade_factor_taint_tabor,1),IF($A80&gt;=INDEX(pdates_grade_factor_taint_tabor,10),INDEX(pvals_grade_factor_taint_tabor,10),INDEX(pvals_grade_factor_taint_tabor,MATCH($A80,pdates_grade_factor_taint_tabor,1))+($A80-INDEX(pdates_grade_factor_taint_tabor,MATCH($A80,pdates_grade_factor_taint_tabor,1)))/(INDEX(pdates_grade_factor_taint_tabor,MATCH($A80,pdates_grade_factor_taint_tabor,1)+1)-INDEX(pdates_grade_factor_taint_tabor,MATCH($A80,pdates_grade_factor_taint_tabor,1)))*(INDEX(pvals_grade_factor_taint_tabor,MATCH($A80,pdates_grade_factor_taint_tabor,1)+1)-INDEX(pvals_grade_factor_taint_tabor,MATCH($A80,pdates_grade_factor_taint_tabor,1)))))</f>
        <v/>
      </c>
      <c r="Z80" s="8">
        <f>IF($A80&lt;=INDEX(pdates_grade_factor_tense,1),INDEX(pvals_grade_factor_tense,1),IF($A80&gt;=INDEX(pdates_grade_factor_tense,10),INDEX(pvals_grade_factor_tense,10),INDEX(pvals_grade_factor_tense,MATCH($A80,pdates_grade_factor_tense,1))+($A80-INDEX(pdates_grade_factor_tense,MATCH($A80,pdates_grade_factor_tense,1)))/(INDEX(pdates_grade_factor_tense,MATCH($A80,pdates_grade_factor_tense,1)+1)-INDEX(pdates_grade_factor_tense,MATCH($A80,pdates_grade_factor_tense,1)))*(INDEX(pvals_grade_factor_tense,MATCH($A80,pdates_grade_factor_tense,1)+1)-INDEX(pvals_grade_factor_tense,MATCH($A80,pdates_grade_factor_tense,1)))))</f>
        <v/>
      </c>
      <c r="AA80" s="8">
        <f>IF($A80&lt;=INDEX(pdates_grade_factor_mix_pit,1),INDEX(pvals_grade_factor_mix_pit,1),IF($A80&gt;=INDEX(pdates_grade_factor_mix_pit,10),INDEX(pvals_grade_factor_mix_pit,10),INDEX(pvals_grade_factor_mix_pit,MATCH($A80,pdates_grade_factor_mix_pit,1))+($A80-INDEX(pdates_grade_factor_mix_pit,MATCH($A80,pdates_grade_factor_mix_pit,1)))/(INDEX(pdates_grade_factor_mix_pit,MATCH($A80,pdates_grade_factor_mix_pit,1)+1)-INDEX(pdates_grade_factor_mix_pit,MATCH($A80,pdates_grade_factor_mix_pit,1)))*(INDEX(pvals_grade_factor_mix_pit,MATCH($A80,pdates_grade_factor_mix_pit,1)+1)-INDEX(pvals_grade_factor_mix_pit,MATCH($A80,pdates_grade_factor_mix_pit,1)))))</f>
        <v/>
      </c>
      <c r="AB80" s="16">
        <f>($B80*$F80/kg_per_mt*(1+bcd_primary_al_hs7601*(1+sws_rate_on_bcd))+mcx_domestic_premium_inr_kg)*(1+$I80*MAX(0,$Q80-$A80)/day_count_inr)</f>
        <v/>
      </c>
      <c r="AC80" s="16">
        <f>$M80-$AB80</f>
        <v/>
      </c>
      <c r="AD80" s="7" t="inlineStr">
        <is>
          <t>PROXY_IMPORT_PARITY</t>
        </is>
      </c>
      <c r="AE80" s="7" t="inlineStr">
        <is>
          <t>ECB_CROSS</t>
        </is>
      </c>
      <c r="AF80" s="7" t="inlineStr">
        <is>
          <t>WCI_REPORTED|USEC:SIBLING|JEA:ASSUMPTION</t>
        </is>
      </c>
      <c r="AG80" s="17" t="b">
        <v>0</v>
      </c>
      <c r="AH80" s="17" t="b">
        <v>1</v>
      </c>
    </row>
    <row r="81">
      <c r="A81" s="11" t="n">
        <v>44672</v>
      </c>
      <c r="B81" s="13" t="n">
        <v>3262</v>
      </c>
      <c r="C81" s="13" t="n">
        <v>3276</v>
      </c>
      <c r="D81" s="13" t="n">
        <v>-14</v>
      </c>
      <c r="E81" s="13" t="n">
        <v>589725</v>
      </c>
      <c r="F81" s="13" t="n">
        <v>76.2056</v>
      </c>
      <c r="G81" s="6" t="n">
        <v>76.3993</v>
      </c>
      <c r="H81" s="6" t="n">
        <v>76.7925</v>
      </c>
      <c r="I81" s="14" t="n">
        <v>0.039255</v>
      </c>
      <c r="J81" s="14" t="n">
        <v>0.008186000000000001</v>
      </c>
      <c r="K81" s="14" t="n">
        <v>0.04</v>
      </c>
      <c r="L81" s="13" t="n">
        <v>269.0907</v>
      </c>
      <c r="M81" s="13" t="n">
        <v>269.3223</v>
      </c>
      <c r="N81" s="13" t="n">
        <v>270.2483</v>
      </c>
      <c r="O81" s="13" t="n">
        <v>21.22</v>
      </c>
      <c r="P81" s="13" t="n">
        <v>94.08</v>
      </c>
      <c r="Q81" s="12" t="n">
        <v>44680</v>
      </c>
      <c r="R81" s="12" t="n">
        <v>44712</v>
      </c>
      <c r="S81" s="8">
        <f>YEAR($Q81)*100+MONTH($Q81)</f>
        <v/>
      </c>
      <c r="T81" s="8">
        <f>YEAR($R81)*100+MONTH($R81)</f>
        <v/>
      </c>
      <c r="U81" s="15">
        <f>IF($A81&lt;=INDEX(pdates_wc_rate_inr_pa,1),INDEX(pvals_wc_rate_inr_pa,1),INDEX(pvals_wc_rate_inr_pa,MATCH($A81,pdates_wc_rate_inr_pa,1)))</f>
        <v/>
      </c>
      <c r="V81" s="8">
        <f>IF(AND($A81&gt;=customs_fx_first,$A81&lt;=customs_fx_last+customs_fx_notification_validity_days),IF($A81&lt;=INDEX(pdates_customs_usdinr_import,1),INDEX(pvals_customs_usdinr_import,1),INDEX(pvals_customs_usdinr_import,MATCH($A81,pdates_customs_usdinr_import,1))),$F81*(1+customs_fx_markup_frac))</f>
        <v/>
      </c>
      <c r="W81" s="8">
        <f>IF(AND($A81&gt;=customs_fx_first,$A81&lt;=customs_fx_last+customs_fx_notification_validity_days),"CBIC_NOTIFIED","MARKUP_FALLBACK")</f>
        <v/>
      </c>
      <c r="X81" s="8">
        <f>IF($A81&lt;=INDEX(pdates_grade_factor_zorba,1),INDEX(pvals_grade_factor_zorba,1),IF($A81&gt;=INDEX(pdates_grade_factor_zorba,10),INDEX(pvals_grade_factor_zorba,10),INDEX(pvals_grade_factor_zorba,MATCH($A81,pdates_grade_factor_zorba,1))+($A81-INDEX(pdates_grade_factor_zorba,MATCH($A81,pdates_grade_factor_zorba,1)))/(INDEX(pdates_grade_factor_zorba,MATCH($A81,pdates_grade_factor_zorba,1)+1)-INDEX(pdates_grade_factor_zorba,MATCH($A81,pdates_grade_factor_zorba,1)))*(INDEX(pvals_grade_factor_zorba,MATCH($A81,pdates_grade_factor_zorba,1)+1)-INDEX(pvals_grade_factor_zorba,MATCH($A81,pdates_grade_factor_zorba,1)))))</f>
        <v/>
      </c>
      <c r="Y81" s="8">
        <f>IF($A81&lt;=INDEX(pdates_grade_factor_taint_tabor,1),INDEX(pvals_grade_factor_taint_tabor,1),IF($A81&gt;=INDEX(pdates_grade_factor_taint_tabor,10),INDEX(pvals_grade_factor_taint_tabor,10),INDEX(pvals_grade_factor_taint_tabor,MATCH($A81,pdates_grade_factor_taint_tabor,1))+($A81-INDEX(pdates_grade_factor_taint_tabor,MATCH($A81,pdates_grade_factor_taint_tabor,1)))/(INDEX(pdates_grade_factor_taint_tabor,MATCH($A81,pdates_grade_factor_taint_tabor,1)+1)-INDEX(pdates_grade_factor_taint_tabor,MATCH($A81,pdates_grade_factor_taint_tabor,1)))*(INDEX(pvals_grade_factor_taint_tabor,MATCH($A81,pdates_grade_factor_taint_tabor,1)+1)-INDEX(pvals_grade_factor_taint_tabor,MATCH($A81,pdates_grade_factor_taint_tabor,1)))))</f>
        <v/>
      </c>
      <c r="Z81" s="8">
        <f>IF($A81&lt;=INDEX(pdates_grade_factor_tense,1),INDEX(pvals_grade_factor_tense,1),IF($A81&gt;=INDEX(pdates_grade_factor_tense,10),INDEX(pvals_grade_factor_tense,10),INDEX(pvals_grade_factor_tense,MATCH($A81,pdates_grade_factor_tense,1))+($A81-INDEX(pdates_grade_factor_tense,MATCH($A81,pdates_grade_factor_tense,1)))/(INDEX(pdates_grade_factor_tense,MATCH($A81,pdates_grade_factor_tense,1)+1)-INDEX(pdates_grade_factor_tense,MATCH($A81,pdates_grade_factor_tense,1)))*(INDEX(pvals_grade_factor_tense,MATCH($A81,pdates_grade_factor_tense,1)+1)-INDEX(pvals_grade_factor_tense,MATCH($A81,pdates_grade_factor_tense,1)))))</f>
        <v/>
      </c>
      <c r="AA81" s="8">
        <f>IF($A81&lt;=INDEX(pdates_grade_factor_mix_pit,1),INDEX(pvals_grade_factor_mix_pit,1),IF($A81&gt;=INDEX(pdates_grade_factor_mix_pit,10),INDEX(pvals_grade_factor_mix_pit,10),INDEX(pvals_grade_factor_mix_pit,MATCH($A81,pdates_grade_factor_mix_pit,1))+($A81-INDEX(pdates_grade_factor_mix_pit,MATCH($A81,pdates_grade_factor_mix_pit,1)))/(INDEX(pdates_grade_factor_mix_pit,MATCH($A81,pdates_grade_factor_mix_pit,1)+1)-INDEX(pdates_grade_factor_mix_pit,MATCH($A81,pdates_grade_factor_mix_pit,1)))*(INDEX(pvals_grade_factor_mix_pit,MATCH($A81,pdates_grade_factor_mix_pit,1)+1)-INDEX(pvals_grade_factor_mix_pit,MATCH($A81,pdates_grade_factor_mix_pit,1)))))</f>
        <v/>
      </c>
      <c r="AB81" s="16">
        <f>($B81*$F81/kg_per_mt*(1+bcd_primary_al_hs7601*(1+sws_rate_on_bcd))+mcx_domestic_premium_inr_kg)*(1+$I81*MAX(0,$Q81-$A81)/day_count_inr)</f>
        <v/>
      </c>
      <c r="AC81" s="16">
        <f>$M81-$AB81</f>
        <v/>
      </c>
      <c r="AD81" s="7" t="inlineStr">
        <is>
          <t>PROXY_IMPORT_PARITY</t>
        </is>
      </c>
      <c r="AE81" s="7" t="inlineStr">
        <is>
          <t>ECB_CROSS</t>
        </is>
      </c>
      <c r="AF81" s="7" t="inlineStr">
        <is>
          <t>WCI_REPORTED|USEC:SIBLING|JEA:ASSUMPTION</t>
        </is>
      </c>
      <c r="AG81" s="17" t="b">
        <v>0</v>
      </c>
      <c r="AH81" s="17" t="b">
        <v>0</v>
      </c>
    </row>
    <row r="82">
      <c r="A82" s="11" t="n">
        <v>44673</v>
      </c>
      <c r="B82" s="13" t="n">
        <v>3244</v>
      </c>
      <c r="C82" s="13" t="n">
        <v>3261</v>
      </c>
      <c r="D82" s="13" t="n">
        <v>-17</v>
      </c>
      <c r="E82" s="13" t="n">
        <v>586000</v>
      </c>
      <c r="F82" s="13" t="n">
        <v>76.4485</v>
      </c>
      <c r="G82" s="6" t="n">
        <v>76.64279999999999</v>
      </c>
      <c r="H82" s="6" t="n">
        <v>77.0372</v>
      </c>
      <c r="I82" s="14" t="n">
        <v>0.039255</v>
      </c>
      <c r="J82" s="14" t="n">
        <v>0.008186000000000001</v>
      </c>
      <c r="K82" s="14" t="n">
        <v>0.04</v>
      </c>
      <c r="L82" s="13" t="n">
        <v>268.4588</v>
      </c>
      <c r="M82" s="13" t="n">
        <v>268.661</v>
      </c>
      <c r="N82" s="13" t="n">
        <v>269.5849</v>
      </c>
      <c r="O82" s="13" t="n">
        <v>21.22</v>
      </c>
      <c r="P82" s="13" t="n">
        <v>94.08</v>
      </c>
      <c r="Q82" s="12" t="n">
        <v>44680</v>
      </c>
      <c r="R82" s="12" t="n">
        <v>44712</v>
      </c>
      <c r="S82" s="8">
        <f>YEAR($Q82)*100+MONTH($Q82)</f>
        <v/>
      </c>
      <c r="T82" s="8">
        <f>YEAR($R82)*100+MONTH($R82)</f>
        <v/>
      </c>
      <c r="U82" s="15">
        <f>IF($A82&lt;=INDEX(pdates_wc_rate_inr_pa,1),INDEX(pvals_wc_rate_inr_pa,1),INDEX(pvals_wc_rate_inr_pa,MATCH($A82,pdates_wc_rate_inr_pa,1)))</f>
        <v/>
      </c>
      <c r="V82" s="8">
        <f>IF(AND($A82&gt;=customs_fx_first,$A82&lt;=customs_fx_last+customs_fx_notification_validity_days),IF($A82&lt;=INDEX(pdates_customs_usdinr_import,1),INDEX(pvals_customs_usdinr_import,1),INDEX(pvals_customs_usdinr_import,MATCH($A82,pdates_customs_usdinr_import,1))),$F82*(1+customs_fx_markup_frac))</f>
        <v/>
      </c>
      <c r="W82" s="8">
        <f>IF(AND($A82&gt;=customs_fx_first,$A82&lt;=customs_fx_last+customs_fx_notification_validity_days),"CBIC_NOTIFIED","MARKUP_FALLBACK")</f>
        <v/>
      </c>
      <c r="X82" s="8">
        <f>IF($A82&lt;=INDEX(pdates_grade_factor_zorba,1),INDEX(pvals_grade_factor_zorba,1),IF($A82&gt;=INDEX(pdates_grade_factor_zorba,10),INDEX(pvals_grade_factor_zorba,10),INDEX(pvals_grade_factor_zorba,MATCH($A82,pdates_grade_factor_zorba,1))+($A82-INDEX(pdates_grade_factor_zorba,MATCH($A82,pdates_grade_factor_zorba,1)))/(INDEX(pdates_grade_factor_zorba,MATCH($A82,pdates_grade_factor_zorba,1)+1)-INDEX(pdates_grade_factor_zorba,MATCH($A82,pdates_grade_factor_zorba,1)))*(INDEX(pvals_grade_factor_zorba,MATCH($A82,pdates_grade_factor_zorba,1)+1)-INDEX(pvals_grade_factor_zorba,MATCH($A82,pdates_grade_factor_zorba,1)))))</f>
        <v/>
      </c>
      <c r="Y82" s="8">
        <f>IF($A82&lt;=INDEX(pdates_grade_factor_taint_tabor,1),INDEX(pvals_grade_factor_taint_tabor,1),IF($A82&gt;=INDEX(pdates_grade_factor_taint_tabor,10),INDEX(pvals_grade_factor_taint_tabor,10),INDEX(pvals_grade_factor_taint_tabor,MATCH($A82,pdates_grade_factor_taint_tabor,1))+($A82-INDEX(pdates_grade_factor_taint_tabor,MATCH($A82,pdates_grade_factor_taint_tabor,1)))/(INDEX(pdates_grade_factor_taint_tabor,MATCH($A82,pdates_grade_factor_taint_tabor,1)+1)-INDEX(pdates_grade_factor_taint_tabor,MATCH($A82,pdates_grade_factor_taint_tabor,1)))*(INDEX(pvals_grade_factor_taint_tabor,MATCH($A82,pdates_grade_factor_taint_tabor,1)+1)-INDEX(pvals_grade_factor_taint_tabor,MATCH($A82,pdates_grade_factor_taint_tabor,1)))))</f>
        <v/>
      </c>
      <c r="Z82" s="8">
        <f>IF($A82&lt;=INDEX(pdates_grade_factor_tense,1),INDEX(pvals_grade_factor_tense,1),IF($A82&gt;=INDEX(pdates_grade_factor_tense,10),INDEX(pvals_grade_factor_tense,10),INDEX(pvals_grade_factor_tense,MATCH($A82,pdates_grade_factor_tense,1))+($A82-INDEX(pdates_grade_factor_tense,MATCH($A82,pdates_grade_factor_tense,1)))/(INDEX(pdates_grade_factor_tense,MATCH($A82,pdates_grade_factor_tense,1)+1)-INDEX(pdates_grade_factor_tense,MATCH($A82,pdates_grade_factor_tense,1)))*(INDEX(pvals_grade_factor_tense,MATCH($A82,pdates_grade_factor_tense,1)+1)-INDEX(pvals_grade_factor_tense,MATCH($A82,pdates_grade_factor_tense,1)))))</f>
        <v/>
      </c>
      <c r="AA82" s="8">
        <f>IF($A82&lt;=INDEX(pdates_grade_factor_mix_pit,1),INDEX(pvals_grade_factor_mix_pit,1),IF($A82&gt;=INDEX(pdates_grade_factor_mix_pit,10),INDEX(pvals_grade_factor_mix_pit,10),INDEX(pvals_grade_factor_mix_pit,MATCH($A82,pdates_grade_factor_mix_pit,1))+($A82-INDEX(pdates_grade_factor_mix_pit,MATCH($A82,pdates_grade_factor_mix_pit,1)))/(INDEX(pdates_grade_factor_mix_pit,MATCH($A82,pdates_grade_factor_mix_pit,1)+1)-INDEX(pdates_grade_factor_mix_pit,MATCH($A82,pdates_grade_factor_mix_pit,1)))*(INDEX(pvals_grade_factor_mix_pit,MATCH($A82,pdates_grade_factor_mix_pit,1)+1)-INDEX(pvals_grade_factor_mix_pit,MATCH($A82,pdates_grade_factor_mix_pit,1)))))</f>
        <v/>
      </c>
      <c r="AB82" s="16">
        <f>($B82*$F82/kg_per_mt*(1+bcd_primary_al_hs7601*(1+sws_rate_on_bcd))+mcx_domestic_premium_inr_kg)*(1+$I82*MAX(0,$Q82-$A82)/day_count_inr)</f>
        <v/>
      </c>
      <c r="AC82" s="16">
        <f>$M82-$AB82</f>
        <v/>
      </c>
      <c r="AD82" s="7" t="inlineStr">
        <is>
          <t>PROXY_IMPORT_PARITY</t>
        </is>
      </c>
      <c r="AE82" s="7" t="inlineStr">
        <is>
          <t>ECB_CROSS</t>
        </is>
      </c>
      <c r="AF82" s="7" t="inlineStr">
        <is>
          <t>WCI_REPORTED|USEC:SIBLING|JEA:ASSUMPTION</t>
        </is>
      </c>
      <c r="AG82" s="17" t="b">
        <v>0</v>
      </c>
      <c r="AH82" s="17" t="b">
        <v>1</v>
      </c>
    </row>
    <row r="83">
      <c r="A83" s="11" t="n">
        <v>44676</v>
      </c>
      <c r="B83" s="13" t="n">
        <v>3090</v>
      </c>
      <c r="C83" s="13" t="n">
        <v>3105</v>
      </c>
      <c r="D83" s="13" t="n">
        <v>-15</v>
      </c>
      <c r="E83" s="13" t="n">
        <v>584050</v>
      </c>
      <c r="F83" s="13" t="n">
        <v>76.6062</v>
      </c>
      <c r="G83" s="6" t="n">
        <v>76.79340000000001</v>
      </c>
      <c r="H83" s="6" t="n">
        <v>77.17310000000001</v>
      </c>
      <c r="I83" s="14" t="n">
        <v>0.039255</v>
      </c>
      <c r="J83" s="14" t="n">
        <v>0.00937</v>
      </c>
      <c r="K83" s="14" t="n">
        <v>0.04</v>
      </c>
      <c r="L83" s="13" t="n">
        <v>256.242</v>
      </c>
      <c r="M83" s="13" t="n">
        <v>256.3522</v>
      </c>
      <c r="N83" s="13" t="n">
        <v>257.2341</v>
      </c>
      <c r="O83" s="13" t="n">
        <v>21.22</v>
      </c>
      <c r="P83" s="13" t="n">
        <v>94.08</v>
      </c>
      <c r="Q83" s="12" t="n">
        <v>44680</v>
      </c>
      <c r="R83" s="12" t="n">
        <v>44712</v>
      </c>
      <c r="S83" s="8">
        <f>YEAR($Q83)*100+MONTH($Q83)</f>
        <v/>
      </c>
      <c r="T83" s="8">
        <f>YEAR($R83)*100+MONTH($R83)</f>
        <v/>
      </c>
      <c r="U83" s="15">
        <f>IF($A83&lt;=INDEX(pdates_wc_rate_inr_pa,1),INDEX(pvals_wc_rate_inr_pa,1),INDEX(pvals_wc_rate_inr_pa,MATCH($A83,pdates_wc_rate_inr_pa,1)))</f>
        <v/>
      </c>
      <c r="V83" s="8">
        <f>IF(AND($A83&gt;=customs_fx_first,$A83&lt;=customs_fx_last+customs_fx_notification_validity_days),IF($A83&lt;=INDEX(pdates_customs_usdinr_import,1),INDEX(pvals_customs_usdinr_import,1),INDEX(pvals_customs_usdinr_import,MATCH($A83,pdates_customs_usdinr_import,1))),$F83*(1+customs_fx_markup_frac))</f>
        <v/>
      </c>
      <c r="W83" s="8">
        <f>IF(AND($A83&gt;=customs_fx_first,$A83&lt;=customs_fx_last+customs_fx_notification_validity_days),"CBIC_NOTIFIED","MARKUP_FALLBACK")</f>
        <v/>
      </c>
      <c r="X83" s="8">
        <f>IF($A83&lt;=INDEX(pdates_grade_factor_zorba,1),INDEX(pvals_grade_factor_zorba,1),IF($A83&gt;=INDEX(pdates_grade_factor_zorba,10),INDEX(pvals_grade_factor_zorba,10),INDEX(pvals_grade_factor_zorba,MATCH($A83,pdates_grade_factor_zorba,1))+($A83-INDEX(pdates_grade_factor_zorba,MATCH($A83,pdates_grade_factor_zorba,1)))/(INDEX(pdates_grade_factor_zorba,MATCH($A83,pdates_grade_factor_zorba,1)+1)-INDEX(pdates_grade_factor_zorba,MATCH($A83,pdates_grade_factor_zorba,1)))*(INDEX(pvals_grade_factor_zorba,MATCH($A83,pdates_grade_factor_zorba,1)+1)-INDEX(pvals_grade_factor_zorba,MATCH($A83,pdates_grade_factor_zorba,1)))))</f>
        <v/>
      </c>
      <c r="Y83" s="8">
        <f>IF($A83&lt;=INDEX(pdates_grade_factor_taint_tabor,1),INDEX(pvals_grade_factor_taint_tabor,1),IF($A83&gt;=INDEX(pdates_grade_factor_taint_tabor,10),INDEX(pvals_grade_factor_taint_tabor,10),INDEX(pvals_grade_factor_taint_tabor,MATCH($A83,pdates_grade_factor_taint_tabor,1))+($A83-INDEX(pdates_grade_factor_taint_tabor,MATCH($A83,pdates_grade_factor_taint_tabor,1)))/(INDEX(pdates_grade_factor_taint_tabor,MATCH($A83,pdates_grade_factor_taint_tabor,1)+1)-INDEX(pdates_grade_factor_taint_tabor,MATCH($A83,pdates_grade_factor_taint_tabor,1)))*(INDEX(pvals_grade_factor_taint_tabor,MATCH($A83,pdates_grade_factor_taint_tabor,1)+1)-INDEX(pvals_grade_factor_taint_tabor,MATCH($A83,pdates_grade_factor_taint_tabor,1)))))</f>
        <v/>
      </c>
      <c r="Z83" s="8">
        <f>IF($A83&lt;=INDEX(pdates_grade_factor_tense,1),INDEX(pvals_grade_factor_tense,1),IF($A83&gt;=INDEX(pdates_grade_factor_tense,10),INDEX(pvals_grade_factor_tense,10),INDEX(pvals_grade_factor_tense,MATCH($A83,pdates_grade_factor_tense,1))+($A83-INDEX(pdates_grade_factor_tense,MATCH($A83,pdates_grade_factor_tense,1)))/(INDEX(pdates_grade_factor_tense,MATCH($A83,pdates_grade_factor_tense,1)+1)-INDEX(pdates_grade_factor_tense,MATCH($A83,pdates_grade_factor_tense,1)))*(INDEX(pvals_grade_factor_tense,MATCH($A83,pdates_grade_factor_tense,1)+1)-INDEX(pvals_grade_factor_tense,MATCH($A83,pdates_grade_factor_tense,1)))))</f>
        <v/>
      </c>
      <c r="AA83" s="8">
        <f>IF($A83&lt;=INDEX(pdates_grade_factor_mix_pit,1),INDEX(pvals_grade_factor_mix_pit,1),IF($A83&gt;=INDEX(pdates_grade_factor_mix_pit,10),INDEX(pvals_grade_factor_mix_pit,10),INDEX(pvals_grade_factor_mix_pit,MATCH($A83,pdates_grade_factor_mix_pit,1))+($A83-INDEX(pdates_grade_factor_mix_pit,MATCH($A83,pdates_grade_factor_mix_pit,1)))/(INDEX(pdates_grade_factor_mix_pit,MATCH($A83,pdates_grade_factor_mix_pit,1)+1)-INDEX(pdates_grade_factor_mix_pit,MATCH($A83,pdates_grade_factor_mix_pit,1)))*(INDEX(pvals_grade_factor_mix_pit,MATCH($A83,pdates_grade_factor_mix_pit,1)+1)-INDEX(pvals_grade_factor_mix_pit,MATCH($A83,pdates_grade_factor_mix_pit,1)))))</f>
        <v/>
      </c>
      <c r="AB83" s="16">
        <f>($B83*$F83/kg_per_mt*(1+bcd_primary_al_hs7601*(1+sws_rate_on_bcd))+mcx_domestic_premium_inr_kg)*(1+$I83*MAX(0,$Q83-$A83)/day_count_inr)</f>
        <v/>
      </c>
      <c r="AC83" s="16">
        <f>$M83-$AB83</f>
        <v/>
      </c>
      <c r="AD83" s="7" t="inlineStr">
        <is>
          <t>PROXY_IMPORT_PARITY</t>
        </is>
      </c>
      <c r="AE83" s="7" t="inlineStr">
        <is>
          <t>ECB_CROSS</t>
        </is>
      </c>
      <c r="AF83" s="7" t="inlineStr">
        <is>
          <t>WCI_REPORTED|USEC:SIBLING|JEA:ASSUMPTION</t>
        </is>
      </c>
      <c r="AG83" s="17" t="b">
        <v>0</v>
      </c>
      <c r="AH83" s="17" t="b">
        <v>1</v>
      </c>
    </row>
    <row r="84">
      <c r="A84" s="11" t="n">
        <v>44677</v>
      </c>
      <c r="B84" s="13" t="n">
        <v>3102.5</v>
      </c>
      <c r="C84" s="13" t="n">
        <v>3118</v>
      </c>
      <c r="D84" s="13" t="n">
        <v>-15.5</v>
      </c>
      <c r="E84" s="13" t="n">
        <v>579600</v>
      </c>
      <c r="F84" s="13" t="n">
        <v>76.566</v>
      </c>
      <c r="G84" s="6" t="n">
        <v>76.7594</v>
      </c>
      <c r="H84" s="6" t="n">
        <v>77.15179999999999</v>
      </c>
      <c r="I84" s="14" t="n">
        <v>0.039255</v>
      </c>
      <c r="J84" s="14" t="n">
        <v>0.008384000000000001</v>
      </c>
      <c r="K84" s="14" t="n">
        <v>0.04</v>
      </c>
      <c r="L84" s="13" t="n">
        <v>257.1436</v>
      </c>
      <c r="M84" s="13" t="n">
        <v>257.2265</v>
      </c>
      <c r="N84" s="13" t="n">
        <v>258.1115</v>
      </c>
      <c r="O84" s="13" t="n">
        <v>21.22</v>
      </c>
      <c r="P84" s="13" t="n">
        <v>94.08</v>
      </c>
      <c r="Q84" s="12" t="n">
        <v>44680</v>
      </c>
      <c r="R84" s="12" t="n">
        <v>44712</v>
      </c>
      <c r="S84" s="8">
        <f>YEAR($Q84)*100+MONTH($Q84)</f>
        <v/>
      </c>
      <c r="T84" s="8">
        <f>YEAR($R84)*100+MONTH($R84)</f>
        <v/>
      </c>
      <c r="U84" s="15">
        <f>IF($A84&lt;=INDEX(pdates_wc_rate_inr_pa,1),INDEX(pvals_wc_rate_inr_pa,1),INDEX(pvals_wc_rate_inr_pa,MATCH($A84,pdates_wc_rate_inr_pa,1)))</f>
        <v/>
      </c>
      <c r="V84" s="8">
        <f>IF(AND($A84&gt;=customs_fx_first,$A84&lt;=customs_fx_last+customs_fx_notification_validity_days),IF($A84&lt;=INDEX(pdates_customs_usdinr_import,1),INDEX(pvals_customs_usdinr_import,1),INDEX(pvals_customs_usdinr_import,MATCH($A84,pdates_customs_usdinr_import,1))),$F84*(1+customs_fx_markup_frac))</f>
        <v/>
      </c>
      <c r="W84" s="8">
        <f>IF(AND($A84&gt;=customs_fx_first,$A84&lt;=customs_fx_last+customs_fx_notification_validity_days),"CBIC_NOTIFIED","MARKUP_FALLBACK")</f>
        <v/>
      </c>
      <c r="X84" s="8">
        <f>IF($A84&lt;=INDEX(pdates_grade_factor_zorba,1),INDEX(pvals_grade_factor_zorba,1),IF($A84&gt;=INDEX(pdates_grade_factor_zorba,10),INDEX(pvals_grade_factor_zorba,10),INDEX(pvals_grade_factor_zorba,MATCH($A84,pdates_grade_factor_zorba,1))+($A84-INDEX(pdates_grade_factor_zorba,MATCH($A84,pdates_grade_factor_zorba,1)))/(INDEX(pdates_grade_factor_zorba,MATCH($A84,pdates_grade_factor_zorba,1)+1)-INDEX(pdates_grade_factor_zorba,MATCH($A84,pdates_grade_factor_zorba,1)))*(INDEX(pvals_grade_factor_zorba,MATCH($A84,pdates_grade_factor_zorba,1)+1)-INDEX(pvals_grade_factor_zorba,MATCH($A84,pdates_grade_factor_zorba,1)))))</f>
        <v/>
      </c>
      <c r="Y84" s="8">
        <f>IF($A84&lt;=INDEX(pdates_grade_factor_taint_tabor,1),INDEX(pvals_grade_factor_taint_tabor,1),IF($A84&gt;=INDEX(pdates_grade_factor_taint_tabor,10),INDEX(pvals_grade_factor_taint_tabor,10),INDEX(pvals_grade_factor_taint_tabor,MATCH($A84,pdates_grade_factor_taint_tabor,1))+($A84-INDEX(pdates_grade_factor_taint_tabor,MATCH($A84,pdates_grade_factor_taint_tabor,1)))/(INDEX(pdates_grade_factor_taint_tabor,MATCH($A84,pdates_grade_factor_taint_tabor,1)+1)-INDEX(pdates_grade_factor_taint_tabor,MATCH($A84,pdates_grade_factor_taint_tabor,1)))*(INDEX(pvals_grade_factor_taint_tabor,MATCH($A84,pdates_grade_factor_taint_tabor,1)+1)-INDEX(pvals_grade_factor_taint_tabor,MATCH($A84,pdates_grade_factor_taint_tabor,1)))))</f>
        <v/>
      </c>
      <c r="Z84" s="8">
        <f>IF($A84&lt;=INDEX(pdates_grade_factor_tense,1),INDEX(pvals_grade_factor_tense,1),IF($A84&gt;=INDEX(pdates_grade_factor_tense,10),INDEX(pvals_grade_factor_tense,10),INDEX(pvals_grade_factor_tense,MATCH($A84,pdates_grade_factor_tense,1))+($A84-INDEX(pdates_grade_factor_tense,MATCH($A84,pdates_grade_factor_tense,1)))/(INDEX(pdates_grade_factor_tense,MATCH($A84,pdates_grade_factor_tense,1)+1)-INDEX(pdates_grade_factor_tense,MATCH($A84,pdates_grade_factor_tense,1)))*(INDEX(pvals_grade_factor_tense,MATCH($A84,pdates_grade_factor_tense,1)+1)-INDEX(pvals_grade_factor_tense,MATCH($A84,pdates_grade_factor_tense,1)))))</f>
        <v/>
      </c>
      <c r="AA84" s="8">
        <f>IF($A84&lt;=INDEX(pdates_grade_factor_mix_pit,1),INDEX(pvals_grade_factor_mix_pit,1),IF($A84&gt;=INDEX(pdates_grade_factor_mix_pit,10),INDEX(pvals_grade_factor_mix_pit,10),INDEX(pvals_grade_factor_mix_pit,MATCH($A84,pdates_grade_factor_mix_pit,1))+($A84-INDEX(pdates_grade_factor_mix_pit,MATCH($A84,pdates_grade_factor_mix_pit,1)))/(INDEX(pdates_grade_factor_mix_pit,MATCH($A84,pdates_grade_factor_mix_pit,1)+1)-INDEX(pdates_grade_factor_mix_pit,MATCH($A84,pdates_grade_factor_mix_pit,1)))*(INDEX(pvals_grade_factor_mix_pit,MATCH($A84,pdates_grade_factor_mix_pit,1)+1)-INDEX(pvals_grade_factor_mix_pit,MATCH($A84,pdates_grade_factor_mix_pit,1)))))</f>
        <v/>
      </c>
      <c r="AB84" s="16">
        <f>($B84*$F84/kg_per_mt*(1+bcd_primary_al_hs7601*(1+sws_rate_on_bcd))+mcx_domestic_premium_inr_kg)*(1+$I84*MAX(0,$Q84-$A84)/day_count_inr)</f>
        <v/>
      </c>
      <c r="AC84" s="16">
        <f>$M84-$AB84</f>
        <v/>
      </c>
      <c r="AD84" s="7" t="inlineStr">
        <is>
          <t>PROXY_IMPORT_PARITY</t>
        </is>
      </c>
      <c r="AE84" s="7" t="inlineStr">
        <is>
          <t>ECB_CROSS</t>
        </is>
      </c>
      <c r="AF84" s="7" t="inlineStr">
        <is>
          <t>WCI_REPORTED|USEC:SIBLING|JEA:ASSUMPTION</t>
        </is>
      </c>
      <c r="AG84" s="17" t="b">
        <v>0</v>
      </c>
      <c r="AH84" s="17" t="b">
        <v>1</v>
      </c>
    </row>
    <row r="85">
      <c r="A85" s="11" t="n">
        <v>44678</v>
      </c>
      <c r="B85" s="13" t="n">
        <v>3100</v>
      </c>
      <c r="C85" s="13" t="n">
        <v>3117</v>
      </c>
      <c r="D85" s="13" t="n">
        <v>-17</v>
      </c>
      <c r="E85" s="13" t="n">
        <v>574550</v>
      </c>
      <c r="F85" s="13" t="n">
        <v>76.6045</v>
      </c>
      <c r="G85" s="6" t="n">
        <v>76.7992</v>
      </c>
      <c r="H85" s="6" t="n">
        <v>77.1944</v>
      </c>
      <c r="I85" s="14" t="n">
        <v>0.039255</v>
      </c>
      <c r="J85" s="14" t="n">
        <v>0.008186000000000001</v>
      </c>
      <c r="K85" s="14" t="n">
        <v>0.04</v>
      </c>
      <c r="L85" s="13" t="n">
        <v>257.0656</v>
      </c>
      <c r="M85" s="13" t="n">
        <v>257.1208</v>
      </c>
      <c r="N85" s="13" t="n">
        <v>258.0055</v>
      </c>
      <c r="O85" s="13" t="n">
        <v>21.22</v>
      </c>
      <c r="P85" s="13" t="n">
        <v>94.08</v>
      </c>
      <c r="Q85" s="12" t="n">
        <v>44680</v>
      </c>
      <c r="R85" s="12" t="n">
        <v>44712</v>
      </c>
      <c r="S85" s="8">
        <f>YEAR($Q85)*100+MONTH($Q85)</f>
        <v/>
      </c>
      <c r="T85" s="8">
        <f>YEAR($R85)*100+MONTH($R85)</f>
        <v/>
      </c>
      <c r="U85" s="15">
        <f>IF($A85&lt;=INDEX(pdates_wc_rate_inr_pa,1),INDEX(pvals_wc_rate_inr_pa,1),INDEX(pvals_wc_rate_inr_pa,MATCH($A85,pdates_wc_rate_inr_pa,1)))</f>
        <v/>
      </c>
      <c r="V85" s="8">
        <f>IF(AND($A85&gt;=customs_fx_first,$A85&lt;=customs_fx_last+customs_fx_notification_validity_days),IF($A85&lt;=INDEX(pdates_customs_usdinr_import,1),INDEX(pvals_customs_usdinr_import,1),INDEX(pvals_customs_usdinr_import,MATCH($A85,pdates_customs_usdinr_import,1))),$F85*(1+customs_fx_markup_frac))</f>
        <v/>
      </c>
      <c r="W85" s="8">
        <f>IF(AND($A85&gt;=customs_fx_first,$A85&lt;=customs_fx_last+customs_fx_notification_validity_days),"CBIC_NOTIFIED","MARKUP_FALLBACK")</f>
        <v/>
      </c>
      <c r="X85" s="8">
        <f>IF($A85&lt;=INDEX(pdates_grade_factor_zorba,1),INDEX(pvals_grade_factor_zorba,1),IF($A85&gt;=INDEX(pdates_grade_factor_zorba,10),INDEX(pvals_grade_factor_zorba,10),INDEX(pvals_grade_factor_zorba,MATCH($A85,pdates_grade_factor_zorba,1))+($A85-INDEX(pdates_grade_factor_zorba,MATCH($A85,pdates_grade_factor_zorba,1)))/(INDEX(pdates_grade_factor_zorba,MATCH($A85,pdates_grade_factor_zorba,1)+1)-INDEX(pdates_grade_factor_zorba,MATCH($A85,pdates_grade_factor_zorba,1)))*(INDEX(pvals_grade_factor_zorba,MATCH($A85,pdates_grade_factor_zorba,1)+1)-INDEX(pvals_grade_factor_zorba,MATCH($A85,pdates_grade_factor_zorba,1)))))</f>
        <v/>
      </c>
      <c r="Y85" s="8">
        <f>IF($A85&lt;=INDEX(pdates_grade_factor_taint_tabor,1),INDEX(pvals_grade_factor_taint_tabor,1),IF($A85&gt;=INDEX(pdates_grade_factor_taint_tabor,10),INDEX(pvals_grade_factor_taint_tabor,10),INDEX(pvals_grade_factor_taint_tabor,MATCH($A85,pdates_grade_factor_taint_tabor,1))+($A85-INDEX(pdates_grade_factor_taint_tabor,MATCH($A85,pdates_grade_factor_taint_tabor,1)))/(INDEX(pdates_grade_factor_taint_tabor,MATCH($A85,pdates_grade_factor_taint_tabor,1)+1)-INDEX(pdates_grade_factor_taint_tabor,MATCH($A85,pdates_grade_factor_taint_tabor,1)))*(INDEX(pvals_grade_factor_taint_tabor,MATCH($A85,pdates_grade_factor_taint_tabor,1)+1)-INDEX(pvals_grade_factor_taint_tabor,MATCH($A85,pdates_grade_factor_taint_tabor,1)))))</f>
        <v/>
      </c>
      <c r="Z85" s="8">
        <f>IF($A85&lt;=INDEX(pdates_grade_factor_tense,1),INDEX(pvals_grade_factor_tense,1),IF($A85&gt;=INDEX(pdates_grade_factor_tense,10),INDEX(pvals_grade_factor_tense,10),INDEX(pvals_grade_factor_tense,MATCH($A85,pdates_grade_factor_tense,1))+($A85-INDEX(pdates_grade_factor_tense,MATCH($A85,pdates_grade_factor_tense,1)))/(INDEX(pdates_grade_factor_tense,MATCH($A85,pdates_grade_factor_tense,1)+1)-INDEX(pdates_grade_factor_tense,MATCH($A85,pdates_grade_factor_tense,1)))*(INDEX(pvals_grade_factor_tense,MATCH($A85,pdates_grade_factor_tense,1)+1)-INDEX(pvals_grade_factor_tense,MATCH($A85,pdates_grade_factor_tense,1)))))</f>
        <v/>
      </c>
      <c r="AA85" s="8">
        <f>IF($A85&lt;=INDEX(pdates_grade_factor_mix_pit,1),INDEX(pvals_grade_factor_mix_pit,1),IF($A85&gt;=INDEX(pdates_grade_factor_mix_pit,10),INDEX(pvals_grade_factor_mix_pit,10),INDEX(pvals_grade_factor_mix_pit,MATCH($A85,pdates_grade_factor_mix_pit,1))+($A85-INDEX(pdates_grade_factor_mix_pit,MATCH($A85,pdates_grade_factor_mix_pit,1)))/(INDEX(pdates_grade_factor_mix_pit,MATCH($A85,pdates_grade_factor_mix_pit,1)+1)-INDEX(pdates_grade_factor_mix_pit,MATCH($A85,pdates_grade_factor_mix_pit,1)))*(INDEX(pvals_grade_factor_mix_pit,MATCH($A85,pdates_grade_factor_mix_pit,1)+1)-INDEX(pvals_grade_factor_mix_pit,MATCH($A85,pdates_grade_factor_mix_pit,1)))))</f>
        <v/>
      </c>
      <c r="AB85" s="16">
        <f>($B85*$F85/kg_per_mt*(1+bcd_primary_al_hs7601*(1+sws_rate_on_bcd))+mcx_domestic_premium_inr_kg)*(1+$I85*MAX(0,$Q85-$A85)/day_count_inr)</f>
        <v/>
      </c>
      <c r="AC85" s="16">
        <f>$M85-$AB85</f>
        <v/>
      </c>
      <c r="AD85" s="7" t="inlineStr">
        <is>
          <t>PROXY_IMPORT_PARITY</t>
        </is>
      </c>
      <c r="AE85" s="7" t="inlineStr">
        <is>
          <t>ECB_CROSS</t>
        </is>
      </c>
      <c r="AF85" s="7" t="inlineStr">
        <is>
          <t>WCI_REPORTED|USEC:SIBLING|JEA:ASSUMPTION</t>
        </is>
      </c>
      <c r="AG85" s="17" t="b">
        <v>0</v>
      </c>
      <c r="AH85" s="17" t="b">
        <v>1</v>
      </c>
    </row>
    <row r="86">
      <c r="A86" s="11" t="n">
        <v>44679</v>
      </c>
      <c r="B86" s="13" t="n">
        <v>3065.5</v>
      </c>
      <c r="C86" s="13" t="n">
        <v>3083.5</v>
      </c>
      <c r="D86" s="13" t="n">
        <v>-18</v>
      </c>
      <c r="E86" s="13" t="n">
        <v>571625</v>
      </c>
      <c r="F86" s="13" t="n">
        <v>76.6495</v>
      </c>
      <c r="G86" s="6" t="n">
        <v>76.845</v>
      </c>
      <c r="H86" s="6" t="n">
        <v>77.24169999999999</v>
      </c>
      <c r="I86" s="14" t="n">
        <v>0.039255</v>
      </c>
      <c r="J86" s="14" t="n">
        <v>0.008088</v>
      </c>
      <c r="K86" s="14" t="n">
        <v>0.04</v>
      </c>
      <c r="L86" s="13" t="n">
        <v>254.354</v>
      </c>
      <c r="M86" s="13" t="n">
        <v>254.3813</v>
      </c>
      <c r="N86" s="13" t="n">
        <v>255.2567</v>
      </c>
      <c r="O86" s="13" t="n">
        <v>21.2</v>
      </c>
      <c r="P86" s="13" t="n">
        <v>94.01000000000001</v>
      </c>
      <c r="Q86" s="12" t="n">
        <v>44680</v>
      </c>
      <c r="R86" s="12" t="n">
        <v>44712</v>
      </c>
      <c r="S86" s="8">
        <f>YEAR($Q86)*100+MONTH($Q86)</f>
        <v/>
      </c>
      <c r="T86" s="8">
        <f>YEAR($R86)*100+MONTH($R86)</f>
        <v/>
      </c>
      <c r="U86" s="15">
        <f>IF($A86&lt;=INDEX(pdates_wc_rate_inr_pa,1),INDEX(pvals_wc_rate_inr_pa,1),INDEX(pvals_wc_rate_inr_pa,MATCH($A86,pdates_wc_rate_inr_pa,1)))</f>
        <v/>
      </c>
      <c r="V86" s="8">
        <f>IF(AND($A86&gt;=customs_fx_first,$A86&lt;=customs_fx_last+customs_fx_notification_validity_days),IF($A86&lt;=INDEX(pdates_customs_usdinr_import,1),INDEX(pvals_customs_usdinr_import,1),INDEX(pvals_customs_usdinr_import,MATCH($A86,pdates_customs_usdinr_import,1))),$F86*(1+customs_fx_markup_frac))</f>
        <v/>
      </c>
      <c r="W86" s="8">
        <f>IF(AND($A86&gt;=customs_fx_first,$A86&lt;=customs_fx_last+customs_fx_notification_validity_days),"CBIC_NOTIFIED","MARKUP_FALLBACK")</f>
        <v/>
      </c>
      <c r="X86" s="8">
        <f>IF($A86&lt;=INDEX(pdates_grade_factor_zorba,1),INDEX(pvals_grade_factor_zorba,1),IF($A86&gt;=INDEX(pdates_grade_factor_zorba,10),INDEX(pvals_grade_factor_zorba,10),INDEX(pvals_grade_factor_zorba,MATCH($A86,pdates_grade_factor_zorba,1))+($A86-INDEX(pdates_grade_factor_zorba,MATCH($A86,pdates_grade_factor_zorba,1)))/(INDEX(pdates_grade_factor_zorba,MATCH($A86,pdates_grade_factor_zorba,1)+1)-INDEX(pdates_grade_factor_zorba,MATCH($A86,pdates_grade_factor_zorba,1)))*(INDEX(pvals_grade_factor_zorba,MATCH($A86,pdates_grade_factor_zorba,1)+1)-INDEX(pvals_grade_factor_zorba,MATCH($A86,pdates_grade_factor_zorba,1)))))</f>
        <v/>
      </c>
      <c r="Y86" s="8">
        <f>IF($A86&lt;=INDEX(pdates_grade_factor_taint_tabor,1),INDEX(pvals_grade_factor_taint_tabor,1),IF($A86&gt;=INDEX(pdates_grade_factor_taint_tabor,10),INDEX(pvals_grade_factor_taint_tabor,10),INDEX(pvals_grade_factor_taint_tabor,MATCH($A86,pdates_grade_factor_taint_tabor,1))+($A86-INDEX(pdates_grade_factor_taint_tabor,MATCH($A86,pdates_grade_factor_taint_tabor,1)))/(INDEX(pdates_grade_factor_taint_tabor,MATCH($A86,pdates_grade_factor_taint_tabor,1)+1)-INDEX(pdates_grade_factor_taint_tabor,MATCH($A86,pdates_grade_factor_taint_tabor,1)))*(INDEX(pvals_grade_factor_taint_tabor,MATCH($A86,pdates_grade_factor_taint_tabor,1)+1)-INDEX(pvals_grade_factor_taint_tabor,MATCH($A86,pdates_grade_factor_taint_tabor,1)))))</f>
        <v/>
      </c>
      <c r="Z86" s="8">
        <f>IF($A86&lt;=INDEX(pdates_grade_factor_tense,1),INDEX(pvals_grade_factor_tense,1),IF($A86&gt;=INDEX(pdates_grade_factor_tense,10),INDEX(pvals_grade_factor_tense,10),INDEX(pvals_grade_factor_tense,MATCH($A86,pdates_grade_factor_tense,1))+($A86-INDEX(pdates_grade_factor_tense,MATCH($A86,pdates_grade_factor_tense,1)))/(INDEX(pdates_grade_factor_tense,MATCH($A86,pdates_grade_factor_tense,1)+1)-INDEX(pdates_grade_factor_tense,MATCH($A86,pdates_grade_factor_tense,1)))*(INDEX(pvals_grade_factor_tense,MATCH($A86,pdates_grade_factor_tense,1)+1)-INDEX(pvals_grade_factor_tense,MATCH($A86,pdates_grade_factor_tense,1)))))</f>
        <v/>
      </c>
      <c r="AA86" s="8">
        <f>IF($A86&lt;=INDEX(pdates_grade_factor_mix_pit,1),INDEX(pvals_grade_factor_mix_pit,1),IF($A86&gt;=INDEX(pdates_grade_factor_mix_pit,10),INDEX(pvals_grade_factor_mix_pit,10),INDEX(pvals_grade_factor_mix_pit,MATCH($A86,pdates_grade_factor_mix_pit,1))+($A86-INDEX(pdates_grade_factor_mix_pit,MATCH($A86,pdates_grade_factor_mix_pit,1)))/(INDEX(pdates_grade_factor_mix_pit,MATCH($A86,pdates_grade_factor_mix_pit,1)+1)-INDEX(pdates_grade_factor_mix_pit,MATCH($A86,pdates_grade_factor_mix_pit,1)))*(INDEX(pvals_grade_factor_mix_pit,MATCH($A86,pdates_grade_factor_mix_pit,1)+1)-INDEX(pvals_grade_factor_mix_pit,MATCH($A86,pdates_grade_factor_mix_pit,1)))))</f>
        <v/>
      </c>
      <c r="AB86" s="16">
        <f>($B86*$F86/kg_per_mt*(1+bcd_primary_al_hs7601*(1+sws_rate_on_bcd))+mcx_domestic_premium_inr_kg)*(1+$I86*MAX(0,$Q86-$A86)/day_count_inr)</f>
        <v/>
      </c>
      <c r="AC86" s="16">
        <f>$M86-$AB86</f>
        <v/>
      </c>
      <c r="AD86" s="7" t="inlineStr">
        <is>
          <t>PROXY_IMPORT_PARITY</t>
        </is>
      </c>
      <c r="AE86" s="7" t="inlineStr">
        <is>
          <t>ECB_CROSS</t>
        </is>
      </c>
      <c r="AF86" s="7" t="inlineStr">
        <is>
          <t>WCI_DERIVED|USEC:SIBLING|JEA:ASSUMPTION</t>
        </is>
      </c>
      <c r="AG86" s="17" t="b">
        <v>0</v>
      </c>
      <c r="AH86" s="17" t="b">
        <v>0</v>
      </c>
    </row>
    <row r="87">
      <c r="A87" s="11" t="n">
        <v>44680</v>
      </c>
      <c r="B87" s="13" t="n">
        <v>3039</v>
      </c>
      <c r="C87" s="13" t="n">
        <v>3044</v>
      </c>
      <c r="D87" s="13" t="n">
        <v>-5</v>
      </c>
      <c r="E87" s="13" t="n">
        <v>570100</v>
      </c>
      <c r="F87" s="13" t="n">
        <v>76.50660000000001</v>
      </c>
      <c r="G87" s="6" t="n">
        <v>76.70050000000001</v>
      </c>
      <c r="H87" s="6" t="n">
        <v>77.0939</v>
      </c>
      <c r="I87" s="14" t="n">
        <v>0.039255</v>
      </c>
      <c r="J87" s="14" t="n">
        <v>0.008285000000000001</v>
      </c>
      <c r="K87" s="14" t="n">
        <v>0.04</v>
      </c>
      <c r="L87" s="13" t="n">
        <v>251.6851</v>
      </c>
      <c r="M87" s="13" t="n">
        <v>251.6851</v>
      </c>
      <c r="N87" s="13" t="n">
        <v>252.5513</v>
      </c>
      <c r="O87" s="13" t="n">
        <v>21.2</v>
      </c>
      <c r="P87" s="13" t="n">
        <v>94.01000000000001</v>
      </c>
      <c r="Q87" s="12" t="n">
        <v>44680</v>
      </c>
      <c r="R87" s="12" t="n">
        <v>44712</v>
      </c>
      <c r="S87" s="8">
        <f>YEAR($Q87)*100+MONTH($Q87)</f>
        <v/>
      </c>
      <c r="T87" s="8">
        <f>YEAR($R87)*100+MONTH($R87)</f>
        <v/>
      </c>
      <c r="U87" s="15">
        <f>IF($A87&lt;=INDEX(pdates_wc_rate_inr_pa,1),INDEX(pvals_wc_rate_inr_pa,1),INDEX(pvals_wc_rate_inr_pa,MATCH($A87,pdates_wc_rate_inr_pa,1)))</f>
        <v/>
      </c>
      <c r="V87" s="8">
        <f>IF(AND($A87&gt;=customs_fx_first,$A87&lt;=customs_fx_last+customs_fx_notification_validity_days),IF($A87&lt;=INDEX(pdates_customs_usdinr_import,1),INDEX(pvals_customs_usdinr_import,1),INDEX(pvals_customs_usdinr_import,MATCH($A87,pdates_customs_usdinr_import,1))),$F87*(1+customs_fx_markup_frac))</f>
        <v/>
      </c>
      <c r="W87" s="8">
        <f>IF(AND($A87&gt;=customs_fx_first,$A87&lt;=customs_fx_last+customs_fx_notification_validity_days),"CBIC_NOTIFIED","MARKUP_FALLBACK")</f>
        <v/>
      </c>
      <c r="X87" s="8">
        <f>IF($A87&lt;=INDEX(pdates_grade_factor_zorba,1),INDEX(pvals_grade_factor_zorba,1),IF($A87&gt;=INDEX(pdates_grade_factor_zorba,10),INDEX(pvals_grade_factor_zorba,10),INDEX(pvals_grade_factor_zorba,MATCH($A87,pdates_grade_factor_zorba,1))+($A87-INDEX(pdates_grade_factor_zorba,MATCH($A87,pdates_grade_factor_zorba,1)))/(INDEX(pdates_grade_factor_zorba,MATCH($A87,pdates_grade_factor_zorba,1)+1)-INDEX(pdates_grade_factor_zorba,MATCH($A87,pdates_grade_factor_zorba,1)))*(INDEX(pvals_grade_factor_zorba,MATCH($A87,pdates_grade_factor_zorba,1)+1)-INDEX(pvals_grade_factor_zorba,MATCH($A87,pdates_grade_factor_zorba,1)))))</f>
        <v/>
      </c>
      <c r="Y87" s="8">
        <f>IF($A87&lt;=INDEX(pdates_grade_factor_taint_tabor,1),INDEX(pvals_grade_factor_taint_tabor,1),IF($A87&gt;=INDEX(pdates_grade_factor_taint_tabor,10),INDEX(pvals_grade_factor_taint_tabor,10),INDEX(pvals_grade_factor_taint_tabor,MATCH($A87,pdates_grade_factor_taint_tabor,1))+($A87-INDEX(pdates_grade_factor_taint_tabor,MATCH($A87,pdates_grade_factor_taint_tabor,1)))/(INDEX(pdates_grade_factor_taint_tabor,MATCH($A87,pdates_grade_factor_taint_tabor,1)+1)-INDEX(pdates_grade_factor_taint_tabor,MATCH($A87,pdates_grade_factor_taint_tabor,1)))*(INDEX(pvals_grade_factor_taint_tabor,MATCH($A87,pdates_grade_factor_taint_tabor,1)+1)-INDEX(pvals_grade_factor_taint_tabor,MATCH($A87,pdates_grade_factor_taint_tabor,1)))))</f>
        <v/>
      </c>
      <c r="Z87" s="8">
        <f>IF($A87&lt;=INDEX(pdates_grade_factor_tense,1),INDEX(pvals_grade_factor_tense,1),IF($A87&gt;=INDEX(pdates_grade_factor_tense,10),INDEX(pvals_grade_factor_tense,10),INDEX(pvals_grade_factor_tense,MATCH($A87,pdates_grade_factor_tense,1))+($A87-INDEX(pdates_grade_factor_tense,MATCH($A87,pdates_grade_factor_tense,1)))/(INDEX(pdates_grade_factor_tense,MATCH($A87,pdates_grade_factor_tense,1)+1)-INDEX(pdates_grade_factor_tense,MATCH($A87,pdates_grade_factor_tense,1)))*(INDEX(pvals_grade_factor_tense,MATCH($A87,pdates_grade_factor_tense,1)+1)-INDEX(pvals_grade_factor_tense,MATCH($A87,pdates_grade_factor_tense,1)))))</f>
        <v/>
      </c>
      <c r="AA87" s="8">
        <f>IF($A87&lt;=INDEX(pdates_grade_factor_mix_pit,1),INDEX(pvals_grade_factor_mix_pit,1),IF($A87&gt;=INDEX(pdates_grade_factor_mix_pit,10),INDEX(pvals_grade_factor_mix_pit,10),INDEX(pvals_grade_factor_mix_pit,MATCH($A87,pdates_grade_factor_mix_pit,1))+($A87-INDEX(pdates_grade_factor_mix_pit,MATCH($A87,pdates_grade_factor_mix_pit,1)))/(INDEX(pdates_grade_factor_mix_pit,MATCH($A87,pdates_grade_factor_mix_pit,1)+1)-INDEX(pdates_grade_factor_mix_pit,MATCH($A87,pdates_grade_factor_mix_pit,1)))*(INDEX(pvals_grade_factor_mix_pit,MATCH($A87,pdates_grade_factor_mix_pit,1)+1)-INDEX(pvals_grade_factor_mix_pit,MATCH($A87,pdates_grade_factor_mix_pit,1)))))</f>
        <v/>
      </c>
      <c r="AB87" s="16">
        <f>($B87*$F87/kg_per_mt*(1+bcd_primary_al_hs7601*(1+sws_rate_on_bcd))+mcx_domestic_premium_inr_kg)*(1+$I87*MAX(0,$Q87-$A87)/day_count_inr)</f>
        <v/>
      </c>
      <c r="AC87" s="16">
        <f>$M87-$AB87</f>
        <v/>
      </c>
      <c r="AD87" s="7" t="inlineStr">
        <is>
          <t>PROXY_IMPORT_PARITY</t>
        </is>
      </c>
      <c r="AE87" s="7" t="inlineStr">
        <is>
          <t>ECB_CROSS</t>
        </is>
      </c>
      <c r="AF87" s="7" t="inlineStr">
        <is>
          <t>WCI_DERIVED|USEC:SIBLING|JEA:ASSUMPTION</t>
        </is>
      </c>
      <c r="AG87" s="17" t="b">
        <v>0</v>
      </c>
      <c r="AH87" s="17" t="b">
        <v>1</v>
      </c>
    </row>
    <row r="88">
      <c r="A88" s="11" t="n">
        <v>44684</v>
      </c>
      <c r="B88" s="13" t="n">
        <v>2911.5</v>
      </c>
      <c r="C88" s="13" t="n">
        <v>2945</v>
      </c>
      <c r="D88" s="13" t="n">
        <v>-33.5</v>
      </c>
      <c r="E88" s="13" t="n">
        <v>577650</v>
      </c>
      <c r="F88" s="13" t="n">
        <v>76.5839</v>
      </c>
      <c r="G88" s="6" t="n">
        <v>76.8065</v>
      </c>
      <c r="H88" s="6" t="n">
        <v>77.24339999999999</v>
      </c>
      <c r="I88" s="14" t="n">
        <v>0.043343</v>
      </c>
      <c r="J88" s="14" t="n">
        <v>0.008975</v>
      </c>
      <c r="K88" s="14" t="n">
        <v>0.04</v>
      </c>
      <c r="L88" s="13" t="n">
        <v>241.3694</v>
      </c>
      <c r="M88" s="13" t="n">
        <v>242.1719</v>
      </c>
      <c r="N88" s="13" t="n">
        <v>243.0318</v>
      </c>
      <c r="O88" s="13" t="n">
        <v>21.2</v>
      </c>
      <c r="P88" s="13" t="n">
        <v>94.01000000000001</v>
      </c>
      <c r="Q88" s="12" t="n">
        <v>44712</v>
      </c>
      <c r="R88" s="12" t="n">
        <v>44742</v>
      </c>
      <c r="S88" s="8">
        <f>YEAR($Q88)*100+MONTH($Q88)</f>
        <v/>
      </c>
      <c r="T88" s="8">
        <f>YEAR($R88)*100+MONTH($R88)</f>
        <v/>
      </c>
      <c r="U88" s="15">
        <f>IF($A88&lt;=INDEX(pdates_wc_rate_inr_pa,1),INDEX(pvals_wc_rate_inr_pa,1),INDEX(pvals_wc_rate_inr_pa,MATCH($A88,pdates_wc_rate_inr_pa,1)))</f>
        <v/>
      </c>
      <c r="V88" s="8">
        <f>IF(AND($A88&gt;=customs_fx_first,$A88&lt;=customs_fx_last+customs_fx_notification_validity_days),IF($A88&lt;=INDEX(pdates_customs_usdinr_import,1),INDEX(pvals_customs_usdinr_import,1),INDEX(pvals_customs_usdinr_import,MATCH($A88,pdates_customs_usdinr_import,1))),$F88*(1+customs_fx_markup_frac))</f>
        <v/>
      </c>
      <c r="W88" s="8">
        <f>IF(AND($A88&gt;=customs_fx_first,$A88&lt;=customs_fx_last+customs_fx_notification_validity_days),"CBIC_NOTIFIED","MARKUP_FALLBACK")</f>
        <v/>
      </c>
      <c r="X88" s="8">
        <f>IF($A88&lt;=INDEX(pdates_grade_factor_zorba,1),INDEX(pvals_grade_factor_zorba,1),IF($A88&gt;=INDEX(pdates_grade_factor_zorba,10),INDEX(pvals_grade_factor_zorba,10),INDEX(pvals_grade_factor_zorba,MATCH($A88,pdates_grade_factor_zorba,1))+($A88-INDEX(pdates_grade_factor_zorba,MATCH($A88,pdates_grade_factor_zorba,1)))/(INDEX(pdates_grade_factor_zorba,MATCH($A88,pdates_grade_factor_zorba,1)+1)-INDEX(pdates_grade_factor_zorba,MATCH($A88,pdates_grade_factor_zorba,1)))*(INDEX(pvals_grade_factor_zorba,MATCH($A88,pdates_grade_factor_zorba,1)+1)-INDEX(pvals_grade_factor_zorba,MATCH($A88,pdates_grade_factor_zorba,1)))))</f>
        <v/>
      </c>
      <c r="Y88" s="8">
        <f>IF($A88&lt;=INDEX(pdates_grade_factor_taint_tabor,1),INDEX(pvals_grade_factor_taint_tabor,1),IF($A88&gt;=INDEX(pdates_grade_factor_taint_tabor,10),INDEX(pvals_grade_factor_taint_tabor,10),INDEX(pvals_grade_factor_taint_tabor,MATCH($A88,pdates_grade_factor_taint_tabor,1))+($A88-INDEX(pdates_grade_factor_taint_tabor,MATCH($A88,pdates_grade_factor_taint_tabor,1)))/(INDEX(pdates_grade_factor_taint_tabor,MATCH($A88,pdates_grade_factor_taint_tabor,1)+1)-INDEX(pdates_grade_factor_taint_tabor,MATCH($A88,pdates_grade_factor_taint_tabor,1)))*(INDEX(pvals_grade_factor_taint_tabor,MATCH($A88,pdates_grade_factor_taint_tabor,1)+1)-INDEX(pvals_grade_factor_taint_tabor,MATCH($A88,pdates_grade_factor_taint_tabor,1)))))</f>
        <v/>
      </c>
      <c r="Z88" s="8">
        <f>IF($A88&lt;=INDEX(pdates_grade_factor_tense,1),INDEX(pvals_grade_factor_tense,1),IF($A88&gt;=INDEX(pdates_grade_factor_tense,10),INDEX(pvals_grade_factor_tense,10),INDEX(pvals_grade_factor_tense,MATCH($A88,pdates_grade_factor_tense,1))+($A88-INDEX(pdates_grade_factor_tense,MATCH($A88,pdates_grade_factor_tense,1)))/(INDEX(pdates_grade_factor_tense,MATCH($A88,pdates_grade_factor_tense,1)+1)-INDEX(pdates_grade_factor_tense,MATCH($A88,pdates_grade_factor_tense,1)))*(INDEX(pvals_grade_factor_tense,MATCH($A88,pdates_grade_factor_tense,1)+1)-INDEX(pvals_grade_factor_tense,MATCH($A88,pdates_grade_factor_tense,1)))))</f>
        <v/>
      </c>
      <c r="AA88" s="8">
        <f>IF($A88&lt;=INDEX(pdates_grade_factor_mix_pit,1),INDEX(pvals_grade_factor_mix_pit,1),IF($A88&gt;=INDEX(pdates_grade_factor_mix_pit,10),INDEX(pvals_grade_factor_mix_pit,10),INDEX(pvals_grade_factor_mix_pit,MATCH($A88,pdates_grade_factor_mix_pit,1))+($A88-INDEX(pdates_grade_factor_mix_pit,MATCH($A88,pdates_grade_factor_mix_pit,1)))/(INDEX(pdates_grade_factor_mix_pit,MATCH($A88,pdates_grade_factor_mix_pit,1)+1)-INDEX(pdates_grade_factor_mix_pit,MATCH($A88,pdates_grade_factor_mix_pit,1)))*(INDEX(pvals_grade_factor_mix_pit,MATCH($A88,pdates_grade_factor_mix_pit,1)+1)-INDEX(pvals_grade_factor_mix_pit,MATCH($A88,pdates_grade_factor_mix_pit,1)))))</f>
        <v/>
      </c>
      <c r="AB88" s="16">
        <f>($B88*$F88/kg_per_mt*(1+bcd_primary_al_hs7601*(1+sws_rate_on_bcd))+mcx_domestic_premium_inr_kg)*(1+$I88*MAX(0,$Q88-$A88)/day_count_inr)</f>
        <v/>
      </c>
      <c r="AC88" s="16">
        <f>$M88-$AB88</f>
        <v/>
      </c>
      <c r="AD88" s="7" t="inlineStr">
        <is>
          <t>PROXY_IMPORT_PARITY</t>
        </is>
      </c>
      <c r="AE88" s="7" t="inlineStr">
        <is>
          <t>ECB_CROSS</t>
        </is>
      </c>
      <c r="AF88" s="7" t="inlineStr">
        <is>
          <t>WCI_DERIVED|USEC:SIBLING|JEA:ASSUMPTION</t>
        </is>
      </c>
      <c r="AG88" s="17" t="b">
        <v>0</v>
      </c>
      <c r="AH88" s="17" t="b">
        <v>1</v>
      </c>
    </row>
    <row r="89">
      <c r="A89" s="11" t="n">
        <v>44685</v>
      </c>
      <c r="B89" s="13" t="n">
        <v>2929</v>
      </c>
      <c r="C89" s="13" t="n">
        <v>2962.5</v>
      </c>
      <c r="D89" s="13" t="n">
        <v>-33.5</v>
      </c>
      <c r="E89" s="13" t="n">
        <v>573975</v>
      </c>
      <c r="F89" s="13" t="n">
        <v>76.3493</v>
      </c>
      <c r="G89" s="6" t="n">
        <v>76.5984</v>
      </c>
      <c r="H89" s="6" t="n">
        <v>77.08750000000001</v>
      </c>
      <c r="I89" s="14" t="n">
        <v>0.047343</v>
      </c>
      <c r="J89" s="14" t="n">
        <v>0.008777999999999999</v>
      </c>
      <c r="K89" s="14" t="n">
        <v>0.044</v>
      </c>
      <c r="L89" s="13" t="n">
        <v>242.0763</v>
      </c>
      <c r="M89" s="13" t="n">
        <v>242.9241</v>
      </c>
      <c r="N89" s="13" t="n">
        <v>243.8661</v>
      </c>
      <c r="O89" s="13" t="n">
        <v>21.2</v>
      </c>
      <c r="P89" s="13" t="n">
        <v>94.01000000000001</v>
      </c>
      <c r="Q89" s="12" t="n">
        <v>44712</v>
      </c>
      <c r="R89" s="12" t="n">
        <v>44742</v>
      </c>
      <c r="S89" s="8">
        <f>YEAR($Q89)*100+MONTH($Q89)</f>
        <v/>
      </c>
      <c r="T89" s="8">
        <f>YEAR($R89)*100+MONTH($R89)</f>
        <v/>
      </c>
      <c r="U89" s="15">
        <f>IF($A89&lt;=INDEX(pdates_wc_rate_inr_pa,1),INDEX(pvals_wc_rate_inr_pa,1),INDEX(pvals_wc_rate_inr_pa,MATCH($A89,pdates_wc_rate_inr_pa,1)))</f>
        <v/>
      </c>
      <c r="V89" s="8">
        <f>IF(AND($A89&gt;=customs_fx_first,$A89&lt;=customs_fx_last+customs_fx_notification_validity_days),IF($A89&lt;=INDEX(pdates_customs_usdinr_import,1),INDEX(pvals_customs_usdinr_import,1),INDEX(pvals_customs_usdinr_import,MATCH($A89,pdates_customs_usdinr_import,1))),$F89*(1+customs_fx_markup_frac))</f>
        <v/>
      </c>
      <c r="W89" s="8">
        <f>IF(AND($A89&gt;=customs_fx_first,$A89&lt;=customs_fx_last+customs_fx_notification_validity_days),"CBIC_NOTIFIED","MARKUP_FALLBACK")</f>
        <v/>
      </c>
      <c r="X89" s="8">
        <f>IF($A89&lt;=INDEX(pdates_grade_factor_zorba,1),INDEX(pvals_grade_factor_zorba,1),IF($A89&gt;=INDEX(pdates_grade_factor_zorba,10),INDEX(pvals_grade_factor_zorba,10),INDEX(pvals_grade_factor_zorba,MATCH($A89,pdates_grade_factor_zorba,1))+($A89-INDEX(pdates_grade_factor_zorba,MATCH($A89,pdates_grade_factor_zorba,1)))/(INDEX(pdates_grade_factor_zorba,MATCH($A89,pdates_grade_factor_zorba,1)+1)-INDEX(pdates_grade_factor_zorba,MATCH($A89,pdates_grade_factor_zorba,1)))*(INDEX(pvals_grade_factor_zorba,MATCH($A89,pdates_grade_factor_zorba,1)+1)-INDEX(pvals_grade_factor_zorba,MATCH($A89,pdates_grade_factor_zorba,1)))))</f>
        <v/>
      </c>
      <c r="Y89" s="8">
        <f>IF($A89&lt;=INDEX(pdates_grade_factor_taint_tabor,1),INDEX(pvals_grade_factor_taint_tabor,1),IF($A89&gt;=INDEX(pdates_grade_factor_taint_tabor,10),INDEX(pvals_grade_factor_taint_tabor,10),INDEX(pvals_grade_factor_taint_tabor,MATCH($A89,pdates_grade_factor_taint_tabor,1))+($A89-INDEX(pdates_grade_factor_taint_tabor,MATCH($A89,pdates_grade_factor_taint_tabor,1)))/(INDEX(pdates_grade_factor_taint_tabor,MATCH($A89,pdates_grade_factor_taint_tabor,1)+1)-INDEX(pdates_grade_factor_taint_tabor,MATCH($A89,pdates_grade_factor_taint_tabor,1)))*(INDEX(pvals_grade_factor_taint_tabor,MATCH($A89,pdates_grade_factor_taint_tabor,1)+1)-INDEX(pvals_grade_factor_taint_tabor,MATCH($A89,pdates_grade_factor_taint_tabor,1)))))</f>
        <v/>
      </c>
      <c r="Z89" s="8">
        <f>IF($A89&lt;=INDEX(pdates_grade_factor_tense,1),INDEX(pvals_grade_factor_tense,1),IF($A89&gt;=INDEX(pdates_grade_factor_tense,10),INDEX(pvals_grade_factor_tense,10),INDEX(pvals_grade_factor_tense,MATCH($A89,pdates_grade_factor_tense,1))+($A89-INDEX(pdates_grade_factor_tense,MATCH($A89,pdates_grade_factor_tense,1)))/(INDEX(pdates_grade_factor_tense,MATCH($A89,pdates_grade_factor_tense,1)+1)-INDEX(pdates_grade_factor_tense,MATCH($A89,pdates_grade_factor_tense,1)))*(INDEX(pvals_grade_factor_tense,MATCH($A89,pdates_grade_factor_tense,1)+1)-INDEX(pvals_grade_factor_tense,MATCH($A89,pdates_grade_factor_tense,1)))))</f>
        <v/>
      </c>
      <c r="AA89" s="8">
        <f>IF($A89&lt;=INDEX(pdates_grade_factor_mix_pit,1),INDEX(pvals_grade_factor_mix_pit,1),IF($A89&gt;=INDEX(pdates_grade_factor_mix_pit,10),INDEX(pvals_grade_factor_mix_pit,10),INDEX(pvals_grade_factor_mix_pit,MATCH($A89,pdates_grade_factor_mix_pit,1))+($A89-INDEX(pdates_grade_factor_mix_pit,MATCH($A89,pdates_grade_factor_mix_pit,1)))/(INDEX(pdates_grade_factor_mix_pit,MATCH($A89,pdates_grade_factor_mix_pit,1)+1)-INDEX(pdates_grade_factor_mix_pit,MATCH($A89,pdates_grade_factor_mix_pit,1)))*(INDEX(pvals_grade_factor_mix_pit,MATCH($A89,pdates_grade_factor_mix_pit,1)+1)-INDEX(pvals_grade_factor_mix_pit,MATCH($A89,pdates_grade_factor_mix_pit,1)))))</f>
        <v/>
      </c>
      <c r="AB89" s="16">
        <f>($B89*$F89/kg_per_mt*(1+bcd_primary_al_hs7601*(1+sws_rate_on_bcd))+mcx_domestic_premium_inr_kg)*(1+$I89*MAX(0,$Q89-$A89)/day_count_inr)</f>
        <v/>
      </c>
      <c r="AC89" s="16">
        <f>$M89-$AB89</f>
        <v/>
      </c>
      <c r="AD89" s="7" t="inlineStr">
        <is>
          <t>PROXY_IMPORT_PARITY</t>
        </is>
      </c>
      <c r="AE89" s="7" t="inlineStr">
        <is>
          <t>ECB_CROSS</t>
        </is>
      </c>
      <c r="AF89" s="7" t="inlineStr">
        <is>
          <t>WCI_DERIVED|USEC:SIBLING|JEA:ASSUMPTION</t>
        </is>
      </c>
      <c r="AG89" s="17" t="b">
        <v>0</v>
      </c>
      <c r="AH89" s="17" t="b">
        <v>1</v>
      </c>
    </row>
    <row r="90">
      <c r="A90" s="11" t="n">
        <v>44686</v>
      </c>
      <c r="B90" s="13" t="n">
        <v>2917</v>
      </c>
      <c r="C90" s="13" t="n">
        <v>2947</v>
      </c>
      <c r="D90" s="13" t="n">
        <v>-30</v>
      </c>
      <c r="E90" s="13" t="n">
        <v>573600</v>
      </c>
      <c r="F90" s="13" t="n">
        <v>76.2855</v>
      </c>
      <c r="G90" s="6" t="n">
        <v>76.53700000000001</v>
      </c>
      <c r="H90" s="6" t="n">
        <v>77.0308</v>
      </c>
      <c r="I90" s="14" t="n">
        <v>0.047343</v>
      </c>
      <c r="J90" s="14" t="n">
        <v>0.008384000000000001</v>
      </c>
      <c r="K90" s="14" t="n">
        <v>0.044</v>
      </c>
      <c r="L90" s="13" t="n">
        <v>240.8831</v>
      </c>
      <c r="M90" s="13" t="n">
        <v>241.6954</v>
      </c>
      <c r="N90" s="13" t="n">
        <v>242.6328</v>
      </c>
      <c r="O90" s="13" t="n">
        <v>20.89</v>
      </c>
      <c r="P90" s="13" t="n">
        <v>92.64</v>
      </c>
      <c r="Q90" s="12" t="n">
        <v>44712</v>
      </c>
      <c r="R90" s="12" t="n">
        <v>44742</v>
      </c>
      <c r="S90" s="8">
        <f>YEAR($Q90)*100+MONTH($Q90)</f>
        <v/>
      </c>
      <c r="T90" s="8">
        <f>YEAR($R90)*100+MONTH($R90)</f>
        <v/>
      </c>
      <c r="U90" s="15">
        <f>IF($A90&lt;=INDEX(pdates_wc_rate_inr_pa,1),INDEX(pvals_wc_rate_inr_pa,1),INDEX(pvals_wc_rate_inr_pa,MATCH($A90,pdates_wc_rate_inr_pa,1)))</f>
        <v/>
      </c>
      <c r="V90" s="8">
        <f>IF(AND($A90&gt;=customs_fx_first,$A90&lt;=customs_fx_last+customs_fx_notification_validity_days),IF($A90&lt;=INDEX(pdates_customs_usdinr_import,1),INDEX(pvals_customs_usdinr_import,1),INDEX(pvals_customs_usdinr_import,MATCH($A90,pdates_customs_usdinr_import,1))),$F90*(1+customs_fx_markup_frac))</f>
        <v/>
      </c>
      <c r="W90" s="8">
        <f>IF(AND($A90&gt;=customs_fx_first,$A90&lt;=customs_fx_last+customs_fx_notification_validity_days),"CBIC_NOTIFIED","MARKUP_FALLBACK")</f>
        <v/>
      </c>
      <c r="X90" s="8">
        <f>IF($A90&lt;=INDEX(pdates_grade_factor_zorba,1),INDEX(pvals_grade_factor_zorba,1),IF($A90&gt;=INDEX(pdates_grade_factor_zorba,10),INDEX(pvals_grade_factor_zorba,10),INDEX(pvals_grade_factor_zorba,MATCH($A90,pdates_grade_factor_zorba,1))+($A90-INDEX(pdates_grade_factor_zorba,MATCH($A90,pdates_grade_factor_zorba,1)))/(INDEX(pdates_grade_factor_zorba,MATCH($A90,pdates_grade_factor_zorba,1)+1)-INDEX(pdates_grade_factor_zorba,MATCH($A90,pdates_grade_factor_zorba,1)))*(INDEX(pvals_grade_factor_zorba,MATCH($A90,pdates_grade_factor_zorba,1)+1)-INDEX(pvals_grade_factor_zorba,MATCH($A90,pdates_grade_factor_zorba,1)))))</f>
        <v/>
      </c>
      <c r="Y90" s="8">
        <f>IF($A90&lt;=INDEX(pdates_grade_factor_taint_tabor,1),INDEX(pvals_grade_factor_taint_tabor,1),IF($A90&gt;=INDEX(pdates_grade_factor_taint_tabor,10),INDEX(pvals_grade_factor_taint_tabor,10),INDEX(pvals_grade_factor_taint_tabor,MATCH($A90,pdates_grade_factor_taint_tabor,1))+($A90-INDEX(pdates_grade_factor_taint_tabor,MATCH($A90,pdates_grade_factor_taint_tabor,1)))/(INDEX(pdates_grade_factor_taint_tabor,MATCH($A90,pdates_grade_factor_taint_tabor,1)+1)-INDEX(pdates_grade_factor_taint_tabor,MATCH($A90,pdates_grade_factor_taint_tabor,1)))*(INDEX(pvals_grade_factor_taint_tabor,MATCH($A90,pdates_grade_factor_taint_tabor,1)+1)-INDEX(pvals_grade_factor_taint_tabor,MATCH($A90,pdates_grade_factor_taint_tabor,1)))))</f>
        <v/>
      </c>
      <c r="Z90" s="8">
        <f>IF($A90&lt;=INDEX(pdates_grade_factor_tense,1),INDEX(pvals_grade_factor_tense,1),IF($A90&gt;=INDEX(pdates_grade_factor_tense,10),INDEX(pvals_grade_factor_tense,10),INDEX(pvals_grade_factor_tense,MATCH($A90,pdates_grade_factor_tense,1))+($A90-INDEX(pdates_grade_factor_tense,MATCH($A90,pdates_grade_factor_tense,1)))/(INDEX(pdates_grade_factor_tense,MATCH($A90,pdates_grade_factor_tense,1)+1)-INDEX(pdates_grade_factor_tense,MATCH($A90,pdates_grade_factor_tense,1)))*(INDEX(pvals_grade_factor_tense,MATCH($A90,pdates_grade_factor_tense,1)+1)-INDEX(pvals_grade_factor_tense,MATCH($A90,pdates_grade_factor_tense,1)))))</f>
        <v/>
      </c>
      <c r="AA90" s="8">
        <f>IF($A90&lt;=INDEX(pdates_grade_factor_mix_pit,1),INDEX(pvals_grade_factor_mix_pit,1),IF($A90&gt;=INDEX(pdates_grade_factor_mix_pit,10),INDEX(pvals_grade_factor_mix_pit,10),INDEX(pvals_grade_factor_mix_pit,MATCH($A90,pdates_grade_factor_mix_pit,1))+($A90-INDEX(pdates_grade_factor_mix_pit,MATCH($A90,pdates_grade_factor_mix_pit,1)))/(INDEX(pdates_grade_factor_mix_pit,MATCH($A90,pdates_grade_factor_mix_pit,1)+1)-INDEX(pdates_grade_factor_mix_pit,MATCH($A90,pdates_grade_factor_mix_pit,1)))*(INDEX(pvals_grade_factor_mix_pit,MATCH($A90,pdates_grade_factor_mix_pit,1)+1)-INDEX(pvals_grade_factor_mix_pit,MATCH($A90,pdates_grade_factor_mix_pit,1)))))</f>
        <v/>
      </c>
      <c r="AB90" s="16">
        <f>($B90*$F90/kg_per_mt*(1+bcd_primary_al_hs7601*(1+sws_rate_on_bcd))+mcx_domestic_premium_inr_kg)*(1+$I90*MAX(0,$Q90-$A90)/day_count_inr)</f>
        <v/>
      </c>
      <c r="AC90" s="16">
        <f>$M90-$AB90</f>
        <v/>
      </c>
      <c r="AD90" s="7" t="inlineStr">
        <is>
          <t>PROXY_IMPORT_PARITY</t>
        </is>
      </c>
      <c r="AE90" s="7" t="inlineStr">
        <is>
          <t>ECB_CROSS</t>
        </is>
      </c>
      <c r="AF90" s="7" t="inlineStr">
        <is>
          <t>WCI_REPORTED|USEC:SIBLING|JEA:ASSUMPTION</t>
        </is>
      </c>
      <c r="AG90" s="17" t="b">
        <v>0</v>
      </c>
      <c r="AH90" s="17" t="b">
        <v>0</v>
      </c>
    </row>
    <row r="91">
      <c r="A91" s="11" t="n">
        <v>44687</v>
      </c>
      <c r="B91" s="13" t="n">
        <v>2832.5</v>
      </c>
      <c r="C91" s="13" t="n">
        <v>2870</v>
      </c>
      <c r="D91" s="13" t="n">
        <v>-37.5</v>
      </c>
      <c r="E91" s="13" t="n">
        <v>571800</v>
      </c>
      <c r="F91" s="13" t="n">
        <v>76.9139</v>
      </c>
      <c r="G91" s="6" t="n">
        <v>77.1675</v>
      </c>
      <c r="H91" s="6" t="n">
        <v>77.6653</v>
      </c>
      <c r="I91" s="14" t="n">
        <v>0.047343</v>
      </c>
      <c r="J91" s="14" t="n">
        <v>0.008384000000000001</v>
      </c>
      <c r="K91" s="14" t="n">
        <v>0.044</v>
      </c>
      <c r="L91" s="13" t="n">
        <v>235.832</v>
      </c>
      <c r="M91" s="13" t="n">
        <v>236.5967</v>
      </c>
      <c r="N91" s="13" t="n">
        <v>237.5144</v>
      </c>
      <c r="O91" s="13" t="n">
        <v>20.89</v>
      </c>
      <c r="P91" s="13" t="n">
        <v>92.64</v>
      </c>
      <c r="Q91" s="12" t="n">
        <v>44712</v>
      </c>
      <c r="R91" s="12" t="n">
        <v>44742</v>
      </c>
      <c r="S91" s="8">
        <f>YEAR($Q91)*100+MONTH($Q91)</f>
        <v/>
      </c>
      <c r="T91" s="8">
        <f>YEAR($R91)*100+MONTH($R91)</f>
        <v/>
      </c>
      <c r="U91" s="15">
        <f>IF($A91&lt;=INDEX(pdates_wc_rate_inr_pa,1),INDEX(pvals_wc_rate_inr_pa,1),INDEX(pvals_wc_rate_inr_pa,MATCH($A91,pdates_wc_rate_inr_pa,1)))</f>
        <v/>
      </c>
      <c r="V91" s="8">
        <f>IF(AND($A91&gt;=customs_fx_first,$A91&lt;=customs_fx_last+customs_fx_notification_validity_days),IF($A91&lt;=INDEX(pdates_customs_usdinr_import,1),INDEX(pvals_customs_usdinr_import,1),INDEX(pvals_customs_usdinr_import,MATCH($A91,pdates_customs_usdinr_import,1))),$F91*(1+customs_fx_markup_frac))</f>
        <v/>
      </c>
      <c r="W91" s="8">
        <f>IF(AND($A91&gt;=customs_fx_first,$A91&lt;=customs_fx_last+customs_fx_notification_validity_days),"CBIC_NOTIFIED","MARKUP_FALLBACK")</f>
        <v/>
      </c>
      <c r="X91" s="8">
        <f>IF($A91&lt;=INDEX(pdates_grade_factor_zorba,1),INDEX(pvals_grade_factor_zorba,1),IF($A91&gt;=INDEX(pdates_grade_factor_zorba,10),INDEX(pvals_grade_factor_zorba,10),INDEX(pvals_grade_factor_zorba,MATCH($A91,pdates_grade_factor_zorba,1))+($A91-INDEX(pdates_grade_factor_zorba,MATCH($A91,pdates_grade_factor_zorba,1)))/(INDEX(pdates_grade_factor_zorba,MATCH($A91,pdates_grade_factor_zorba,1)+1)-INDEX(pdates_grade_factor_zorba,MATCH($A91,pdates_grade_factor_zorba,1)))*(INDEX(pvals_grade_factor_zorba,MATCH($A91,pdates_grade_factor_zorba,1)+1)-INDEX(pvals_grade_factor_zorba,MATCH($A91,pdates_grade_factor_zorba,1)))))</f>
        <v/>
      </c>
      <c r="Y91" s="8">
        <f>IF($A91&lt;=INDEX(pdates_grade_factor_taint_tabor,1),INDEX(pvals_grade_factor_taint_tabor,1),IF($A91&gt;=INDEX(pdates_grade_factor_taint_tabor,10),INDEX(pvals_grade_factor_taint_tabor,10),INDEX(pvals_grade_factor_taint_tabor,MATCH($A91,pdates_grade_factor_taint_tabor,1))+($A91-INDEX(pdates_grade_factor_taint_tabor,MATCH($A91,pdates_grade_factor_taint_tabor,1)))/(INDEX(pdates_grade_factor_taint_tabor,MATCH($A91,pdates_grade_factor_taint_tabor,1)+1)-INDEX(pdates_grade_factor_taint_tabor,MATCH($A91,pdates_grade_factor_taint_tabor,1)))*(INDEX(pvals_grade_factor_taint_tabor,MATCH($A91,pdates_grade_factor_taint_tabor,1)+1)-INDEX(pvals_grade_factor_taint_tabor,MATCH($A91,pdates_grade_factor_taint_tabor,1)))))</f>
        <v/>
      </c>
      <c r="Z91" s="8">
        <f>IF($A91&lt;=INDEX(pdates_grade_factor_tense,1),INDEX(pvals_grade_factor_tense,1),IF($A91&gt;=INDEX(pdates_grade_factor_tense,10),INDEX(pvals_grade_factor_tense,10),INDEX(pvals_grade_factor_tense,MATCH($A91,pdates_grade_factor_tense,1))+($A91-INDEX(pdates_grade_factor_tense,MATCH($A91,pdates_grade_factor_tense,1)))/(INDEX(pdates_grade_factor_tense,MATCH($A91,pdates_grade_factor_tense,1)+1)-INDEX(pdates_grade_factor_tense,MATCH($A91,pdates_grade_factor_tense,1)))*(INDEX(pvals_grade_factor_tense,MATCH($A91,pdates_grade_factor_tense,1)+1)-INDEX(pvals_grade_factor_tense,MATCH($A91,pdates_grade_factor_tense,1)))))</f>
        <v/>
      </c>
      <c r="AA91" s="8">
        <f>IF($A91&lt;=INDEX(pdates_grade_factor_mix_pit,1),INDEX(pvals_grade_factor_mix_pit,1),IF($A91&gt;=INDEX(pdates_grade_factor_mix_pit,10),INDEX(pvals_grade_factor_mix_pit,10),INDEX(pvals_grade_factor_mix_pit,MATCH($A91,pdates_grade_factor_mix_pit,1))+($A91-INDEX(pdates_grade_factor_mix_pit,MATCH($A91,pdates_grade_factor_mix_pit,1)))/(INDEX(pdates_grade_factor_mix_pit,MATCH($A91,pdates_grade_factor_mix_pit,1)+1)-INDEX(pdates_grade_factor_mix_pit,MATCH($A91,pdates_grade_factor_mix_pit,1)))*(INDEX(pvals_grade_factor_mix_pit,MATCH($A91,pdates_grade_factor_mix_pit,1)+1)-INDEX(pvals_grade_factor_mix_pit,MATCH($A91,pdates_grade_factor_mix_pit,1)))))</f>
        <v/>
      </c>
      <c r="AB91" s="16">
        <f>($B91*$F91/kg_per_mt*(1+bcd_primary_al_hs7601*(1+sws_rate_on_bcd))+mcx_domestic_premium_inr_kg)*(1+$I91*MAX(0,$Q91-$A91)/day_count_inr)</f>
        <v/>
      </c>
      <c r="AC91" s="16">
        <f>$M91-$AB91</f>
        <v/>
      </c>
      <c r="AD91" s="7" t="inlineStr">
        <is>
          <t>PROXY_IMPORT_PARITY</t>
        </is>
      </c>
      <c r="AE91" s="7" t="inlineStr">
        <is>
          <t>ECB_CROSS</t>
        </is>
      </c>
      <c r="AF91" s="7" t="inlineStr">
        <is>
          <t>WCI_REPORTED|USEC:SIBLING|JEA:ASSUMPTION</t>
        </is>
      </c>
      <c r="AG91" s="17" t="b">
        <v>0</v>
      </c>
      <c r="AH91" s="17" t="b">
        <v>1</v>
      </c>
    </row>
    <row r="92">
      <c r="A92" s="11" t="n">
        <v>44690</v>
      </c>
      <c r="B92" s="13" t="n">
        <v>2708</v>
      </c>
      <c r="C92" s="13" t="n">
        <v>2750</v>
      </c>
      <c r="D92" s="13" t="n">
        <v>-42</v>
      </c>
      <c r="E92" s="13" t="n">
        <v>568250</v>
      </c>
      <c r="F92" s="13" t="n">
        <v>77.4141</v>
      </c>
      <c r="G92" s="6" t="n">
        <v>77.664</v>
      </c>
      <c r="H92" s="6" t="n">
        <v>78.1546</v>
      </c>
      <c r="I92" s="14" t="n">
        <v>0.047343</v>
      </c>
      <c r="J92" s="14" t="n">
        <v>0.009173000000000001</v>
      </c>
      <c r="K92" s="14" t="n">
        <v>0.044</v>
      </c>
      <c r="L92" s="13" t="n">
        <v>226.9325</v>
      </c>
      <c r="M92" s="13" t="n">
        <v>227.58</v>
      </c>
      <c r="N92" s="13" t="n">
        <v>228.4631</v>
      </c>
      <c r="O92" s="13" t="n">
        <v>20.89</v>
      </c>
      <c r="P92" s="13" t="n">
        <v>92.64</v>
      </c>
      <c r="Q92" s="12" t="n">
        <v>44712</v>
      </c>
      <c r="R92" s="12" t="n">
        <v>44742</v>
      </c>
      <c r="S92" s="8">
        <f>YEAR($Q92)*100+MONTH($Q92)</f>
        <v/>
      </c>
      <c r="T92" s="8">
        <f>YEAR($R92)*100+MONTH($R92)</f>
        <v/>
      </c>
      <c r="U92" s="15">
        <f>IF($A92&lt;=INDEX(pdates_wc_rate_inr_pa,1),INDEX(pvals_wc_rate_inr_pa,1),INDEX(pvals_wc_rate_inr_pa,MATCH($A92,pdates_wc_rate_inr_pa,1)))</f>
        <v/>
      </c>
      <c r="V92" s="8">
        <f>IF(AND($A92&gt;=customs_fx_first,$A92&lt;=customs_fx_last+customs_fx_notification_validity_days),IF($A92&lt;=INDEX(pdates_customs_usdinr_import,1),INDEX(pvals_customs_usdinr_import,1),INDEX(pvals_customs_usdinr_import,MATCH($A92,pdates_customs_usdinr_import,1))),$F92*(1+customs_fx_markup_frac))</f>
        <v/>
      </c>
      <c r="W92" s="8">
        <f>IF(AND($A92&gt;=customs_fx_first,$A92&lt;=customs_fx_last+customs_fx_notification_validity_days),"CBIC_NOTIFIED","MARKUP_FALLBACK")</f>
        <v/>
      </c>
      <c r="X92" s="8">
        <f>IF($A92&lt;=INDEX(pdates_grade_factor_zorba,1),INDEX(pvals_grade_factor_zorba,1),IF($A92&gt;=INDEX(pdates_grade_factor_zorba,10),INDEX(pvals_grade_factor_zorba,10),INDEX(pvals_grade_factor_zorba,MATCH($A92,pdates_grade_factor_zorba,1))+($A92-INDEX(pdates_grade_factor_zorba,MATCH($A92,pdates_grade_factor_zorba,1)))/(INDEX(pdates_grade_factor_zorba,MATCH($A92,pdates_grade_factor_zorba,1)+1)-INDEX(pdates_grade_factor_zorba,MATCH($A92,pdates_grade_factor_zorba,1)))*(INDEX(pvals_grade_factor_zorba,MATCH($A92,pdates_grade_factor_zorba,1)+1)-INDEX(pvals_grade_factor_zorba,MATCH($A92,pdates_grade_factor_zorba,1)))))</f>
        <v/>
      </c>
      <c r="Y92" s="8">
        <f>IF($A92&lt;=INDEX(pdates_grade_factor_taint_tabor,1),INDEX(pvals_grade_factor_taint_tabor,1),IF($A92&gt;=INDEX(pdates_grade_factor_taint_tabor,10),INDEX(pvals_grade_factor_taint_tabor,10),INDEX(pvals_grade_factor_taint_tabor,MATCH($A92,pdates_grade_factor_taint_tabor,1))+($A92-INDEX(pdates_grade_factor_taint_tabor,MATCH($A92,pdates_grade_factor_taint_tabor,1)))/(INDEX(pdates_grade_factor_taint_tabor,MATCH($A92,pdates_grade_factor_taint_tabor,1)+1)-INDEX(pdates_grade_factor_taint_tabor,MATCH($A92,pdates_grade_factor_taint_tabor,1)))*(INDEX(pvals_grade_factor_taint_tabor,MATCH($A92,pdates_grade_factor_taint_tabor,1)+1)-INDEX(pvals_grade_factor_taint_tabor,MATCH($A92,pdates_grade_factor_taint_tabor,1)))))</f>
        <v/>
      </c>
      <c r="Z92" s="8">
        <f>IF($A92&lt;=INDEX(pdates_grade_factor_tense,1),INDEX(pvals_grade_factor_tense,1),IF($A92&gt;=INDEX(pdates_grade_factor_tense,10),INDEX(pvals_grade_factor_tense,10),INDEX(pvals_grade_factor_tense,MATCH($A92,pdates_grade_factor_tense,1))+($A92-INDEX(pdates_grade_factor_tense,MATCH($A92,pdates_grade_factor_tense,1)))/(INDEX(pdates_grade_factor_tense,MATCH($A92,pdates_grade_factor_tense,1)+1)-INDEX(pdates_grade_factor_tense,MATCH($A92,pdates_grade_factor_tense,1)))*(INDEX(pvals_grade_factor_tense,MATCH($A92,pdates_grade_factor_tense,1)+1)-INDEX(pvals_grade_factor_tense,MATCH($A92,pdates_grade_factor_tense,1)))))</f>
        <v/>
      </c>
      <c r="AA92" s="8">
        <f>IF($A92&lt;=INDEX(pdates_grade_factor_mix_pit,1),INDEX(pvals_grade_factor_mix_pit,1),IF($A92&gt;=INDEX(pdates_grade_factor_mix_pit,10),INDEX(pvals_grade_factor_mix_pit,10),INDEX(pvals_grade_factor_mix_pit,MATCH($A92,pdates_grade_factor_mix_pit,1))+($A92-INDEX(pdates_grade_factor_mix_pit,MATCH($A92,pdates_grade_factor_mix_pit,1)))/(INDEX(pdates_grade_factor_mix_pit,MATCH($A92,pdates_grade_factor_mix_pit,1)+1)-INDEX(pdates_grade_factor_mix_pit,MATCH($A92,pdates_grade_factor_mix_pit,1)))*(INDEX(pvals_grade_factor_mix_pit,MATCH($A92,pdates_grade_factor_mix_pit,1)+1)-INDEX(pvals_grade_factor_mix_pit,MATCH($A92,pdates_grade_factor_mix_pit,1)))))</f>
        <v/>
      </c>
      <c r="AB92" s="16">
        <f>($B92*$F92/kg_per_mt*(1+bcd_primary_al_hs7601*(1+sws_rate_on_bcd))+mcx_domestic_premium_inr_kg)*(1+$I92*MAX(0,$Q92-$A92)/day_count_inr)</f>
        <v/>
      </c>
      <c r="AC92" s="16">
        <f>$M92-$AB92</f>
        <v/>
      </c>
      <c r="AD92" s="7" t="inlineStr">
        <is>
          <t>PROXY_IMPORT_PARITY</t>
        </is>
      </c>
      <c r="AE92" s="7" t="inlineStr">
        <is>
          <t>ECB_CROSS</t>
        </is>
      </c>
      <c r="AF92" s="7" t="inlineStr">
        <is>
          <t>WCI_REPORTED|USEC:SIBLING|JEA:ASSUMPTION</t>
        </is>
      </c>
      <c r="AG92" s="17" t="b">
        <v>0</v>
      </c>
      <c r="AH92" s="17" t="b">
        <v>1</v>
      </c>
    </row>
    <row r="93">
      <c r="A93" s="11" t="n">
        <v>44691</v>
      </c>
      <c r="B93" s="13" t="n">
        <v>2677</v>
      </c>
      <c r="C93" s="13" t="n">
        <v>2715</v>
      </c>
      <c r="D93" s="13" t="n">
        <v>-38</v>
      </c>
      <c r="E93" s="13" t="n">
        <v>560275</v>
      </c>
      <c r="F93" s="13" t="n">
        <v>77.26220000000001</v>
      </c>
      <c r="G93" s="6" t="n">
        <v>77.5136</v>
      </c>
      <c r="H93" s="6" t="n">
        <v>78.0072</v>
      </c>
      <c r="I93" s="14" t="n">
        <v>0.047343</v>
      </c>
      <c r="J93" s="14" t="n">
        <v>0.008876999999999999</v>
      </c>
      <c r="K93" s="14" t="n">
        <v>0.044</v>
      </c>
      <c r="L93" s="13" t="n">
        <v>223.8945</v>
      </c>
      <c r="M93" s="13" t="n">
        <v>224.5043</v>
      </c>
      <c r="N93" s="13" t="n">
        <v>225.3755</v>
      </c>
      <c r="O93" s="13" t="n">
        <v>20.89</v>
      </c>
      <c r="P93" s="13" t="n">
        <v>92.64</v>
      </c>
      <c r="Q93" s="12" t="n">
        <v>44712</v>
      </c>
      <c r="R93" s="12" t="n">
        <v>44742</v>
      </c>
      <c r="S93" s="8">
        <f>YEAR($Q93)*100+MONTH($Q93)</f>
        <v/>
      </c>
      <c r="T93" s="8">
        <f>YEAR($R93)*100+MONTH($R93)</f>
        <v/>
      </c>
      <c r="U93" s="15">
        <f>IF($A93&lt;=INDEX(pdates_wc_rate_inr_pa,1),INDEX(pvals_wc_rate_inr_pa,1),INDEX(pvals_wc_rate_inr_pa,MATCH($A93,pdates_wc_rate_inr_pa,1)))</f>
        <v/>
      </c>
      <c r="V93" s="8">
        <f>IF(AND($A93&gt;=customs_fx_first,$A93&lt;=customs_fx_last+customs_fx_notification_validity_days),IF($A93&lt;=INDEX(pdates_customs_usdinr_import,1),INDEX(pvals_customs_usdinr_import,1),INDEX(pvals_customs_usdinr_import,MATCH($A93,pdates_customs_usdinr_import,1))),$F93*(1+customs_fx_markup_frac))</f>
        <v/>
      </c>
      <c r="W93" s="8">
        <f>IF(AND($A93&gt;=customs_fx_first,$A93&lt;=customs_fx_last+customs_fx_notification_validity_days),"CBIC_NOTIFIED","MARKUP_FALLBACK")</f>
        <v/>
      </c>
      <c r="X93" s="8">
        <f>IF($A93&lt;=INDEX(pdates_grade_factor_zorba,1),INDEX(pvals_grade_factor_zorba,1),IF($A93&gt;=INDEX(pdates_grade_factor_zorba,10),INDEX(pvals_grade_factor_zorba,10),INDEX(pvals_grade_factor_zorba,MATCH($A93,pdates_grade_factor_zorba,1))+($A93-INDEX(pdates_grade_factor_zorba,MATCH($A93,pdates_grade_factor_zorba,1)))/(INDEX(pdates_grade_factor_zorba,MATCH($A93,pdates_grade_factor_zorba,1)+1)-INDEX(pdates_grade_factor_zorba,MATCH($A93,pdates_grade_factor_zorba,1)))*(INDEX(pvals_grade_factor_zorba,MATCH($A93,pdates_grade_factor_zorba,1)+1)-INDEX(pvals_grade_factor_zorba,MATCH($A93,pdates_grade_factor_zorba,1)))))</f>
        <v/>
      </c>
      <c r="Y93" s="8">
        <f>IF($A93&lt;=INDEX(pdates_grade_factor_taint_tabor,1),INDEX(pvals_grade_factor_taint_tabor,1),IF($A93&gt;=INDEX(pdates_grade_factor_taint_tabor,10),INDEX(pvals_grade_factor_taint_tabor,10),INDEX(pvals_grade_factor_taint_tabor,MATCH($A93,pdates_grade_factor_taint_tabor,1))+($A93-INDEX(pdates_grade_factor_taint_tabor,MATCH($A93,pdates_grade_factor_taint_tabor,1)))/(INDEX(pdates_grade_factor_taint_tabor,MATCH($A93,pdates_grade_factor_taint_tabor,1)+1)-INDEX(pdates_grade_factor_taint_tabor,MATCH($A93,pdates_grade_factor_taint_tabor,1)))*(INDEX(pvals_grade_factor_taint_tabor,MATCH($A93,pdates_grade_factor_taint_tabor,1)+1)-INDEX(pvals_grade_factor_taint_tabor,MATCH($A93,pdates_grade_factor_taint_tabor,1)))))</f>
        <v/>
      </c>
      <c r="Z93" s="8">
        <f>IF($A93&lt;=INDEX(pdates_grade_factor_tense,1),INDEX(pvals_grade_factor_tense,1),IF($A93&gt;=INDEX(pdates_grade_factor_tense,10),INDEX(pvals_grade_factor_tense,10),INDEX(pvals_grade_factor_tense,MATCH($A93,pdates_grade_factor_tense,1))+($A93-INDEX(pdates_grade_factor_tense,MATCH($A93,pdates_grade_factor_tense,1)))/(INDEX(pdates_grade_factor_tense,MATCH($A93,pdates_grade_factor_tense,1)+1)-INDEX(pdates_grade_factor_tense,MATCH($A93,pdates_grade_factor_tense,1)))*(INDEX(pvals_grade_factor_tense,MATCH($A93,pdates_grade_factor_tense,1)+1)-INDEX(pvals_grade_factor_tense,MATCH($A93,pdates_grade_factor_tense,1)))))</f>
        <v/>
      </c>
      <c r="AA93" s="8">
        <f>IF($A93&lt;=INDEX(pdates_grade_factor_mix_pit,1),INDEX(pvals_grade_factor_mix_pit,1),IF($A93&gt;=INDEX(pdates_grade_factor_mix_pit,10),INDEX(pvals_grade_factor_mix_pit,10),INDEX(pvals_grade_factor_mix_pit,MATCH($A93,pdates_grade_factor_mix_pit,1))+($A93-INDEX(pdates_grade_factor_mix_pit,MATCH($A93,pdates_grade_factor_mix_pit,1)))/(INDEX(pdates_grade_factor_mix_pit,MATCH($A93,pdates_grade_factor_mix_pit,1)+1)-INDEX(pdates_grade_factor_mix_pit,MATCH($A93,pdates_grade_factor_mix_pit,1)))*(INDEX(pvals_grade_factor_mix_pit,MATCH($A93,pdates_grade_factor_mix_pit,1)+1)-INDEX(pvals_grade_factor_mix_pit,MATCH($A93,pdates_grade_factor_mix_pit,1)))))</f>
        <v/>
      </c>
      <c r="AB93" s="16">
        <f>($B93*$F93/kg_per_mt*(1+bcd_primary_al_hs7601*(1+sws_rate_on_bcd))+mcx_domestic_premium_inr_kg)*(1+$I93*MAX(0,$Q93-$A93)/day_count_inr)</f>
        <v/>
      </c>
      <c r="AC93" s="16">
        <f>$M93-$AB93</f>
        <v/>
      </c>
      <c r="AD93" s="7" t="inlineStr">
        <is>
          <t>PROXY_IMPORT_PARITY</t>
        </is>
      </c>
      <c r="AE93" s="7" t="inlineStr">
        <is>
          <t>ECB_CROSS</t>
        </is>
      </c>
      <c r="AF93" s="7" t="inlineStr">
        <is>
          <t>WCI_REPORTED|USEC:SIBLING|JEA:ASSUMPTION</t>
        </is>
      </c>
      <c r="AG93" s="17" t="b">
        <v>0</v>
      </c>
      <c r="AH93" s="17" t="b">
        <v>1</v>
      </c>
    </row>
    <row r="94">
      <c r="A94" s="11" t="n">
        <v>44692</v>
      </c>
      <c r="B94" s="13" t="n">
        <v>2737</v>
      </c>
      <c r="C94" s="13" t="n">
        <v>2772</v>
      </c>
      <c r="D94" s="13" t="n">
        <v>-35</v>
      </c>
      <c r="E94" s="13" t="n">
        <v>553925</v>
      </c>
      <c r="F94" s="13" t="n">
        <v>77.2231</v>
      </c>
      <c r="G94" s="6" t="n">
        <v>77.47369999999999</v>
      </c>
      <c r="H94" s="6" t="n">
        <v>77.9657</v>
      </c>
      <c r="I94" s="14" t="n">
        <v>0.047343</v>
      </c>
      <c r="J94" s="14" t="n">
        <v>0.008975</v>
      </c>
      <c r="K94" s="14" t="n">
        <v>0.044</v>
      </c>
      <c r="L94" s="13" t="n">
        <v>228.7968</v>
      </c>
      <c r="M94" s="13" t="n">
        <v>229.3903</v>
      </c>
      <c r="N94" s="13" t="n">
        <v>230.2806</v>
      </c>
      <c r="O94" s="13" t="n">
        <v>20.89</v>
      </c>
      <c r="P94" s="13" t="n">
        <v>92.64</v>
      </c>
      <c r="Q94" s="12" t="n">
        <v>44712</v>
      </c>
      <c r="R94" s="12" t="n">
        <v>44742</v>
      </c>
      <c r="S94" s="8">
        <f>YEAR($Q94)*100+MONTH($Q94)</f>
        <v/>
      </c>
      <c r="T94" s="8">
        <f>YEAR($R94)*100+MONTH($R94)</f>
        <v/>
      </c>
      <c r="U94" s="15">
        <f>IF($A94&lt;=INDEX(pdates_wc_rate_inr_pa,1),INDEX(pvals_wc_rate_inr_pa,1),INDEX(pvals_wc_rate_inr_pa,MATCH($A94,pdates_wc_rate_inr_pa,1)))</f>
        <v/>
      </c>
      <c r="V94" s="8">
        <f>IF(AND($A94&gt;=customs_fx_first,$A94&lt;=customs_fx_last+customs_fx_notification_validity_days),IF($A94&lt;=INDEX(pdates_customs_usdinr_import,1),INDEX(pvals_customs_usdinr_import,1),INDEX(pvals_customs_usdinr_import,MATCH($A94,pdates_customs_usdinr_import,1))),$F94*(1+customs_fx_markup_frac))</f>
        <v/>
      </c>
      <c r="W94" s="8">
        <f>IF(AND($A94&gt;=customs_fx_first,$A94&lt;=customs_fx_last+customs_fx_notification_validity_days),"CBIC_NOTIFIED","MARKUP_FALLBACK")</f>
        <v/>
      </c>
      <c r="X94" s="8">
        <f>IF($A94&lt;=INDEX(pdates_grade_factor_zorba,1),INDEX(pvals_grade_factor_zorba,1),IF($A94&gt;=INDEX(pdates_grade_factor_zorba,10),INDEX(pvals_grade_factor_zorba,10),INDEX(pvals_grade_factor_zorba,MATCH($A94,pdates_grade_factor_zorba,1))+($A94-INDEX(pdates_grade_factor_zorba,MATCH($A94,pdates_grade_factor_zorba,1)))/(INDEX(pdates_grade_factor_zorba,MATCH($A94,pdates_grade_factor_zorba,1)+1)-INDEX(pdates_grade_factor_zorba,MATCH($A94,pdates_grade_factor_zorba,1)))*(INDEX(pvals_grade_factor_zorba,MATCH($A94,pdates_grade_factor_zorba,1)+1)-INDEX(pvals_grade_factor_zorba,MATCH($A94,pdates_grade_factor_zorba,1)))))</f>
        <v/>
      </c>
      <c r="Y94" s="8">
        <f>IF($A94&lt;=INDEX(pdates_grade_factor_taint_tabor,1),INDEX(pvals_grade_factor_taint_tabor,1),IF($A94&gt;=INDEX(pdates_grade_factor_taint_tabor,10),INDEX(pvals_grade_factor_taint_tabor,10),INDEX(pvals_grade_factor_taint_tabor,MATCH($A94,pdates_grade_factor_taint_tabor,1))+($A94-INDEX(pdates_grade_factor_taint_tabor,MATCH($A94,pdates_grade_factor_taint_tabor,1)))/(INDEX(pdates_grade_factor_taint_tabor,MATCH($A94,pdates_grade_factor_taint_tabor,1)+1)-INDEX(pdates_grade_factor_taint_tabor,MATCH($A94,pdates_grade_factor_taint_tabor,1)))*(INDEX(pvals_grade_factor_taint_tabor,MATCH($A94,pdates_grade_factor_taint_tabor,1)+1)-INDEX(pvals_grade_factor_taint_tabor,MATCH($A94,pdates_grade_factor_taint_tabor,1)))))</f>
        <v/>
      </c>
      <c r="Z94" s="8">
        <f>IF($A94&lt;=INDEX(pdates_grade_factor_tense,1),INDEX(pvals_grade_factor_tense,1),IF($A94&gt;=INDEX(pdates_grade_factor_tense,10),INDEX(pvals_grade_factor_tense,10),INDEX(pvals_grade_factor_tense,MATCH($A94,pdates_grade_factor_tense,1))+($A94-INDEX(pdates_grade_factor_tense,MATCH($A94,pdates_grade_factor_tense,1)))/(INDEX(pdates_grade_factor_tense,MATCH($A94,pdates_grade_factor_tense,1)+1)-INDEX(pdates_grade_factor_tense,MATCH($A94,pdates_grade_factor_tense,1)))*(INDEX(pvals_grade_factor_tense,MATCH($A94,pdates_grade_factor_tense,1)+1)-INDEX(pvals_grade_factor_tense,MATCH($A94,pdates_grade_factor_tense,1)))))</f>
        <v/>
      </c>
      <c r="AA94" s="8">
        <f>IF($A94&lt;=INDEX(pdates_grade_factor_mix_pit,1),INDEX(pvals_grade_factor_mix_pit,1),IF($A94&gt;=INDEX(pdates_grade_factor_mix_pit,10),INDEX(pvals_grade_factor_mix_pit,10),INDEX(pvals_grade_factor_mix_pit,MATCH($A94,pdates_grade_factor_mix_pit,1))+($A94-INDEX(pdates_grade_factor_mix_pit,MATCH($A94,pdates_grade_factor_mix_pit,1)))/(INDEX(pdates_grade_factor_mix_pit,MATCH($A94,pdates_grade_factor_mix_pit,1)+1)-INDEX(pdates_grade_factor_mix_pit,MATCH($A94,pdates_grade_factor_mix_pit,1)))*(INDEX(pvals_grade_factor_mix_pit,MATCH($A94,pdates_grade_factor_mix_pit,1)+1)-INDEX(pvals_grade_factor_mix_pit,MATCH($A94,pdates_grade_factor_mix_pit,1)))))</f>
        <v/>
      </c>
      <c r="AB94" s="16">
        <f>($B94*$F94/kg_per_mt*(1+bcd_primary_al_hs7601*(1+sws_rate_on_bcd))+mcx_domestic_premium_inr_kg)*(1+$I94*MAX(0,$Q94-$A94)/day_count_inr)</f>
        <v/>
      </c>
      <c r="AC94" s="16">
        <f>$M94-$AB94</f>
        <v/>
      </c>
      <c r="AD94" s="7" t="inlineStr">
        <is>
          <t>PROXY_IMPORT_PARITY</t>
        </is>
      </c>
      <c r="AE94" s="7" t="inlineStr">
        <is>
          <t>ECB_CROSS</t>
        </is>
      </c>
      <c r="AF94" s="7" t="inlineStr">
        <is>
          <t>WCI_REPORTED|USEC:SIBLING|JEA:ASSUMPTION</t>
        </is>
      </c>
      <c r="AG94" s="17" t="b">
        <v>0</v>
      </c>
      <c r="AH94" s="17" t="b">
        <v>1</v>
      </c>
    </row>
    <row r="95">
      <c r="A95" s="11" t="n">
        <v>44693</v>
      </c>
      <c r="B95" s="13" t="n">
        <v>2688</v>
      </c>
      <c r="C95" s="13" t="n">
        <v>2723</v>
      </c>
      <c r="D95" s="13" t="n">
        <v>-35</v>
      </c>
      <c r="E95" s="13" t="n">
        <v>546350</v>
      </c>
      <c r="F95" s="13" t="n">
        <v>77.5048</v>
      </c>
      <c r="G95" s="6" t="n">
        <v>77.75239999999999</v>
      </c>
      <c r="H95" s="6" t="n">
        <v>78.2384</v>
      </c>
      <c r="I95" s="14" t="n">
        <v>0.047343</v>
      </c>
      <c r="J95" s="14" t="n">
        <v>0.009567000000000001</v>
      </c>
      <c r="K95" s="14" t="n">
        <v>0.044</v>
      </c>
      <c r="L95" s="13" t="n">
        <v>225.5204</v>
      </c>
      <c r="M95" s="13" t="n">
        <v>226.0761</v>
      </c>
      <c r="N95" s="13" t="n">
        <v>226.9537</v>
      </c>
      <c r="O95" s="13" t="n">
        <v>20.5</v>
      </c>
      <c r="P95" s="13" t="n">
        <v>90.91</v>
      </c>
      <c r="Q95" s="12" t="n">
        <v>44712</v>
      </c>
      <c r="R95" s="12" t="n">
        <v>44742</v>
      </c>
      <c r="S95" s="8">
        <f>YEAR($Q95)*100+MONTH($Q95)</f>
        <v/>
      </c>
      <c r="T95" s="8">
        <f>YEAR($R95)*100+MONTH($R95)</f>
        <v/>
      </c>
      <c r="U95" s="15">
        <f>IF($A95&lt;=INDEX(pdates_wc_rate_inr_pa,1),INDEX(pvals_wc_rate_inr_pa,1),INDEX(pvals_wc_rate_inr_pa,MATCH($A95,pdates_wc_rate_inr_pa,1)))</f>
        <v/>
      </c>
      <c r="V95" s="8">
        <f>IF(AND($A95&gt;=customs_fx_first,$A95&lt;=customs_fx_last+customs_fx_notification_validity_days),IF($A95&lt;=INDEX(pdates_customs_usdinr_import,1),INDEX(pvals_customs_usdinr_import,1),INDEX(pvals_customs_usdinr_import,MATCH($A95,pdates_customs_usdinr_import,1))),$F95*(1+customs_fx_markup_frac))</f>
        <v/>
      </c>
      <c r="W95" s="8">
        <f>IF(AND($A95&gt;=customs_fx_first,$A95&lt;=customs_fx_last+customs_fx_notification_validity_days),"CBIC_NOTIFIED","MARKUP_FALLBACK")</f>
        <v/>
      </c>
      <c r="X95" s="8">
        <f>IF($A95&lt;=INDEX(pdates_grade_factor_zorba,1),INDEX(pvals_grade_factor_zorba,1),IF($A95&gt;=INDEX(pdates_grade_factor_zorba,10),INDEX(pvals_grade_factor_zorba,10),INDEX(pvals_grade_factor_zorba,MATCH($A95,pdates_grade_factor_zorba,1))+($A95-INDEX(pdates_grade_factor_zorba,MATCH($A95,pdates_grade_factor_zorba,1)))/(INDEX(pdates_grade_factor_zorba,MATCH($A95,pdates_grade_factor_zorba,1)+1)-INDEX(pdates_grade_factor_zorba,MATCH($A95,pdates_grade_factor_zorba,1)))*(INDEX(pvals_grade_factor_zorba,MATCH($A95,pdates_grade_factor_zorba,1)+1)-INDEX(pvals_grade_factor_zorba,MATCH($A95,pdates_grade_factor_zorba,1)))))</f>
        <v/>
      </c>
      <c r="Y95" s="8">
        <f>IF($A95&lt;=INDEX(pdates_grade_factor_taint_tabor,1),INDEX(pvals_grade_factor_taint_tabor,1),IF($A95&gt;=INDEX(pdates_grade_factor_taint_tabor,10),INDEX(pvals_grade_factor_taint_tabor,10),INDEX(pvals_grade_factor_taint_tabor,MATCH($A95,pdates_grade_factor_taint_tabor,1))+($A95-INDEX(pdates_grade_factor_taint_tabor,MATCH($A95,pdates_grade_factor_taint_tabor,1)))/(INDEX(pdates_grade_factor_taint_tabor,MATCH($A95,pdates_grade_factor_taint_tabor,1)+1)-INDEX(pdates_grade_factor_taint_tabor,MATCH($A95,pdates_grade_factor_taint_tabor,1)))*(INDEX(pvals_grade_factor_taint_tabor,MATCH($A95,pdates_grade_factor_taint_tabor,1)+1)-INDEX(pvals_grade_factor_taint_tabor,MATCH($A95,pdates_grade_factor_taint_tabor,1)))))</f>
        <v/>
      </c>
      <c r="Z95" s="8">
        <f>IF($A95&lt;=INDEX(pdates_grade_factor_tense,1),INDEX(pvals_grade_factor_tense,1),IF($A95&gt;=INDEX(pdates_grade_factor_tense,10),INDEX(pvals_grade_factor_tense,10),INDEX(pvals_grade_factor_tense,MATCH($A95,pdates_grade_factor_tense,1))+($A95-INDEX(pdates_grade_factor_tense,MATCH($A95,pdates_grade_factor_tense,1)))/(INDEX(pdates_grade_factor_tense,MATCH($A95,pdates_grade_factor_tense,1)+1)-INDEX(pdates_grade_factor_tense,MATCH($A95,pdates_grade_factor_tense,1)))*(INDEX(pvals_grade_factor_tense,MATCH($A95,pdates_grade_factor_tense,1)+1)-INDEX(pvals_grade_factor_tense,MATCH($A95,pdates_grade_factor_tense,1)))))</f>
        <v/>
      </c>
      <c r="AA95" s="8">
        <f>IF($A95&lt;=INDEX(pdates_grade_factor_mix_pit,1),INDEX(pvals_grade_factor_mix_pit,1),IF($A95&gt;=INDEX(pdates_grade_factor_mix_pit,10),INDEX(pvals_grade_factor_mix_pit,10),INDEX(pvals_grade_factor_mix_pit,MATCH($A95,pdates_grade_factor_mix_pit,1))+($A95-INDEX(pdates_grade_factor_mix_pit,MATCH($A95,pdates_grade_factor_mix_pit,1)))/(INDEX(pdates_grade_factor_mix_pit,MATCH($A95,pdates_grade_factor_mix_pit,1)+1)-INDEX(pdates_grade_factor_mix_pit,MATCH($A95,pdates_grade_factor_mix_pit,1)))*(INDEX(pvals_grade_factor_mix_pit,MATCH($A95,pdates_grade_factor_mix_pit,1)+1)-INDEX(pvals_grade_factor_mix_pit,MATCH($A95,pdates_grade_factor_mix_pit,1)))))</f>
        <v/>
      </c>
      <c r="AB95" s="16">
        <f>($B95*$F95/kg_per_mt*(1+bcd_primary_al_hs7601*(1+sws_rate_on_bcd))+mcx_domestic_premium_inr_kg)*(1+$I95*MAX(0,$Q95-$A95)/day_count_inr)</f>
        <v/>
      </c>
      <c r="AC95" s="16">
        <f>$M95-$AB95</f>
        <v/>
      </c>
      <c r="AD95" s="7" t="inlineStr">
        <is>
          <t>PROXY_IMPORT_PARITY</t>
        </is>
      </c>
      <c r="AE95" s="7" t="inlineStr">
        <is>
          <t>ECB_CROSS</t>
        </is>
      </c>
      <c r="AF95" s="7" t="inlineStr">
        <is>
          <t>WCI_DERIVED|USEC:SIBLING|JEA:ASSUMPTION</t>
        </is>
      </c>
      <c r="AG95" s="17" t="b">
        <v>0</v>
      </c>
      <c r="AH95" s="17" t="b">
        <v>0</v>
      </c>
    </row>
    <row r="96">
      <c r="A96" s="11" t="n">
        <v>44694</v>
      </c>
      <c r="B96" s="13" t="n">
        <v>2723</v>
      </c>
      <c r="C96" s="13" t="n">
        <v>2750</v>
      </c>
      <c r="D96" s="13" t="n">
        <v>-27</v>
      </c>
      <c r="E96" s="13" t="n">
        <v>539800</v>
      </c>
      <c r="F96" s="13" t="n">
        <v>77.44970000000001</v>
      </c>
      <c r="G96" s="6" t="n">
        <v>77.6931</v>
      </c>
      <c r="H96" s="6" t="n">
        <v>78.17100000000001</v>
      </c>
      <c r="I96" s="14" t="n">
        <v>0.047343</v>
      </c>
      <c r="J96" s="14" t="n">
        <v>0.010159</v>
      </c>
      <c r="K96" s="14" t="n">
        <v>0.044</v>
      </c>
      <c r="L96" s="13" t="n">
        <v>228.2944</v>
      </c>
      <c r="M96" s="13" t="n">
        <v>228.8274</v>
      </c>
      <c r="N96" s="13" t="n">
        <v>229.7158</v>
      </c>
      <c r="O96" s="13" t="n">
        <v>20.5</v>
      </c>
      <c r="P96" s="13" t="n">
        <v>90.91</v>
      </c>
      <c r="Q96" s="12" t="n">
        <v>44712</v>
      </c>
      <c r="R96" s="12" t="n">
        <v>44742</v>
      </c>
      <c r="S96" s="8">
        <f>YEAR($Q96)*100+MONTH($Q96)</f>
        <v/>
      </c>
      <c r="T96" s="8">
        <f>YEAR($R96)*100+MONTH($R96)</f>
        <v/>
      </c>
      <c r="U96" s="15">
        <f>IF($A96&lt;=INDEX(pdates_wc_rate_inr_pa,1),INDEX(pvals_wc_rate_inr_pa,1),INDEX(pvals_wc_rate_inr_pa,MATCH($A96,pdates_wc_rate_inr_pa,1)))</f>
        <v/>
      </c>
      <c r="V96" s="8">
        <f>IF(AND($A96&gt;=customs_fx_first,$A96&lt;=customs_fx_last+customs_fx_notification_validity_days),IF($A96&lt;=INDEX(pdates_customs_usdinr_import,1),INDEX(pvals_customs_usdinr_import,1),INDEX(pvals_customs_usdinr_import,MATCH($A96,pdates_customs_usdinr_import,1))),$F96*(1+customs_fx_markup_frac))</f>
        <v/>
      </c>
      <c r="W96" s="8">
        <f>IF(AND($A96&gt;=customs_fx_first,$A96&lt;=customs_fx_last+customs_fx_notification_validity_days),"CBIC_NOTIFIED","MARKUP_FALLBACK")</f>
        <v/>
      </c>
      <c r="X96" s="8">
        <f>IF($A96&lt;=INDEX(pdates_grade_factor_zorba,1),INDEX(pvals_grade_factor_zorba,1),IF($A96&gt;=INDEX(pdates_grade_factor_zorba,10),INDEX(pvals_grade_factor_zorba,10),INDEX(pvals_grade_factor_zorba,MATCH($A96,pdates_grade_factor_zorba,1))+($A96-INDEX(pdates_grade_factor_zorba,MATCH($A96,pdates_grade_factor_zorba,1)))/(INDEX(pdates_grade_factor_zorba,MATCH($A96,pdates_grade_factor_zorba,1)+1)-INDEX(pdates_grade_factor_zorba,MATCH($A96,pdates_grade_factor_zorba,1)))*(INDEX(pvals_grade_factor_zorba,MATCH($A96,pdates_grade_factor_zorba,1)+1)-INDEX(pvals_grade_factor_zorba,MATCH($A96,pdates_grade_factor_zorba,1)))))</f>
        <v/>
      </c>
      <c r="Y96" s="8">
        <f>IF($A96&lt;=INDEX(pdates_grade_factor_taint_tabor,1),INDEX(pvals_grade_factor_taint_tabor,1),IF($A96&gt;=INDEX(pdates_grade_factor_taint_tabor,10),INDEX(pvals_grade_factor_taint_tabor,10),INDEX(pvals_grade_factor_taint_tabor,MATCH($A96,pdates_grade_factor_taint_tabor,1))+($A96-INDEX(pdates_grade_factor_taint_tabor,MATCH($A96,pdates_grade_factor_taint_tabor,1)))/(INDEX(pdates_grade_factor_taint_tabor,MATCH($A96,pdates_grade_factor_taint_tabor,1)+1)-INDEX(pdates_grade_factor_taint_tabor,MATCH($A96,pdates_grade_factor_taint_tabor,1)))*(INDEX(pvals_grade_factor_taint_tabor,MATCH($A96,pdates_grade_factor_taint_tabor,1)+1)-INDEX(pvals_grade_factor_taint_tabor,MATCH($A96,pdates_grade_factor_taint_tabor,1)))))</f>
        <v/>
      </c>
      <c r="Z96" s="8">
        <f>IF($A96&lt;=INDEX(pdates_grade_factor_tense,1),INDEX(pvals_grade_factor_tense,1),IF($A96&gt;=INDEX(pdates_grade_factor_tense,10),INDEX(pvals_grade_factor_tense,10),INDEX(pvals_grade_factor_tense,MATCH($A96,pdates_grade_factor_tense,1))+($A96-INDEX(pdates_grade_factor_tense,MATCH($A96,pdates_grade_factor_tense,1)))/(INDEX(pdates_grade_factor_tense,MATCH($A96,pdates_grade_factor_tense,1)+1)-INDEX(pdates_grade_factor_tense,MATCH($A96,pdates_grade_factor_tense,1)))*(INDEX(pvals_grade_factor_tense,MATCH($A96,pdates_grade_factor_tense,1)+1)-INDEX(pvals_grade_factor_tense,MATCH($A96,pdates_grade_factor_tense,1)))))</f>
        <v/>
      </c>
      <c r="AA96" s="8">
        <f>IF($A96&lt;=INDEX(pdates_grade_factor_mix_pit,1),INDEX(pvals_grade_factor_mix_pit,1),IF($A96&gt;=INDEX(pdates_grade_factor_mix_pit,10),INDEX(pvals_grade_factor_mix_pit,10),INDEX(pvals_grade_factor_mix_pit,MATCH($A96,pdates_grade_factor_mix_pit,1))+($A96-INDEX(pdates_grade_factor_mix_pit,MATCH($A96,pdates_grade_factor_mix_pit,1)))/(INDEX(pdates_grade_factor_mix_pit,MATCH($A96,pdates_grade_factor_mix_pit,1)+1)-INDEX(pdates_grade_factor_mix_pit,MATCH($A96,pdates_grade_factor_mix_pit,1)))*(INDEX(pvals_grade_factor_mix_pit,MATCH($A96,pdates_grade_factor_mix_pit,1)+1)-INDEX(pvals_grade_factor_mix_pit,MATCH($A96,pdates_grade_factor_mix_pit,1)))))</f>
        <v/>
      </c>
      <c r="AB96" s="16">
        <f>($B96*$F96/kg_per_mt*(1+bcd_primary_al_hs7601*(1+sws_rate_on_bcd))+mcx_domestic_premium_inr_kg)*(1+$I96*MAX(0,$Q96-$A96)/day_count_inr)</f>
        <v/>
      </c>
      <c r="AC96" s="16">
        <f>$M96-$AB96</f>
        <v/>
      </c>
      <c r="AD96" s="7" t="inlineStr">
        <is>
          <t>PROXY_IMPORT_PARITY</t>
        </is>
      </c>
      <c r="AE96" s="7" t="inlineStr">
        <is>
          <t>ECB_CROSS</t>
        </is>
      </c>
      <c r="AF96" s="7" t="inlineStr">
        <is>
          <t>WCI_DERIVED|USEC:SIBLING|JEA:ASSUMPTION</t>
        </is>
      </c>
      <c r="AG96" s="17" t="b">
        <v>0</v>
      </c>
      <c r="AH96" s="17" t="b">
        <v>1</v>
      </c>
    </row>
    <row r="97">
      <c r="A97" s="11" t="n">
        <v>44697</v>
      </c>
      <c r="B97" s="13" t="n">
        <v>2791</v>
      </c>
      <c r="C97" s="13" t="n">
        <v>2822</v>
      </c>
      <c r="D97" s="13" t="n">
        <v>-31</v>
      </c>
      <c r="E97" s="13" t="n">
        <v>532500</v>
      </c>
      <c r="F97" s="13" t="n">
        <v>77.7979</v>
      </c>
      <c r="G97" s="6" t="n">
        <v>78.0385</v>
      </c>
      <c r="H97" s="6" t="n">
        <v>78.5106</v>
      </c>
      <c r="I97" s="14" t="n">
        <v>0.047343</v>
      </c>
      <c r="J97" s="14" t="n">
        <v>0.010751</v>
      </c>
      <c r="K97" s="14" t="n">
        <v>0.044</v>
      </c>
      <c r="L97" s="13" t="n">
        <v>235.0475</v>
      </c>
      <c r="M97" s="13" t="n">
        <v>235.5048</v>
      </c>
      <c r="N97" s="13" t="n">
        <v>236.4194</v>
      </c>
      <c r="O97" s="13" t="n">
        <v>20.5</v>
      </c>
      <c r="P97" s="13" t="n">
        <v>90.91</v>
      </c>
      <c r="Q97" s="12" t="n">
        <v>44712</v>
      </c>
      <c r="R97" s="12" t="n">
        <v>44742</v>
      </c>
      <c r="S97" s="8">
        <f>YEAR($Q97)*100+MONTH($Q97)</f>
        <v/>
      </c>
      <c r="T97" s="8">
        <f>YEAR($R97)*100+MONTH($R97)</f>
        <v/>
      </c>
      <c r="U97" s="15">
        <f>IF($A97&lt;=INDEX(pdates_wc_rate_inr_pa,1),INDEX(pvals_wc_rate_inr_pa,1),INDEX(pvals_wc_rate_inr_pa,MATCH($A97,pdates_wc_rate_inr_pa,1)))</f>
        <v/>
      </c>
      <c r="V97" s="8">
        <f>IF(AND($A97&gt;=customs_fx_first,$A97&lt;=customs_fx_last+customs_fx_notification_validity_days),IF($A97&lt;=INDEX(pdates_customs_usdinr_import,1),INDEX(pvals_customs_usdinr_import,1),INDEX(pvals_customs_usdinr_import,MATCH($A97,pdates_customs_usdinr_import,1))),$F97*(1+customs_fx_markup_frac))</f>
        <v/>
      </c>
      <c r="W97" s="8">
        <f>IF(AND($A97&gt;=customs_fx_first,$A97&lt;=customs_fx_last+customs_fx_notification_validity_days),"CBIC_NOTIFIED","MARKUP_FALLBACK")</f>
        <v/>
      </c>
      <c r="X97" s="8">
        <f>IF($A97&lt;=INDEX(pdates_grade_factor_zorba,1),INDEX(pvals_grade_factor_zorba,1),IF($A97&gt;=INDEX(pdates_grade_factor_zorba,10),INDEX(pvals_grade_factor_zorba,10),INDEX(pvals_grade_factor_zorba,MATCH($A97,pdates_grade_factor_zorba,1))+($A97-INDEX(pdates_grade_factor_zorba,MATCH($A97,pdates_grade_factor_zorba,1)))/(INDEX(pdates_grade_factor_zorba,MATCH($A97,pdates_grade_factor_zorba,1)+1)-INDEX(pdates_grade_factor_zorba,MATCH($A97,pdates_grade_factor_zorba,1)))*(INDEX(pvals_grade_factor_zorba,MATCH($A97,pdates_grade_factor_zorba,1)+1)-INDEX(pvals_grade_factor_zorba,MATCH($A97,pdates_grade_factor_zorba,1)))))</f>
        <v/>
      </c>
      <c r="Y97" s="8">
        <f>IF($A97&lt;=INDEX(pdates_grade_factor_taint_tabor,1),INDEX(pvals_grade_factor_taint_tabor,1),IF($A97&gt;=INDEX(pdates_grade_factor_taint_tabor,10),INDEX(pvals_grade_factor_taint_tabor,10),INDEX(pvals_grade_factor_taint_tabor,MATCH($A97,pdates_grade_factor_taint_tabor,1))+($A97-INDEX(pdates_grade_factor_taint_tabor,MATCH($A97,pdates_grade_factor_taint_tabor,1)))/(INDEX(pdates_grade_factor_taint_tabor,MATCH($A97,pdates_grade_factor_taint_tabor,1)+1)-INDEX(pdates_grade_factor_taint_tabor,MATCH($A97,pdates_grade_factor_taint_tabor,1)))*(INDEX(pvals_grade_factor_taint_tabor,MATCH($A97,pdates_grade_factor_taint_tabor,1)+1)-INDEX(pvals_grade_factor_taint_tabor,MATCH($A97,pdates_grade_factor_taint_tabor,1)))))</f>
        <v/>
      </c>
      <c r="Z97" s="8">
        <f>IF($A97&lt;=INDEX(pdates_grade_factor_tense,1),INDEX(pvals_grade_factor_tense,1),IF($A97&gt;=INDEX(pdates_grade_factor_tense,10),INDEX(pvals_grade_factor_tense,10),INDEX(pvals_grade_factor_tense,MATCH($A97,pdates_grade_factor_tense,1))+($A97-INDEX(pdates_grade_factor_tense,MATCH($A97,pdates_grade_factor_tense,1)))/(INDEX(pdates_grade_factor_tense,MATCH($A97,pdates_grade_factor_tense,1)+1)-INDEX(pdates_grade_factor_tense,MATCH($A97,pdates_grade_factor_tense,1)))*(INDEX(pvals_grade_factor_tense,MATCH($A97,pdates_grade_factor_tense,1)+1)-INDEX(pvals_grade_factor_tense,MATCH($A97,pdates_grade_factor_tense,1)))))</f>
        <v/>
      </c>
      <c r="AA97" s="8">
        <f>IF($A97&lt;=INDEX(pdates_grade_factor_mix_pit,1),INDEX(pvals_grade_factor_mix_pit,1),IF($A97&gt;=INDEX(pdates_grade_factor_mix_pit,10),INDEX(pvals_grade_factor_mix_pit,10),INDEX(pvals_grade_factor_mix_pit,MATCH($A97,pdates_grade_factor_mix_pit,1))+($A97-INDEX(pdates_grade_factor_mix_pit,MATCH($A97,pdates_grade_factor_mix_pit,1)))/(INDEX(pdates_grade_factor_mix_pit,MATCH($A97,pdates_grade_factor_mix_pit,1)+1)-INDEX(pdates_grade_factor_mix_pit,MATCH($A97,pdates_grade_factor_mix_pit,1)))*(INDEX(pvals_grade_factor_mix_pit,MATCH($A97,pdates_grade_factor_mix_pit,1)+1)-INDEX(pvals_grade_factor_mix_pit,MATCH($A97,pdates_grade_factor_mix_pit,1)))))</f>
        <v/>
      </c>
      <c r="AB97" s="16">
        <f>($B97*$F97/kg_per_mt*(1+bcd_primary_al_hs7601*(1+sws_rate_on_bcd))+mcx_domestic_premium_inr_kg)*(1+$I97*MAX(0,$Q97-$A97)/day_count_inr)</f>
        <v/>
      </c>
      <c r="AC97" s="16">
        <f>$M97-$AB97</f>
        <v/>
      </c>
      <c r="AD97" s="7" t="inlineStr">
        <is>
          <t>PROXY_IMPORT_PARITY</t>
        </is>
      </c>
      <c r="AE97" s="7" t="inlineStr">
        <is>
          <t>ECB_CROSS</t>
        </is>
      </c>
      <c r="AF97" s="7" t="inlineStr">
        <is>
          <t>WCI_DERIVED|USEC:SIBLING|JEA:ASSUMPTION</t>
        </is>
      </c>
      <c r="AG97" s="17" t="b">
        <v>0</v>
      </c>
      <c r="AH97" s="17" t="b">
        <v>1</v>
      </c>
    </row>
    <row r="98">
      <c r="A98" s="11" t="n">
        <v>44698</v>
      </c>
      <c r="B98" s="13" t="n">
        <v>2836</v>
      </c>
      <c r="C98" s="13" t="n">
        <v>2858</v>
      </c>
      <c r="D98" s="13" t="n">
        <v>-22</v>
      </c>
      <c r="E98" s="13" t="n">
        <v>527375</v>
      </c>
      <c r="F98" s="13" t="n">
        <v>77.4609</v>
      </c>
      <c r="G98" s="6" t="n">
        <v>77.7011</v>
      </c>
      <c r="H98" s="6" t="n">
        <v>78.1724</v>
      </c>
      <c r="I98" s="14" t="n">
        <v>0.047343</v>
      </c>
      <c r="J98" s="14" t="n">
        <v>0.010652</v>
      </c>
      <c r="K98" s="14" t="n">
        <v>0.044</v>
      </c>
      <c r="L98" s="13" t="n">
        <v>237.8026</v>
      </c>
      <c r="M98" s="13" t="n">
        <v>238.2345</v>
      </c>
      <c r="N98" s="13" t="n">
        <v>239.1598</v>
      </c>
      <c r="O98" s="13" t="n">
        <v>20.5</v>
      </c>
      <c r="P98" s="13" t="n">
        <v>90.91</v>
      </c>
      <c r="Q98" s="12" t="n">
        <v>44712</v>
      </c>
      <c r="R98" s="12" t="n">
        <v>44742</v>
      </c>
      <c r="S98" s="8">
        <f>YEAR($Q98)*100+MONTH($Q98)</f>
        <v/>
      </c>
      <c r="T98" s="8">
        <f>YEAR($R98)*100+MONTH($R98)</f>
        <v/>
      </c>
      <c r="U98" s="15">
        <f>IF($A98&lt;=INDEX(pdates_wc_rate_inr_pa,1),INDEX(pvals_wc_rate_inr_pa,1),INDEX(pvals_wc_rate_inr_pa,MATCH($A98,pdates_wc_rate_inr_pa,1)))</f>
        <v/>
      </c>
      <c r="V98" s="8">
        <f>IF(AND($A98&gt;=customs_fx_first,$A98&lt;=customs_fx_last+customs_fx_notification_validity_days),IF($A98&lt;=INDEX(pdates_customs_usdinr_import,1),INDEX(pvals_customs_usdinr_import,1),INDEX(pvals_customs_usdinr_import,MATCH($A98,pdates_customs_usdinr_import,1))),$F98*(1+customs_fx_markup_frac))</f>
        <v/>
      </c>
      <c r="W98" s="8">
        <f>IF(AND($A98&gt;=customs_fx_first,$A98&lt;=customs_fx_last+customs_fx_notification_validity_days),"CBIC_NOTIFIED","MARKUP_FALLBACK")</f>
        <v/>
      </c>
      <c r="X98" s="8">
        <f>IF($A98&lt;=INDEX(pdates_grade_factor_zorba,1),INDEX(pvals_grade_factor_zorba,1),IF($A98&gt;=INDEX(pdates_grade_factor_zorba,10),INDEX(pvals_grade_factor_zorba,10),INDEX(pvals_grade_factor_zorba,MATCH($A98,pdates_grade_factor_zorba,1))+($A98-INDEX(pdates_grade_factor_zorba,MATCH($A98,pdates_grade_factor_zorba,1)))/(INDEX(pdates_grade_factor_zorba,MATCH($A98,pdates_grade_factor_zorba,1)+1)-INDEX(pdates_grade_factor_zorba,MATCH($A98,pdates_grade_factor_zorba,1)))*(INDEX(pvals_grade_factor_zorba,MATCH($A98,pdates_grade_factor_zorba,1)+1)-INDEX(pvals_grade_factor_zorba,MATCH($A98,pdates_grade_factor_zorba,1)))))</f>
        <v/>
      </c>
      <c r="Y98" s="8">
        <f>IF($A98&lt;=INDEX(pdates_grade_factor_taint_tabor,1),INDEX(pvals_grade_factor_taint_tabor,1),IF($A98&gt;=INDEX(pdates_grade_factor_taint_tabor,10),INDEX(pvals_grade_factor_taint_tabor,10),INDEX(pvals_grade_factor_taint_tabor,MATCH($A98,pdates_grade_factor_taint_tabor,1))+($A98-INDEX(pdates_grade_factor_taint_tabor,MATCH($A98,pdates_grade_factor_taint_tabor,1)))/(INDEX(pdates_grade_factor_taint_tabor,MATCH($A98,pdates_grade_factor_taint_tabor,1)+1)-INDEX(pdates_grade_factor_taint_tabor,MATCH($A98,pdates_grade_factor_taint_tabor,1)))*(INDEX(pvals_grade_factor_taint_tabor,MATCH($A98,pdates_grade_factor_taint_tabor,1)+1)-INDEX(pvals_grade_factor_taint_tabor,MATCH($A98,pdates_grade_factor_taint_tabor,1)))))</f>
        <v/>
      </c>
      <c r="Z98" s="8">
        <f>IF($A98&lt;=INDEX(pdates_grade_factor_tense,1),INDEX(pvals_grade_factor_tense,1),IF($A98&gt;=INDEX(pdates_grade_factor_tense,10),INDEX(pvals_grade_factor_tense,10),INDEX(pvals_grade_factor_tense,MATCH($A98,pdates_grade_factor_tense,1))+($A98-INDEX(pdates_grade_factor_tense,MATCH($A98,pdates_grade_factor_tense,1)))/(INDEX(pdates_grade_factor_tense,MATCH($A98,pdates_grade_factor_tense,1)+1)-INDEX(pdates_grade_factor_tense,MATCH($A98,pdates_grade_factor_tense,1)))*(INDEX(pvals_grade_factor_tense,MATCH($A98,pdates_grade_factor_tense,1)+1)-INDEX(pvals_grade_factor_tense,MATCH($A98,pdates_grade_factor_tense,1)))))</f>
        <v/>
      </c>
      <c r="AA98" s="8">
        <f>IF($A98&lt;=INDEX(pdates_grade_factor_mix_pit,1),INDEX(pvals_grade_factor_mix_pit,1),IF($A98&gt;=INDEX(pdates_grade_factor_mix_pit,10),INDEX(pvals_grade_factor_mix_pit,10),INDEX(pvals_grade_factor_mix_pit,MATCH($A98,pdates_grade_factor_mix_pit,1))+($A98-INDEX(pdates_grade_factor_mix_pit,MATCH($A98,pdates_grade_factor_mix_pit,1)))/(INDEX(pdates_grade_factor_mix_pit,MATCH($A98,pdates_grade_factor_mix_pit,1)+1)-INDEX(pdates_grade_factor_mix_pit,MATCH($A98,pdates_grade_factor_mix_pit,1)))*(INDEX(pvals_grade_factor_mix_pit,MATCH($A98,pdates_grade_factor_mix_pit,1)+1)-INDEX(pvals_grade_factor_mix_pit,MATCH($A98,pdates_grade_factor_mix_pit,1)))))</f>
        <v/>
      </c>
      <c r="AB98" s="16">
        <f>($B98*$F98/kg_per_mt*(1+bcd_primary_al_hs7601*(1+sws_rate_on_bcd))+mcx_domestic_premium_inr_kg)*(1+$I98*MAX(0,$Q98-$A98)/day_count_inr)</f>
        <v/>
      </c>
      <c r="AC98" s="16">
        <f>$M98-$AB98</f>
        <v/>
      </c>
      <c r="AD98" s="7" t="inlineStr">
        <is>
          <t>PROXY_IMPORT_PARITY</t>
        </is>
      </c>
      <c r="AE98" s="7" t="inlineStr">
        <is>
          <t>ECB_CROSS</t>
        </is>
      </c>
      <c r="AF98" s="7" t="inlineStr">
        <is>
          <t>WCI_DERIVED|USEC:SIBLING|JEA:ASSUMPTION</t>
        </is>
      </c>
      <c r="AG98" s="17" t="b">
        <v>0</v>
      </c>
      <c r="AH98" s="17" t="b">
        <v>1</v>
      </c>
    </row>
    <row r="99">
      <c r="A99" s="11" t="n">
        <v>44699</v>
      </c>
      <c r="B99" s="13" t="n">
        <v>2845</v>
      </c>
      <c r="C99" s="13" t="n">
        <v>2875</v>
      </c>
      <c r="D99" s="13" t="n">
        <v>-30</v>
      </c>
      <c r="E99" s="13" t="n">
        <v>518900</v>
      </c>
      <c r="F99" s="13" t="n">
        <v>77.5877</v>
      </c>
      <c r="G99" s="6" t="n">
        <v>77.8309</v>
      </c>
      <c r="H99" s="6" t="n">
        <v>78.3082</v>
      </c>
      <c r="I99" s="14" t="n">
        <v>0.047343</v>
      </c>
      <c r="J99" s="14" t="n">
        <v>0.010258</v>
      </c>
      <c r="K99" s="14" t="n">
        <v>0.044</v>
      </c>
      <c r="L99" s="13" t="n">
        <v>238.9478</v>
      </c>
      <c r="M99" s="13" t="n">
        <v>239.3507</v>
      </c>
      <c r="N99" s="13" t="n">
        <v>240.2805</v>
      </c>
      <c r="O99" s="13" t="n">
        <v>20.5</v>
      </c>
      <c r="P99" s="13" t="n">
        <v>90.91</v>
      </c>
      <c r="Q99" s="12" t="n">
        <v>44712</v>
      </c>
      <c r="R99" s="12" t="n">
        <v>44742</v>
      </c>
      <c r="S99" s="8">
        <f>YEAR($Q99)*100+MONTH($Q99)</f>
        <v/>
      </c>
      <c r="T99" s="8">
        <f>YEAR($R99)*100+MONTH($R99)</f>
        <v/>
      </c>
      <c r="U99" s="15">
        <f>IF($A99&lt;=INDEX(pdates_wc_rate_inr_pa,1),INDEX(pvals_wc_rate_inr_pa,1),INDEX(pvals_wc_rate_inr_pa,MATCH($A99,pdates_wc_rate_inr_pa,1)))</f>
        <v/>
      </c>
      <c r="V99" s="8">
        <f>IF(AND($A99&gt;=customs_fx_first,$A99&lt;=customs_fx_last+customs_fx_notification_validity_days),IF($A99&lt;=INDEX(pdates_customs_usdinr_import,1),INDEX(pvals_customs_usdinr_import,1),INDEX(pvals_customs_usdinr_import,MATCH($A99,pdates_customs_usdinr_import,1))),$F99*(1+customs_fx_markup_frac))</f>
        <v/>
      </c>
      <c r="W99" s="8">
        <f>IF(AND($A99&gt;=customs_fx_first,$A99&lt;=customs_fx_last+customs_fx_notification_validity_days),"CBIC_NOTIFIED","MARKUP_FALLBACK")</f>
        <v/>
      </c>
      <c r="X99" s="8">
        <f>IF($A99&lt;=INDEX(pdates_grade_factor_zorba,1),INDEX(pvals_grade_factor_zorba,1),IF($A99&gt;=INDEX(pdates_grade_factor_zorba,10),INDEX(pvals_grade_factor_zorba,10),INDEX(pvals_grade_factor_zorba,MATCH($A99,pdates_grade_factor_zorba,1))+($A99-INDEX(pdates_grade_factor_zorba,MATCH($A99,pdates_grade_factor_zorba,1)))/(INDEX(pdates_grade_factor_zorba,MATCH($A99,pdates_grade_factor_zorba,1)+1)-INDEX(pdates_grade_factor_zorba,MATCH($A99,pdates_grade_factor_zorba,1)))*(INDEX(pvals_grade_factor_zorba,MATCH($A99,pdates_grade_factor_zorba,1)+1)-INDEX(pvals_grade_factor_zorba,MATCH($A99,pdates_grade_factor_zorba,1)))))</f>
        <v/>
      </c>
      <c r="Y99" s="8">
        <f>IF($A99&lt;=INDEX(pdates_grade_factor_taint_tabor,1),INDEX(pvals_grade_factor_taint_tabor,1),IF($A99&gt;=INDEX(pdates_grade_factor_taint_tabor,10),INDEX(pvals_grade_factor_taint_tabor,10),INDEX(pvals_grade_factor_taint_tabor,MATCH($A99,pdates_grade_factor_taint_tabor,1))+($A99-INDEX(pdates_grade_factor_taint_tabor,MATCH($A99,pdates_grade_factor_taint_tabor,1)))/(INDEX(pdates_grade_factor_taint_tabor,MATCH($A99,pdates_grade_factor_taint_tabor,1)+1)-INDEX(pdates_grade_factor_taint_tabor,MATCH($A99,pdates_grade_factor_taint_tabor,1)))*(INDEX(pvals_grade_factor_taint_tabor,MATCH($A99,pdates_grade_factor_taint_tabor,1)+1)-INDEX(pvals_grade_factor_taint_tabor,MATCH($A99,pdates_grade_factor_taint_tabor,1)))))</f>
        <v/>
      </c>
      <c r="Z99" s="8">
        <f>IF($A99&lt;=INDEX(pdates_grade_factor_tense,1),INDEX(pvals_grade_factor_tense,1),IF($A99&gt;=INDEX(pdates_grade_factor_tense,10),INDEX(pvals_grade_factor_tense,10),INDEX(pvals_grade_factor_tense,MATCH($A99,pdates_grade_factor_tense,1))+($A99-INDEX(pdates_grade_factor_tense,MATCH($A99,pdates_grade_factor_tense,1)))/(INDEX(pdates_grade_factor_tense,MATCH($A99,pdates_grade_factor_tense,1)+1)-INDEX(pdates_grade_factor_tense,MATCH($A99,pdates_grade_factor_tense,1)))*(INDEX(pvals_grade_factor_tense,MATCH($A99,pdates_grade_factor_tense,1)+1)-INDEX(pvals_grade_factor_tense,MATCH($A99,pdates_grade_factor_tense,1)))))</f>
        <v/>
      </c>
      <c r="AA99" s="8">
        <f>IF($A99&lt;=INDEX(pdates_grade_factor_mix_pit,1),INDEX(pvals_grade_factor_mix_pit,1),IF($A99&gt;=INDEX(pdates_grade_factor_mix_pit,10),INDEX(pvals_grade_factor_mix_pit,10),INDEX(pvals_grade_factor_mix_pit,MATCH($A99,pdates_grade_factor_mix_pit,1))+($A99-INDEX(pdates_grade_factor_mix_pit,MATCH($A99,pdates_grade_factor_mix_pit,1)))/(INDEX(pdates_grade_factor_mix_pit,MATCH($A99,pdates_grade_factor_mix_pit,1)+1)-INDEX(pdates_grade_factor_mix_pit,MATCH($A99,pdates_grade_factor_mix_pit,1)))*(INDEX(pvals_grade_factor_mix_pit,MATCH($A99,pdates_grade_factor_mix_pit,1)+1)-INDEX(pvals_grade_factor_mix_pit,MATCH($A99,pdates_grade_factor_mix_pit,1)))))</f>
        <v/>
      </c>
      <c r="AB99" s="16">
        <f>($B99*$F99/kg_per_mt*(1+bcd_primary_al_hs7601*(1+sws_rate_on_bcd))+mcx_domestic_premium_inr_kg)*(1+$I99*MAX(0,$Q99-$A99)/day_count_inr)</f>
        <v/>
      </c>
      <c r="AC99" s="16">
        <f>$M99-$AB99</f>
        <v/>
      </c>
      <c r="AD99" s="7" t="inlineStr">
        <is>
          <t>PROXY_IMPORT_PARITY</t>
        </is>
      </c>
      <c r="AE99" s="7" t="inlineStr">
        <is>
          <t>ECB_CROSS</t>
        </is>
      </c>
      <c r="AF99" s="7" t="inlineStr">
        <is>
          <t>WCI_DERIVED|USEC:SIBLING|JEA:ASSUMPTION</t>
        </is>
      </c>
      <c r="AG99" s="17" t="b">
        <v>0</v>
      </c>
      <c r="AH99" s="17" t="b">
        <v>1</v>
      </c>
    </row>
    <row r="100">
      <c r="A100" s="11" t="n">
        <v>44700</v>
      </c>
      <c r="B100" s="13" t="n">
        <v>2826</v>
      </c>
      <c r="C100" s="13" t="n">
        <v>2840</v>
      </c>
      <c r="D100" s="13" t="n">
        <v>-14</v>
      </c>
      <c r="E100" s="13" t="n">
        <v>511675</v>
      </c>
      <c r="F100" s="13" t="n">
        <v>77.6356</v>
      </c>
      <c r="G100" s="6" t="n">
        <v>77.8777</v>
      </c>
      <c r="H100" s="6" t="n">
        <v>78.3527</v>
      </c>
      <c r="I100" s="14" t="n">
        <v>0.047343</v>
      </c>
      <c r="J100" s="14" t="n">
        <v>0.010455</v>
      </c>
      <c r="K100" s="14" t="n">
        <v>0.044</v>
      </c>
      <c r="L100" s="13" t="n">
        <v>237.4986</v>
      </c>
      <c r="M100" s="13" t="n">
        <v>237.8682</v>
      </c>
      <c r="N100" s="13" t="n">
        <v>238.7924</v>
      </c>
      <c r="O100" s="13" t="n">
        <v>20.29</v>
      </c>
      <c r="P100" s="13" t="n">
        <v>89.95</v>
      </c>
      <c r="Q100" s="12" t="n">
        <v>44712</v>
      </c>
      <c r="R100" s="12" t="n">
        <v>44742</v>
      </c>
      <c r="S100" s="8">
        <f>YEAR($Q100)*100+MONTH($Q100)</f>
        <v/>
      </c>
      <c r="T100" s="8">
        <f>YEAR($R100)*100+MONTH($R100)</f>
        <v/>
      </c>
      <c r="U100" s="15">
        <f>IF($A100&lt;=INDEX(pdates_wc_rate_inr_pa,1),INDEX(pvals_wc_rate_inr_pa,1),INDEX(pvals_wc_rate_inr_pa,MATCH($A100,pdates_wc_rate_inr_pa,1)))</f>
        <v/>
      </c>
      <c r="V100" s="8">
        <f>IF(AND($A100&gt;=customs_fx_first,$A100&lt;=customs_fx_last+customs_fx_notification_validity_days),IF($A100&lt;=INDEX(pdates_customs_usdinr_import,1),INDEX(pvals_customs_usdinr_import,1),INDEX(pvals_customs_usdinr_import,MATCH($A100,pdates_customs_usdinr_import,1))),$F100*(1+customs_fx_markup_frac))</f>
        <v/>
      </c>
      <c r="W100" s="8">
        <f>IF(AND($A100&gt;=customs_fx_first,$A100&lt;=customs_fx_last+customs_fx_notification_validity_days),"CBIC_NOTIFIED","MARKUP_FALLBACK")</f>
        <v/>
      </c>
      <c r="X100" s="8">
        <f>IF($A100&lt;=INDEX(pdates_grade_factor_zorba,1),INDEX(pvals_grade_factor_zorba,1),IF($A100&gt;=INDEX(pdates_grade_factor_zorba,10),INDEX(pvals_grade_factor_zorba,10),INDEX(pvals_grade_factor_zorba,MATCH($A100,pdates_grade_factor_zorba,1))+($A100-INDEX(pdates_grade_factor_zorba,MATCH($A100,pdates_grade_factor_zorba,1)))/(INDEX(pdates_grade_factor_zorba,MATCH($A100,pdates_grade_factor_zorba,1)+1)-INDEX(pdates_grade_factor_zorba,MATCH($A100,pdates_grade_factor_zorba,1)))*(INDEX(pvals_grade_factor_zorba,MATCH($A100,pdates_grade_factor_zorba,1)+1)-INDEX(pvals_grade_factor_zorba,MATCH($A100,pdates_grade_factor_zorba,1)))))</f>
        <v/>
      </c>
      <c r="Y100" s="8">
        <f>IF($A100&lt;=INDEX(pdates_grade_factor_taint_tabor,1),INDEX(pvals_grade_factor_taint_tabor,1),IF($A100&gt;=INDEX(pdates_grade_factor_taint_tabor,10),INDEX(pvals_grade_factor_taint_tabor,10),INDEX(pvals_grade_factor_taint_tabor,MATCH($A100,pdates_grade_factor_taint_tabor,1))+($A100-INDEX(pdates_grade_factor_taint_tabor,MATCH($A100,pdates_grade_factor_taint_tabor,1)))/(INDEX(pdates_grade_factor_taint_tabor,MATCH($A100,pdates_grade_factor_taint_tabor,1)+1)-INDEX(pdates_grade_factor_taint_tabor,MATCH($A100,pdates_grade_factor_taint_tabor,1)))*(INDEX(pvals_grade_factor_taint_tabor,MATCH($A100,pdates_grade_factor_taint_tabor,1)+1)-INDEX(pvals_grade_factor_taint_tabor,MATCH($A100,pdates_grade_factor_taint_tabor,1)))))</f>
        <v/>
      </c>
      <c r="Z100" s="8">
        <f>IF($A100&lt;=INDEX(pdates_grade_factor_tense,1),INDEX(pvals_grade_factor_tense,1),IF($A100&gt;=INDEX(pdates_grade_factor_tense,10),INDEX(pvals_grade_factor_tense,10),INDEX(pvals_grade_factor_tense,MATCH($A100,pdates_grade_factor_tense,1))+($A100-INDEX(pdates_grade_factor_tense,MATCH($A100,pdates_grade_factor_tense,1)))/(INDEX(pdates_grade_factor_tense,MATCH($A100,pdates_grade_factor_tense,1)+1)-INDEX(pdates_grade_factor_tense,MATCH($A100,pdates_grade_factor_tense,1)))*(INDEX(pvals_grade_factor_tense,MATCH($A100,pdates_grade_factor_tense,1)+1)-INDEX(pvals_grade_factor_tense,MATCH($A100,pdates_grade_factor_tense,1)))))</f>
        <v/>
      </c>
      <c r="AA100" s="8">
        <f>IF($A100&lt;=INDEX(pdates_grade_factor_mix_pit,1),INDEX(pvals_grade_factor_mix_pit,1),IF($A100&gt;=INDEX(pdates_grade_factor_mix_pit,10),INDEX(pvals_grade_factor_mix_pit,10),INDEX(pvals_grade_factor_mix_pit,MATCH($A100,pdates_grade_factor_mix_pit,1))+($A100-INDEX(pdates_grade_factor_mix_pit,MATCH($A100,pdates_grade_factor_mix_pit,1)))/(INDEX(pdates_grade_factor_mix_pit,MATCH($A100,pdates_grade_factor_mix_pit,1)+1)-INDEX(pdates_grade_factor_mix_pit,MATCH($A100,pdates_grade_factor_mix_pit,1)))*(INDEX(pvals_grade_factor_mix_pit,MATCH($A100,pdates_grade_factor_mix_pit,1)+1)-INDEX(pvals_grade_factor_mix_pit,MATCH($A100,pdates_grade_factor_mix_pit,1)))))</f>
        <v/>
      </c>
      <c r="AB100" s="16">
        <f>($B100*$F100/kg_per_mt*(1+bcd_primary_al_hs7601*(1+sws_rate_on_bcd))+mcx_domestic_premium_inr_kg)*(1+$I100*MAX(0,$Q100-$A100)/day_count_inr)</f>
        <v/>
      </c>
      <c r="AC100" s="16">
        <f>$M100-$AB100</f>
        <v/>
      </c>
      <c r="AD100" s="7" t="inlineStr">
        <is>
          <t>PROXY_IMPORT_PARITY</t>
        </is>
      </c>
      <c r="AE100" s="7" t="inlineStr">
        <is>
          <t>ECB_CROSS</t>
        </is>
      </c>
      <c r="AF100" s="7" t="inlineStr">
        <is>
          <t>WCI_REPORTED|USEC:SIBLING|JEA:ASSUMPTION</t>
        </is>
      </c>
      <c r="AG100" s="17" t="b">
        <v>0</v>
      </c>
      <c r="AH100" s="17" t="b">
        <v>0</v>
      </c>
    </row>
    <row r="101">
      <c r="A101" s="11" t="n">
        <v>44701</v>
      </c>
      <c r="B101" s="13" t="n">
        <v>2931</v>
      </c>
      <c r="C101" s="13" t="n">
        <v>2935</v>
      </c>
      <c r="D101" s="13" t="n">
        <v>-4</v>
      </c>
      <c r="E101" s="13" t="n">
        <v>504275</v>
      </c>
      <c r="F101" s="13" t="n">
        <v>77.67959999999999</v>
      </c>
      <c r="G101" s="6" t="n">
        <v>77.9238</v>
      </c>
      <c r="H101" s="6" t="n">
        <v>78.40300000000001</v>
      </c>
      <c r="I101" s="14" t="n">
        <v>0.047343</v>
      </c>
      <c r="J101" s="14" t="n">
        <v>0.010159</v>
      </c>
      <c r="K101" s="14" t="n">
        <v>0.044</v>
      </c>
      <c r="L101" s="13" t="n">
        <v>246.4624</v>
      </c>
      <c r="M101" s="13" t="n">
        <v>246.8141</v>
      </c>
      <c r="N101" s="13" t="n">
        <v>247.7731</v>
      </c>
      <c r="O101" s="13" t="n">
        <v>20.29</v>
      </c>
      <c r="P101" s="13" t="n">
        <v>89.95</v>
      </c>
      <c r="Q101" s="12" t="n">
        <v>44712</v>
      </c>
      <c r="R101" s="12" t="n">
        <v>44742</v>
      </c>
      <c r="S101" s="8">
        <f>YEAR($Q101)*100+MONTH($Q101)</f>
        <v/>
      </c>
      <c r="T101" s="8">
        <f>YEAR($R101)*100+MONTH($R101)</f>
        <v/>
      </c>
      <c r="U101" s="15">
        <f>IF($A101&lt;=INDEX(pdates_wc_rate_inr_pa,1),INDEX(pvals_wc_rate_inr_pa,1),INDEX(pvals_wc_rate_inr_pa,MATCH($A101,pdates_wc_rate_inr_pa,1)))</f>
        <v/>
      </c>
      <c r="V101" s="8">
        <f>IF(AND($A101&gt;=customs_fx_first,$A101&lt;=customs_fx_last+customs_fx_notification_validity_days),IF($A101&lt;=INDEX(pdates_customs_usdinr_import,1),INDEX(pvals_customs_usdinr_import,1),INDEX(pvals_customs_usdinr_import,MATCH($A101,pdates_customs_usdinr_import,1))),$F101*(1+customs_fx_markup_frac))</f>
        <v/>
      </c>
      <c r="W101" s="8">
        <f>IF(AND($A101&gt;=customs_fx_first,$A101&lt;=customs_fx_last+customs_fx_notification_validity_days),"CBIC_NOTIFIED","MARKUP_FALLBACK")</f>
        <v/>
      </c>
      <c r="X101" s="8">
        <f>IF($A101&lt;=INDEX(pdates_grade_factor_zorba,1),INDEX(pvals_grade_factor_zorba,1),IF($A101&gt;=INDEX(pdates_grade_factor_zorba,10),INDEX(pvals_grade_factor_zorba,10),INDEX(pvals_grade_factor_zorba,MATCH($A101,pdates_grade_factor_zorba,1))+($A101-INDEX(pdates_grade_factor_zorba,MATCH($A101,pdates_grade_factor_zorba,1)))/(INDEX(pdates_grade_factor_zorba,MATCH($A101,pdates_grade_factor_zorba,1)+1)-INDEX(pdates_grade_factor_zorba,MATCH($A101,pdates_grade_factor_zorba,1)))*(INDEX(pvals_grade_factor_zorba,MATCH($A101,pdates_grade_factor_zorba,1)+1)-INDEX(pvals_grade_factor_zorba,MATCH($A101,pdates_grade_factor_zorba,1)))))</f>
        <v/>
      </c>
      <c r="Y101" s="8">
        <f>IF($A101&lt;=INDEX(pdates_grade_factor_taint_tabor,1),INDEX(pvals_grade_factor_taint_tabor,1),IF($A101&gt;=INDEX(pdates_grade_factor_taint_tabor,10),INDEX(pvals_grade_factor_taint_tabor,10),INDEX(pvals_grade_factor_taint_tabor,MATCH($A101,pdates_grade_factor_taint_tabor,1))+($A101-INDEX(pdates_grade_factor_taint_tabor,MATCH($A101,pdates_grade_factor_taint_tabor,1)))/(INDEX(pdates_grade_factor_taint_tabor,MATCH($A101,pdates_grade_factor_taint_tabor,1)+1)-INDEX(pdates_grade_factor_taint_tabor,MATCH($A101,pdates_grade_factor_taint_tabor,1)))*(INDEX(pvals_grade_factor_taint_tabor,MATCH($A101,pdates_grade_factor_taint_tabor,1)+1)-INDEX(pvals_grade_factor_taint_tabor,MATCH($A101,pdates_grade_factor_taint_tabor,1)))))</f>
        <v/>
      </c>
      <c r="Z101" s="8">
        <f>IF($A101&lt;=INDEX(pdates_grade_factor_tense,1),INDEX(pvals_grade_factor_tense,1),IF($A101&gt;=INDEX(pdates_grade_factor_tense,10),INDEX(pvals_grade_factor_tense,10),INDEX(pvals_grade_factor_tense,MATCH($A101,pdates_grade_factor_tense,1))+($A101-INDEX(pdates_grade_factor_tense,MATCH($A101,pdates_grade_factor_tense,1)))/(INDEX(pdates_grade_factor_tense,MATCH($A101,pdates_grade_factor_tense,1)+1)-INDEX(pdates_grade_factor_tense,MATCH($A101,pdates_grade_factor_tense,1)))*(INDEX(pvals_grade_factor_tense,MATCH($A101,pdates_grade_factor_tense,1)+1)-INDEX(pvals_grade_factor_tense,MATCH($A101,pdates_grade_factor_tense,1)))))</f>
        <v/>
      </c>
      <c r="AA101" s="8">
        <f>IF($A101&lt;=INDEX(pdates_grade_factor_mix_pit,1),INDEX(pvals_grade_factor_mix_pit,1),IF($A101&gt;=INDEX(pdates_grade_factor_mix_pit,10),INDEX(pvals_grade_factor_mix_pit,10),INDEX(pvals_grade_factor_mix_pit,MATCH($A101,pdates_grade_factor_mix_pit,1))+($A101-INDEX(pdates_grade_factor_mix_pit,MATCH($A101,pdates_grade_factor_mix_pit,1)))/(INDEX(pdates_grade_factor_mix_pit,MATCH($A101,pdates_grade_factor_mix_pit,1)+1)-INDEX(pdates_grade_factor_mix_pit,MATCH($A101,pdates_grade_factor_mix_pit,1)))*(INDEX(pvals_grade_factor_mix_pit,MATCH($A101,pdates_grade_factor_mix_pit,1)+1)-INDEX(pvals_grade_factor_mix_pit,MATCH($A101,pdates_grade_factor_mix_pit,1)))))</f>
        <v/>
      </c>
      <c r="AB101" s="16">
        <f>($B101*$F101/kg_per_mt*(1+bcd_primary_al_hs7601*(1+sws_rate_on_bcd))+mcx_domestic_premium_inr_kg)*(1+$I101*MAX(0,$Q101-$A101)/day_count_inr)</f>
        <v/>
      </c>
      <c r="AC101" s="16">
        <f>$M101-$AB101</f>
        <v/>
      </c>
      <c r="AD101" s="7" t="inlineStr">
        <is>
          <t>PROXY_IMPORT_PARITY</t>
        </is>
      </c>
      <c r="AE101" s="7" t="inlineStr">
        <is>
          <t>ECB_CROSS</t>
        </is>
      </c>
      <c r="AF101" s="7" t="inlineStr">
        <is>
          <t>WCI_REPORTED|USEC:SIBLING|JEA:ASSUMPTION</t>
        </is>
      </c>
      <c r="AG101" s="17" t="b">
        <v>0</v>
      </c>
      <c r="AH101" s="17" t="b">
        <v>1</v>
      </c>
    </row>
    <row r="102">
      <c r="A102" s="11" t="n">
        <v>44704</v>
      </c>
      <c r="B102" s="13" t="n">
        <v>2963</v>
      </c>
      <c r="C102" s="13" t="n">
        <v>2975</v>
      </c>
      <c r="D102" s="13" t="n">
        <v>-12</v>
      </c>
      <c r="E102" s="13" t="n">
        <v>497250</v>
      </c>
      <c r="F102" s="13" t="n">
        <v>77.56780000000001</v>
      </c>
      <c r="G102" s="6" t="n">
        <v>77.80759999999999</v>
      </c>
      <c r="H102" s="6" t="n">
        <v>78.2783</v>
      </c>
      <c r="I102" s="14" t="n">
        <v>0.047343</v>
      </c>
      <c r="J102" s="14" t="n">
        <v>0.010751</v>
      </c>
      <c r="K102" s="14" t="n">
        <v>0.044</v>
      </c>
      <c r="L102" s="13" t="n">
        <v>248.7946</v>
      </c>
      <c r="M102" s="13" t="n">
        <v>249.0528</v>
      </c>
      <c r="N102" s="13" t="n">
        <v>250.0209</v>
      </c>
      <c r="O102" s="13" t="n">
        <v>20.29</v>
      </c>
      <c r="P102" s="13" t="n">
        <v>89.95</v>
      </c>
      <c r="Q102" s="12" t="n">
        <v>44712</v>
      </c>
      <c r="R102" s="12" t="n">
        <v>44742</v>
      </c>
      <c r="S102" s="8">
        <f>YEAR($Q102)*100+MONTH($Q102)</f>
        <v/>
      </c>
      <c r="T102" s="8">
        <f>YEAR($R102)*100+MONTH($R102)</f>
        <v/>
      </c>
      <c r="U102" s="15">
        <f>IF($A102&lt;=INDEX(pdates_wc_rate_inr_pa,1),INDEX(pvals_wc_rate_inr_pa,1),INDEX(pvals_wc_rate_inr_pa,MATCH($A102,pdates_wc_rate_inr_pa,1)))</f>
        <v/>
      </c>
      <c r="V102" s="8">
        <f>IF(AND($A102&gt;=customs_fx_first,$A102&lt;=customs_fx_last+customs_fx_notification_validity_days),IF($A102&lt;=INDEX(pdates_customs_usdinr_import,1),INDEX(pvals_customs_usdinr_import,1),INDEX(pvals_customs_usdinr_import,MATCH($A102,pdates_customs_usdinr_import,1))),$F102*(1+customs_fx_markup_frac))</f>
        <v/>
      </c>
      <c r="W102" s="8">
        <f>IF(AND($A102&gt;=customs_fx_first,$A102&lt;=customs_fx_last+customs_fx_notification_validity_days),"CBIC_NOTIFIED","MARKUP_FALLBACK")</f>
        <v/>
      </c>
      <c r="X102" s="8">
        <f>IF($A102&lt;=INDEX(pdates_grade_factor_zorba,1),INDEX(pvals_grade_factor_zorba,1),IF($A102&gt;=INDEX(pdates_grade_factor_zorba,10),INDEX(pvals_grade_factor_zorba,10),INDEX(pvals_grade_factor_zorba,MATCH($A102,pdates_grade_factor_zorba,1))+($A102-INDEX(pdates_grade_factor_zorba,MATCH($A102,pdates_grade_factor_zorba,1)))/(INDEX(pdates_grade_factor_zorba,MATCH($A102,pdates_grade_factor_zorba,1)+1)-INDEX(pdates_grade_factor_zorba,MATCH($A102,pdates_grade_factor_zorba,1)))*(INDEX(pvals_grade_factor_zorba,MATCH($A102,pdates_grade_factor_zorba,1)+1)-INDEX(pvals_grade_factor_zorba,MATCH($A102,pdates_grade_factor_zorba,1)))))</f>
        <v/>
      </c>
      <c r="Y102" s="8">
        <f>IF($A102&lt;=INDEX(pdates_grade_factor_taint_tabor,1),INDEX(pvals_grade_factor_taint_tabor,1),IF($A102&gt;=INDEX(pdates_grade_factor_taint_tabor,10),INDEX(pvals_grade_factor_taint_tabor,10),INDEX(pvals_grade_factor_taint_tabor,MATCH($A102,pdates_grade_factor_taint_tabor,1))+($A102-INDEX(pdates_grade_factor_taint_tabor,MATCH($A102,pdates_grade_factor_taint_tabor,1)))/(INDEX(pdates_grade_factor_taint_tabor,MATCH($A102,pdates_grade_factor_taint_tabor,1)+1)-INDEX(pdates_grade_factor_taint_tabor,MATCH($A102,pdates_grade_factor_taint_tabor,1)))*(INDEX(pvals_grade_factor_taint_tabor,MATCH($A102,pdates_grade_factor_taint_tabor,1)+1)-INDEX(pvals_grade_factor_taint_tabor,MATCH($A102,pdates_grade_factor_taint_tabor,1)))))</f>
        <v/>
      </c>
      <c r="Z102" s="8">
        <f>IF($A102&lt;=INDEX(pdates_grade_factor_tense,1),INDEX(pvals_grade_factor_tense,1),IF($A102&gt;=INDEX(pdates_grade_factor_tense,10),INDEX(pvals_grade_factor_tense,10),INDEX(pvals_grade_factor_tense,MATCH($A102,pdates_grade_factor_tense,1))+($A102-INDEX(pdates_grade_factor_tense,MATCH($A102,pdates_grade_factor_tense,1)))/(INDEX(pdates_grade_factor_tense,MATCH($A102,pdates_grade_factor_tense,1)+1)-INDEX(pdates_grade_factor_tense,MATCH($A102,pdates_grade_factor_tense,1)))*(INDEX(pvals_grade_factor_tense,MATCH($A102,pdates_grade_factor_tense,1)+1)-INDEX(pvals_grade_factor_tense,MATCH($A102,pdates_grade_factor_tense,1)))))</f>
        <v/>
      </c>
      <c r="AA102" s="8">
        <f>IF($A102&lt;=INDEX(pdates_grade_factor_mix_pit,1),INDEX(pvals_grade_factor_mix_pit,1),IF($A102&gt;=INDEX(pdates_grade_factor_mix_pit,10),INDEX(pvals_grade_factor_mix_pit,10),INDEX(pvals_grade_factor_mix_pit,MATCH($A102,pdates_grade_factor_mix_pit,1))+($A102-INDEX(pdates_grade_factor_mix_pit,MATCH($A102,pdates_grade_factor_mix_pit,1)))/(INDEX(pdates_grade_factor_mix_pit,MATCH($A102,pdates_grade_factor_mix_pit,1)+1)-INDEX(pdates_grade_factor_mix_pit,MATCH($A102,pdates_grade_factor_mix_pit,1)))*(INDEX(pvals_grade_factor_mix_pit,MATCH($A102,pdates_grade_factor_mix_pit,1)+1)-INDEX(pvals_grade_factor_mix_pit,MATCH($A102,pdates_grade_factor_mix_pit,1)))))</f>
        <v/>
      </c>
      <c r="AB102" s="16">
        <f>($B102*$F102/kg_per_mt*(1+bcd_primary_al_hs7601*(1+sws_rate_on_bcd))+mcx_domestic_premium_inr_kg)*(1+$I102*MAX(0,$Q102-$A102)/day_count_inr)</f>
        <v/>
      </c>
      <c r="AC102" s="16">
        <f>$M102-$AB102</f>
        <v/>
      </c>
      <c r="AD102" s="7" t="inlineStr">
        <is>
          <t>PROXY_IMPORT_PARITY</t>
        </is>
      </c>
      <c r="AE102" s="7" t="inlineStr">
        <is>
          <t>ECB_CROSS</t>
        </is>
      </c>
      <c r="AF102" s="7" t="inlineStr">
        <is>
          <t>WCI_REPORTED|USEC:SIBLING|JEA:ASSUMPTION</t>
        </is>
      </c>
      <c r="AG102" s="17" t="b">
        <v>0</v>
      </c>
      <c r="AH102" s="17" t="b">
        <v>1</v>
      </c>
    </row>
    <row r="103">
      <c r="A103" s="11" t="n">
        <v>44705</v>
      </c>
      <c r="B103" s="13" t="n">
        <v>2881</v>
      </c>
      <c r="C103" s="13" t="n">
        <v>2908</v>
      </c>
      <c r="D103" s="13" t="n">
        <v>-27</v>
      </c>
      <c r="E103" s="13" t="n">
        <v>487475</v>
      </c>
      <c r="F103" s="13" t="n">
        <v>77.5979</v>
      </c>
      <c r="G103" s="6" t="n">
        <v>77.83920000000001</v>
      </c>
      <c r="H103" s="6" t="n">
        <v>78.31270000000001</v>
      </c>
      <c r="I103" s="14" t="n">
        <v>0.047343</v>
      </c>
      <c r="J103" s="14" t="n">
        <v>0.010553</v>
      </c>
      <c r="K103" s="14" t="n">
        <v>0.044</v>
      </c>
      <c r="L103" s="13" t="n">
        <v>242.0032</v>
      </c>
      <c r="M103" s="13" t="n">
        <v>242.2229</v>
      </c>
      <c r="N103" s="13" t="n">
        <v>243.1646</v>
      </c>
      <c r="O103" s="13" t="n">
        <v>20.29</v>
      </c>
      <c r="P103" s="13" t="n">
        <v>89.95</v>
      </c>
      <c r="Q103" s="12" t="n">
        <v>44712</v>
      </c>
      <c r="R103" s="12" t="n">
        <v>44742</v>
      </c>
      <c r="S103" s="8">
        <f>YEAR($Q103)*100+MONTH($Q103)</f>
        <v/>
      </c>
      <c r="T103" s="8">
        <f>YEAR($R103)*100+MONTH($R103)</f>
        <v/>
      </c>
      <c r="U103" s="15">
        <f>IF($A103&lt;=INDEX(pdates_wc_rate_inr_pa,1),INDEX(pvals_wc_rate_inr_pa,1),INDEX(pvals_wc_rate_inr_pa,MATCH($A103,pdates_wc_rate_inr_pa,1)))</f>
        <v/>
      </c>
      <c r="V103" s="8">
        <f>IF(AND($A103&gt;=customs_fx_first,$A103&lt;=customs_fx_last+customs_fx_notification_validity_days),IF($A103&lt;=INDEX(pdates_customs_usdinr_import,1),INDEX(pvals_customs_usdinr_import,1),INDEX(pvals_customs_usdinr_import,MATCH($A103,pdates_customs_usdinr_import,1))),$F103*(1+customs_fx_markup_frac))</f>
        <v/>
      </c>
      <c r="W103" s="8">
        <f>IF(AND($A103&gt;=customs_fx_first,$A103&lt;=customs_fx_last+customs_fx_notification_validity_days),"CBIC_NOTIFIED","MARKUP_FALLBACK")</f>
        <v/>
      </c>
      <c r="X103" s="8">
        <f>IF($A103&lt;=INDEX(pdates_grade_factor_zorba,1),INDEX(pvals_grade_factor_zorba,1),IF($A103&gt;=INDEX(pdates_grade_factor_zorba,10),INDEX(pvals_grade_factor_zorba,10),INDEX(pvals_grade_factor_zorba,MATCH($A103,pdates_grade_factor_zorba,1))+($A103-INDEX(pdates_grade_factor_zorba,MATCH($A103,pdates_grade_factor_zorba,1)))/(INDEX(pdates_grade_factor_zorba,MATCH($A103,pdates_grade_factor_zorba,1)+1)-INDEX(pdates_grade_factor_zorba,MATCH($A103,pdates_grade_factor_zorba,1)))*(INDEX(pvals_grade_factor_zorba,MATCH($A103,pdates_grade_factor_zorba,1)+1)-INDEX(pvals_grade_factor_zorba,MATCH($A103,pdates_grade_factor_zorba,1)))))</f>
        <v/>
      </c>
      <c r="Y103" s="8">
        <f>IF($A103&lt;=INDEX(pdates_grade_factor_taint_tabor,1),INDEX(pvals_grade_factor_taint_tabor,1),IF($A103&gt;=INDEX(pdates_grade_factor_taint_tabor,10),INDEX(pvals_grade_factor_taint_tabor,10),INDEX(pvals_grade_factor_taint_tabor,MATCH($A103,pdates_grade_factor_taint_tabor,1))+($A103-INDEX(pdates_grade_factor_taint_tabor,MATCH($A103,pdates_grade_factor_taint_tabor,1)))/(INDEX(pdates_grade_factor_taint_tabor,MATCH($A103,pdates_grade_factor_taint_tabor,1)+1)-INDEX(pdates_grade_factor_taint_tabor,MATCH($A103,pdates_grade_factor_taint_tabor,1)))*(INDEX(pvals_grade_factor_taint_tabor,MATCH($A103,pdates_grade_factor_taint_tabor,1)+1)-INDEX(pvals_grade_factor_taint_tabor,MATCH($A103,pdates_grade_factor_taint_tabor,1)))))</f>
        <v/>
      </c>
      <c r="Z103" s="8">
        <f>IF($A103&lt;=INDEX(pdates_grade_factor_tense,1),INDEX(pvals_grade_factor_tense,1),IF($A103&gt;=INDEX(pdates_grade_factor_tense,10),INDEX(pvals_grade_factor_tense,10),INDEX(pvals_grade_factor_tense,MATCH($A103,pdates_grade_factor_tense,1))+($A103-INDEX(pdates_grade_factor_tense,MATCH($A103,pdates_grade_factor_tense,1)))/(INDEX(pdates_grade_factor_tense,MATCH($A103,pdates_grade_factor_tense,1)+1)-INDEX(pdates_grade_factor_tense,MATCH($A103,pdates_grade_factor_tense,1)))*(INDEX(pvals_grade_factor_tense,MATCH($A103,pdates_grade_factor_tense,1)+1)-INDEX(pvals_grade_factor_tense,MATCH($A103,pdates_grade_factor_tense,1)))))</f>
        <v/>
      </c>
      <c r="AA103" s="8">
        <f>IF($A103&lt;=INDEX(pdates_grade_factor_mix_pit,1),INDEX(pvals_grade_factor_mix_pit,1),IF($A103&gt;=INDEX(pdates_grade_factor_mix_pit,10),INDEX(pvals_grade_factor_mix_pit,10),INDEX(pvals_grade_factor_mix_pit,MATCH($A103,pdates_grade_factor_mix_pit,1))+($A103-INDEX(pdates_grade_factor_mix_pit,MATCH($A103,pdates_grade_factor_mix_pit,1)))/(INDEX(pdates_grade_factor_mix_pit,MATCH($A103,pdates_grade_factor_mix_pit,1)+1)-INDEX(pdates_grade_factor_mix_pit,MATCH($A103,pdates_grade_factor_mix_pit,1)))*(INDEX(pvals_grade_factor_mix_pit,MATCH($A103,pdates_grade_factor_mix_pit,1)+1)-INDEX(pvals_grade_factor_mix_pit,MATCH($A103,pdates_grade_factor_mix_pit,1)))))</f>
        <v/>
      </c>
      <c r="AB103" s="16">
        <f>($B103*$F103/kg_per_mt*(1+bcd_primary_al_hs7601*(1+sws_rate_on_bcd))+mcx_domestic_premium_inr_kg)*(1+$I103*MAX(0,$Q103-$A103)/day_count_inr)</f>
        <v/>
      </c>
      <c r="AC103" s="16">
        <f>$M103-$AB103</f>
        <v/>
      </c>
      <c r="AD103" s="7" t="inlineStr">
        <is>
          <t>PROXY_IMPORT_PARITY</t>
        </is>
      </c>
      <c r="AE103" s="7" t="inlineStr">
        <is>
          <t>ECB_CROSS</t>
        </is>
      </c>
      <c r="AF103" s="7" t="inlineStr">
        <is>
          <t>WCI_REPORTED|USEC:SIBLING|JEA:ASSUMPTION</t>
        </is>
      </c>
      <c r="AG103" s="17" t="b">
        <v>0</v>
      </c>
      <c r="AH103" s="17" t="b">
        <v>1</v>
      </c>
    </row>
    <row r="104">
      <c r="A104" s="11" t="n">
        <v>44706</v>
      </c>
      <c r="B104" s="13" t="n">
        <v>2829.5</v>
      </c>
      <c r="C104" s="13" t="n">
        <v>2858</v>
      </c>
      <c r="D104" s="13" t="n">
        <v>-28.5</v>
      </c>
      <c r="E104" s="13" t="n">
        <v>481650</v>
      </c>
      <c r="F104" s="13" t="n">
        <v>77.5775</v>
      </c>
      <c r="G104" s="6" t="n">
        <v>77.81870000000001</v>
      </c>
      <c r="H104" s="6" t="n">
        <v>78.2921</v>
      </c>
      <c r="I104" s="14" t="n">
        <v>0.047343</v>
      </c>
      <c r="J104" s="14" t="n">
        <v>0.010553</v>
      </c>
      <c r="K104" s="14" t="n">
        <v>0.044</v>
      </c>
      <c r="L104" s="13" t="n">
        <v>237.6147</v>
      </c>
      <c r="M104" s="13" t="n">
        <v>237.7997</v>
      </c>
      <c r="N104" s="13" t="n">
        <v>238.7243</v>
      </c>
      <c r="O104" s="13" t="n">
        <v>20.29</v>
      </c>
      <c r="P104" s="13" t="n">
        <v>89.95</v>
      </c>
      <c r="Q104" s="12" t="n">
        <v>44712</v>
      </c>
      <c r="R104" s="12" t="n">
        <v>44742</v>
      </c>
      <c r="S104" s="8">
        <f>YEAR($Q104)*100+MONTH($Q104)</f>
        <v/>
      </c>
      <c r="T104" s="8">
        <f>YEAR($R104)*100+MONTH($R104)</f>
        <v/>
      </c>
      <c r="U104" s="15">
        <f>IF($A104&lt;=INDEX(pdates_wc_rate_inr_pa,1),INDEX(pvals_wc_rate_inr_pa,1),INDEX(pvals_wc_rate_inr_pa,MATCH($A104,pdates_wc_rate_inr_pa,1)))</f>
        <v/>
      </c>
      <c r="V104" s="8">
        <f>IF(AND($A104&gt;=customs_fx_first,$A104&lt;=customs_fx_last+customs_fx_notification_validity_days),IF($A104&lt;=INDEX(pdates_customs_usdinr_import,1),INDEX(pvals_customs_usdinr_import,1),INDEX(pvals_customs_usdinr_import,MATCH($A104,pdates_customs_usdinr_import,1))),$F104*(1+customs_fx_markup_frac))</f>
        <v/>
      </c>
      <c r="W104" s="8">
        <f>IF(AND($A104&gt;=customs_fx_first,$A104&lt;=customs_fx_last+customs_fx_notification_validity_days),"CBIC_NOTIFIED","MARKUP_FALLBACK")</f>
        <v/>
      </c>
      <c r="X104" s="8">
        <f>IF($A104&lt;=INDEX(pdates_grade_factor_zorba,1),INDEX(pvals_grade_factor_zorba,1),IF($A104&gt;=INDEX(pdates_grade_factor_zorba,10),INDEX(pvals_grade_factor_zorba,10),INDEX(pvals_grade_factor_zorba,MATCH($A104,pdates_grade_factor_zorba,1))+($A104-INDEX(pdates_grade_factor_zorba,MATCH($A104,pdates_grade_factor_zorba,1)))/(INDEX(pdates_grade_factor_zorba,MATCH($A104,pdates_grade_factor_zorba,1)+1)-INDEX(pdates_grade_factor_zorba,MATCH($A104,pdates_grade_factor_zorba,1)))*(INDEX(pvals_grade_factor_zorba,MATCH($A104,pdates_grade_factor_zorba,1)+1)-INDEX(pvals_grade_factor_zorba,MATCH($A104,pdates_grade_factor_zorba,1)))))</f>
        <v/>
      </c>
      <c r="Y104" s="8">
        <f>IF($A104&lt;=INDEX(pdates_grade_factor_taint_tabor,1),INDEX(pvals_grade_factor_taint_tabor,1),IF($A104&gt;=INDEX(pdates_grade_factor_taint_tabor,10),INDEX(pvals_grade_factor_taint_tabor,10),INDEX(pvals_grade_factor_taint_tabor,MATCH($A104,pdates_grade_factor_taint_tabor,1))+($A104-INDEX(pdates_grade_factor_taint_tabor,MATCH($A104,pdates_grade_factor_taint_tabor,1)))/(INDEX(pdates_grade_factor_taint_tabor,MATCH($A104,pdates_grade_factor_taint_tabor,1)+1)-INDEX(pdates_grade_factor_taint_tabor,MATCH($A104,pdates_grade_factor_taint_tabor,1)))*(INDEX(pvals_grade_factor_taint_tabor,MATCH($A104,pdates_grade_factor_taint_tabor,1)+1)-INDEX(pvals_grade_factor_taint_tabor,MATCH($A104,pdates_grade_factor_taint_tabor,1)))))</f>
        <v/>
      </c>
      <c r="Z104" s="8">
        <f>IF($A104&lt;=INDEX(pdates_grade_factor_tense,1),INDEX(pvals_grade_factor_tense,1),IF($A104&gt;=INDEX(pdates_grade_factor_tense,10),INDEX(pvals_grade_factor_tense,10),INDEX(pvals_grade_factor_tense,MATCH($A104,pdates_grade_factor_tense,1))+($A104-INDEX(pdates_grade_factor_tense,MATCH($A104,pdates_grade_factor_tense,1)))/(INDEX(pdates_grade_factor_tense,MATCH($A104,pdates_grade_factor_tense,1)+1)-INDEX(pdates_grade_factor_tense,MATCH($A104,pdates_grade_factor_tense,1)))*(INDEX(pvals_grade_factor_tense,MATCH($A104,pdates_grade_factor_tense,1)+1)-INDEX(pvals_grade_factor_tense,MATCH($A104,pdates_grade_factor_tense,1)))))</f>
        <v/>
      </c>
      <c r="AA104" s="8">
        <f>IF($A104&lt;=INDEX(pdates_grade_factor_mix_pit,1),INDEX(pvals_grade_factor_mix_pit,1),IF($A104&gt;=INDEX(pdates_grade_factor_mix_pit,10),INDEX(pvals_grade_factor_mix_pit,10),INDEX(pvals_grade_factor_mix_pit,MATCH($A104,pdates_grade_factor_mix_pit,1))+($A104-INDEX(pdates_grade_factor_mix_pit,MATCH($A104,pdates_grade_factor_mix_pit,1)))/(INDEX(pdates_grade_factor_mix_pit,MATCH($A104,pdates_grade_factor_mix_pit,1)+1)-INDEX(pdates_grade_factor_mix_pit,MATCH($A104,pdates_grade_factor_mix_pit,1)))*(INDEX(pvals_grade_factor_mix_pit,MATCH($A104,pdates_grade_factor_mix_pit,1)+1)-INDEX(pvals_grade_factor_mix_pit,MATCH($A104,pdates_grade_factor_mix_pit,1)))))</f>
        <v/>
      </c>
      <c r="AB104" s="16">
        <f>($B104*$F104/kg_per_mt*(1+bcd_primary_al_hs7601*(1+sws_rate_on_bcd))+mcx_domestic_premium_inr_kg)*(1+$I104*MAX(0,$Q104-$A104)/day_count_inr)</f>
        <v/>
      </c>
      <c r="AC104" s="16">
        <f>$M104-$AB104</f>
        <v/>
      </c>
      <c r="AD104" s="7" t="inlineStr">
        <is>
          <t>PROXY_IMPORT_PARITY</t>
        </is>
      </c>
      <c r="AE104" s="7" t="inlineStr">
        <is>
          <t>ECB_CROSS</t>
        </is>
      </c>
      <c r="AF104" s="7" t="inlineStr">
        <is>
          <t>WCI_REPORTED|USEC:SIBLING|JEA:ASSUMPTION</t>
        </is>
      </c>
      <c r="AG104" s="17" t="b">
        <v>0</v>
      </c>
      <c r="AH104" s="17" t="b">
        <v>1</v>
      </c>
    </row>
    <row r="105">
      <c r="A105" s="11" t="n">
        <v>44707</v>
      </c>
      <c r="B105" s="13" t="n">
        <v>2825.5</v>
      </c>
      <c r="C105" s="13" t="n">
        <v>2857</v>
      </c>
      <c r="D105" s="13" t="n">
        <v>-31.5</v>
      </c>
      <c r="E105" s="13" t="n">
        <v>475650</v>
      </c>
      <c r="F105" s="13" t="n">
        <v>77.5979</v>
      </c>
      <c r="G105" s="6" t="n">
        <v>77.8385</v>
      </c>
      <c r="H105" s="6" t="n">
        <v>78.3107</v>
      </c>
      <c r="I105" s="14" t="n">
        <v>0.047343</v>
      </c>
      <c r="J105" s="14" t="n">
        <v>0.010652</v>
      </c>
      <c r="K105" s="14" t="n">
        <v>0.044</v>
      </c>
      <c r="L105" s="13" t="n">
        <v>237.3412</v>
      </c>
      <c r="M105" s="13" t="n">
        <v>237.4952</v>
      </c>
      <c r="N105" s="13" t="n">
        <v>238.4187</v>
      </c>
      <c r="O105" s="13" t="n">
        <v>20.06</v>
      </c>
      <c r="P105" s="13" t="n">
        <v>88.94</v>
      </c>
      <c r="Q105" s="12" t="n">
        <v>44712</v>
      </c>
      <c r="R105" s="12" t="n">
        <v>44742</v>
      </c>
      <c r="S105" s="8">
        <f>YEAR($Q105)*100+MONTH($Q105)</f>
        <v/>
      </c>
      <c r="T105" s="8">
        <f>YEAR($R105)*100+MONTH($R105)</f>
        <v/>
      </c>
      <c r="U105" s="15">
        <f>IF($A105&lt;=INDEX(pdates_wc_rate_inr_pa,1),INDEX(pvals_wc_rate_inr_pa,1),INDEX(pvals_wc_rate_inr_pa,MATCH($A105,pdates_wc_rate_inr_pa,1)))</f>
        <v/>
      </c>
      <c r="V105" s="8">
        <f>IF(AND($A105&gt;=customs_fx_first,$A105&lt;=customs_fx_last+customs_fx_notification_validity_days),IF($A105&lt;=INDEX(pdates_customs_usdinr_import,1),INDEX(pvals_customs_usdinr_import,1),INDEX(pvals_customs_usdinr_import,MATCH($A105,pdates_customs_usdinr_import,1))),$F105*(1+customs_fx_markup_frac))</f>
        <v/>
      </c>
      <c r="W105" s="8">
        <f>IF(AND($A105&gt;=customs_fx_first,$A105&lt;=customs_fx_last+customs_fx_notification_validity_days),"CBIC_NOTIFIED","MARKUP_FALLBACK")</f>
        <v/>
      </c>
      <c r="X105" s="8">
        <f>IF($A105&lt;=INDEX(pdates_grade_factor_zorba,1),INDEX(pvals_grade_factor_zorba,1),IF($A105&gt;=INDEX(pdates_grade_factor_zorba,10),INDEX(pvals_grade_factor_zorba,10),INDEX(pvals_grade_factor_zorba,MATCH($A105,pdates_grade_factor_zorba,1))+($A105-INDEX(pdates_grade_factor_zorba,MATCH($A105,pdates_grade_factor_zorba,1)))/(INDEX(pdates_grade_factor_zorba,MATCH($A105,pdates_grade_factor_zorba,1)+1)-INDEX(pdates_grade_factor_zorba,MATCH($A105,pdates_grade_factor_zorba,1)))*(INDEX(pvals_grade_factor_zorba,MATCH($A105,pdates_grade_factor_zorba,1)+1)-INDEX(pvals_grade_factor_zorba,MATCH($A105,pdates_grade_factor_zorba,1)))))</f>
        <v/>
      </c>
      <c r="Y105" s="8">
        <f>IF($A105&lt;=INDEX(pdates_grade_factor_taint_tabor,1),INDEX(pvals_grade_factor_taint_tabor,1),IF($A105&gt;=INDEX(pdates_grade_factor_taint_tabor,10),INDEX(pvals_grade_factor_taint_tabor,10),INDEX(pvals_grade_factor_taint_tabor,MATCH($A105,pdates_grade_factor_taint_tabor,1))+($A105-INDEX(pdates_grade_factor_taint_tabor,MATCH($A105,pdates_grade_factor_taint_tabor,1)))/(INDEX(pdates_grade_factor_taint_tabor,MATCH($A105,pdates_grade_factor_taint_tabor,1)+1)-INDEX(pdates_grade_factor_taint_tabor,MATCH($A105,pdates_grade_factor_taint_tabor,1)))*(INDEX(pvals_grade_factor_taint_tabor,MATCH($A105,pdates_grade_factor_taint_tabor,1)+1)-INDEX(pvals_grade_factor_taint_tabor,MATCH($A105,pdates_grade_factor_taint_tabor,1)))))</f>
        <v/>
      </c>
      <c r="Z105" s="8">
        <f>IF($A105&lt;=INDEX(pdates_grade_factor_tense,1),INDEX(pvals_grade_factor_tense,1),IF($A105&gt;=INDEX(pdates_grade_factor_tense,10),INDEX(pvals_grade_factor_tense,10),INDEX(pvals_grade_factor_tense,MATCH($A105,pdates_grade_factor_tense,1))+($A105-INDEX(pdates_grade_factor_tense,MATCH($A105,pdates_grade_factor_tense,1)))/(INDEX(pdates_grade_factor_tense,MATCH($A105,pdates_grade_factor_tense,1)+1)-INDEX(pdates_grade_factor_tense,MATCH($A105,pdates_grade_factor_tense,1)))*(INDEX(pvals_grade_factor_tense,MATCH($A105,pdates_grade_factor_tense,1)+1)-INDEX(pvals_grade_factor_tense,MATCH($A105,pdates_grade_factor_tense,1)))))</f>
        <v/>
      </c>
      <c r="AA105" s="8">
        <f>IF($A105&lt;=INDEX(pdates_grade_factor_mix_pit,1),INDEX(pvals_grade_factor_mix_pit,1),IF($A105&gt;=INDEX(pdates_grade_factor_mix_pit,10),INDEX(pvals_grade_factor_mix_pit,10),INDEX(pvals_grade_factor_mix_pit,MATCH($A105,pdates_grade_factor_mix_pit,1))+($A105-INDEX(pdates_grade_factor_mix_pit,MATCH($A105,pdates_grade_factor_mix_pit,1)))/(INDEX(pdates_grade_factor_mix_pit,MATCH($A105,pdates_grade_factor_mix_pit,1)+1)-INDEX(pdates_grade_factor_mix_pit,MATCH($A105,pdates_grade_factor_mix_pit,1)))*(INDEX(pvals_grade_factor_mix_pit,MATCH($A105,pdates_grade_factor_mix_pit,1)+1)-INDEX(pvals_grade_factor_mix_pit,MATCH($A105,pdates_grade_factor_mix_pit,1)))))</f>
        <v/>
      </c>
      <c r="AB105" s="16">
        <f>($B105*$F105/kg_per_mt*(1+bcd_primary_al_hs7601*(1+sws_rate_on_bcd))+mcx_domestic_premium_inr_kg)*(1+$I105*MAX(0,$Q105-$A105)/day_count_inr)</f>
        <v/>
      </c>
      <c r="AC105" s="16">
        <f>$M105-$AB105</f>
        <v/>
      </c>
      <c r="AD105" s="7" t="inlineStr">
        <is>
          <t>PROXY_IMPORT_PARITY</t>
        </is>
      </c>
      <c r="AE105" s="7" t="inlineStr">
        <is>
          <t>ECB_CROSS</t>
        </is>
      </c>
      <c r="AF105" s="7" t="inlineStr">
        <is>
          <t>WCI_REPORTED|USEC:SIBLING|JEA:ASSUMPTION</t>
        </is>
      </c>
      <c r="AG105" s="17" t="b">
        <v>0</v>
      </c>
      <c r="AH105" s="17" t="b">
        <v>0</v>
      </c>
    </row>
    <row r="106">
      <c r="A106" s="11" t="n">
        <v>44708</v>
      </c>
      <c r="B106" s="13" t="n">
        <v>2823</v>
      </c>
      <c r="C106" s="13" t="n">
        <v>2847</v>
      </c>
      <c r="D106" s="13" t="n">
        <v>-24</v>
      </c>
      <c r="E106" s="13" t="n">
        <v>471075</v>
      </c>
      <c r="F106" s="13" t="n">
        <v>77.5895</v>
      </c>
      <c r="G106" s="6" t="n">
        <v>77.8301</v>
      </c>
      <c r="H106" s="6" t="n">
        <v>78.3023</v>
      </c>
      <c r="I106" s="14" t="n">
        <v>0.047343</v>
      </c>
      <c r="J106" s="14" t="n">
        <v>0.010652</v>
      </c>
      <c r="K106" s="14" t="n">
        <v>0.044</v>
      </c>
      <c r="L106" s="13" t="n">
        <v>237.1056</v>
      </c>
      <c r="M106" s="13" t="n">
        <v>237.2286</v>
      </c>
      <c r="N106" s="13" t="n">
        <v>238.1512</v>
      </c>
      <c r="O106" s="13" t="n">
        <v>20.06</v>
      </c>
      <c r="P106" s="13" t="n">
        <v>88.94</v>
      </c>
      <c r="Q106" s="12" t="n">
        <v>44712</v>
      </c>
      <c r="R106" s="12" t="n">
        <v>44742</v>
      </c>
      <c r="S106" s="8">
        <f>YEAR($Q106)*100+MONTH($Q106)</f>
        <v/>
      </c>
      <c r="T106" s="8">
        <f>YEAR($R106)*100+MONTH($R106)</f>
        <v/>
      </c>
      <c r="U106" s="15">
        <f>IF($A106&lt;=INDEX(pdates_wc_rate_inr_pa,1),INDEX(pvals_wc_rate_inr_pa,1),INDEX(pvals_wc_rate_inr_pa,MATCH($A106,pdates_wc_rate_inr_pa,1)))</f>
        <v/>
      </c>
      <c r="V106" s="8">
        <f>IF(AND($A106&gt;=customs_fx_first,$A106&lt;=customs_fx_last+customs_fx_notification_validity_days),IF($A106&lt;=INDEX(pdates_customs_usdinr_import,1),INDEX(pvals_customs_usdinr_import,1),INDEX(pvals_customs_usdinr_import,MATCH($A106,pdates_customs_usdinr_import,1))),$F106*(1+customs_fx_markup_frac))</f>
        <v/>
      </c>
      <c r="W106" s="8">
        <f>IF(AND($A106&gt;=customs_fx_first,$A106&lt;=customs_fx_last+customs_fx_notification_validity_days),"CBIC_NOTIFIED","MARKUP_FALLBACK")</f>
        <v/>
      </c>
      <c r="X106" s="8">
        <f>IF($A106&lt;=INDEX(pdates_grade_factor_zorba,1),INDEX(pvals_grade_factor_zorba,1),IF($A106&gt;=INDEX(pdates_grade_factor_zorba,10),INDEX(pvals_grade_factor_zorba,10),INDEX(pvals_grade_factor_zorba,MATCH($A106,pdates_grade_factor_zorba,1))+($A106-INDEX(pdates_grade_factor_zorba,MATCH($A106,pdates_grade_factor_zorba,1)))/(INDEX(pdates_grade_factor_zorba,MATCH($A106,pdates_grade_factor_zorba,1)+1)-INDEX(pdates_grade_factor_zorba,MATCH($A106,pdates_grade_factor_zorba,1)))*(INDEX(pvals_grade_factor_zorba,MATCH($A106,pdates_grade_factor_zorba,1)+1)-INDEX(pvals_grade_factor_zorba,MATCH($A106,pdates_grade_factor_zorba,1)))))</f>
        <v/>
      </c>
      <c r="Y106" s="8">
        <f>IF($A106&lt;=INDEX(pdates_grade_factor_taint_tabor,1),INDEX(pvals_grade_factor_taint_tabor,1),IF($A106&gt;=INDEX(pdates_grade_factor_taint_tabor,10),INDEX(pvals_grade_factor_taint_tabor,10),INDEX(pvals_grade_factor_taint_tabor,MATCH($A106,pdates_grade_factor_taint_tabor,1))+($A106-INDEX(pdates_grade_factor_taint_tabor,MATCH($A106,pdates_grade_factor_taint_tabor,1)))/(INDEX(pdates_grade_factor_taint_tabor,MATCH($A106,pdates_grade_factor_taint_tabor,1)+1)-INDEX(pdates_grade_factor_taint_tabor,MATCH($A106,pdates_grade_factor_taint_tabor,1)))*(INDEX(pvals_grade_factor_taint_tabor,MATCH($A106,pdates_grade_factor_taint_tabor,1)+1)-INDEX(pvals_grade_factor_taint_tabor,MATCH($A106,pdates_grade_factor_taint_tabor,1)))))</f>
        <v/>
      </c>
      <c r="Z106" s="8">
        <f>IF($A106&lt;=INDEX(pdates_grade_factor_tense,1),INDEX(pvals_grade_factor_tense,1),IF($A106&gt;=INDEX(pdates_grade_factor_tense,10),INDEX(pvals_grade_factor_tense,10),INDEX(pvals_grade_factor_tense,MATCH($A106,pdates_grade_factor_tense,1))+($A106-INDEX(pdates_grade_factor_tense,MATCH($A106,pdates_grade_factor_tense,1)))/(INDEX(pdates_grade_factor_tense,MATCH($A106,pdates_grade_factor_tense,1)+1)-INDEX(pdates_grade_factor_tense,MATCH($A106,pdates_grade_factor_tense,1)))*(INDEX(pvals_grade_factor_tense,MATCH($A106,pdates_grade_factor_tense,1)+1)-INDEX(pvals_grade_factor_tense,MATCH($A106,pdates_grade_factor_tense,1)))))</f>
        <v/>
      </c>
      <c r="AA106" s="8">
        <f>IF($A106&lt;=INDEX(pdates_grade_factor_mix_pit,1),INDEX(pvals_grade_factor_mix_pit,1),IF($A106&gt;=INDEX(pdates_grade_factor_mix_pit,10),INDEX(pvals_grade_factor_mix_pit,10),INDEX(pvals_grade_factor_mix_pit,MATCH($A106,pdates_grade_factor_mix_pit,1))+($A106-INDEX(pdates_grade_factor_mix_pit,MATCH($A106,pdates_grade_factor_mix_pit,1)))/(INDEX(pdates_grade_factor_mix_pit,MATCH($A106,pdates_grade_factor_mix_pit,1)+1)-INDEX(pdates_grade_factor_mix_pit,MATCH($A106,pdates_grade_factor_mix_pit,1)))*(INDEX(pvals_grade_factor_mix_pit,MATCH($A106,pdates_grade_factor_mix_pit,1)+1)-INDEX(pvals_grade_factor_mix_pit,MATCH($A106,pdates_grade_factor_mix_pit,1)))))</f>
        <v/>
      </c>
      <c r="AB106" s="16">
        <f>($B106*$F106/kg_per_mt*(1+bcd_primary_al_hs7601*(1+sws_rate_on_bcd))+mcx_domestic_premium_inr_kg)*(1+$I106*MAX(0,$Q106-$A106)/day_count_inr)</f>
        <v/>
      </c>
      <c r="AC106" s="16">
        <f>$M106-$AB106</f>
        <v/>
      </c>
      <c r="AD106" s="7" t="inlineStr">
        <is>
          <t>PROXY_IMPORT_PARITY</t>
        </is>
      </c>
      <c r="AE106" s="7" t="inlineStr">
        <is>
          <t>ECB_CROSS</t>
        </is>
      </c>
      <c r="AF106" s="7" t="inlineStr">
        <is>
          <t>WCI_REPORTED|USEC:SIBLING|JEA:ASSUMPTION</t>
        </is>
      </c>
      <c r="AG106" s="17" t="b">
        <v>0</v>
      </c>
      <c r="AH106" s="17" t="b">
        <v>1</v>
      </c>
    </row>
    <row r="107">
      <c r="A107" s="11" t="n">
        <v>44711</v>
      </c>
      <c r="B107" s="13" t="n">
        <v>2863</v>
      </c>
      <c r="C107" s="13" t="n">
        <v>2891</v>
      </c>
      <c r="D107" s="13" t="n">
        <v>-28</v>
      </c>
      <c r="E107" s="13" t="n">
        <v>465700</v>
      </c>
      <c r="F107" s="13" t="n">
        <v>77.5502</v>
      </c>
      <c r="G107" s="6" t="n">
        <v>77.7906</v>
      </c>
      <c r="H107" s="6" t="n">
        <v>78.2625</v>
      </c>
      <c r="I107" s="14" t="n">
        <v>0.047343</v>
      </c>
      <c r="J107" s="14" t="n">
        <v>0.010652</v>
      </c>
      <c r="K107" s="14" t="n">
        <v>0.044</v>
      </c>
      <c r="L107" s="13" t="n">
        <v>240.3434</v>
      </c>
      <c r="M107" s="13" t="n">
        <v>240.3746</v>
      </c>
      <c r="N107" s="13" t="n">
        <v>241.3098</v>
      </c>
      <c r="O107" s="13" t="n">
        <v>20.06</v>
      </c>
      <c r="P107" s="13" t="n">
        <v>88.94</v>
      </c>
      <c r="Q107" s="12" t="n">
        <v>44712</v>
      </c>
      <c r="R107" s="12" t="n">
        <v>44742</v>
      </c>
      <c r="S107" s="8">
        <f>YEAR($Q107)*100+MONTH($Q107)</f>
        <v/>
      </c>
      <c r="T107" s="8">
        <f>YEAR($R107)*100+MONTH($R107)</f>
        <v/>
      </c>
      <c r="U107" s="15">
        <f>IF($A107&lt;=INDEX(pdates_wc_rate_inr_pa,1),INDEX(pvals_wc_rate_inr_pa,1),INDEX(pvals_wc_rate_inr_pa,MATCH($A107,pdates_wc_rate_inr_pa,1)))</f>
        <v/>
      </c>
      <c r="V107" s="8">
        <f>IF(AND($A107&gt;=customs_fx_first,$A107&lt;=customs_fx_last+customs_fx_notification_validity_days),IF($A107&lt;=INDEX(pdates_customs_usdinr_import,1),INDEX(pvals_customs_usdinr_import,1),INDEX(pvals_customs_usdinr_import,MATCH($A107,pdates_customs_usdinr_import,1))),$F107*(1+customs_fx_markup_frac))</f>
        <v/>
      </c>
      <c r="W107" s="8">
        <f>IF(AND($A107&gt;=customs_fx_first,$A107&lt;=customs_fx_last+customs_fx_notification_validity_days),"CBIC_NOTIFIED","MARKUP_FALLBACK")</f>
        <v/>
      </c>
      <c r="X107" s="8">
        <f>IF($A107&lt;=INDEX(pdates_grade_factor_zorba,1),INDEX(pvals_grade_factor_zorba,1),IF($A107&gt;=INDEX(pdates_grade_factor_zorba,10),INDEX(pvals_grade_factor_zorba,10),INDEX(pvals_grade_factor_zorba,MATCH($A107,pdates_grade_factor_zorba,1))+($A107-INDEX(pdates_grade_factor_zorba,MATCH($A107,pdates_grade_factor_zorba,1)))/(INDEX(pdates_grade_factor_zorba,MATCH($A107,pdates_grade_factor_zorba,1)+1)-INDEX(pdates_grade_factor_zorba,MATCH($A107,pdates_grade_factor_zorba,1)))*(INDEX(pvals_grade_factor_zorba,MATCH($A107,pdates_grade_factor_zorba,1)+1)-INDEX(pvals_grade_factor_zorba,MATCH($A107,pdates_grade_factor_zorba,1)))))</f>
        <v/>
      </c>
      <c r="Y107" s="8">
        <f>IF($A107&lt;=INDEX(pdates_grade_factor_taint_tabor,1),INDEX(pvals_grade_factor_taint_tabor,1),IF($A107&gt;=INDEX(pdates_grade_factor_taint_tabor,10),INDEX(pvals_grade_factor_taint_tabor,10),INDEX(pvals_grade_factor_taint_tabor,MATCH($A107,pdates_grade_factor_taint_tabor,1))+($A107-INDEX(pdates_grade_factor_taint_tabor,MATCH($A107,pdates_grade_factor_taint_tabor,1)))/(INDEX(pdates_grade_factor_taint_tabor,MATCH($A107,pdates_grade_factor_taint_tabor,1)+1)-INDEX(pdates_grade_factor_taint_tabor,MATCH($A107,pdates_grade_factor_taint_tabor,1)))*(INDEX(pvals_grade_factor_taint_tabor,MATCH($A107,pdates_grade_factor_taint_tabor,1)+1)-INDEX(pvals_grade_factor_taint_tabor,MATCH($A107,pdates_grade_factor_taint_tabor,1)))))</f>
        <v/>
      </c>
      <c r="Z107" s="8">
        <f>IF($A107&lt;=INDEX(pdates_grade_factor_tense,1),INDEX(pvals_grade_factor_tense,1),IF($A107&gt;=INDEX(pdates_grade_factor_tense,10),INDEX(pvals_grade_factor_tense,10),INDEX(pvals_grade_factor_tense,MATCH($A107,pdates_grade_factor_tense,1))+($A107-INDEX(pdates_grade_factor_tense,MATCH($A107,pdates_grade_factor_tense,1)))/(INDEX(pdates_grade_factor_tense,MATCH($A107,pdates_grade_factor_tense,1)+1)-INDEX(pdates_grade_factor_tense,MATCH($A107,pdates_grade_factor_tense,1)))*(INDEX(pvals_grade_factor_tense,MATCH($A107,pdates_grade_factor_tense,1)+1)-INDEX(pvals_grade_factor_tense,MATCH($A107,pdates_grade_factor_tense,1)))))</f>
        <v/>
      </c>
      <c r="AA107" s="8">
        <f>IF($A107&lt;=INDEX(pdates_grade_factor_mix_pit,1),INDEX(pvals_grade_factor_mix_pit,1),IF($A107&gt;=INDEX(pdates_grade_factor_mix_pit,10),INDEX(pvals_grade_factor_mix_pit,10),INDEX(pvals_grade_factor_mix_pit,MATCH($A107,pdates_grade_factor_mix_pit,1))+($A107-INDEX(pdates_grade_factor_mix_pit,MATCH($A107,pdates_grade_factor_mix_pit,1)))/(INDEX(pdates_grade_factor_mix_pit,MATCH($A107,pdates_grade_factor_mix_pit,1)+1)-INDEX(pdates_grade_factor_mix_pit,MATCH($A107,pdates_grade_factor_mix_pit,1)))*(INDEX(pvals_grade_factor_mix_pit,MATCH($A107,pdates_grade_factor_mix_pit,1)+1)-INDEX(pvals_grade_factor_mix_pit,MATCH($A107,pdates_grade_factor_mix_pit,1)))))</f>
        <v/>
      </c>
      <c r="AB107" s="16">
        <f>($B107*$F107/kg_per_mt*(1+bcd_primary_al_hs7601*(1+sws_rate_on_bcd))+mcx_domestic_premium_inr_kg)*(1+$I107*MAX(0,$Q107-$A107)/day_count_inr)</f>
        <v/>
      </c>
      <c r="AC107" s="16">
        <f>$M107-$AB107</f>
        <v/>
      </c>
      <c r="AD107" s="7" t="inlineStr">
        <is>
          <t>PROXY_IMPORT_PARITY</t>
        </is>
      </c>
      <c r="AE107" s="7" t="inlineStr">
        <is>
          <t>ECB_CROSS</t>
        </is>
      </c>
      <c r="AF107" s="7" t="inlineStr">
        <is>
          <t>WCI_REPORTED|USEC:SIBLING|JEA:ASSUMPTION</t>
        </is>
      </c>
      <c r="AG107" s="17" t="b">
        <v>0</v>
      </c>
      <c r="AH107" s="17" t="b">
        <v>1</v>
      </c>
    </row>
    <row r="108">
      <c r="A108" s="11" t="n">
        <v>44712</v>
      </c>
      <c r="B108" s="13" t="n">
        <v>2816.5</v>
      </c>
      <c r="C108" s="13" t="n">
        <v>2850</v>
      </c>
      <c r="D108" s="13" t="n">
        <v>-33.5</v>
      </c>
      <c r="E108" s="13" t="n">
        <v>458875</v>
      </c>
      <c r="F108" s="13" t="n">
        <v>77.69159999999999</v>
      </c>
      <c r="G108" s="6" t="n">
        <v>77.9203</v>
      </c>
      <c r="H108" s="6" t="n">
        <v>78.39149999999999</v>
      </c>
      <c r="I108" s="14" t="n">
        <v>0.047343</v>
      </c>
      <c r="J108" s="14" t="n">
        <v>0.011342</v>
      </c>
      <c r="K108" s="14" t="n">
        <v>0.044</v>
      </c>
      <c r="L108" s="13" t="n">
        <v>236.8709</v>
      </c>
      <c r="M108" s="13" t="n">
        <v>236.8709</v>
      </c>
      <c r="N108" s="13" t="n">
        <v>237.7926</v>
      </c>
      <c r="O108" s="13" t="n">
        <v>20.06</v>
      </c>
      <c r="P108" s="13" t="n">
        <v>88.94</v>
      </c>
      <c r="Q108" s="12" t="n">
        <v>44712</v>
      </c>
      <c r="R108" s="12" t="n">
        <v>44742</v>
      </c>
      <c r="S108" s="8">
        <f>YEAR($Q108)*100+MONTH($Q108)</f>
        <v/>
      </c>
      <c r="T108" s="8">
        <f>YEAR($R108)*100+MONTH($R108)</f>
        <v/>
      </c>
      <c r="U108" s="15">
        <f>IF($A108&lt;=INDEX(pdates_wc_rate_inr_pa,1),INDEX(pvals_wc_rate_inr_pa,1),INDEX(pvals_wc_rate_inr_pa,MATCH($A108,pdates_wc_rate_inr_pa,1)))</f>
        <v/>
      </c>
      <c r="V108" s="8">
        <f>IF(AND($A108&gt;=customs_fx_first,$A108&lt;=customs_fx_last+customs_fx_notification_validity_days),IF($A108&lt;=INDEX(pdates_customs_usdinr_import,1),INDEX(pvals_customs_usdinr_import,1),INDEX(pvals_customs_usdinr_import,MATCH($A108,pdates_customs_usdinr_import,1))),$F108*(1+customs_fx_markup_frac))</f>
        <v/>
      </c>
      <c r="W108" s="8">
        <f>IF(AND($A108&gt;=customs_fx_first,$A108&lt;=customs_fx_last+customs_fx_notification_validity_days),"CBIC_NOTIFIED","MARKUP_FALLBACK")</f>
        <v/>
      </c>
      <c r="X108" s="8">
        <f>IF($A108&lt;=INDEX(pdates_grade_factor_zorba,1),INDEX(pvals_grade_factor_zorba,1),IF($A108&gt;=INDEX(pdates_grade_factor_zorba,10),INDEX(pvals_grade_factor_zorba,10),INDEX(pvals_grade_factor_zorba,MATCH($A108,pdates_grade_factor_zorba,1))+($A108-INDEX(pdates_grade_factor_zorba,MATCH($A108,pdates_grade_factor_zorba,1)))/(INDEX(pdates_grade_factor_zorba,MATCH($A108,pdates_grade_factor_zorba,1)+1)-INDEX(pdates_grade_factor_zorba,MATCH($A108,pdates_grade_factor_zorba,1)))*(INDEX(pvals_grade_factor_zorba,MATCH($A108,pdates_grade_factor_zorba,1)+1)-INDEX(pvals_grade_factor_zorba,MATCH($A108,pdates_grade_factor_zorba,1)))))</f>
        <v/>
      </c>
      <c r="Y108" s="8">
        <f>IF($A108&lt;=INDEX(pdates_grade_factor_taint_tabor,1),INDEX(pvals_grade_factor_taint_tabor,1),IF($A108&gt;=INDEX(pdates_grade_factor_taint_tabor,10),INDEX(pvals_grade_factor_taint_tabor,10),INDEX(pvals_grade_factor_taint_tabor,MATCH($A108,pdates_grade_factor_taint_tabor,1))+($A108-INDEX(pdates_grade_factor_taint_tabor,MATCH($A108,pdates_grade_factor_taint_tabor,1)))/(INDEX(pdates_grade_factor_taint_tabor,MATCH($A108,pdates_grade_factor_taint_tabor,1)+1)-INDEX(pdates_grade_factor_taint_tabor,MATCH($A108,pdates_grade_factor_taint_tabor,1)))*(INDEX(pvals_grade_factor_taint_tabor,MATCH($A108,pdates_grade_factor_taint_tabor,1)+1)-INDEX(pvals_grade_factor_taint_tabor,MATCH($A108,pdates_grade_factor_taint_tabor,1)))))</f>
        <v/>
      </c>
      <c r="Z108" s="8">
        <f>IF($A108&lt;=INDEX(pdates_grade_factor_tense,1),INDEX(pvals_grade_factor_tense,1),IF($A108&gt;=INDEX(pdates_grade_factor_tense,10),INDEX(pvals_grade_factor_tense,10),INDEX(pvals_grade_factor_tense,MATCH($A108,pdates_grade_factor_tense,1))+($A108-INDEX(pdates_grade_factor_tense,MATCH($A108,pdates_grade_factor_tense,1)))/(INDEX(pdates_grade_factor_tense,MATCH($A108,pdates_grade_factor_tense,1)+1)-INDEX(pdates_grade_factor_tense,MATCH($A108,pdates_grade_factor_tense,1)))*(INDEX(pvals_grade_factor_tense,MATCH($A108,pdates_grade_factor_tense,1)+1)-INDEX(pvals_grade_factor_tense,MATCH($A108,pdates_grade_factor_tense,1)))))</f>
        <v/>
      </c>
      <c r="AA108" s="8">
        <f>IF($A108&lt;=INDEX(pdates_grade_factor_mix_pit,1),INDEX(pvals_grade_factor_mix_pit,1),IF($A108&gt;=INDEX(pdates_grade_factor_mix_pit,10),INDEX(pvals_grade_factor_mix_pit,10),INDEX(pvals_grade_factor_mix_pit,MATCH($A108,pdates_grade_factor_mix_pit,1))+($A108-INDEX(pdates_grade_factor_mix_pit,MATCH($A108,pdates_grade_factor_mix_pit,1)))/(INDEX(pdates_grade_factor_mix_pit,MATCH($A108,pdates_grade_factor_mix_pit,1)+1)-INDEX(pdates_grade_factor_mix_pit,MATCH($A108,pdates_grade_factor_mix_pit,1)))*(INDEX(pvals_grade_factor_mix_pit,MATCH($A108,pdates_grade_factor_mix_pit,1)+1)-INDEX(pvals_grade_factor_mix_pit,MATCH($A108,pdates_grade_factor_mix_pit,1)))))</f>
        <v/>
      </c>
      <c r="AB108" s="16">
        <f>($B108*$F108/kg_per_mt*(1+bcd_primary_al_hs7601*(1+sws_rate_on_bcd))+mcx_domestic_premium_inr_kg)*(1+$I108*MAX(0,$Q108-$A108)/day_count_inr)</f>
        <v/>
      </c>
      <c r="AC108" s="16">
        <f>$M108-$AB108</f>
        <v/>
      </c>
      <c r="AD108" s="7" t="inlineStr">
        <is>
          <t>PROXY_IMPORT_PARITY</t>
        </is>
      </c>
      <c r="AE108" s="7" t="inlineStr">
        <is>
          <t>ECB_CROSS</t>
        </is>
      </c>
      <c r="AF108" s="7" t="inlineStr">
        <is>
          <t>WCI_REPORTED|USEC:SIBLING|JEA:ASSUMPTION</t>
        </is>
      </c>
      <c r="AG108" s="17" t="b">
        <v>0</v>
      </c>
      <c r="AH108" s="17" t="b">
        <v>1</v>
      </c>
    </row>
    <row r="109">
      <c r="A109" s="11" t="n">
        <v>44713</v>
      </c>
      <c r="B109" s="13" t="n">
        <v>2701.5</v>
      </c>
      <c r="C109" s="13" t="n">
        <v>2730</v>
      </c>
      <c r="D109" s="13" t="n">
        <v>-28.5</v>
      </c>
      <c r="E109" s="13" t="n">
        <v>453875</v>
      </c>
      <c r="F109" s="13" t="n">
        <v>77.5308</v>
      </c>
      <c r="G109" s="6" t="n">
        <v>77.75369999999999</v>
      </c>
      <c r="H109" s="6" t="n">
        <v>78.21299999999999</v>
      </c>
      <c r="I109" s="14" t="n">
        <v>0.046409</v>
      </c>
      <c r="J109" s="14" t="n">
        <v>0.011244</v>
      </c>
      <c r="K109" s="14" t="n">
        <v>0.044</v>
      </c>
      <c r="L109" s="13" t="n">
        <v>226.729</v>
      </c>
      <c r="M109" s="13" t="n">
        <v>227.5651</v>
      </c>
      <c r="N109" s="13" t="n">
        <v>228.4011</v>
      </c>
      <c r="O109" s="13" t="n">
        <v>20.06</v>
      </c>
      <c r="P109" s="13" t="n">
        <v>88.94</v>
      </c>
      <c r="Q109" s="12" t="n">
        <v>44742</v>
      </c>
      <c r="R109" s="12" t="n">
        <v>44771</v>
      </c>
      <c r="S109" s="8">
        <f>YEAR($Q109)*100+MONTH($Q109)</f>
        <v/>
      </c>
      <c r="T109" s="8">
        <f>YEAR($R109)*100+MONTH($R109)</f>
        <v/>
      </c>
      <c r="U109" s="15">
        <f>IF($A109&lt;=INDEX(pdates_wc_rate_inr_pa,1),INDEX(pvals_wc_rate_inr_pa,1),INDEX(pvals_wc_rate_inr_pa,MATCH($A109,pdates_wc_rate_inr_pa,1)))</f>
        <v/>
      </c>
      <c r="V109" s="8">
        <f>IF(AND($A109&gt;=customs_fx_first,$A109&lt;=customs_fx_last+customs_fx_notification_validity_days),IF($A109&lt;=INDEX(pdates_customs_usdinr_import,1),INDEX(pvals_customs_usdinr_import,1),INDEX(pvals_customs_usdinr_import,MATCH($A109,pdates_customs_usdinr_import,1))),$F109*(1+customs_fx_markup_frac))</f>
        <v/>
      </c>
      <c r="W109" s="8">
        <f>IF(AND($A109&gt;=customs_fx_first,$A109&lt;=customs_fx_last+customs_fx_notification_validity_days),"CBIC_NOTIFIED","MARKUP_FALLBACK")</f>
        <v/>
      </c>
      <c r="X109" s="8">
        <f>IF($A109&lt;=INDEX(pdates_grade_factor_zorba,1),INDEX(pvals_grade_factor_zorba,1),IF($A109&gt;=INDEX(pdates_grade_factor_zorba,10),INDEX(pvals_grade_factor_zorba,10),INDEX(pvals_grade_factor_zorba,MATCH($A109,pdates_grade_factor_zorba,1))+($A109-INDEX(pdates_grade_factor_zorba,MATCH($A109,pdates_grade_factor_zorba,1)))/(INDEX(pdates_grade_factor_zorba,MATCH($A109,pdates_grade_factor_zorba,1)+1)-INDEX(pdates_grade_factor_zorba,MATCH($A109,pdates_grade_factor_zorba,1)))*(INDEX(pvals_grade_factor_zorba,MATCH($A109,pdates_grade_factor_zorba,1)+1)-INDEX(pvals_grade_factor_zorba,MATCH($A109,pdates_grade_factor_zorba,1)))))</f>
        <v/>
      </c>
      <c r="Y109" s="8">
        <f>IF($A109&lt;=INDEX(pdates_grade_factor_taint_tabor,1),INDEX(pvals_grade_factor_taint_tabor,1),IF($A109&gt;=INDEX(pdates_grade_factor_taint_tabor,10),INDEX(pvals_grade_factor_taint_tabor,10),INDEX(pvals_grade_factor_taint_tabor,MATCH($A109,pdates_grade_factor_taint_tabor,1))+($A109-INDEX(pdates_grade_factor_taint_tabor,MATCH($A109,pdates_grade_factor_taint_tabor,1)))/(INDEX(pdates_grade_factor_taint_tabor,MATCH($A109,pdates_grade_factor_taint_tabor,1)+1)-INDEX(pdates_grade_factor_taint_tabor,MATCH($A109,pdates_grade_factor_taint_tabor,1)))*(INDEX(pvals_grade_factor_taint_tabor,MATCH($A109,pdates_grade_factor_taint_tabor,1)+1)-INDEX(pvals_grade_factor_taint_tabor,MATCH($A109,pdates_grade_factor_taint_tabor,1)))))</f>
        <v/>
      </c>
      <c r="Z109" s="8">
        <f>IF($A109&lt;=INDEX(pdates_grade_factor_tense,1),INDEX(pvals_grade_factor_tense,1),IF($A109&gt;=INDEX(pdates_grade_factor_tense,10),INDEX(pvals_grade_factor_tense,10),INDEX(pvals_grade_factor_tense,MATCH($A109,pdates_grade_factor_tense,1))+($A109-INDEX(pdates_grade_factor_tense,MATCH($A109,pdates_grade_factor_tense,1)))/(INDEX(pdates_grade_factor_tense,MATCH($A109,pdates_grade_factor_tense,1)+1)-INDEX(pdates_grade_factor_tense,MATCH($A109,pdates_grade_factor_tense,1)))*(INDEX(pvals_grade_factor_tense,MATCH($A109,pdates_grade_factor_tense,1)+1)-INDEX(pvals_grade_factor_tense,MATCH($A109,pdates_grade_factor_tense,1)))))</f>
        <v/>
      </c>
      <c r="AA109" s="8">
        <f>IF($A109&lt;=INDEX(pdates_grade_factor_mix_pit,1),INDEX(pvals_grade_factor_mix_pit,1),IF($A109&gt;=INDEX(pdates_grade_factor_mix_pit,10),INDEX(pvals_grade_factor_mix_pit,10),INDEX(pvals_grade_factor_mix_pit,MATCH($A109,pdates_grade_factor_mix_pit,1))+($A109-INDEX(pdates_grade_factor_mix_pit,MATCH($A109,pdates_grade_factor_mix_pit,1)))/(INDEX(pdates_grade_factor_mix_pit,MATCH($A109,pdates_grade_factor_mix_pit,1)+1)-INDEX(pdates_grade_factor_mix_pit,MATCH($A109,pdates_grade_factor_mix_pit,1)))*(INDEX(pvals_grade_factor_mix_pit,MATCH($A109,pdates_grade_factor_mix_pit,1)+1)-INDEX(pvals_grade_factor_mix_pit,MATCH($A109,pdates_grade_factor_mix_pit,1)))))</f>
        <v/>
      </c>
      <c r="AB109" s="16">
        <f>($B109*$F109/kg_per_mt*(1+bcd_primary_al_hs7601*(1+sws_rate_on_bcd))+mcx_domestic_premium_inr_kg)*(1+$I109*MAX(0,$Q109-$A109)/day_count_inr)</f>
        <v/>
      </c>
      <c r="AC109" s="16">
        <f>$M109-$AB109</f>
        <v/>
      </c>
      <c r="AD109" s="7" t="inlineStr">
        <is>
          <t>PROXY_IMPORT_PARITY</t>
        </is>
      </c>
      <c r="AE109" s="7" t="inlineStr">
        <is>
          <t>ECB_CROSS</t>
        </is>
      </c>
      <c r="AF109" s="7" t="inlineStr">
        <is>
          <t>WCI_REPORTED|USEC:SIBLING|JEA:ASSUMPTION</t>
        </is>
      </c>
      <c r="AG109" s="17" t="b">
        <v>0</v>
      </c>
      <c r="AH109" s="17" t="b">
        <v>1</v>
      </c>
    </row>
    <row r="110">
      <c r="A110" s="11" t="n">
        <v>44718</v>
      </c>
      <c r="B110" s="13" t="n">
        <v>2742</v>
      </c>
      <c r="C110" s="13" t="n">
        <v>2774</v>
      </c>
      <c r="D110" s="13" t="n">
        <v>-32</v>
      </c>
      <c r="E110" s="13" t="n">
        <v>450500</v>
      </c>
      <c r="F110" s="13" t="n">
        <v>77.6105</v>
      </c>
      <c r="G110" s="6" t="n">
        <v>77.8266</v>
      </c>
      <c r="H110" s="6" t="n">
        <v>78.2717</v>
      </c>
      <c r="I110" s="14" t="n">
        <v>0.046409</v>
      </c>
      <c r="J110" s="14" t="n">
        <v>0.012329</v>
      </c>
      <c r="K110" s="14" t="n">
        <v>0.044</v>
      </c>
      <c r="L110" s="13" t="n">
        <v>230.3647</v>
      </c>
      <c r="M110" s="13" t="n">
        <v>231.0676</v>
      </c>
      <c r="N110" s="13" t="n">
        <v>231.917</v>
      </c>
      <c r="O110" s="13" t="n">
        <v>19.84</v>
      </c>
      <c r="P110" s="13" t="n">
        <v>87.98</v>
      </c>
      <c r="Q110" s="12" t="n">
        <v>44742</v>
      </c>
      <c r="R110" s="12" t="n">
        <v>44771</v>
      </c>
      <c r="S110" s="8">
        <f>YEAR($Q110)*100+MONTH($Q110)</f>
        <v/>
      </c>
      <c r="T110" s="8">
        <f>YEAR($R110)*100+MONTH($R110)</f>
        <v/>
      </c>
      <c r="U110" s="15">
        <f>IF($A110&lt;=INDEX(pdates_wc_rate_inr_pa,1),INDEX(pvals_wc_rate_inr_pa,1),INDEX(pvals_wc_rate_inr_pa,MATCH($A110,pdates_wc_rate_inr_pa,1)))</f>
        <v/>
      </c>
      <c r="V110" s="8">
        <f>IF(AND($A110&gt;=customs_fx_first,$A110&lt;=customs_fx_last+customs_fx_notification_validity_days),IF($A110&lt;=INDEX(pdates_customs_usdinr_import,1),INDEX(pvals_customs_usdinr_import,1),INDEX(pvals_customs_usdinr_import,MATCH($A110,pdates_customs_usdinr_import,1))),$F110*(1+customs_fx_markup_frac))</f>
        <v/>
      </c>
      <c r="W110" s="8">
        <f>IF(AND($A110&gt;=customs_fx_first,$A110&lt;=customs_fx_last+customs_fx_notification_validity_days),"CBIC_NOTIFIED","MARKUP_FALLBACK")</f>
        <v/>
      </c>
      <c r="X110" s="8">
        <f>IF($A110&lt;=INDEX(pdates_grade_factor_zorba,1),INDEX(pvals_grade_factor_zorba,1),IF($A110&gt;=INDEX(pdates_grade_factor_zorba,10),INDEX(pvals_grade_factor_zorba,10),INDEX(pvals_grade_factor_zorba,MATCH($A110,pdates_grade_factor_zorba,1))+($A110-INDEX(pdates_grade_factor_zorba,MATCH($A110,pdates_grade_factor_zorba,1)))/(INDEX(pdates_grade_factor_zorba,MATCH($A110,pdates_grade_factor_zorba,1)+1)-INDEX(pdates_grade_factor_zorba,MATCH($A110,pdates_grade_factor_zorba,1)))*(INDEX(pvals_grade_factor_zorba,MATCH($A110,pdates_grade_factor_zorba,1)+1)-INDEX(pvals_grade_factor_zorba,MATCH($A110,pdates_grade_factor_zorba,1)))))</f>
        <v/>
      </c>
      <c r="Y110" s="8">
        <f>IF($A110&lt;=INDEX(pdates_grade_factor_taint_tabor,1),INDEX(pvals_grade_factor_taint_tabor,1),IF($A110&gt;=INDEX(pdates_grade_factor_taint_tabor,10),INDEX(pvals_grade_factor_taint_tabor,10),INDEX(pvals_grade_factor_taint_tabor,MATCH($A110,pdates_grade_factor_taint_tabor,1))+($A110-INDEX(pdates_grade_factor_taint_tabor,MATCH($A110,pdates_grade_factor_taint_tabor,1)))/(INDEX(pdates_grade_factor_taint_tabor,MATCH($A110,pdates_grade_factor_taint_tabor,1)+1)-INDEX(pdates_grade_factor_taint_tabor,MATCH($A110,pdates_grade_factor_taint_tabor,1)))*(INDEX(pvals_grade_factor_taint_tabor,MATCH($A110,pdates_grade_factor_taint_tabor,1)+1)-INDEX(pvals_grade_factor_taint_tabor,MATCH($A110,pdates_grade_factor_taint_tabor,1)))))</f>
        <v/>
      </c>
      <c r="Z110" s="8">
        <f>IF($A110&lt;=INDEX(pdates_grade_factor_tense,1),INDEX(pvals_grade_factor_tense,1),IF($A110&gt;=INDEX(pdates_grade_factor_tense,10),INDEX(pvals_grade_factor_tense,10),INDEX(pvals_grade_factor_tense,MATCH($A110,pdates_grade_factor_tense,1))+($A110-INDEX(pdates_grade_factor_tense,MATCH($A110,pdates_grade_factor_tense,1)))/(INDEX(pdates_grade_factor_tense,MATCH($A110,pdates_grade_factor_tense,1)+1)-INDEX(pdates_grade_factor_tense,MATCH($A110,pdates_grade_factor_tense,1)))*(INDEX(pvals_grade_factor_tense,MATCH($A110,pdates_grade_factor_tense,1)+1)-INDEX(pvals_grade_factor_tense,MATCH($A110,pdates_grade_factor_tense,1)))))</f>
        <v/>
      </c>
      <c r="AA110" s="8">
        <f>IF($A110&lt;=INDEX(pdates_grade_factor_mix_pit,1),INDEX(pvals_grade_factor_mix_pit,1),IF($A110&gt;=INDEX(pdates_grade_factor_mix_pit,10),INDEX(pvals_grade_factor_mix_pit,10),INDEX(pvals_grade_factor_mix_pit,MATCH($A110,pdates_grade_factor_mix_pit,1))+($A110-INDEX(pdates_grade_factor_mix_pit,MATCH($A110,pdates_grade_factor_mix_pit,1)))/(INDEX(pdates_grade_factor_mix_pit,MATCH($A110,pdates_grade_factor_mix_pit,1)+1)-INDEX(pdates_grade_factor_mix_pit,MATCH($A110,pdates_grade_factor_mix_pit,1)))*(INDEX(pvals_grade_factor_mix_pit,MATCH($A110,pdates_grade_factor_mix_pit,1)+1)-INDEX(pvals_grade_factor_mix_pit,MATCH($A110,pdates_grade_factor_mix_pit,1)))))</f>
        <v/>
      </c>
      <c r="AB110" s="16">
        <f>($B110*$F110/kg_per_mt*(1+bcd_primary_al_hs7601*(1+sws_rate_on_bcd))+mcx_domestic_premium_inr_kg)*(1+$I110*MAX(0,$Q110-$A110)/day_count_inr)</f>
        <v/>
      </c>
      <c r="AC110" s="16">
        <f>$M110-$AB110</f>
        <v/>
      </c>
      <c r="AD110" s="7" t="inlineStr">
        <is>
          <t>PROXY_IMPORT_PARITY</t>
        </is>
      </c>
      <c r="AE110" s="7" t="inlineStr">
        <is>
          <t>ECB_CROSS</t>
        </is>
      </c>
      <c r="AF110" s="7" t="inlineStr">
        <is>
          <t>WCI_REPORTED|USEC:SIBLING|JEA:ASSUMPTION</t>
        </is>
      </c>
      <c r="AG110" s="17" t="b">
        <v>0</v>
      </c>
      <c r="AH110" s="17" t="b">
        <v>1</v>
      </c>
    </row>
    <row r="111">
      <c r="A111" s="11" t="n">
        <v>44719</v>
      </c>
      <c r="B111" s="13" t="n">
        <v>2715</v>
      </c>
      <c r="C111" s="13" t="n">
        <v>2745</v>
      </c>
      <c r="D111" s="13" t="n">
        <v>-30</v>
      </c>
      <c r="E111" s="13" t="n">
        <v>441725</v>
      </c>
      <c r="F111" s="13" t="n">
        <v>77.7274</v>
      </c>
      <c r="G111" s="6" t="n">
        <v>77.9432</v>
      </c>
      <c r="H111" s="6" t="n">
        <v>78.3877</v>
      </c>
      <c r="I111" s="14" t="n">
        <v>0.046409</v>
      </c>
      <c r="J111" s="14" t="n">
        <v>0.012427</v>
      </c>
      <c r="K111" s="14" t="n">
        <v>0.044</v>
      </c>
      <c r="L111" s="13" t="n">
        <v>228.4399</v>
      </c>
      <c r="M111" s="13" t="n">
        <v>229.1079</v>
      </c>
      <c r="N111" s="13" t="n">
        <v>229.9502</v>
      </c>
      <c r="O111" s="13" t="n">
        <v>19.84</v>
      </c>
      <c r="P111" s="13" t="n">
        <v>87.98</v>
      </c>
      <c r="Q111" s="12" t="n">
        <v>44742</v>
      </c>
      <c r="R111" s="12" t="n">
        <v>44771</v>
      </c>
      <c r="S111" s="8">
        <f>YEAR($Q111)*100+MONTH($Q111)</f>
        <v/>
      </c>
      <c r="T111" s="8">
        <f>YEAR($R111)*100+MONTH($R111)</f>
        <v/>
      </c>
      <c r="U111" s="15">
        <f>IF($A111&lt;=INDEX(pdates_wc_rate_inr_pa,1),INDEX(pvals_wc_rate_inr_pa,1),INDEX(pvals_wc_rate_inr_pa,MATCH($A111,pdates_wc_rate_inr_pa,1)))</f>
        <v/>
      </c>
      <c r="V111" s="8">
        <f>IF(AND($A111&gt;=customs_fx_first,$A111&lt;=customs_fx_last+customs_fx_notification_validity_days),IF($A111&lt;=INDEX(pdates_customs_usdinr_import,1),INDEX(pvals_customs_usdinr_import,1),INDEX(pvals_customs_usdinr_import,MATCH($A111,pdates_customs_usdinr_import,1))),$F111*(1+customs_fx_markup_frac))</f>
        <v/>
      </c>
      <c r="W111" s="8">
        <f>IF(AND($A111&gt;=customs_fx_first,$A111&lt;=customs_fx_last+customs_fx_notification_validity_days),"CBIC_NOTIFIED","MARKUP_FALLBACK")</f>
        <v/>
      </c>
      <c r="X111" s="8">
        <f>IF($A111&lt;=INDEX(pdates_grade_factor_zorba,1),INDEX(pvals_grade_factor_zorba,1),IF($A111&gt;=INDEX(pdates_grade_factor_zorba,10),INDEX(pvals_grade_factor_zorba,10),INDEX(pvals_grade_factor_zorba,MATCH($A111,pdates_grade_factor_zorba,1))+($A111-INDEX(pdates_grade_factor_zorba,MATCH($A111,pdates_grade_factor_zorba,1)))/(INDEX(pdates_grade_factor_zorba,MATCH($A111,pdates_grade_factor_zorba,1)+1)-INDEX(pdates_grade_factor_zorba,MATCH($A111,pdates_grade_factor_zorba,1)))*(INDEX(pvals_grade_factor_zorba,MATCH($A111,pdates_grade_factor_zorba,1)+1)-INDEX(pvals_grade_factor_zorba,MATCH($A111,pdates_grade_factor_zorba,1)))))</f>
        <v/>
      </c>
      <c r="Y111" s="8">
        <f>IF($A111&lt;=INDEX(pdates_grade_factor_taint_tabor,1),INDEX(pvals_grade_factor_taint_tabor,1),IF($A111&gt;=INDEX(pdates_grade_factor_taint_tabor,10),INDEX(pvals_grade_factor_taint_tabor,10),INDEX(pvals_grade_factor_taint_tabor,MATCH($A111,pdates_grade_factor_taint_tabor,1))+($A111-INDEX(pdates_grade_factor_taint_tabor,MATCH($A111,pdates_grade_factor_taint_tabor,1)))/(INDEX(pdates_grade_factor_taint_tabor,MATCH($A111,pdates_grade_factor_taint_tabor,1)+1)-INDEX(pdates_grade_factor_taint_tabor,MATCH($A111,pdates_grade_factor_taint_tabor,1)))*(INDEX(pvals_grade_factor_taint_tabor,MATCH($A111,pdates_grade_factor_taint_tabor,1)+1)-INDEX(pvals_grade_factor_taint_tabor,MATCH($A111,pdates_grade_factor_taint_tabor,1)))))</f>
        <v/>
      </c>
      <c r="Z111" s="8">
        <f>IF($A111&lt;=INDEX(pdates_grade_factor_tense,1),INDEX(pvals_grade_factor_tense,1),IF($A111&gt;=INDEX(pdates_grade_factor_tense,10),INDEX(pvals_grade_factor_tense,10),INDEX(pvals_grade_factor_tense,MATCH($A111,pdates_grade_factor_tense,1))+($A111-INDEX(pdates_grade_factor_tense,MATCH($A111,pdates_grade_factor_tense,1)))/(INDEX(pdates_grade_factor_tense,MATCH($A111,pdates_grade_factor_tense,1)+1)-INDEX(pdates_grade_factor_tense,MATCH($A111,pdates_grade_factor_tense,1)))*(INDEX(pvals_grade_factor_tense,MATCH($A111,pdates_grade_factor_tense,1)+1)-INDEX(pvals_grade_factor_tense,MATCH($A111,pdates_grade_factor_tense,1)))))</f>
        <v/>
      </c>
      <c r="AA111" s="8">
        <f>IF($A111&lt;=INDEX(pdates_grade_factor_mix_pit,1),INDEX(pvals_grade_factor_mix_pit,1),IF($A111&gt;=INDEX(pdates_grade_factor_mix_pit,10),INDEX(pvals_grade_factor_mix_pit,10),INDEX(pvals_grade_factor_mix_pit,MATCH($A111,pdates_grade_factor_mix_pit,1))+($A111-INDEX(pdates_grade_factor_mix_pit,MATCH($A111,pdates_grade_factor_mix_pit,1)))/(INDEX(pdates_grade_factor_mix_pit,MATCH($A111,pdates_grade_factor_mix_pit,1)+1)-INDEX(pdates_grade_factor_mix_pit,MATCH($A111,pdates_grade_factor_mix_pit,1)))*(INDEX(pvals_grade_factor_mix_pit,MATCH($A111,pdates_grade_factor_mix_pit,1)+1)-INDEX(pvals_grade_factor_mix_pit,MATCH($A111,pdates_grade_factor_mix_pit,1)))))</f>
        <v/>
      </c>
      <c r="AB111" s="16">
        <f>($B111*$F111/kg_per_mt*(1+bcd_primary_al_hs7601*(1+sws_rate_on_bcd))+mcx_domestic_premium_inr_kg)*(1+$I111*MAX(0,$Q111-$A111)/day_count_inr)</f>
        <v/>
      </c>
      <c r="AC111" s="16">
        <f>$M111-$AB111</f>
        <v/>
      </c>
      <c r="AD111" s="7" t="inlineStr">
        <is>
          <t>PROXY_IMPORT_PARITY</t>
        </is>
      </c>
      <c r="AE111" s="7" t="inlineStr">
        <is>
          <t>ECB_CROSS</t>
        </is>
      </c>
      <c r="AF111" s="7" t="inlineStr">
        <is>
          <t>WCI_REPORTED|USEC:SIBLING|JEA:ASSUMPTION</t>
        </is>
      </c>
      <c r="AG111" s="17" t="b">
        <v>0</v>
      </c>
      <c r="AH111" s="17" t="b">
        <v>1</v>
      </c>
    </row>
    <row r="112">
      <c r="A112" s="11" t="n">
        <v>44720</v>
      </c>
      <c r="B112" s="13" t="n">
        <v>2765.5</v>
      </c>
      <c r="C112" s="13" t="n">
        <v>2798</v>
      </c>
      <c r="D112" s="13" t="n">
        <v>-32.5</v>
      </c>
      <c r="E112" s="13" t="n">
        <v>434000</v>
      </c>
      <c r="F112" s="13" t="n">
        <v>77.6739</v>
      </c>
      <c r="G112" s="6" t="n">
        <v>77.9208</v>
      </c>
      <c r="H112" s="6" t="n">
        <v>78.4293</v>
      </c>
      <c r="I112" s="14" t="n">
        <v>0.051409</v>
      </c>
      <c r="J112" s="14" t="n">
        <v>0.012526</v>
      </c>
      <c r="K112" s="14" t="n">
        <v>0.049</v>
      </c>
      <c r="L112" s="13" t="n">
        <v>232.5288</v>
      </c>
      <c r="M112" s="13" t="n">
        <v>233.2493</v>
      </c>
      <c r="N112" s="13" t="n">
        <v>234.1991</v>
      </c>
      <c r="O112" s="13" t="n">
        <v>19.84</v>
      </c>
      <c r="P112" s="13" t="n">
        <v>87.98</v>
      </c>
      <c r="Q112" s="12" t="n">
        <v>44742</v>
      </c>
      <c r="R112" s="12" t="n">
        <v>44771</v>
      </c>
      <c r="S112" s="8">
        <f>YEAR($Q112)*100+MONTH($Q112)</f>
        <v/>
      </c>
      <c r="T112" s="8">
        <f>YEAR($R112)*100+MONTH($R112)</f>
        <v/>
      </c>
      <c r="U112" s="15">
        <f>IF($A112&lt;=INDEX(pdates_wc_rate_inr_pa,1),INDEX(pvals_wc_rate_inr_pa,1),INDEX(pvals_wc_rate_inr_pa,MATCH($A112,pdates_wc_rate_inr_pa,1)))</f>
        <v/>
      </c>
      <c r="V112" s="8">
        <f>IF(AND($A112&gt;=customs_fx_first,$A112&lt;=customs_fx_last+customs_fx_notification_validity_days),IF($A112&lt;=INDEX(pdates_customs_usdinr_import,1),INDEX(pvals_customs_usdinr_import,1),INDEX(pvals_customs_usdinr_import,MATCH($A112,pdates_customs_usdinr_import,1))),$F112*(1+customs_fx_markup_frac))</f>
        <v/>
      </c>
      <c r="W112" s="8">
        <f>IF(AND($A112&gt;=customs_fx_first,$A112&lt;=customs_fx_last+customs_fx_notification_validity_days),"CBIC_NOTIFIED","MARKUP_FALLBACK")</f>
        <v/>
      </c>
      <c r="X112" s="8">
        <f>IF($A112&lt;=INDEX(pdates_grade_factor_zorba,1),INDEX(pvals_grade_factor_zorba,1),IF($A112&gt;=INDEX(pdates_grade_factor_zorba,10),INDEX(pvals_grade_factor_zorba,10),INDEX(pvals_grade_factor_zorba,MATCH($A112,pdates_grade_factor_zorba,1))+($A112-INDEX(pdates_grade_factor_zorba,MATCH($A112,pdates_grade_factor_zorba,1)))/(INDEX(pdates_grade_factor_zorba,MATCH($A112,pdates_grade_factor_zorba,1)+1)-INDEX(pdates_grade_factor_zorba,MATCH($A112,pdates_grade_factor_zorba,1)))*(INDEX(pvals_grade_factor_zorba,MATCH($A112,pdates_grade_factor_zorba,1)+1)-INDEX(pvals_grade_factor_zorba,MATCH($A112,pdates_grade_factor_zorba,1)))))</f>
        <v/>
      </c>
      <c r="Y112" s="8">
        <f>IF($A112&lt;=INDEX(pdates_grade_factor_taint_tabor,1),INDEX(pvals_grade_factor_taint_tabor,1),IF($A112&gt;=INDEX(pdates_grade_factor_taint_tabor,10),INDEX(pvals_grade_factor_taint_tabor,10),INDEX(pvals_grade_factor_taint_tabor,MATCH($A112,pdates_grade_factor_taint_tabor,1))+($A112-INDEX(pdates_grade_factor_taint_tabor,MATCH($A112,pdates_grade_factor_taint_tabor,1)))/(INDEX(pdates_grade_factor_taint_tabor,MATCH($A112,pdates_grade_factor_taint_tabor,1)+1)-INDEX(pdates_grade_factor_taint_tabor,MATCH($A112,pdates_grade_factor_taint_tabor,1)))*(INDEX(pvals_grade_factor_taint_tabor,MATCH($A112,pdates_grade_factor_taint_tabor,1)+1)-INDEX(pvals_grade_factor_taint_tabor,MATCH($A112,pdates_grade_factor_taint_tabor,1)))))</f>
        <v/>
      </c>
      <c r="Z112" s="8">
        <f>IF($A112&lt;=INDEX(pdates_grade_factor_tense,1),INDEX(pvals_grade_factor_tense,1),IF($A112&gt;=INDEX(pdates_grade_factor_tense,10),INDEX(pvals_grade_factor_tense,10),INDEX(pvals_grade_factor_tense,MATCH($A112,pdates_grade_factor_tense,1))+($A112-INDEX(pdates_grade_factor_tense,MATCH($A112,pdates_grade_factor_tense,1)))/(INDEX(pdates_grade_factor_tense,MATCH($A112,pdates_grade_factor_tense,1)+1)-INDEX(pdates_grade_factor_tense,MATCH($A112,pdates_grade_factor_tense,1)))*(INDEX(pvals_grade_factor_tense,MATCH($A112,pdates_grade_factor_tense,1)+1)-INDEX(pvals_grade_factor_tense,MATCH($A112,pdates_grade_factor_tense,1)))))</f>
        <v/>
      </c>
      <c r="AA112" s="8">
        <f>IF($A112&lt;=INDEX(pdates_grade_factor_mix_pit,1),INDEX(pvals_grade_factor_mix_pit,1),IF($A112&gt;=INDEX(pdates_grade_factor_mix_pit,10),INDEX(pvals_grade_factor_mix_pit,10),INDEX(pvals_grade_factor_mix_pit,MATCH($A112,pdates_grade_factor_mix_pit,1))+($A112-INDEX(pdates_grade_factor_mix_pit,MATCH($A112,pdates_grade_factor_mix_pit,1)))/(INDEX(pdates_grade_factor_mix_pit,MATCH($A112,pdates_grade_factor_mix_pit,1)+1)-INDEX(pdates_grade_factor_mix_pit,MATCH($A112,pdates_grade_factor_mix_pit,1)))*(INDEX(pvals_grade_factor_mix_pit,MATCH($A112,pdates_grade_factor_mix_pit,1)+1)-INDEX(pvals_grade_factor_mix_pit,MATCH($A112,pdates_grade_factor_mix_pit,1)))))</f>
        <v/>
      </c>
      <c r="AB112" s="16">
        <f>($B112*$F112/kg_per_mt*(1+bcd_primary_al_hs7601*(1+sws_rate_on_bcd))+mcx_domestic_premium_inr_kg)*(1+$I112*MAX(0,$Q112-$A112)/day_count_inr)</f>
        <v/>
      </c>
      <c r="AC112" s="16">
        <f>$M112-$AB112</f>
        <v/>
      </c>
      <c r="AD112" s="7" t="inlineStr">
        <is>
          <t>PROXY_IMPORT_PARITY</t>
        </is>
      </c>
      <c r="AE112" s="7" t="inlineStr">
        <is>
          <t>ECB_CROSS</t>
        </is>
      </c>
      <c r="AF112" s="7" t="inlineStr">
        <is>
          <t>WCI_REPORTED|USEC:SIBLING|JEA:ASSUMPTION</t>
        </is>
      </c>
      <c r="AG112" s="17" t="b">
        <v>0</v>
      </c>
      <c r="AH112" s="17" t="b">
        <v>1</v>
      </c>
    </row>
    <row r="113">
      <c r="A113" s="11" t="n">
        <v>44721</v>
      </c>
      <c r="B113" s="13" t="n">
        <v>2752.5</v>
      </c>
      <c r="C113" s="13" t="n">
        <v>2786</v>
      </c>
      <c r="D113" s="13" t="n">
        <v>-33.5</v>
      </c>
      <c r="E113" s="13" t="n">
        <v>430050</v>
      </c>
      <c r="F113" s="13" t="n">
        <v>77.7492</v>
      </c>
      <c r="G113" s="6" t="n">
        <v>77.9957</v>
      </c>
      <c r="H113" s="6" t="n">
        <v>78.5034</v>
      </c>
      <c r="I113" s="14" t="n">
        <v>0.051409</v>
      </c>
      <c r="J113" s="14" t="n">
        <v>0.012625</v>
      </c>
      <c r="K113" s="14" t="n">
        <v>0.049</v>
      </c>
      <c r="L113" s="13" t="n">
        <v>231.6601</v>
      </c>
      <c r="M113" s="13" t="n">
        <v>232.3453</v>
      </c>
      <c r="N113" s="13" t="n">
        <v>233.2915</v>
      </c>
      <c r="O113" s="13" t="n">
        <v>19.53</v>
      </c>
      <c r="P113" s="13" t="n">
        <v>86.59999999999999</v>
      </c>
      <c r="Q113" s="12" t="n">
        <v>44742</v>
      </c>
      <c r="R113" s="12" t="n">
        <v>44771</v>
      </c>
      <c r="S113" s="8">
        <f>YEAR($Q113)*100+MONTH($Q113)</f>
        <v/>
      </c>
      <c r="T113" s="8">
        <f>YEAR($R113)*100+MONTH($R113)</f>
        <v/>
      </c>
      <c r="U113" s="15">
        <f>IF($A113&lt;=INDEX(pdates_wc_rate_inr_pa,1),INDEX(pvals_wc_rate_inr_pa,1),INDEX(pvals_wc_rate_inr_pa,MATCH($A113,pdates_wc_rate_inr_pa,1)))</f>
        <v/>
      </c>
      <c r="V113" s="8">
        <f>IF(AND($A113&gt;=customs_fx_first,$A113&lt;=customs_fx_last+customs_fx_notification_validity_days),IF($A113&lt;=INDEX(pdates_customs_usdinr_import,1),INDEX(pvals_customs_usdinr_import,1),INDEX(pvals_customs_usdinr_import,MATCH($A113,pdates_customs_usdinr_import,1))),$F113*(1+customs_fx_markup_frac))</f>
        <v/>
      </c>
      <c r="W113" s="8">
        <f>IF(AND($A113&gt;=customs_fx_first,$A113&lt;=customs_fx_last+customs_fx_notification_validity_days),"CBIC_NOTIFIED","MARKUP_FALLBACK")</f>
        <v/>
      </c>
      <c r="X113" s="8">
        <f>IF($A113&lt;=INDEX(pdates_grade_factor_zorba,1),INDEX(pvals_grade_factor_zorba,1),IF($A113&gt;=INDEX(pdates_grade_factor_zorba,10),INDEX(pvals_grade_factor_zorba,10),INDEX(pvals_grade_factor_zorba,MATCH($A113,pdates_grade_factor_zorba,1))+($A113-INDEX(pdates_grade_factor_zorba,MATCH($A113,pdates_grade_factor_zorba,1)))/(INDEX(pdates_grade_factor_zorba,MATCH($A113,pdates_grade_factor_zorba,1)+1)-INDEX(pdates_grade_factor_zorba,MATCH($A113,pdates_grade_factor_zorba,1)))*(INDEX(pvals_grade_factor_zorba,MATCH($A113,pdates_grade_factor_zorba,1)+1)-INDEX(pvals_grade_factor_zorba,MATCH($A113,pdates_grade_factor_zorba,1)))))</f>
        <v/>
      </c>
      <c r="Y113" s="8">
        <f>IF($A113&lt;=INDEX(pdates_grade_factor_taint_tabor,1),INDEX(pvals_grade_factor_taint_tabor,1),IF($A113&gt;=INDEX(pdates_grade_factor_taint_tabor,10),INDEX(pvals_grade_factor_taint_tabor,10),INDEX(pvals_grade_factor_taint_tabor,MATCH($A113,pdates_grade_factor_taint_tabor,1))+($A113-INDEX(pdates_grade_factor_taint_tabor,MATCH($A113,pdates_grade_factor_taint_tabor,1)))/(INDEX(pdates_grade_factor_taint_tabor,MATCH($A113,pdates_grade_factor_taint_tabor,1)+1)-INDEX(pdates_grade_factor_taint_tabor,MATCH($A113,pdates_grade_factor_taint_tabor,1)))*(INDEX(pvals_grade_factor_taint_tabor,MATCH($A113,pdates_grade_factor_taint_tabor,1)+1)-INDEX(pvals_grade_factor_taint_tabor,MATCH($A113,pdates_grade_factor_taint_tabor,1)))))</f>
        <v/>
      </c>
      <c r="Z113" s="8">
        <f>IF($A113&lt;=INDEX(pdates_grade_factor_tense,1),INDEX(pvals_grade_factor_tense,1),IF($A113&gt;=INDEX(pdates_grade_factor_tense,10),INDEX(pvals_grade_factor_tense,10),INDEX(pvals_grade_factor_tense,MATCH($A113,pdates_grade_factor_tense,1))+($A113-INDEX(pdates_grade_factor_tense,MATCH($A113,pdates_grade_factor_tense,1)))/(INDEX(pdates_grade_factor_tense,MATCH($A113,pdates_grade_factor_tense,1)+1)-INDEX(pdates_grade_factor_tense,MATCH($A113,pdates_grade_factor_tense,1)))*(INDEX(pvals_grade_factor_tense,MATCH($A113,pdates_grade_factor_tense,1)+1)-INDEX(pvals_grade_factor_tense,MATCH($A113,pdates_grade_factor_tense,1)))))</f>
        <v/>
      </c>
      <c r="AA113" s="8">
        <f>IF($A113&lt;=INDEX(pdates_grade_factor_mix_pit,1),INDEX(pvals_grade_factor_mix_pit,1),IF($A113&gt;=INDEX(pdates_grade_factor_mix_pit,10),INDEX(pvals_grade_factor_mix_pit,10),INDEX(pvals_grade_factor_mix_pit,MATCH($A113,pdates_grade_factor_mix_pit,1))+($A113-INDEX(pdates_grade_factor_mix_pit,MATCH($A113,pdates_grade_factor_mix_pit,1)))/(INDEX(pdates_grade_factor_mix_pit,MATCH($A113,pdates_grade_factor_mix_pit,1)+1)-INDEX(pdates_grade_factor_mix_pit,MATCH($A113,pdates_grade_factor_mix_pit,1)))*(INDEX(pvals_grade_factor_mix_pit,MATCH($A113,pdates_grade_factor_mix_pit,1)+1)-INDEX(pvals_grade_factor_mix_pit,MATCH($A113,pdates_grade_factor_mix_pit,1)))))</f>
        <v/>
      </c>
      <c r="AB113" s="16">
        <f>($B113*$F113/kg_per_mt*(1+bcd_primary_al_hs7601*(1+sws_rate_on_bcd))+mcx_domestic_premium_inr_kg)*(1+$I113*MAX(0,$Q113-$A113)/day_count_inr)</f>
        <v/>
      </c>
      <c r="AC113" s="16">
        <f>$M113-$AB113</f>
        <v/>
      </c>
      <c r="AD113" s="7" t="inlineStr">
        <is>
          <t>PROXY_IMPORT_PARITY</t>
        </is>
      </c>
      <c r="AE113" s="7" t="inlineStr">
        <is>
          <t>ECB_CROSS</t>
        </is>
      </c>
      <c r="AF113" s="7" t="inlineStr">
        <is>
          <t>WCI_REPORTED|USEC:SIBLING|JEA:ASSUMPTION</t>
        </is>
      </c>
      <c r="AG113" s="17" t="b">
        <v>0</v>
      </c>
      <c r="AH113" s="17" t="b">
        <v>0</v>
      </c>
    </row>
    <row r="114">
      <c r="A114" s="11" t="n">
        <v>44722</v>
      </c>
      <c r="B114" s="13" t="n">
        <v>2695</v>
      </c>
      <c r="C114" s="13" t="n">
        <v>2710</v>
      </c>
      <c r="D114" s="13" t="n">
        <v>-15</v>
      </c>
      <c r="E114" s="13" t="n">
        <v>427350</v>
      </c>
      <c r="F114" s="13" t="n">
        <v>77.8365</v>
      </c>
      <c r="G114" s="6" t="n">
        <v>78.0782</v>
      </c>
      <c r="H114" s="6" t="n">
        <v>78.5758</v>
      </c>
      <c r="I114" s="14" t="n">
        <v>0.051409</v>
      </c>
      <c r="J114" s="14" t="n">
        <v>0.013414</v>
      </c>
      <c r="K114" s="14" t="n">
        <v>0.049</v>
      </c>
      <c r="L114" s="13" t="n">
        <v>227.0753</v>
      </c>
      <c r="M114" s="13" t="n">
        <v>227.715</v>
      </c>
      <c r="N114" s="13" t="n">
        <v>228.6425</v>
      </c>
      <c r="O114" s="13" t="n">
        <v>19.53</v>
      </c>
      <c r="P114" s="13" t="n">
        <v>86.59999999999999</v>
      </c>
      <c r="Q114" s="12" t="n">
        <v>44742</v>
      </c>
      <c r="R114" s="12" t="n">
        <v>44771</v>
      </c>
      <c r="S114" s="8">
        <f>YEAR($Q114)*100+MONTH($Q114)</f>
        <v/>
      </c>
      <c r="T114" s="8">
        <f>YEAR($R114)*100+MONTH($R114)</f>
        <v/>
      </c>
      <c r="U114" s="15">
        <f>IF($A114&lt;=INDEX(pdates_wc_rate_inr_pa,1),INDEX(pvals_wc_rate_inr_pa,1),INDEX(pvals_wc_rate_inr_pa,MATCH($A114,pdates_wc_rate_inr_pa,1)))</f>
        <v/>
      </c>
      <c r="V114" s="8">
        <f>IF(AND($A114&gt;=customs_fx_first,$A114&lt;=customs_fx_last+customs_fx_notification_validity_days),IF($A114&lt;=INDEX(pdates_customs_usdinr_import,1),INDEX(pvals_customs_usdinr_import,1),INDEX(pvals_customs_usdinr_import,MATCH($A114,pdates_customs_usdinr_import,1))),$F114*(1+customs_fx_markup_frac))</f>
        <v/>
      </c>
      <c r="W114" s="8">
        <f>IF(AND($A114&gt;=customs_fx_first,$A114&lt;=customs_fx_last+customs_fx_notification_validity_days),"CBIC_NOTIFIED","MARKUP_FALLBACK")</f>
        <v/>
      </c>
      <c r="X114" s="8">
        <f>IF($A114&lt;=INDEX(pdates_grade_factor_zorba,1),INDEX(pvals_grade_factor_zorba,1),IF($A114&gt;=INDEX(pdates_grade_factor_zorba,10),INDEX(pvals_grade_factor_zorba,10),INDEX(pvals_grade_factor_zorba,MATCH($A114,pdates_grade_factor_zorba,1))+($A114-INDEX(pdates_grade_factor_zorba,MATCH($A114,pdates_grade_factor_zorba,1)))/(INDEX(pdates_grade_factor_zorba,MATCH($A114,pdates_grade_factor_zorba,1)+1)-INDEX(pdates_grade_factor_zorba,MATCH($A114,pdates_grade_factor_zorba,1)))*(INDEX(pvals_grade_factor_zorba,MATCH($A114,pdates_grade_factor_zorba,1)+1)-INDEX(pvals_grade_factor_zorba,MATCH($A114,pdates_grade_factor_zorba,1)))))</f>
        <v/>
      </c>
      <c r="Y114" s="8">
        <f>IF($A114&lt;=INDEX(pdates_grade_factor_taint_tabor,1),INDEX(pvals_grade_factor_taint_tabor,1),IF($A114&gt;=INDEX(pdates_grade_factor_taint_tabor,10),INDEX(pvals_grade_factor_taint_tabor,10),INDEX(pvals_grade_factor_taint_tabor,MATCH($A114,pdates_grade_factor_taint_tabor,1))+($A114-INDEX(pdates_grade_factor_taint_tabor,MATCH($A114,pdates_grade_factor_taint_tabor,1)))/(INDEX(pdates_grade_factor_taint_tabor,MATCH($A114,pdates_grade_factor_taint_tabor,1)+1)-INDEX(pdates_grade_factor_taint_tabor,MATCH($A114,pdates_grade_factor_taint_tabor,1)))*(INDEX(pvals_grade_factor_taint_tabor,MATCH($A114,pdates_grade_factor_taint_tabor,1)+1)-INDEX(pvals_grade_factor_taint_tabor,MATCH($A114,pdates_grade_factor_taint_tabor,1)))))</f>
        <v/>
      </c>
      <c r="Z114" s="8">
        <f>IF($A114&lt;=INDEX(pdates_grade_factor_tense,1),INDEX(pvals_grade_factor_tense,1),IF($A114&gt;=INDEX(pdates_grade_factor_tense,10),INDEX(pvals_grade_factor_tense,10),INDEX(pvals_grade_factor_tense,MATCH($A114,pdates_grade_factor_tense,1))+($A114-INDEX(pdates_grade_factor_tense,MATCH($A114,pdates_grade_factor_tense,1)))/(INDEX(pdates_grade_factor_tense,MATCH($A114,pdates_grade_factor_tense,1)+1)-INDEX(pdates_grade_factor_tense,MATCH($A114,pdates_grade_factor_tense,1)))*(INDEX(pvals_grade_factor_tense,MATCH($A114,pdates_grade_factor_tense,1)+1)-INDEX(pvals_grade_factor_tense,MATCH($A114,pdates_grade_factor_tense,1)))))</f>
        <v/>
      </c>
      <c r="AA114" s="8">
        <f>IF($A114&lt;=INDEX(pdates_grade_factor_mix_pit,1),INDEX(pvals_grade_factor_mix_pit,1),IF($A114&gt;=INDEX(pdates_grade_factor_mix_pit,10),INDEX(pvals_grade_factor_mix_pit,10),INDEX(pvals_grade_factor_mix_pit,MATCH($A114,pdates_grade_factor_mix_pit,1))+($A114-INDEX(pdates_grade_factor_mix_pit,MATCH($A114,pdates_grade_factor_mix_pit,1)))/(INDEX(pdates_grade_factor_mix_pit,MATCH($A114,pdates_grade_factor_mix_pit,1)+1)-INDEX(pdates_grade_factor_mix_pit,MATCH($A114,pdates_grade_factor_mix_pit,1)))*(INDEX(pvals_grade_factor_mix_pit,MATCH($A114,pdates_grade_factor_mix_pit,1)+1)-INDEX(pvals_grade_factor_mix_pit,MATCH($A114,pdates_grade_factor_mix_pit,1)))))</f>
        <v/>
      </c>
      <c r="AB114" s="16">
        <f>($B114*$F114/kg_per_mt*(1+bcd_primary_al_hs7601*(1+sws_rate_on_bcd))+mcx_domestic_premium_inr_kg)*(1+$I114*MAX(0,$Q114-$A114)/day_count_inr)</f>
        <v/>
      </c>
      <c r="AC114" s="16">
        <f>$M114-$AB114</f>
        <v/>
      </c>
      <c r="AD114" s="7" t="inlineStr">
        <is>
          <t>PROXY_IMPORT_PARITY</t>
        </is>
      </c>
      <c r="AE114" s="7" t="inlineStr">
        <is>
          <t>ECB_CROSS</t>
        </is>
      </c>
      <c r="AF114" s="7" t="inlineStr">
        <is>
          <t>WCI_REPORTED|USEC:SIBLING|JEA:ASSUMPTION</t>
        </is>
      </c>
      <c r="AG114" s="17" t="b">
        <v>0</v>
      </c>
      <c r="AH114" s="17" t="b">
        <v>1</v>
      </c>
    </row>
    <row r="115">
      <c r="A115" s="11" t="n">
        <v>44725</v>
      </c>
      <c r="B115" s="13" t="n">
        <v>2589.5</v>
      </c>
      <c r="C115" s="13" t="n">
        <v>2606</v>
      </c>
      <c r="D115" s="13" t="n">
        <v>-16.5</v>
      </c>
      <c r="E115" s="13" t="n">
        <v>423975</v>
      </c>
      <c r="F115" s="13" t="n">
        <v>78.0545</v>
      </c>
      <c r="G115" s="6" t="n">
        <v>78.27370000000001</v>
      </c>
      <c r="H115" s="6" t="n">
        <v>78.7246</v>
      </c>
      <c r="I115" s="14" t="n">
        <v>0.051409</v>
      </c>
      <c r="J115" s="14" t="n">
        <v>0.016964</v>
      </c>
      <c r="K115" s="14" t="n">
        <v>0.049</v>
      </c>
      <c r="L115" s="13" t="n">
        <v>218.7972</v>
      </c>
      <c r="M115" s="13" t="n">
        <v>219.3211</v>
      </c>
      <c r="N115" s="13" t="n">
        <v>220.2148</v>
      </c>
      <c r="O115" s="13" t="n">
        <v>19.53</v>
      </c>
      <c r="P115" s="13" t="n">
        <v>86.59999999999999</v>
      </c>
      <c r="Q115" s="12" t="n">
        <v>44742</v>
      </c>
      <c r="R115" s="12" t="n">
        <v>44771</v>
      </c>
      <c r="S115" s="8">
        <f>YEAR($Q115)*100+MONTH($Q115)</f>
        <v/>
      </c>
      <c r="T115" s="8">
        <f>YEAR($R115)*100+MONTH($R115)</f>
        <v/>
      </c>
      <c r="U115" s="15">
        <f>IF($A115&lt;=INDEX(pdates_wc_rate_inr_pa,1),INDEX(pvals_wc_rate_inr_pa,1),INDEX(pvals_wc_rate_inr_pa,MATCH($A115,pdates_wc_rate_inr_pa,1)))</f>
        <v/>
      </c>
      <c r="V115" s="8">
        <f>IF(AND($A115&gt;=customs_fx_first,$A115&lt;=customs_fx_last+customs_fx_notification_validity_days),IF($A115&lt;=INDEX(pdates_customs_usdinr_import,1),INDEX(pvals_customs_usdinr_import,1),INDEX(pvals_customs_usdinr_import,MATCH($A115,pdates_customs_usdinr_import,1))),$F115*(1+customs_fx_markup_frac))</f>
        <v/>
      </c>
      <c r="W115" s="8">
        <f>IF(AND($A115&gt;=customs_fx_first,$A115&lt;=customs_fx_last+customs_fx_notification_validity_days),"CBIC_NOTIFIED","MARKUP_FALLBACK")</f>
        <v/>
      </c>
      <c r="X115" s="8">
        <f>IF($A115&lt;=INDEX(pdates_grade_factor_zorba,1),INDEX(pvals_grade_factor_zorba,1),IF($A115&gt;=INDEX(pdates_grade_factor_zorba,10),INDEX(pvals_grade_factor_zorba,10),INDEX(pvals_grade_factor_zorba,MATCH($A115,pdates_grade_factor_zorba,1))+($A115-INDEX(pdates_grade_factor_zorba,MATCH($A115,pdates_grade_factor_zorba,1)))/(INDEX(pdates_grade_factor_zorba,MATCH($A115,pdates_grade_factor_zorba,1)+1)-INDEX(pdates_grade_factor_zorba,MATCH($A115,pdates_grade_factor_zorba,1)))*(INDEX(pvals_grade_factor_zorba,MATCH($A115,pdates_grade_factor_zorba,1)+1)-INDEX(pvals_grade_factor_zorba,MATCH($A115,pdates_grade_factor_zorba,1)))))</f>
        <v/>
      </c>
      <c r="Y115" s="8">
        <f>IF($A115&lt;=INDEX(pdates_grade_factor_taint_tabor,1),INDEX(pvals_grade_factor_taint_tabor,1),IF($A115&gt;=INDEX(pdates_grade_factor_taint_tabor,10),INDEX(pvals_grade_factor_taint_tabor,10),INDEX(pvals_grade_factor_taint_tabor,MATCH($A115,pdates_grade_factor_taint_tabor,1))+($A115-INDEX(pdates_grade_factor_taint_tabor,MATCH($A115,pdates_grade_factor_taint_tabor,1)))/(INDEX(pdates_grade_factor_taint_tabor,MATCH($A115,pdates_grade_factor_taint_tabor,1)+1)-INDEX(pdates_grade_factor_taint_tabor,MATCH($A115,pdates_grade_factor_taint_tabor,1)))*(INDEX(pvals_grade_factor_taint_tabor,MATCH($A115,pdates_grade_factor_taint_tabor,1)+1)-INDEX(pvals_grade_factor_taint_tabor,MATCH($A115,pdates_grade_factor_taint_tabor,1)))))</f>
        <v/>
      </c>
      <c r="Z115" s="8">
        <f>IF($A115&lt;=INDEX(pdates_grade_factor_tense,1),INDEX(pvals_grade_factor_tense,1),IF($A115&gt;=INDEX(pdates_grade_factor_tense,10),INDEX(pvals_grade_factor_tense,10),INDEX(pvals_grade_factor_tense,MATCH($A115,pdates_grade_factor_tense,1))+($A115-INDEX(pdates_grade_factor_tense,MATCH($A115,pdates_grade_factor_tense,1)))/(INDEX(pdates_grade_factor_tense,MATCH($A115,pdates_grade_factor_tense,1)+1)-INDEX(pdates_grade_factor_tense,MATCH($A115,pdates_grade_factor_tense,1)))*(INDEX(pvals_grade_factor_tense,MATCH($A115,pdates_grade_factor_tense,1)+1)-INDEX(pvals_grade_factor_tense,MATCH($A115,pdates_grade_factor_tense,1)))))</f>
        <v/>
      </c>
      <c r="AA115" s="8">
        <f>IF($A115&lt;=INDEX(pdates_grade_factor_mix_pit,1),INDEX(pvals_grade_factor_mix_pit,1),IF($A115&gt;=INDEX(pdates_grade_factor_mix_pit,10),INDEX(pvals_grade_factor_mix_pit,10),INDEX(pvals_grade_factor_mix_pit,MATCH($A115,pdates_grade_factor_mix_pit,1))+($A115-INDEX(pdates_grade_factor_mix_pit,MATCH($A115,pdates_grade_factor_mix_pit,1)))/(INDEX(pdates_grade_factor_mix_pit,MATCH($A115,pdates_grade_factor_mix_pit,1)+1)-INDEX(pdates_grade_factor_mix_pit,MATCH($A115,pdates_grade_factor_mix_pit,1)))*(INDEX(pvals_grade_factor_mix_pit,MATCH($A115,pdates_grade_factor_mix_pit,1)+1)-INDEX(pvals_grade_factor_mix_pit,MATCH($A115,pdates_grade_factor_mix_pit,1)))))</f>
        <v/>
      </c>
      <c r="AB115" s="16">
        <f>($B115*$F115/kg_per_mt*(1+bcd_primary_al_hs7601*(1+sws_rate_on_bcd))+mcx_domestic_premium_inr_kg)*(1+$I115*MAX(0,$Q115-$A115)/day_count_inr)</f>
        <v/>
      </c>
      <c r="AC115" s="16">
        <f>$M115-$AB115</f>
        <v/>
      </c>
      <c r="AD115" s="7" t="inlineStr">
        <is>
          <t>PROXY_IMPORT_PARITY</t>
        </is>
      </c>
      <c r="AE115" s="7" t="inlineStr">
        <is>
          <t>ECB_CROSS</t>
        </is>
      </c>
      <c r="AF115" s="7" t="inlineStr">
        <is>
          <t>WCI_REPORTED|USEC:SIBLING|JEA:ASSUMPTION</t>
        </is>
      </c>
      <c r="AG115" s="17" t="b">
        <v>0</v>
      </c>
      <c r="AH115" s="17" t="b">
        <v>1</v>
      </c>
    </row>
    <row r="116">
      <c r="A116" s="11" t="n">
        <v>44726</v>
      </c>
      <c r="B116" s="13" t="n">
        <v>2588</v>
      </c>
      <c r="C116" s="13" t="n">
        <v>2611</v>
      </c>
      <c r="D116" s="13" t="n">
        <v>-23</v>
      </c>
      <c r="E116" s="13" t="n">
        <v>420675</v>
      </c>
      <c r="F116" s="13" t="n">
        <v>78.032</v>
      </c>
      <c r="G116" s="6" t="n">
        <v>78.2453</v>
      </c>
      <c r="H116" s="6" t="n">
        <v>78.6841</v>
      </c>
      <c r="I116" s="14" t="n">
        <v>0.051409</v>
      </c>
      <c r="J116" s="14" t="n">
        <v>0.017852</v>
      </c>
      <c r="K116" s="14" t="n">
        <v>0.049</v>
      </c>
      <c r="L116" s="13" t="n">
        <v>218.6074</v>
      </c>
      <c r="M116" s="13" t="n">
        <v>219.1001</v>
      </c>
      <c r="N116" s="13" t="n">
        <v>219.993</v>
      </c>
      <c r="O116" s="13" t="n">
        <v>19.53</v>
      </c>
      <c r="P116" s="13" t="n">
        <v>86.59999999999999</v>
      </c>
      <c r="Q116" s="12" t="n">
        <v>44742</v>
      </c>
      <c r="R116" s="12" t="n">
        <v>44771</v>
      </c>
      <c r="S116" s="8">
        <f>YEAR($Q116)*100+MONTH($Q116)</f>
        <v/>
      </c>
      <c r="T116" s="8">
        <f>YEAR($R116)*100+MONTH($R116)</f>
        <v/>
      </c>
      <c r="U116" s="15">
        <f>IF($A116&lt;=INDEX(pdates_wc_rate_inr_pa,1),INDEX(pvals_wc_rate_inr_pa,1),INDEX(pvals_wc_rate_inr_pa,MATCH($A116,pdates_wc_rate_inr_pa,1)))</f>
        <v/>
      </c>
      <c r="V116" s="8">
        <f>IF(AND($A116&gt;=customs_fx_first,$A116&lt;=customs_fx_last+customs_fx_notification_validity_days),IF($A116&lt;=INDEX(pdates_customs_usdinr_import,1),INDEX(pvals_customs_usdinr_import,1),INDEX(pvals_customs_usdinr_import,MATCH($A116,pdates_customs_usdinr_import,1))),$F116*(1+customs_fx_markup_frac))</f>
        <v/>
      </c>
      <c r="W116" s="8">
        <f>IF(AND($A116&gt;=customs_fx_first,$A116&lt;=customs_fx_last+customs_fx_notification_validity_days),"CBIC_NOTIFIED","MARKUP_FALLBACK")</f>
        <v/>
      </c>
      <c r="X116" s="8">
        <f>IF($A116&lt;=INDEX(pdates_grade_factor_zorba,1),INDEX(pvals_grade_factor_zorba,1),IF($A116&gt;=INDEX(pdates_grade_factor_zorba,10),INDEX(pvals_grade_factor_zorba,10),INDEX(pvals_grade_factor_zorba,MATCH($A116,pdates_grade_factor_zorba,1))+($A116-INDEX(pdates_grade_factor_zorba,MATCH($A116,pdates_grade_factor_zorba,1)))/(INDEX(pdates_grade_factor_zorba,MATCH($A116,pdates_grade_factor_zorba,1)+1)-INDEX(pdates_grade_factor_zorba,MATCH($A116,pdates_grade_factor_zorba,1)))*(INDEX(pvals_grade_factor_zorba,MATCH($A116,pdates_grade_factor_zorba,1)+1)-INDEX(pvals_grade_factor_zorba,MATCH($A116,pdates_grade_factor_zorba,1)))))</f>
        <v/>
      </c>
      <c r="Y116" s="8">
        <f>IF($A116&lt;=INDEX(pdates_grade_factor_taint_tabor,1),INDEX(pvals_grade_factor_taint_tabor,1),IF($A116&gt;=INDEX(pdates_grade_factor_taint_tabor,10),INDEX(pvals_grade_factor_taint_tabor,10),INDEX(pvals_grade_factor_taint_tabor,MATCH($A116,pdates_grade_factor_taint_tabor,1))+($A116-INDEX(pdates_grade_factor_taint_tabor,MATCH($A116,pdates_grade_factor_taint_tabor,1)))/(INDEX(pdates_grade_factor_taint_tabor,MATCH($A116,pdates_grade_factor_taint_tabor,1)+1)-INDEX(pdates_grade_factor_taint_tabor,MATCH($A116,pdates_grade_factor_taint_tabor,1)))*(INDEX(pvals_grade_factor_taint_tabor,MATCH($A116,pdates_grade_factor_taint_tabor,1)+1)-INDEX(pvals_grade_factor_taint_tabor,MATCH($A116,pdates_grade_factor_taint_tabor,1)))))</f>
        <v/>
      </c>
      <c r="Z116" s="8">
        <f>IF($A116&lt;=INDEX(pdates_grade_factor_tense,1),INDEX(pvals_grade_factor_tense,1),IF($A116&gt;=INDEX(pdates_grade_factor_tense,10),INDEX(pvals_grade_factor_tense,10),INDEX(pvals_grade_factor_tense,MATCH($A116,pdates_grade_factor_tense,1))+($A116-INDEX(pdates_grade_factor_tense,MATCH($A116,pdates_grade_factor_tense,1)))/(INDEX(pdates_grade_factor_tense,MATCH($A116,pdates_grade_factor_tense,1)+1)-INDEX(pdates_grade_factor_tense,MATCH($A116,pdates_grade_factor_tense,1)))*(INDEX(pvals_grade_factor_tense,MATCH($A116,pdates_grade_factor_tense,1)+1)-INDEX(pvals_grade_factor_tense,MATCH($A116,pdates_grade_factor_tense,1)))))</f>
        <v/>
      </c>
      <c r="AA116" s="8">
        <f>IF($A116&lt;=INDEX(pdates_grade_factor_mix_pit,1),INDEX(pvals_grade_factor_mix_pit,1),IF($A116&gt;=INDEX(pdates_grade_factor_mix_pit,10),INDEX(pvals_grade_factor_mix_pit,10),INDEX(pvals_grade_factor_mix_pit,MATCH($A116,pdates_grade_factor_mix_pit,1))+($A116-INDEX(pdates_grade_factor_mix_pit,MATCH($A116,pdates_grade_factor_mix_pit,1)))/(INDEX(pdates_grade_factor_mix_pit,MATCH($A116,pdates_grade_factor_mix_pit,1)+1)-INDEX(pdates_grade_factor_mix_pit,MATCH($A116,pdates_grade_factor_mix_pit,1)))*(INDEX(pvals_grade_factor_mix_pit,MATCH($A116,pdates_grade_factor_mix_pit,1)+1)-INDEX(pvals_grade_factor_mix_pit,MATCH($A116,pdates_grade_factor_mix_pit,1)))))</f>
        <v/>
      </c>
      <c r="AB116" s="16">
        <f>($B116*$F116/kg_per_mt*(1+bcd_primary_al_hs7601*(1+sws_rate_on_bcd))+mcx_domestic_premium_inr_kg)*(1+$I116*MAX(0,$Q116-$A116)/day_count_inr)</f>
        <v/>
      </c>
      <c r="AC116" s="16">
        <f>$M116-$AB116</f>
        <v/>
      </c>
      <c r="AD116" s="7" t="inlineStr">
        <is>
          <t>PROXY_IMPORT_PARITY</t>
        </is>
      </c>
      <c r="AE116" s="7" t="inlineStr">
        <is>
          <t>ECB_CROSS</t>
        </is>
      </c>
      <c r="AF116" s="7" t="inlineStr">
        <is>
          <t>WCI_REPORTED|USEC:SIBLING|JEA:ASSUMPTION</t>
        </is>
      </c>
      <c r="AG116" s="17" t="b">
        <v>0</v>
      </c>
      <c r="AH116" s="17" t="b">
        <v>1</v>
      </c>
    </row>
    <row r="117">
      <c r="A117" s="11" t="n">
        <v>44727</v>
      </c>
      <c r="B117" s="13" t="n">
        <v>2580</v>
      </c>
      <c r="C117" s="13" t="n">
        <v>2594.5</v>
      </c>
      <c r="D117" s="13" t="n">
        <v>-14.5</v>
      </c>
      <c r="E117" s="13" t="n">
        <v>416125</v>
      </c>
      <c r="F117" s="13" t="n">
        <v>78.1461</v>
      </c>
      <c r="G117" s="6" t="n">
        <v>78.3655</v>
      </c>
      <c r="H117" s="6" t="n">
        <v>78.81699999999999</v>
      </c>
      <c r="I117" s="14" t="n">
        <v>0.051409</v>
      </c>
      <c r="J117" s="14" t="n">
        <v>0.016964</v>
      </c>
      <c r="K117" s="14" t="n">
        <v>0.049</v>
      </c>
      <c r="L117" s="13" t="n">
        <v>218.2503</v>
      </c>
      <c r="M117" s="13" t="n">
        <v>218.7114</v>
      </c>
      <c r="N117" s="13" t="n">
        <v>219.6029</v>
      </c>
      <c r="O117" s="13" t="n">
        <v>19.53</v>
      </c>
      <c r="P117" s="13" t="n">
        <v>86.59999999999999</v>
      </c>
      <c r="Q117" s="12" t="n">
        <v>44742</v>
      </c>
      <c r="R117" s="12" t="n">
        <v>44771</v>
      </c>
      <c r="S117" s="8">
        <f>YEAR($Q117)*100+MONTH($Q117)</f>
        <v/>
      </c>
      <c r="T117" s="8">
        <f>YEAR($R117)*100+MONTH($R117)</f>
        <v/>
      </c>
      <c r="U117" s="15">
        <f>IF($A117&lt;=INDEX(pdates_wc_rate_inr_pa,1),INDEX(pvals_wc_rate_inr_pa,1),INDEX(pvals_wc_rate_inr_pa,MATCH($A117,pdates_wc_rate_inr_pa,1)))</f>
        <v/>
      </c>
      <c r="V117" s="8">
        <f>IF(AND($A117&gt;=customs_fx_first,$A117&lt;=customs_fx_last+customs_fx_notification_validity_days),IF($A117&lt;=INDEX(pdates_customs_usdinr_import,1),INDEX(pvals_customs_usdinr_import,1),INDEX(pvals_customs_usdinr_import,MATCH($A117,pdates_customs_usdinr_import,1))),$F117*(1+customs_fx_markup_frac))</f>
        <v/>
      </c>
      <c r="W117" s="8">
        <f>IF(AND($A117&gt;=customs_fx_first,$A117&lt;=customs_fx_last+customs_fx_notification_validity_days),"CBIC_NOTIFIED","MARKUP_FALLBACK")</f>
        <v/>
      </c>
      <c r="X117" s="8">
        <f>IF($A117&lt;=INDEX(pdates_grade_factor_zorba,1),INDEX(pvals_grade_factor_zorba,1),IF($A117&gt;=INDEX(pdates_grade_factor_zorba,10),INDEX(pvals_grade_factor_zorba,10),INDEX(pvals_grade_factor_zorba,MATCH($A117,pdates_grade_factor_zorba,1))+($A117-INDEX(pdates_grade_factor_zorba,MATCH($A117,pdates_grade_factor_zorba,1)))/(INDEX(pdates_grade_factor_zorba,MATCH($A117,pdates_grade_factor_zorba,1)+1)-INDEX(pdates_grade_factor_zorba,MATCH($A117,pdates_grade_factor_zorba,1)))*(INDEX(pvals_grade_factor_zorba,MATCH($A117,pdates_grade_factor_zorba,1)+1)-INDEX(pvals_grade_factor_zorba,MATCH($A117,pdates_grade_factor_zorba,1)))))</f>
        <v/>
      </c>
      <c r="Y117" s="8">
        <f>IF($A117&lt;=INDEX(pdates_grade_factor_taint_tabor,1),INDEX(pvals_grade_factor_taint_tabor,1),IF($A117&gt;=INDEX(pdates_grade_factor_taint_tabor,10),INDEX(pvals_grade_factor_taint_tabor,10),INDEX(pvals_grade_factor_taint_tabor,MATCH($A117,pdates_grade_factor_taint_tabor,1))+($A117-INDEX(pdates_grade_factor_taint_tabor,MATCH($A117,pdates_grade_factor_taint_tabor,1)))/(INDEX(pdates_grade_factor_taint_tabor,MATCH($A117,pdates_grade_factor_taint_tabor,1)+1)-INDEX(pdates_grade_factor_taint_tabor,MATCH($A117,pdates_grade_factor_taint_tabor,1)))*(INDEX(pvals_grade_factor_taint_tabor,MATCH($A117,pdates_grade_factor_taint_tabor,1)+1)-INDEX(pvals_grade_factor_taint_tabor,MATCH($A117,pdates_grade_factor_taint_tabor,1)))))</f>
        <v/>
      </c>
      <c r="Z117" s="8">
        <f>IF($A117&lt;=INDEX(pdates_grade_factor_tense,1),INDEX(pvals_grade_factor_tense,1),IF($A117&gt;=INDEX(pdates_grade_factor_tense,10),INDEX(pvals_grade_factor_tense,10),INDEX(pvals_grade_factor_tense,MATCH($A117,pdates_grade_factor_tense,1))+($A117-INDEX(pdates_grade_factor_tense,MATCH($A117,pdates_grade_factor_tense,1)))/(INDEX(pdates_grade_factor_tense,MATCH($A117,pdates_grade_factor_tense,1)+1)-INDEX(pdates_grade_factor_tense,MATCH($A117,pdates_grade_factor_tense,1)))*(INDEX(pvals_grade_factor_tense,MATCH($A117,pdates_grade_factor_tense,1)+1)-INDEX(pvals_grade_factor_tense,MATCH($A117,pdates_grade_factor_tense,1)))))</f>
        <v/>
      </c>
      <c r="AA117" s="8">
        <f>IF($A117&lt;=INDEX(pdates_grade_factor_mix_pit,1),INDEX(pvals_grade_factor_mix_pit,1),IF($A117&gt;=INDEX(pdates_grade_factor_mix_pit,10),INDEX(pvals_grade_factor_mix_pit,10),INDEX(pvals_grade_factor_mix_pit,MATCH($A117,pdates_grade_factor_mix_pit,1))+($A117-INDEX(pdates_grade_factor_mix_pit,MATCH($A117,pdates_grade_factor_mix_pit,1)))/(INDEX(pdates_grade_factor_mix_pit,MATCH($A117,pdates_grade_factor_mix_pit,1)+1)-INDEX(pdates_grade_factor_mix_pit,MATCH($A117,pdates_grade_factor_mix_pit,1)))*(INDEX(pvals_grade_factor_mix_pit,MATCH($A117,pdates_grade_factor_mix_pit,1)+1)-INDEX(pvals_grade_factor_mix_pit,MATCH($A117,pdates_grade_factor_mix_pit,1)))))</f>
        <v/>
      </c>
      <c r="AB117" s="16">
        <f>($B117*$F117/kg_per_mt*(1+bcd_primary_al_hs7601*(1+sws_rate_on_bcd))+mcx_domestic_premium_inr_kg)*(1+$I117*MAX(0,$Q117-$A117)/day_count_inr)</f>
        <v/>
      </c>
      <c r="AC117" s="16">
        <f>$M117-$AB117</f>
        <v/>
      </c>
      <c r="AD117" s="7" t="inlineStr">
        <is>
          <t>PROXY_IMPORT_PARITY</t>
        </is>
      </c>
      <c r="AE117" s="7" t="inlineStr">
        <is>
          <t>ECB_CROSS</t>
        </is>
      </c>
      <c r="AF117" s="7" t="inlineStr">
        <is>
          <t>WCI_REPORTED|USEC:SIBLING|JEA:ASSUMPTION</t>
        </is>
      </c>
      <c r="AG117" s="17" t="b">
        <v>0</v>
      </c>
      <c r="AH117" s="17" t="b">
        <v>1</v>
      </c>
    </row>
    <row r="118">
      <c r="A118" s="11" t="n">
        <v>44728</v>
      </c>
      <c r="B118" s="13" t="n">
        <v>2500.5</v>
      </c>
      <c r="C118" s="13" t="n">
        <v>2525</v>
      </c>
      <c r="D118" s="13" t="n">
        <v>-24.5</v>
      </c>
      <c r="E118" s="13" t="n">
        <v>411575</v>
      </c>
      <c r="F118" s="13" t="n">
        <v>78.0716</v>
      </c>
      <c r="G118" s="6" t="n">
        <v>78.3005</v>
      </c>
      <c r="H118" s="6" t="n">
        <v>78.77160000000001</v>
      </c>
      <c r="I118" s="14" t="n">
        <v>0.051409</v>
      </c>
      <c r="J118" s="14" t="n">
        <v>0.015485</v>
      </c>
      <c r="K118" s="14" t="n">
        <v>0.049</v>
      </c>
      <c r="L118" s="13" t="n">
        <v>211.3235</v>
      </c>
      <c r="M118" s="13" t="n">
        <v>211.7402</v>
      </c>
      <c r="N118" s="13" t="n">
        <v>212.6034</v>
      </c>
      <c r="O118" s="13" t="n">
        <v>19.15</v>
      </c>
      <c r="P118" s="13" t="n">
        <v>84.91</v>
      </c>
      <c r="Q118" s="12" t="n">
        <v>44742</v>
      </c>
      <c r="R118" s="12" t="n">
        <v>44771</v>
      </c>
      <c r="S118" s="8">
        <f>YEAR($Q118)*100+MONTH($Q118)</f>
        <v/>
      </c>
      <c r="T118" s="8">
        <f>YEAR($R118)*100+MONTH($R118)</f>
        <v/>
      </c>
      <c r="U118" s="15">
        <f>IF($A118&lt;=INDEX(pdates_wc_rate_inr_pa,1),INDEX(pvals_wc_rate_inr_pa,1),INDEX(pvals_wc_rate_inr_pa,MATCH($A118,pdates_wc_rate_inr_pa,1)))</f>
        <v/>
      </c>
      <c r="V118" s="8">
        <f>IF(AND($A118&gt;=customs_fx_first,$A118&lt;=customs_fx_last+customs_fx_notification_validity_days),IF($A118&lt;=INDEX(pdates_customs_usdinr_import,1),INDEX(pvals_customs_usdinr_import,1),INDEX(pvals_customs_usdinr_import,MATCH($A118,pdates_customs_usdinr_import,1))),$F118*(1+customs_fx_markup_frac))</f>
        <v/>
      </c>
      <c r="W118" s="8">
        <f>IF(AND($A118&gt;=customs_fx_first,$A118&lt;=customs_fx_last+customs_fx_notification_validity_days),"CBIC_NOTIFIED","MARKUP_FALLBACK")</f>
        <v/>
      </c>
      <c r="X118" s="8">
        <f>IF($A118&lt;=INDEX(pdates_grade_factor_zorba,1),INDEX(pvals_grade_factor_zorba,1),IF($A118&gt;=INDEX(pdates_grade_factor_zorba,10),INDEX(pvals_grade_factor_zorba,10),INDEX(pvals_grade_factor_zorba,MATCH($A118,pdates_grade_factor_zorba,1))+($A118-INDEX(pdates_grade_factor_zorba,MATCH($A118,pdates_grade_factor_zorba,1)))/(INDEX(pdates_grade_factor_zorba,MATCH($A118,pdates_grade_factor_zorba,1)+1)-INDEX(pdates_grade_factor_zorba,MATCH($A118,pdates_grade_factor_zorba,1)))*(INDEX(pvals_grade_factor_zorba,MATCH($A118,pdates_grade_factor_zorba,1)+1)-INDEX(pvals_grade_factor_zorba,MATCH($A118,pdates_grade_factor_zorba,1)))))</f>
        <v/>
      </c>
      <c r="Y118" s="8">
        <f>IF($A118&lt;=INDEX(pdates_grade_factor_taint_tabor,1),INDEX(pvals_grade_factor_taint_tabor,1),IF($A118&gt;=INDEX(pdates_grade_factor_taint_tabor,10),INDEX(pvals_grade_factor_taint_tabor,10),INDEX(pvals_grade_factor_taint_tabor,MATCH($A118,pdates_grade_factor_taint_tabor,1))+($A118-INDEX(pdates_grade_factor_taint_tabor,MATCH($A118,pdates_grade_factor_taint_tabor,1)))/(INDEX(pdates_grade_factor_taint_tabor,MATCH($A118,pdates_grade_factor_taint_tabor,1)+1)-INDEX(pdates_grade_factor_taint_tabor,MATCH($A118,pdates_grade_factor_taint_tabor,1)))*(INDEX(pvals_grade_factor_taint_tabor,MATCH($A118,pdates_grade_factor_taint_tabor,1)+1)-INDEX(pvals_grade_factor_taint_tabor,MATCH($A118,pdates_grade_factor_taint_tabor,1)))))</f>
        <v/>
      </c>
      <c r="Z118" s="8">
        <f>IF($A118&lt;=INDEX(pdates_grade_factor_tense,1),INDEX(pvals_grade_factor_tense,1),IF($A118&gt;=INDEX(pdates_grade_factor_tense,10),INDEX(pvals_grade_factor_tense,10),INDEX(pvals_grade_factor_tense,MATCH($A118,pdates_grade_factor_tense,1))+($A118-INDEX(pdates_grade_factor_tense,MATCH($A118,pdates_grade_factor_tense,1)))/(INDEX(pdates_grade_factor_tense,MATCH($A118,pdates_grade_factor_tense,1)+1)-INDEX(pdates_grade_factor_tense,MATCH($A118,pdates_grade_factor_tense,1)))*(INDEX(pvals_grade_factor_tense,MATCH($A118,pdates_grade_factor_tense,1)+1)-INDEX(pvals_grade_factor_tense,MATCH($A118,pdates_grade_factor_tense,1)))))</f>
        <v/>
      </c>
      <c r="AA118" s="8">
        <f>IF($A118&lt;=INDEX(pdates_grade_factor_mix_pit,1),INDEX(pvals_grade_factor_mix_pit,1),IF($A118&gt;=INDEX(pdates_grade_factor_mix_pit,10),INDEX(pvals_grade_factor_mix_pit,10),INDEX(pvals_grade_factor_mix_pit,MATCH($A118,pdates_grade_factor_mix_pit,1))+($A118-INDEX(pdates_grade_factor_mix_pit,MATCH($A118,pdates_grade_factor_mix_pit,1)))/(INDEX(pdates_grade_factor_mix_pit,MATCH($A118,pdates_grade_factor_mix_pit,1)+1)-INDEX(pdates_grade_factor_mix_pit,MATCH($A118,pdates_grade_factor_mix_pit,1)))*(INDEX(pvals_grade_factor_mix_pit,MATCH($A118,pdates_grade_factor_mix_pit,1)+1)-INDEX(pvals_grade_factor_mix_pit,MATCH($A118,pdates_grade_factor_mix_pit,1)))))</f>
        <v/>
      </c>
      <c r="AB118" s="16">
        <f>($B118*$F118/kg_per_mt*(1+bcd_primary_al_hs7601*(1+sws_rate_on_bcd))+mcx_domestic_premium_inr_kg)*(1+$I118*MAX(0,$Q118-$A118)/day_count_inr)</f>
        <v/>
      </c>
      <c r="AC118" s="16">
        <f>$M118-$AB118</f>
        <v/>
      </c>
      <c r="AD118" s="7" t="inlineStr">
        <is>
          <t>PROXY_IMPORT_PARITY</t>
        </is>
      </c>
      <c r="AE118" s="7" t="inlineStr">
        <is>
          <t>ECB_CROSS</t>
        </is>
      </c>
      <c r="AF118" s="7" t="inlineStr">
        <is>
          <t>WCI_REPORTED|USEC:SIBLING|JEA:ASSUMPTION</t>
        </is>
      </c>
      <c r="AG118" s="17" t="b">
        <v>0</v>
      </c>
      <c r="AH118" s="17" t="b">
        <v>0</v>
      </c>
    </row>
    <row r="119">
      <c r="A119" s="11" t="n">
        <v>44729</v>
      </c>
      <c r="B119" s="13" t="n">
        <v>2474</v>
      </c>
      <c r="C119" s="13" t="n">
        <v>2502</v>
      </c>
      <c r="D119" s="13" t="n">
        <v>-28</v>
      </c>
      <c r="E119" s="13" t="n">
        <v>407875</v>
      </c>
      <c r="F119" s="13" t="n">
        <v>78.0765</v>
      </c>
      <c r="G119" s="6" t="n">
        <v>78.3028</v>
      </c>
      <c r="H119" s="6" t="n">
        <v>78.7685</v>
      </c>
      <c r="I119" s="14" t="n">
        <v>0.051409</v>
      </c>
      <c r="J119" s="14" t="n">
        <v>0.015879</v>
      </c>
      <c r="K119" s="14" t="n">
        <v>0.049</v>
      </c>
      <c r="L119" s="13" t="n">
        <v>209.0971</v>
      </c>
      <c r="M119" s="13" t="n">
        <v>209.4799</v>
      </c>
      <c r="N119" s="13" t="n">
        <v>210.334</v>
      </c>
      <c r="O119" s="13" t="n">
        <v>19.15</v>
      </c>
      <c r="P119" s="13" t="n">
        <v>84.91</v>
      </c>
      <c r="Q119" s="12" t="n">
        <v>44742</v>
      </c>
      <c r="R119" s="12" t="n">
        <v>44771</v>
      </c>
      <c r="S119" s="8">
        <f>YEAR($Q119)*100+MONTH($Q119)</f>
        <v/>
      </c>
      <c r="T119" s="8">
        <f>YEAR($R119)*100+MONTH($R119)</f>
        <v/>
      </c>
      <c r="U119" s="15">
        <f>IF($A119&lt;=INDEX(pdates_wc_rate_inr_pa,1),INDEX(pvals_wc_rate_inr_pa,1),INDEX(pvals_wc_rate_inr_pa,MATCH($A119,pdates_wc_rate_inr_pa,1)))</f>
        <v/>
      </c>
      <c r="V119" s="8">
        <f>IF(AND($A119&gt;=customs_fx_first,$A119&lt;=customs_fx_last+customs_fx_notification_validity_days),IF($A119&lt;=INDEX(pdates_customs_usdinr_import,1),INDEX(pvals_customs_usdinr_import,1),INDEX(pvals_customs_usdinr_import,MATCH($A119,pdates_customs_usdinr_import,1))),$F119*(1+customs_fx_markup_frac))</f>
        <v/>
      </c>
      <c r="W119" s="8">
        <f>IF(AND($A119&gt;=customs_fx_first,$A119&lt;=customs_fx_last+customs_fx_notification_validity_days),"CBIC_NOTIFIED","MARKUP_FALLBACK")</f>
        <v/>
      </c>
      <c r="X119" s="8">
        <f>IF($A119&lt;=INDEX(pdates_grade_factor_zorba,1),INDEX(pvals_grade_factor_zorba,1),IF($A119&gt;=INDEX(pdates_grade_factor_zorba,10),INDEX(pvals_grade_factor_zorba,10),INDEX(pvals_grade_factor_zorba,MATCH($A119,pdates_grade_factor_zorba,1))+($A119-INDEX(pdates_grade_factor_zorba,MATCH($A119,pdates_grade_factor_zorba,1)))/(INDEX(pdates_grade_factor_zorba,MATCH($A119,pdates_grade_factor_zorba,1)+1)-INDEX(pdates_grade_factor_zorba,MATCH($A119,pdates_grade_factor_zorba,1)))*(INDEX(pvals_grade_factor_zorba,MATCH($A119,pdates_grade_factor_zorba,1)+1)-INDEX(pvals_grade_factor_zorba,MATCH($A119,pdates_grade_factor_zorba,1)))))</f>
        <v/>
      </c>
      <c r="Y119" s="8">
        <f>IF($A119&lt;=INDEX(pdates_grade_factor_taint_tabor,1),INDEX(pvals_grade_factor_taint_tabor,1),IF($A119&gt;=INDEX(pdates_grade_factor_taint_tabor,10),INDEX(pvals_grade_factor_taint_tabor,10),INDEX(pvals_grade_factor_taint_tabor,MATCH($A119,pdates_grade_factor_taint_tabor,1))+($A119-INDEX(pdates_grade_factor_taint_tabor,MATCH($A119,pdates_grade_factor_taint_tabor,1)))/(INDEX(pdates_grade_factor_taint_tabor,MATCH($A119,pdates_grade_factor_taint_tabor,1)+1)-INDEX(pdates_grade_factor_taint_tabor,MATCH($A119,pdates_grade_factor_taint_tabor,1)))*(INDEX(pvals_grade_factor_taint_tabor,MATCH($A119,pdates_grade_factor_taint_tabor,1)+1)-INDEX(pvals_grade_factor_taint_tabor,MATCH($A119,pdates_grade_factor_taint_tabor,1)))))</f>
        <v/>
      </c>
      <c r="Z119" s="8">
        <f>IF($A119&lt;=INDEX(pdates_grade_factor_tense,1),INDEX(pvals_grade_factor_tense,1),IF($A119&gt;=INDEX(pdates_grade_factor_tense,10),INDEX(pvals_grade_factor_tense,10),INDEX(pvals_grade_factor_tense,MATCH($A119,pdates_grade_factor_tense,1))+($A119-INDEX(pdates_grade_factor_tense,MATCH($A119,pdates_grade_factor_tense,1)))/(INDEX(pdates_grade_factor_tense,MATCH($A119,pdates_grade_factor_tense,1)+1)-INDEX(pdates_grade_factor_tense,MATCH($A119,pdates_grade_factor_tense,1)))*(INDEX(pvals_grade_factor_tense,MATCH($A119,pdates_grade_factor_tense,1)+1)-INDEX(pvals_grade_factor_tense,MATCH($A119,pdates_grade_factor_tense,1)))))</f>
        <v/>
      </c>
      <c r="AA119" s="8">
        <f>IF($A119&lt;=INDEX(pdates_grade_factor_mix_pit,1),INDEX(pvals_grade_factor_mix_pit,1),IF($A119&gt;=INDEX(pdates_grade_factor_mix_pit,10),INDEX(pvals_grade_factor_mix_pit,10),INDEX(pvals_grade_factor_mix_pit,MATCH($A119,pdates_grade_factor_mix_pit,1))+($A119-INDEX(pdates_grade_factor_mix_pit,MATCH($A119,pdates_grade_factor_mix_pit,1)))/(INDEX(pdates_grade_factor_mix_pit,MATCH($A119,pdates_grade_factor_mix_pit,1)+1)-INDEX(pdates_grade_factor_mix_pit,MATCH($A119,pdates_grade_factor_mix_pit,1)))*(INDEX(pvals_grade_factor_mix_pit,MATCH($A119,pdates_grade_factor_mix_pit,1)+1)-INDEX(pvals_grade_factor_mix_pit,MATCH($A119,pdates_grade_factor_mix_pit,1)))))</f>
        <v/>
      </c>
      <c r="AB119" s="16">
        <f>($B119*$F119/kg_per_mt*(1+bcd_primary_al_hs7601*(1+sws_rate_on_bcd))+mcx_domestic_premium_inr_kg)*(1+$I119*MAX(0,$Q119-$A119)/day_count_inr)</f>
        <v/>
      </c>
      <c r="AC119" s="16">
        <f>$M119-$AB119</f>
        <v/>
      </c>
      <c r="AD119" s="7" t="inlineStr">
        <is>
          <t>PROXY_IMPORT_PARITY</t>
        </is>
      </c>
      <c r="AE119" s="7" t="inlineStr">
        <is>
          <t>ECB_CROSS</t>
        </is>
      </c>
      <c r="AF119" s="7" t="inlineStr">
        <is>
          <t>WCI_REPORTED|USEC:SIBLING|JEA:ASSUMPTION</t>
        </is>
      </c>
      <c r="AG119" s="17" t="b">
        <v>0</v>
      </c>
      <c r="AH119" s="17" t="b">
        <v>1</v>
      </c>
    </row>
    <row r="120">
      <c r="A120" s="11" t="n">
        <v>44732</v>
      </c>
      <c r="B120" s="13" t="n">
        <v>2462</v>
      </c>
      <c r="C120" s="13" t="n">
        <v>2481</v>
      </c>
      <c r="D120" s="13" t="n">
        <v>-19</v>
      </c>
      <c r="E120" s="13" t="n">
        <v>404450</v>
      </c>
      <c r="F120" s="13" t="n">
        <v>77.9633</v>
      </c>
      <c r="G120" s="6" t="n">
        <v>78.1893</v>
      </c>
      <c r="H120" s="6" t="n">
        <v>78.6544</v>
      </c>
      <c r="I120" s="14" t="n">
        <v>0.051409</v>
      </c>
      <c r="J120" s="14" t="n">
        <v>0.015879</v>
      </c>
      <c r="K120" s="14" t="n">
        <v>0.049</v>
      </c>
      <c r="L120" s="13" t="n">
        <v>207.7812</v>
      </c>
      <c r="M120" s="13" t="n">
        <v>208.0738</v>
      </c>
      <c r="N120" s="13" t="n">
        <v>208.9225</v>
      </c>
      <c r="O120" s="13" t="n">
        <v>19.15</v>
      </c>
      <c r="P120" s="13" t="n">
        <v>84.91</v>
      </c>
      <c r="Q120" s="12" t="n">
        <v>44742</v>
      </c>
      <c r="R120" s="12" t="n">
        <v>44771</v>
      </c>
      <c r="S120" s="8">
        <f>YEAR($Q120)*100+MONTH($Q120)</f>
        <v/>
      </c>
      <c r="T120" s="8">
        <f>YEAR($R120)*100+MONTH($R120)</f>
        <v/>
      </c>
      <c r="U120" s="15">
        <f>IF($A120&lt;=INDEX(pdates_wc_rate_inr_pa,1),INDEX(pvals_wc_rate_inr_pa,1),INDEX(pvals_wc_rate_inr_pa,MATCH($A120,pdates_wc_rate_inr_pa,1)))</f>
        <v/>
      </c>
      <c r="V120" s="8">
        <f>IF(AND($A120&gt;=customs_fx_first,$A120&lt;=customs_fx_last+customs_fx_notification_validity_days),IF($A120&lt;=INDEX(pdates_customs_usdinr_import,1),INDEX(pvals_customs_usdinr_import,1),INDEX(pvals_customs_usdinr_import,MATCH($A120,pdates_customs_usdinr_import,1))),$F120*(1+customs_fx_markup_frac))</f>
        <v/>
      </c>
      <c r="W120" s="8">
        <f>IF(AND($A120&gt;=customs_fx_first,$A120&lt;=customs_fx_last+customs_fx_notification_validity_days),"CBIC_NOTIFIED","MARKUP_FALLBACK")</f>
        <v/>
      </c>
      <c r="X120" s="8">
        <f>IF($A120&lt;=INDEX(pdates_grade_factor_zorba,1),INDEX(pvals_grade_factor_zorba,1),IF($A120&gt;=INDEX(pdates_grade_factor_zorba,10),INDEX(pvals_grade_factor_zorba,10),INDEX(pvals_grade_factor_zorba,MATCH($A120,pdates_grade_factor_zorba,1))+($A120-INDEX(pdates_grade_factor_zorba,MATCH($A120,pdates_grade_factor_zorba,1)))/(INDEX(pdates_grade_factor_zorba,MATCH($A120,pdates_grade_factor_zorba,1)+1)-INDEX(pdates_grade_factor_zorba,MATCH($A120,pdates_grade_factor_zorba,1)))*(INDEX(pvals_grade_factor_zorba,MATCH($A120,pdates_grade_factor_zorba,1)+1)-INDEX(pvals_grade_factor_zorba,MATCH($A120,pdates_grade_factor_zorba,1)))))</f>
        <v/>
      </c>
      <c r="Y120" s="8">
        <f>IF($A120&lt;=INDEX(pdates_grade_factor_taint_tabor,1),INDEX(pvals_grade_factor_taint_tabor,1),IF($A120&gt;=INDEX(pdates_grade_factor_taint_tabor,10),INDEX(pvals_grade_factor_taint_tabor,10),INDEX(pvals_grade_factor_taint_tabor,MATCH($A120,pdates_grade_factor_taint_tabor,1))+($A120-INDEX(pdates_grade_factor_taint_tabor,MATCH($A120,pdates_grade_factor_taint_tabor,1)))/(INDEX(pdates_grade_factor_taint_tabor,MATCH($A120,pdates_grade_factor_taint_tabor,1)+1)-INDEX(pdates_grade_factor_taint_tabor,MATCH($A120,pdates_grade_factor_taint_tabor,1)))*(INDEX(pvals_grade_factor_taint_tabor,MATCH($A120,pdates_grade_factor_taint_tabor,1)+1)-INDEX(pvals_grade_factor_taint_tabor,MATCH($A120,pdates_grade_factor_taint_tabor,1)))))</f>
        <v/>
      </c>
      <c r="Z120" s="8">
        <f>IF($A120&lt;=INDEX(pdates_grade_factor_tense,1),INDEX(pvals_grade_factor_tense,1),IF($A120&gt;=INDEX(pdates_grade_factor_tense,10),INDEX(pvals_grade_factor_tense,10),INDEX(pvals_grade_factor_tense,MATCH($A120,pdates_grade_factor_tense,1))+($A120-INDEX(pdates_grade_factor_tense,MATCH($A120,pdates_grade_factor_tense,1)))/(INDEX(pdates_grade_factor_tense,MATCH($A120,pdates_grade_factor_tense,1)+1)-INDEX(pdates_grade_factor_tense,MATCH($A120,pdates_grade_factor_tense,1)))*(INDEX(pvals_grade_factor_tense,MATCH($A120,pdates_grade_factor_tense,1)+1)-INDEX(pvals_grade_factor_tense,MATCH($A120,pdates_grade_factor_tense,1)))))</f>
        <v/>
      </c>
      <c r="AA120" s="8">
        <f>IF($A120&lt;=INDEX(pdates_grade_factor_mix_pit,1),INDEX(pvals_grade_factor_mix_pit,1),IF($A120&gt;=INDEX(pdates_grade_factor_mix_pit,10),INDEX(pvals_grade_factor_mix_pit,10),INDEX(pvals_grade_factor_mix_pit,MATCH($A120,pdates_grade_factor_mix_pit,1))+($A120-INDEX(pdates_grade_factor_mix_pit,MATCH($A120,pdates_grade_factor_mix_pit,1)))/(INDEX(pdates_grade_factor_mix_pit,MATCH($A120,pdates_grade_factor_mix_pit,1)+1)-INDEX(pdates_grade_factor_mix_pit,MATCH($A120,pdates_grade_factor_mix_pit,1)))*(INDEX(pvals_grade_factor_mix_pit,MATCH($A120,pdates_grade_factor_mix_pit,1)+1)-INDEX(pvals_grade_factor_mix_pit,MATCH($A120,pdates_grade_factor_mix_pit,1)))))</f>
        <v/>
      </c>
      <c r="AB120" s="16">
        <f>($B120*$F120/kg_per_mt*(1+bcd_primary_al_hs7601*(1+sws_rate_on_bcd))+mcx_domestic_premium_inr_kg)*(1+$I120*MAX(0,$Q120-$A120)/day_count_inr)</f>
        <v/>
      </c>
      <c r="AC120" s="16">
        <f>$M120-$AB120</f>
        <v/>
      </c>
      <c r="AD120" s="7" t="inlineStr">
        <is>
          <t>PROXY_IMPORT_PARITY</t>
        </is>
      </c>
      <c r="AE120" s="7" t="inlineStr">
        <is>
          <t>ECB_CROSS</t>
        </is>
      </c>
      <c r="AF120" s="7" t="inlineStr">
        <is>
          <t>WCI_REPORTED|USEC:SIBLING|JEA:ASSUMPTION</t>
        </is>
      </c>
      <c r="AG120" s="17" t="b">
        <v>0</v>
      </c>
      <c r="AH120" s="17" t="b">
        <v>1</v>
      </c>
    </row>
    <row r="121">
      <c r="A121" s="11" t="n">
        <v>44733</v>
      </c>
      <c r="B121" s="13" t="n">
        <v>2519.5</v>
      </c>
      <c r="C121" s="13" t="n">
        <v>2532</v>
      </c>
      <c r="D121" s="13" t="n">
        <v>-12.5</v>
      </c>
      <c r="E121" s="13" t="n">
        <v>398925</v>
      </c>
      <c r="F121" s="13" t="n">
        <v>78.12609999999999</v>
      </c>
      <c r="G121" s="6" t="n">
        <v>78.34739999999999</v>
      </c>
      <c r="H121" s="6" t="n">
        <v>78.8027</v>
      </c>
      <c r="I121" s="14" t="n">
        <v>0.051409</v>
      </c>
      <c r="J121" s="14" t="n">
        <v>0.016668</v>
      </c>
      <c r="K121" s="14" t="n">
        <v>0.049</v>
      </c>
      <c r="L121" s="13" t="n">
        <v>213.0779</v>
      </c>
      <c r="M121" s="13" t="n">
        <v>213.348</v>
      </c>
      <c r="N121" s="13" t="n">
        <v>214.2183</v>
      </c>
      <c r="O121" s="13" t="n">
        <v>19.15</v>
      </c>
      <c r="P121" s="13" t="n">
        <v>84.91</v>
      </c>
      <c r="Q121" s="12" t="n">
        <v>44742</v>
      </c>
      <c r="R121" s="12" t="n">
        <v>44771</v>
      </c>
      <c r="S121" s="8">
        <f>YEAR($Q121)*100+MONTH($Q121)</f>
        <v/>
      </c>
      <c r="T121" s="8">
        <f>YEAR($R121)*100+MONTH($R121)</f>
        <v/>
      </c>
      <c r="U121" s="15">
        <f>IF($A121&lt;=INDEX(pdates_wc_rate_inr_pa,1),INDEX(pvals_wc_rate_inr_pa,1),INDEX(pvals_wc_rate_inr_pa,MATCH($A121,pdates_wc_rate_inr_pa,1)))</f>
        <v/>
      </c>
      <c r="V121" s="8">
        <f>IF(AND($A121&gt;=customs_fx_first,$A121&lt;=customs_fx_last+customs_fx_notification_validity_days),IF($A121&lt;=INDEX(pdates_customs_usdinr_import,1),INDEX(pvals_customs_usdinr_import,1),INDEX(pvals_customs_usdinr_import,MATCH($A121,pdates_customs_usdinr_import,1))),$F121*(1+customs_fx_markup_frac))</f>
        <v/>
      </c>
      <c r="W121" s="8">
        <f>IF(AND($A121&gt;=customs_fx_first,$A121&lt;=customs_fx_last+customs_fx_notification_validity_days),"CBIC_NOTIFIED","MARKUP_FALLBACK")</f>
        <v/>
      </c>
      <c r="X121" s="8">
        <f>IF($A121&lt;=INDEX(pdates_grade_factor_zorba,1),INDEX(pvals_grade_factor_zorba,1),IF($A121&gt;=INDEX(pdates_grade_factor_zorba,10),INDEX(pvals_grade_factor_zorba,10),INDEX(pvals_grade_factor_zorba,MATCH($A121,pdates_grade_factor_zorba,1))+($A121-INDEX(pdates_grade_factor_zorba,MATCH($A121,pdates_grade_factor_zorba,1)))/(INDEX(pdates_grade_factor_zorba,MATCH($A121,pdates_grade_factor_zorba,1)+1)-INDEX(pdates_grade_factor_zorba,MATCH($A121,pdates_grade_factor_zorba,1)))*(INDEX(pvals_grade_factor_zorba,MATCH($A121,pdates_grade_factor_zorba,1)+1)-INDEX(pvals_grade_factor_zorba,MATCH($A121,pdates_grade_factor_zorba,1)))))</f>
        <v/>
      </c>
      <c r="Y121" s="8">
        <f>IF($A121&lt;=INDEX(pdates_grade_factor_taint_tabor,1),INDEX(pvals_grade_factor_taint_tabor,1),IF($A121&gt;=INDEX(pdates_grade_factor_taint_tabor,10),INDEX(pvals_grade_factor_taint_tabor,10),INDEX(pvals_grade_factor_taint_tabor,MATCH($A121,pdates_grade_factor_taint_tabor,1))+($A121-INDEX(pdates_grade_factor_taint_tabor,MATCH($A121,pdates_grade_factor_taint_tabor,1)))/(INDEX(pdates_grade_factor_taint_tabor,MATCH($A121,pdates_grade_factor_taint_tabor,1)+1)-INDEX(pdates_grade_factor_taint_tabor,MATCH($A121,pdates_grade_factor_taint_tabor,1)))*(INDEX(pvals_grade_factor_taint_tabor,MATCH($A121,pdates_grade_factor_taint_tabor,1)+1)-INDEX(pvals_grade_factor_taint_tabor,MATCH($A121,pdates_grade_factor_taint_tabor,1)))))</f>
        <v/>
      </c>
      <c r="Z121" s="8">
        <f>IF($A121&lt;=INDEX(pdates_grade_factor_tense,1),INDEX(pvals_grade_factor_tense,1),IF($A121&gt;=INDEX(pdates_grade_factor_tense,10),INDEX(pvals_grade_factor_tense,10),INDEX(pvals_grade_factor_tense,MATCH($A121,pdates_grade_factor_tense,1))+($A121-INDEX(pdates_grade_factor_tense,MATCH($A121,pdates_grade_factor_tense,1)))/(INDEX(pdates_grade_factor_tense,MATCH($A121,pdates_grade_factor_tense,1)+1)-INDEX(pdates_grade_factor_tense,MATCH($A121,pdates_grade_factor_tense,1)))*(INDEX(pvals_grade_factor_tense,MATCH($A121,pdates_grade_factor_tense,1)+1)-INDEX(pvals_grade_factor_tense,MATCH($A121,pdates_grade_factor_tense,1)))))</f>
        <v/>
      </c>
      <c r="AA121" s="8">
        <f>IF($A121&lt;=INDEX(pdates_grade_factor_mix_pit,1),INDEX(pvals_grade_factor_mix_pit,1),IF($A121&gt;=INDEX(pdates_grade_factor_mix_pit,10),INDEX(pvals_grade_factor_mix_pit,10),INDEX(pvals_grade_factor_mix_pit,MATCH($A121,pdates_grade_factor_mix_pit,1))+($A121-INDEX(pdates_grade_factor_mix_pit,MATCH($A121,pdates_grade_factor_mix_pit,1)))/(INDEX(pdates_grade_factor_mix_pit,MATCH($A121,pdates_grade_factor_mix_pit,1)+1)-INDEX(pdates_grade_factor_mix_pit,MATCH($A121,pdates_grade_factor_mix_pit,1)))*(INDEX(pvals_grade_factor_mix_pit,MATCH($A121,pdates_grade_factor_mix_pit,1)+1)-INDEX(pvals_grade_factor_mix_pit,MATCH($A121,pdates_grade_factor_mix_pit,1)))))</f>
        <v/>
      </c>
      <c r="AB121" s="16">
        <f>($B121*$F121/kg_per_mt*(1+bcd_primary_al_hs7601*(1+sws_rate_on_bcd))+mcx_domestic_premium_inr_kg)*(1+$I121*MAX(0,$Q121-$A121)/day_count_inr)</f>
        <v/>
      </c>
      <c r="AC121" s="16">
        <f>$M121-$AB121</f>
        <v/>
      </c>
      <c r="AD121" s="7" t="inlineStr">
        <is>
          <t>PROXY_IMPORT_PARITY</t>
        </is>
      </c>
      <c r="AE121" s="7" t="inlineStr">
        <is>
          <t>ECB_CROSS</t>
        </is>
      </c>
      <c r="AF121" s="7" t="inlineStr">
        <is>
          <t>WCI_REPORTED|USEC:SIBLING|JEA:ASSUMPTION</t>
        </is>
      </c>
      <c r="AG121" s="17" t="b">
        <v>0</v>
      </c>
      <c r="AH121" s="17" t="b">
        <v>1</v>
      </c>
    </row>
    <row r="122">
      <c r="A122" s="11" t="n">
        <v>44734</v>
      </c>
      <c r="B122" s="13" t="n">
        <v>2455.5</v>
      </c>
      <c r="C122" s="13" t="n">
        <v>2470</v>
      </c>
      <c r="D122" s="13" t="n">
        <v>-14.5</v>
      </c>
      <c r="E122" s="13" t="n">
        <v>395575</v>
      </c>
      <c r="F122" s="13" t="n">
        <v>78.3267</v>
      </c>
      <c r="G122" s="6" t="n">
        <v>78.5543</v>
      </c>
      <c r="H122" s="6" t="n">
        <v>79.02290000000001</v>
      </c>
      <c r="I122" s="14" t="n">
        <v>0.051409</v>
      </c>
      <c r="J122" s="14" t="n">
        <v>0.015781</v>
      </c>
      <c r="K122" s="14" t="n">
        <v>0.049</v>
      </c>
      <c r="L122" s="13" t="n">
        <v>208.1985</v>
      </c>
      <c r="M122" s="13" t="n">
        <v>208.4331</v>
      </c>
      <c r="N122" s="13" t="n">
        <v>209.2835</v>
      </c>
      <c r="O122" s="13" t="n">
        <v>19.15</v>
      </c>
      <c r="P122" s="13" t="n">
        <v>84.91</v>
      </c>
      <c r="Q122" s="12" t="n">
        <v>44742</v>
      </c>
      <c r="R122" s="12" t="n">
        <v>44771</v>
      </c>
      <c r="S122" s="8">
        <f>YEAR($Q122)*100+MONTH($Q122)</f>
        <v/>
      </c>
      <c r="T122" s="8">
        <f>YEAR($R122)*100+MONTH($R122)</f>
        <v/>
      </c>
      <c r="U122" s="15">
        <f>IF($A122&lt;=INDEX(pdates_wc_rate_inr_pa,1),INDEX(pvals_wc_rate_inr_pa,1),INDEX(pvals_wc_rate_inr_pa,MATCH($A122,pdates_wc_rate_inr_pa,1)))</f>
        <v/>
      </c>
      <c r="V122" s="8">
        <f>IF(AND($A122&gt;=customs_fx_first,$A122&lt;=customs_fx_last+customs_fx_notification_validity_days),IF($A122&lt;=INDEX(pdates_customs_usdinr_import,1),INDEX(pvals_customs_usdinr_import,1),INDEX(pvals_customs_usdinr_import,MATCH($A122,pdates_customs_usdinr_import,1))),$F122*(1+customs_fx_markup_frac))</f>
        <v/>
      </c>
      <c r="W122" s="8">
        <f>IF(AND($A122&gt;=customs_fx_first,$A122&lt;=customs_fx_last+customs_fx_notification_validity_days),"CBIC_NOTIFIED","MARKUP_FALLBACK")</f>
        <v/>
      </c>
      <c r="X122" s="8">
        <f>IF($A122&lt;=INDEX(pdates_grade_factor_zorba,1),INDEX(pvals_grade_factor_zorba,1),IF($A122&gt;=INDEX(pdates_grade_factor_zorba,10),INDEX(pvals_grade_factor_zorba,10),INDEX(pvals_grade_factor_zorba,MATCH($A122,pdates_grade_factor_zorba,1))+($A122-INDEX(pdates_grade_factor_zorba,MATCH($A122,pdates_grade_factor_zorba,1)))/(INDEX(pdates_grade_factor_zorba,MATCH($A122,pdates_grade_factor_zorba,1)+1)-INDEX(pdates_grade_factor_zorba,MATCH($A122,pdates_grade_factor_zorba,1)))*(INDEX(pvals_grade_factor_zorba,MATCH($A122,pdates_grade_factor_zorba,1)+1)-INDEX(pvals_grade_factor_zorba,MATCH($A122,pdates_grade_factor_zorba,1)))))</f>
        <v/>
      </c>
      <c r="Y122" s="8">
        <f>IF($A122&lt;=INDEX(pdates_grade_factor_taint_tabor,1),INDEX(pvals_grade_factor_taint_tabor,1),IF($A122&gt;=INDEX(pdates_grade_factor_taint_tabor,10),INDEX(pvals_grade_factor_taint_tabor,10),INDEX(pvals_grade_factor_taint_tabor,MATCH($A122,pdates_grade_factor_taint_tabor,1))+($A122-INDEX(pdates_grade_factor_taint_tabor,MATCH($A122,pdates_grade_factor_taint_tabor,1)))/(INDEX(pdates_grade_factor_taint_tabor,MATCH($A122,pdates_grade_factor_taint_tabor,1)+1)-INDEX(pdates_grade_factor_taint_tabor,MATCH($A122,pdates_grade_factor_taint_tabor,1)))*(INDEX(pvals_grade_factor_taint_tabor,MATCH($A122,pdates_grade_factor_taint_tabor,1)+1)-INDEX(pvals_grade_factor_taint_tabor,MATCH($A122,pdates_grade_factor_taint_tabor,1)))))</f>
        <v/>
      </c>
      <c r="Z122" s="8">
        <f>IF($A122&lt;=INDEX(pdates_grade_factor_tense,1),INDEX(pvals_grade_factor_tense,1),IF($A122&gt;=INDEX(pdates_grade_factor_tense,10),INDEX(pvals_grade_factor_tense,10),INDEX(pvals_grade_factor_tense,MATCH($A122,pdates_grade_factor_tense,1))+($A122-INDEX(pdates_grade_factor_tense,MATCH($A122,pdates_grade_factor_tense,1)))/(INDEX(pdates_grade_factor_tense,MATCH($A122,pdates_grade_factor_tense,1)+1)-INDEX(pdates_grade_factor_tense,MATCH($A122,pdates_grade_factor_tense,1)))*(INDEX(pvals_grade_factor_tense,MATCH($A122,pdates_grade_factor_tense,1)+1)-INDEX(pvals_grade_factor_tense,MATCH($A122,pdates_grade_factor_tense,1)))))</f>
        <v/>
      </c>
      <c r="AA122" s="8">
        <f>IF($A122&lt;=INDEX(pdates_grade_factor_mix_pit,1),INDEX(pvals_grade_factor_mix_pit,1),IF($A122&gt;=INDEX(pdates_grade_factor_mix_pit,10),INDEX(pvals_grade_factor_mix_pit,10),INDEX(pvals_grade_factor_mix_pit,MATCH($A122,pdates_grade_factor_mix_pit,1))+($A122-INDEX(pdates_grade_factor_mix_pit,MATCH($A122,pdates_grade_factor_mix_pit,1)))/(INDEX(pdates_grade_factor_mix_pit,MATCH($A122,pdates_grade_factor_mix_pit,1)+1)-INDEX(pdates_grade_factor_mix_pit,MATCH($A122,pdates_grade_factor_mix_pit,1)))*(INDEX(pvals_grade_factor_mix_pit,MATCH($A122,pdates_grade_factor_mix_pit,1)+1)-INDEX(pvals_grade_factor_mix_pit,MATCH($A122,pdates_grade_factor_mix_pit,1)))))</f>
        <v/>
      </c>
      <c r="AB122" s="16">
        <f>($B122*$F122/kg_per_mt*(1+bcd_primary_al_hs7601*(1+sws_rate_on_bcd))+mcx_domestic_premium_inr_kg)*(1+$I122*MAX(0,$Q122-$A122)/day_count_inr)</f>
        <v/>
      </c>
      <c r="AC122" s="16">
        <f>$M122-$AB122</f>
        <v/>
      </c>
      <c r="AD122" s="7" t="inlineStr">
        <is>
          <t>PROXY_IMPORT_PARITY</t>
        </is>
      </c>
      <c r="AE122" s="7" t="inlineStr">
        <is>
          <t>ECB_CROSS</t>
        </is>
      </c>
      <c r="AF122" s="7" t="inlineStr">
        <is>
          <t>WCI_REPORTED|USEC:SIBLING|JEA:ASSUMPTION</t>
        </is>
      </c>
      <c r="AG122" s="17" t="b">
        <v>0</v>
      </c>
      <c r="AH122" s="17" t="b">
        <v>1</v>
      </c>
    </row>
    <row r="123">
      <c r="A123" s="11" t="n">
        <v>44735</v>
      </c>
      <c r="B123" s="13" t="n">
        <v>2480</v>
      </c>
      <c r="C123" s="13" t="n">
        <v>2494</v>
      </c>
      <c r="D123" s="13" t="n">
        <v>-14</v>
      </c>
      <c r="E123" s="13" t="n">
        <v>392275</v>
      </c>
      <c r="F123" s="13" t="n">
        <v>78.28919999999999</v>
      </c>
      <c r="G123" s="6" t="n">
        <v>78.5155</v>
      </c>
      <c r="H123" s="6" t="n">
        <v>78.9812</v>
      </c>
      <c r="I123" s="14" t="n">
        <v>0.051409</v>
      </c>
      <c r="J123" s="14" t="n">
        <v>0.015978</v>
      </c>
      <c r="K123" s="14" t="n">
        <v>0.049</v>
      </c>
      <c r="L123" s="13" t="n">
        <v>210.1752</v>
      </c>
      <c r="M123" s="13" t="n">
        <v>210.3824</v>
      </c>
      <c r="N123" s="13" t="n">
        <v>211.2409</v>
      </c>
      <c r="O123" s="13" t="n">
        <v>18.42</v>
      </c>
      <c r="P123" s="13" t="n">
        <v>81.66</v>
      </c>
      <c r="Q123" s="12" t="n">
        <v>44742</v>
      </c>
      <c r="R123" s="12" t="n">
        <v>44771</v>
      </c>
      <c r="S123" s="8">
        <f>YEAR($Q123)*100+MONTH($Q123)</f>
        <v/>
      </c>
      <c r="T123" s="8">
        <f>YEAR($R123)*100+MONTH($R123)</f>
        <v/>
      </c>
      <c r="U123" s="15">
        <f>IF($A123&lt;=INDEX(pdates_wc_rate_inr_pa,1),INDEX(pvals_wc_rate_inr_pa,1),INDEX(pvals_wc_rate_inr_pa,MATCH($A123,pdates_wc_rate_inr_pa,1)))</f>
        <v/>
      </c>
      <c r="V123" s="8">
        <f>IF(AND($A123&gt;=customs_fx_first,$A123&lt;=customs_fx_last+customs_fx_notification_validity_days),IF($A123&lt;=INDEX(pdates_customs_usdinr_import,1),INDEX(pvals_customs_usdinr_import,1),INDEX(pvals_customs_usdinr_import,MATCH($A123,pdates_customs_usdinr_import,1))),$F123*(1+customs_fx_markup_frac))</f>
        <v/>
      </c>
      <c r="W123" s="8">
        <f>IF(AND($A123&gt;=customs_fx_first,$A123&lt;=customs_fx_last+customs_fx_notification_validity_days),"CBIC_NOTIFIED","MARKUP_FALLBACK")</f>
        <v/>
      </c>
      <c r="X123" s="8">
        <f>IF($A123&lt;=INDEX(pdates_grade_factor_zorba,1),INDEX(pvals_grade_factor_zorba,1),IF($A123&gt;=INDEX(pdates_grade_factor_zorba,10),INDEX(pvals_grade_factor_zorba,10),INDEX(pvals_grade_factor_zorba,MATCH($A123,pdates_grade_factor_zorba,1))+($A123-INDEX(pdates_grade_factor_zorba,MATCH($A123,pdates_grade_factor_zorba,1)))/(INDEX(pdates_grade_factor_zorba,MATCH($A123,pdates_grade_factor_zorba,1)+1)-INDEX(pdates_grade_factor_zorba,MATCH($A123,pdates_grade_factor_zorba,1)))*(INDEX(pvals_grade_factor_zorba,MATCH($A123,pdates_grade_factor_zorba,1)+1)-INDEX(pvals_grade_factor_zorba,MATCH($A123,pdates_grade_factor_zorba,1)))))</f>
        <v/>
      </c>
      <c r="Y123" s="8">
        <f>IF($A123&lt;=INDEX(pdates_grade_factor_taint_tabor,1),INDEX(pvals_grade_factor_taint_tabor,1),IF($A123&gt;=INDEX(pdates_grade_factor_taint_tabor,10),INDEX(pvals_grade_factor_taint_tabor,10),INDEX(pvals_grade_factor_taint_tabor,MATCH($A123,pdates_grade_factor_taint_tabor,1))+($A123-INDEX(pdates_grade_factor_taint_tabor,MATCH($A123,pdates_grade_factor_taint_tabor,1)))/(INDEX(pdates_grade_factor_taint_tabor,MATCH($A123,pdates_grade_factor_taint_tabor,1)+1)-INDEX(pdates_grade_factor_taint_tabor,MATCH($A123,pdates_grade_factor_taint_tabor,1)))*(INDEX(pvals_grade_factor_taint_tabor,MATCH($A123,pdates_grade_factor_taint_tabor,1)+1)-INDEX(pvals_grade_factor_taint_tabor,MATCH($A123,pdates_grade_factor_taint_tabor,1)))))</f>
        <v/>
      </c>
      <c r="Z123" s="8">
        <f>IF($A123&lt;=INDEX(pdates_grade_factor_tense,1),INDEX(pvals_grade_factor_tense,1),IF($A123&gt;=INDEX(pdates_grade_factor_tense,10),INDEX(pvals_grade_factor_tense,10),INDEX(pvals_grade_factor_tense,MATCH($A123,pdates_grade_factor_tense,1))+($A123-INDEX(pdates_grade_factor_tense,MATCH($A123,pdates_grade_factor_tense,1)))/(INDEX(pdates_grade_factor_tense,MATCH($A123,pdates_grade_factor_tense,1)+1)-INDEX(pdates_grade_factor_tense,MATCH($A123,pdates_grade_factor_tense,1)))*(INDEX(pvals_grade_factor_tense,MATCH($A123,pdates_grade_factor_tense,1)+1)-INDEX(pvals_grade_factor_tense,MATCH($A123,pdates_grade_factor_tense,1)))))</f>
        <v/>
      </c>
      <c r="AA123" s="8">
        <f>IF($A123&lt;=INDEX(pdates_grade_factor_mix_pit,1),INDEX(pvals_grade_factor_mix_pit,1),IF($A123&gt;=INDEX(pdates_grade_factor_mix_pit,10),INDEX(pvals_grade_factor_mix_pit,10),INDEX(pvals_grade_factor_mix_pit,MATCH($A123,pdates_grade_factor_mix_pit,1))+($A123-INDEX(pdates_grade_factor_mix_pit,MATCH($A123,pdates_grade_factor_mix_pit,1)))/(INDEX(pdates_grade_factor_mix_pit,MATCH($A123,pdates_grade_factor_mix_pit,1)+1)-INDEX(pdates_grade_factor_mix_pit,MATCH($A123,pdates_grade_factor_mix_pit,1)))*(INDEX(pvals_grade_factor_mix_pit,MATCH($A123,pdates_grade_factor_mix_pit,1)+1)-INDEX(pvals_grade_factor_mix_pit,MATCH($A123,pdates_grade_factor_mix_pit,1)))))</f>
        <v/>
      </c>
      <c r="AB123" s="16">
        <f>($B123*$F123/kg_per_mt*(1+bcd_primary_al_hs7601*(1+sws_rate_on_bcd))+mcx_domestic_premium_inr_kg)*(1+$I123*MAX(0,$Q123-$A123)/day_count_inr)</f>
        <v/>
      </c>
      <c r="AC123" s="16">
        <f>$M123-$AB123</f>
        <v/>
      </c>
      <c r="AD123" s="7" t="inlineStr">
        <is>
          <t>PROXY_IMPORT_PARITY</t>
        </is>
      </c>
      <c r="AE123" s="7" t="inlineStr">
        <is>
          <t>ECB_CROSS</t>
        </is>
      </c>
      <c r="AF123" s="7" t="inlineStr">
        <is>
          <t>WCI_DERIVED|USEC:SIBLING|JEA:ASSUMPTION</t>
        </is>
      </c>
      <c r="AG123" s="17" t="b">
        <v>0</v>
      </c>
      <c r="AH123" s="17" t="b">
        <v>0</v>
      </c>
    </row>
    <row r="124">
      <c r="A124" s="11" t="n">
        <v>44736</v>
      </c>
      <c r="B124" s="13" t="n">
        <v>2436</v>
      </c>
      <c r="C124" s="13" t="n">
        <v>2450.5</v>
      </c>
      <c r="D124" s="13" t="n">
        <v>-14.5</v>
      </c>
      <c r="E124" s="13" t="n">
        <v>388750</v>
      </c>
      <c r="F124" s="13" t="n">
        <v>78.2958</v>
      </c>
      <c r="G124" s="6" t="n">
        <v>78.5176</v>
      </c>
      <c r="H124" s="6" t="n">
        <v>78.9739</v>
      </c>
      <c r="I124" s="14" t="n">
        <v>0.051409</v>
      </c>
      <c r="J124" s="14" t="n">
        <v>0.016668</v>
      </c>
      <c r="K124" s="14" t="n">
        <v>0.049</v>
      </c>
      <c r="L124" s="13" t="n">
        <v>206.4637</v>
      </c>
      <c r="M124" s="13" t="n">
        <v>206.6382</v>
      </c>
      <c r="N124" s="13" t="n">
        <v>207.4815</v>
      </c>
      <c r="O124" s="13" t="n">
        <v>18.42</v>
      </c>
      <c r="P124" s="13" t="n">
        <v>81.66</v>
      </c>
      <c r="Q124" s="12" t="n">
        <v>44742</v>
      </c>
      <c r="R124" s="12" t="n">
        <v>44771</v>
      </c>
      <c r="S124" s="8">
        <f>YEAR($Q124)*100+MONTH($Q124)</f>
        <v/>
      </c>
      <c r="T124" s="8">
        <f>YEAR($R124)*100+MONTH($R124)</f>
        <v/>
      </c>
      <c r="U124" s="15">
        <f>IF($A124&lt;=INDEX(pdates_wc_rate_inr_pa,1),INDEX(pvals_wc_rate_inr_pa,1),INDEX(pvals_wc_rate_inr_pa,MATCH($A124,pdates_wc_rate_inr_pa,1)))</f>
        <v/>
      </c>
      <c r="V124" s="8">
        <f>IF(AND($A124&gt;=customs_fx_first,$A124&lt;=customs_fx_last+customs_fx_notification_validity_days),IF($A124&lt;=INDEX(pdates_customs_usdinr_import,1),INDEX(pvals_customs_usdinr_import,1),INDEX(pvals_customs_usdinr_import,MATCH($A124,pdates_customs_usdinr_import,1))),$F124*(1+customs_fx_markup_frac))</f>
        <v/>
      </c>
      <c r="W124" s="8">
        <f>IF(AND($A124&gt;=customs_fx_first,$A124&lt;=customs_fx_last+customs_fx_notification_validity_days),"CBIC_NOTIFIED","MARKUP_FALLBACK")</f>
        <v/>
      </c>
      <c r="X124" s="8">
        <f>IF($A124&lt;=INDEX(pdates_grade_factor_zorba,1),INDEX(pvals_grade_factor_zorba,1),IF($A124&gt;=INDEX(pdates_grade_factor_zorba,10),INDEX(pvals_grade_factor_zorba,10),INDEX(pvals_grade_factor_zorba,MATCH($A124,pdates_grade_factor_zorba,1))+($A124-INDEX(pdates_grade_factor_zorba,MATCH($A124,pdates_grade_factor_zorba,1)))/(INDEX(pdates_grade_factor_zorba,MATCH($A124,pdates_grade_factor_zorba,1)+1)-INDEX(pdates_grade_factor_zorba,MATCH($A124,pdates_grade_factor_zorba,1)))*(INDEX(pvals_grade_factor_zorba,MATCH($A124,pdates_grade_factor_zorba,1)+1)-INDEX(pvals_grade_factor_zorba,MATCH($A124,pdates_grade_factor_zorba,1)))))</f>
        <v/>
      </c>
      <c r="Y124" s="8">
        <f>IF($A124&lt;=INDEX(pdates_grade_factor_taint_tabor,1),INDEX(pvals_grade_factor_taint_tabor,1),IF($A124&gt;=INDEX(pdates_grade_factor_taint_tabor,10),INDEX(pvals_grade_factor_taint_tabor,10),INDEX(pvals_grade_factor_taint_tabor,MATCH($A124,pdates_grade_factor_taint_tabor,1))+($A124-INDEX(pdates_grade_factor_taint_tabor,MATCH($A124,pdates_grade_factor_taint_tabor,1)))/(INDEX(pdates_grade_factor_taint_tabor,MATCH($A124,pdates_grade_factor_taint_tabor,1)+1)-INDEX(pdates_grade_factor_taint_tabor,MATCH($A124,pdates_grade_factor_taint_tabor,1)))*(INDEX(pvals_grade_factor_taint_tabor,MATCH($A124,pdates_grade_factor_taint_tabor,1)+1)-INDEX(pvals_grade_factor_taint_tabor,MATCH($A124,pdates_grade_factor_taint_tabor,1)))))</f>
        <v/>
      </c>
      <c r="Z124" s="8">
        <f>IF($A124&lt;=INDEX(pdates_grade_factor_tense,1),INDEX(pvals_grade_factor_tense,1),IF($A124&gt;=INDEX(pdates_grade_factor_tense,10),INDEX(pvals_grade_factor_tense,10),INDEX(pvals_grade_factor_tense,MATCH($A124,pdates_grade_factor_tense,1))+($A124-INDEX(pdates_grade_factor_tense,MATCH($A124,pdates_grade_factor_tense,1)))/(INDEX(pdates_grade_factor_tense,MATCH($A124,pdates_grade_factor_tense,1)+1)-INDEX(pdates_grade_factor_tense,MATCH($A124,pdates_grade_factor_tense,1)))*(INDEX(pvals_grade_factor_tense,MATCH($A124,pdates_grade_factor_tense,1)+1)-INDEX(pvals_grade_factor_tense,MATCH($A124,pdates_grade_factor_tense,1)))))</f>
        <v/>
      </c>
      <c r="AA124" s="8">
        <f>IF($A124&lt;=INDEX(pdates_grade_factor_mix_pit,1),INDEX(pvals_grade_factor_mix_pit,1),IF($A124&gt;=INDEX(pdates_grade_factor_mix_pit,10),INDEX(pvals_grade_factor_mix_pit,10),INDEX(pvals_grade_factor_mix_pit,MATCH($A124,pdates_grade_factor_mix_pit,1))+($A124-INDEX(pdates_grade_factor_mix_pit,MATCH($A124,pdates_grade_factor_mix_pit,1)))/(INDEX(pdates_grade_factor_mix_pit,MATCH($A124,pdates_grade_factor_mix_pit,1)+1)-INDEX(pdates_grade_factor_mix_pit,MATCH($A124,pdates_grade_factor_mix_pit,1)))*(INDEX(pvals_grade_factor_mix_pit,MATCH($A124,pdates_grade_factor_mix_pit,1)+1)-INDEX(pvals_grade_factor_mix_pit,MATCH($A124,pdates_grade_factor_mix_pit,1)))))</f>
        <v/>
      </c>
      <c r="AB124" s="16">
        <f>($B124*$F124/kg_per_mt*(1+bcd_primary_al_hs7601*(1+sws_rate_on_bcd))+mcx_domestic_premium_inr_kg)*(1+$I124*MAX(0,$Q124-$A124)/day_count_inr)</f>
        <v/>
      </c>
      <c r="AC124" s="16">
        <f>$M124-$AB124</f>
        <v/>
      </c>
      <c r="AD124" s="7" t="inlineStr">
        <is>
          <t>PROXY_IMPORT_PARITY</t>
        </is>
      </c>
      <c r="AE124" s="7" t="inlineStr">
        <is>
          <t>ECB_CROSS</t>
        </is>
      </c>
      <c r="AF124" s="7" t="inlineStr">
        <is>
          <t>WCI_DERIVED|USEC:SIBLING|JEA:ASSUMPTION</t>
        </is>
      </c>
      <c r="AG124" s="17" t="b">
        <v>0</v>
      </c>
      <c r="AH124" s="17" t="b">
        <v>1</v>
      </c>
    </row>
    <row r="125">
      <c r="A125" s="11" t="n">
        <v>44739</v>
      </c>
      <c r="B125" s="13" t="n">
        <v>2453</v>
      </c>
      <c r="C125" s="13" t="n">
        <v>2480</v>
      </c>
      <c r="D125" s="13" t="n">
        <v>-27</v>
      </c>
      <c r="E125" s="13" t="n">
        <v>384800</v>
      </c>
      <c r="F125" s="13" t="n">
        <v>78.44540000000001</v>
      </c>
      <c r="G125" s="6" t="n">
        <v>78.6618</v>
      </c>
      <c r="H125" s="6" t="n">
        <v>79.107</v>
      </c>
      <c r="I125" s="14" t="n">
        <v>0.051409</v>
      </c>
      <c r="J125" s="14" t="n">
        <v>0.017556</v>
      </c>
      <c r="K125" s="14" t="n">
        <v>0.049</v>
      </c>
      <c r="L125" s="13" t="n">
        <v>208.3018</v>
      </c>
      <c r="M125" s="13" t="n">
        <v>208.3898</v>
      </c>
      <c r="N125" s="13" t="n">
        <v>209.2406</v>
      </c>
      <c r="O125" s="13" t="n">
        <v>18.42</v>
      </c>
      <c r="P125" s="13" t="n">
        <v>81.66</v>
      </c>
      <c r="Q125" s="12" t="n">
        <v>44742</v>
      </c>
      <c r="R125" s="12" t="n">
        <v>44771</v>
      </c>
      <c r="S125" s="8">
        <f>YEAR($Q125)*100+MONTH($Q125)</f>
        <v/>
      </c>
      <c r="T125" s="8">
        <f>YEAR($R125)*100+MONTH($R125)</f>
        <v/>
      </c>
      <c r="U125" s="15">
        <f>IF($A125&lt;=INDEX(pdates_wc_rate_inr_pa,1),INDEX(pvals_wc_rate_inr_pa,1),INDEX(pvals_wc_rate_inr_pa,MATCH($A125,pdates_wc_rate_inr_pa,1)))</f>
        <v/>
      </c>
      <c r="V125" s="8">
        <f>IF(AND($A125&gt;=customs_fx_first,$A125&lt;=customs_fx_last+customs_fx_notification_validity_days),IF($A125&lt;=INDEX(pdates_customs_usdinr_import,1),INDEX(pvals_customs_usdinr_import,1),INDEX(pvals_customs_usdinr_import,MATCH($A125,pdates_customs_usdinr_import,1))),$F125*(1+customs_fx_markup_frac))</f>
        <v/>
      </c>
      <c r="W125" s="8">
        <f>IF(AND($A125&gt;=customs_fx_first,$A125&lt;=customs_fx_last+customs_fx_notification_validity_days),"CBIC_NOTIFIED","MARKUP_FALLBACK")</f>
        <v/>
      </c>
      <c r="X125" s="8">
        <f>IF($A125&lt;=INDEX(pdates_grade_factor_zorba,1),INDEX(pvals_grade_factor_zorba,1),IF($A125&gt;=INDEX(pdates_grade_factor_zorba,10),INDEX(pvals_grade_factor_zorba,10),INDEX(pvals_grade_factor_zorba,MATCH($A125,pdates_grade_factor_zorba,1))+($A125-INDEX(pdates_grade_factor_zorba,MATCH($A125,pdates_grade_factor_zorba,1)))/(INDEX(pdates_grade_factor_zorba,MATCH($A125,pdates_grade_factor_zorba,1)+1)-INDEX(pdates_grade_factor_zorba,MATCH($A125,pdates_grade_factor_zorba,1)))*(INDEX(pvals_grade_factor_zorba,MATCH($A125,pdates_grade_factor_zorba,1)+1)-INDEX(pvals_grade_factor_zorba,MATCH($A125,pdates_grade_factor_zorba,1)))))</f>
        <v/>
      </c>
      <c r="Y125" s="8">
        <f>IF($A125&lt;=INDEX(pdates_grade_factor_taint_tabor,1),INDEX(pvals_grade_factor_taint_tabor,1),IF($A125&gt;=INDEX(pdates_grade_factor_taint_tabor,10),INDEX(pvals_grade_factor_taint_tabor,10),INDEX(pvals_grade_factor_taint_tabor,MATCH($A125,pdates_grade_factor_taint_tabor,1))+($A125-INDEX(pdates_grade_factor_taint_tabor,MATCH($A125,pdates_grade_factor_taint_tabor,1)))/(INDEX(pdates_grade_factor_taint_tabor,MATCH($A125,pdates_grade_factor_taint_tabor,1)+1)-INDEX(pdates_grade_factor_taint_tabor,MATCH($A125,pdates_grade_factor_taint_tabor,1)))*(INDEX(pvals_grade_factor_taint_tabor,MATCH($A125,pdates_grade_factor_taint_tabor,1)+1)-INDEX(pvals_grade_factor_taint_tabor,MATCH($A125,pdates_grade_factor_taint_tabor,1)))))</f>
        <v/>
      </c>
      <c r="Z125" s="8">
        <f>IF($A125&lt;=INDEX(pdates_grade_factor_tense,1),INDEX(pvals_grade_factor_tense,1),IF($A125&gt;=INDEX(pdates_grade_factor_tense,10),INDEX(pvals_grade_factor_tense,10),INDEX(pvals_grade_factor_tense,MATCH($A125,pdates_grade_factor_tense,1))+($A125-INDEX(pdates_grade_factor_tense,MATCH($A125,pdates_grade_factor_tense,1)))/(INDEX(pdates_grade_factor_tense,MATCH($A125,pdates_grade_factor_tense,1)+1)-INDEX(pdates_grade_factor_tense,MATCH($A125,pdates_grade_factor_tense,1)))*(INDEX(pvals_grade_factor_tense,MATCH($A125,pdates_grade_factor_tense,1)+1)-INDEX(pvals_grade_factor_tense,MATCH($A125,pdates_grade_factor_tense,1)))))</f>
        <v/>
      </c>
      <c r="AA125" s="8">
        <f>IF($A125&lt;=INDEX(pdates_grade_factor_mix_pit,1),INDEX(pvals_grade_factor_mix_pit,1),IF($A125&gt;=INDEX(pdates_grade_factor_mix_pit,10),INDEX(pvals_grade_factor_mix_pit,10),INDEX(pvals_grade_factor_mix_pit,MATCH($A125,pdates_grade_factor_mix_pit,1))+($A125-INDEX(pdates_grade_factor_mix_pit,MATCH($A125,pdates_grade_factor_mix_pit,1)))/(INDEX(pdates_grade_factor_mix_pit,MATCH($A125,pdates_grade_factor_mix_pit,1)+1)-INDEX(pdates_grade_factor_mix_pit,MATCH($A125,pdates_grade_factor_mix_pit,1)))*(INDEX(pvals_grade_factor_mix_pit,MATCH($A125,pdates_grade_factor_mix_pit,1)+1)-INDEX(pvals_grade_factor_mix_pit,MATCH($A125,pdates_grade_factor_mix_pit,1)))))</f>
        <v/>
      </c>
      <c r="AB125" s="16">
        <f>($B125*$F125/kg_per_mt*(1+bcd_primary_al_hs7601*(1+sws_rate_on_bcd))+mcx_domestic_premium_inr_kg)*(1+$I125*MAX(0,$Q125-$A125)/day_count_inr)</f>
        <v/>
      </c>
      <c r="AC125" s="16">
        <f>$M125-$AB125</f>
        <v/>
      </c>
      <c r="AD125" s="7" t="inlineStr">
        <is>
          <t>PROXY_IMPORT_PARITY</t>
        </is>
      </c>
      <c r="AE125" s="7" t="inlineStr">
        <is>
          <t>ECB_CROSS</t>
        </is>
      </c>
      <c r="AF125" s="7" t="inlineStr">
        <is>
          <t>WCI_DERIVED|USEC:SIBLING|JEA:ASSUMPTION</t>
        </is>
      </c>
      <c r="AG125" s="17" t="b">
        <v>0</v>
      </c>
      <c r="AH125" s="17" t="b">
        <v>1</v>
      </c>
    </row>
    <row r="126">
      <c r="A126" s="11" t="n">
        <v>44740</v>
      </c>
      <c r="B126" s="13" t="n">
        <v>2500</v>
      </c>
      <c r="C126" s="13" t="n">
        <v>2520</v>
      </c>
      <c r="D126" s="13" t="n">
        <v>-20</v>
      </c>
      <c r="E126" s="13" t="n">
        <v>380675</v>
      </c>
      <c r="F126" s="13" t="n">
        <v>78.9774</v>
      </c>
      <c r="G126" s="6" t="n">
        <v>79.1952</v>
      </c>
      <c r="H126" s="6" t="n">
        <v>79.6434</v>
      </c>
      <c r="I126" s="14" t="n">
        <v>0.051409</v>
      </c>
      <c r="J126" s="14" t="n">
        <v>0.017556</v>
      </c>
      <c r="K126" s="14" t="n">
        <v>0.049</v>
      </c>
      <c r="L126" s="13" t="n">
        <v>213.7326</v>
      </c>
      <c r="M126" s="13" t="n">
        <v>213.7928</v>
      </c>
      <c r="N126" s="13" t="n">
        <v>214.6658</v>
      </c>
      <c r="O126" s="13" t="n">
        <v>18.42</v>
      </c>
      <c r="P126" s="13" t="n">
        <v>81.66</v>
      </c>
      <c r="Q126" s="12" t="n">
        <v>44742</v>
      </c>
      <c r="R126" s="12" t="n">
        <v>44771</v>
      </c>
      <c r="S126" s="8">
        <f>YEAR($Q126)*100+MONTH($Q126)</f>
        <v/>
      </c>
      <c r="T126" s="8">
        <f>YEAR($R126)*100+MONTH($R126)</f>
        <v/>
      </c>
      <c r="U126" s="15">
        <f>IF($A126&lt;=INDEX(pdates_wc_rate_inr_pa,1),INDEX(pvals_wc_rate_inr_pa,1),INDEX(pvals_wc_rate_inr_pa,MATCH($A126,pdates_wc_rate_inr_pa,1)))</f>
        <v/>
      </c>
      <c r="V126" s="8">
        <f>IF(AND($A126&gt;=customs_fx_first,$A126&lt;=customs_fx_last+customs_fx_notification_validity_days),IF($A126&lt;=INDEX(pdates_customs_usdinr_import,1),INDEX(pvals_customs_usdinr_import,1),INDEX(pvals_customs_usdinr_import,MATCH($A126,pdates_customs_usdinr_import,1))),$F126*(1+customs_fx_markup_frac))</f>
        <v/>
      </c>
      <c r="W126" s="8">
        <f>IF(AND($A126&gt;=customs_fx_first,$A126&lt;=customs_fx_last+customs_fx_notification_validity_days),"CBIC_NOTIFIED","MARKUP_FALLBACK")</f>
        <v/>
      </c>
      <c r="X126" s="8">
        <f>IF($A126&lt;=INDEX(pdates_grade_factor_zorba,1),INDEX(pvals_grade_factor_zorba,1),IF($A126&gt;=INDEX(pdates_grade_factor_zorba,10),INDEX(pvals_grade_factor_zorba,10),INDEX(pvals_grade_factor_zorba,MATCH($A126,pdates_grade_factor_zorba,1))+($A126-INDEX(pdates_grade_factor_zorba,MATCH($A126,pdates_grade_factor_zorba,1)))/(INDEX(pdates_grade_factor_zorba,MATCH($A126,pdates_grade_factor_zorba,1)+1)-INDEX(pdates_grade_factor_zorba,MATCH($A126,pdates_grade_factor_zorba,1)))*(INDEX(pvals_grade_factor_zorba,MATCH($A126,pdates_grade_factor_zorba,1)+1)-INDEX(pvals_grade_factor_zorba,MATCH($A126,pdates_grade_factor_zorba,1)))))</f>
        <v/>
      </c>
      <c r="Y126" s="8">
        <f>IF($A126&lt;=INDEX(pdates_grade_factor_taint_tabor,1),INDEX(pvals_grade_factor_taint_tabor,1),IF($A126&gt;=INDEX(pdates_grade_factor_taint_tabor,10),INDEX(pvals_grade_factor_taint_tabor,10),INDEX(pvals_grade_factor_taint_tabor,MATCH($A126,pdates_grade_factor_taint_tabor,1))+($A126-INDEX(pdates_grade_factor_taint_tabor,MATCH($A126,pdates_grade_factor_taint_tabor,1)))/(INDEX(pdates_grade_factor_taint_tabor,MATCH($A126,pdates_grade_factor_taint_tabor,1)+1)-INDEX(pdates_grade_factor_taint_tabor,MATCH($A126,pdates_grade_factor_taint_tabor,1)))*(INDEX(pvals_grade_factor_taint_tabor,MATCH($A126,pdates_grade_factor_taint_tabor,1)+1)-INDEX(pvals_grade_factor_taint_tabor,MATCH($A126,pdates_grade_factor_taint_tabor,1)))))</f>
        <v/>
      </c>
      <c r="Z126" s="8">
        <f>IF($A126&lt;=INDEX(pdates_grade_factor_tense,1),INDEX(pvals_grade_factor_tense,1),IF($A126&gt;=INDEX(pdates_grade_factor_tense,10),INDEX(pvals_grade_factor_tense,10),INDEX(pvals_grade_factor_tense,MATCH($A126,pdates_grade_factor_tense,1))+($A126-INDEX(pdates_grade_factor_tense,MATCH($A126,pdates_grade_factor_tense,1)))/(INDEX(pdates_grade_factor_tense,MATCH($A126,pdates_grade_factor_tense,1)+1)-INDEX(pdates_grade_factor_tense,MATCH($A126,pdates_grade_factor_tense,1)))*(INDEX(pvals_grade_factor_tense,MATCH($A126,pdates_grade_factor_tense,1)+1)-INDEX(pvals_grade_factor_tense,MATCH($A126,pdates_grade_factor_tense,1)))))</f>
        <v/>
      </c>
      <c r="AA126" s="8">
        <f>IF($A126&lt;=INDEX(pdates_grade_factor_mix_pit,1),INDEX(pvals_grade_factor_mix_pit,1),IF($A126&gt;=INDEX(pdates_grade_factor_mix_pit,10),INDEX(pvals_grade_factor_mix_pit,10),INDEX(pvals_grade_factor_mix_pit,MATCH($A126,pdates_grade_factor_mix_pit,1))+($A126-INDEX(pdates_grade_factor_mix_pit,MATCH($A126,pdates_grade_factor_mix_pit,1)))/(INDEX(pdates_grade_factor_mix_pit,MATCH($A126,pdates_grade_factor_mix_pit,1)+1)-INDEX(pdates_grade_factor_mix_pit,MATCH($A126,pdates_grade_factor_mix_pit,1)))*(INDEX(pvals_grade_factor_mix_pit,MATCH($A126,pdates_grade_factor_mix_pit,1)+1)-INDEX(pvals_grade_factor_mix_pit,MATCH($A126,pdates_grade_factor_mix_pit,1)))))</f>
        <v/>
      </c>
      <c r="AB126" s="16">
        <f>($B126*$F126/kg_per_mt*(1+bcd_primary_al_hs7601*(1+sws_rate_on_bcd))+mcx_domestic_premium_inr_kg)*(1+$I126*MAX(0,$Q126-$A126)/day_count_inr)</f>
        <v/>
      </c>
      <c r="AC126" s="16">
        <f>$M126-$AB126</f>
        <v/>
      </c>
      <c r="AD126" s="7" t="inlineStr">
        <is>
          <t>PROXY_IMPORT_PARITY</t>
        </is>
      </c>
      <c r="AE126" s="7" t="inlineStr">
        <is>
          <t>ECB_CROSS</t>
        </is>
      </c>
      <c r="AF126" s="7" t="inlineStr">
        <is>
          <t>WCI_DERIVED|USEC:SIBLING|JEA:ASSUMPTION</t>
        </is>
      </c>
      <c r="AG126" s="17" t="b">
        <v>0</v>
      </c>
      <c r="AH126" s="17" t="b">
        <v>1</v>
      </c>
    </row>
    <row r="127">
      <c r="A127" s="11" t="n">
        <v>44741</v>
      </c>
      <c r="B127" s="13" t="n">
        <v>2452</v>
      </c>
      <c r="C127" s="13" t="n">
        <v>2470.5</v>
      </c>
      <c r="D127" s="13" t="n">
        <v>-18.5</v>
      </c>
      <c r="E127" s="13" t="n">
        <v>376925</v>
      </c>
      <c r="F127" s="13" t="n">
        <v>78.955</v>
      </c>
      <c r="G127" s="6" t="n">
        <v>79.1741</v>
      </c>
      <c r="H127" s="6" t="n">
        <v>79.6249</v>
      </c>
      <c r="I127" s="14" t="n">
        <v>0.051409</v>
      </c>
      <c r="J127" s="14" t="n">
        <v>0.017359</v>
      </c>
      <c r="K127" s="14" t="n">
        <v>0.049</v>
      </c>
      <c r="L127" s="13" t="n">
        <v>209.5695</v>
      </c>
      <c r="M127" s="13" t="n">
        <v>209.599</v>
      </c>
      <c r="N127" s="13" t="n">
        <v>210.455</v>
      </c>
      <c r="O127" s="13" t="n">
        <v>18.42</v>
      </c>
      <c r="P127" s="13" t="n">
        <v>81.66</v>
      </c>
      <c r="Q127" s="12" t="n">
        <v>44742</v>
      </c>
      <c r="R127" s="12" t="n">
        <v>44771</v>
      </c>
      <c r="S127" s="8">
        <f>YEAR($Q127)*100+MONTH($Q127)</f>
        <v/>
      </c>
      <c r="T127" s="8">
        <f>YEAR($R127)*100+MONTH($R127)</f>
        <v/>
      </c>
      <c r="U127" s="15">
        <f>IF($A127&lt;=INDEX(pdates_wc_rate_inr_pa,1),INDEX(pvals_wc_rate_inr_pa,1),INDEX(pvals_wc_rate_inr_pa,MATCH($A127,pdates_wc_rate_inr_pa,1)))</f>
        <v/>
      </c>
      <c r="V127" s="8">
        <f>IF(AND($A127&gt;=customs_fx_first,$A127&lt;=customs_fx_last+customs_fx_notification_validity_days),IF($A127&lt;=INDEX(pdates_customs_usdinr_import,1),INDEX(pvals_customs_usdinr_import,1),INDEX(pvals_customs_usdinr_import,MATCH($A127,pdates_customs_usdinr_import,1))),$F127*(1+customs_fx_markup_frac))</f>
        <v/>
      </c>
      <c r="W127" s="8">
        <f>IF(AND($A127&gt;=customs_fx_first,$A127&lt;=customs_fx_last+customs_fx_notification_validity_days),"CBIC_NOTIFIED","MARKUP_FALLBACK")</f>
        <v/>
      </c>
      <c r="X127" s="8">
        <f>IF($A127&lt;=INDEX(pdates_grade_factor_zorba,1),INDEX(pvals_grade_factor_zorba,1),IF($A127&gt;=INDEX(pdates_grade_factor_zorba,10),INDEX(pvals_grade_factor_zorba,10),INDEX(pvals_grade_factor_zorba,MATCH($A127,pdates_grade_factor_zorba,1))+($A127-INDEX(pdates_grade_factor_zorba,MATCH($A127,pdates_grade_factor_zorba,1)))/(INDEX(pdates_grade_factor_zorba,MATCH($A127,pdates_grade_factor_zorba,1)+1)-INDEX(pdates_grade_factor_zorba,MATCH($A127,pdates_grade_factor_zorba,1)))*(INDEX(pvals_grade_factor_zorba,MATCH($A127,pdates_grade_factor_zorba,1)+1)-INDEX(pvals_grade_factor_zorba,MATCH($A127,pdates_grade_factor_zorba,1)))))</f>
        <v/>
      </c>
      <c r="Y127" s="8">
        <f>IF($A127&lt;=INDEX(pdates_grade_factor_taint_tabor,1),INDEX(pvals_grade_factor_taint_tabor,1),IF($A127&gt;=INDEX(pdates_grade_factor_taint_tabor,10),INDEX(pvals_grade_factor_taint_tabor,10),INDEX(pvals_grade_factor_taint_tabor,MATCH($A127,pdates_grade_factor_taint_tabor,1))+($A127-INDEX(pdates_grade_factor_taint_tabor,MATCH($A127,pdates_grade_factor_taint_tabor,1)))/(INDEX(pdates_grade_factor_taint_tabor,MATCH($A127,pdates_grade_factor_taint_tabor,1)+1)-INDEX(pdates_grade_factor_taint_tabor,MATCH($A127,pdates_grade_factor_taint_tabor,1)))*(INDEX(pvals_grade_factor_taint_tabor,MATCH($A127,pdates_grade_factor_taint_tabor,1)+1)-INDEX(pvals_grade_factor_taint_tabor,MATCH($A127,pdates_grade_factor_taint_tabor,1)))))</f>
        <v/>
      </c>
      <c r="Z127" s="8">
        <f>IF($A127&lt;=INDEX(pdates_grade_factor_tense,1),INDEX(pvals_grade_factor_tense,1),IF($A127&gt;=INDEX(pdates_grade_factor_tense,10),INDEX(pvals_grade_factor_tense,10),INDEX(pvals_grade_factor_tense,MATCH($A127,pdates_grade_factor_tense,1))+($A127-INDEX(pdates_grade_factor_tense,MATCH($A127,pdates_grade_factor_tense,1)))/(INDEX(pdates_grade_factor_tense,MATCH($A127,pdates_grade_factor_tense,1)+1)-INDEX(pdates_grade_factor_tense,MATCH($A127,pdates_grade_factor_tense,1)))*(INDEX(pvals_grade_factor_tense,MATCH($A127,pdates_grade_factor_tense,1)+1)-INDEX(pvals_grade_factor_tense,MATCH($A127,pdates_grade_factor_tense,1)))))</f>
        <v/>
      </c>
      <c r="AA127" s="8">
        <f>IF($A127&lt;=INDEX(pdates_grade_factor_mix_pit,1),INDEX(pvals_grade_factor_mix_pit,1),IF($A127&gt;=INDEX(pdates_grade_factor_mix_pit,10),INDEX(pvals_grade_factor_mix_pit,10),INDEX(pvals_grade_factor_mix_pit,MATCH($A127,pdates_grade_factor_mix_pit,1))+($A127-INDEX(pdates_grade_factor_mix_pit,MATCH($A127,pdates_grade_factor_mix_pit,1)))/(INDEX(pdates_grade_factor_mix_pit,MATCH($A127,pdates_grade_factor_mix_pit,1)+1)-INDEX(pdates_grade_factor_mix_pit,MATCH($A127,pdates_grade_factor_mix_pit,1)))*(INDEX(pvals_grade_factor_mix_pit,MATCH($A127,pdates_grade_factor_mix_pit,1)+1)-INDEX(pvals_grade_factor_mix_pit,MATCH($A127,pdates_grade_factor_mix_pit,1)))))</f>
        <v/>
      </c>
      <c r="AB127" s="16">
        <f>($B127*$F127/kg_per_mt*(1+bcd_primary_al_hs7601*(1+sws_rate_on_bcd))+mcx_domestic_premium_inr_kg)*(1+$I127*MAX(0,$Q127-$A127)/day_count_inr)</f>
        <v/>
      </c>
      <c r="AC127" s="16">
        <f>$M127-$AB127</f>
        <v/>
      </c>
      <c r="AD127" s="7" t="inlineStr">
        <is>
          <t>PROXY_IMPORT_PARITY</t>
        </is>
      </c>
      <c r="AE127" s="7" t="inlineStr">
        <is>
          <t>ECB_CROSS</t>
        </is>
      </c>
      <c r="AF127" s="7" t="inlineStr">
        <is>
          <t>WCI_DERIVED|USEC:SIBLING|JEA:ASSUMPTION</t>
        </is>
      </c>
      <c r="AG127" s="17" t="b">
        <v>0</v>
      </c>
      <c r="AH127" s="17" t="b">
        <v>1</v>
      </c>
    </row>
    <row r="128">
      <c r="A128" s="11" t="n">
        <v>44742</v>
      </c>
      <c r="B128" s="13" t="n">
        <v>2397</v>
      </c>
      <c r="C128" s="13" t="n">
        <v>2421</v>
      </c>
      <c r="D128" s="13" t="n">
        <v>-24</v>
      </c>
      <c r="E128" s="13" t="n">
        <v>373275</v>
      </c>
      <c r="F128" s="13" t="n">
        <v>79.0536</v>
      </c>
      <c r="G128" s="6" t="n">
        <v>79.2775</v>
      </c>
      <c r="H128" s="6" t="n">
        <v>79.7383</v>
      </c>
      <c r="I128" s="14" t="n">
        <v>0.051409</v>
      </c>
      <c r="J128" s="14" t="n">
        <v>0.016668</v>
      </c>
      <c r="K128" s="14" t="n">
        <v>0.049</v>
      </c>
      <c r="L128" s="13" t="n">
        <v>205.1245</v>
      </c>
      <c r="M128" s="13" t="n">
        <v>205.1245</v>
      </c>
      <c r="N128" s="13" t="n">
        <v>205.9624</v>
      </c>
      <c r="O128" s="13" t="n">
        <v>17.66</v>
      </c>
      <c r="P128" s="13" t="n">
        <v>78.31</v>
      </c>
      <c r="Q128" s="12" t="n">
        <v>44742</v>
      </c>
      <c r="R128" s="12" t="n">
        <v>44771</v>
      </c>
      <c r="S128" s="8">
        <f>YEAR($Q128)*100+MONTH($Q128)</f>
        <v/>
      </c>
      <c r="T128" s="8">
        <f>YEAR($R128)*100+MONTH($R128)</f>
        <v/>
      </c>
      <c r="U128" s="15">
        <f>IF($A128&lt;=INDEX(pdates_wc_rate_inr_pa,1),INDEX(pvals_wc_rate_inr_pa,1),INDEX(pvals_wc_rate_inr_pa,MATCH($A128,pdates_wc_rate_inr_pa,1)))</f>
        <v/>
      </c>
      <c r="V128" s="8">
        <f>IF(AND($A128&gt;=customs_fx_first,$A128&lt;=customs_fx_last+customs_fx_notification_validity_days),IF($A128&lt;=INDEX(pdates_customs_usdinr_import,1),INDEX(pvals_customs_usdinr_import,1),INDEX(pvals_customs_usdinr_import,MATCH($A128,pdates_customs_usdinr_import,1))),$F128*(1+customs_fx_markup_frac))</f>
        <v/>
      </c>
      <c r="W128" s="8">
        <f>IF(AND($A128&gt;=customs_fx_first,$A128&lt;=customs_fx_last+customs_fx_notification_validity_days),"CBIC_NOTIFIED","MARKUP_FALLBACK")</f>
        <v/>
      </c>
      <c r="X128" s="8">
        <f>IF($A128&lt;=INDEX(pdates_grade_factor_zorba,1),INDEX(pvals_grade_factor_zorba,1),IF($A128&gt;=INDEX(pdates_grade_factor_zorba,10),INDEX(pvals_grade_factor_zorba,10),INDEX(pvals_grade_factor_zorba,MATCH($A128,pdates_grade_factor_zorba,1))+($A128-INDEX(pdates_grade_factor_zorba,MATCH($A128,pdates_grade_factor_zorba,1)))/(INDEX(pdates_grade_factor_zorba,MATCH($A128,pdates_grade_factor_zorba,1)+1)-INDEX(pdates_grade_factor_zorba,MATCH($A128,pdates_grade_factor_zorba,1)))*(INDEX(pvals_grade_factor_zorba,MATCH($A128,pdates_grade_factor_zorba,1)+1)-INDEX(pvals_grade_factor_zorba,MATCH($A128,pdates_grade_factor_zorba,1)))))</f>
        <v/>
      </c>
      <c r="Y128" s="8">
        <f>IF($A128&lt;=INDEX(pdates_grade_factor_taint_tabor,1),INDEX(pvals_grade_factor_taint_tabor,1),IF($A128&gt;=INDEX(pdates_grade_factor_taint_tabor,10),INDEX(pvals_grade_factor_taint_tabor,10),INDEX(pvals_grade_factor_taint_tabor,MATCH($A128,pdates_grade_factor_taint_tabor,1))+($A128-INDEX(pdates_grade_factor_taint_tabor,MATCH($A128,pdates_grade_factor_taint_tabor,1)))/(INDEX(pdates_grade_factor_taint_tabor,MATCH($A128,pdates_grade_factor_taint_tabor,1)+1)-INDEX(pdates_grade_factor_taint_tabor,MATCH($A128,pdates_grade_factor_taint_tabor,1)))*(INDEX(pvals_grade_factor_taint_tabor,MATCH($A128,pdates_grade_factor_taint_tabor,1)+1)-INDEX(pvals_grade_factor_taint_tabor,MATCH($A128,pdates_grade_factor_taint_tabor,1)))))</f>
        <v/>
      </c>
      <c r="Z128" s="8">
        <f>IF($A128&lt;=INDEX(pdates_grade_factor_tense,1),INDEX(pvals_grade_factor_tense,1),IF($A128&gt;=INDEX(pdates_grade_factor_tense,10),INDEX(pvals_grade_factor_tense,10),INDEX(pvals_grade_factor_tense,MATCH($A128,pdates_grade_factor_tense,1))+($A128-INDEX(pdates_grade_factor_tense,MATCH($A128,pdates_grade_factor_tense,1)))/(INDEX(pdates_grade_factor_tense,MATCH($A128,pdates_grade_factor_tense,1)+1)-INDEX(pdates_grade_factor_tense,MATCH($A128,pdates_grade_factor_tense,1)))*(INDEX(pvals_grade_factor_tense,MATCH($A128,pdates_grade_factor_tense,1)+1)-INDEX(pvals_grade_factor_tense,MATCH($A128,pdates_grade_factor_tense,1)))))</f>
        <v/>
      </c>
      <c r="AA128" s="8">
        <f>IF($A128&lt;=INDEX(pdates_grade_factor_mix_pit,1),INDEX(pvals_grade_factor_mix_pit,1),IF($A128&gt;=INDEX(pdates_grade_factor_mix_pit,10),INDEX(pvals_grade_factor_mix_pit,10),INDEX(pvals_grade_factor_mix_pit,MATCH($A128,pdates_grade_factor_mix_pit,1))+($A128-INDEX(pdates_grade_factor_mix_pit,MATCH($A128,pdates_grade_factor_mix_pit,1)))/(INDEX(pdates_grade_factor_mix_pit,MATCH($A128,pdates_grade_factor_mix_pit,1)+1)-INDEX(pdates_grade_factor_mix_pit,MATCH($A128,pdates_grade_factor_mix_pit,1)))*(INDEX(pvals_grade_factor_mix_pit,MATCH($A128,pdates_grade_factor_mix_pit,1)+1)-INDEX(pvals_grade_factor_mix_pit,MATCH($A128,pdates_grade_factor_mix_pit,1)))))</f>
        <v/>
      </c>
      <c r="AB128" s="16">
        <f>($B128*$F128/kg_per_mt*(1+bcd_primary_al_hs7601*(1+sws_rate_on_bcd))+mcx_domestic_premium_inr_kg)*(1+$I128*MAX(0,$Q128-$A128)/day_count_inr)</f>
        <v/>
      </c>
      <c r="AC128" s="16">
        <f>$M128-$AB128</f>
        <v/>
      </c>
      <c r="AD128" s="7" t="inlineStr">
        <is>
          <t>PROXY_IMPORT_PARITY</t>
        </is>
      </c>
      <c r="AE128" s="7" t="inlineStr">
        <is>
          <t>ECB_CROSS</t>
        </is>
      </c>
      <c r="AF128" s="7" t="inlineStr">
        <is>
          <t>WCI_REPORTED|USEC:ANCHORED|JEA:ASSUMPTION</t>
        </is>
      </c>
      <c r="AG128" s="17" t="b">
        <v>0</v>
      </c>
      <c r="AH128" s="17" t="b">
        <v>0</v>
      </c>
    </row>
    <row r="129">
      <c r="A129" s="11" t="n">
        <v>44743</v>
      </c>
      <c r="B129" s="13" t="n">
        <v>2384</v>
      </c>
      <c r="C129" s="13" t="n">
        <v>2400</v>
      </c>
      <c r="D129" s="13" t="n">
        <v>-16</v>
      </c>
      <c r="E129" s="13" t="n">
        <v>369675</v>
      </c>
      <c r="F129" s="13" t="n">
        <v>79.01649999999999</v>
      </c>
      <c r="G129" s="6" t="n">
        <v>79.25920000000001</v>
      </c>
      <c r="H129" s="6" t="n">
        <v>79.73480000000001</v>
      </c>
      <c r="I129" s="14" t="n">
        <v>0.05312</v>
      </c>
      <c r="J129" s="14" t="n">
        <v>0.016668</v>
      </c>
      <c r="K129" s="14" t="n">
        <v>0.049</v>
      </c>
      <c r="L129" s="13" t="n">
        <v>203.9163</v>
      </c>
      <c r="M129" s="13" t="n">
        <v>204.7473</v>
      </c>
      <c r="N129" s="13" t="n">
        <v>205.7266</v>
      </c>
      <c r="O129" s="13" t="n">
        <v>17.66</v>
      </c>
      <c r="P129" s="13" t="n">
        <v>78.31</v>
      </c>
      <c r="Q129" s="12" t="n">
        <v>44771</v>
      </c>
      <c r="R129" s="12" t="n">
        <v>44804</v>
      </c>
      <c r="S129" s="8">
        <f>YEAR($Q129)*100+MONTH($Q129)</f>
        <v/>
      </c>
      <c r="T129" s="8">
        <f>YEAR($R129)*100+MONTH($R129)</f>
        <v/>
      </c>
      <c r="U129" s="15">
        <f>IF($A129&lt;=INDEX(pdates_wc_rate_inr_pa,1),INDEX(pvals_wc_rate_inr_pa,1),INDEX(pvals_wc_rate_inr_pa,MATCH($A129,pdates_wc_rate_inr_pa,1)))</f>
        <v/>
      </c>
      <c r="V129" s="8">
        <f>IF(AND($A129&gt;=customs_fx_first,$A129&lt;=customs_fx_last+customs_fx_notification_validity_days),IF($A129&lt;=INDEX(pdates_customs_usdinr_import,1),INDEX(pvals_customs_usdinr_import,1),INDEX(pvals_customs_usdinr_import,MATCH($A129,pdates_customs_usdinr_import,1))),$F129*(1+customs_fx_markup_frac))</f>
        <v/>
      </c>
      <c r="W129" s="8">
        <f>IF(AND($A129&gt;=customs_fx_first,$A129&lt;=customs_fx_last+customs_fx_notification_validity_days),"CBIC_NOTIFIED","MARKUP_FALLBACK")</f>
        <v/>
      </c>
      <c r="X129" s="8">
        <f>IF($A129&lt;=INDEX(pdates_grade_factor_zorba,1),INDEX(pvals_grade_factor_zorba,1),IF($A129&gt;=INDEX(pdates_grade_factor_zorba,10),INDEX(pvals_grade_factor_zorba,10),INDEX(pvals_grade_factor_zorba,MATCH($A129,pdates_grade_factor_zorba,1))+($A129-INDEX(pdates_grade_factor_zorba,MATCH($A129,pdates_grade_factor_zorba,1)))/(INDEX(pdates_grade_factor_zorba,MATCH($A129,pdates_grade_factor_zorba,1)+1)-INDEX(pdates_grade_factor_zorba,MATCH($A129,pdates_grade_factor_zorba,1)))*(INDEX(pvals_grade_factor_zorba,MATCH($A129,pdates_grade_factor_zorba,1)+1)-INDEX(pvals_grade_factor_zorba,MATCH($A129,pdates_grade_factor_zorba,1)))))</f>
        <v/>
      </c>
      <c r="Y129" s="8">
        <f>IF($A129&lt;=INDEX(pdates_grade_factor_taint_tabor,1),INDEX(pvals_grade_factor_taint_tabor,1),IF($A129&gt;=INDEX(pdates_grade_factor_taint_tabor,10),INDEX(pvals_grade_factor_taint_tabor,10),INDEX(pvals_grade_factor_taint_tabor,MATCH($A129,pdates_grade_factor_taint_tabor,1))+($A129-INDEX(pdates_grade_factor_taint_tabor,MATCH($A129,pdates_grade_factor_taint_tabor,1)))/(INDEX(pdates_grade_factor_taint_tabor,MATCH($A129,pdates_grade_factor_taint_tabor,1)+1)-INDEX(pdates_grade_factor_taint_tabor,MATCH($A129,pdates_grade_factor_taint_tabor,1)))*(INDEX(pvals_grade_factor_taint_tabor,MATCH($A129,pdates_grade_factor_taint_tabor,1)+1)-INDEX(pvals_grade_factor_taint_tabor,MATCH($A129,pdates_grade_factor_taint_tabor,1)))))</f>
        <v/>
      </c>
      <c r="Z129" s="8">
        <f>IF($A129&lt;=INDEX(pdates_grade_factor_tense,1),INDEX(pvals_grade_factor_tense,1),IF($A129&gt;=INDEX(pdates_grade_factor_tense,10),INDEX(pvals_grade_factor_tense,10),INDEX(pvals_grade_factor_tense,MATCH($A129,pdates_grade_factor_tense,1))+($A129-INDEX(pdates_grade_factor_tense,MATCH($A129,pdates_grade_factor_tense,1)))/(INDEX(pdates_grade_factor_tense,MATCH($A129,pdates_grade_factor_tense,1)+1)-INDEX(pdates_grade_factor_tense,MATCH($A129,pdates_grade_factor_tense,1)))*(INDEX(pvals_grade_factor_tense,MATCH($A129,pdates_grade_factor_tense,1)+1)-INDEX(pvals_grade_factor_tense,MATCH($A129,pdates_grade_factor_tense,1)))))</f>
        <v/>
      </c>
      <c r="AA129" s="8">
        <f>IF($A129&lt;=INDEX(pdates_grade_factor_mix_pit,1),INDEX(pvals_grade_factor_mix_pit,1),IF($A129&gt;=INDEX(pdates_grade_factor_mix_pit,10),INDEX(pvals_grade_factor_mix_pit,10),INDEX(pvals_grade_factor_mix_pit,MATCH($A129,pdates_grade_factor_mix_pit,1))+($A129-INDEX(pdates_grade_factor_mix_pit,MATCH($A129,pdates_grade_factor_mix_pit,1)))/(INDEX(pdates_grade_factor_mix_pit,MATCH($A129,pdates_grade_factor_mix_pit,1)+1)-INDEX(pdates_grade_factor_mix_pit,MATCH($A129,pdates_grade_factor_mix_pit,1)))*(INDEX(pvals_grade_factor_mix_pit,MATCH($A129,pdates_grade_factor_mix_pit,1)+1)-INDEX(pvals_grade_factor_mix_pit,MATCH($A129,pdates_grade_factor_mix_pit,1)))))</f>
        <v/>
      </c>
      <c r="AB129" s="16">
        <f>($B129*$F129/kg_per_mt*(1+bcd_primary_al_hs7601*(1+sws_rate_on_bcd))+mcx_domestic_premium_inr_kg)*(1+$I129*MAX(0,$Q129-$A129)/day_count_inr)</f>
        <v/>
      </c>
      <c r="AC129" s="16">
        <f>$M129-$AB129</f>
        <v/>
      </c>
      <c r="AD129" s="7" t="inlineStr">
        <is>
          <t>PROXY_IMPORT_PARITY</t>
        </is>
      </c>
      <c r="AE129" s="7" t="inlineStr">
        <is>
          <t>ECB_CROSS</t>
        </is>
      </c>
      <c r="AF129" s="7" t="inlineStr">
        <is>
          <t>WCI_REPORTED|USEC:ANCHORED|JEA:ASSUMPTION</t>
        </is>
      </c>
      <c r="AG129" s="17" t="b">
        <v>0</v>
      </c>
      <c r="AH129" s="17" t="b">
        <v>1</v>
      </c>
    </row>
    <row r="130">
      <c r="A130" s="11" t="n">
        <v>44746</v>
      </c>
      <c r="B130" s="13" t="n">
        <v>2431.5</v>
      </c>
      <c r="C130" s="13" t="n">
        <v>2452</v>
      </c>
      <c r="D130" s="13" t="n">
        <v>-20.5</v>
      </c>
      <c r="E130" s="13" t="n">
        <v>366150</v>
      </c>
      <c r="F130" s="13" t="n">
        <v>78.916</v>
      </c>
      <c r="G130" s="6" t="n">
        <v>79.1584</v>
      </c>
      <c r="H130" s="6" t="n">
        <v>79.63339999999999</v>
      </c>
      <c r="I130" s="14" t="n">
        <v>0.05312</v>
      </c>
      <c r="J130" s="14" t="n">
        <v>0.016668</v>
      </c>
      <c r="K130" s="14" t="n">
        <v>0.049</v>
      </c>
      <c r="L130" s="13" t="n">
        <v>207.7147</v>
      </c>
      <c r="M130" s="13" t="n">
        <v>208.4704</v>
      </c>
      <c r="N130" s="13" t="n">
        <v>209.468</v>
      </c>
      <c r="O130" s="13" t="n">
        <v>17.66</v>
      </c>
      <c r="P130" s="13" t="n">
        <v>78.31</v>
      </c>
      <c r="Q130" s="12" t="n">
        <v>44771</v>
      </c>
      <c r="R130" s="12" t="n">
        <v>44804</v>
      </c>
      <c r="S130" s="8">
        <f>YEAR($Q130)*100+MONTH($Q130)</f>
        <v/>
      </c>
      <c r="T130" s="8">
        <f>YEAR($R130)*100+MONTH($R130)</f>
        <v/>
      </c>
      <c r="U130" s="15">
        <f>IF($A130&lt;=INDEX(pdates_wc_rate_inr_pa,1),INDEX(pvals_wc_rate_inr_pa,1),INDEX(pvals_wc_rate_inr_pa,MATCH($A130,pdates_wc_rate_inr_pa,1)))</f>
        <v/>
      </c>
      <c r="V130" s="8">
        <f>IF(AND($A130&gt;=customs_fx_first,$A130&lt;=customs_fx_last+customs_fx_notification_validity_days),IF($A130&lt;=INDEX(pdates_customs_usdinr_import,1),INDEX(pvals_customs_usdinr_import,1),INDEX(pvals_customs_usdinr_import,MATCH($A130,pdates_customs_usdinr_import,1))),$F130*(1+customs_fx_markup_frac))</f>
        <v/>
      </c>
      <c r="W130" s="8">
        <f>IF(AND($A130&gt;=customs_fx_first,$A130&lt;=customs_fx_last+customs_fx_notification_validity_days),"CBIC_NOTIFIED","MARKUP_FALLBACK")</f>
        <v/>
      </c>
      <c r="X130" s="8">
        <f>IF($A130&lt;=INDEX(pdates_grade_factor_zorba,1),INDEX(pvals_grade_factor_zorba,1),IF($A130&gt;=INDEX(pdates_grade_factor_zorba,10),INDEX(pvals_grade_factor_zorba,10),INDEX(pvals_grade_factor_zorba,MATCH($A130,pdates_grade_factor_zorba,1))+($A130-INDEX(pdates_grade_factor_zorba,MATCH($A130,pdates_grade_factor_zorba,1)))/(INDEX(pdates_grade_factor_zorba,MATCH($A130,pdates_grade_factor_zorba,1)+1)-INDEX(pdates_grade_factor_zorba,MATCH($A130,pdates_grade_factor_zorba,1)))*(INDEX(pvals_grade_factor_zorba,MATCH($A130,pdates_grade_factor_zorba,1)+1)-INDEX(pvals_grade_factor_zorba,MATCH($A130,pdates_grade_factor_zorba,1)))))</f>
        <v/>
      </c>
      <c r="Y130" s="8">
        <f>IF($A130&lt;=INDEX(pdates_grade_factor_taint_tabor,1),INDEX(pvals_grade_factor_taint_tabor,1),IF($A130&gt;=INDEX(pdates_grade_factor_taint_tabor,10),INDEX(pvals_grade_factor_taint_tabor,10),INDEX(pvals_grade_factor_taint_tabor,MATCH($A130,pdates_grade_factor_taint_tabor,1))+($A130-INDEX(pdates_grade_factor_taint_tabor,MATCH($A130,pdates_grade_factor_taint_tabor,1)))/(INDEX(pdates_grade_factor_taint_tabor,MATCH($A130,pdates_grade_factor_taint_tabor,1)+1)-INDEX(pdates_grade_factor_taint_tabor,MATCH($A130,pdates_grade_factor_taint_tabor,1)))*(INDEX(pvals_grade_factor_taint_tabor,MATCH($A130,pdates_grade_factor_taint_tabor,1)+1)-INDEX(pvals_grade_factor_taint_tabor,MATCH($A130,pdates_grade_factor_taint_tabor,1)))))</f>
        <v/>
      </c>
      <c r="Z130" s="8">
        <f>IF($A130&lt;=INDEX(pdates_grade_factor_tense,1),INDEX(pvals_grade_factor_tense,1),IF($A130&gt;=INDEX(pdates_grade_factor_tense,10),INDEX(pvals_grade_factor_tense,10),INDEX(pvals_grade_factor_tense,MATCH($A130,pdates_grade_factor_tense,1))+($A130-INDEX(pdates_grade_factor_tense,MATCH($A130,pdates_grade_factor_tense,1)))/(INDEX(pdates_grade_factor_tense,MATCH($A130,pdates_grade_factor_tense,1)+1)-INDEX(pdates_grade_factor_tense,MATCH($A130,pdates_grade_factor_tense,1)))*(INDEX(pvals_grade_factor_tense,MATCH($A130,pdates_grade_factor_tense,1)+1)-INDEX(pvals_grade_factor_tense,MATCH($A130,pdates_grade_factor_tense,1)))))</f>
        <v/>
      </c>
      <c r="AA130" s="8">
        <f>IF($A130&lt;=INDEX(pdates_grade_factor_mix_pit,1),INDEX(pvals_grade_factor_mix_pit,1),IF($A130&gt;=INDEX(pdates_grade_factor_mix_pit,10),INDEX(pvals_grade_factor_mix_pit,10),INDEX(pvals_grade_factor_mix_pit,MATCH($A130,pdates_grade_factor_mix_pit,1))+($A130-INDEX(pdates_grade_factor_mix_pit,MATCH($A130,pdates_grade_factor_mix_pit,1)))/(INDEX(pdates_grade_factor_mix_pit,MATCH($A130,pdates_grade_factor_mix_pit,1)+1)-INDEX(pdates_grade_factor_mix_pit,MATCH($A130,pdates_grade_factor_mix_pit,1)))*(INDEX(pvals_grade_factor_mix_pit,MATCH($A130,pdates_grade_factor_mix_pit,1)+1)-INDEX(pvals_grade_factor_mix_pit,MATCH($A130,pdates_grade_factor_mix_pit,1)))))</f>
        <v/>
      </c>
      <c r="AB130" s="16">
        <f>($B130*$F130/kg_per_mt*(1+bcd_primary_al_hs7601*(1+sws_rate_on_bcd))+mcx_domestic_premium_inr_kg)*(1+$I130*MAX(0,$Q130-$A130)/day_count_inr)</f>
        <v/>
      </c>
      <c r="AC130" s="16">
        <f>$M130-$AB130</f>
        <v/>
      </c>
      <c r="AD130" s="7" t="inlineStr">
        <is>
          <t>PROXY_IMPORT_PARITY</t>
        </is>
      </c>
      <c r="AE130" s="7" t="inlineStr">
        <is>
          <t>ECB_CROSS</t>
        </is>
      </c>
      <c r="AF130" s="7" t="inlineStr">
        <is>
          <t>WCI_REPORTED|USEC:ANCHORED|JEA:ASSUMPTION</t>
        </is>
      </c>
      <c r="AG130" s="17" t="b">
        <v>0</v>
      </c>
      <c r="AH130" s="17" t="b">
        <v>1</v>
      </c>
    </row>
    <row r="131">
      <c r="A131" s="11" t="n">
        <v>44747</v>
      </c>
      <c r="B131" s="13" t="n">
        <v>2374</v>
      </c>
      <c r="C131" s="13" t="n">
        <v>2387.5</v>
      </c>
      <c r="D131" s="13" t="n">
        <v>-13.5</v>
      </c>
      <c r="E131" s="13" t="n">
        <v>362525</v>
      </c>
      <c r="F131" s="13" t="n">
        <v>79.3712</v>
      </c>
      <c r="G131" s="6" t="n">
        <v>79.6015</v>
      </c>
      <c r="H131" s="6" t="n">
        <v>80.0526</v>
      </c>
      <c r="I131" s="14" t="n">
        <v>0.05312</v>
      </c>
      <c r="J131" s="14" t="n">
        <v>0.018641</v>
      </c>
      <c r="K131" s="14" t="n">
        <v>0.049</v>
      </c>
      <c r="L131" s="13" t="n">
        <v>203.9725</v>
      </c>
      <c r="M131" s="13" t="n">
        <v>204.6849</v>
      </c>
      <c r="N131" s="13" t="n">
        <v>205.6645</v>
      </c>
      <c r="O131" s="13" t="n">
        <v>17.66</v>
      </c>
      <c r="P131" s="13" t="n">
        <v>78.31</v>
      </c>
      <c r="Q131" s="12" t="n">
        <v>44771</v>
      </c>
      <c r="R131" s="12" t="n">
        <v>44804</v>
      </c>
      <c r="S131" s="8">
        <f>YEAR($Q131)*100+MONTH($Q131)</f>
        <v/>
      </c>
      <c r="T131" s="8">
        <f>YEAR($R131)*100+MONTH($R131)</f>
        <v/>
      </c>
      <c r="U131" s="15">
        <f>IF($A131&lt;=INDEX(pdates_wc_rate_inr_pa,1),INDEX(pvals_wc_rate_inr_pa,1),INDEX(pvals_wc_rate_inr_pa,MATCH($A131,pdates_wc_rate_inr_pa,1)))</f>
        <v/>
      </c>
      <c r="V131" s="8">
        <f>IF(AND($A131&gt;=customs_fx_first,$A131&lt;=customs_fx_last+customs_fx_notification_validity_days),IF($A131&lt;=INDEX(pdates_customs_usdinr_import,1),INDEX(pvals_customs_usdinr_import,1),INDEX(pvals_customs_usdinr_import,MATCH($A131,pdates_customs_usdinr_import,1))),$F131*(1+customs_fx_markup_frac))</f>
        <v/>
      </c>
      <c r="W131" s="8">
        <f>IF(AND($A131&gt;=customs_fx_first,$A131&lt;=customs_fx_last+customs_fx_notification_validity_days),"CBIC_NOTIFIED","MARKUP_FALLBACK")</f>
        <v/>
      </c>
      <c r="X131" s="8">
        <f>IF($A131&lt;=INDEX(pdates_grade_factor_zorba,1),INDEX(pvals_grade_factor_zorba,1),IF($A131&gt;=INDEX(pdates_grade_factor_zorba,10),INDEX(pvals_grade_factor_zorba,10),INDEX(pvals_grade_factor_zorba,MATCH($A131,pdates_grade_factor_zorba,1))+($A131-INDEX(pdates_grade_factor_zorba,MATCH($A131,pdates_grade_factor_zorba,1)))/(INDEX(pdates_grade_factor_zorba,MATCH($A131,pdates_grade_factor_zorba,1)+1)-INDEX(pdates_grade_factor_zorba,MATCH($A131,pdates_grade_factor_zorba,1)))*(INDEX(pvals_grade_factor_zorba,MATCH($A131,pdates_grade_factor_zorba,1)+1)-INDEX(pvals_grade_factor_zorba,MATCH($A131,pdates_grade_factor_zorba,1)))))</f>
        <v/>
      </c>
      <c r="Y131" s="8">
        <f>IF($A131&lt;=INDEX(pdates_grade_factor_taint_tabor,1),INDEX(pvals_grade_factor_taint_tabor,1),IF($A131&gt;=INDEX(pdates_grade_factor_taint_tabor,10),INDEX(pvals_grade_factor_taint_tabor,10),INDEX(pvals_grade_factor_taint_tabor,MATCH($A131,pdates_grade_factor_taint_tabor,1))+($A131-INDEX(pdates_grade_factor_taint_tabor,MATCH($A131,pdates_grade_factor_taint_tabor,1)))/(INDEX(pdates_grade_factor_taint_tabor,MATCH($A131,pdates_grade_factor_taint_tabor,1)+1)-INDEX(pdates_grade_factor_taint_tabor,MATCH($A131,pdates_grade_factor_taint_tabor,1)))*(INDEX(pvals_grade_factor_taint_tabor,MATCH($A131,pdates_grade_factor_taint_tabor,1)+1)-INDEX(pvals_grade_factor_taint_tabor,MATCH($A131,pdates_grade_factor_taint_tabor,1)))))</f>
        <v/>
      </c>
      <c r="Z131" s="8">
        <f>IF($A131&lt;=INDEX(pdates_grade_factor_tense,1),INDEX(pvals_grade_factor_tense,1),IF($A131&gt;=INDEX(pdates_grade_factor_tense,10),INDEX(pvals_grade_factor_tense,10),INDEX(pvals_grade_factor_tense,MATCH($A131,pdates_grade_factor_tense,1))+($A131-INDEX(pdates_grade_factor_tense,MATCH($A131,pdates_grade_factor_tense,1)))/(INDEX(pdates_grade_factor_tense,MATCH($A131,pdates_grade_factor_tense,1)+1)-INDEX(pdates_grade_factor_tense,MATCH($A131,pdates_grade_factor_tense,1)))*(INDEX(pvals_grade_factor_tense,MATCH($A131,pdates_grade_factor_tense,1)+1)-INDEX(pvals_grade_factor_tense,MATCH($A131,pdates_grade_factor_tense,1)))))</f>
        <v/>
      </c>
      <c r="AA131" s="8">
        <f>IF($A131&lt;=INDEX(pdates_grade_factor_mix_pit,1),INDEX(pvals_grade_factor_mix_pit,1),IF($A131&gt;=INDEX(pdates_grade_factor_mix_pit,10),INDEX(pvals_grade_factor_mix_pit,10),INDEX(pvals_grade_factor_mix_pit,MATCH($A131,pdates_grade_factor_mix_pit,1))+($A131-INDEX(pdates_grade_factor_mix_pit,MATCH($A131,pdates_grade_factor_mix_pit,1)))/(INDEX(pdates_grade_factor_mix_pit,MATCH($A131,pdates_grade_factor_mix_pit,1)+1)-INDEX(pdates_grade_factor_mix_pit,MATCH($A131,pdates_grade_factor_mix_pit,1)))*(INDEX(pvals_grade_factor_mix_pit,MATCH($A131,pdates_grade_factor_mix_pit,1)+1)-INDEX(pvals_grade_factor_mix_pit,MATCH($A131,pdates_grade_factor_mix_pit,1)))))</f>
        <v/>
      </c>
      <c r="AB131" s="16">
        <f>($B131*$F131/kg_per_mt*(1+bcd_primary_al_hs7601*(1+sws_rate_on_bcd))+mcx_domestic_premium_inr_kg)*(1+$I131*MAX(0,$Q131-$A131)/day_count_inr)</f>
        <v/>
      </c>
      <c r="AC131" s="16">
        <f>$M131-$AB131</f>
        <v/>
      </c>
      <c r="AD131" s="7" t="inlineStr">
        <is>
          <t>PROXY_IMPORT_PARITY</t>
        </is>
      </c>
      <c r="AE131" s="7" t="inlineStr">
        <is>
          <t>ECB_CROSS</t>
        </is>
      </c>
      <c r="AF131" s="7" t="inlineStr">
        <is>
          <t>WCI_REPORTED|USEC:ANCHORED|JEA:ASSUMPTION</t>
        </is>
      </c>
      <c r="AG131" s="17" t="b">
        <v>0</v>
      </c>
      <c r="AH131" s="17" t="b">
        <v>1</v>
      </c>
    </row>
    <row r="132">
      <c r="A132" s="11" t="n">
        <v>44748</v>
      </c>
      <c r="B132" s="13" t="n">
        <v>2358</v>
      </c>
      <c r="C132" s="13" t="n">
        <v>2380</v>
      </c>
      <c r="D132" s="13" t="n">
        <v>-22</v>
      </c>
      <c r="E132" s="13" t="n">
        <v>358125</v>
      </c>
      <c r="F132" s="13" t="n">
        <v>79.1315</v>
      </c>
      <c r="G132" s="6" t="n">
        <v>79.3618</v>
      </c>
      <c r="H132" s="6" t="n">
        <v>79.8128</v>
      </c>
      <c r="I132" s="14" t="n">
        <v>0.05312</v>
      </c>
      <c r="J132" s="14" t="n">
        <v>0.018542</v>
      </c>
      <c r="K132" s="14" t="n">
        <v>0.049</v>
      </c>
      <c r="L132" s="13" t="n">
        <v>201.9859</v>
      </c>
      <c r="M132" s="13" t="n">
        <v>202.662</v>
      </c>
      <c r="N132" s="13" t="n">
        <v>203.6321</v>
      </c>
      <c r="O132" s="13" t="n">
        <v>17.66</v>
      </c>
      <c r="P132" s="13" t="n">
        <v>78.31</v>
      </c>
      <c r="Q132" s="12" t="n">
        <v>44771</v>
      </c>
      <c r="R132" s="12" t="n">
        <v>44804</v>
      </c>
      <c r="S132" s="8">
        <f>YEAR($Q132)*100+MONTH($Q132)</f>
        <v/>
      </c>
      <c r="T132" s="8">
        <f>YEAR($R132)*100+MONTH($R132)</f>
        <v/>
      </c>
      <c r="U132" s="15">
        <f>IF($A132&lt;=INDEX(pdates_wc_rate_inr_pa,1),INDEX(pvals_wc_rate_inr_pa,1),INDEX(pvals_wc_rate_inr_pa,MATCH($A132,pdates_wc_rate_inr_pa,1)))</f>
        <v/>
      </c>
      <c r="V132" s="8">
        <f>IF(AND($A132&gt;=customs_fx_first,$A132&lt;=customs_fx_last+customs_fx_notification_validity_days),IF($A132&lt;=INDEX(pdates_customs_usdinr_import,1),INDEX(pvals_customs_usdinr_import,1),INDEX(pvals_customs_usdinr_import,MATCH($A132,pdates_customs_usdinr_import,1))),$F132*(1+customs_fx_markup_frac))</f>
        <v/>
      </c>
      <c r="W132" s="8">
        <f>IF(AND($A132&gt;=customs_fx_first,$A132&lt;=customs_fx_last+customs_fx_notification_validity_days),"CBIC_NOTIFIED","MARKUP_FALLBACK")</f>
        <v/>
      </c>
      <c r="X132" s="8">
        <f>IF($A132&lt;=INDEX(pdates_grade_factor_zorba,1),INDEX(pvals_grade_factor_zorba,1),IF($A132&gt;=INDEX(pdates_grade_factor_zorba,10),INDEX(pvals_grade_factor_zorba,10),INDEX(pvals_grade_factor_zorba,MATCH($A132,pdates_grade_factor_zorba,1))+($A132-INDEX(pdates_grade_factor_zorba,MATCH($A132,pdates_grade_factor_zorba,1)))/(INDEX(pdates_grade_factor_zorba,MATCH($A132,pdates_grade_factor_zorba,1)+1)-INDEX(pdates_grade_factor_zorba,MATCH($A132,pdates_grade_factor_zorba,1)))*(INDEX(pvals_grade_factor_zorba,MATCH($A132,pdates_grade_factor_zorba,1)+1)-INDEX(pvals_grade_factor_zorba,MATCH($A132,pdates_grade_factor_zorba,1)))))</f>
        <v/>
      </c>
      <c r="Y132" s="8">
        <f>IF($A132&lt;=INDEX(pdates_grade_factor_taint_tabor,1),INDEX(pvals_grade_factor_taint_tabor,1),IF($A132&gt;=INDEX(pdates_grade_factor_taint_tabor,10),INDEX(pvals_grade_factor_taint_tabor,10),INDEX(pvals_grade_factor_taint_tabor,MATCH($A132,pdates_grade_factor_taint_tabor,1))+($A132-INDEX(pdates_grade_factor_taint_tabor,MATCH($A132,pdates_grade_factor_taint_tabor,1)))/(INDEX(pdates_grade_factor_taint_tabor,MATCH($A132,pdates_grade_factor_taint_tabor,1)+1)-INDEX(pdates_grade_factor_taint_tabor,MATCH($A132,pdates_grade_factor_taint_tabor,1)))*(INDEX(pvals_grade_factor_taint_tabor,MATCH($A132,pdates_grade_factor_taint_tabor,1)+1)-INDEX(pvals_grade_factor_taint_tabor,MATCH($A132,pdates_grade_factor_taint_tabor,1)))))</f>
        <v/>
      </c>
      <c r="Z132" s="8">
        <f>IF($A132&lt;=INDEX(pdates_grade_factor_tense,1),INDEX(pvals_grade_factor_tense,1),IF($A132&gt;=INDEX(pdates_grade_factor_tense,10),INDEX(pvals_grade_factor_tense,10),INDEX(pvals_grade_factor_tense,MATCH($A132,pdates_grade_factor_tense,1))+($A132-INDEX(pdates_grade_factor_tense,MATCH($A132,pdates_grade_factor_tense,1)))/(INDEX(pdates_grade_factor_tense,MATCH($A132,pdates_grade_factor_tense,1)+1)-INDEX(pdates_grade_factor_tense,MATCH($A132,pdates_grade_factor_tense,1)))*(INDEX(pvals_grade_factor_tense,MATCH($A132,pdates_grade_factor_tense,1)+1)-INDEX(pvals_grade_factor_tense,MATCH($A132,pdates_grade_factor_tense,1)))))</f>
        <v/>
      </c>
      <c r="AA132" s="8">
        <f>IF($A132&lt;=INDEX(pdates_grade_factor_mix_pit,1),INDEX(pvals_grade_factor_mix_pit,1),IF($A132&gt;=INDEX(pdates_grade_factor_mix_pit,10),INDEX(pvals_grade_factor_mix_pit,10),INDEX(pvals_grade_factor_mix_pit,MATCH($A132,pdates_grade_factor_mix_pit,1))+($A132-INDEX(pdates_grade_factor_mix_pit,MATCH($A132,pdates_grade_factor_mix_pit,1)))/(INDEX(pdates_grade_factor_mix_pit,MATCH($A132,pdates_grade_factor_mix_pit,1)+1)-INDEX(pdates_grade_factor_mix_pit,MATCH($A132,pdates_grade_factor_mix_pit,1)))*(INDEX(pvals_grade_factor_mix_pit,MATCH($A132,pdates_grade_factor_mix_pit,1)+1)-INDEX(pvals_grade_factor_mix_pit,MATCH($A132,pdates_grade_factor_mix_pit,1)))))</f>
        <v/>
      </c>
      <c r="AB132" s="16">
        <f>($B132*$F132/kg_per_mt*(1+bcd_primary_al_hs7601*(1+sws_rate_on_bcd))+mcx_domestic_premium_inr_kg)*(1+$I132*MAX(0,$Q132-$A132)/day_count_inr)</f>
        <v/>
      </c>
      <c r="AC132" s="16">
        <f>$M132-$AB132</f>
        <v/>
      </c>
      <c r="AD132" s="7" t="inlineStr">
        <is>
          <t>PROXY_IMPORT_PARITY</t>
        </is>
      </c>
      <c r="AE132" s="7" t="inlineStr">
        <is>
          <t>ECB_CROSS</t>
        </is>
      </c>
      <c r="AF132" s="7" t="inlineStr">
        <is>
          <t>WCI_REPORTED|USEC:ANCHORED|JEA:ASSUMPTION</t>
        </is>
      </c>
      <c r="AG132" s="17" t="b">
        <v>0</v>
      </c>
      <c r="AH132" s="17" t="b">
        <v>1</v>
      </c>
    </row>
    <row r="133">
      <c r="A133" s="11" t="n">
        <v>44749</v>
      </c>
      <c r="B133" s="13" t="n">
        <v>2417.5</v>
      </c>
      <c r="C133" s="13" t="n">
        <v>2435</v>
      </c>
      <c r="D133" s="13" t="n">
        <v>-17.5</v>
      </c>
      <c r="E133" s="13" t="n">
        <v>353175</v>
      </c>
      <c r="F133" s="13" t="n">
        <v>79.17489999999999</v>
      </c>
      <c r="G133" s="6" t="n">
        <v>79.4019</v>
      </c>
      <c r="H133" s="6" t="n">
        <v>79.84650000000001</v>
      </c>
      <c r="I133" s="14" t="n">
        <v>0.05312</v>
      </c>
      <c r="J133" s="14" t="n">
        <v>0.019036</v>
      </c>
      <c r="K133" s="14" t="n">
        <v>0.049</v>
      </c>
      <c r="L133" s="13" t="n">
        <v>207.1963</v>
      </c>
      <c r="M133" s="13" t="n">
        <v>207.8597</v>
      </c>
      <c r="N133" s="13" t="n">
        <v>208.8547</v>
      </c>
      <c r="O133" s="13" t="n">
        <v>17.23</v>
      </c>
      <c r="P133" s="13" t="n">
        <v>76.39</v>
      </c>
      <c r="Q133" s="12" t="n">
        <v>44771</v>
      </c>
      <c r="R133" s="12" t="n">
        <v>44804</v>
      </c>
      <c r="S133" s="8">
        <f>YEAR($Q133)*100+MONTH($Q133)</f>
        <v/>
      </c>
      <c r="T133" s="8">
        <f>YEAR($R133)*100+MONTH($R133)</f>
        <v/>
      </c>
      <c r="U133" s="15">
        <f>IF($A133&lt;=INDEX(pdates_wc_rate_inr_pa,1),INDEX(pvals_wc_rate_inr_pa,1),INDEX(pvals_wc_rate_inr_pa,MATCH($A133,pdates_wc_rate_inr_pa,1)))</f>
        <v/>
      </c>
      <c r="V133" s="8">
        <f>IF(AND($A133&gt;=customs_fx_first,$A133&lt;=customs_fx_last+customs_fx_notification_validity_days),IF($A133&lt;=INDEX(pdates_customs_usdinr_import,1),INDEX(pvals_customs_usdinr_import,1),INDEX(pvals_customs_usdinr_import,MATCH($A133,pdates_customs_usdinr_import,1))),$F133*(1+customs_fx_markup_frac))</f>
        <v/>
      </c>
      <c r="W133" s="8">
        <f>IF(AND($A133&gt;=customs_fx_first,$A133&lt;=customs_fx_last+customs_fx_notification_validity_days),"CBIC_NOTIFIED","MARKUP_FALLBACK")</f>
        <v/>
      </c>
      <c r="X133" s="8">
        <f>IF($A133&lt;=INDEX(pdates_grade_factor_zorba,1),INDEX(pvals_grade_factor_zorba,1),IF($A133&gt;=INDEX(pdates_grade_factor_zorba,10),INDEX(pvals_grade_factor_zorba,10),INDEX(pvals_grade_factor_zorba,MATCH($A133,pdates_grade_factor_zorba,1))+($A133-INDEX(pdates_grade_factor_zorba,MATCH($A133,pdates_grade_factor_zorba,1)))/(INDEX(pdates_grade_factor_zorba,MATCH($A133,pdates_grade_factor_zorba,1)+1)-INDEX(pdates_grade_factor_zorba,MATCH($A133,pdates_grade_factor_zorba,1)))*(INDEX(pvals_grade_factor_zorba,MATCH($A133,pdates_grade_factor_zorba,1)+1)-INDEX(pvals_grade_factor_zorba,MATCH($A133,pdates_grade_factor_zorba,1)))))</f>
        <v/>
      </c>
      <c r="Y133" s="8">
        <f>IF($A133&lt;=INDEX(pdates_grade_factor_taint_tabor,1),INDEX(pvals_grade_factor_taint_tabor,1),IF($A133&gt;=INDEX(pdates_grade_factor_taint_tabor,10),INDEX(pvals_grade_factor_taint_tabor,10),INDEX(pvals_grade_factor_taint_tabor,MATCH($A133,pdates_grade_factor_taint_tabor,1))+($A133-INDEX(pdates_grade_factor_taint_tabor,MATCH($A133,pdates_grade_factor_taint_tabor,1)))/(INDEX(pdates_grade_factor_taint_tabor,MATCH($A133,pdates_grade_factor_taint_tabor,1)+1)-INDEX(pdates_grade_factor_taint_tabor,MATCH($A133,pdates_grade_factor_taint_tabor,1)))*(INDEX(pvals_grade_factor_taint_tabor,MATCH($A133,pdates_grade_factor_taint_tabor,1)+1)-INDEX(pvals_grade_factor_taint_tabor,MATCH($A133,pdates_grade_factor_taint_tabor,1)))))</f>
        <v/>
      </c>
      <c r="Z133" s="8">
        <f>IF($A133&lt;=INDEX(pdates_grade_factor_tense,1),INDEX(pvals_grade_factor_tense,1),IF($A133&gt;=INDEX(pdates_grade_factor_tense,10),INDEX(pvals_grade_factor_tense,10),INDEX(pvals_grade_factor_tense,MATCH($A133,pdates_grade_factor_tense,1))+($A133-INDEX(pdates_grade_factor_tense,MATCH($A133,pdates_grade_factor_tense,1)))/(INDEX(pdates_grade_factor_tense,MATCH($A133,pdates_grade_factor_tense,1)+1)-INDEX(pdates_grade_factor_tense,MATCH($A133,pdates_grade_factor_tense,1)))*(INDEX(pvals_grade_factor_tense,MATCH($A133,pdates_grade_factor_tense,1)+1)-INDEX(pvals_grade_factor_tense,MATCH($A133,pdates_grade_factor_tense,1)))))</f>
        <v/>
      </c>
      <c r="AA133" s="8">
        <f>IF($A133&lt;=INDEX(pdates_grade_factor_mix_pit,1),INDEX(pvals_grade_factor_mix_pit,1),IF($A133&gt;=INDEX(pdates_grade_factor_mix_pit,10),INDEX(pvals_grade_factor_mix_pit,10),INDEX(pvals_grade_factor_mix_pit,MATCH($A133,pdates_grade_factor_mix_pit,1))+($A133-INDEX(pdates_grade_factor_mix_pit,MATCH($A133,pdates_grade_factor_mix_pit,1)))/(INDEX(pdates_grade_factor_mix_pit,MATCH($A133,pdates_grade_factor_mix_pit,1)+1)-INDEX(pdates_grade_factor_mix_pit,MATCH($A133,pdates_grade_factor_mix_pit,1)))*(INDEX(pvals_grade_factor_mix_pit,MATCH($A133,pdates_grade_factor_mix_pit,1)+1)-INDEX(pvals_grade_factor_mix_pit,MATCH($A133,pdates_grade_factor_mix_pit,1)))))</f>
        <v/>
      </c>
      <c r="AB133" s="16">
        <f>($B133*$F133/kg_per_mt*(1+bcd_primary_al_hs7601*(1+sws_rate_on_bcd))+mcx_domestic_premium_inr_kg)*(1+$I133*MAX(0,$Q133-$A133)/day_count_inr)</f>
        <v/>
      </c>
      <c r="AC133" s="16">
        <f>$M133-$AB133</f>
        <v/>
      </c>
      <c r="AD133" s="7" t="inlineStr">
        <is>
          <t>PROXY_IMPORT_PARITY</t>
        </is>
      </c>
      <c r="AE133" s="7" t="inlineStr">
        <is>
          <t>ECB_CROSS</t>
        </is>
      </c>
      <c r="AF133" s="7" t="inlineStr">
        <is>
          <t>WCI_REPORTED|USEC:ANCHORED|JEA:ASSUMPTION</t>
        </is>
      </c>
      <c r="AG133" s="17" t="b">
        <v>0</v>
      </c>
      <c r="AH133" s="17" t="b">
        <v>0</v>
      </c>
    </row>
    <row r="134">
      <c r="A134" s="11" t="n">
        <v>44750</v>
      </c>
      <c r="B134" s="13" t="n">
        <v>2399.5</v>
      </c>
      <c r="C134" s="13" t="n">
        <v>2414.5</v>
      </c>
      <c r="D134" s="13" t="n">
        <v>-15</v>
      </c>
      <c r="E134" s="13" t="n">
        <v>347175</v>
      </c>
      <c r="F134" s="13" t="n">
        <v>79.2364</v>
      </c>
      <c r="G134" s="6" t="n">
        <v>79.4623</v>
      </c>
      <c r="H134" s="6" t="n">
        <v>79.9046</v>
      </c>
      <c r="I134" s="14" t="n">
        <v>0.05312</v>
      </c>
      <c r="J134" s="14" t="n">
        <v>0.019233</v>
      </c>
      <c r="K134" s="14" t="n">
        <v>0.049</v>
      </c>
      <c r="L134" s="13" t="n">
        <v>205.8133</v>
      </c>
      <c r="M134" s="13" t="n">
        <v>206.4423</v>
      </c>
      <c r="N134" s="13" t="n">
        <v>207.4307</v>
      </c>
      <c r="O134" s="13" t="n">
        <v>17.23</v>
      </c>
      <c r="P134" s="13" t="n">
        <v>76.39</v>
      </c>
      <c r="Q134" s="12" t="n">
        <v>44771</v>
      </c>
      <c r="R134" s="12" t="n">
        <v>44804</v>
      </c>
      <c r="S134" s="8">
        <f>YEAR($Q134)*100+MONTH($Q134)</f>
        <v/>
      </c>
      <c r="T134" s="8">
        <f>YEAR($R134)*100+MONTH($R134)</f>
        <v/>
      </c>
      <c r="U134" s="15">
        <f>IF($A134&lt;=INDEX(pdates_wc_rate_inr_pa,1),INDEX(pvals_wc_rate_inr_pa,1),INDEX(pvals_wc_rate_inr_pa,MATCH($A134,pdates_wc_rate_inr_pa,1)))</f>
        <v/>
      </c>
      <c r="V134" s="8">
        <f>IF(AND($A134&gt;=customs_fx_first,$A134&lt;=customs_fx_last+customs_fx_notification_validity_days),IF($A134&lt;=INDEX(pdates_customs_usdinr_import,1),INDEX(pvals_customs_usdinr_import,1),INDEX(pvals_customs_usdinr_import,MATCH($A134,pdates_customs_usdinr_import,1))),$F134*(1+customs_fx_markup_frac))</f>
        <v/>
      </c>
      <c r="W134" s="8">
        <f>IF(AND($A134&gt;=customs_fx_first,$A134&lt;=customs_fx_last+customs_fx_notification_validity_days),"CBIC_NOTIFIED","MARKUP_FALLBACK")</f>
        <v/>
      </c>
      <c r="X134" s="8">
        <f>IF($A134&lt;=INDEX(pdates_grade_factor_zorba,1),INDEX(pvals_grade_factor_zorba,1),IF($A134&gt;=INDEX(pdates_grade_factor_zorba,10),INDEX(pvals_grade_factor_zorba,10),INDEX(pvals_grade_factor_zorba,MATCH($A134,pdates_grade_factor_zorba,1))+($A134-INDEX(pdates_grade_factor_zorba,MATCH($A134,pdates_grade_factor_zorba,1)))/(INDEX(pdates_grade_factor_zorba,MATCH($A134,pdates_grade_factor_zorba,1)+1)-INDEX(pdates_grade_factor_zorba,MATCH($A134,pdates_grade_factor_zorba,1)))*(INDEX(pvals_grade_factor_zorba,MATCH($A134,pdates_grade_factor_zorba,1)+1)-INDEX(pvals_grade_factor_zorba,MATCH($A134,pdates_grade_factor_zorba,1)))))</f>
        <v/>
      </c>
      <c r="Y134" s="8">
        <f>IF($A134&lt;=INDEX(pdates_grade_factor_taint_tabor,1),INDEX(pvals_grade_factor_taint_tabor,1),IF($A134&gt;=INDEX(pdates_grade_factor_taint_tabor,10),INDEX(pvals_grade_factor_taint_tabor,10),INDEX(pvals_grade_factor_taint_tabor,MATCH($A134,pdates_grade_factor_taint_tabor,1))+($A134-INDEX(pdates_grade_factor_taint_tabor,MATCH($A134,pdates_grade_factor_taint_tabor,1)))/(INDEX(pdates_grade_factor_taint_tabor,MATCH($A134,pdates_grade_factor_taint_tabor,1)+1)-INDEX(pdates_grade_factor_taint_tabor,MATCH($A134,pdates_grade_factor_taint_tabor,1)))*(INDEX(pvals_grade_factor_taint_tabor,MATCH($A134,pdates_grade_factor_taint_tabor,1)+1)-INDEX(pvals_grade_factor_taint_tabor,MATCH($A134,pdates_grade_factor_taint_tabor,1)))))</f>
        <v/>
      </c>
      <c r="Z134" s="8">
        <f>IF($A134&lt;=INDEX(pdates_grade_factor_tense,1),INDEX(pvals_grade_factor_tense,1),IF($A134&gt;=INDEX(pdates_grade_factor_tense,10),INDEX(pvals_grade_factor_tense,10),INDEX(pvals_grade_factor_tense,MATCH($A134,pdates_grade_factor_tense,1))+($A134-INDEX(pdates_grade_factor_tense,MATCH($A134,pdates_grade_factor_tense,1)))/(INDEX(pdates_grade_factor_tense,MATCH($A134,pdates_grade_factor_tense,1)+1)-INDEX(pdates_grade_factor_tense,MATCH($A134,pdates_grade_factor_tense,1)))*(INDEX(pvals_grade_factor_tense,MATCH($A134,pdates_grade_factor_tense,1)+1)-INDEX(pvals_grade_factor_tense,MATCH($A134,pdates_grade_factor_tense,1)))))</f>
        <v/>
      </c>
      <c r="AA134" s="8">
        <f>IF($A134&lt;=INDEX(pdates_grade_factor_mix_pit,1),INDEX(pvals_grade_factor_mix_pit,1),IF($A134&gt;=INDEX(pdates_grade_factor_mix_pit,10),INDEX(pvals_grade_factor_mix_pit,10),INDEX(pvals_grade_factor_mix_pit,MATCH($A134,pdates_grade_factor_mix_pit,1))+($A134-INDEX(pdates_grade_factor_mix_pit,MATCH($A134,pdates_grade_factor_mix_pit,1)))/(INDEX(pdates_grade_factor_mix_pit,MATCH($A134,pdates_grade_factor_mix_pit,1)+1)-INDEX(pdates_grade_factor_mix_pit,MATCH($A134,pdates_grade_factor_mix_pit,1)))*(INDEX(pvals_grade_factor_mix_pit,MATCH($A134,pdates_grade_factor_mix_pit,1)+1)-INDEX(pvals_grade_factor_mix_pit,MATCH($A134,pdates_grade_factor_mix_pit,1)))))</f>
        <v/>
      </c>
      <c r="AB134" s="16">
        <f>($B134*$F134/kg_per_mt*(1+bcd_primary_al_hs7601*(1+sws_rate_on_bcd))+mcx_domestic_premium_inr_kg)*(1+$I134*MAX(0,$Q134-$A134)/day_count_inr)</f>
        <v/>
      </c>
      <c r="AC134" s="16">
        <f>$M134-$AB134</f>
        <v/>
      </c>
      <c r="AD134" s="7" t="inlineStr">
        <is>
          <t>PROXY_IMPORT_PARITY</t>
        </is>
      </c>
      <c r="AE134" s="7" t="inlineStr">
        <is>
          <t>ECB_CROSS</t>
        </is>
      </c>
      <c r="AF134" s="7" t="inlineStr">
        <is>
          <t>WCI_REPORTED|USEC:ANCHORED|JEA:ASSUMPTION</t>
        </is>
      </c>
      <c r="AG134" s="17" t="b">
        <v>0</v>
      </c>
      <c r="AH134" s="17" t="b">
        <v>1</v>
      </c>
    </row>
    <row r="135">
      <c r="A135" s="11" t="n">
        <v>44753</v>
      </c>
      <c r="B135" s="13" t="n">
        <v>2417</v>
      </c>
      <c r="C135" s="13" t="n">
        <v>2423</v>
      </c>
      <c r="D135" s="13" t="n">
        <v>-6</v>
      </c>
      <c r="E135" s="13" t="n">
        <v>343825</v>
      </c>
      <c r="F135" s="13" t="n">
        <v>79.46469999999999</v>
      </c>
      <c r="G135" s="6" t="n">
        <v>79.6764</v>
      </c>
      <c r="H135" s="6" t="n">
        <v>80.0907</v>
      </c>
      <c r="I135" s="14" t="n">
        <v>0.05312</v>
      </c>
      <c r="J135" s="14" t="n">
        <v>0.021403</v>
      </c>
      <c r="K135" s="14" t="n">
        <v>0.049</v>
      </c>
      <c r="L135" s="13" t="n">
        <v>207.9116</v>
      </c>
      <c r="M135" s="13" t="n">
        <v>208.4563</v>
      </c>
      <c r="N135" s="13" t="n">
        <v>209.4548</v>
      </c>
      <c r="O135" s="13" t="n">
        <v>17.23</v>
      </c>
      <c r="P135" s="13" t="n">
        <v>76.39</v>
      </c>
      <c r="Q135" s="12" t="n">
        <v>44771</v>
      </c>
      <c r="R135" s="12" t="n">
        <v>44804</v>
      </c>
      <c r="S135" s="8">
        <f>YEAR($Q135)*100+MONTH($Q135)</f>
        <v/>
      </c>
      <c r="T135" s="8">
        <f>YEAR($R135)*100+MONTH($R135)</f>
        <v/>
      </c>
      <c r="U135" s="15">
        <f>IF($A135&lt;=INDEX(pdates_wc_rate_inr_pa,1),INDEX(pvals_wc_rate_inr_pa,1),INDEX(pvals_wc_rate_inr_pa,MATCH($A135,pdates_wc_rate_inr_pa,1)))</f>
        <v/>
      </c>
      <c r="V135" s="8">
        <f>IF(AND($A135&gt;=customs_fx_first,$A135&lt;=customs_fx_last+customs_fx_notification_validity_days),IF($A135&lt;=INDEX(pdates_customs_usdinr_import,1),INDEX(pvals_customs_usdinr_import,1),INDEX(pvals_customs_usdinr_import,MATCH($A135,pdates_customs_usdinr_import,1))),$F135*(1+customs_fx_markup_frac))</f>
        <v/>
      </c>
      <c r="W135" s="8">
        <f>IF(AND($A135&gt;=customs_fx_first,$A135&lt;=customs_fx_last+customs_fx_notification_validity_days),"CBIC_NOTIFIED","MARKUP_FALLBACK")</f>
        <v/>
      </c>
      <c r="X135" s="8">
        <f>IF($A135&lt;=INDEX(pdates_grade_factor_zorba,1),INDEX(pvals_grade_factor_zorba,1),IF($A135&gt;=INDEX(pdates_grade_factor_zorba,10),INDEX(pvals_grade_factor_zorba,10),INDEX(pvals_grade_factor_zorba,MATCH($A135,pdates_grade_factor_zorba,1))+($A135-INDEX(pdates_grade_factor_zorba,MATCH($A135,pdates_grade_factor_zorba,1)))/(INDEX(pdates_grade_factor_zorba,MATCH($A135,pdates_grade_factor_zorba,1)+1)-INDEX(pdates_grade_factor_zorba,MATCH($A135,pdates_grade_factor_zorba,1)))*(INDEX(pvals_grade_factor_zorba,MATCH($A135,pdates_grade_factor_zorba,1)+1)-INDEX(pvals_grade_factor_zorba,MATCH($A135,pdates_grade_factor_zorba,1)))))</f>
        <v/>
      </c>
      <c r="Y135" s="8">
        <f>IF($A135&lt;=INDEX(pdates_grade_factor_taint_tabor,1),INDEX(pvals_grade_factor_taint_tabor,1),IF($A135&gt;=INDEX(pdates_grade_factor_taint_tabor,10),INDEX(pvals_grade_factor_taint_tabor,10),INDEX(pvals_grade_factor_taint_tabor,MATCH($A135,pdates_grade_factor_taint_tabor,1))+($A135-INDEX(pdates_grade_factor_taint_tabor,MATCH($A135,pdates_grade_factor_taint_tabor,1)))/(INDEX(pdates_grade_factor_taint_tabor,MATCH($A135,pdates_grade_factor_taint_tabor,1)+1)-INDEX(pdates_grade_factor_taint_tabor,MATCH($A135,pdates_grade_factor_taint_tabor,1)))*(INDEX(pvals_grade_factor_taint_tabor,MATCH($A135,pdates_grade_factor_taint_tabor,1)+1)-INDEX(pvals_grade_factor_taint_tabor,MATCH($A135,pdates_grade_factor_taint_tabor,1)))))</f>
        <v/>
      </c>
      <c r="Z135" s="8">
        <f>IF($A135&lt;=INDEX(pdates_grade_factor_tense,1),INDEX(pvals_grade_factor_tense,1),IF($A135&gt;=INDEX(pdates_grade_factor_tense,10),INDEX(pvals_grade_factor_tense,10),INDEX(pvals_grade_factor_tense,MATCH($A135,pdates_grade_factor_tense,1))+($A135-INDEX(pdates_grade_factor_tense,MATCH($A135,pdates_grade_factor_tense,1)))/(INDEX(pdates_grade_factor_tense,MATCH($A135,pdates_grade_factor_tense,1)+1)-INDEX(pdates_grade_factor_tense,MATCH($A135,pdates_grade_factor_tense,1)))*(INDEX(pvals_grade_factor_tense,MATCH($A135,pdates_grade_factor_tense,1)+1)-INDEX(pvals_grade_factor_tense,MATCH($A135,pdates_grade_factor_tense,1)))))</f>
        <v/>
      </c>
      <c r="AA135" s="8">
        <f>IF($A135&lt;=INDEX(pdates_grade_factor_mix_pit,1),INDEX(pvals_grade_factor_mix_pit,1),IF($A135&gt;=INDEX(pdates_grade_factor_mix_pit,10),INDEX(pvals_grade_factor_mix_pit,10),INDEX(pvals_grade_factor_mix_pit,MATCH($A135,pdates_grade_factor_mix_pit,1))+($A135-INDEX(pdates_grade_factor_mix_pit,MATCH($A135,pdates_grade_factor_mix_pit,1)))/(INDEX(pdates_grade_factor_mix_pit,MATCH($A135,pdates_grade_factor_mix_pit,1)+1)-INDEX(pdates_grade_factor_mix_pit,MATCH($A135,pdates_grade_factor_mix_pit,1)))*(INDEX(pvals_grade_factor_mix_pit,MATCH($A135,pdates_grade_factor_mix_pit,1)+1)-INDEX(pvals_grade_factor_mix_pit,MATCH($A135,pdates_grade_factor_mix_pit,1)))))</f>
        <v/>
      </c>
      <c r="AB135" s="16">
        <f>($B135*$F135/kg_per_mt*(1+bcd_primary_al_hs7601*(1+sws_rate_on_bcd))+mcx_domestic_premium_inr_kg)*(1+$I135*MAX(0,$Q135-$A135)/day_count_inr)</f>
        <v/>
      </c>
      <c r="AC135" s="16">
        <f>$M135-$AB135</f>
        <v/>
      </c>
      <c r="AD135" s="7" t="inlineStr">
        <is>
          <t>PROXY_IMPORT_PARITY</t>
        </is>
      </c>
      <c r="AE135" s="7" t="inlineStr">
        <is>
          <t>ECB_CROSS</t>
        </is>
      </c>
      <c r="AF135" s="7" t="inlineStr">
        <is>
          <t>WCI_REPORTED|USEC:ANCHORED|JEA:ASSUMPTION</t>
        </is>
      </c>
      <c r="AG135" s="17" t="b">
        <v>0</v>
      </c>
      <c r="AH135" s="17" t="b">
        <v>1</v>
      </c>
    </row>
    <row r="136">
      <c r="A136" s="11" t="n">
        <v>44754</v>
      </c>
      <c r="B136" s="13" t="n">
        <v>2358</v>
      </c>
      <c r="C136" s="13" t="n">
        <v>2370.5</v>
      </c>
      <c r="D136" s="13" t="n">
        <v>-12.5</v>
      </c>
      <c r="E136" s="13" t="n">
        <v>340375</v>
      </c>
      <c r="F136" s="13" t="n">
        <v>79.56229999999999</v>
      </c>
      <c r="G136" s="6" t="n">
        <v>79.7722</v>
      </c>
      <c r="H136" s="6" t="n">
        <v>80.18300000000001</v>
      </c>
      <c r="I136" s="14" t="n">
        <v>0.05312</v>
      </c>
      <c r="J136" s="14" t="n">
        <v>0.021699</v>
      </c>
      <c r="K136" s="14" t="n">
        <v>0.049</v>
      </c>
      <c r="L136" s="13" t="n">
        <v>203.0856</v>
      </c>
      <c r="M136" s="13" t="n">
        <v>203.588</v>
      </c>
      <c r="N136" s="13" t="n">
        <v>204.5634</v>
      </c>
      <c r="O136" s="13" t="n">
        <v>17.23</v>
      </c>
      <c r="P136" s="13" t="n">
        <v>76.39</v>
      </c>
      <c r="Q136" s="12" t="n">
        <v>44771</v>
      </c>
      <c r="R136" s="12" t="n">
        <v>44804</v>
      </c>
      <c r="S136" s="8">
        <f>YEAR($Q136)*100+MONTH($Q136)</f>
        <v/>
      </c>
      <c r="T136" s="8">
        <f>YEAR($R136)*100+MONTH($R136)</f>
        <v/>
      </c>
      <c r="U136" s="15">
        <f>IF($A136&lt;=INDEX(pdates_wc_rate_inr_pa,1),INDEX(pvals_wc_rate_inr_pa,1),INDEX(pvals_wc_rate_inr_pa,MATCH($A136,pdates_wc_rate_inr_pa,1)))</f>
        <v/>
      </c>
      <c r="V136" s="8">
        <f>IF(AND($A136&gt;=customs_fx_first,$A136&lt;=customs_fx_last+customs_fx_notification_validity_days),IF($A136&lt;=INDEX(pdates_customs_usdinr_import,1),INDEX(pvals_customs_usdinr_import,1),INDEX(pvals_customs_usdinr_import,MATCH($A136,pdates_customs_usdinr_import,1))),$F136*(1+customs_fx_markup_frac))</f>
        <v/>
      </c>
      <c r="W136" s="8">
        <f>IF(AND($A136&gt;=customs_fx_first,$A136&lt;=customs_fx_last+customs_fx_notification_validity_days),"CBIC_NOTIFIED","MARKUP_FALLBACK")</f>
        <v/>
      </c>
      <c r="X136" s="8">
        <f>IF($A136&lt;=INDEX(pdates_grade_factor_zorba,1),INDEX(pvals_grade_factor_zorba,1),IF($A136&gt;=INDEX(pdates_grade_factor_zorba,10),INDEX(pvals_grade_factor_zorba,10),INDEX(pvals_grade_factor_zorba,MATCH($A136,pdates_grade_factor_zorba,1))+($A136-INDEX(pdates_grade_factor_zorba,MATCH($A136,pdates_grade_factor_zorba,1)))/(INDEX(pdates_grade_factor_zorba,MATCH($A136,pdates_grade_factor_zorba,1)+1)-INDEX(pdates_grade_factor_zorba,MATCH($A136,pdates_grade_factor_zorba,1)))*(INDEX(pvals_grade_factor_zorba,MATCH($A136,pdates_grade_factor_zorba,1)+1)-INDEX(pvals_grade_factor_zorba,MATCH($A136,pdates_grade_factor_zorba,1)))))</f>
        <v/>
      </c>
      <c r="Y136" s="8">
        <f>IF($A136&lt;=INDEX(pdates_grade_factor_taint_tabor,1),INDEX(pvals_grade_factor_taint_tabor,1),IF($A136&gt;=INDEX(pdates_grade_factor_taint_tabor,10),INDEX(pvals_grade_factor_taint_tabor,10),INDEX(pvals_grade_factor_taint_tabor,MATCH($A136,pdates_grade_factor_taint_tabor,1))+($A136-INDEX(pdates_grade_factor_taint_tabor,MATCH($A136,pdates_grade_factor_taint_tabor,1)))/(INDEX(pdates_grade_factor_taint_tabor,MATCH($A136,pdates_grade_factor_taint_tabor,1)+1)-INDEX(pdates_grade_factor_taint_tabor,MATCH($A136,pdates_grade_factor_taint_tabor,1)))*(INDEX(pvals_grade_factor_taint_tabor,MATCH($A136,pdates_grade_factor_taint_tabor,1)+1)-INDEX(pvals_grade_factor_taint_tabor,MATCH($A136,pdates_grade_factor_taint_tabor,1)))))</f>
        <v/>
      </c>
      <c r="Z136" s="8">
        <f>IF($A136&lt;=INDEX(pdates_grade_factor_tense,1),INDEX(pvals_grade_factor_tense,1),IF($A136&gt;=INDEX(pdates_grade_factor_tense,10),INDEX(pvals_grade_factor_tense,10),INDEX(pvals_grade_factor_tense,MATCH($A136,pdates_grade_factor_tense,1))+($A136-INDEX(pdates_grade_factor_tense,MATCH($A136,pdates_grade_factor_tense,1)))/(INDEX(pdates_grade_factor_tense,MATCH($A136,pdates_grade_factor_tense,1)+1)-INDEX(pdates_grade_factor_tense,MATCH($A136,pdates_grade_factor_tense,1)))*(INDEX(pvals_grade_factor_tense,MATCH($A136,pdates_grade_factor_tense,1)+1)-INDEX(pvals_grade_factor_tense,MATCH($A136,pdates_grade_factor_tense,1)))))</f>
        <v/>
      </c>
      <c r="AA136" s="8">
        <f>IF($A136&lt;=INDEX(pdates_grade_factor_mix_pit,1),INDEX(pvals_grade_factor_mix_pit,1),IF($A136&gt;=INDEX(pdates_grade_factor_mix_pit,10),INDEX(pvals_grade_factor_mix_pit,10),INDEX(pvals_grade_factor_mix_pit,MATCH($A136,pdates_grade_factor_mix_pit,1))+($A136-INDEX(pdates_grade_factor_mix_pit,MATCH($A136,pdates_grade_factor_mix_pit,1)))/(INDEX(pdates_grade_factor_mix_pit,MATCH($A136,pdates_grade_factor_mix_pit,1)+1)-INDEX(pdates_grade_factor_mix_pit,MATCH($A136,pdates_grade_factor_mix_pit,1)))*(INDEX(pvals_grade_factor_mix_pit,MATCH($A136,pdates_grade_factor_mix_pit,1)+1)-INDEX(pvals_grade_factor_mix_pit,MATCH($A136,pdates_grade_factor_mix_pit,1)))))</f>
        <v/>
      </c>
      <c r="AB136" s="16">
        <f>($B136*$F136/kg_per_mt*(1+bcd_primary_al_hs7601*(1+sws_rate_on_bcd))+mcx_domestic_premium_inr_kg)*(1+$I136*MAX(0,$Q136-$A136)/day_count_inr)</f>
        <v/>
      </c>
      <c r="AC136" s="16">
        <f>$M136-$AB136</f>
        <v/>
      </c>
      <c r="AD136" s="7" t="inlineStr">
        <is>
          <t>PROXY_IMPORT_PARITY</t>
        </is>
      </c>
      <c r="AE136" s="7" t="inlineStr">
        <is>
          <t>ECB_CROSS</t>
        </is>
      </c>
      <c r="AF136" s="7" t="inlineStr">
        <is>
          <t>WCI_REPORTED|USEC:ANCHORED|JEA:ASSUMPTION</t>
        </is>
      </c>
      <c r="AG136" s="17" t="b">
        <v>0</v>
      </c>
      <c r="AH136" s="17" t="b">
        <v>1</v>
      </c>
    </row>
    <row r="137">
      <c r="A137" s="11" t="n">
        <v>44755</v>
      </c>
      <c r="B137" s="13" t="n">
        <v>2343</v>
      </c>
      <c r="C137" s="13" t="n">
        <v>2355.5</v>
      </c>
      <c r="D137" s="13" t="n">
        <v>-12.5</v>
      </c>
      <c r="E137" s="13" t="n">
        <v>340300</v>
      </c>
      <c r="F137" s="13" t="n">
        <v>79.59520000000001</v>
      </c>
      <c r="G137" s="6" t="n">
        <v>79.79300000000001</v>
      </c>
      <c r="H137" s="6" t="n">
        <v>80.1799</v>
      </c>
      <c r="I137" s="14" t="n">
        <v>0.05312</v>
      </c>
      <c r="J137" s="14" t="n">
        <v>0.023474</v>
      </c>
      <c r="K137" s="14" t="n">
        <v>0.049</v>
      </c>
      <c r="L137" s="13" t="n">
        <v>201.8771</v>
      </c>
      <c r="M137" s="13" t="n">
        <v>202.3472</v>
      </c>
      <c r="N137" s="13" t="n">
        <v>203.3167</v>
      </c>
      <c r="O137" s="13" t="n">
        <v>17.23</v>
      </c>
      <c r="P137" s="13" t="n">
        <v>76.39</v>
      </c>
      <c r="Q137" s="12" t="n">
        <v>44771</v>
      </c>
      <c r="R137" s="12" t="n">
        <v>44804</v>
      </c>
      <c r="S137" s="8">
        <f>YEAR($Q137)*100+MONTH($Q137)</f>
        <v/>
      </c>
      <c r="T137" s="8">
        <f>YEAR($R137)*100+MONTH($R137)</f>
        <v/>
      </c>
      <c r="U137" s="15">
        <f>IF($A137&lt;=INDEX(pdates_wc_rate_inr_pa,1),INDEX(pvals_wc_rate_inr_pa,1),INDEX(pvals_wc_rate_inr_pa,MATCH($A137,pdates_wc_rate_inr_pa,1)))</f>
        <v/>
      </c>
      <c r="V137" s="8">
        <f>IF(AND($A137&gt;=customs_fx_first,$A137&lt;=customs_fx_last+customs_fx_notification_validity_days),IF($A137&lt;=INDEX(pdates_customs_usdinr_import,1),INDEX(pvals_customs_usdinr_import,1),INDEX(pvals_customs_usdinr_import,MATCH($A137,pdates_customs_usdinr_import,1))),$F137*(1+customs_fx_markup_frac))</f>
        <v/>
      </c>
      <c r="W137" s="8">
        <f>IF(AND($A137&gt;=customs_fx_first,$A137&lt;=customs_fx_last+customs_fx_notification_validity_days),"CBIC_NOTIFIED","MARKUP_FALLBACK")</f>
        <v/>
      </c>
      <c r="X137" s="8">
        <f>IF($A137&lt;=INDEX(pdates_grade_factor_zorba,1),INDEX(pvals_grade_factor_zorba,1),IF($A137&gt;=INDEX(pdates_grade_factor_zorba,10),INDEX(pvals_grade_factor_zorba,10),INDEX(pvals_grade_factor_zorba,MATCH($A137,pdates_grade_factor_zorba,1))+($A137-INDEX(pdates_grade_factor_zorba,MATCH($A137,pdates_grade_factor_zorba,1)))/(INDEX(pdates_grade_factor_zorba,MATCH($A137,pdates_grade_factor_zorba,1)+1)-INDEX(pdates_grade_factor_zorba,MATCH($A137,pdates_grade_factor_zorba,1)))*(INDEX(pvals_grade_factor_zorba,MATCH($A137,pdates_grade_factor_zorba,1)+1)-INDEX(pvals_grade_factor_zorba,MATCH($A137,pdates_grade_factor_zorba,1)))))</f>
        <v/>
      </c>
      <c r="Y137" s="8">
        <f>IF($A137&lt;=INDEX(pdates_grade_factor_taint_tabor,1),INDEX(pvals_grade_factor_taint_tabor,1),IF($A137&gt;=INDEX(pdates_grade_factor_taint_tabor,10),INDEX(pvals_grade_factor_taint_tabor,10),INDEX(pvals_grade_factor_taint_tabor,MATCH($A137,pdates_grade_factor_taint_tabor,1))+($A137-INDEX(pdates_grade_factor_taint_tabor,MATCH($A137,pdates_grade_factor_taint_tabor,1)))/(INDEX(pdates_grade_factor_taint_tabor,MATCH($A137,pdates_grade_factor_taint_tabor,1)+1)-INDEX(pdates_grade_factor_taint_tabor,MATCH($A137,pdates_grade_factor_taint_tabor,1)))*(INDEX(pvals_grade_factor_taint_tabor,MATCH($A137,pdates_grade_factor_taint_tabor,1)+1)-INDEX(pvals_grade_factor_taint_tabor,MATCH($A137,pdates_grade_factor_taint_tabor,1)))))</f>
        <v/>
      </c>
      <c r="Z137" s="8">
        <f>IF($A137&lt;=INDEX(pdates_grade_factor_tense,1),INDEX(pvals_grade_factor_tense,1),IF($A137&gt;=INDEX(pdates_grade_factor_tense,10),INDEX(pvals_grade_factor_tense,10),INDEX(pvals_grade_factor_tense,MATCH($A137,pdates_grade_factor_tense,1))+($A137-INDEX(pdates_grade_factor_tense,MATCH($A137,pdates_grade_factor_tense,1)))/(INDEX(pdates_grade_factor_tense,MATCH($A137,pdates_grade_factor_tense,1)+1)-INDEX(pdates_grade_factor_tense,MATCH($A137,pdates_grade_factor_tense,1)))*(INDEX(pvals_grade_factor_tense,MATCH($A137,pdates_grade_factor_tense,1)+1)-INDEX(pvals_grade_factor_tense,MATCH($A137,pdates_grade_factor_tense,1)))))</f>
        <v/>
      </c>
      <c r="AA137" s="8">
        <f>IF($A137&lt;=INDEX(pdates_grade_factor_mix_pit,1),INDEX(pvals_grade_factor_mix_pit,1),IF($A137&gt;=INDEX(pdates_grade_factor_mix_pit,10),INDEX(pvals_grade_factor_mix_pit,10),INDEX(pvals_grade_factor_mix_pit,MATCH($A137,pdates_grade_factor_mix_pit,1))+($A137-INDEX(pdates_grade_factor_mix_pit,MATCH($A137,pdates_grade_factor_mix_pit,1)))/(INDEX(pdates_grade_factor_mix_pit,MATCH($A137,pdates_grade_factor_mix_pit,1)+1)-INDEX(pdates_grade_factor_mix_pit,MATCH($A137,pdates_grade_factor_mix_pit,1)))*(INDEX(pvals_grade_factor_mix_pit,MATCH($A137,pdates_grade_factor_mix_pit,1)+1)-INDEX(pvals_grade_factor_mix_pit,MATCH($A137,pdates_grade_factor_mix_pit,1)))))</f>
        <v/>
      </c>
      <c r="AB137" s="16">
        <f>($B137*$F137/kg_per_mt*(1+bcd_primary_al_hs7601*(1+sws_rate_on_bcd))+mcx_domestic_premium_inr_kg)*(1+$I137*MAX(0,$Q137-$A137)/day_count_inr)</f>
        <v/>
      </c>
      <c r="AC137" s="16">
        <f>$M137-$AB137</f>
        <v/>
      </c>
      <c r="AD137" s="7" t="inlineStr">
        <is>
          <t>PROXY_IMPORT_PARITY</t>
        </is>
      </c>
      <c r="AE137" s="7" t="inlineStr">
        <is>
          <t>ECB_CROSS</t>
        </is>
      </c>
      <c r="AF137" s="7" t="inlineStr">
        <is>
          <t>WCI_REPORTED|USEC:ANCHORED|JEA:ASSUMPTION</t>
        </is>
      </c>
      <c r="AG137" s="17" t="b">
        <v>0</v>
      </c>
      <c r="AH137" s="17" t="b">
        <v>1</v>
      </c>
    </row>
    <row r="138">
      <c r="A138" s="11" t="n">
        <v>44756</v>
      </c>
      <c r="B138" s="13" t="n">
        <v>2329</v>
      </c>
      <c r="C138" s="13" t="n">
        <v>2340</v>
      </c>
      <c r="D138" s="13" t="n">
        <v>-11</v>
      </c>
      <c r="E138" s="13" t="n">
        <v>336850</v>
      </c>
      <c r="F138" s="13" t="n">
        <v>80.0352</v>
      </c>
      <c r="G138" s="6" t="n">
        <v>80.2341</v>
      </c>
      <c r="H138" s="6" t="n">
        <v>80.62309999999999</v>
      </c>
      <c r="I138" s="14" t="n">
        <v>0.05312</v>
      </c>
      <c r="J138" s="14" t="n">
        <v>0.023474</v>
      </c>
      <c r="K138" s="14" t="n">
        <v>0.049</v>
      </c>
      <c r="L138" s="13" t="n">
        <v>201.7801</v>
      </c>
      <c r="M138" s="13" t="n">
        <v>202.2206</v>
      </c>
      <c r="N138" s="13" t="n">
        <v>203.1897</v>
      </c>
      <c r="O138" s="13" t="n">
        <v>16.72</v>
      </c>
      <c r="P138" s="13" t="n">
        <v>74.12</v>
      </c>
      <c r="Q138" s="12" t="n">
        <v>44771</v>
      </c>
      <c r="R138" s="12" t="n">
        <v>44804</v>
      </c>
      <c r="S138" s="8">
        <f>YEAR($Q138)*100+MONTH($Q138)</f>
        <v/>
      </c>
      <c r="T138" s="8">
        <f>YEAR($R138)*100+MONTH($R138)</f>
        <v/>
      </c>
      <c r="U138" s="15">
        <f>IF($A138&lt;=INDEX(pdates_wc_rate_inr_pa,1),INDEX(pvals_wc_rate_inr_pa,1),INDEX(pvals_wc_rate_inr_pa,MATCH($A138,pdates_wc_rate_inr_pa,1)))</f>
        <v/>
      </c>
      <c r="V138" s="8">
        <f>IF(AND($A138&gt;=customs_fx_first,$A138&lt;=customs_fx_last+customs_fx_notification_validity_days),IF($A138&lt;=INDEX(pdates_customs_usdinr_import,1),INDEX(pvals_customs_usdinr_import,1),INDEX(pvals_customs_usdinr_import,MATCH($A138,pdates_customs_usdinr_import,1))),$F138*(1+customs_fx_markup_frac))</f>
        <v/>
      </c>
      <c r="W138" s="8">
        <f>IF(AND($A138&gt;=customs_fx_first,$A138&lt;=customs_fx_last+customs_fx_notification_validity_days),"CBIC_NOTIFIED","MARKUP_FALLBACK")</f>
        <v/>
      </c>
      <c r="X138" s="8">
        <f>IF($A138&lt;=INDEX(pdates_grade_factor_zorba,1),INDEX(pvals_grade_factor_zorba,1),IF($A138&gt;=INDEX(pdates_grade_factor_zorba,10),INDEX(pvals_grade_factor_zorba,10),INDEX(pvals_grade_factor_zorba,MATCH($A138,pdates_grade_factor_zorba,1))+($A138-INDEX(pdates_grade_factor_zorba,MATCH($A138,pdates_grade_factor_zorba,1)))/(INDEX(pdates_grade_factor_zorba,MATCH($A138,pdates_grade_factor_zorba,1)+1)-INDEX(pdates_grade_factor_zorba,MATCH($A138,pdates_grade_factor_zorba,1)))*(INDEX(pvals_grade_factor_zorba,MATCH($A138,pdates_grade_factor_zorba,1)+1)-INDEX(pvals_grade_factor_zorba,MATCH($A138,pdates_grade_factor_zorba,1)))))</f>
        <v/>
      </c>
      <c r="Y138" s="8">
        <f>IF($A138&lt;=INDEX(pdates_grade_factor_taint_tabor,1),INDEX(pvals_grade_factor_taint_tabor,1),IF($A138&gt;=INDEX(pdates_grade_factor_taint_tabor,10),INDEX(pvals_grade_factor_taint_tabor,10),INDEX(pvals_grade_factor_taint_tabor,MATCH($A138,pdates_grade_factor_taint_tabor,1))+($A138-INDEX(pdates_grade_factor_taint_tabor,MATCH($A138,pdates_grade_factor_taint_tabor,1)))/(INDEX(pdates_grade_factor_taint_tabor,MATCH($A138,pdates_grade_factor_taint_tabor,1)+1)-INDEX(pdates_grade_factor_taint_tabor,MATCH($A138,pdates_grade_factor_taint_tabor,1)))*(INDEX(pvals_grade_factor_taint_tabor,MATCH($A138,pdates_grade_factor_taint_tabor,1)+1)-INDEX(pvals_grade_factor_taint_tabor,MATCH($A138,pdates_grade_factor_taint_tabor,1)))))</f>
        <v/>
      </c>
      <c r="Z138" s="8">
        <f>IF($A138&lt;=INDEX(pdates_grade_factor_tense,1),INDEX(pvals_grade_factor_tense,1),IF($A138&gt;=INDEX(pdates_grade_factor_tense,10),INDEX(pvals_grade_factor_tense,10),INDEX(pvals_grade_factor_tense,MATCH($A138,pdates_grade_factor_tense,1))+($A138-INDEX(pdates_grade_factor_tense,MATCH($A138,pdates_grade_factor_tense,1)))/(INDEX(pdates_grade_factor_tense,MATCH($A138,pdates_grade_factor_tense,1)+1)-INDEX(pdates_grade_factor_tense,MATCH($A138,pdates_grade_factor_tense,1)))*(INDEX(pvals_grade_factor_tense,MATCH($A138,pdates_grade_factor_tense,1)+1)-INDEX(pvals_grade_factor_tense,MATCH($A138,pdates_grade_factor_tense,1)))))</f>
        <v/>
      </c>
      <c r="AA138" s="8">
        <f>IF($A138&lt;=INDEX(pdates_grade_factor_mix_pit,1),INDEX(pvals_grade_factor_mix_pit,1),IF($A138&gt;=INDEX(pdates_grade_factor_mix_pit,10),INDEX(pvals_grade_factor_mix_pit,10),INDEX(pvals_grade_factor_mix_pit,MATCH($A138,pdates_grade_factor_mix_pit,1))+($A138-INDEX(pdates_grade_factor_mix_pit,MATCH($A138,pdates_grade_factor_mix_pit,1)))/(INDEX(pdates_grade_factor_mix_pit,MATCH($A138,pdates_grade_factor_mix_pit,1)+1)-INDEX(pdates_grade_factor_mix_pit,MATCH($A138,pdates_grade_factor_mix_pit,1)))*(INDEX(pvals_grade_factor_mix_pit,MATCH($A138,pdates_grade_factor_mix_pit,1)+1)-INDEX(pvals_grade_factor_mix_pit,MATCH($A138,pdates_grade_factor_mix_pit,1)))))</f>
        <v/>
      </c>
      <c r="AB138" s="16">
        <f>($B138*$F138/kg_per_mt*(1+bcd_primary_al_hs7601*(1+sws_rate_on_bcd))+mcx_domestic_premium_inr_kg)*(1+$I138*MAX(0,$Q138-$A138)/day_count_inr)</f>
        <v/>
      </c>
      <c r="AC138" s="16">
        <f>$M138-$AB138</f>
        <v/>
      </c>
      <c r="AD138" s="7" t="inlineStr">
        <is>
          <t>PROXY_IMPORT_PARITY</t>
        </is>
      </c>
      <c r="AE138" s="7" t="inlineStr">
        <is>
          <t>ECB_CROSS</t>
        </is>
      </c>
      <c r="AF138" s="7" t="inlineStr">
        <is>
          <t>WCI_REPORTED|USEC:ANCHORED|JEA:ASSUMPTION</t>
        </is>
      </c>
      <c r="AG138" s="17" t="b">
        <v>0</v>
      </c>
      <c r="AH138" s="17" t="b">
        <v>0</v>
      </c>
    </row>
    <row r="139">
      <c r="A139" s="11" t="n">
        <v>44757</v>
      </c>
      <c r="B139" s="13" t="n">
        <v>2320.5</v>
      </c>
      <c r="C139" s="13" t="n">
        <v>2336</v>
      </c>
      <c r="D139" s="13" t="n">
        <v>-15.5</v>
      </c>
      <c r="E139" s="13" t="n">
        <v>333000</v>
      </c>
      <c r="F139" s="13" t="n">
        <v>79.8449</v>
      </c>
      <c r="G139" s="6" t="n">
        <v>80.0467</v>
      </c>
      <c r="H139" s="6" t="n">
        <v>80.44159999999999</v>
      </c>
      <c r="I139" s="14" t="n">
        <v>0.05312</v>
      </c>
      <c r="J139" s="14" t="n">
        <v>0.022981</v>
      </c>
      <c r="K139" s="14" t="n">
        <v>0.049</v>
      </c>
      <c r="L139" s="13" t="n">
        <v>200.5657</v>
      </c>
      <c r="M139" s="13" t="n">
        <v>200.9743</v>
      </c>
      <c r="N139" s="13" t="n">
        <v>201.9376</v>
      </c>
      <c r="O139" s="13" t="n">
        <v>16.72</v>
      </c>
      <c r="P139" s="13" t="n">
        <v>74.12</v>
      </c>
      <c r="Q139" s="12" t="n">
        <v>44771</v>
      </c>
      <c r="R139" s="12" t="n">
        <v>44804</v>
      </c>
      <c r="S139" s="8">
        <f>YEAR($Q139)*100+MONTH($Q139)</f>
        <v/>
      </c>
      <c r="T139" s="8">
        <f>YEAR($R139)*100+MONTH($R139)</f>
        <v/>
      </c>
      <c r="U139" s="15">
        <f>IF($A139&lt;=INDEX(pdates_wc_rate_inr_pa,1),INDEX(pvals_wc_rate_inr_pa,1),INDEX(pvals_wc_rate_inr_pa,MATCH($A139,pdates_wc_rate_inr_pa,1)))</f>
        <v/>
      </c>
      <c r="V139" s="8">
        <f>IF(AND($A139&gt;=customs_fx_first,$A139&lt;=customs_fx_last+customs_fx_notification_validity_days),IF($A139&lt;=INDEX(pdates_customs_usdinr_import,1),INDEX(pvals_customs_usdinr_import,1),INDEX(pvals_customs_usdinr_import,MATCH($A139,pdates_customs_usdinr_import,1))),$F139*(1+customs_fx_markup_frac))</f>
        <v/>
      </c>
      <c r="W139" s="8">
        <f>IF(AND($A139&gt;=customs_fx_first,$A139&lt;=customs_fx_last+customs_fx_notification_validity_days),"CBIC_NOTIFIED","MARKUP_FALLBACK")</f>
        <v/>
      </c>
      <c r="X139" s="8">
        <f>IF($A139&lt;=INDEX(pdates_grade_factor_zorba,1),INDEX(pvals_grade_factor_zorba,1),IF($A139&gt;=INDEX(pdates_grade_factor_zorba,10),INDEX(pvals_grade_factor_zorba,10),INDEX(pvals_grade_factor_zorba,MATCH($A139,pdates_grade_factor_zorba,1))+($A139-INDEX(pdates_grade_factor_zorba,MATCH($A139,pdates_grade_factor_zorba,1)))/(INDEX(pdates_grade_factor_zorba,MATCH($A139,pdates_grade_factor_zorba,1)+1)-INDEX(pdates_grade_factor_zorba,MATCH($A139,pdates_grade_factor_zorba,1)))*(INDEX(pvals_grade_factor_zorba,MATCH($A139,pdates_grade_factor_zorba,1)+1)-INDEX(pvals_grade_factor_zorba,MATCH($A139,pdates_grade_factor_zorba,1)))))</f>
        <v/>
      </c>
      <c r="Y139" s="8">
        <f>IF($A139&lt;=INDEX(pdates_grade_factor_taint_tabor,1),INDEX(pvals_grade_factor_taint_tabor,1),IF($A139&gt;=INDEX(pdates_grade_factor_taint_tabor,10),INDEX(pvals_grade_factor_taint_tabor,10),INDEX(pvals_grade_factor_taint_tabor,MATCH($A139,pdates_grade_factor_taint_tabor,1))+($A139-INDEX(pdates_grade_factor_taint_tabor,MATCH($A139,pdates_grade_factor_taint_tabor,1)))/(INDEX(pdates_grade_factor_taint_tabor,MATCH($A139,pdates_grade_factor_taint_tabor,1)+1)-INDEX(pdates_grade_factor_taint_tabor,MATCH($A139,pdates_grade_factor_taint_tabor,1)))*(INDEX(pvals_grade_factor_taint_tabor,MATCH($A139,pdates_grade_factor_taint_tabor,1)+1)-INDEX(pvals_grade_factor_taint_tabor,MATCH($A139,pdates_grade_factor_taint_tabor,1)))))</f>
        <v/>
      </c>
      <c r="Z139" s="8">
        <f>IF($A139&lt;=INDEX(pdates_grade_factor_tense,1),INDEX(pvals_grade_factor_tense,1),IF($A139&gt;=INDEX(pdates_grade_factor_tense,10),INDEX(pvals_grade_factor_tense,10),INDEX(pvals_grade_factor_tense,MATCH($A139,pdates_grade_factor_tense,1))+($A139-INDEX(pdates_grade_factor_tense,MATCH($A139,pdates_grade_factor_tense,1)))/(INDEX(pdates_grade_factor_tense,MATCH($A139,pdates_grade_factor_tense,1)+1)-INDEX(pdates_grade_factor_tense,MATCH($A139,pdates_grade_factor_tense,1)))*(INDEX(pvals_grade_factor_tense,MATCH($A139,pdates_grade_factor_tense,1)+1)-INDEX(pvals_grade_factor_tense,MATCH($A139,pdates_grade_factor_tense,1)))))</f>
        <v/>
      </c>
      <c r="AA139" s="8">
        <f>IF($A139&lt;=INDEX(pdates_grade_factor_mix_pit,1),INDEX(pvals_grade_factor_mix_pit,1),IF($A139&gt;=INDEX(pdates_grade_factor_mix_pit,10),INDEX(pvals_grade_factor_mix_pit,10),INDEX(pvals_grade_factor_mix_pit,MATCH($A139,pdates_grade_factor_mix_pit,1))+($A139-INDEX(pdates_grade_factor_mix_pit,MATCH($A139,pdates_grade_factor_mix_pit,1)))/(INDEX(pdates_grade_factor_mix_pit,MATCH($A139,pdates_grade_factor_mix_pit,1)+1)-INDEX(pdates_grade_factor_mix_pit,MATCH($A139,pdates_grade_factor_mix_pit,1)))*(INDEX(pvals_grade_factor_mix_pit,MATCH($A139,pdates_grade_factor_mix_pit,1)+1)-INDEX(pvals_grade_factor_mix_pit,MATCH($A139,pdates_grade_factor_mix_pit,1)))))</f>
        <v/>
      </c>
      <c r="AB139" s="16">
        <f>($B139*$F139/kg_per_mt*(1+bcd_primary_al_hs7601*(1+sws_rate_on_bcd))+mcx_domestic_premium_inr_kg)*(1+$I139*MAX(0,$Q139-$A139)/day_count_inr)</f>
        <v/>
      </c>
      <c r="AC139" s="16">
        <f>$M139-$AB139</f>
        <v/>
      </c>
      <c r="AD139" s="7" t="inlineStr">
        <is>
          <t>PROXY_IMPORT_PARITY</t>
        </is>
      </c>
      <c r="AE139" s="7" t="inlineStr">
        <is>
          <t>ECB_CROSS</t>
        </is>
      </c>
      <c r="AF139" s="7" t="inlineStr">
        <is>
          <t>WCI_REPORTED|USEC:ANCHORED|JEA:ASSUMPTION</t>
        </is>
      </c>
      <c r="AG139" s="17" t="b">
        <v>0</v>
      </c>
      <c r="AH139" s="17" t="b">
        <v>1</v>
      </c>
    </row>
    <row r="140">
      <c r="A140" s="11" t="n">
        <v>44760</v>
      </c>
      <c r="B140" s="13" t="n">
        <v>2377.5</v>
      </c>
      <c r="C140" s="13" t="n">
        <v>2392</v>
      </c>
      <c r="D140" s="13" t="n">
        <v>-14.5</v>
      </c>
      <c r="E140" s="13" t="n">
        <v>328500</v>
      </c>
      <c r="F140" s="13" t="n">
        <v>79.9862</v>
      </c>
      <c r="G140" s="6" t="n">
        <v>80.17749999999999</v>
      </c>
      <c r="H140" s="6" t="n">
        <v>80.55159999999999</v>
      </c>
      <c r="I140" s="14" t="n">
        <v>0.05312</v>
      </c>
      <c r="J140" s="14" t="n">
        <v>0.024559</v>
      </c>
      <c r="K140" s="14" t="n">
        <v>0.049</v>
      </c>
      <c r="L140" s="13" t="n">
        <v>205.856</v>
      </c>
      <c r="M140" s="13" t="n">
        <v>206.1855</v>
      </c>
      <c r="N140" s="13" t="n">
        <v>207.1742</v>
      </c>
      <c r="O140" s="13" t="n">
        <v>16.72</v>
      </c>
      <c r="P140" s="13" t="n">
        <v>74.12</v>
      </c>
      <c r="Q140" s="12" t="n">
        <v>44771</v>
      </c>
      <c r="R140" s="12" t="n">
        <v>44804</v>
      </c>
      <c r="S140" s="8">
        <f>YEAR($Q140)*100+MONTH($Q140)</f>
        <v/>
      </c>
      <c r="T140" s="8">
        <f>YEAR($R140)*100+MONTH($R140)</f>
        <v/>
      </c>
      <c r="U140" s="15">
        <f>IF($A140&lt;=INDEX(pdates_wc_rate_inr_pa,1),INDEX(pvals_wc_rate_inr_pa,1),INDEX(pvals_wc_rate_inr_pa,MATCH($A140,pdates_wc_rate_inr_pa,1)))</f>
        <v/>
      </c>
      <c r="V140" s="8">
        <f>IF(AND($A140&gt;=customs_fx_first,$A140&lt;=customs_fx_last+customs_fx_notification_validity_days),IF($A140&lt;=INDEX(pdates_customs_usdinr_import,1),INDEX(pvals_customs_usdinr_import,1),INDEX(pvals_customs_usdinr_import,MATCH($A140,pdates_customs_usdinr_import,1))),$F140*(1+customs_fx_markup_frac))</f>
        <v/>
      </c>
      <c r="W140" s="8">
        <f>IF(AND($A140&gt;=customs_fx_first,$A140&lt;=customs_fx_last+customs_fx_notification_validity_days),"CBIC_NOTIFIED","MARKUP_FALLBACK")</f>
        <v/>
      </c>
      <c r="X140" s="8">
        <f>IF($A140&lt;=INDEX(pdates_grade_factor_zorba,1),INDEX(pvals_grade_factor_zorba,1),IF($A140&gt;=INDEX(pdates_grade_factor_zorba,10),INDEX(pvals_grade_factor_zorba,10),INDEX(pvals_grade_factor_zorba,MATCH($A140,pdates_grade_factor_zorba,1))+($A140-INDEX(pdates_grade_factor_zorba,MATCH($A140,pdates_grade_factor_zorba,1)))/(INDEX(pdates_grade_factor_zorba,MATCH($A140,pdates_grade_factor_zorba,1)+1)-INDEX(pdates_grade_factor_zorba,MATCH($A140,pdates_grade_factor_zorba,1)))*(INDEX(pvals_grade_factor_zorba,MATCH($A140,pdates_grade_factor_zorba,1)+1)-INDEX(pvals_grade_factor_zorba,MATCH($A140,pdates_grade_factor_zorba,1)))))</f>
        <v/>
      </c>
      <c r="Y140" s="8">
        <f>IF($A140&lt;=INDEX(pdates_grade_factor_taint_tabor,1),INDEX(pvals_grade_factor_taint_tabor,1),IF($A140&gt;=INDEX(pdates_grade_factor_taint_tabor,10),INDEX(pvals_grade_factor_taint_tabor,10),INDEX(pvals_grade_factor_taint_tabor,MATCH($A140,pdates_grade_factor_taint_tabor,1))+($A140-INDEX(pdates_grade_factor_taint_tabor,MATCH($A140,pdates_grade_factor_taint_tabor,1)))/(INDEX(pdates_grade_factor_taint_tabor,MATCH($A140,pdates_grade_factor_taint_tabor,1)+1)-INDEX(pdates_grade_factor_taint_tabor,MATCH($A140,pdates_grade_factor_taint_tabor,1)))*(INDEX(pvals_grade_factor_taint_tabor,MATCH($A140,pdates_grade_factor_taint_tabor,1)+1)-INDEX(pvals_grade_factor_taint_tabor,MATCH($A140,pdates_grade_factor_taint_tabor,1)))))</f>
        <v/>
      </c>
      <c r="Z140" s="8">
        <f>IF($A140&lt;=INDEX(pdates_grade_factor_tense,1),INDEX(pvals_grade_factor_tense,1),IF($A140&gt;=INDEX(pdates_grade_factor_tense,10),INDEX(pvals_grade_factor_tense,10),INDEX(pvals_grade_factor_tense,MATCH($A140,pdates_grade_factor_tense,1))+($A140-INDEX(pdates_grade_factor_tense,MATCH($A140,pdates_grade_factor_tense,1)))/(INDEX(pdates_grade_factor_tense,MATCH($A140,pdates_grade_factor_tense,1)+1)-INDEX(pdates_grade_factor_tense,MATCH($A140,pdates_grade_factor_tense,1)))*(INDEX(pvals_grade_factor_tense,MATCH($A140,pdates_grade_factor_tense,1)+1)-INDEX(pvals_grade_factor_tense,MATCH($A140,pdates_grade_factor_tense,1)))))</f>
        <v/>
      </c>
      <c r="AA140" s="8">
        <f>IF($A140&lt;=INDEX(pdates_grade_factor_mix_pit,1),INDEX(pvals_grade_factor_mix_pit,1),IF($A140&gt;=INDEX(pdates_grade_factor_mix_pit,10),INDEX(pvals_grade_factor_mix_pit,10),INDEX(pvals_grade_factor_mix_pit,MATCH($A140,pdates_grade_factor_mix_pit,1))+($A140-INDEX(pdates_grade_factor_mix_pit,MATCH($A140,pdates_grade_factor_mix_pit,1)))/(INDEX(pdates_grade_factor_mix_pit,MATCH($A140,pdates_grade_factor_mix_pit,1)+1)-INDEX(pdates_grade_factor_mix_pit,MATCH($A140,pdates_grade_factor_mix_pit,1)))*(INDEX(pvals_grade_factor_mix_pit,MATCH($A140,pdates_grade_factor_mix_pit,1)+1)-INDEX(pvals_grade_factor_mix_pit,MATCH($A140,pdates_grade_factor_mix_pit,1)))))</f>
        <v/>
      </c>
      <c r="AB140" s="16">
        <f>($B140*$F140/kg_per_mt*(1+bcd_primary_al_hs7601*(1+sws_rate_on_bcd))+mcx_domestic_premium_inr_kg)*(1+$I140*MAX(0,$Q140-$A140)/day_count_inr)</f>
        <v/>
      </c>
      <c r="AC140" s="16">
        <f>$M140-$AB140</f>
        <v/>
      </c>
      <c r="AD140" s="7" t="inlineStr">
        <is>
          <t>PROXY_IMPORT_PARITY</t>
        </is>
      </c>
      <c r="AE140" s="7" t="inlineStr">
        <is>
          <t>ECB_CROSS</t>
        </is>
      </c>
      <c r="AF140" s="7" t="inlineStr">
        <is>
          <t>WCI_REPORTED|USEC:ANCHORED|JEA:ASSUMPTION</t>
        </is>
      </c>
      <c r="AG140" s="17" t="b">
        <v>0</v>
      </c>
      <c r="AH140" s="17" t="b">
        <v>1</v>
      </c>
    </row>
    <row r="141">
      <c r="A141" s="11" t="n">
        <v>44761</v>
      </c>
      <c r="B141" s="13" t="n">
        <v>2412</v>
      </c>
      <c r="C141" s="13" t="n">
        <v>2420.5</v>
      </c>
      <c r="D141" s="13" t="n">
        <v>-8.5</v>
      </c>
      <c r="E141" s="13" t="n">
        <v>325075</v>
      </c>
      <c r="F141" s="13" t="n">
        <v>79.9395</v>
      </c>
      <c r="G141" s="6" t="n">
        <v>80.1293</v>
      </c>
      <c r="H141" s="6" t="n">
        <v>80.5005</v>
      </c>
      <c r="I141" s="14" t="n">
        <v>0.05312</v>
      </c>
      <c r="J141" s="14" t="n">
        <v>0.024756</v>
      </c>
      <c r="K141" s="14" t="n">
        <v>0.049</v>
      </c>
      <c r="L141" s="13" t="n">
        <v>208.7212</v>
      </c>
      <c r="M141" s="13" t="n">
        <v>209.025</v>
      </c>
      <c r="N141" s="13" t="n">
        <v>210.0274</v>
      </c>
      <c r="O141" s="13" t="n">
        <v>16.72</v>
      </c>
      <c r="P141" s="13" t="n">
        <v>74.12</v>
      </c>
      <c r="Q141" s="12" t="n">
        <v>44771</v>
      </c>
      <c r="R141" s="12" t="n">
        <v>44804</v>
      </c>
      <c r="S141" s="8">
        <f>YEAR($Q141)*100+MONTH($Q141)</f>
        <v/>
      </c>
      <c r="T141" s="8">
        <f>YEAR($R141)*100+MONTH($R141)</f>
        <v/>
      </c>
      <c r="U141" s="15">
        <f>IF($A141&lt;=INDEX(pdates_wc_rate_inr_pa,1),INDEX(pvals_wc_rate_inr_pa,1),INDEX(pvals_wc_rate_inr_pa,MATCH($A141,pdates_wc_rate_inr_pa,1)))</f>
        <v/>
      </c>
      <c r="V141" s="8">
        <f>IF(AND($A141&gt;=customs_fx_first,$A141&lt;=customs_fx_last+customs_fx_notification_validity_days),IF($A141&lt;=INDEX(pdates_customs_usdinr_import,1),INDEX(pvals_customs_usdinr_import,1),INDEX(pvals_customs_usdinr_import,MATCH($A141,pdates_customs_usdinr_import,1))),$F141*(1+customs_fx_markup_frac))</f>
        <v/>
      </c>
      <c r="W141" s="8">
        <f>IF(AND($A141&gt;=customs_fx_first,$A141&lt;=customs_fx_last+customs_fx_notification_validity_days),"CBIC_NOTIFIED","MARKUP_FALLBACK")</f>
        <v/>
      </c>
      <c r="X141" s="8">
        <f>IF($A141&lt;=INDEX(pdates_grade_factor_zorba,1),INDEX(pvals_grade_factor_zorba,1),IF($A141&gt;=INDEX(pdates_grade_factor_zorba,10),INDEX(pvals_grade_factor_zorba,10),INDEX(pvals_grade_factor_zorba,MATCH($A141,pdates_grade_factor_zorba,1))+($A141-INDEX(pdates_grade_factor_zorba,MATCH($A141,pdates_grade_factor_zorba,1)))/(INDEX(pdates_grade_factor_zorba,MATCH($A141,pdates_grade_factor_zorba,1)+1)-INDEX(pdates_grade_factor_zorba,MATCH($A141,pdates_grade_factor_zorba,1)))*(INDEX(pvals_grade_factor_zorba,MATCH($A141,pdates_grade_factor_zorba,1)+1)-INDEX(pvals_grade_factor_zorba,MATCH($A141,pdates_grade_factor_zorba,1)))))</f>
        <v/>
      </c>
      <c r="Y141" s="8">
        <f>IF($A141&lt;=INDEX(pdates_grade_factor_taint_tabor,1),INDEX(pvals_grade_factor_taint_tabor,1),IF($A141&gt;=INDEX(pdates_grade_factor_taint_tabor,10),INDEX(pvals_grade_factor_taint_tabor,10),INDEX(pvals_grade_factor_taint_tabor,MATCH($A141,pdates_grade_factor_taint_tabor,1))+($A141-INDEX(pdates_grade_factor_taint_tabor,MATCH($A141,pdates_grade_factor_taint_tabor,1)))/(INDEX(pdates_grade_factor_taint_tabor,MATCH($A141,pdates_grade_factor_taint_tabor,1)+1)-INDEX(pdates_grade_factor_taint_tabor,MATCH($A141,pdates_grade_factor_taint_tabor,1)))*(INDEX(pvals_grade_factor_taint_tabor,MATCH($A141,pdates_grade_factor_taint_tabor,1)+1)-INDEX(pvals_grade_factor_taint_tabor,MATCH($A141,pdates_grade_factor_taint_tabor,1)))))</f>
        <v/>
      </c>
      <c r="Z141" s="8">
        <f>IF($A141&lt;=INDEX(pdates_grade_factor_tense,1),INDEX(pvals_grade_factor_tense,1),IF($A141&gt;=INDEX(pdates_grade_factor_tense,10),INDEX(pvals_grade_factor_tense,10),INDEX(pvals_grade_factor_tense,MATCH($A141,pdates_grade_factor_tense,1))+($A141-INDEX(pdates_grade_factor_tense,MATCH($A141,pdates_grade_factor_tense,1)))/(INDEX(pdates_grade_factor_tense,MATCH($A141,pdates_grade_factor_tense,1)+1)-INDEX(pdates_grade_factor_tense,MATCH($A141,pdates_grade_factor_tense,1)))*(INDEX(pvals_grade_factor_tense,MATCH($A141,pdates_grade_factor_tense,1)+1)-INDEX(pvals_grade_factor_tense,MATCH($A141,pdates_grade_factor_tense,1)))))</f>
        <v/>
      </c>
      <c r="AA141" s="8">
        <f>IF($A141&lt;=INDEX(pdates_grade_factor_mix_pit,1),INDEX(pvals_grade_factor_mix_pit,1),IF($A141&gt;=INDEX(pdates_grade_factor_mix_pit,10),INDEX(pvals_grade_factor_mix_pit,10),INDEX(pvals_grade_factor_mix_pit,MATCH($A141,pdates_grade_factor_mix_pit,1))+($A141-INDEX(pdates_grade_factor_mix_pit,MATCH($A141,pdates_grade_factor_mix_pit,1)))/(INDEX(pdates_grade_factor_mix_pit,MATCH($A141,pdates_grade_factor_mix_pit,1)+1)-INDEX(pdates_grade_factor_mix_pit,MATCH($A141,pdates_grade_factor_mix_pit,1)))*(INDEX(pvals_grade_factor_mix_pit,MATCH($A141,pdates_grade_factor_mix_pit,1)+1)-INDEX(pvals_grade_factor_mix_pit,MATCH($A141,pdates_grade_factor_mix_pit,1)))))</f>
        <v/>
      </c>
      <c r="AB141" s="16">
        <f>($B141*$F141/kg_per_mt*(1+bcd_primary_al_hs7601*(1+sws_rate_on_bcd))+mcx_domestic_premium_inr_kg)*(1+$I141*MAX(0,$Q141-$A141)/day_count_inr)</f>
        <v/>
      </c>
      <c r="AC141" s="16">
        <f>$M141-$AB141</f>
        <v/>
      </c>
      <c r="AD141" s="7" t="inlineStr">
        <is>
          <t>PROXY_IMPORT_PARITY</t>
        </is>
      </c>
      <c r="AE141" s="7" t="inlineStr">
        <is>
          <t>ECB_CROSS</t>
        </is>
      </c>
      <c r="AF141" s="7" t="inlineStr">
        <is>
          <t>WCI_REPORTED|USEC:ANCHORED|JEA:ASSUMPTION</t>
        </is>
      </c>
      <c r="AG141" s="17" t="b">
        <v>0</v>
      </c>
      <c r="AH141" s="17" t="b">
        <v>1</v>
      </c>
    </row>
    <row r="142">
      <c r="A142" s="11" t="n">
        <v>44762</v>
      </c>
      <c r="B142" s="13" t="n">
        <v>2456.5</v>
      </c>
      <c r="C142" s="13" t="n">
        <v>2448</v>
      </c>
      <c r="D142" s="13" t="n">
        <v>8.5</v>
      </c>
      <c r="E142" s="13" t="n">
        <v>320675</v>
      </c>
      <c r="F142" s="13" t="n">
        <v>80.0069</v>
      </c>
      <c r="G142" s="6" t="n">
        <v>80.1982</v>
      </c>
      <c r="H142" s="6" t="n">
        <v>80.5724</v>
      </c>
      <c r="I142" s="14" t="n">
        <v>0.05312</v>
      </c>
      <c r="J142" s="14" t="n">
        <v>0.024559</v>
      </c>
      <c r="K142" s="14" t="n">
        <v>0.049</v>
      </c>
      <c r="L142" s="13" t="n">
        <v>212.7512</v>
      </c>
      <c r="M142" s="13" t="n">
        <v>213.0299</v>
      </c>
      <c r="N142" s="13" t="n">
        <v>214.0517</v>
      </c>
      <c r="O142" s="13" t="n">
        <v>16.72</v>
      </c>
      <c r="P142" s="13" t="n">
        <v>74.12</v>
      </c>
      <c r="Q142" s="12" t="n">
        <v>44771</v>
      </c>
      <c r="R142" s="12" t="n">
        <v>44804</v>
      </c>
      <c r="S142" s="8">
        <f>YEAR($Q142)*100+MONTH($Q142)</f>
        <v/>
      </c>
      <c r="T142" s="8">
        <f>YEAR($R142)*100+MONTH($R142)</f>
        <v/>
      </c>
      <c r="U142" s="15">
        <f>IF($A142&lt;=INDEX(pdates_wc_rate_inr_pa,1),INDEX(pvals_wc_rate_inr_pa,1),INDEX(pvals_wc_rate_inr_pa,MATCH($A142,pdates_wc_rate_inr_pa,1)))</f>
        <v/>
      </c>
      <c r="V142" s="8">
        <f>IF(AND($A142&gt;=customs_fx_first,$A142&lt;=customs_fx_last+customs_fx_notification_validity_days),IF($A142&lt;=INDEX(pdates_customs_usdinr_import,1),INDEX(pvals_customs_usdinr_import,1),INDEX(pvals_customs_usdinr_import,MATCH($A142,pdates_customs_usdinr_import,1))),$F142*(1+customs_fx_markup_frac))</f>
        <v/>
      </c>
      <c r="W142" s="8">
        <f>IF(AND($A142&gt;=customs_fx_first,$A142&lt;=customs_fx_last+customs_fx_notification_validity_days),"CBIC_NOTIFIED","MARKUP_FALLBACK")</f>
        <v/>
      </c>
      <c r="X142" s="8">
        <f>IF($A142&lt;=INDEX(pdates_grade_factor_zorba,1),INDEX(pvals_grade_factor_zorba,1),IF($A142&gt;=INDEX(pdates_grade_factor_zorba,10),INDEX(pvals_grade_factor_zorba,10),INDEX(pvals_grade_factor_zorba,MATCH($A142,pdates_grade_factor_zorba,1))+($A142-INDEX(pdates_grade_factor_zorba,MATCH($A142,pdates_grade_factor_zorba,1)))/(INDEX(pdates_grade_factor_zorba,MATCH($A142,pdates_grade_factor_zorba,1)+1)-INDEX(pdates_grade_factor_zorba,MATCH($A142,pdates_grade_factor_zorba,1)))*(INDEX(pvals_grade_factor_zorba,MATCH($A142,pdates_grade_factor_zorba,1)+1)-INDEX(pvals_grade_factor_zorba,MATCH($A142,pdates_grade_factor_zorba,1)))))</f>
        <v/>
      </c>
      <c r="Y142" s="8">
        <f>IF($A142&lt;=INDEX(pdates_grade_factor_taint_tabor,1),INDEX(pvals_grade_factor_taint_tabor,1),IF($A142&gt;=INDEX(pdates_grade_factor_taint_tabor,10),INDEX(pvals_grade_factor_taint_tabor,10),INDEX(pvals_grade_factor_taint_tabor,MATCH($A142,pdates_grade_factor_taint_tabor,1))+($A142-INDEX(pdates_grade_factor_taint_tabor,MATCH($A142,pdates_grade_factor_taint_tabor,1)))/(INDEX(pdates_grade_factor_taint_tabor,MATCH($A142,pdates_grade_factor_taint_tabor,1)+1)-INDEX(pdates_grade_factor_taint_tabor,MATCH($A142,pdates_grade_factor_taint_tabor,1)))*(INDEX(pvals_grade_factor_taint_tabor,MATCH($A142,pdates_grade_factor_taint_tabor,1)+1)-INDEX(pvals_grade_factor_taint_tabor,MATCH($A142,pdates_grade_factor_taint_tabor,1)))))</f>
        <v/>
      </c>
      <c r="Z142" s="8">
        <f>IF($A142&lt;=INDEX(pdates_grade_factor_tense,1),INDEX(pvals_grade_factor_tense,1),IF($A142&gt;=INDEX(pdates_grade_factor_tense,10),INDEX(pvals_grade_factor_tense,10),INDEX(pvals_grade_factor_tense,MATCH($A142,pdates_grade_factor_tense,1))+($A142-INDEX(pdates_grade_factor_tense,MATCH($A142,pdates_grade_factor_tense,1)))/(INDEX(pdates_grade_factor_tense,MATCH($A142,pdates_grade_factor_tense,1)+1)-INDEX(pdates_grade_factor_tense,MATCH($A142,pdates_grade_factor_tense,1)))*(INDEX(pvals_grade_factor_tense,MATCH($A142,pdates_grade_factor_tense,1)+1)-INDEX(pvals_grade_factor_tense,MATCH($A142,pdates_grade_factor_tense,1)))))</f>
        <v/>
      </c>
      <c r="AA142" s="8">
        <f>IF($A142&lt;=INDEX(pdates_grade_factor_mix_pit,1),INDEX(pvals_grade_factor_mix_pit,1),IF($A142&gt;=INDEX(pdates_grade_factor_mix_pit,10),INDEX(pvals_grade_factor_mix_pit,10),INDEX(pvals_grade_factor_mix_pit,MATCH($A142,pdates_grade_factor_mix_pit,1))+($A142-INDEX(pdates_grade_factor_mix_pit,MATCH($A142,pdates_grade_factor_mix_pit,1)))/(INDEX(pdates_grade_factor_mix_pit,MATCH($A142,pdates_grade_factor_mix_pit,1)+1)-INDEX(pdates_grade_factor_mix_pit,MATCH($A142,pdates_grade_factor_mix_pit,1)))*(INDEX(pvals_grade_factor_mix_pit,MATCH($A142,pdates_grade_factor_mix_pit,1)+1)-INDEX(pvals_grade_factor_mix_pit,MATCH($A142,pdates_grade_factor_mix_pit,1)))))</f>
        <v/>
      </c>
      <c r="AB142" s="16">
        <f>($B142*$F142/kg_per_mt*(1+bcd_primary_al_hs7601*(1+sws_rate_on_bcd))+mcx_domestic_premium_inr_kg)*(1+$I142*MAX(0,$Q142-$A142)/day_count_inr)</f>
        <v/>
      </c>
      <c r="AC142" s="16">
        <f>$M142-$AB142</f>
        <v/>
      </c>
      <c r="AD142" s="7" t="inlineStr">
        <is>
          <t>PROXY_IMPORT_PARITY</t>
        </is>
      </c>
      <c r="AE142" s="7" t="inlineStr">
        <is>
          <t>ECB_CROSS</t>
        </is>
      </c>
      <c r="AF142" s="7" t="inlineStr">
        <is>
          <t>WCI_REPORTED|USEC:ANCHORED|JEA:ASSUMPTION</t>
        </is>
      </c>
      <c r="AG142" s="17" t="b">
        <v>0</v>
      </c>
      <c r="AH142" s="17" t="b">
        <v>1</v>
      </c>
    </row>
    <row r="143">
      <c r="A143" s="11" t="n">
        <v>44763</v>
      </c>
      <c r="B143" s="13" t="n">
        <v>2426</v>
      </c>
      <c r="C143" s="13" t="n">
        <v>2425</v>
      </c>
      <c r="D143" s="13" t="n">
        <v>1</v>
      </c>
      <c r="E143" s="13" t="n">
        <v>317275</v>
      </c>
      <c r="F143" s="13" t="n">
        <v>79.8618</v>
      </c>
      <c r="G143" s="6" t="n">
        <v>80.05549999999999</v>
      </c>
      <c r="H143" s="6" t="n">
        <v>80.43429999999999</v>
      </c>
      <c r="I143" s="14" t="n">
        <v>0.05312</v>
      </c>
      <c r="J143" s="14" t="n">
        <v>0.024164</v>
      </c>
      <c r="K143" s="14" t="n">
        <v>0.049</v>
      </c>
      <c r="L143" s="13" t="n">
        <v>209.7287</v>
      </c>
      <c r="M143" s="13" t="n">
        <v>209.9728</v>
      </c>
      <c r="N143" s="13" t="n">
        <v>210.9801</v>
      </c>
      <c r="O143" s="13" t="n">
        <v>15.92</v>
      </c>
      <c r="P143" s="13" t="n">
        <v>70.61</v>
      </c>
      <c r="Q143" s="12" t="n">
        <v>44771</v>
      </c>
      <c r="R143" s="12" t="n">
        <v>44804</v>
      </c>
      <c r="S143" s="8">
        <f>YEAR($Q143)*100+MONTH($Q143)</f>
        <v/>
      </c>
      <c r="T143" s="8">
        <f>YEAR($R143)*100+MONTH($R143)</f>
        <v/>
      </c>
      <c r="U143" s="15">
        <f>IF($A143&lt;=INDEX(pdates_wc_rate_inr_pa,1),INDEX(pvals_wc_rate_inr_pa,1),INDEX(pvals_wc_rate_inr_pa,MATCH($A143,pdates_wc_rate_inr_pa,1)))</f>
        <v/>
      </c>
      <c r="V143" s="8">
        <f>IF(AND($A143&gt;=customs_fx_first,$A143&lt;=customs_fx_last+customs_fx_notification_validity_days),IF($A143&lt;=INDEX(pdates_customs_usdinr_import,1),INDEX(pvals_customs_usdinr_import,1),INDEX(pvals_customs_usdinr_import,MATCH($A143,pdates_customs_usdinr_import,1))),$F143*(1+customs_fx_markup_frac))</f>
        <v/>
      </c>
      <c r="W143" s="8">
        <f>IF(AND($A143&gt;=customs_fx_first,$A143&lt;=customs_fx_last+customs_fx_notification_validity_days),"CBIC_NOTIFIED","MARKUP_FALLBACK")</f>
        <v/>
      </c>
      <c r="X143" s="8">
        <f>IF($A143&lt;=INDEX(pdates_grade_factor_zorba,1),INDEX(pvals_grade_factor_zorba,1),IF($A143&gt;=INDEX(pdates_grade_factor_zorba,10),INDEX(pvals_grade_factor_zorba,10),INDEX(pvals_grade_factor_zorba,MATCH($A143,pdates_grade_factor_zorba,1))+($A143-INDEX(pdates_grade_factor_zorba,MATCH($A143,pdates_grade_factor_zorba,1)))/(INDEX(pdates_grade_factor_zorba,MATCH($A143,pdates_grade_factor_zorba,1)+1)-INDEX(pdates_grade_factor_zorba,MATCH($A143,pdates_grade_factor_zorba,1)))*(INDEX(pvals_grade_factor_zorba,MATCH($A143,pdates_grade_factor_zorba,1)+1)-INDEX(pvals_grade_factor_zorba,MATCH($A143,pdates_grade_factor_zorba,1)))))</f>
        <v/>
      </c>
      <c r="Y143" s="8">
        <f>IF($A143&lt;=INDEX(pdates_grade_factor_taint_tabor,1),INDEX(pvals_grade_factor_taint_tabor,1),IF($A143&gt;=INDEX(pdates_grade_factor_taint_tabor,10),INDEX(pvals_grade_factor_taint_tabor,10),INDEX(pvals_grade_factor_taint_tabor,MATCH($A143,pdates_grade_factor_taint_tabor,1))+($A143-INDEX(pdates_grade_factor_taint_tabor,MATCH($A143,pdates_grade_factor_taint_tabor,1)))/(INDEX(pdates_grade_factor_taint_tabor,MATCH($A143,pdates_grade_factor_taint_tabor,1)+1)-INDEX(pdates_grade_factor_taint_tabor,MATCH($A143,pdates_grade_factor_taint_tabor,1)))*(INDEX(pvals_grade_factor_taint_tabor,MATCH($A143,pdates_grade_factor_taint_tabor,1)+1)-INDEX(pvals_grade_factor_taint_tabor,MATCH($A143,pdates_grade_factor_taint_tabor,1)))))</f>
        <v/>
      </c>
      <c r="Z143" s="8">
        <f>IF($A143&lt;=INDEX(pdates_grade_factor_tense,1),INDEX(pvals_grade_factor_tense,1),IF($A143&gt;=INDEX(pdates_grade_factor_tense,10),INDEX(pvals_grade_factor_tense,10),INDEX(pvals_grade_factor_tense,MATCH($A143,pdates_grade_factor_tense,1))+($A143-INDEX(pdates_grade_factor_tense,MATCH($A143,pdates_grade_factor_tense,1)))/(INDEX(pdates_grade_factor_tense,MATCH($A143,pdates_grade_factor_tense,1)+1)-INDEX(pdates_grade_factor_tense,MATCH($A143,pdates_grade_factor_tense,1)))*(INDEX(pvals_grade_factor_tense,MATCH($A143,pdates_grade_factor_tense,1)+1)-INDEX(pvals_grade_factor_tense,MATCH($A143,pdates_grade_factor_tense,1)))))</f>
        <v/>
      </c>
      <c r="AA143" s="8">
        <f>IF($A143&lt;=INDEX(pdates_grade_factor_mix_pit,1),INDEX(pvals_grade_factor_mix_pit,1),IF($A143&gt;=INDEX(pdates_grade_factor_mix_pit,10),INDEX(pvals_grade_factor_mix_pit,10),INDEX(pvals_grade_factor_mix_pit,MATCH($A143,pdates_grade_factor_mix_pit,1))+($A143-INDEX(pdates_grade_factor_mix_pit,MATCH($A143,pdates_grade_factor_mix_pit,1)))/(INDEX(pdates_grade_factor_mix_pit,MATCH($A143,pdates_grade_factor_mix_pit,1)+1)-INDEX(pdates_grade_factor_mix_pit,MATCH($A143,pdates_grade_factor_mix_pit,1)))*(INDEX(pvals_grade_factor_mix_pit,MATCH($A143,pdates_grade_factor_mix_pit,1)+1)-INDEX(pvals_grade_factor_mix_pit,MATCH($A143,pdates_grade_factor_mix_pit,1)))))</f>
        <v/>
      </c>
      <c r="AB143" s="16">
        <f>($B143*$F143/kg_per_mt*(1+bcd_primary_al_hs7601*(1+sws_rate_on_bcd))+mcx_domestic_premium_inr_kg)*(1+$I143*MAX(0,$Q143-$A143)/day_count_inr)</f>
        <v/>
      </c>
      <c r="AC143" s="16">
        <f>$M143-$AB143</f>
        <v/>
      </c>
      <c r="AD143" s="7" t="inlineStr">
        <is>
          <t>PROXY_IMPORT_PARITY</t>
        </is>
      </c>
      <c r="AE143" s="7" t="inlineStr">
        <is>
          <t>ECB_CROSS</t>
        </is>
      </c>
      <c r="AF143" s="7" t="inlineStr">
        <is>
          <t>WCI_REPORTED|USEC:ANCHORED|JEA:ASSUMPTION</t>
        </is>
      </c>
      <c r="AG143" s="17" t="b">
        <v>0</v>
      </c>
      <c r="AH143" s="17" t="b">
        <v>0</v>
      </c>
    </row>
    <row r="144">
      <c r="A144" s="11" t="n">
        <v>44764</v>
      </c>
      <c r="B144" s="13" t="n">
        <v>2460</v>
      </c>
      <c r="C144" s="13" t="n">
        <v>2457.5</v>
      </c>
      <c r="D144" s="13" t="n">
        <v>2.5</v>
      </c>
      <c r="E144" s="13" t="n">
        <v>313175</v>
      </c>
      <c r="F144" s="13" t="n">
        <v>79.8665</v>
      </c>
      <c r="G144" s="6" t="n">
        <v>80.0596</v>
      </c>
      <c r="H144" s="6" t="n">
        <v>80.4371</v>
      </c>
      <c r="I144" s="14" t="n">
        <v>0.05312</v>
      </c>
      <c r="J144" s="14" t="n">
        <v>0.024263</v>
      </c>
      <c r="K144" s="14" t="n">
        <v>0.049</v>
      </c>
      <c r="L144" s="13" t="n">
        <v>212.6805</v>
      </c>
      <c r="M144" s="13" t="n">
        <v>212.8972</v>
      </c>
      <c r="N144" s="13" t="n">
        <v>213.9186</v>
      </c>
      <c r="O144" s="13" t="n">
        <v>15.92</v>
      </c>
      <c r="P144" s="13" t="n">
        <v>70.61</v>
      </c>
      <c r="Q144" s="12" t="n">
        <v>44771</v>
      </c>
      <c r="R144" s="12" t="n">
        <v>44804</v>
      </c>
      <c r="S144" s="8">
        <f>YEAR($Q144)*100+MONTH($Q144)</f>
        <v/>
      </c>
      <c r="T144" s="8">
        <f>YEAR($R144)*100+MONTH($R144)</f>
        <v/>
      </c>
      <c r="U144" s="15">
        <f>IF($A144&lt;=INDEX(pdates_wc_rate_inr_pa,1),INDEX(pvals_wc_rate_inr_pa,1),INDEX(pvals_wc_rate_inr_pa,MATCH($A144,pdates_wc_rate_inr_pa,1)))</f>
        <v/>
      </c>
      <c r="V144" s="8">
        <f>IF(AND($A144&gt;=customs_fx_first,$A144&lt;=customs_fx_last+customs_fx_notification_validity_days),IF($A144&lt;=INDEX(pdates_customs_usdinr_import,1),INDEX(pvals_customs_usdinr_import,1),INDEX(pvals_customs_usdinr_import,MATCH($A144,pdates_customs_usdinr_import,1))),$F144*(1+customs_fx_markup_frac))</f>
        <v/>
      </c>
      <c r="W144" s="8">
        <f>IF(AND($A144&gt;=customs_fx_first,$A144&lt;=customs_fx_last+customs_fx_notification_validity_days),"CBIC_NOTIFIED","MARKUP_FALLBACK")</f>
        <v/>
      </c>
      <c r="X144" s="8">
        <f>IF($A144&lt;=INDEX(pdates_grade_factor_zorba,1),INDEX(pvals_grade_factor_zorba,1),IF($A144&gt;=INDEX(pdates_grade_factor_zorba,10),INDEX(pvals_grade_factor_zorba,10),INDEX(pvals_grade_factor_zorba,MATCH($A144,pdates_grade_factor_zorba,1))+($A144-INDEX(pdates_grade_factor_zorba,MATCH($A144,pdates_grade_factor_zorba,1)))/(INDEX(pdates_grade_factor_zorba,MATCH($A144,pdates_grade_factor_zorba,1)+1)-INDEX(pdates_grade_factor_zorba,MATCH($A144,pdates_grade_factor_zorba,1)))*(INDEX(pvals_grade_factor_zorba,MATCH($A144,pdates_grade_factor_zorba,1)+1)-INDEX(pvals_grade_factor_zorba,MATCH($A144,pdates_grade_factor_zorba,1)))))</f>
        <v/>
      </c>
      <c r="Y144" s="8">
        <f>IF($A144&lt;=INDEX(pdates_grade_factor_taint_tabor,1),INDEX(pvals_grade_factor_taint_tabor,1),IF($A144&gt;=INDEX(pdates_grade_factor_taint_tabor,10),INDEX(pvals_grade_factor_taint_tabor,10),INDEX(pvals_grade_factor_taint_tabor,MATCH($A144,pdates_grade_factor_taint_tabor,1))+($A144-INDEX(pdates_grade_factor_taint_tabor,MATCH($A144,pdates_grade_factor_taint_tabor,1)))/(INDEX(pdates_grade_factor_taint_tabor,MATCH($A144,pdates_grade_factor_taint_tabor,1)+1)-INDEX(pdates_grade_factor_taint_tabor,MATCH($A144,pdates_grade_factor_taint_tabor,1)))*(INDEX(pvals_grade_factor_taint_tabor,MATCH($A144,pdates_grade_factor_taint_tabor,1)+1)-INDEX(pvals_grade_factor_taint_tabor,MATCH($A144,pdates_grade_factor_taint_tabor,1)))))</f>
        <v/>
      </c>
      <c r="Z144" s="8">
        <f>IF($A144&lt;=INDEX(pdates_grade_factor_tense,1),INDEX(pvals_grade_factor_tense,1),IF($A144&gt;=INDEX(pdates_grade_factor_tense,10),INDEX(pvals_grade_factor_tense,10),INDEX(pvals_grade_factor_tense,MATCH($A144,pdates_grade_factor_tense,1))+($A144-INDEX(pdates_grade_factor_tense,MATCH($A144,pdates_grade_factor_tense,1)))/(INDEX(pdates_grade_factor_tense,MATCH($A144,pdates_grade_factor_tense,1)+1)-INDEX(pdates_grade_factor_tense,MATCH($A144,pdates_grade_factor_tense,1)))*(INDEX(pvals_grade_factor_tense,MATCH($A144,pdates_grade_factor_tense,1)+1)-INDEX(pvals_grade_factor_tense,MATCH($A144,pdates_grade_factor_tense,1)))))</f>
        <v/>
      </c>
      <c r="AA144" s="8">
        <f>IF($A144&lt;=INDEX(pdates_grade_factor_mix_pit,1),INDEX(pvals_grade_factor_mix_pit,1),IF($A144&gt;=INDEX(pdates_grade_factor_mix_pit,10),INDEX(pvals_grade_factor_mix_pit,10),INDEX(pvals_grade_factor_mix_pit,MATCH($A144,pdates_grade_factor_mix_pit,1))+($A144-INDEX(pdates_grade_factor_mix_pit,MATCH($A144,pdates_grade_factor_mix_pit,1)))/(INDEX(pdates_grade_factor_mix_pit,MATCH($A144,pdates_grade_factor_mix_pit,1)+1)-INDEX(pdates_grade_factor_mix_pit,MATCH($A144,pdates_grade_factor_mix_pit,1)))*(INDEX(pvals_grade_factor_mix_pit,MATCH($A144,pdates_grade_factor_mix_pit,1)+1)-INDEX(pvals_grade_factor_mix_pit,MATCH($A144,pdates_grade_factor_mix_pit,1)))))</f>
        <v/>
      </c>
      <c r="AB144" s="16">
        <f>($B144*$F144/kg_per_mt*(1+bcd_primary_al_hs7601*(1+sws_rate_on_bcd))+mcx_domestic_premium_inr_kg)*(1+$I144*MAX(0,$Q144-$A144)/day_count_inr)</f>
        <v/>
      </c>
      <c r="AC144" s="16">
        <f>$M144-$AB144</f>
        <v/>
      </c>
      <c r="AD144" s="7" t="inlineStr">
        <is>
          <t>PROXY_IMPORT_PARITY</t>
        </is>
      </c>
      <c r="AE144" s="7" t="inlineStr">
        <is>
          <t>ECB_CROSS</t>
        </is>
      </c>
      <c r="AF144" s="7" t="inlineStr">
        <is>
          <t>WCI_REPORTED|USEC:ANCHORED|JEA:ASSUMPTION</t>
        </is>
      </c>
      <c r="AG144" s="17" t="b">
        <v>0</v>
      </c>
      <c r="AH144" s="17" t="b">
        <v>1</v>
      </c>
    </row>
    <row r="145">
      <c r="A145" s="11" t="n">
        <v>44767</v>
      </c>
      <c r="B145" s="13" t="n">
        <v>2431.5</v>
      </c>
      <c r="C145" s="13" t="n">
        <v>2432</v>
      </c>
      <c r="D145" s="13" t="n">
        <v>-0.5</v>
      </c>
      <c r="E145" s="13" t="n">
        <v>308050</v>
      </c>
      <c r="F145" s="13" t="n">
        <v>79.7846</v>
      </c>
      <c r="G145" s="6" t="n">
        <v>79.968</v>
      </c>
      <c r="H145" s="6" t="n">
        <v>80.32640000000001</v>
      </c>
      <c r="I145" s="14" t="n">
        <v>0.05312</v>
      </c>
      <c r="J145" s="14" t="n">
        <v>0.025644</v>
      </c>
      <c r="K145" s="14" t="n">
        <v>0.049</v>
      </c>
      <c r="L145" s="13" t="n">
        <v>210.0009</v>
      </c>
      <c r="M145" s="13" t="n">
        <v>210.1232</v>
      </c>
      <c r="N145" s="13" t="n">
        <v>211.1318</v>
      </c>
      <c r="O145" s="13" t="n">
        <v>15.92</v>
      </c>
      <c r="P145" s="13" t="n">
        <v>70.61</v>
      </c>
      <c r="Q145" s="12" t="n">
        <v>44771</v>
      </c>
      <c r="R145" s="12" t="n">
        <v>44804</v>
      </c>
      <c r="S145" s="8">
        <f>YEAR($Q145)*100+MONTH($Q145)</f>
        <v/>
      </c>
      <c r="T145" s="8">
        <f>YEAR($R145)*100+MONTH($R145)</f>
        <v/>
      </c>
      <c r="U145" s="15">
        <f>IF($A145&lt;=INDEX(pdates_wc_rate_inr_pa,1),INDEX(pvals_wc_rate_inr_pa,1),INDEX(pvals_wc_rate_inr_pa,MATCH($A145,pdates_wc_rate_inr_pa,1)))</f>
        <v/>
      </c>
      <c r="V145" s="8">
        <f>IF(AND($A145&gt;=customs_fx_first,$A145&lt;=customs_fx_last+customs_fx_notification_validity_days),IF($A145&lt;=INDEX(pdates_customs_usdinr_import,1),INDEX(pvals_customs_usdinr_import,1),INDEX(pvals_customs_usdinr_import,MATCH($A145,pdates_customs_usdinr_import,1))),$F145*(1+customs_fx_markup_frac))</f>
        <v/>
      </c>
      <c r="W145" s="8">
        <f>IF(AND($A145&gt;=customs_fx_first,$A145&lt;=customs_fx_last+customs_fx_notification_validity_days),"CBIC_NOTIFIED","MARKUP_FALLBACK")</f>
        <v/>
      </c>
      <c r="X145" s="8">
        <f>IF($A145&lt;=INDEX(pdates_grade_factor_zorba,1),INDEX(pvals_grade_factor_zorba,1),IF($A145&gt;=INDEX(pdates_grade_factor_zorba,10),INDEX(pvals_grade_factor_zorba,10),INDEX(pvals_grade_factor_zorba,MATCH($A145,pdates_grade_factor_zorba,1))+($A145-INDEX(pdates_grade_factor_zorba,MATCH($A145,pdates_grade_factor_zorba,1)))/(INDEX(pdates_grade_factor_zorba,MATCH($A145,pdates_grade_factor_zorba,1)+1)-INDEX(pdates_grade_factor_zorba,MATCH($A145,pdates_grade_factor_zorba,1)))*(INDEX(pvals_grade_factor_zorba,MATCH($A145,pdates_grade_factor_zorba,1)+1)-INDEX(pvals_grade_factor_zorba,MATCH($A145,pdates_grade_factor_zorba,1)))))</f>
        <v/>
      </c>
      <c r="Y145" s="8">
        <f>IF($A145&lt;=INDEX(pdates_grade_factor_taint_tabor,1),INDEX(pvals_grade_factor_taint_tabor,1),IF($A145&gt;=INDEX(pdates_grade_factor_taint_tabor,10),INDEX(pvals_grade_factor_taint_tabor,10),INDEX(pvals_grade_factor_taint_tabor,MATCH($A145,pdates_grade_factor_taint_tabor,1))+($A145-INDEX(pdates_grade_factor_taint_tabor,MATCH($A145,pdates_grade_factor_taint_tabor,1)))/(INDEX(pdates_grade_factor_taint_tabor,MATCH($A145,pdates_grade_factor_taint_tabor,1)+1)-INDEX(pdates_grade_factor_taint_tabor,MATCH($A145,pdates_grade_factor_taint_tabor,1)))*(INDEX(pvals_grade_factor_taint_tabor,MATCH($A145,pdates_grade_factor_taint_tabor,1)+1)-INDEX(pvals_grade_factor_taint_tabor,MATCH($A145,pdates_grade_factor_taint_tabor,1)))))</f>
        <v/>
      </c>
      <c r="Z145" s="8">
        <f>IF($A145&lt;=INDEX(pdates_grade_factor_tense,1),INDEX(pvals_grade_factor_tense,1),IF($A145&gt;=INDEX(pdates_grade_factor_tense,10),INDEX(pvals_grade_factor_tense,10),INDEX(pvals_grade_factor_tense,MATCH($A145,pdates_grade_factor_tense,1))+($A145-INDEX(pdates_grade_factor_tense,MATCH($A145,pdates_grade_factor_tense,1)))/(INDEX(pdates_grade_factor_tense,MATCH($A145,pdates_grade_factor_tense,1)+1)-INDEX(pdates_grade_factor_tense,MATCH($A145,pdates_grade_factor_tense,1)))*(INDEX(pvals_grade_factor_tense,MATCH($A145,pdates_grade_factor_tense,1)+1)-INDEX(pvals_grade_factor_tense,MATCH($A145,pdates_grade_factor_tense,1)))))</f>
        <v/>
      </c>
      <c r="AA145" s="8">
        <f>IF($A145&lt;=INDEX(pdates_grade_factor_mix_pit,1),INDEX(pvals_grade_factor_mix_pit,1),IF($A145&gt;=INDEX(pdates_grade_factor_mix_pit,10),INDEX(pvals_grade_factor_mix_pit,10),INDEX(pvals_grade_factor_mix_pit,MATCH($A145,pdates_grade_factor_mix_pit,1))+($A145-INDEX(pdates_grade_factor_mix_pit,MATCH($A145,pdates_grade_factor_mix_pit,1)))/(INDEX(pdates_grade_factor_mix_pit,MATCH($A145,pdates_grade_factor_mix_pit,1)+1)-INDEX(pdates_grade_factor_mix_pit,MATCH($A145,pdates_grade_factor_mix_pit,1)))*(INDEX(pvals_grade_factor_mix_pit,MATCH($A145,pdates_grade_factor_mix_pit,1)+1)-INDEX(pvals_grade_factor_mix_pit,MATCH($A145,pdates_grade_factor_mix_pit,1)))))</f>
        <v/>
      </c>
      <c r="AB145" s="16">
        <f>($B145*$F145/kg_per_mt*(1+bcd_primary_al_hs7601*(1+sws_rate_on_bcd))+mcx_domestic_premium_inr_kg)*(1+$I145*MAX(0,$Q145-$A145)/day_count_inr)</f>
        <v/>
      </c>
      <c r="AC145" s="16">
        <f>$M145-$AB145</f>
        <v/>
      </c>
      <c r="AD145" s="7" t="inlineStr">
        <is>
          <t>PROXY_IMPORT_PARITY</t>
        </is>
      </c>
      <c r="AE145" s="7" t="inlineStr">
        <is>
          <t>ECB_CROSS</t>
        </is>
      </c>
      <c r="AF145" s="7" t="inlineStr">
        <is>
          <t>WCI_REPORTED|USEC:ANCHORED|JEA:ASSUMPTION</t>
        </is>
      </c>
      <c r="AG145" s="17" t="b">
        <v>0</v>
      </c>
      <c r="AH145" s="17" t="b">
        <v>1</v>
      </c>
    </row>
    <row r="146">
      <c r="A146" s="11" t="n">
        <v>44768</v>
      </c>
      <c r="B146" s="13" t="n">
        <v>2437</v>
      </c>
      <c r="C146" s="13" t="n">
        <v>2427</v>
      </c>
      <c r="D146" s="13" t="n">
        <v>10</v>
      </c>
      <c r="E146" s="13" t="n">
        <v>304125</v>
      </c>
      <c r="F146" s="13" t="n">
        <v>79.81529999999999</v>
      </c>
      <c r="G146" s="6" t="n">
        <v>80.0035</v>
      </c>
      <c r="H146" s="6" t="n">
        <v>80.37139999999999</v>
      </c>
      <c r="I146" s="14" t="n">
        <v>0.05312</v>
      </c>
      <c r="J146" s="14" t="n">
        <v>0.024953</v>
      </c>
      <c r="K146" s="14" t="n">
        <v>0.049</v>
      </c>
      <c r="L146" s="13" t="n">
        <v>210.557</v>
      </c>
      <c r="M146" s="13" t="n">
        <v>210.6489</v>
      </c>
      <c r="N146" s="13" t="n">
        <v>211.6601</v>
      </c>
      <c r="O146" s="13" t="n">
        <v>15.92</v>
      </c>
      <c r="P146" s="13" t="n">
        <v>70.61</v>
      </c>
      <c r="Q146" s="12" t="n">
        <v>44771</v>
      </c>
      <c r="R146" s="12" t="n">
        <v>44804</v>
      </c>
      <c r="S146" s="8">
        <f>YEAR($Q146)*100+MONTH($Q146)</f>
        <v/>
      </c>
      <c r="T146" s="8">
        <f>YEAR($R146)*100+MONTH($R146)</f>
        <v/>
      </c>
      <c r="U146" s="15">
        <f>IF($A146&lt;=INDEX(pdates_wc_rate_inr_pa,1),INDEX(pvals_wc_rate_inr_pa,1),INDEX(pvals_wc_rate_inr_pa,MATCH($A146,pdates_wc_rate_inr_pa,1)))</f>
        <v/>
      </c>
      <c r="V146" s="8">
        <f>IF(AND($A146&gt;=customs_fx_first,$A146&lt;=customs_fx_last+customs_fx_notification_validity_days),IF($A146&lt;=INDEX(pdates_customs_usdinr_import,1),INDEX(pvals_customs_usdinr_import,1),INDEX(pvals_customs_usdinr_import,MATCH($A146,pdates_customs_usdinr_import,1))),$F146*(1+customs_fx_markup_frac))</f>
        <v/>
      </c>
      <c r="W146" s="8">
        <f>IF(AND($A146&gt;=customs_fx_first,$A146&lt;=customs_fx_last+customs_fx_notification_validity_days),"CBIC_NOTIFIED","MARKUP_FALLBACK")</f>
        <v/>
      </c>
      <c r="X146" s="8">
        <f>IF($A146&lt;=INDEX(pdates_grade_factor_zorba,1),INDEX(pvals_grade_factor_zorba,1),IF($A146&gt;=INDEX(pdates_grade_factor_zorba,10),INDEX(pvals_grade_factor_zorba,10),INDEX(pvals_grade_factor_zorba,MATCH($A146,pdates_grade_factor_zorba,1))+($A146-INDEX(pdates_grade_factor_zorba,MATCH($A146,pdates_grade_factor_zorba,1)))/(INDEX(pdates_grade_factor_zorba,MATCH($A146,pdates_grade_factor_zorba,1)+1)-INDEX(pdates_grade_factor_zorba,MATCH($A146,pdates_grade_factor_zorba,1)))*(INDEX(pvals_grade_factor_zorba,MATCH($A146,pdates_grade_factor_zorba,1)+1)-INDEX(pvals_grade_factor_zorba,MATCH($A146,pdates_grade_factor_zorba,1)))))</f>
        <v/>
      </c>
      <c r="Y146" s="8">
        <f>IF($A146&lt;=INDEX(pdates_grade_factor_taint_tabor,1),INDEX(pvals_grade_factor_taint_tabor,1),IF($A146&gt;=INDEX(pdates_grade_factor_taint_tabor,10),INDEX(pvals_grade_factor_taint_tabor,10),INDEX(pvals_grade_factor_taint_tabor,MATCH($A146,pdates_grade_factor_taint_tabor,1))+($A146-INDEX(pdates_grade_factor_taint_tabor,MATCH($A146,pdates_grade_factor_taint_tabor,1)))/(INDEX(pdates_grade_factor_taint_tabor,MATCH($A146,pdates_grade_factor_taint_tabor,1)+1)-INDEX(pdates_grade_factor_taint_tabor,MATCH($A146,pdates_grade_factor_taint_tabor,1)))*(INDEX(pvals_grade_factor_taint_tabor,MATCH($A146,pdates_grade_factor_taint_tabor,1)+1)-INDEX(pvals_grade_factor_taint_tabor,MATCH($A146,pdates_grade_factor_taint_tabor,1)))))</f>
        <v/>
      </c>
      <c r="Z146" s="8">
        <f>IF($A146&lt;=INDEX(pdates_grade_factor_tense,1),INDEX(pvals_grade_factor_tense,1),IF($A146&gt;=INDEX(pdates_grade_factor_tense,10),INDEX(pvals_grade_factor_tense,10),INDEX(pvals_grade_factor_tense,MATCH($A146,pdates_grade_factor_tense,1))+($A146-INDEX(pdates_grade_factor_tense,MATCH($A146,pdates_grade_factor_tense,1)))/(INDEX(pdates_grade_factor_tense,MATCH($A146,pdates_grade_factor_tense,1)+1)-INDEX(pdates_grade_factor_tense,MATCH($A146,pdates_grade_factor_tense,1)))*(INDEX(pvals_grade_factor_tense,MATCH($A146,pdates_grade_factor_tense,1)+1)-INDEX(pvals_grade_factor_tense,MATCH($A146,pdates_grade_factor_tense,1)))))</f>
        <v/>
      </c>
      <c r="AA146" s="8">
        <f>IF($A146&lt;=INDEX(pdates_grade_factor_mix_pit,1),INDEX(pvals_grade_factor_mix_pit,1),IF($A146&gt;=INDEX(pdates_grade_factor_mix_pit,10),INDEX(pvals_grade_factor_mix_pit,10),INDEX(pvals_grade_factor_mix_pit,MATCH($A146,pdates_grade_factor_mix_pit,1))+($A146-INDEX(pdates_grade_factor_mix_pit,MATCH($A146,pdates_grade_factor_mix_pit,1)))/(INDEX(pdates_grade_factor_mix_pit,MATCH($A146,pdates_grade_factor_mix_pit,1)+1)-INDEX(pdates_grade_factor_mix_pit,MATCH($A146,pdates_grade_factor_mix_pit,1)))*(INDEX(pvals_grade_factor_mix_pit,MATCH($A146,pdates_grade_factor_mix_pit,1)+1)-INDEX(pvals_grade_factor_mix_pit,MATCH($A146,pdates_grade_factor_mix_pit,1)))))</f>
        <v/>
      </c>
      <c r="AB146" s="16">
        <f>($B146*$F146/kg_per_mt*(1+bcd_primary_al_hs7601*(1+sws_rate_on_bcd))+mcx_domestic_premium_inr_kg)*(1+$I146*MAX(0,$Q146-$A146)/day_count_inr)</f>
        <v/>
      </c>
      <c r="AC146" s="16">
        <f>$M146-$AB146</f>
        <v/>
      </c>
      <c r="AD146" s="7" t="inlineStr">
        <is>
          <t>PROXY_IMPORT_PARITY</t>
        </is>
      </c>
      <c r="AE146" s="7" t="inlineStr">
        <is>
          <t>ECB_CROSS</t>
        </is>
      </c>
      <c r="AF146" s="7" t="inlineStr">
        <is>
          <t>WCI_REPORTED|USEC:ANCHORED|JEA:ASSUMPTION</t>
        </is>
      </c>
      <c r="AG146" s="17" t="b">
        <v>0</v>
      </c>
      <c r="AH146" s="17" t="b">
        <v>1</v>
      </c>
    </row>
    <row r="147">
      <c r="A147" s="11" t="n">
        <v>44769</v>
      </c>
      <c r="B147" s="13" t="n">
        <v>2390.5</v>
      </c>
      <c r="C147" s="13" t="n">
        <v>2386.5</v>
      </c>
      <c r="D147" s="13" t="n">
        <v>4</v>
      </c>
      <c r="E147" s="13" t="n">
        <v>299700</v>
      </c>
      <c r="F147" s="13" t="n">
        <v>79.92019999999999</v>
      </c>
      <c r="G147" s="6" t="n">
        <v>80.1161</v>
      </c>
      <c r="H147" s="6" t="n">
        <v>80.49930000000001</v>
      </c>
      <c r="I147" s="14" t="n">
        <v>0.05312</v>
      </c>
      <c r="J147" s="14" t="n">
        <v>0.023868</v>
      </c>
      <c r="K147" s="14" t="n">
        <v>0.049</v>
      </c>
      <c r="L147" s="13" t="n">
        <v>206.8108</v>
      </c>
      <c r="M147" s="13" t="n">
        <v>206.871</v>
      </c>
      <c r="N147" s="13" t="n">
        <v>207.8642</v>
      </c>
      <c r="O147" s="13" t="n">
        <v>15.92</v>
      </c>
      <c r="P147" s="13" t="n">
        <v>70.61</v>
      </c>
      <c r="Q147" s="12" t="n">
        <v>44771</v>
      </c>
      <c r="R147" s="12" t="n">
        <v>44804</v>
      </c>
      <c r="S147" s="8">
        <f>YEAR($Q147)*100+MONTH($Q147)</f>
        <v/>
      </c>
      <c r="T147" s="8">
        <f>YEAR($R147)*100+MONTH($R147)</f>
        <v/>
      </c>
      <c r="U147" s="15">
        <f>IF($A147&lt;=INDEX(pdates_wc_rate_inr_pa,1),INDEX(pvals_wc_rate_inr_pa,1),INDEX(pvals_wc_rate_inr_pa,MATCH($A147,pdates_wc_rate_inr_pa,1)))</f>
        <v/>
      </c>
      <c r="V147" s="8">
        <f>IF(AND($A147&gt;=customs_fx_first,$A147&lt;=customs_fx_last+customs_fx_notification_validity_days),IF($A147&lt;=INDEX(pdates_customs_usdinr_import,1),INDEX(pvals_customs_usdinr_import,1),INDEX(pvals_customs_usdinr_import,MATCH($A147,pdates_customs_usdinr_import,1))),$F147*(1+customs_fx_markup_frac))</f>
        <v/>
      </c>
      <c r="W147" s="8">
        <f>IF(AND($A147&gt;=customs_fx_first,$A147&lt;=customs_fx_last+customs_fx_notification_validity_days),"CBIC_NOTIFIED","MARKUP_FALLBACK")</f>
        <v/>
      </c>
      <c r="X147" s="8">
        <f>IF($A147&lt;=INDEX(pdates_grade_factor_zorba,1),INDEX(pvals_grade_factor_zorba,1),IF($A147&gt;=INDEX(pdates_grade_factor_zorba,10),INDEX(pvals_grade_factor_zorba,10),INDEX(pvals_grade_factor_zorba,MATCH($A147,pdates_grade_factor_zorba,1))+($A147-INDEX(pdates_grade_factor_zorba,MATCH($A147,pdates_grade_factor_zorba,1)))/(INDEX(pdates_grade_factor_zorba,MATCH($A147,pdates_grade_factor_zorba,1)+1)-INDEX(pdates_grade_factor_zorba,MATCH($A147,pdates_grade_factor_zorba,1)))*(INDEX(pvals_grade_factor_zorba,MATCH($A147,pdates_grade_factor_zorba,1)+1)-INDEX(pvals_grade_factor_zorba,MATCH($A147,pdates_grade_factor_zorba,1)))))</f>
        <v/>
      </c>
      <c r="Y147" s="8">
        <f>IF($A147&lt;=INDEX(pdates_grade_factor_taint_tabor,1),INDEX(pvals_grade_factor_taint_tabor,1),IF($A147&gt;=INDEX(pdates_grade_factor_taint_tabor,10),INDEX(pvals_grade_factor_taint_tabor,10),INDEX(pvals_grade_factor_taint_tabor,MATCH($A147,pdates_grade_factor_taint_tabor,1))+($A147-INDEX(pdates_grade_factor_taint_tabor,MATCH($A147,pdates_grade_factor_taint_tabor,1)))/(INDEX(pdates_grade_factor_taint_tabor,MATCH($A147,pdates_grade_factor_taint_tabor,1)+1)-INDEX(pdates_grade_factor_taint_tabor,MATCH($A147,pdates_grade_factor_taint_tabor,1)))*(INDEX(pvals_grade_factor_taint_tabor,MATCH($A147,pdates_grade_factor_taint_tabor,1)+1)-INDEX(pvals_grade_factor_taint_tabor,MATCH($A147,pdates_grade_factor_taint_tabor,1)))))</f>
        <v/>
      </c>
      <c r="Z147" s="8">
        <f>IF($A147&lt;=INDEX(pdates_grade_factor_tense,1),INDEX(pvals_grade_factor_tense,1),IF($A147&gt;=INDEX(pdates_grade_factor_tense,10),INDEX(pvals_grade_factor_tense,10),INDEX(pvals_grade_factor_tense,MATCH($A147,pdates_grade_factor_tense,1))+($A147-INDEX(pdates_grade_factor_tense,MATCH($A147,pdates_grade_factor_tense,1)))/(INDEX(pdates_grade_factor_tense,MATCH($A147,pdates_grade_factor_tense,1)+1)-INDEX(pdates_grade_factor_tense,MATCH($A147,pdates_grade_factor_tense,1)))*(INDEX(pvals_grade_factor_tense,MATCH($A147,pdates_grade_factor_tense,1)+1)-INDEX(pvals_grade_factor_tense,MATCH($A147,pdates_grade_factor_tense,1)))))</f>
        <v/>
      </c>
      <c r="AA147" s="8">
        <f>IF($A147&lt;=INDEX(pdates_grade_factor_mix_pit,1),INDEX(pvals_grade_factor_mix_pit,1),IF($A147&gt;=INDEX(pdates_grade_factor_mix_pit,10),INDEX(pvals_grade_factor_mix_pit,10),INDEX(pvals_grade_factor_mix_pit,MATCH($A147,pdates_grade_factor_mix_pit,1))+($A147-INDEX(pdates_grade_factor_mix_pit,MATCH($A147,pdates_grade_factor_mix_pit,1)))/(INDEX(pdates_grade_factor_mix_pit,MATCH($A147,pdates_grade_factor_mix_pit,1)+1)-INDEX(pdates_grade_factor_mix_pit,MATCH($A147,pdates_grade_factor_mix_pit,1)))*(INDEX(pvals_grade_factor_mix_pit,MATCH($A147,pdates_grade_factor_mix_pit,1)+1)-INDEX(pvals_grade_factor_mix_pit,MATCH($A147,pdates_grade_factor_mix_pit,1)))))</f>
        <v/>
      </c>
      <c r="AB147" s="16">
        <f>($B147*$F147/kg_per_mt*(1+bcd_primary_al_hs7601*(1+sws_rate_on_bcd))+mcx_domestic_premium_inr_kg)*(1+$I147*MAX(0,$Q147-$A147)/day_count_inr)</f>
        <v/>
      </c>
      <c r="AC147" s="16">
        <f>$M147-$AB147</f>
        <v/>
      </c>
      <c r="AD147" s="7" t="inlineStr">
        <is>
          <t>PROXY_IMPORT_PARITY</t>
        </is>
      </c>
      <c r="AE147" s="7" t="inlineStr">
        <is>
          <t>ECB_CROSS</t>
        </is>
      </c>
      <c r="AF147" s="7" t="inlineStr">
        <is>
          <t>WCI_REPORTED|USEC:ANCHORED|JEA:ASSUMPTION</t>
        </is>
      </c>
      <c r="AG147" s="17" t="b">
        <v>0</v>
      </c>
      <c r="AH147" s="17" t="b">
        <v>1</v>
      </c>
    </row>
    <row r="148">
      <c r="A148" s="11" t="n">
        <v>44770</v>
      </c>
      <c r="B148" s="13" t="n">
        <v>2458</v>
      </c>
      <c r="C148" s="13" t="n">
        <v>2446</v>
      </c>
      <c r="D148" s="13" t="n">
        <v>12</v>
      </c>
      <c r="E148" s="13" t="n">
        <v>295325</v>
      </c>
      <c r="F148" s="13" t="n">
        <v>79.6814</v>
      </c>
      <c r="G148" s="6" t="n">
        <v>79.8781</v>
      </c>
      <c r="H148" s="6" t="n">
        <v>80.2627</v>
      </c>
      <c r="I148" s="14" t="n">
        <v>0.05312</v>
      </c>
      <c r="J148" s="14" t="n">
        <v>0.023671</v>
      </c>
      <c r="K148" s="14" t="n">
        <v>0.049</v>
      </c>
      <c r="L148" s="13" t="n">
        <v>212.0151</v>
      </c>
      <c r="M148" s="13" t="n">
        <v>212.0459</v>
      </c>
      <c r="N148" s="13" t="n">
        <v>213.0642</v>
      </c>
      <c r="O148" s="13" t="n">
        <v>15.68</v>
      </c>
      <c r="P148" s="13" t="n">
        <v>69.51000000000001</v>
      </c>
      <c r="Q148" s="12" t="n">
        <v>44771</v>
      </c>
      <c r="R148" s="12" t="n">
        <v>44804</v>
      </c>
      <c r="S148" s="8">
        <f>YEAR($Q148)*100+MONTH($Q148)</f>
        <v/>
      </c>
      <c r="T148" s="8">
        <f>YEAR($R148)*100+MONTH($R148)</f>
        <v/>
      </c>
      <c r="U148" s="15">
        <f>IF($A148&lt;=INDEX(pdates_wc_rate_inr_pa,1),INDEX(pvals_wc_rate_inr_pa,1),INDEX(pvals_wc_rate_inr_pa,MATCH($A148,pdates_wc_rate_inr_pa,1)))</f>
        <v/>
      </c>
      <c r="V148" s="8">
        <f>IF(AND($A148&gt;=customs_fx_first,$A148&lt;=customs_fx_last+customs_fx_notification_validity_days),IF($A148&lt;=INDEX(pdates_customs_usdinr_import,1),INDEX(pvals_customs_usdinr_import,1),INDEX(pvals_customs_usdinr_import,MATCH($A148,pdates_customs_usdinr_import,1))),$F148*(1+customs_fx_markup_frac))</f>
        <v/>
      </c>
      <c r="W148" s="8">
        <f>IF(AND($A148&gt;=customs_fx_first,$A148&lt;=customs_fx_last+customs_fx_notification_validity_days),"CBIC_NOTIFIED","MARKUP_FALLBACK")</f>
        <v/>
      </c>
      <c r="X148" s="8">
        <f>IF($A148&lt;=INDEX(pdates_grade_factor_zorba,1),INDEX(pvals_grade_factor_zorba,1),IF($A148&gt;=INDEX(pdates_grade_factor_zorba,10),INDEX(pvals_grade_factor_zorba,10),INDEX(pvals_grade_factor_zorba,MATCH($A148,pdates_grade_factor_zorba,1))+($A148-INDEX(pdates_grade_factor_zorba,MATCH($A148,pdates_grade_factor_zorba,1)))/(INDEX(pdates_grade_factor_zorba,MATCH($A148,pdates_grade_factor_zorba,1)+1)-INDEX(pdates_grade_factor_zorba,MATCH($A148,pdates_grade_factor_zorba,1)))*(INDEX(pvals_grade_factor_zorba,MATCH($A148,pdates_grade_factor_zorba,1)+1)-INDEX(pvals_grade_factor_zorba,MATCH($A148,pdates_grade_factor_zorba,1)))))</f>
        <v/>
      </c>
      <c r="Y148" s="8">
        <f>IF($A148&lt;=INDEX(pdates_grade_factor_taint_tabor,1),INDEX(pvals_grade_factor_taint_tabor,1),IF($A148&gt;=INDEX(pdates_grade_factor_taint_tabor,10),INDEX(pvals_grade_factor_taint_tabor,10),INDEX(pvals_grade_factor_taint_tabor,MATCH($A148,pdates_grade_factor_taint_tabor,1))+($A148-INDEX(pdates_grade_factor_taint_tabor,MATCH($A148,pdates_grade_factor_taint_tabor,1)))/(INDEX(pdates_grade_factor_taint_tabor,MATCH($A148,pdates_grade_factor_taint_tabor,1)+1)-INDEX(pdates_grade_factor_taint_tabor,MATCH($A148,pdates_grade_factor_taint_tabor,1)))*(INDEX(pvals_grade_factor_taint_tabor,MATCH($A148,pdates_grade_factor_taint_tabor,1)+1)-INDEX(pvals_grade_factor_taint_tabor,MATCH($A148,pdates_grade_factor_taint_tabor,1)))))</f>
        <v/>
      </c>
      <c r="Z148" s="8">
        <f>IF($A148&lt;=INDEX(pdates_grade_factor_tense,1),INDEX(pvals_grade_factor_tense,1),IF($A148&gt;=INDEX(pdates_grade_factor_tense,10),INDEX(pvals_grade_factor_tense,10),INDEX(pvals_grade_factor_tense,MATCH($A148,pdates_grade_factor_tense,1))+($A148-INDEX(pdates_grade_factor_tense,MATCH($A148,pdates_grade_factor_tense,1)))/(INDEX(pdates_grade_factor_tense,MATCH($A148,pdates_grade_factor_tense,1)+1)-INDEX(pdates_grade_factor_tense,MATCH($A148,pdates_grade_factor_tense,1)))*(INDEX(pvals_grade_factor_tense,MATCH($A148,pdates_grade_factor_tense,1)+1)-INDEX(pvals_grade_factor_tense,MATCH($A148,pdates_grade_factor_tense,1)))))</f>
        <v/>
      </c>
      <c r="AA148" s="8">
        <f>IF($A148&lt;=INDEX(pdates_grade_factor_mix_pit,1),INDEX(pvals_grade_factor_mix_pit,1),IF($A148&gt;=INDEX(pdates_grade_factor_mix_pit,10),INDEX(pvals_grade_factor_mix_pit,10),INDEX(pvals_grade_factor_mix_pit,MATCH($A148,pdates_grade_factor_mix_pit,1))+($A148-INDEX(pdates_grade_factor_mix_pit,MATCH($A148,pdates_grade_factor_mix_pit,1)))/(INDEX(pdates_grade_factor_mix_pit,MATCH($A148,pdates_grade_factor_mix_pit,1)+1)-INDEX(pdates_grade_factor_mix_pit,MATCH($A148,pdates_grade_factor_mix_pit,1)))*(INDEX(pvals_grade_factor_mix_pit,MATCH($A148,pdates_grade_factor_mix_pit,1)+1)-INDEX(pvals_grade_factor_mix_pit,MATCH($A148,pdates_grade_factor_mix_pit,1)))))</f>
        <v/>
      </c>
      <c r="AB148" s="16">
        <f>($B148*$F148/kg_per_mt*(1+bcd_primary_al_hs7601*(1+sws_rate_on_bcd))+mcx_domestic_premium_inr_kg)*(1+$I148*MAX(0,$Q148-$A148)/day_count_inr)</f>
        <v/>
      </c>
      <c r="AC148" s="16">
        <f>$M148-$AB148</f>
        <v/>
      </c>
      <c r="AD148" s="7" t="inlineStr">
        <is>
          <t>PROXY_IMPORT_PARITY</t>
        </is>
      </c>
      <c r="AE148" s="7" t="inlineStr">
        <is>
          <t>ECB_CROSS</t>
        </is>
      </c>
      <c r="AF148" s="7" t="inlineStr">
        <is>
          <t>WCI_REPORTED|USEC:ANCHORED|JEA:ASSUMPTION</t>
        </is>
      </c>
      <c r="AG148" s="17" t="b">
        <v>0</v>
      </c>
      <c r="AH148" s="17" t="b">
        <v>0</v>
      </c>
    </row>
    <row r="149">
      <c r="A149" s="11" t="n">
        <v>44771</v>
      </c>
      <c r="B149" s="13" t="n">
        <v>2452</v>
      </c>
      <c r="C149" s="13" t="n">
        <v>2438</v>
      </c>
      <c r="D149" s="13" t="n">
        <v>14</v>
      </c>
      <c r="E149" s="13" t="n">
        <v>291025</v>
      </c>
      <c r="F149" s="13" t="n">
        <v>79.3116</v>
      </c>
      <c r="G149" s="6" t="n">
        <v>79.5081</v>
      </c>
      <c r="H149" s="6" t="n">
        <v>79.89230000000001</v>
      </c>
      <c r="I149" s="14" t="n">
        <v>0.05312</v>
      </c>
      <c r="J149" s="14" t="n">
        <v>0.023573</v>
      </c>
      <c r="K149" s="14" t="n">
        <v>0.049</v>
      </c>
      <c r="L149" s="13" t="n">
        <v>210.516</v>
      </c>
      <c r="M149" s="13" t="n">
        <v>210.516</v>
      </c>
      <c r="N149" s="13" t="n">
        <v>211.527</v>
      </c>
      <c r="O149" s="13" t="n">
        <v>15.68</v>
      </c>
      <c r="P149" s="13" t="n">
        <v>69.51000000000001</v>
      </c>
      <c r="Q149" s="12" t="n">
        <v>44771</v>
      </c>
      <c r="R149" s="12" t="n">
        <v>44804</v>
      </c>
      <c r="S149" s="8">
        <f>YEAR($Q149)*100+MONTH($Q149)</f>
        <v/>
      </c>
      <c r="T149" s="8">
        <f>YEAR($R149)*100+MONTH($R149)</f>
        <v/>
      </c>
      <c r="U149" s="15">
        <f>IF($A149&lt;=INDEX(pdates_wc_rate_inr_pa,1),INDEX(pvals_wc_rate_inr_pa,1),INDEX(pvals_wc_rate_inr_pa,MATCH($A149,pdates_wc_rate_inr_pa,1)))</f>
        <v/>
      </c>
      <c r="V149" s="8">
        <f>IF(AND($A149&gt;=customs_fx_first,$A149&lt;=customs_fx_last+customs_fx_notification_validity_days),IF($A149&lt;=INDEX(pdates_customs_usdinr_import,1),INDEX(pvals_customs_usdinr_import,1),INDEX(pvals_customs_usdinr_import,MATCH($A149,pdates_customs_usdinr_import,1))),$F149*(1+customs_fx_markup_frac))</f>
        <v/>
      </c>
      <c r="W149" s="8">
        <f>IF(AND($A149&gt;=customs_fx_first,$A149&lt;=customs_fx_last+customs_fx_notification_validity_days),"CBIC_NOTIFIED","MARKUP_FALLBACK")</f>
        <v/>
      </c>
      <c r="X149" s="8">
        <f>IF($A149&lt;=INDEX(pdates_grade_factor_zorba,1),INDEX(pvals_grade_factor_zorba,1),IF($A149&gt;=INDEX(pdates_grade_factor_zorba,10),INDEX(pvals_grade_factor_zorba,10),INDEX(pvals_grade_factor_zorba,MATCH($A149,pdates_grade_factor_zorba,1))+($A149-INDEX(pdates_grade_factor_zorba,MATCH($A149,pdates_grade_factor_zorba,1)))/(INDEX(pdates_grade_factor_zorba,MATCH($A149,pdates_grade_factor_zorba,1)+1)-INDEX(pdates_grade_factor_zorba,MATCH($A149,pdates_grade_factor_zorba,1)))*(INDEX(pvals_grade_factor_zorba,MATCH($A149,pdates_grade_factor_zorba,1)+1)-INDEX(pvals_grade_factor_zorba,MATCH($A149,pdates_grade_factor_zorba,1)))))</f>
        <v/>
      </c>
      <c r="Y149" s="8">
        <f>IF($A149&lt;=INDEX(pdates_grade_factor_taint_tabor,1),INDEX(pvals_grade_factor_taint_tabor,1),IF($A149&gt;=INDEX(pdates_grade_factor_taint_tabor,10),INDEX(pvals_grade_factor_taint_tabor,10),INDEX(pvals_grade_factor_taint_tabor,MATCH($A149,pdates_grade_factor_taint_tabor,1))+($A149-INDEX(pdates_grade_factor_taint_tabor,MATCH($A149,pdates_grade_factor_taint_tabor,1)))/(INDEX(pdates_grade_factor_taint_tabor,MATCH($A149,pdates_grade_factor_taint_tabor,1)+1)-INDEX(pdates_grade_factor_taint_tabor,MATCH($A149,pdates_grade_factor_taint_tabor,1)))*(INDEX(pvals_grade_factor_taint_tabor,MATCH($A149,pdates_grade_factor_taint_tabor,1)+1)-INDEX(pvals_grade_factor_taint_tabor,MATCH($A149,pdates_grade_factor_taint_tabor,1)))))</f>
        <v/>
      </c>
      <c r="Z149" s="8">
        <f>IF($A149&lt;=INDEX(pdates_grade_factor_tense,1),INDEX(pvals_grade_factor_tense,1),IF($A149&gt;=INDEX(pdates_grade_factor_tense,10),INDEX(pvals_grade_factor_tense,10),INDEX(pvals_grade_factor_tense,MATCH($A149,pdates_grade_factor_tense,1))+($A149-INDEX(pdates_grade_factor_tense,MATCH($A149,pdates_grade_factor_tense,1)))/(INDEX(pdates_grade_factor_tense,MATCH($A149,pdates_grade_factor_tense,1)+1)-INDEX(pdates_grade_factor_tense,MATCH($A149,pdates_grade_factor_tense,1)))*(INDEX(pvals_grade_factor_tense,MATCH($A149,pdates_grade_factor_tense,1)+1)-INDEX(pvals_grade_factor_tense,MATCH($A149,pdates_grade_factor_tense,1)))))</f>
        <v/>
      </c>
      <c r="AA149" s="8">
        <f>IF($A149&lt;=INDEX(pdates_grade_factor_mix_pit,1),INDEX(pvals_grade_factor_mix_pit,1),IF($A149&gt;=INDEX(pdates_grade_factor_mix_pit,10),INDEX(pvals_grade_factor_mix_pit,10),INDEX(pvals_grade_factor_mix_pit,MATCH($A149,pdates_grade_factor_mix_pit,1))+($A149-INDEX(pdates_grade_factor_mix_pit,MATCH($A149,pdates_grade_factor_mix_pit,1)))/(INDEX(pdates_grade_factor_mix_pit,MATCH($A149,pdates_grade_factor_mix_pit,1)+1)-INDEX(pdates_grade_factor_mix_pit,MATCH($A149,pdates_grade_factor_mix_pit,1)))*(INDEX(pvals_grade_factor_mix_pit,MATCH($A149,pdates_grade_factor_mix_pit,1)+1)-INDEX(pvals_grade_factor_mix_pit,MATCH($A149,pdates_grade_factor_mix_pit,1)))))</f>
        <v/>
      </c>
      <c r="AB149" s="16">
        <f>($B149*$F149/kg_per_mt*(1+bcd_primary_al_hs7601*(1+sws_rate_on_bcd))+mcx_domestic_premium_inr_kg)*(1+$I149*MAX(0,$Q149-$A149)/day_count_inr)</f>
        <v/>
      </c>
      <c r="AC149" s="16">
        <f>$M149-$AB149</f>
        <v/>
      </c>
      <c r="AD149" s="7" t="inlineStr">
        <is>
          <t>PROXY_IMPORT_PARITY</t>
        </is>
      </c>
      <c r="AE149" s="7" t="inlineStr">
        <is>
          <t>ECB_CROSS</t>
        </is>
      </c>
      <c r="AF149" s="7" t="inlineStr">
        <is>
          <t>WCI_REPORTED|USEC:ANCHORED|JEA:ASSUMPTION</t>
        </is>
      </c>
      <c r="AG149" s="17" t="b">
        <v>0</v>
      </c>
      <c r="AH149" s="17" t="b">
        <v>1</v>
      </c>
    </row>
    <row r="150">
      <c r="A150" s="11" t="n">
        <v>44774</v>
      </c>
      <c r="B150" s="13" t="n">
        <v>2469.5</v>
      </c>
      <c r="C150" s="13" t="n">
        <v>2448</v>
      </c>
      <c r="D150" s="13" t="n">
        <v>21.5</v>
      </c>
      <c r="E150" s="13" t="n">
        <v>288125</v>
      </c>
      <c r="F150" s="13" t="n">
        <v>79.0907</v>
      </c>
      <c r="G150" s="6" t="n">
        <v>79.2658</v>
      </c>
      <c r="H150" s="6" t="n">
        <v>79.6083</v>
      </c>
      <c r="I150" s="14" t="n">
        <v>0.051428</v>
      </c>
      <c r="J150" s="14" t="n">
        <v>0.024953</v>
      </c>
      <c r="K150" s="14" t="n">
        <v>0.049</v>
      </c>
      <c r="L150" s="13" t="n">
        <v>211.4279</v>
      </c>
      <c r="M150" s="13" t="n">
        <v>212.3216</v>
      </c>
      <c r="N150" s="13" t="n">
        <v>213.2153</v>
      </c>
      <c r="O150" s="13" t="n">
        <v>15.68</v>
      </c>
      <c r="P150" s="13" t="n">
        <v>69.51000000000001</v>
      </c>
      <c r="Q150" s="12" t="n">
        <v>44804</v>
      </c>
      <c r="R150" s="12" t="n">
        <v>44834</v>
      </c>
      <c r="S150" s="8">
        <f>YEAR($Q150)*100+MONTH($Q150)</f>
        <v/>
      </c>
      <c r="T150" s="8">
        <f>YEAR($R150)*100+MONTH($R150)</f>
        <v/>
      </c>
      <c r="U150" s="15">
        <f>IF($A150&lt;=INDEX(pdates_wc_rate_inr_pa,1),INDEX(pvals_wc_rate_inr_pa,1),INDEX(pvals_wc_rate_inr_pa,MATCH($A150,pdates_wc_rate_inr_pa,1)))</f>
        <v/>
      </c>
      <c r="V150" s="8">
        <f>IF(AND($A150&gt;=customs_fx_first,$A150&lt;=customs_fx_last+customs_fx_notification_validity_days),IF($A150&lt;=INDEX(pdates_customs_usdinr_import,1),INDEX(pvals_customs_usdinr_import,1),INDEX(pvals_customs_usdinr_import,MATCH($A150,pdates_customs_usdinr_import,1))),$F150*(1+customs_fx_markup_frac))</f>
        <v/>
      </c>
      <c r="W150" s="8">
        <f>IF(AND($A150&gt;=customs_fx_first,$A150&lt;=customs_fx_last+customs_fx_notification_validity_days),"CBIC_NOTIFIED","MARKUP_FALLBACK")</f>
        <v/>
      </c>
      <c r="X150" s="8">
        <f>IF($A150&lt;=INDEX(pdates_grade_factor_zorba,1),INDEX(pvals_grade_factor_zorba,1),IF($A150&gt;=INDEX(pdates_grade_factor_zorba,10),INDEX(pvals_grade_factor_zorba,10),INDEX(pvals_grade_factor_zorba,MATCH($A150,pdates_grade_factor_zorba,1))+($A150-INDEX(pdates_grade_factor_zorba,MATCH($A150,pdates_grade_factor_zorba,1)))/(INDEX(pdates_grade_factor_zorba,MATCH($A150,pdates_grade_factor_zorba,1)+1)-INDEX(pdates_grade_factor_zorba,MATCH($A150,pdates_grade_factor_zorba,1)))*(INDEX(pvals_grade_factor_zorba,MATCH($A150,pdates_grade_factor_zorba,1)+1)-INDEX(pvals_grade_factor_zorba,MATCH($A150,pdates_grade_factor_zorba,1)))))</f>
        <v/>
      </c>
      <c r="Y150" s="8">
        <f>IF($A150&lt;=INDEX(pdates_grade_factor_taint_tabor,1),INDEX(pvals_grade_factor_taint_tabor,1),IF($A150&gt;=INDEX(pdates_grade_factor_taint_tabor,10),INDEX(pvals_grade_factor_taint_tabor,10),INDEX(pvals_grade_factor_taint_tabor,MATCH($A150,pdates_grade_factor_taint_tabor,1))+($A150-INDEX(pdates_grade_factor_taint_tabor,MATCH($A150,pdates_grade_factor_taint_tabor,1)))/(INDEX(pdates_grade_factor_taint_tabor,MATCH($A150,pdates_grade_factor_taint_tabor,1)+1)-INDEX(pdates_grade_factor_taint_tabor,MATCH($A150,pdates_grade_factor_taint_tabor,1)))*(INDEX(pvals_grade_factor_taint_tabor,MATCH($A150,pdates_grade_factor_taint_tabor,1)+1)-INDEX(pvals_grade_factor_taint_tabor,MATCH($A150,pdates_grade_factor_taint_tabor,1)))))</f>
        <v/>
      </c>
      <c r="Z150" s="8">
        <f>IF($A150&lt;=INDEX(pdates_grade_factor_tense,1),INDEX(pvals_grade_factor_tense,1),IF($A150&gt;=INDEX(pdates_grade_factor_tense,10),INDEX(pvals_grade_factor_tense,10),INDEX(pvals_grade_factor_tense,MATCH($A150,pdates_grade_factor_tense,1))+($A150-INDEX(pdates_grade_factor_tense,MATCH($A150,pdates_grade_factor_tense,1)))/(INDEX(pdates_grade_factor_tense,MATCH($A150,pdates_grade_factor_tense,1)+1)-INDEX(pdates_grade_factor_tense,MATCH($A150,pdates_grade_factor_tense,1)))*(INDEX(pvals_grade_factor_tense,MATCH($A150,pdates_grade_factor_tense,1)+1)-INDEX(pvals_grade_factor_tense,MATCH($A150,pdates_grade_factor_tense,1)))))</f>
        <v/>
      </c>
      <c r="AA150" s="8">
        <f>IF($A150&lt;=INDEX(pdates_grade_factor_mix_pit,1),INDEX(pvals_grade_factor_mix_pit,1),IF($A150&gt;=INDEX(pdates_grade_factor_mix_pit,10),INDEX(pvals_grade_factor_mix_pit,10),INDEX(pvals_grade_factor_mix_pit,MATCH($A150,pdates_grade_factor_mix_pit,1))+($A150-INDEX(pdates_grade_factor_mix_pit,MATCH($A150,pdates_grade_factor_mix_pit,1)))/(INDEX(pdates_grade_factor_mix_pit,MATCH($A150,pdates_grade_factor_mix_pit,1)+1)-INDEX(pdates_grade_factor_mix_pit,MATCH($A150,pdates_grade_factor_mix_pit,1)))*(INDEX(pvals_grade_factor_mix_pit,MATCH($A150,pdates_grade_factor_mix_pit,1)+1)-INDEX(pvals_grade_factor_mix_pit,MATCH($A150,pdates_grade_factor_mix_pit,1)))))</f>
        <v/>
      </c>
      <c r="AB150" s="16">
        <f>($B150*$F150/kg_per_mt*(1+bcd_primary_al_hs7601*(1+sws_rate_on_bcd))+mcx_domestic_premium_inr_kg)*(1+$I150*MAX(0,$Q150-$A150)/day_count_inr)</f>
        <v/>
      </c>
      <c r="AC150" s="16">
        <f>$M150-$AB150</f>
        <v/>
      </c>
      <c r="AD150" s="7" t="inlineStr">
        <is>
          <t>PROXY_IMPORT_PARITY</t>
        </is>
      </c>
      <c r="AE150" s="7" t="inlineStr">
        <is>
          <t>ECB_CROSS</t>
        </is>
      </c>
      <c r="AF150" s="7" t="inlineStr">
        <is>
          <t>WCI_REPORTED|USEC:ANCHORED|JEA:ASSUMPTION</t>
        </is>
      </c>
      <c r="AG150" s="17" t="b">
        <v>0</v>
      </c>
      <c r="AH150" s="17" t="b">
        <v>1</v>
      </c>
    </row>
    <row r="151">
      <c r="A151" s="11" t="n">
        <v>44775</v>
      </c>
      <c r="B151" s="13" t="n">
        <v>2448.5</v>
      </c>
      <c r="C151" s="13" t="n">
        <v>2437</v>
      </c>
      <c r="D151" s="13" t="n">
        <v>11.5</v>
      </c>
      <c r="E151" s="13" t="n">
        <v>296650</v>
      </c>
      <c r="F151" s="13" t="n">
        <v>78.5645</v>
      </c>
      <c r="G151" s="6" t="n">
        <v>78.7384</v>
      </c>
      <c r="H151" s="6" t="n">
        <v>79.07859999999999</v>
      </c>
      <c r="I151" s="14" t="n">
        <v>0.051428</v>
      </c>
      <c r="J151" s="14" t="n">
        <v>0.024953</v>
      </c>
      <c r="K151" s="14" t="n">
        <v>0.049</v>
      </c>
      <c r="L151" s="13" t="n">
        <v>208.2353</v>
      </c>
      <c r="M151" s="13" t="n">
        <v>209.0862</v>
      </c>
      <c r="N151" s="13" t="n">
        <v>209.9664</v>
      </c>
      <c r="O151" s="13" t="n">
        <v>15.68</v>
      </c>
      <c r="P151" s="13" t="n">
        <v>69.51000000000001</v>
      </c>
      <c r="Q151" s="12" t="n">
        <v>44804</v>
      </c>
      <c r="R151" s="12" t="n">
        <v>44834</v>
      </c>
      <c r="S151" s="8">
        <f>YEAR($Q151)*100+MONTH($Q151)</f>
        <v/>
      </c>
      <c r="T151" s="8">
        <f>YEAR($R151)*100+MONTH($R151)</f>
        <v/>
      </c>
      <c r="U151" s="15">
        <f>IF($A151&lt;=INDEX(pdates_wc_rate_inr_pa,1),INDEX(pvals_wc_rate_inr_pa,1),INDEX(pvals_wc_rate_inr_pa,MATCH($A151,pdates_wc_rate_inr_pa,1)))</f>
        <v/>
      </c>
      <c r="V151" s="8">
        <f>IF(AND($A151&gt;=customs_fx_first,$A151&lt;=customs_fx_last+customs_fx_notification_validity_days),IF($A151&lt;=INDEX(pdates_customs_usdinr_import,1),INDEX(pvals_customs_usdinr_import,1),INDEX(pvals_customs_usdinr_import,MATCH($A151,pdates_customs_usdinr_import,1))),$F151*(1+customs_fx_markup_frac))</f>
        <v/>
      </c>
      <c r="W151" s="8">
        <f>IF(AND($A151&gt;=customs_fx_first,$A151&lt;=customs_fx_last+customs_fx_notification_validity_days),"CBIC_NOTIFIED","MARKUP_FALLBACK")</f>
        <v/>
      </c>
      <c r="X151" s="8">
        <f>IF($A151&lt;=INDEX(pdates_grade_factor_zorba,1),INDEX(pvals_grade_factor_zorba,1),IF($A151&gt;=INDEX(pdates_grade_factor_zorba,10),INDEX(pvals_grade_factor_zorba,10),INDEX(pvals_grade_factor_zorba,MATCH($A151,pdates_grade_factor_zorba,1))+($A151-INDEX(pdates_grade_factor_zorba,MATCH($A151,pdates_grade_factor_zorba,1)))/(INDEX(pdates_grade_factor_zorba,MATCH($A151,pdates_grade_factor_zorba,1)+1)-INDEX(pdates_grade_factor_zorba,MATCH($A151,pdates_grade_factor_zorba,1)))*(INDEX(pvals_grade_factor_zorba,MATCH($A151,pdates_grade_factor_zorba,1)+1)-INDEX(pvals_grade_factor_zorba,MATCH($A151,pdates_grade_factor_zorba,1)))))</f>
        <v/>
      </c>
      <c r="Y151" s="8">
        <f>IF($A151&lt;=INDEX(pdates_grade_factor_taint_tabor,1),INDEX(pvals_grade_factor_taint_tabor,1),IF($A151&gt;=INDEX(pdates_grade_factor_taint_tabor,10),INDEX(pvals_grade_factor_taint_tabor,10),INDEX(pvals_grade_factor_taint_tabor,MATCH($A151,pdates_grade_factor_taint_tabor,1))+($A151-INDEX(pdates_grade_factor_taint_tabor,MATCH($A151,pdates_grade_factor_taint_tabor,1)))/(INDEX(pdates_grade_factor_taint_tabor,MATCH($A151,pdates_grade_factor_taint_tabor,1)+1)-INDEX(pdates_grade_factor_taint_tabor,MATCH($A151,pdates_grade_factor_taint_tabor,1)))*(INDEX(pvals_grade_factor_taint_tabor,MATCH($A151,pdates_grade_factor_taint_tabor,1)+1)-INDEX(pvals_grade_factor_taint_tabor,MATCH($A151,pdates_grade_factor_taint_tabor,1)))))</f>
        <v/>
      </c>
      <c r="Z151" s="8">
        <f>IF($A151&lt;=INDEX(pdates_grade_factor_tense,1),INDEX(pvals_grade_factor_tense,1),IF($A151&gt;=INDEX(pdates_grade_factor_tense,10),INDEX(pvals_grade_factor_tense,10),INDEX(pvals_grade_factor_tense,MATCH($A151,pdates_grade_factor_tense,1))+($A151-INDEX(pdates_grade_factor_tense,MATCH($A151,pdates_grade_factor_tense,1)))/(INDEX(pdates_grade_factor_tense,MATCH($A151,pdates_grade_factor_tense,1)+1)-INDEX(pdates_grade_factor_tense,MATCH($A151,pdates_grade_factor_tense,1)))*(INDEX(pvals_grade_factor_tense,MATCH($A151,pdates_grade_factor_tense,1)+1)-INDEX(pvals_grade_factor_tense,MATCH($A151,pdates_grade_factor_tense,1)))))</f>
        <v/>
      </c>
      <c r="AA151" s="8">
        <f>IF($A151&lt;=INDEX(pdates_grade_factor_mix_pit,1),INDEX(pvals_grade_factor_mix_pit,1),IF($A151&gt;=INDEX(pdates_grade_factor_mix_pit,10),INDEX(pvals_grade_factor_mix_pit,10),INDEX(pvals_grade_factor_mix_pit,MATCH($A151,pdates_grade_factor_mix_pit,1))+($A151-INDEX(pdates_grade_factor_mix_pit,MATCH($A151,pdates_grade_factor_mix_pit,1)))/(INDEX(pdates_grade_factor_mix_pit,MATCH($A151,pdates_grade_factor_mix_pit,1)+1)-INDEX(pdates_grade_factor_mix_pit,MATCH($A151,pdates_grade_factor_mix_pit,1)))*(INDEX(pvals_grade_factor_mix_pit,MATCH($A151,pdates_grade_factor_mix_pit,1)+1)-INDEX(pvals_grade_factor_mix_pit,MATCH($A151,pdates_grade_factor_mix_pit,1)))))</f>
        <v/>
      </c>
      <c r="AB151" s="16">
        <f>($B151*$F151/kg_per_mt*(1+bcd_primary_al_hs7601*(1+sws_rate_on_bcd))+mcx_domestic_premium_inr_kg)*(1+$I151*MAX(0,$Q151-$A151)/day_count_inr)</f>
        <v/>
      </c>
      <c r="AC151" s="16">
        <f>$M151-$AB151</f>
        <v/>
      </c>
      <c r="AD151" s="7" t="inlineStr">
        <is>
          <t>PROXY_IMPORT_PARITY</t>
        </is>
      </c>
      <c r="AE151" s="7" t="inlineStr">
        <is>
          <t>ECB_CROSS</t>
        </is>
      </c>
      <c r="AF151" s="7" t="inlineStr">
        <is>
          <t>WCI_REPORTED|USEC:ANCHORED|JEA:ASSUMPTION</t>
        </is>
      </c>
      <c r="AG151" s="17" t="b">
        <v>0</v>
      </c>
      <c r="AH151" s="17" t="b">
        <v>1</v>
      </c>
    </row>
    <row r="152">
      <c r="A152" s="11" t="n">
        <v>44776</v>
      </c>
      <c r="B152" s="13" t="n">
        <v>2403</v>
      </c>
      <c r="C152" s="13" t="n">
        <v>2401</v>
      </c>
      <c r="D152" s="13" t="n">
        <v>2</v>
      </c>
      <c r="E152" s="13" t="n">
        <v>294550</v>
      </c>
      <c r="F152" s="13" t="n">
        <v>79.15389999999999</v>
      </c>
      <c r="G152" s="6" t="n">
        <v>79.3319</v>
      </c>
      <c r="H152" s="6" t="n">
        <v>79.6799</v>
      </c>
      <c r="I152" s="14" t="n">
        <v>0.051428</v>
      </c>
      <c r="J152" s="14" t="n">
        <v>0.024559</v>
      </c>
      <c r="K152" s="14" t="n">
        <v>0.049</v>
      </c>
      <c r="L152" s="13" t="n">
        <v>205.8989</v>
      </c>
      <c r="M152" s="13" t="n">
        <v>206.7112</v>
      </c>
      <c r="N152" s="13" t="n">
        <v>207.5815</v>
      </c>
      <c r="O152" s="13" t="n">
        <v>15.68</v>
      </c>
      <c r="P152" s="13" t="n">
        <v>69.51000000000001</v>
      </c>
      <c r="Q152" s="12" t="n">
        <v>44804</v>
      </c>
      <c r="R152" s="12" t="n">
        <v>44834</v>
      </c>
      <c r="S152" s="8">
        <f>YEAR($Q152)*100+MONTH($Q152)</f>
        <v/>
      </c>
      <c r="T152" s="8">
        <f>YEAR($R152)*100+MONTH($R152)</f>
        <v/>
      </c>
      <c r="U152" s="15">
        <f>IF($A152&lt;=INDEX(pdates_wc_rate_inr_pa,1),INDEX(pvals_wc_rate_inr_pa,1),INDEX(pvals_wc_rate_inr_pa,MATCH($A152,pdates_wc_rate_inr_pa,1)))</f>
        <v/>
      </c>
      <c r="V152" s="8">
        <f>IF(AND($A152&gt;=customs_fx_first,$A152&lt;=customs_fx_last+customs_fx_notification_validity_days),IF($A152&lt;=INDEX(pdates_customs_usdinr_import,1),INDEX(pvals_customs_usdinr_import,1),INDEX(pvals_customs_usdinr_import,MATCH($A152,pdates_customs_usdinr_import,1))),$F152*(1+customs_fx_markup_frac))</f>
        <v/>
      </c>
      <c r="W152" s="8">
        <f>IF(AND($A152&gt;=customs_fx_first,$A152&lt;=customs_fx_last+customs_fx_notification_validity_days),"CBIC_NOTIFIED","MARKUP_FALLBACK")</f>
        <v/>
      </c>
      <c r="X152" s="8">
        <f>IF($A152&lt;=INDEX(pdates_grade_factor_zorba,1),INDEX(pvals_grade_factor_zorba,1),IF($A152&gt;=INDEX(pdates_grade_factor_zorba,10),INDEX(pvals_grade_factor_zorba,10),INDEX(pvals_grade_factor_zorba,MATCH($A152,pdates_grade_factor_zorba,1))+($A152-INDEX(pdates_grade_factor_zorba,MATCH($A152,pdates_grade_factor_zorba,1)))/(INDEX(pdates_grade_factor_zorba,MATCH($A152,pdates_grade_factor_zorba,1)+1)-INDEX(pdates_grade_factor_zorba,MATCH($A152,pdates_grade_factor_zorba,1)))*(INDEX(pvals_grade_factor_zorba,MATCH($A152,pdates_grade_factor_zorba,1)+1)-INDEX(pvals_grade_factor_zorba,MATCH($A152,pdates_grade_factor_zorba,1)))))</f>
        <v/>
      </c>
      <c r="Y152" s="8">
        <f>IF($A152&lt;=INDEX(pdates_grade_factor_taint_tabor,1),INDEX(pvals_grade_factor_taint_tabor,1),IF($A152&gt;=INDEX(pdates_grade_factor_taint_tabor,10),INDEX(pvals_grade_factor_taint_tabor,10),INDEX(pvals_grade_factor_taint_tabor,MATCH($A152,pdates_grade_factor_taint_tabor,1))+($A152-INDEX(pdates_grade_factor_taint_tabor,MATCH($A152,pdates_grade_factor_taint_tabor,1)))/(INDEX(pdates_grade_factor_taint_tabor,MATCH($A152,pdates_grade_factor_taint_tabor,1)+1)-INDEX(pdates_grade_factor_taint_tabor,MATCH($A152,pdates_grade_factor_taint_tabor,1)))*(INDEX(pvals_grade_factor_taint_tabor,MATCH($A152,pdates_grade_factor_taint_tabor,1)+1)-INDEX(pvals_grade_factor_taint_tabor,MATCH($A152,pdates_grade_factor_taint_tabor,1)))))</f>
        <v/>
      </c>
      <c r="Z152" s="8">
        <f>IF($A152&lt;=INDEX(pdates_grade_factor_tense,1),INDEX(pvals_grade_factor_tense,1),IF($A152&gt;=INDEX(pdates_grade_factor_tense,10),INDEX(pvals_grade_factor_tense,10),INDEX(pvals_grade_factor_tense,MATCH($A152,pdates_grade_factor_tense,1))+($A152-INDEX(pdates_grade_factor_tense,MATCH($A152,pdates_grade_factor_tense,1)))/(INDEX(pdates_grade_factor_tense,MATCH($A152,pdates_grade_factor_tense,1)+1)-INDEX(pdates_grade_factor_tense,MATCH($A152,pdates_grade_factor_tense,1)))*(INDEX(pvals_grade_factor_tense,MATCH($A152,pdates_grade_factor_tense,1)+1)-INDEX(pvals_grade_factor_tense,MATCH($A152,pdates_grade_factor_tense,1)))))</f>
        <v/>
      </c>
      <c r="AA152" s="8">
        <f>IF($A152&lt;=INDEX(pdates_grade_factor_mix_pit,1),INDEX(pvals_grade_factor_mix_pit,1),IF($A152&gt;=INDEX(pdates_grade_factor_mix_pit,10),INDEX(pvals_grade_factor_mix_pit,10),INDEX(pvals_grade_factor_mix_pit,MATCH($A152,pdates_grade_factor_mix_pit,1))+($A152-INDEX(pdates_grade_factor_mix_pit,MATCH($A152,pdates_grade_factor_mix_pit,1)))/(INDEX(pdates_grade_factor_mix_pit,MATCH($A152,pdates_grade_factor_mix_pit,1)+1)-INDEX(pdates_grade_factor_mix_pit,MATCH($A152,pdates_grade_factor_mix_pit,1)))*(INDEX(pvals_grade_factor_mix_pit,MATCH($A152,pdates_grade_factor_mix_pit,1)+1)-INDEX(pvals_grade_factor_mix_pit,MATCH($A152,pdates_grade_factor_mix_pit,1)))))</f>
        <v/>
      </c>
      <c r="AB152" s="16">
        <f>($B152*$F152/kg_per_mt*(1+bcd_primary_al_hs7601*(1+sws_rate_on_bcd))+mcx_domestic_premium_inr_kg)*(1+$I152*MAX(0,$Q152-$A152)/day_count_inr)</f>
        <v/>
      </c>
      <c r="AC152" s="16">
        <f>$M152-$AB152</f>
        <v/>
      </c>
      <c r="AD152" s="7" t="inlineStr">
        <is>
          <t>PROXY_IMPORT_PARITY</t>
        </is>
      </c>
      <c r="AE152" s="7" t="inlineStr">
        <is>
          <t>ECB_CROSS</t>
        </is>
      </c>
      <c r="AF152" s="7" t="inlineStr">
        <is>
          <t>WCI_REPORTED|USEC:ANCHORED|JEA:ASSUMPTION</t>
        </is>
      </c>
      <c r="AG152" s="17" t="b">
        <v>0</v>
      </c>
      <c r="AH152" s="17" t="b">
        <v>1</v>
      </c>
    </row>
    <row r="153">
      <c r="A153" s="11" t="n">
        <v>44777</v>
      </c>
      <c r="B153" s="13" t="n">
        <v>2374</v>
      </c>
      <c r="C153" s="13" t="n">
        <v>2373</v>
      </c>
      <c r="D153" s="13" t="n">
        <v>1</v>
      </c>
      <c r="E153" s="13" t="n">
        <v>290675</v>
      </c>
      <c r="F153" s="13" t="n">
        <v>79.3355</v>
      </c>
      <c r="G153" s="6" t="n">
        <v>79.5159</v>
      </c>
      <c r="H153" s="6" t="n">
        <v>79.8687</v>
      </c>
      <c r="I153" s="14" t="n">
        <v>0.051428</v>
      </c>
      <c r="J153" s="14" t="n">
        <v>0.024263</v>
      </c>
      <c r="K153" s="14" t="n">
        <v>0.049</v>
      </c>
      <c r="L153" s="13" t="n">
        <v>203.8807</v>
      </c>
      <c r="M153" s="13" t="n">
        <v>204.6563</v>
      </c>
      <c r="N153" s="13" t="n">
        <v>205.5181</v>
      </c>
      <c r="O153" s="13" t="n">
        <v>15.87</v>
      </c>
      <c r="P153" s="13" t="n">
        <v>70.36</v>
      </c>
      <c r="Q153" s="12" t="n">
        <v>44804</v>
      </c>
      <c r="R153" s="12" t="n">
        <v>44834</v>
      </c>
      <c r="S153" s="8">
        <f>YEAR($Q153)*100+MONTH($Q153)</f>
        <v/>
      </c>
      <c r="T153" s="8">
        <f>YEAR($R153)*100+MONTH($R153)</f>
        <v/>
      </c>
      <c r="U153" s="15">
        <f>IF($A153&lt;=INDEX(pdates_wc_rate_inr_pa,1),INDEX(pvals_wc_rate_inr_pa,1),INDEX(pvals_wc_rate_inr_pa,MATCH($A153,pdates_wc_rate_inr_pa,1)))</f>
        <v/>
      </c>
      <c r="V153" s="8">
        <f>IF(AND($A153&gt;=customs_fx_first,$A153&lt;=customs_fx_last+customs_fx_notification_validity_days),IF($A153&lt;=INDEX(pdates_customs_usdinr_import,1),INDEX(pvals_customs_usdinr_import,1),INDEX(pvals_customs_usdinr_import,MATCH($A153,pdates_customs_usdinr_import,1))),$F153*(1+customs_fx_markup_frac))</f>
        <v/>
      </c>
      <c r="W153" s="8">
        <f>IF(AND($A153&gt;=customs_fx_first,$A153&lt;=customs_fx_last+customs_fx_notification_validity_days),"CBIC_NOTIFIED","MARKUP_FALLBACK")</f>
        <v/>
      </c>
      <c r="X153" s="8">
        <f>IF($A153&lt;=INDEX(pdates_grade_factor_zorba,1),INDEX(pvals_grade_factor_zorba,1),IF($A153&gt;=INDEX(pdates_grade_factor_zorba,10),INDEX(pvals_grade_factor_zorba,10),INDEX(pvals_grade_factor_zorba,MATCH($A153,pdates_grade_factor_zorba,1))+($A153-INDEX(pdates_grade_factor_zorba,MATCH($A153,pdates_grade_factor_zorba,1)))/(INDEX(pdates_grade_factor_zorba,MATCH($A153,pdates_grade_factor_zorba,1)+1)-INDEX(pdates_grade_factor_zorba,MATCH($A153,pdates_grade_factor_zorba,1)))*(INDEX(pvals_grade_factor_zorba,MATCH($A153,pdates_grade_factor_zorba,1)+1)-INDEX(pvals_grade_factor_zorba,MATCH($A153,pdates_grade_factor_zorba,1)))))</f>
        <v/>
      </c>
      <c r="Y153" s="8">
        <f>IF($A153&lt;=INDEX(pdates_grade_factor_taint_tabor,1),INDEX(pvals_grade_factor_taint_tabor,1),IF($A153&gt;=INDEX(pdates_grade_factor_taint_tabor,10),INDEX(pvals_grade_factor_taint_tabor,10),INDEX(pvals_grade_factor_taint_tabor,MATCH($A153,pdates_grade_factor_taint_tabor,1))+($A153-INDEX(pdates_grade_factor_taint_tabor,MATCH($A153,pdates_grade_factor_taint_tabor,1)))/(INDEX(pdates_grade_factor_taint_tabor,MATCH($A153,pdates_grade_factor_taint_tabor,1)+1)-INDEX(pdates_grade_factor_taint_tabor,MATCH($A153,pdates_grade_factor_taint_tabor,1)))*(INDEX(pvals_grade_factor_taint_tabor,MATCH($A153,pdates_grade_factor_taint_tabor,1)+1)-INDEX(pvals_grade_factor_taint_tabor,MATCH($A153,pdates_grade_factor_taint_tabor,1)))))</f>
        <v/>
      </c>
      <c r="Z153" s="8">
        <f>IF($A153&lt;=INDEX(pdates_grade_factor_tense,1),INDEX(pvals_grade_factor_tense,1),IF($A153&gt;=INDEX(pdates_grade_factor_tense,10),INDEX(pvals_grade_factor_tense,10),INDEX(pvals_grade_factor_tense,MATCH($A153,pdates_grade_factor_tense,1))+($A153-INDEX(pdates_grade_factor_tense,MATCH($A153,pdates_grade_factor_tense,1)))/(INDEX(pdates_grade_factor_tense,MATCH($A153,pdates_grade_factor_tense,1)+1)-INDEX(pdates_grade_factor_tense,MATCH($A153,pdates_grade_factor_tense,1)))*(INDEX(pvals_grade_factor_tense,MATCH($A153,pdates_grade_factor_tense,1)+1)-INDEX(pvals_grade_factor_tense,MATCH($A153,pdates_grade_factor_tense,1)))))</f>
        <v/>
      </c>
      <c r="AA153" s="8">
        <f>IF($A153&lt;=INDEX(pdates_grade_factor_mix_pit,1),INDEX(pvals_grade_factor_mix_pit,1),IF($A153&gt;=INDEX(pdates_grade_factor_mix_pit,10),INDEX(pvals_grade_factor_mix_pit,10),INDEX(pvals_grade_factor_mix_pit,MATCH($A153,pdates_grade_factor_mix_pit,1))+($A153-INDEX(pdates_grade_factor_mix_pit,MATCH($A153,pdates_grade_factor_mix_pit,1)))/(INDEX(pdates_grade_factor_mix_pit,MATCH($A153,pdates_grade_factor_mix_pit,1)+1)-INDEX(pdates_grade_factor_mix_pit,MATCH($A153,pdates_grade_factor_mix_pit,1)))*(INDEX(pvals_grade_factor_mix_pit,MATCH($A153,pdates_grade_factor_mix_pit,1)+1)-INDEX(pvals_grade_factor_mix_pit,MATCH($A153,pdates_grade_factor_mix_pit,1)))))</f>
        <v/>
      </c>
      <c r="AB153" s="16">
        <f>($B153*$F153/kg_per_mt*(1+bcd_primary_al_hs7601*(1+sws_rate_on_bcd))+mcx_domestic_premium_inr_kg)*(1+$I153*MAX(0,$Q153-$A153)/day_count_inr)</f>
        <v/>
      </c>
      <c r="AC153" s="16">
        <f>$M153-$AB153</f>
        <v/>
      </c>
      <c r="AD153" s="7" t="inlineStr">
        <is>
          <t>PROXY_IMPORT_PARITY</t>
        </is>
      </c>
      <c r="AE153" s="7" t="inlineStr">
        <is>
          <t>ECB_CROSS</t>
        </is>
      </c>
      <c r="AF153" s="7" t="inlineStr">
        <is>
          <t>WCI_REPORTED|USEC:ANCHORED|JEA:ASSUMPTION</t>
        </is>
      </c>
      <c r="AG153" s="17" t="b">
        <v>0</v>
      </c>
      <c r="AH153" s="17" t="b">
        <v>0</v>
      </c>
    </row>
    <row r="154">
      <c r="A154" s="11" t="n">
        <v>44778</v>
      </c>
      <c r="B154" s="13" t="n">
        <v>2447.5</v>
      </c>
      <c r="C154" s="13" t="n">
        <v>2441</v>
      </c>
      <c r="D154" s="13" t="n">
        <v>6.5</v>
      </c>
      <c r="E154" s="13" t="n">
        <v>289125</v>
      </c>
      <c r="F154" s="13" t="n">
        <v>79.2015</v>
      </c>
      <c r="G154" s="6" t="n">
        <v>79.4104</v>
      </c>
      <c r="H154" s="6" t="n">
        <v>79.819</v>
      </c>
      <c r="I154" s="14" t="n">
        <v>0.056428</v>
      </c>
      <c r="J154" s="14" t="n">
        <v>0.024953</v>
      </c>
      <c r="K154" s="14" t="n">
        <v>0.054</v>
      </c>
      <c r="L154" s="13" t="n">
        <v>209.8379</v>
      </c>
      <c r="M154" s="13" t="n">
        <v>210.6814</v>
      </c>
      <c r="N154" s="13" t="n">
        <v>211.6546</v>
      </c>
      <c r="O154" s="13" t="n">
        <v>15.87</v>
      </c>
      <c r="P154" s="13" t="n">
        <v>70.36</v>
      </c>
      <c r="Q154" s="12" t="n">
        <v>44804</v>
      </c>
      <c r="R154" s="12" t="n">
        <v>44834</v>
      </c>
      <c r="S154" s="8">
        <f>YEAR($Q154)*100+MONTH($Q154)</f>
        <v/>
      </c>
      <c r="T154" s="8">
        <f>YEAR($R154)*100+MONTH($R154)</f>
        <v/>
      </c>
      <c r="U154" s="15">
        <f>IF($A154&lt;=INDEX(pdates_wc_rate_inr_pa,1),INDEX(pvals_wc_rate_inr_pa,1),INDEX(pvals_wc_rate_inr_pa,MATCH($A154,pdates_wc_rate_inr_pa,1)))</f>
        <v/>
      </c>
      <c r="V154" s="8">
        <f>IF(AND($A154&gt;=customs_fx_first,$A154&lt;=customs_fx_last+customs_fx_notification_validity_days),IF($A154&lt;=INDEX(pdates_customs_usdinr_import,1),INDEX(pvals_customs_usdinr_import,1),INDEX(pvals_customs_usdinr_import,MATCH($A154,pdates_customs_usdinr_import,1))),$F154*(1+customs_fx_markup_frac))</f>
        <v/>
      </c>
      <c r="W154" s="8">
        <f>IF(AND($A154&gt;=customs_fx_first,$A154&lt;=customs_fx_last+customs_fx_notification_validity_days),"CBIC_NOTIFIED","MARKUP_FALLBACK")</f>
        <v/>
      </c>
      <c r="X154" s="8">
        <f>IF($A154&lt;=INDEX(pdates_grade_factor_zorba,1),INDEX(pvals_grade_factor_zorba,1),IF($A154&gt;=INDEX(pdates_grade_factor_zorba,10),INDEX(pvals_grade_factor_zorba,10),INDEX(pvals_grade_factor_zorba,MATCH($A154,pdates_grade_factor_zorba,1))+($A154-INDEX(pdates_grade_factor_zorba,MATCH($A154,pdates_grade_factor_zorba,1)))/(INDEX(pdates_grade_factor_zorba,MATCH($A154,pdates_grade_factor_zorba,1)+1)-INDEX(pdates_grade_factor_zorba,MATCH($A154,pdates_grade_factor_zorba,1)))*(INDEX(pvals_grade_factor_zorba,MATCH($A154,pdates_grade_factor_zorba,1)+1)-INDEX(pvals_grade_factor_zorba,MATCH($A154,pdates_grade_factor_zorba,1)))))</f>
        <v/>
      </c>
      <c r="Y154" s="8">
        <f>IF($A154&lt;=INDEX(pdates_grade_factor_taint_tabor,1),INDEX(pvals_grade_factor_taint_tabor,1),IF($A154&gt;=INDEX(pdates_grade_factor_taint_tabor,10),INDEX(pvals_grade_factor_taint_tabor,10),INDEX(pvals_grade_factor_taint_tabor,MATCH($A154,pdates_grade_factor_taint_tabor,1))+($A154-INDEX(pdates_grade_factor_taint_tabor,MATCH($A154,pdates_grade_factor_taint_tabor,1)))/(INDEX(pdates_grade_factor_taint_tabor,MATCH($A154,pdates_grade_factor_taint_tabor,1)+1)-INDEX(pdates_grade_factor_taint_tabor,MATCH($A154,pdates_grade_factor_taint_tabor,1)))*(INDEX(pvals_grade_factor_taint_tabor,MATCH($A154,pdates_grade_factor_taint_tabor,1)+1)-INDEX(pvals_grade_factor_taint_tabor,MATCH($A154,pdates_grade_factor_taint_tabor,1)))))</f>
        <v/>
      </c>
      <c r="Z154" s="8">
        <f>IF($A154&lt;=INDEX(pdates_grade_factor_tense,1),INDEX(pvals_grade_factor_tense,1),IF($A154&gt;=INDEX(pdates_grade_factor_tense,10),INDEX(pvals_grade_factor_tense,10),INDEX(pvals_grade_factor_tense,MATCH($A154,pdates_grade_factor_tense,1))+($A154-INDEX(pdates_grade_factor_tense,MATCH($A154,pdates_grade_factor_tense,1)))/(INDEX(pdates_grade_factor_tense,MATCH($A154,pdates_grade_factor_tense,1)+1)-INDEX(pdates_grade_factor_tense,MATCH($A154,pdates_grade_factor_tense,1)))*(INDEX(pvals_grade_factor_tense,MATCH($A154,pdates_grade_factor_tense,1)+1)-INDEX(pvals_grade_factor_tense,MATCH($A154,pdates_grade_factor_tense,1)))))</f>
        <v/>
      </c>
      <c r="AA154" s="8">
        <f>IF($A154&lt;=INDEX(pdates_grade_factor_mix_pit,1),INDEX(pvals_grade_factor_mix_pit,1),IF($A154&gt;=INDEX(pdates_grade_factor_mix_pit,10),INDEX(pvals_grade_factor_mix_pit,10),INDEX(pvals_grade_factor_mix_pit,MATCH($A154,pdates_grade_factor_mix_pit,1))+($A154-INDEX(pdates_grade_factor_mix_pit,MATCH($A154,pdates_grade_factor_mix_pit,1)))/(INDEX(pdates_grade_factor_mix_pit,MATCH($A154,pdates_grade_factor_mix_pit,1)+1)-INDEX(pdates_grade_factor_mix_pit,MATCH($A154,pdates_grade_factor_mix_pit,1)))*(INDEX(pvals_grade_factor_mix_pit,MATCH($A154,pdates_grade_factor_mix_pit,1)+1)-INDEX(pvals_grade_factor_mix_pit,MATCH($A154,pdates_grade_factor_mix_pit,1)))))</f>
        <v/>
      </c>
      <c r="AB154" s="16">
        <f>($B154*$F154/kg_per_mt*(1+bcd_primary_al_hs7601*(1+sws_rate_on_bcd))+mcx_domestic_premium_inr_kg)*(1+$I154*MAX(0,$Q154-$A154)/day_count_inr)</f>
        <v/>
      </c>
      <c r="AC154" s="16">
        <f>$M154-$AB154</f>
        <v/>
      </c>
      <c r="AD154" s="7" t="inlineStr">
        <is>
          <t>PROXY_IMPORT_PARITY</t>
        </is>
      </c>
      <c r="AE154" s="7" t="inlineStr">
        <is>
          <t>ECB_CROSS</t>
        </is>
      </c>
      <c r="AF154" s="7" t="inlineStr">
        <is>
          <t>WCI_REPORTED|USEC:ANCHORED|JEA:ASSUMPTION</t>
        </is>
      </c>
      <c r="AG154" s="17" t="b">
        <v>0</v>
      </c>
      <c r="AH154" s="17" t="b">
        <v>1</v>
      </c>
    </row>
    <row r="155">
      <c r="A155" s="11" t="n">
        <v>44781</v>
      </c>
      <c r="B155" s="13" t="n">
        <v>2435.5</v>
      </c>
      <c r="C155" s="13" t="n">
        <v>2434</v>
      </c>
      <c r="D155" s="13" t="n">
        <v>1.5</v>
      </c>
      <c r="E155" s="13" t="n">
        <v>287425</v>
      </c>
      <c r="F155" s="13" t="n">
        <v>79.5823</v>
      </c>
      <c r="G155" s="6" t="n">
        <v>79.78619999999999</v>
      </c>
      <c r="H155" s="6" t="n">
        <v>80.18470000000001</v>
      </c>
      <c r="I155" s="14" t="n">
        <v>0.056428</v>
      </c>
      <c r="J155" s="14" t="n">
        <v>0.025841</v>
      </c>
      <c r="K155" s="14" t="n">
        <v>0.054</v>
      </c>
      <c r="L155" s="13" t="n">
        <v>209.8131</v>
      </c>
      <c r="M155" s="13" t="n">
        <v>210.5591</v>
      </c>
      <c r="N155" s="13" t="n">
        <v>211.5322</v>
      </c>
      <c r="O155" s="13" t="n">
        <v>15.87</v>
      </c>
      <c r="P155" s="13" t="n">
        <v>70.36</v>
      </c>
      <c r="Q155" s="12" t="n">
        <v>44804</v>
      </c>
      <c r="R155" s="12" t="n">
        <v>44834</v>
      </c>
      <c r="S155" s="8">
        <f>YEAR($Q155)*100+MONTH($Q155)</f>
        <v/>
      </c>
      <c r="T155" s="8">
        <f>YEAR($R155)*100+MONTH($R155)</f>
        <v/>
      </c>
      <c r="U155" s="15">
        <f>IF($A155&lt;=INDEX(pdates_wc_rate_inr_pa,1),INDEX(pvals_wc_rate_inr_pa,1),INDEX(pvals_wc_rate_inr_pa,MATCH($A155,pdates_wc_rate_inr_pa,1)))</f>
        <v/>
      </c>
      <c r="V155" s="8">
        <f>IF(AND($A155&gt;=customs_fx_first,$A155&lt;=customs_fx_last+customs_fx_notification_validity_days),IF($A155&lt;=INDEX(pdates_customs_usdinr_import,1),INDEX(pvals_customs_usdinr_import,1),INDEX(pvals_customs_usdinr_import,MATCH($A155,pdates_customs_usdinr_import,1))),$F155*(1+customs_fx_markup_frac))</f>
        <v/>
      </c>
      <c r="W155" s="8">
        <f>IF(AND($A155&gt;=customs_fx_first,$A155&lt;=customs_fx_last+customs_fx_notification_validity_days),"CBIC_NOTIFIED","MARKUP_FALLBACK")</f>
        <v/>
      </c>
      <c r="X155" s="8">
        <f>IF($A155&lt;=INDEX(pdates_grade_factor_zorba,1),INDEX(pvals_grade_factor_zorba,1),IF($A155&gt;=INDEX(pdates_grade_factor_zorba,10),INDEX(pvals_grade_factor_zorba,10),INDEX(pvals_grade_factor_zorba,MATCH($A155,pdates_grade_factor_zorba,1))+($A155-INDEX(pdates_grade_factor_zorba,MATCH($A155,pdates_grade_factor_zorba,1)))/(INDEX(pdates_grade_factor_zorba,MATCH($A155,pdates_grade_factor_zorba,1)+1)-INDEX(pdates_grade_factor_zorba,MATCH($A155,pdates_grade_factor_zorba,1)))*(INDEX(pvals_grade_factor_zorba,MATCH($A155,pdates_grade_factor_zorba,1)+1)-INDEX(pvals_grade_factor_zorba,MATCH($A155,pdates_grade_factor_zorba,1)))))</f>
        <v/>
      </c>
      <c r="Y155" s="8">
        <f>IF($A155&lt;=INDEX(pdates_grade_factor_taint_tabor,1),INDEX(pvals_grade_factor_taint_tabor,1),IF($A155&gt;=INDEX(pdates_grade_factor_taint_tabor,10),INDEX(pvals_grade_factor_taint_tabor,10),INDEX(pvals_grade_factor_taint_tabor,MATCH($A155,pdates_grade_factor_taint_tabor,1))+($A155-INDEX(pdates_grade_factor_taint_tabor,MATCH($A155,pdates_grade_factor_taint_tabor,1)))/(INDEX(pdates_grade_factor_taint_tabor,MATCH($A155,pdates_grade_factor_taint_tabor,1)+1)-INDEX(pdates_grade_factor_taint_tabor,MATCH($A155,pdates_grade_factor_taint_tabor,1)))*(INDEX(pvals_grade_factor_taint_tabor,MATCH($A155,pdates_grade_factor_taint_tabor,1)+1)-INDEX(pvals_grade_factor_taint_tabor,MATCH($A155,pdates_grade_factor_taint_tabor,1)))))</f>
        <v/>
      </c>
      <c r="Z155" s="8">
        <f>IF($A155&lt;=INDEX(pdates_grade_factor_tense,1),INDEX(pvals_grade_factor_tense,1),IF($A155&gt;=INDEX(pdates_grade_factor_tense,10),INDEX(pvals_grade_factor_tense,10),INDEX(pvals_grade_factor_tense,MATCH($A155,pdates_grade_factor_tense,1))+($A155-INDEX(pdates_grade_factor_tense,MATCH($A155,pdates_grade_factor_tense,1)))/(INDEX(pdates_grade_factor_tense,MATCH($A155,pdates_grade_factor_tense,1)+1)-INDEX(pdates_grade_factor_tense,MATCH($A155,pdates_grade_factor_tense,1)))*(INDEX(pvals_grade_factor_tense,MATCH($A155,pdates_grade_factor_tense,1)+1)-INDEX(pvals_grade_factor_tense,MATCH($A155,pdates_grade_factor_tense,1)))))</f>
        <v/>
      </c>
      <c r="AA155" s="8">
        <f>IF($A155&lt;=INDEX(pdates_grade_factor_mix_pit,1),INDEX(pvals_grade_factor_mix_pit,1),IF($A155&gt;=INDEX(pdates_grade_factor_mix_pit,10),INDEX(pvals_grade_factor_mix_pit,10),INDEX(pvals_grade_factor_mix_pit,MATCH($A155,pdates_grade_factor_mix_pit,1))+($A155-INDEX(pdates_grade_factor_mix_pit,MATCH($A155,pdates_grade_factor_mix_pit,1)))/(INDEX(pdates_grade_factor_mix_pit,MATCH($A155,pdates_grade_factor_mix_pit,1)+1)-INDEX(pdates_grade_factor_mix_pit,MATCH($A155,pdates_grade_factor_mix_pit,1)))*(INDEX(pvals_grade_factor_mix_pit,MATCH($A155,pdates_grade_factor_mix_pit,1)+1)-INDEX(pvals_grade_factor_mix_pit,MATCH($A155,pdates_grade_factor_mix_pit,1)))))</f>
        <v/>
      </c>
      <c r="AB155" s="16">
        <f>($B155*$F155/kg_per_mt*(1+bcd_primary_al_hs7601*(1+sws_rate_on_bcd))+mcx_domestic_premium_inr_kg)*(1+$I155*MAX(0,$Q155-$A155)/day_count_inr)</f>
        <v/>
      </c>
      <c r="AC155" s="16">
        <f>$M155-$AB155</f>
        <v/>
      </c>
      <c r="AD155" s="7" t="inlineStr">
        <is>
          <t>PROXY_IMPORT_PARITY</t>
        </is>
      </c>
      <c r="AE155" s="7" t="inlineStr">
        <is>
          <t>ECB_CROSS</t>
        </is>
      </c>
      <c r="AF155" s="7" t="inlineStr">
        <is>
          <t>WCI_REPORTED|USEC:ANCHORED|JEA:ASSUMPTION</t>
        </is>
      </c>
      <c r="AG155" s="17" t="b">
        <v>0</v>
      </c>
      <c r="AH155" s="17" t="b">
        <v>1</v>
      </c>
    </row>
    <row r="156">
      <c r="A156" s="11" t="n">
        <v>44782</v>
      </c>
      <c r="B156" s="13" t="n">
        <v>2488</v>
      </c>
      <c r="C156" s="13" t="n">
        <v>2473.5</v>
      </c>
      <c r="D156" s="13" t="n">
        <v>14.5</v>
      </c>
      <c r="E156" s="13" t="n">
        <v>284275</v>
      </c>
      <c r="F156" s="13" t="n">
        <v>79.54470000000001</v>
      </c>
      <c r="G156" s="6" t="n">
        <v>79.74769999999999</v>
      </c>
      <c r="H156" s="6" t="n">
        <v>80.1447</v>
      </c>
      <c r="I156" s="14" t="n">
        <v>0.056428</v>
      </c>
      <c r="J156" s="14" t="n">
        <v>0.02594</v>
      </c>
      <c r="K156" s="14" t="n">
        <v>0.054</v>
      </c>
      <c r="L156" s="13" t="n">
        <v>214.2346</v>
      </c>
      <c r="M156" s="13" t="n">
        <v>214.9632</v>
      </c>
      <c r="N156" s="13" t="n">
        <v>215.9568</v>
      </c>
      <c r="O156" s="13" t="n">
        <v>15.87</v>
      </c>
      <c r="P156" s="13" t="n">
        <v>70.36</v>
      </c>
      <c r="Q156" s="12" t="n">
        <v>44804</v>
      </c>
      <c r="R156" s="12" t="n">
        <v>44834</v>
      </c>
      <c r="S156" s="8">
        <f>YEAR($Q156)*100+MONTH($Q156)</f>
        <v/>
      </c>
      <c r="T156" s="8">
        <f>YEAR($R156)*100+MONTH($R156)</f>
        <v/>
      </c>
      <c r="U156" s="15">
        <f>IF($A156&lt;=INDEX(pdates_wc_rate_inr_pa,1),INDEX(pvals_wc_rate_inr_pa,1),INDEX(pvals_wc_rate_inr_pa,MATCH($A156,pdates_wc_rate_inr_pa,1)))</f>
        <v/>
      </c>
      <c r="V156" s="8">
        <f>IF(AND($A156&gt;=customs_fx_first,$A156&lt;=customs_fx_last+customs_fx_notification_validity_days),IF($A156&lt;=INDEX(pdates_customs_usdinr_import,1),INDEX(pvals_customs_usdinr_import,1),INDEX(pvals_customs_usdinr_import,MATCH($A156,pdates_customs_usdinr_import,1))),$F156*(1+customs_fx_markup_frac))</f>
        <v/>
      </c>
      <c r="W156" s="8">
        <f>IF(AND($A156&gt;=customs_fx_first,$A156&lt;=customs_fx_last+customs_fx_notification_validity_days),"CBIC_NOTIFIED","MARKUP_FALLBACK")</f>
        <v/>
      </c>
      <c r="X156" s="8">
        <f>IF($A156&lt;=INDEX(pdates_grade_factor_zorba,1),INDEX(pvals_grade_factor_zorba,1),IF($A156&gt;=INDEX(pdates_grade_factor_zorba,10),INDEX(pvals_grade_factor_zorba,10),INDEX(pvals_grade_factor_zorba,MATCH($A156,pdates_grade_factor_zorba,1))+($A156-INDEX(pdates_grade_factor_zorba,MATCH($A156,pdates_grade_factor_zorba,1)))/(INDEX(pdates_grade_factor_zorba,MATCH($A156,pdates_grade_factor_zorba,1)+1)-INDEX(pdates_grade_factor_zorba,MATCH($A156,pdates_grade_factor_zorba,1)))*(INDEX(pvals_grade_factor_zorba,MATCH($A156,pdates_grade_factor_zorba,1)+1)-INDEX(pvals_grade_factor_zorba,MATCH($A156,pdates_grade_factor_zorba,1)))))</f>
        <v/>
      </c>
      <c r="Y156" s="8">
        <f>IF($A156&lt;=INDEX(pdates_grade_factor_taint_tabor,1),INDEX(pvals_grade_factor_taint_tabor,1),IF($A156&gt;=INDEX(pdates_grade_factor_taint_tabor,10),INDEX(pvals_grade_factor_taint_tabor,10),INDEX(pvals_grade_factor_taint_tabor,MATCH($A156,pdates_grade_factor_taint_tabor,1))+($A156-INDEX(pdates_grade_factor_taint_tabor,MATCH($A156,pdates_grade_factor_taint_tabor,1)))/(INDEX(pdates_grade_factor_taint_tabor,MATCH($A156,pdates_grade_factor_taint_tabor,1)+1)-INDEX(pdates_grade_factor_taint_tabor,MATCH($A156,pdates_grade_factor_taint_tabor,1)))*(INDEX(pvals_grade_factor_taint_tabor,MATCH($A156,pdates_grade_factor_taint_tabor,1)+1)-INDEX(pvals_grade_factor_taint_tabor,MATCH($A156,pdates_grade_factor_taint_tabor,1)))))</f>
        <v/>
      </c>
      <c r="Z156" s="8">
        <f>IF($A156&lt;=INDEX(pdates_grade_factor_tense,1),INDEX(pvals_grade_factor_tense,1),IF($A156&gt;=INDEX(pdates_grade_factor_tense,10),INDEX(pvals_grade_factor_tense,10),INDEX(pvals_grade_factor_tense,MATCH($A156,pdates_grade_factor_tense,1))+($A156-INDEX(pdates_grade_factor_tense,MATCH($A156,pdates_grade_factor_tense,1)))/(INDEX(pdates_grade_factor_tense,MATCH($A156,pdates_grade_factor_tense,1)+1)-INDEX(pdates_grade_factor_tense,MATCH($A156,pdates_grade_factor_tense,1)))*(INDEX(pvals_grade_factor_tense,MATCH($A156,pdates_grade_factor_tense,1)+1)-INDEX(pvals_grade_factor_tense,MATCH($A156,pdates_grade_factor_tense,1)))))</f>
        <v/>
      </c>
      <c r="AA156" s="8">
        <f>IF($A156&lt;=INDEX(pdates_grade_factor_mix_pit,1),INDEX(pvals_grade_factor_mix_pit,1),IF($A156&gt;=INDEX(pdates_grade_factor_mix_pit,10),INDEX(pvals_grade_factor_mix_pit,10),INDEX(pvals_grade_factor_mix_pit,MATCH($A156,pdates_grade_factor_mix_pit,1))+($A156-INDEX(pdates_grade_factor_mix_pit,MATCH($A156,pdates_grade_factor_mix_pit,1)))/(INDEX(pdates_grade_factor_mix_pit,MATCH($A156,pdates_grade_factor_mix_pit,1)+1)-INDEX(pdates_grade_factor_mix_pit,MATCH($A156,pdates_grade_factor_mix_pit,1)))*(INDEX(pvals_grade_factor_mix_pit,MATCH($A156,pdates_grade_factor_mix_pit,1)+1)-INDEX(pvals_grade_factor_mix_pit,MATCH($A156,pdates_grade_factor_mix_pit,1)))))</f>
        <v/>
      </c>
      <c r="AB156" s="16">
        <f>($B156*$F156/kg_per_mt*(1+bcd_primary_al_hs7601*(1+sws_rate_on_bcd))+mcx_domestic_premium_inr_kg)*(1+$I156*MAX(0,$Q156-$A156)/day_count_inr)</f>
        <v/>
      </c>
      <c r="AC156" s="16">
        <f>$M156-$AB156</f>
        <v/>
      </c>
      <c r="AD156" s="7" t="inlineStr">
        <is>
          <t>PROXY_IMPORT_PARITY</t>
        </is>
      </c>
      <c r="AE156" s="7" t="inlineStr">
        <is>
          <t>ECB_CROSS</t>
        </is>
      </c>
      <c r="AF156" s="7" t="inlineStr">
        <is>
          <t>WCI_REPORTED|USEC:ANCHORED|JEA:ASSUMPTION</t>
        </is>
      </c>
      <c r="AG156" s="17" t="b">
        <v>0</v>
      </c>
      <c r="AH156" s="17" t="b">
        <v>1</v>
      </c>
    </row>
    <row r="157">
      <c r="A157" s="11" t="n">
        <v>44783</v>
      </c>
      <c r="B157" s="13" t="n">
        <v>2462.5</v>
      </c>
      <c r="C157" s="13" t="n">
        <v>2449</v>
      </c>
      <c r="D157" s="13" t="n">
        <v>13.5</v>
      </c>
      <c r="E157" s="13" t="n">
        <v>282700</v>
      </c>
      <c r="F157" s="13" t="n">
        <v>79.46550000000001</v>
      </c>
      <c r="G157" s="6" t="n">
        <v>79.66970000000001</v>
      </c>
      <c r="H157" s="6" t="n">
        <v>80.069</v>
      </c>
      <c r="I157" s="14" t="n">
        <v>0.056428</v>
      </c>
      <c r="J157" s="14" t="n">
        <v>0.025742</v>
      </c>
      <c r="K157" s="14" t="n">
        <v>0.054</v>
      </c>
      <c r="L157" s="13" t="n">
        <v>211.8277</v>
      </c>
      <c r="M157" s="13" t="n">
        <v>212.5154</v>
      </c>
      <c r="N157" s="13" t="n">
        <v>213.4979</v>
      </c>
      <c r="O157" s="13" t="n">
        <v>15.87</v>
      </c>
      <c r="P157" s="13" t="n">
        <v>70.36</v>
      </c>
      <c r="Q157" s="12" t="n">
        <v>44804</v>
      </c>
      <c r="R157" s="12" t="n">
        <v>44834</v>
      </c>
      <c r="S157" s="8">
        <f>YEAR($Q157)*100+MONTH($Q157)</f>
        <v/>
      </c>
      <c r="T157" s="8">
        <f>YEAR($R157)*100+MONTH($R157)</f>
        <v/>
      </c>
      <c r="U157" s="15">
        <f>IF($A157&lt;=INDEX(pdates_wc_rate_inr_pa,1),INDEX(pvals_wc_rate_inr_pa,1),INDEX(pvals_wc_rate_inr_pa,MATCH($A157,pdates_wc_rate_inr_pa,1)))</f>
        <v/>
      </c>
      <c r="V157" s="8">
        <f>IF(AND($A157&gt;=customs_fx_first,$A157&lt;=customs_fx_last+customs_fx_notification_validity_days),IF($A157&lt;=INDEX(pdates_customs_usdinr_import,1),INDEX(pvals_customs_usdinr_import,1),INDEX(pvals_customs_usdinr_import,MATCH($A157,pdates_customs_usdinr_import,1))),$F157*(1+customs_fx_markup_frac))</f>
        <v/>
      </c>
      <c r="W157" s="8">
        <f>IF(AND($A157&gt;=customs_fx_first,$A157&lt;=customs_fx_last+customs_fx_notification_validity_days),"CBIC_NOTIFIED","MARKUP_FALLBACK")</f>
        <v/>
      </c>
      <c r="X157" s="8">
        <f>IF($A157&lt;=INDEX(pdates_grade_factor_zorba,1),INDEX(pvals_grade_factor_zorba,1),IF($A157&gt;=INDEX(pdates_grade_factor_zorba,10),INDEX(pvals_grade_factor_zorba,10),INDEX(pvals_grade_factor_zorba,MATCH($A157,pdates_grade_factor_zorba,1))+($A157-INDEX(pdates_grade_factor_zorba,MATCH($A157,pdates_grade_factor_zorba,1)))/(INDEX(pdates_grade_factor_zorba,MATCH($A157,pdates_grade_factor_zorba,1)+1)-INDEX(pdates_grade_factor_zorba,MATCH($A157,pdates_grade_factor_zorba,1)))*(INDEX(pvals_grade_factor_zorba,MATCH($A157,pdates_grade_factor_zorba,1)+1)-INDEX(pvals_grade_factor_zorba,MATCH($A157,pdates_grade_factor_zorba,1)))))</f>
        <v/>
      </c>
      <c r="Y157" s="8">
        <f>IF($A157&lt;=INDEX(pdates_grade_factor_taint_tabor,1),INDEX(pvals_grade_factor_taint_tabor,1),IF($A157&gt;=INDEX(pdates_grade_factor_taint_tabor,10),INDEX(pvals_grade_factor_taint_tabor,10),INDEX(pvals_grade_factor_taint_tabor,MATCH($A157,pdates_grade_factor_taint_tabor,1))+($A157-INDEX(pdates_grade_factor_taint_tabor,MATCH($A157,pdates_grade_factor_taint_tabor,1)))/(INDEX(pdates_grade_factor_taint_tabor,MATCH($A157,pdates_grade_factor_taint_tabor,1)+1)-INDEX(pdates_grade_factor_taint_tabor,MATCH($A157,pdates_grade_factor_taint_tabor,1)))*(INDEX(pvals_grade_factor_taint_tabor,MATCH($A157,pdates_grade_factor_taint_tabor,1)+1)-INDEX(pvals_grade_factor_taint_tabor,MATCH($A157,pdates_grade_factor_taint_tabor,1)))))</f>
        <v/>
      </c>
      <c r="Z157" s="8">
        <f>IF($A157&lt;=INDEX(pdates_grade_factor_tense,1),INDEX(pvals_grade_factor_tense,1),IF($A157&gt;=INDEX(pdates_grade_factor_tense,10),INDEX(pvals_grade_factor_tense,10),INDEX(pvals_grade_factor_tense,MATCH($A157,pdates_grade_factor_tense,1))+($A157-INDEX(pdates_grade_factor_tense,MATCH($A157,pdates_grade_factor_tense,1)))/(INDEX(pdates_grade_factor_tense,MATCH($A157,pdates_grade_factor_tense,1)+1)-INDEX(pdates_grade_factor_tense,MATCH($A157,pdates_grade_factor_tense,1)))*(INDEX(pvals_grade_factor_tense,MATCH($A157,pdates_grade_factor_tense,1)+1)-INDEX(pvals_grade_factor_tense,MATCH($A157,pdates_grade_factor_tense,1)))))</f>
        <v/>
      </c>
      <c r="AA157" s="8">
        <f>IF($A157&lt;=INDEX(pdates_grade_factor_mix_pit,1),INDEX(pvals_grade_factor_mix_pit,1),IF($A157&gt;=INDEX(pdates_grade_factor_mix_pit,10),INDEX(pvals_grade_factor_mix_pit,10),INDEX(pvals_grade_factor_mix_pit,MATCH($A157,pdates_grade_factor_mix_pit,1))+($A157-INDEX(pdates_grade_factor_mix_pit,MATCH($A157,pdates_grade_factor_mix_pit,1)))/(INDEX(pdates_grade_factor_mix_pit,MATCH($A157,pdates_grade_factor_mix_pit,1)+1)-INDEX(pdates_grade_factor_mix_pit,MATCH($A157,pdates_grade_factor_mix_pit,1)))*(INDEX(pvals_grade_factor_mix_pit,MATCH($A157,pdates_grade_factor_mix_pit,1)+1)-INDEX(pvals_grade_factor_mix_pit,MATCH($A157,pdates_grade_factor_mix_pit,1)))))</f>
        <v/>
      </c>
      <c r="AB157" s="16">
        <f>($B157*$F157/kg_per_mt*(1+bcd_primary_al_hs7601*(1+sws_rate_on_bcd))+mcx_domestic_premium_inr_kg)*(1+$I157*MAX(0,$Q157-$A157)/day_count_inr)</f>
        <v/>
      </c>
      <c r="AC157" s="16">
        <f>$M157-$AB157</f>
        <v/>
      </c>
      <c r="AD157" s="7" t="inlineStr">
        <is>
          <t>PROXY_IMPORT_PARITY</t>
        </is>
      </c>
      <c r="AE157" s="7" t="inlineStr">
        <is>
          <t>ECB_CROSS</t>
        </is>
      </c>
      <c r="AF157" s="7" t="inlineStr">
        <is>
          <t>WCI_REPORTED|USEC:ANCHORED|JEA:ASSUMPTION</t>
        </is>
      </c>
      <c r="AG157" s="17" t="b">
        <v>0</v>
      </c>
      <c r="AH157" s="17" t="b">
        <v>1</v>
      </c>
    </row>
    <row r="158">
      <c r="A158" s="11" t="n">
        <v>44784</v>
      </c>
      <c r="B158" s="13" t="n">
        <v>2498</v>
      </c>
      <c r="C158" s="13" t="n">
        <v>2493</v>
      </c>
      <c r="D158" s="13" t="n">
        <v>5</v>
      </c>
      <c r="E158" s="13" t="n">
        <v>279125</v>
      </c>
      <c r="F158" s="13" t="n">
        <v>79.5942</v>
      </c>
      <c r="G158" s="6" t="n">
        <v>79.8015</v>
      </c>
      <c r="H158" s="6" t="n">
        <v>80.2067</v>
      </c>
      <c r="I158" s="14" t="n">
        <v>0.056428</v>
      </c>
      <c r="J158" s="14" t="n">
        <v>0.025348</v>
      </c>
      <c r="K158" s="14" t="n">
        <v>0.054</v>
      </c>
      <c r="L158" s="13" t="n">
        <v>215.2295</v>
      </c>
      <c r="M158" s="13" t="n">
        <v>215.895</v>
      </c>
      <c r="N158" s="13" t="n">
        <v>216.8932</v>
      </c>
      <c r="O158" s="13" t="n">
        <v>15.9</v>
      </c>
      <c r="P158" s="13" t="n">
        <v>70.48</v>
      </c>
      <c r="Q158" s="12" t="n">
        <v>44804</v>
      </c>
      <c r="R158" s="12" t="n">
        <v>44834</v>
      </c>
      <c r="S158" s="8">
        <f>YEAR($Q158)*100+MONTH($Q158)</f>
        <v/>
      </c>
      <c r="T158" s="8">
        <f>YEAR($R158)*100+MONTH($R158)</f>
        <v/>
      </c>
      <c r="U158" s="15">
        <f>IF($A158&lt;=INDEX(pdates_wc_rate_inr_pa,1),INDEX(pvals_wc_rate_inr_pa,1),INDEX(pvals_wc_rate_inr_pa,MATCH($A158,pdates_wc_rate_inr_pa,1)))</f>
        <v/>
      </c>
      <c r="V158" s="8">
        <f>IF(AND($A158&gt;=customs_fx_first,$A158&lt;=customs_fx_last+customs_fx_notification_validity_days),IF($A158&lt;=INDEX(pdates_customs_usdinr_import,1),INDEX(pvals_customs_usdinr_import,1),INDEX(pvals_customs_usdinr_import,MATCH($A158,pdates_customs_usdinr_import,1))),$F158*(1+customs_fx_markup_frac))</f>
        <v/>
      </c>
      <c r="W158" s="8">
        <f>IF(AND($A158&gt;=customs_fx_first,$A158&lt;=customs_fx_last+customs_fx_notification_validity_days),"CBIC_NOTIFIED","MARKUP_FALLBACK")</f>
        <v/>
      </c>
      <c r="X158" s="8">
        <f>IF($A158&lt;=INDEX(pdates_grade_factor_zorba,1),INDEX(pvals_grade_factor_zorba,1),IF($A158&gt;=INDEX(pdates_grade_factor_zorba,10),INDEX(pvals_grade_factor_zorba,10),INDEX(pvals_grade_factor_zorba,MATCH($A158,pdates_grade_factor_zorba,1))+($A158-INDEX(pdates_grade_factor_zorba,MATCH($A158,pdates_grade_factor_zorba,1)))/(INDEX(pdates_grade_factor_zorba,MATCH($A158,pdates_grade_factor_zorba,1)+1)-INDEX(pdates_grade_factor_zorba,MATCH($A158,pdates_grade_factor_zorba,1)))*(INDEX(pvals_grade_factor_zorba,MATCH($A158,pdates_grade_factor_zorba,1)+1)-INDEX(pvals_grade_factor_zorba,MATCH($A158,pdates_grade_factor_zorba,1)))))</f>
        <v/>
      </c>
      <c r="Y158" s="8">
        <f>IF($A158&lt;=INDEX(pdates_grade_factor_taint_tabor,1),INDEX(pvals_grade_factor_taint_tabor,1),IF($A158&gt;=INDEX(pdates_grade_factor_taint_tabor,10),INDEX(pvals_grade_factor_taint_tabor,10),INDEX(pvals_grade_factor_taint_tabor,MATCH($A158,pdates_grade_factor_taint_tabor,1))+($A158-INDEX(pdates_grade_factor_taint_tabor,MATCH($A158,pdates_grade_factor_taint_tabor,1)))/(INDEX(pdates_grade_factor_taint_tabor,MATCH($A158,pdates_grade_factor_taint_tabor,1)+1)-INDEX(pdates_grade_factor_taint_tabor,MATCH($A158,pdates_grade_factor_taint_tabor,1)))*(INDEX(pvals_grade_factor_taint_tabor,MATCH($A158,pdates_grade_factor_taint_tabor,1)+1)-INDEX(pvals_grade_factor_taint_tabor,MATCH($A158,pdates_grade_factor_taint_tabor,1)))))</f>
        <v/>
      </c>
      <c r="Z158" s="8">
        <f>IF($A158&lt;=INDEX(pdates_grade_factor_tense,1),INDEX(pvals_grade_factor_tense,1),IF($A158&gt;=INDEX(pdates_grade_factor_tense,10),INDEX(pvals_grade_factor_tense,10),INDEX(pvals_grade_factor_tense,MATCH($A158,pdates_grade_factor_tense,1))+($A158-INDEX(pdates_grade_factor_tense,MATCH($A158,pdates_grade_factor_tense,1)))/(INDEX(pdates_grade_factor_tense,MATCH($A158,pdates_grade_factor_tense,1)+1)-INDEX(pdates_grade_factor_tense,MATCH($A158,pdates_grade_factor_tense,1)))*(INDEX(pvals_grade_factor_tense,MATCH($A158,pdates_grade_factor_tense,1)+1)-INDEX(pvals_grade_factor_tense,MATCH($A158,pdates_grade_factor_tense,1)))))</f>
        <v/>
      </c>
      <c r="AA158" s="8">
        <f>IF($A158&lt;=INDEX(pdates_grade_factor_mix_pit,1),INDEX(pvals_grade_factor_mix_pit,1),IF($A158&gt;=INDEX(pdates_grade_factor_mix_pit,10),INDEX(pvals_grade_factor_mix_pit,10),INDEX(pvals_grade_factor_mix_pit,MATCH($A158,pdates_grade_factor_mix_pit,1))+($A158-INDEX(pdates_grade_factor_mix_pit,MATCH($A158,pdates_grade_factor_mix_pit,1)))/(INDEX(pdates_grade_factor_mix_pit,MATCH($A158,pdates_grade_factor_mix_pit,1)+1)-INDEX(pdates_grade_factor_mix_pit,MATCH($A158,pdates_grade_factor_mix_pit,1)))*(INDEX(pvals_grade_factor_mix_pit,MATCH($A158,pdates_grade_factor_mix_pit,1)+1)-INDEX(pvals_grade_factor_mix_pit,MATCH($A158,pdates_grade_factor_mix_pit,1)))))</f>
        <v/>
      </c>
      <c r="AB158" s="16">
        <f>($B158*$F158/kg_per_mt*(1+bcd_primary_al_hs7601*(1+sws_rate_on_bcd))+mcx_domestic_premium_inr_kg)*(1+$I158*MAX(0,$Q158-$A158)/day_count_inr)</f>
        <v/>
      </c>
      <c r="AC158" s="16">
        <f>$M158-$AB158</f>
        <v/>
      </c>
      <c r="AD158" s="7" t="inlineStr">
        <is>
          <t>PROXY_IMPORT_PARITY</t>
        </is>
      </c>
      <c r="AE158" s="7" t="inlineStr">
        <is>
          <t>ECB_CROSS</t>
        </is>
      </c>
      <c r="AF158" s="7" t="inlineStr">
        <is>
          <t>WCI_REPORTED|USEC:ANCHORED|JEA:ASSUMPTION</t>
        </is>
      </c>
      <c r="AG158" s="17" t="b">
        <v>0</v>
      </c>
      <c r="AH158" s="17" t="b">
        <v>0</v>
      </c>
    </row>
    <row r="159">
      <c r="A159" s="11" t="n">
        <v>44785</v>
      </c>
      <c r="B159" s="13" t="n">
        <v>2468.5</v>
      </c>
      <c r="C159" s="13" t="n">
        <v>2466</v>
      </c>
      <c r="D159" s="13" t="n">
        <v>2.5</v>
      </c>
      <c r="E159" s="13" t="n">
        <v>277225</v>
      </c>
      <c r="F159" s="13" t="n">
        <v>79.7214</v>
      </c>
      <c r="G159" s="6" t="n">
        <v>79.9284</v>
      </c>
      <c r="H159" s="6" t="n">
        <v>80.3329</v>
      </c>
      <c r="I159" s="14" t="n">
        <v>0.056428</v>
      </c>
      <c r="J159" s="14" t="n">
        <v>0.025447</v>
      </c>
      <c r="K159" s="14" t="n">
        <v>0.054</v>
      </c>
      <c r="L159" s="13" t="n">
        <v>213.0276</v>
      </c>
      <c r="M159" s="13" t="n">
        <v>213.6534</v>
      </c>
      <c r="N159" s="13" t="n">
        <v>214.6414</v>
      </c>
      <c r="O159" s="13" t="n">
        <v>15.9</v>
      </c>
      <c r="P159" s="13" t="n">
        <v>70.48</v>
      </c>
      <c r="Q159" s="12" t="n">
        <v>44804</v>
      </c>
      <c r="R159" s="12" t="n">
        <v>44834</v>
      </c>
      <c r="S159" s="8">
        <f>YEAR($Q159)*100+MONTH($Q159)</f>
        <v/>
      </c>
      <c r="T159" s="8">
        <f>YEAR($R159)*100+MONTH($R159)</f>
        <v/>
      </c>
      <c r="U159" s="15">
        <f>IF($A159&lt;=INDEX(pdates_wc_rate_inr_pa,1),INDEX(pvals_wc_rate_inr_pa,1),INDEX(pvals_wc_rate_inr_pa,MATCH($A159,pdates_wc_rate_inr_pa,1)))</f>
        <v/>
      </c>
      <c r="V159" s="8">
        <f>IF(AND($A159&gt;=customs_fx_first,$A159&lt;=customs_fx_last+customs_fx_notification_validity_days),IF($A159&lt;=INDEX(pdates_customs_usdinr_import,1),INDEX(pvals_customs_usdinr_import,1),INDEX(pvals_customs_usdinr_import,MATCH($A159,pdates_customs_usdinr_import,1))),$F159*(1+customs_fx_markup_frac))</f>
        <v/>
      </c>
      <c r="W159" s="8">
        <f>IF(AND($A159&gt;=customs_fx_first,$A159&lt;=customs_fx_last+customs_fx_notification_validity_days),"CBIC_NOTIFIED","MARKUP_FALLBACK")</f>
        <v/>
      </c>
      <c r="X159" s="8">
        <f>IF($A159&lt;=INDEX(pdates_grade_factor_zorba,1),INDEX(pvals_grade_factor_zorba,1),IF($A159&gt;=INDEX(pdates_grade_factor_zorba,10),INDEX(pvals_grade_factor_zorba,10),INDEX(pvals_grade_factor_zorba,MATCH($A159,pdates_grade_factor_zorba,1))+($A159-INDEX(pdates_grade_factor_zorba,MATCH($A159,pdates_grade_factor_zorba,1)))/(INDEX(pdates_grade_factor_zorba,MATCH($A159,pdates_grade_factor_zorba,1)+1)-INDEX(pdates_grade_factor_zorba,MATCH($A159,pdates_grade_factor_zorba,1)))*(INDEX(pvals_grade_factor_zorba,MATCH($A159,pdates_grade_factor_zorba,1)+1)-INDEX(pvals_grade_factor_zorba,MATCH($A159,pdates_grade_factor_zorba,1)))))</f>
        <v/>
      </c>
      <c r="Y159" s="8">
        <f>IF($A159&lt;=INDEX(pdates_grade_factor_taint_tabor,1),INDEX(pvals_grade_factor_taint_tabor,1),IF($A159&gt;=INDEX(pdates_grade_factor_taint_tabor,10),INDEX(pvals_grade_factor_taint_tabor,10),INDEX(pvals_grade_factor_taint_tabor,MATCH($A159,pdates_grade_factor_taint_tabor,1))+($A159-INDEX(pdates_grade_factor_taint_tabor,MATCH($A159,pdates_grade_factor_taint_tabor,1)))/(INDEX(pdates_grade_factor_taint_tabor,MATCH($A159,pdates_grade_factor_taint_tabor,1)+1)-INDEX(pdates_grade_factor_taint_tabor,MATCH($A159,pdates_grade_factor_taint_tabor,1)))*(INDEX(pvals_grade_factor_taint_tabor,MATCH($A159,pdates_grade_factor_taint_tabor,1)+1)-INDEX(pvals_grade_factor_taint_tabor,MATCH($A159,pdates_grade_factor_taint_tabor,1)))))</f>
        <v/>
      </c>
      <c r="Z159" s="8">
        <f>IF($A159&lt;=INDEX(pdates_grade_factor_tense,1),INDEX(pvals_grade_factor_tense,1),IF($A159&gt;=INDEX(pdates_grade_factor_tense,10),INDEX(pvals_grade_factor_tense,10),INDEX(pvals_grade_factor_tense,MATCH($A159,pdates_grade_factor_tense,1))+($A159-INDEX(pdates_grade_factor_tense,MATCH($A159,pdates_grade_factor_tense,1)))/(INDEX(pdates_grade_factor_tense,MATCH($A159,pdates_grade_factor_tense,1)+1)-INDEX(pdates_grade_factor_tense,MATCH($A159,pdates_grade_factor_tense,1)))*(INDEX(pvals_grade_factor_tense,MATCH($A159,pdates_grade_factor_tense,1)+1)-INDEX(pvals_grade_factor_tense,MATCH($A159,pdates_grade_factor_tense,1)))))</f>
        <v/>
      </c>
      <c r="AA159" s="8">
        <f>IF($A159&lt;=INDEX(pdates_grade_factor_mix_pit,1),INDEX(pvals_grade_factor_mix_pit,1),IF($A159&gt;=INDEX(pdates_grade_factor_mix_pit,10),INDEX(pvals_grade_factor_mix_pit,10),INDEX(pvals_grade_factor_mix_pit,MATCH($A159,pdates_grade_factor_mix_pit,1))+($A159-INDEX(pdates_grade_factor_mix_pit,MATCH($A159,pdates_grade_factor_mix_pit,1)))/(INDEX(pdates_grade_factor_mix_pit,MATCH($A159,pdates_grade_factor_mix_pit,1)+1)-INDEX(pdates_grade_factor_mix_pit,MATCH($A159,pdates_grade_factor_mix_pit,1)))*(INDEX(pvals_grade_factor_mix_pit,MATCH($A159,pdates_grade_factor_mix_pit,1)+1)-INDEX(pvals_grade_factor_mix_pit,MATCH($A159,pdates_grade_factor_mix_pit,1)))))</f>
        <v/>
      </c>
      <c r="AB159" s="16">
        <f>($B159*$F159/kg_per_mt*(1+bcd_primary_al_hs7601*(1+sws_rate_on_bcd))+mcx_domestic_premium_inr_kg)*(1+$I159*MAX(0,$Q159-$A159)/day_count_inr)</f>
        <v/>
      </c>
      <c r="AC159" s="16">
        <f>$M159-$AB159</f>
        <v/>
      </c>
      <c r="AD159" s="7" t="inlineStr">
        <is>
          <t>PROXY_IMPORT_PARITY</t>
        </is>
      </c>
      <c r="AE159" s="7" t="inlineStr">
        <is>
          <t>ECB_CROSS</t>
        </is>
      </c>
      <c r="AF159" s="7" t="inlineStr">
        <is>
          <t>WCI_REPORTED|USEC:ANCHORED|JEA:ASSUMPTION</t>
        </is>
      </c>
      <c r="AG159" s="17" t="b">
        <v>0</v>
      </c>
      <c r="AH159" s="17" t="b">
        <v>1</v>
      </c>
    </row>
    <row r="160">
      <c r="A160" s="11" t="n">
        <v>44788</v>
      </c>
      <c r="B160" s="13" t="n">
        <v>2389.5</v>
      </c>
      <c r="C160" s="13" t="n">
        <v>2385</v>
      </c>
      <c r="D160" s="13" t="n">
        <v>4.5</v>
      </c>
      <c r="E160" s="13" t="n">
        <v>275725</v>
      </c>
      <c r="F160" s="13" t="n">
        <v>79.51049999999999</v>
      </c>
      <c r="G160" s="6" t="n">
        <v>79.7102</v>
      </c>
      <c r="H160" s="6" t="n">
        <v>80.1003</v>
      </c>
      <c r="I160" s="14" t="n">
        <v>0.056428</v>
      </c>
      <c r="J160" s="14" t="n">
        <v>0.026433</v>
      </c>
      <c r="K160" s="14" t="n">
        <v>0.054</v>
      </c>
      <c r="L160" s="13" t="n">
        <v>205.6645</v>
      </c>
      <c r="M160" s="13" t="n">
        <v>206.1733</v>
      </c>
      <c r="N160" s="13" t="n">
        <v>207.1271</v>
      </c>
      <c r="O160" s="13" t="n">
        <v>15.9</v>
      </c>
      <c r="P160" s="13" t="n">
        <v>70.48</v>
      </c>
      <c r="Q160" s="12" t="n">
        <v>44804</v>
      </c>
      <c r="R160" s="12" t="n">
        <v>44834</v>
      </c>
      <c r="S160" s="8">
        <f>YEAR($Q160)*100+MONTH($Q160)</f>
        <v/>
      </c>
      <c r="T160" s="8">
        <f>YEAR($R160)*100+MONTH($R160)</f>
        <v/>
      </c>
      <c r="U160" s="15">
        <f>IF($A160&lt;=INDEX(pdates_wc_rate_inr_pa,1),INDEX(pvals_wc_rate_inr_pa,1),INDEX(pvals_wc_rate_inr_pa,MATCH($A160,pdates_wc_rate_inr_pa,1)))</f>
        <v/>
      </c>
      <c r="V160" s="8">
        <f>IF(AND($A160&gt;=customs_fx_first,$A160&lt;=customs_fx_last+customs_fx_notification_validity_days),IF($A160&lt;=INDEX(pdates_customs_usdinr_import,1),INDEX(pvals_customs_usdinr_import,1),INDEX(pvals_customs_usdinr_import,MATCH($A160,pdates_customs_usdinr_import,1))),$F160*(1+customs_fx_markup_frac))</f>
        <v/>
      </c>
      <c r="W160" s="8">
        <f>IF(AND($A160&gt;=customs_fx_first,$A160&lt;=customs_fx_last+customs_fx_notification_validity_days),"CBIC_NOTIFIED","MARKUP_FALLBACK")</f>
        <v/>
      </c>
      <c r="X160" s="8">
        <f>IF($A160&lt;=INDEX(pdates_grade_factor_zorba,1),INDEX(pvals_grade_factor_zorba,1),IF($A160&gt;=INDEX(pdates_grade_factor_zorba,10),INDEX(pvals_grade_factor_zorba,10),INDEX(pvals_grade_factor_zorba,MATCH($A160,pdates_grade_factor_zorba,1))+($A160-INDEX(pdates_grade_factor_zorba,MATCH($A160,pdates_grade_factor_zorba,1)))/(INDEX(pdates_grade_factor_zorba,MATCH($A160,pdates_grade_factor_zorba,1)+1)-INDEX(pdates_grade_factor_zorba,MATCH($A160,pdates_grade_factor_zorba,1)))*(INDEX(pvals_grade_factor_zorba,MATCH($A160,pdates_grade_factor_zorba,1)+1)-INDEX(pvals_grade_factor_zorba,MATCH($A160,pdates_grade_factor_zorba,1)))))</f>
        <v/>
      </c>
      <c r="Y160" s="8">
        <f>IF($A160&lt;=INDEX(pdates_grade_factor_taint_tabor,1),INDEX(pvals_grade_factor_taint_tabor,1),IF($A160&gt;=INDEX(pdates_grade_factor_taint_tabor,10),INDEX(pvals_grade_factor_taint_tabor,10),INDEX(pvals_grade_factor_taint_tabor,MATCH($A160,pdates_grade_factor_taint_tabor,1))+($A160-INDEX(pdates_grade_factor_taint_tabor,MATCH($A160,pdates_grade_factor_taint_tabor,1)))/(INDEX(pdates_grade_factor_taint_tabor,MATCH($A160,pdates_grade_factor_taint_tabor,1)+1)-INDEX(pdates_grade_factor_taint_tabor,MATCH($A160,pdates_grade_factor_taint_tabor,1)))*(INDEX(pvals_grade_factor_taint_tabor,MATCH($A160,pdates_grade_factor_taint_tabor,1)+1)-INDEX(pvals_grade_factor_taint_tabor,MATCH($A160,pdates_grade_factor_taint_tabor,1)))))</f>
        <v/>
      </c>
      <c r="Z160" s="8">
        <f>IF($A160&lt;=INDEX(pdates_grade_factor_tense,1),INDEX(pvals_grade_factor_tense,1),IF($A160&gt;=INDEX(pdates_grade_factor_tense,10),INDEX(pvals_grade_factor_tense,10),INDEX(pvals_grade_factor_tense,MATCH($A160,pdates_grade_factor_tense,1))+($A160-INDEX(pdates_grade_factor_tense,MATCH($A160,pdates_grade_factor_tense,1)))/(INDEX(pdates_grade_factor_tense,MATCH($A160,pdates_grade_factor_tense,1)+1)-INDEX(pdates_grade_factor_tense,MATCH($A160,pdates_grade_factor_tense,1)))*(INDEX(pvals_grade_factor_tense,MATCH($A160,pdates_grade_factor_tense,1)+1)-INDEX(pvals_grade_factor_tense,MATCH($A160,pdates_grade_factor_tense,1)))))</f>
        <v/>
      </c>
      <c r="AA160" s="8">
        <f>IF($A160&lt;=INDEX(pdates_grade_factor_mix_pit,1),INDEX(pvals_grade_factor_mix_pit,1),IF($A160&gt;=INDEX(pdates_grade_factor_mix_pit,10),INDEX(pvals_grade_factor_mix_pit,10),INDEX(pvals_grade_factor_mix_pit,MATCH($A160,pdates_grade_factor_mix_pit,1))+($A160-INDEX(pdates_grade_factor_mix_pit,MATCH($A160,pdates_grade_factor_mix_pit,1)))/(INDEX(pdates_grade_factor_mix_pit,MATCH($A160,pdates_grade_factor_mix_pit,1)+1)-INDEX(pdates_grade_factor_mix_pit,MATCH($A160,pdates_grade_factor_mix_pit,1)))*(INDEX(pvals_grade_factor_mix_pit,MATCH($A160,pdates_grade_factor_mix_pit,1)+1)-INDEX(pvals_grade_factor_mix_pit,MATCH($A160,pdates_grade_factor_mix_pit,1)))))</f>
        <v/>
      </c>
      <c r="AB160" s="16">
        <f>($B160*$F160/kg_per_mt*(1+bcd_primary_al_hs7601*(1+sws_rate_on_bcd))+mcx_domestic_premium_inr_kg)*(1+$I160*MAX(0,$Q160-$A160)/day_count_inr)</f>
        <v/>
      </c>
      <c r="AC160" s="16">
        <f>$M160-$AB160</f>
        <v/>
      </c>
      <c r="AD160" s="7" t="inlineStr">
        <is>
          <t>PROXY_IMPORT_PARITY</t>
        </is>
      </c>
      <c r="AE160" s="7" t="inlineStr">
        <is>
          <t>ECB_CROSS</t>
        </is>
      </c>
      <c r="AF160" s="7" t="inlineStr">
        <is>
          <t>WCI_REPORTED|USEC:ANCHORED|JEA:ASSUMPTION</t>
        </is>
      </c>
      <c r="AG160" s="17" t="b">
        <v>0</v>
      </c>
      <c r="AH160" s="17" t="b">
        <v>1</v>
      </c>
    </row>
    <row r="161">
      <c r="A161" s="11" t="n">
        <v>44789</v>
      </c>
      <c r="B161" s="13" t="n">
        <v>2442</v>
      </c>
      <c r="C161" s="13" t="n">
        <v>2443</v>
      </c>
      <c r="D161" s="13" t="n">
        <v>-1</v>
      </c>
      <c r="E161" s="13" t="n">
        <v>275625</v>
      </c>
      <c r="F161" s="13" t="n">
        <v>79.3352</v>
      </c>
      <c r="G161" s="6" t="n">
        <v>79.53570000000001</v>
      </c>
      <c r="H161" s="6" t="n">
        <v>79.9277</v>
      </c>
      <c r="I161" s="14" t="n">
        <v>0.056428</v>
      </c>
      <c r="J161" s="14" t="n">
        <v>0.026236</v>
      </c>
      <c r="K161" s="14" t="n">
        <v>0.054</v>
      </c>
      <c r="L161" s="13" t="n">
        <v>209.7198</v>
      </c>
      <c r="M161" s="13" t="n">
        <v>210.2062</v>
      </c>
      <c r="N161" s="13" t="n">
        <v>211.1788</v>
      </c>
      <c r="O161" s="13" t="n">
        <v>15.9</v>
      </c>
      <c r="P161" s="13" t="n">
        <v>70.48</v>
      </c>
      <c r="Q161" s="12" t="n">
        <v>44804</v>
      </c>
      <c r="R161" s="12" t="n">
        <v>44834</v>
      </c>
      <c r="S161" s="8">
        <f>YEAR($Q161)*100+MONTH($Q161)</f>
        <v/>
      </c>
      <c r="T161" s="8">
        <f>YEAR($R161)*100+MONTH($R161)</f>
        <v/>
      </c>
      <c r="U161" s="15">
        <f>IF($A161&lt;=INDEX(pdates_wc_rate_inr_pa,1),INDEX(pvals_wc_rate_inr_pa,1),INDEX(pvals_wc_rate_inr_pa,MATCH($A161,pdates_wc_rate_inr_pa,1)))</f>
        <v/>
      </c>
      <c r="V161" s="8">
        <f>IF(AND($A161&gt;=customs_fx_first,$A161&lt;=customs_fx_last+customs_fx_notification_validity_days),IF($A161&lt;=INDEX(pdates_customs_usdinr_import,1),INDEX(pvals_customs_usdinr_import,1),INDEX(pvals_customs_usdinr_import,MATCH($A161,pdates_customs_usdinr_import,1))),$F161*(1+customs_fx_markup_frac))</f>
        <v/>
      </c>
      <c r="W161" s="8">
        <f>IF(AND($A161&gt;=customs_fx_first,$A161&lt;=customs_fx_last+customs_fx_notification_validity_days),"CBIC_NOTIFIED","MARKUP_FALLBACK")</f>
        <v/>
      </c>
      <c r="X161" s="8">
        <f>IF($A161&lt;=INDEX(pdates_grade_factor_zorba,1),INDEX(pvals_grade_factor_zorba,1),IF($A161&gt;=INDEX(pdates_grade_factor_zorba,10),INDEX(pvals_grade_factor_zorba,10),INDEX(pvals_grade_factor_zorba,MATCH($A161,pdates_grade_factor_zorba,1))+($A161-INDEX(pdates_grade_factor_zorba,MATCH($A161,pdates_grade_factor_zorba,1)))/(INDEX(pdates_grade_factor_zorba,MATCH($A161,pdates_grade_factor_zorba,1)+1)-INDEX(pdates_grade_factor_zorba,MATCH($A161,pdates_grade_factor_zorba,1)))*(INDEX(pvals_grade_factor_zorba,MATCH($A161,pdates_grade_factor_zorba,1)+1)-INDEX(pvals_grade_factor_zorba,MATCH($A161,pdates_grade_factor_zorba,1)))))</f>
        <v/>
      </c>
      <c r="Y161" s="8">
        <f>IF($A161&lt;=INDEX(pdates_grade_factor_taint_tabor,1),INDEX(pvals_grade_factor_taint_tabor,1),IF($A161&gt;=INDEX(pdates_grade_factor_taint_tabor,10),INDEX(pvals_grade_factor_taint_tabor,10),INDEX(pvals_grade_factor_taint_tabor,MATCH($A161,pdates_grade_factor_taint_tabor,1))+($A161-INDEX(pdates_grade_factor_taint_tabor,MATCH($A161,pdates_grade_factor_taint_tabor,1)))/(INDEX(pdates_grade_factor_taint_tabor,MATCH($A161,pdates_grade_factor_taint_tabor,1)+1)-INDEX(pdates_grade_factor_taint_tabor,MATCH($A161,pdates_grade_factor_taint_tabor,1)))*(INDEX(pvals_grade_factor_taint_tabor,MATCH($A161,pdates_grade_factor_taint_tabor,1)+1)-INDEX(pvals_grade_factor_taint_tabor,MATCH($A161,pdates_grade_factor_taint_tabor,1)))))</f>
        <v/>
      </c>
      <c r="Z161" s="8">
        <f>IF($A161&lt;=INDEX(pdates_grade_factor_tense,1),INDEX(pvals_grade_factor_tense,1),IF($A161&gt;=INDEX(pdates_grade_factor_tense,10),INDEX(pvals_grade_factor_tense,10),INDEX(pvals_grade_factor_tense,MATCH($A161,pdates_grade_factor_tense,1))+($A161-INDEX(pdates_grade_factor_tense,MATCH($A161,pdates_grade_factor_tense,1)))/(INDEX(pdates_grade_factor_tense,MATCH($A161,pdates_grade_factor_tense,1)+1)-INDEX(pdates_grade_factor_tense,MATCH($A161,pdates_grade_factor_tense,1)))*(INDEX(pvals_grade_factor_tense,MATCH($A161,pdates_grade_factor_tense,1)+1)-INDEX(pvals_grade_factor_tense,MATCH($A161,pdates_grade_factor_tense,1)))))</f>
        <v/>
      </c>
      <c r="AA161" s="8">
        <f>IF($A161&lt;=INDEX(pdates_grade_factor_mix_pit,1),INDEX(pvals_grade_factor_mix_pit,1),IF($A161&gt;=INDEX(pdates_grade_factor_mix_pit,10),INDEX(pvals_grade_factor_mix_pit,10),INDEX(pvals_grade_factor_mix_pit,MATCH($A161,pdates_grade_factor_mix_pit,1))+($A161-INDEX(pdates_grade_factor_mix_pit,MATCH($A161,pdates_grade_factor_mix_pit,1)))/(INDEX(pdates_grade_factor_mix_pit,MATCH($A161,pdates_grade_factor_mix_pit,1)+1)-INDEX(pdates_grade_factor_mix_pit,MATCH($A161,pdates_grade_factor_mix_pit,1)))*(INDEX(pvals_grade_factor_mix_pit,MATCH($A161,pdates_grade_factor_mix_pit,1)+1)-INDEX(pvals_grade_factor_mix_pit,MATCH($A161,pdates_grade_factor_mix_pit,1)))))</f>
        <v/>
      </c>
      <c r="AB161" s="16">
        <f>($B161*$F161/kg_per_mt*(1+bcd_primary_al_hs7601*(1+sws_rate_on_bcd))+mcx_domestic_premium_inr_kg)*(1+$I161*MAX(0,$Q161-$A161)/day_count_inr)</f>
        <v/>
      </c>
      <c r="AC161" s="16">
        <f>$M161-$AB161</f>
        <v/>
      </c>
      <c r="AD161" s="7" t="inlineStr">
        <is>
          <t>PROXY_IMPORT_PARITY</t>
        </is>
      </c>
      <c r="AE161" s="7" t="inlineStr">
        <is>
          <t>ECB_CROSS</t>
        </is>
      </c>
      <c r="AF161" s="7" t="inlineStr">
        <is>
          <t>WCI_REPORTED|USEC:ANCHORED|JEA:ASSUMPTION</t>
        </is>
      </c>
      <c r="AG161" s="17" t="b">
        <v>0</v>
      </c>
      <c r="AH161" s="17" t="b">
        <v>1</v>
      </c>
    </row>
    <row r="162">
      <c r="A162" s="11" t="n">
        <v>44790</v>
      </c>
      <c r="B162" s="13" t="n">
        <v>2414</v>
      </c>
      <c r="C162" s="13" t="n">
        <v>2413</v>
      </c>
      <c r="D162" s="13" t="n">
        <v>1</v>
      </c>
      <c r="E162" s="13" t="n">
        <v>276875</v>
      </c>
      <c r="F162" s="13" t="n">
        <v>79.4525</v>
      </c>
      <c r="G162" s="6" t="n">
        <v>79.65470000000001</v>
      </c>
      <c r="H162" s="6" t="n">
        <v>80.04989999999999</v>
      </c>
      <c r="I162" s="14" t="n">
        <v>0.056428</v>
      </c>
      <c r="J162" s="14" t="n">
        <v>0.026038</v>
      </c>
      <c r="K162" s="14" t="n">
        <v>0.054</v>
      </c>
      <c r="L162" s="13" t="n">
        <v>207.6217</v>
      </c>
      <c r="M162" s="13" t="n">
        <v>208.0711</v>
      </c>
      <c r="N162" s="13" t="n">
        <v>209.034</v>
      </c>
      <c r="O162" s="13" t="n">
        <v>15.9</v>
      </c>
      <c r="P162" s="13" t="n">
        <v>70.48</v>
      </c>
      <c r="Q162" s="12" t="n">
        <v>44804</v>
      </c>
      <c r="R162" s="12" t="n">
        <v>44834</v>
      </c>
      <c r="S162" s="8">
        <f>YEAR($Q162)*100+MONTH($Q162)</f>
        <v/>
      </c>
      <c r="T162" s="8">
        <f>YEAR($R162)*100+MONTH($R162)</f>
        <v/>
      </c>
      <c r="U162" s="15">
        <f>IF($A162&lt;=INDEX(pdates_wc_rate_inr_pa,1),INDEX(pvals_wc_rate_inr_pa,1),INDEX(pvals_wc_rate_inr_pa,MATCH($A162,pdates_wc_rate_inr_pa,1)))</f>
        <v/>
      </c>
      <c r="V162" s="8">
        <f>IF(AND($A162&gt;=customs_fx_first,$A162&lt;=customs_fx_last+customs_fx_notification_validity_days),IF($A162&lt;=INDEX(pdates_customs_usdinr_import,1),INDEX(pvals_customs_usdinr_import,1),INDEX(pvals_customs_usdinr_import,MATCH($A162,pdates_customs_usdinr_import,1))),$F162*(1+customs_fx_markup_frac))</f>
        <v/>
      </c>
      <c r="W162" s="8">
        <f>IF(AND($A162&gt;=customs_fx_first,$A162&lt;=customs_fx_last+customs_fx_notification_validity_days),"CBIC_NOTIFIED","MARKUP_FALLBACK")</f>
        <v/>
      </c>
      <c r="X162" s="8">
        <f>IF($A162&lt;=INDEX(pdates_grade_factor_zorba,1),INDEX(pvals_grade_factor_zorba,1),IF($A162&gt;=INDEX(pdates_grade_factor_zorba,10),INDEX(pvals_grade_factor_zorba,10),INDEX(pvals_grade_factor_zorba,MATCH($A162,pdates_grade_factor_zorba,1))+($A162-INDEX(pdates_grade_factor_zorba,MATCH($A162,pdates_grade_factor_zorba,1)))/(INDEX(pdates_grade_factor_zorba,MATCH($A162,pdates_grade_factor_zorba,1)+1)-INDEX(pdates_grade_factor_zorba,MATCH($A162,pdates_grade_factor_zorba,1)))*(INDEX(pvals_grade_factor_zorba,MATCH($A162,pdates_grade_factor_zorba,1)+1)-INDEX(pvals_grade_factor_zorba,MATCH($A162,pdates_grade_factor_zorba,1)))))</f>
        <v/>
      </c>
      <c r="Y162" s="8">
        <f>IF($A162&lt;=INDEX(pdates_grade_factor_taint_tabor,1),INDEX(pvals_grade_factor_taint_tabor,1),IF($A162&gt;=INDEX(pdates_grade_factor_taint_tabor,10),INDEX(pvals_grade_factor_taint_tabor,10),INDEX(pvals_grade_factor_taint_tabor,MATCH($A162,pdates_grade_factor_taint_tabor,1))+($A162-INDEX(pdates_grade_factor_taint_tabor,MATCH($A162,pdates_grade_factor_taint_tabor,1)))/(INDEX(pdates_grade_factor_taint_tabor,MATCH($A162,pdates_grade_factor_taint_tabor,1)+1)-INDEX(pdates_grade_factor_taint_tabor,MATCH($A162,pdates_grade_factor_taint_tabor,1)))*(INDEX(pvals_grade_factor_taint_tabor,MATCH($A162,pdates_grade_factor_taint_tabor,1)+1)-INDEX(pvals_grade_factor_taint_tabor,MATCH($A162,pdates_grade_factor_taint_tabor,1)))))</f>
        <v/>
      </c>
      <c r="Z162" s="8">
        <f>IF($A162&lt;=INDEX(pdates_grade_factor_tense,1),INDEX(pvals_grade_factor_tense,1),IF($A162&gt;=INDEX(pdates_grade_factor_tense,10),INDEX(pvals_grade_factor_tense,10),INDEX(pvals_grade_factor_tense,MATCH($A162,pdates_grade_factor_tense,1))+($A162-INDEX(pdates_grade_factor_tense,MATCH($A162,pdates_grade_factor_tense,1)))/(INDEX(pdates_grade_factor_tense,MATCH($A162,pdates_grade_factor_tense,1)+1)-INDEX(pdates_grade_factor_tense,MATCH($A162,pdates_grade_factor_tense,1)))*(INDEX(pvals_grade_factor_tense,MATCH($A162,pdates_grade_factor_tense,1)+1)-INDEX(pvals_grade_factor_tense,MATCH($A162,pdates_grade_factor_tense,1)))))</f>
        <v/>
      </c>
      <c r="AA162" s="8">
        <f>IF($A162&lt;=INDEX(pdates_grade_factor_mix_pit,1),INDEX(pvals_grade_factor_mix_pit,1),IF($A162&gt;=INDEX(pdates_grade_factor_mix_pit,10),INDEX(pvals_grade_factor_mix_pit,10),INDEX(pvals_grade_factor_mix_pit,MATCH($A162,pdates_grade_factor_mix_pit,1))+($A162-INDEX(pdates_grade_factor_mix_pit,MATCH($A162,pdates_grade_factor_mix_pit,1)))/(INDEX(pdates_grade_factor_mix_pit,MATCH($A162,pdates_grade_factor_mix_pit,1)+1)-INDEX(pdates_grade_factor_mix_pit,MATCH($A162,pdates_grade_factor_mix_pit,1)))*(INDEX(pvals_grade_factor_mix_pit,MATCH($A162,pdates_grade_factor_mix_pit,1)+1)-INDEX(pvals_grade_factor_mix_pit,MATCH($A162,pdates_grade_factor_mix_pit,1)))))</f>
        <v/>
      </c>
      <c r="AB162" s="16">
        <f>($B162*$F162/kg_per_mt*(1+bcd_primary_al_hs7601*(1+sws_rate_on_bcd))+mcx_domestic_premium_inr_kg)*(1+$I162*MAX(0,$Q162-$A162)/day_count_inr)</f>
        <v/>
      </c>
      <c r="AC162" s="16">
        <f>$M162-$AB162</f>
        <v/>
      </c>
      <c r="AD162" s="7" t="inlineStr">
        <is>
          <t>PROXY_IMPORT_PARITY</t>
        </is>
      </c>
      <c r="AE162" s="7" t="inlineStr">
        <is>
          <t>ECB_CROSS</t>
        </is>
      </c>
      <c r="AF162" s="7" t="inlineStr">
        <is>
          <t>WCI_REPORTED|USEC:ANCHORED|JEA:ASSUMPTION</t>
        </is>
      </c>
      <c r="AG162" s="17" t="b">
        <v>0</v>
      </c>
      <c r="AH162" s="17" t="b">
        <v>1</v>
      </c>
    </row>
    <row r="163">
      <c r="A163" s="11" t="n">
        <v>44791</v>
      </c>
      <c r="B163" s="13" t="n">
        <v>2412</v>
      </c>
      <c r="C163" s="13" t="n">
        <v>2414</v>
      </c>
      <c r="D163" s="13" t="n">
        <v>-2</v>
      </c>
      <c r="E163" s="13" t="n">
        <v>274525</v>
      </c>
      <c r="F163" s="13" t="n">
        <v>79.6247</v>
      </c>
      <c r="G163" s="6" t="n">
        <v>79.8259</v>
      </c>
      <c r="H163" s="6" t="n">
        <v>80.2193</v>
      </c>
      <c r="I163" s="14" t="n">
        <v>0.056428</v>
      </c>
      <c r="J163" s="14" t="n">
        <v>0.026236</v>
      </c>
      <c r="K163" s="14" t="n">
        <v>0.054</v>
      </c>
      <c r="L163" s="13" t="n">
        <v>207.8993</v>
      </c>
      <c r="M163" s="13" t="n">
        <v>208.3171</v>
      </c>
      <c r="N163" s="13" t="n">
        <v>209.2813</v>
      </c>
      <c r="O163" s="13" t="n">
        <v>15.89</v>
      </c>
      <c r="P163" s="13" t="n">
        <v>70.45</v>
      </c>
      <c r="Q163" s="12" t="n">
        <v>44804</v>
      </c>
      <c r="R163" s="12" t="n">
        <v>44834</v>
      </c>
      <c r="S163" s="8">
        <f>YEAR($Q163)*100+MONTH($Q163)</f>
        <v/>
      </c>
      <c r="T163" s="8">
        <f>YEAR($R163)*100+MONTH($R163)</f>
        <v/>
      </c>
      <c r="U163" s="15">
        <f>IF($A163&lt;=INDEX(pdates_wc_rate_inr_pa,1),INDEX(pvals_wc_rate_inr_pa,1),INDEX(pvals_wc_rate_inr_pa,MATCH($A163,pdates_wc_rate_inr_pa,1)))</f>
        <v/>
      </c>
      <c r="V163" s="8">
        <f>IF(AND($A163&gt;=customs_fx_first,$A163&lt;=customs_fx_last+customs_fx_notification_validity_days),IF($A163&lt;=INDEX(pdates_customs_usdinr_import,1),INDEX(pvals_customs_usdinr_import,1),INDEX(pvals_customs_usdinr_import,MATCH($A163,pdates_customs_usdinr_import,1))),$F163*(1+customs_fx_markup_frac))</f>
        <v/>
      </c>
      <c r="W163" s="8">
        <f>IF(AND($A163&gt;=customs_fx_first,$A163&lt;=customs_fx_last+customs_fx_notification_validity_days),"CBIC_NOTIFIED","MARKUP_FALLBACK")</f>
        <v/>
      </c>
      <c r="X163" s="8">
        <f>IF($A163&lt;=INDEX(pdates_grade_factor_zorba,1),INDEX(pvals_grade_factor_zorba,1),IF($A163&gt;=INDEX(pdates_grade_factor_zorba,10),INDEX(pvals_grade_factor_zorba,10),INDEX(pvals_grade_factor_zorba,MATCH($A163,pdates_grade_factor_zorba,1))+($A163-INDEX(pdates_grade_factor_zorba,MATCH($A163,pdates_grade_factor_zorba,1)))/(INDEX(pdates_grade_factor_zorba,MATCH($A163,pdates_grade_factor_zorba,1)+1)-INDEX(pdates_grade_factor_zorba,MATCH($A163,pdates_grade_factor_zorba,1)))*(INDEX(pvals_grade_factor_zorba,MATCH($A163,pdates_grade_factor_zorba,1)+1)-INDEX(pvals_grade_factor_zorba,MATCH($A163,pdates_grade_factor_zorba,1)))))</f>
        <v/>
      </c>
      <c r="Y163" s="8">
        <f>IF($A163&lt;=INDEX(pdates_grade_factor_taint_tabor,1),INDEX(pvals_grade_factor_taint_tabor,1),IF($A163&gt;=INDEX(pdates_grade_factor_taint_tabor,10),INDEX(pvals_grade_factor_taint_tabor,10),INDEX(pvals_grade_factor_taint_tabor,MATCH($A163,pdates_grade_factor_taint_tabor,1))+($A163-INDEX(pdates_grade_factor_taint_tabor,MATCH($A163,pdates_grade_factor_taint_tabor,1)))/(INDEX(pdates_grade_factor_taint_tabor,MATCH($A163,pdates_grade_factor_taint_tabor,1)+1)-INDEX(pdates_grade_factor_taint_tabor,MATCH($A163,pdates_grade_factor_taint_tabor,1)))*(INDEX(pvals_grade_factor_taint_tabor,MATCH($A163,pdates_grade_factor_taint_tabor,1)+1)-INDEX(pvals_grade_factor_taint_tabor,MATCH($A163,pdates_grade_factor_taint_tabor,1)))))</f>
        <v/>
      </c>
      <c r="Z163" s="8">
        <f>IF($A163&lt;=INDEX(pdates_grade_factor_tense,1),INDEX(pvals_grade_factor_tense,1),IF($A163&gt;=INDEX(pdates_grade_factor_tense,10),INDEX(pvals_grade_factor_tense,10),INDEX(pvals_grade_factor_tense,MATCH($A163,pdates_grade_factor_tense,1))+($A163-INDEX(pdates_grade_factor_tense,MATCH($A163,pdates_grade_factor_tense,1)))/(INDEX(pdates_grade_factor_tense,MATCH($A163,pdates_grade_factor_tense,1)+1)-INDEX(pdates_grade_factor_tense,MATCH($A163,pdates_grade_factor_tense,1)))*(INDEX(pvals_grade_factor_tense,MATCH($A163,pdates_grade_factor_tense,1)+1)-INDEX(pvals_grade_factor_tense,MATCH($A163,pdates_grade_factor_tense,1)))))</f>
        <v/>
      </c>
      <c r="AA163" s="8">
        <f>IF($A163&lt;=INDEX(pdates_grade_factor_mix_pit,1),INDEX(pvals_grade_factor_mix_pit,1),IF($A163&gt;=INDEX(pdates_grade_factor_mix_pit,10),INDEX(pvals_grade_factor_mix_pit,10),INDEX(pvals_grade_factor_mix_pit,MATCH($A163,pdates_grade_factor_mix_pit,1))+($A163-INDEX(pdates_grade_factor_mix_pit,MATCH($A163,pdates_grade_factor_mix_pit,1)))/(INDEX(pdates_grade_factor_mix_pit,MATCH($A163,pdates_grade_factor_mix_pit,1)+1)-INDEX(pdates_grade_factor_mix_pit,MATCH($A163,pdates_grade_factor_mix_pit,1)))*(INDEX(pvals_grade_factor_mix_pit,MATCH($A163,pdates_grade_factor_mix_pit,1)+1)-INDEX(pvals_grade_factor_mix_pit,MATCH($A163,pdates_grade_factor_mix_pit,1)))))</f>
        <v/>
      </c>
      <c r="AB163" s="16">
        <f>($B163*$F163/kg_per_mt*(1+bcd_primary_al_hs7601*(1+sws_rate_on_bcd))+mcx_domestic_premium_inr_kg)*(1+$I163*MAX(0,$Q163-$A163)/day_count_inr)</f>
        <v/>
      </c>
      <c r="AC163" s="16">
        <f>$M163-$AB163</f>
        <v/>
      </c>
      <c r="AD163" s="7" t="inlineStr">
        <is>
          <t>PROXY_IMPORT_PARITY</t>
        </is>
      </c>
      <c r="AE163" s="7" t="inlineStr">
        <is>
          <t>ECB_CROSS</t>
        </is>
      </c>
      <c r="AF163" s="7" t="inlineStr">
        <is>
          <t>WCI_REPORTED|USEC:ANCHORED|JEA:ASSUMPTION</t>
        </is>
      </c>
      <c r="AG163" s="17" t="b">
        <v>0</v>
      </c>
      <c r="AH163" s="17" t="b">
        <v>0</v>
      </c>
    </row>
    <row r="164">
      <c r="A164" s="11" t="n">
        <v>44792</v>
      </c>
      <c r="B164" s="13" t="n">
        <v>2376</v>
      </c>
      <c r="C164" s="13" t="n">
        <v>2373.5</v>
      </c>
      <c r="D164" s="13" t="n">
        <v>2.5</v>
      </c>
      <c r="E164" s="13" t="n">
        <v>273775</v>
      </c>
      <c r="F164" s="13" t="n">
        <v>79.86750000000001</v>
      </c>
      <c r="G164" s="6" t="n">
        <v>80.06740000000001</v>
      </c>
      <c r="H164" s="6" t="n">
        <v>80.4579</v>
      </c>
      <c r="I164" s="14" t="n">
        <v>0.056428</v>
      </c>
      <c r="J164" s="14" t="n">
        <v>0.026532</v>
      </c>
      <c r="K164" s="14" t="n">
        <v>0.054</v>
      </c>
      <c r="L164" s="13" t="n">
        <v>205.4208</v>
      </c>
      <c r="M164" s="13" t="n">
        <v>205.8019</v>
      </c>
      <c r="N164" s="13" t="n">
        <v>206.7546</v>
      </c>
      <c r="O164" s="13" t="n">
        <v>15.89</v>
      </c>
      <c r="P164" s="13" t="n">
        <v>70.45</v>
      </c>
      <c r="Q164" s="12" t="n">
        <v>44804</v>
      </c>
      <c r="R164" s="12" t="n">
        <v>44834</v>
      </c>
      <c r="S164" s="8">
        <f>YEAR($Q164)*100+MONTH($Q164)</f>
        <v/>
      </c>
      <c r="T164" s="8">
        <f>YEAR($R164)*100+MONTH($R164)</f>
        <v/>
      </c>
      <c r="U164" s="15">
        <f>IF($A164&lt;=INDEX(pdates_wc_rate_inr_pa,1),INDEX(pvals_wc_rate_inr_pa,1),INDEX(pvals_wc_rate_inr_pa,MATCH($A164,pdates_wc_rate_inr_pa,1)))</f>
        <v/>
      </c>
      <c r="V164" s="8">
        <f>IF(AND($A164&gt;=customs_fx_first,$A164&lt;=customs_fx_last+customs_fx_notification_validity_days),IF($A164&lt;=INDEX(pdates_customs_usdinr_import,1),INDEX(pvals_customs_usdinr_import,1),INDEX(pvals_customs_usdinr_import,MATCH($A164,pdates_customs_usdinr_import,1))),$F164*(1+customs_fx_markup_frac))</f>
        <v/>
      </c>
      <c r="W164" s="8">
        <f>IF(AND($A164&gt;=customs_fx_first,$A164&lt;=customs_fx_last+customs_fx_notification_validity_days),"CBIC_NOTIFIED","MARKUP_FALLBACK")</f>
        <v/>
      </c>
      <c r="X164" s="8">
        <f>IF($A164&lt;=INDEX(pdates_grade_factor_zorba,1),INDEX(pvals_grade_factor_zorba,1),IF($A164&gt;=INDEX(pdates_grade_factor_zorba,10),INDEX(pvals_grade_factor_zorba,10),INDEX(pvals_grade_factor_zorba,MATCH($A164,pdates_grade_factor_zorba,1))+($A164-INDEX(pdates_grade_factor_zorba,MATCH($A164,pdates_grade_factor_zorba,1)))/(INDEX(pdates_grade_factor_zorba,MATCH($A164,pdates_grade_factor_zorba,1)+1)-INDEX(pdates_grade_factor_zorba,MATCH($A164,pdates_grade_factor_zorba,1)))*(INDEX(pvals_grade_factor_zorba,MATCH($A164,pdates_grade_factor_zorba,1)+1)-INDEX(pvals_grade_factor_zorba,MATCH($A164,pdates_grade_factor_zorba,1)))))</f>
        <v/>
      </c>
      <c r="Y164" s="8">
        <f>IF($A164&lt;=INDEX(pdates_grade_factor_taint_tabor,1),INDEX(pvals_grade_factor_taint_tabor,1),IF($A164&gt;=INDEX(pdates_grade_factor_taint_tabor,10),INDEX(pvals_grade_factor_taint_tabor,10),INDEX(pvals_grade_factor_taint_tabor,MATCH($A164,pdates_grade_factor_taint_tabor,1))+($A164-INDEX(pdates_grade_factor_taint_tabor,MATCH($A164,pdates_grade_factor_taint_tabor,1)))/(INDEX(pdates_grade_factor_taint_tabor,MATCH($A164,pdates_grade_factor_taint_tabor,1)+1)-INDEX(pdates_grade_factor_taint_tabor,MATCH($A164,pdates_grade_factor_taint_tabor,1)))*(INDEX(pvals_grade_factor_taint_tabor,MATCH($A164,pdates_grade_factor_taint_tabor,1)+1)-INDEX(pvals_grade_factor_taint_tabor,MATCH($A164,pdates_grade_factor_taint_tabor,1)))))</f>
        <v/>
      </c>
      <c r="Z164" s="8">
        <f>IF($A164&lt;=INDEX(pdates_grade_factor_tense,1),INDEX(pvals_grade_factor_tense,1),IF($A164&gt;=INDEX(pdates_grade_factor_tense,10),INDEX(pvals_grade_factor_tense,10),INDEX(pvals_grade_factor_tense,MATCH($A164,pdates_grade_factor_tense,1))+($A164-INDEX(pdates_grade_factor_tense,MATCH($A164,pdates_grade_factor_tense,1)))/(INDEX(pdates_grade_factor_tense,MATCH($A164,pdates_grade_factor_tense,1)+1)-INDEX(pdates_grade_factor_tense,MATCH($A164,pdates_grade_factor_tense,1)))*(INDEX(pvals_grade_factor_tense,MATCH($A164,pdates_grade_factor_tense,1)+1)-INDEX(pvals_grade_factor_tense,MATCH($A164,pdates_grade_factor_tense,1)))))</f>
        <v/>
      </c>
      <c r="AA164" s="8">
        <f>IF($A164&lt;=INDEX(pdates_grade_factor_mix_pit,1),INDEX(pvals_grade_factor_mix_pit,1),IF($A164&gt;=INDEX(pdates_grade_factor_mix_pit,10),INDEX(pvals_grade_factor_mix_pit,10),INDEX(pvals_grade_factor_mix_pit,MATCH($A164,pdates_grade_factor_mix_pit,1))+($A164-INDEX(pdates_grade_factor_mix_pit,MATCH($A164,pdates_grade_factor_mix_pit,1)))/(INDEX(pdates_grade_factor_mix_pit,MATCH($A164,pdates_grade_factor_mix_pit,1)+1)-INDEX(pdates_grade_factor_mix_pit,MATCH($A164,pdates_grade_factor_mix_pit,1)))*(INDEX(pvals_grade_factor_mix_pit,MATCH($A164,pdates_grade_factor_mix_pit,1)+1)-INDEX(pvals_grade_factor_mix_pit,MATCH($A164,pdates_grade_factor_mix_pit,1)))))</f>
        <v/>
      </c>
      <c r="AB164" s="16">
        <f>($B164*$F164/kg_per_mt*(1+bcd_primary_al_hs7601*(1+sws_rate_on_bcd))+mcx_domestic_premium_inr_kg)*(1+$I164*MAX(0,$Q164-$A164)/day_count_inr)</f>
        <v/>
      </c>
      <c r="AC164" s="16">
        <f>$M164-$AB164</f>
        <v/>
      </c>
      <c r="AD164" s="7" t="inlineStr">
        <is>
          <t>PROXY_IMPORT_PARITY</t>
        </is>
      </c>
      <c r="AE164" s="7" t="inlineStr">
        <is>
          <t>ECB_CROSS</t>
        </is>
      </c>
      <c r="AF164" s="7" t="inlineStr">
        <is>
          <t>WCI_REPORTED|USEC:ANCHORED|JEA:ASSUMPTION</t>
        </is>
      </c>
      <c r="AG164" s="17" t="b">
        <v>0</v>
      </c>
      <c r="AH164" s="17" t="b">
        <v>1</v>
      </c>
    </row>
    <row r="165">
      <c r="A165" s="11" t="n">
        <v>44795</v>
      </c>
      <c r="B165" s="13" t="n">
        <v>2387.5</v>
      </c>
      <c r="C165" s="13" t="n">
        <v>2380.5</v>
      </c>
      <c r="D165" s="13" t="n">
        <v>7</v>
      </c>
      <c r="E165" s="13" t="n">
        <v>273325</v>
      </c>
      <c r="F165" s="13" t="n">
        <v>79.8535</v>
      </c>
      <c r="G165" s="6" t="n">
        <v>80.0459</v>
      </c>
      <c r="H165" s="6" t="n">
        <v>80.4217</v>
      </c>
      <c r="I165" s="14" t="n">
        <v>0.056428</v>
      </c>
      <c r="J165" s="14" t="n">
        <v>0.027616</v>
      </c>
      <c r="K165" s="14" t="n">
        <v>0.054</v>
      </c>
      <c r="L165" s="13" t="n">
        <v>206.3789</v>
      </c>
      <c r="M165" s="13" t="n">
        <v>206.666</v>
      </c>
      <c r="N165" s="13" t="n">
        <v>207.6232</v>
      </c>
      <c r="O165" s="13" t="n">
        <v>15.89</v>
      </c>
      <c r="P165" s="13" t="n">
        <v>70.45</v>
      </c>
      <c r="Q165" s="12" t="n">
        <v>44804</v>
      </c>
      <c r="R165" s="12" t="n">
        <v>44834</v>
      </c>
      <c r="S165" s="8">
        <f>YEAR($Q165)*100+MONTH($Q165)</f>
        <v/>
      </c>
      <c r="T165" s="8">
        <f>YEAR($R165)*100+MONTH($R165)</f>
        <v/>
      </c>
      <c r="U165" s="15">
        <f>IF($A165&lt;=INDEX(pdates_wc_rate_inr_pa,1),INDEX(pvals_wc_rate_inr_pa,1),INDEX(pvals_wc_rate_inr_pa,MATCH($A165,pdates_wc_rate_inr_pa,1)))</f>
        <v/>
      </c>
      <c r="V165" s="8">
        <f>IF(AND($A165&gt;=customs_fx_first,$A165&lt;=customs_fx_last+customs_fx_notification_validity_days),IF($A165&lt;=INDEX(pdates_customs_usdinr_import,1),INDEX(pvals_customs_usdinr_import,1),INDEX(pvals_customs_usdinr_import,MATCH($A165,pdates_customs_usdinr_import,1))),$F165*(1+customs_fx_markup_frac))</f>
        <v/>
      </c>
      <c r="W165" s="8">
        <f>IF(AND($A165&gt;=customs_fx_first,$A165&lt;=customs_fx_last+customs_fx_notification_validity_days),"CBIC_NOTIFIED","MARKUP_FALLBACK")</f>
        <v/>
      </c>
      <c r="X165" s="8">
        <f>IF($A165&lt;=INDEX(pdates_grade_factor_zorba,1),INDEX(pvals_grade_factor_zorba,1),IF($A165&gt;=INDEX(pdates_grade_factor_zorba,10),INDEX(pvals_grade_factor_zorba,10),INDEX(pvals_grade_factor_zorba,MATCH($A165,pdates_grade_factor_zorba,1))+($A165-INDEX(pdates_grade_factor_zorba,MATCH($A165,pdates_grade_factor_zorba,1)))/(INDEX(pdates_grade_factor_zorba,MATCH($A165,pdates_grade_factor_zorba,1)+1)-INDEX(pdates_grade_factor_zorba,MATCH($A165,pdates_grade_factor_zorba,1)))*(INDEX(pvals_grade_factor_zorba,MATCH($A165,pdates_grade_factor_zorba,1)+1)-INDEX(pvals_grade_factor_zorba,MATCH($A165,pdates_grade_factor_zorba,1)))))</f>
        <v/>
      </c>
      <c r="Y165" s="8">
        <f>IF($A165&lt;=INDEX(pdates_grade_factor_taint_tabor,1),INDEX(pvals_grade_factor_taint_tabor,1),IF($A165&gt;=INDEX(pdates_grade_factor_taint_tabor,10),INDEX(pvals_grade_factor_taint_tabor,10),INDEX(pvals_grade_factor_taint_tabor,MATCH($A165,pdates_grade_factor_taint_tabor,1))+($A165-INDEX(pdates_grade_factor_taint_tabor,MATCH($A165,pdates_grade_factor_taint_tabor,1)))/(INDEX(pdates_grade_factor_taint_tabor,MATCH($A165,pdates_grade_factor_taint_tabor,1)+1)-INDEX(pdates_grade_factor_taint_tabor,MATCH($A165,pdates_grade_factor_taint_tabor,1)))*(INDEX(pvals_grade_factor_taint_tabor,MATCH($A165,pdates_grade_factor_taint_tabor,1)+1)-INDEX(pvals_grade_factor_taint_tabor,MATCH($A165,pdates_grade_factor_taint_tabor,1)))))</f>
        <v/>
      </c>
      <c r="Z165" s="8">
        <f>IF($A165&lt;=INDEX(pdates_grade_factor_tense,1),INDEX(pvals_grade_factor_tense,1),IF($A165&gt;=INDEX(pdates_grade_factor_tense,10),INDEX(pvals_grade_factor_tense,10),INDEX(pvals_grade_factor_tense,MATCH($A165,pdates_grade_factor_tense,1))+($A165-INDEX(pdates_grade_factor_tense,MATCH($A165,pdates_grade_factor_tense,1)))/(INDEX(pdates_grade_factor_tense,MATCH($A165,pdates_grade_factor_tense,1)+1)-INDEX(pdates_grade_factor_tense,MATCH($A165,pdates_grade_factor_tense,1)))*(INDEX(pvals_grade_factor_tense,MATCH($A165,pdates_grade_factor_tense,1)+1)-INDEX(pvals_grade_factor_tense,MATCH($A165,pdates_grade_factor_tense,1)))))</f>
        <v/>
      </c>
      <c r="AA165" s="8">
        <f>IF($A165&lt;=INDEX(pdates_grade_factor_mix_pit,1),INDEX(pvals_grade_factor_mix_pit,1),IF($A165&gt;=INDEX(pdates_grade_factor_mix_pit,10),INDEX(pvals_grade_factor_mix_pit,10),INDEX(pvals_grade_factor_mix_pit,MATCH($A165,pdates_grade_factor_mix_pit,1))+($A165-INDEX(pdates_grade_factor_mix_pit,MATCH($A165,pdates_grade_factor_mix_pit,1)))/(INDEX(pdates_grade_factor_mix_pit,MATCH($A165,pdates_grade_factor_mix_pit,1)+1)-INDEX(pdates_grade_factor_mix_pit,MATCH($A165,pdates_grade_factor_mix_pit,1)))*(INDEX(pvals_grade_factor_mix_pit,MATCH($A165,pdates_grade_factor_mix_pit,1)+1)-INDEX(pvals_grade_factor_mix_pit,MATCH($A165,pdates_grade_factor_mix_pit,1)))))</f>
        <v/>
      </c>
      <c r="AB165" s="16">
        <f>($B165*$F165/kg_per_mt*(1+bcd_primary_al_hs7601*(1+sws_rate_on_bcd))+mcx_domestic_premium_inr_kg)*(1+$I165*MAX(0,$Q165-$A165)/day_count_inr)</f>
        <v/>
      </c>
      <c r="AC165" s="16">
        <f>$M165-$AB165</f>
        <v/>
      </c>
      <c r="AD165" s="7" t="inlineStr">
        <is>
          <t>PROXY_IMPORT_PARITY</t>
        </is>
      </c>
      <c r="AE165" s="7" t="inlineStr">
        <is>
          <t>ECB_CROSS</t>
        </is>
      </c>
      <c r="AF165" s="7" t="inlineStr">
        <is>
          <t>WCI_REPORTED|USEC:ANCHORED|JEA:ASSUMPTION</t>
        </is>
      </c>
      <c r="AG165" s="17" t="b">
        <v>0</v>
      </c>
      <c r="AH165" s="17" t="b">
        <v>1</v>
      </c>
    </row>
    <row r="166">
      <c r="A166" s="11" t="n">
        <v>44796</v>
      </c>
      <c r="B166" s="13" t="n">
        <v>2438.5</v>
      </c>
      <c r="C166" s="13" t="n">
        <v>2417</v>
      </c>
      <c r="D166" s="13" t="n">
        <v>21.5</v>
      </c>
      <c r="E166" s="13" t="n">
        <v>271450</v>
      </c>
      <c r="F166" s="13" t="n">
        <v>79.8635</v>
      </c>
      <c r="G166" s="6" t="n">
        <v>80.0579</v>
      </c>
      <c r="H166" s="6" t="n">
        <v>80.4378</v>
      </c>
      <c r="I166" s="14" t="n">
        <v>0.056428</v>
      </c>
      <c r="J166" s="14" t="n">
        <v>0.027321</v>
      </c>
      <c r="K166" s="14" t="n">
        <v>0.054</v>
      </c>
      <c r="L166" s="13" t="n">
        <v>210.8138</v>
      </c>
      <c r="M166" s="13" t="n">
        <v>211.0745</v>
      </c>
      <c r="N166" s="13" t="n">
        <v>212.0523</v>
      </c>
      <c r="O166" s="13" t="n">
        <v>15.89</v>
      </c>
      <c r="P166" s="13" t="n">
        <v>70.45</v>
      </c>
      <c r="Q166" s="12" t="n">
        <v>44804</v>
      </c>
      <c r="R166" s="12" t="n">
        <v>44834</v>
      </c>
      <c r="S166" s="8">
        <f>YEAR($Q166)*100+MONTH($Q166)</f>
        <v/>
      </c>
      <c r="T166" s="8">
        <f>YEAR($R166)*100+MONTH($R166)</f>
        <v/>
      </c>
      <c r="U166" s="15">
        <f>IF($A166&lt;=INDEX(pdates_wc_rate_inr_pa,1),INDEX(pvals_wc_rate_inr_pa,1),INDEX(pvals_wc_rate_inr_pa,MATCH($A166,pdates_wc_rate_inr_pa,1)))</f>
        <v/>
      </c>
      <c r="V166" s="8">
        <f>IF(AND($A166&gt;=customs_fx_first,$A166&lt;=customs_fx_last+customs_fx_notification_validity_days),IF($A166&lt;=INDEX(pdates_customs_usdinr_import,1),INDEX(pvals_customs_usdinr_import,1),INDEX(pvals_customs_usdinr_import,MATCH($A166,pdates_customs_usdinr_import,1))),$F166*(1+customs_fx_markup_frac))</f>
        <v/>
      </c>
      <c r="W166" s="8">
        <f>IF(AND($A166&gt;=customs_fx_first,$A166&lt;=customs_fx_last+customs_fx_notification_validity_days),"CBIC_NOTIFIED","MARKUP_FALLBACK")</f>
        <v/>
      </c>
      <c r="X166" s="8">
        <f>IF($A166&lt;=INDEX(pdates_grade_factor_zorba,1),INDEX(pvals_grade_factor_zorba,1),IF($A166&gt;=INDEX(pdates_grade_factor_zorba,10),INDEX(pvals_grade_factor_zorba,10),INDEX(pvals_grade_factor_zorba,MATCH($A166,pdates_grade_factor_zorba,1))+($A166-INDEX(pdates_grade_factor_zorba,MATCH($A166,pdates_grade_factor_zorba,1)))/(INDEX(pdates_grade_factor_zorba,MATCH($A166,pdates_grade_factor_zorba,1)+1)-INDEX(pdates_grade_factor_zorba,MATCH($A166,pdates_grade_factor_zorba,1)))*(INDEX(pvals_grade_factor_zorba,MATCH($A166,pdates_grade_factor_zorba,1)+1)-INDEX(pvals_grade_factor_zorba,MATCH($A166,pdates_grade_factor_zorba,1)))))</f>
        <v/>
      </c>
      <c r="Y166" s="8">
        <f>IF($A166&lt;=INDEX(pdates_grade_factor_taint_tabor,1),INDEX(pvals_grade_factor_taint_tabor,1),IF($A166&gt;=INDEX(pdates_grade_factor_taint_tabor,10),INDEX(pvals_grade_factor_taint_tabor,10),INDEX(pvals_grade_factor_taint_tabor,MATCH($A166,pdates_grade_factor_taint_tabor,1))+($A166-INDEX(pdates_grade_factor_taint_tabor,MATCH($A166,pdates_grade_factor_taint_tabor,1)))/(INDEX(pdates_grade_factor_taint_tabor,MATCH($A166,pdates_grade_factor_taint_tabor,1)+1)-INDEX(pdates_grade_factor_taint_tabor,MATCH($A166,pdates_grade_factor_taint_tabor,1)))*(INDEX(pvals_grade_factor_taint_tabor,MATCH($A166,pdates_grade_factor_taint_tabor,1)+1)-INDEX(pvals_grade_factor_taint_tabor,MATCH($A166,pdates_grade_factor_taint_tabor,1)))))</f>
        <v/>
      </c>
      <c r="Z166" s="8">
        <f>IF($A166&lt;=INDEX(pdates_grade_factor_tense,1),INDEX(pvals_grade_factor_tense,1),IF($A166&gt;=INDEX(pdates_grade_factor_tense,10),INDEX(pvals_grade_factor_tense,10),INDEX(pvals_grade_factor_tense,MATCH($A166,pdates_grade_factor_tense,1))+($A166-INDEX(pdates_grade_factor_tense,MATCH($A166,pdates_grade_factor_tense,1)))/(INDEX(pdates_grade_factor_tense,MATCH($A166,pdates_grade_factor_tense,1)+1)-INDEX(pdates_grade_factor_tense,MATCH($A166,pdates_grade_factor_tense,1)))*(INDEX(pvals_grade_factor_tense,MATCH($A166,pdates_grade_factor_tense,1)+1)-INDEX(pvals_grade_factor_tense,MATCH($A166,pdates_grade_factor_tense,1)))))</f>
        <v/>
      </c>
      <c r="AA166" s="8">
        <f>IF($A166&lt;=INDEX(pdates_grade_factor_mix_pit,1),INDEX(pvals_grade_factor_mix_pit,1),IF($A166&gt;=INDEX(pdates_grade_factor_mix_pit,10),INDEX(pvals_grade_factor_mix_pit,10),INDEX(pvals_grade_factor_mix_pit,MATCH($A166,pdates_grade_factor_mix_pit,1))+($A166-INDEX(pdates_grade_factor_mix_pit,MATCH($A166,pdates_grade_factor_mix_pit,1)))/(INDEX(pdates_grade_factor_mix_pit,MATCH($A166,pdates_grade_factor_mix_pit,1)+1)-INDEX(pdates_grade_factor_mix_pit,MATCH($A166,pdates_grade_factor_mix_pit,1)))*(INDEX(pvals_grade_factor_mix_pit,MATCH($A166,pdates_grade_factor_mix_pit,1)+1)-INDEX(pvals_grade_factor_mix_pit,MATCH($A166,pdates_grade_factor_mix_pit,1)))))</f>
        <v/>
      </c>
      <c r="AB166" s="16">
        <f>($B166*$F166/kg_per_mt*(1+bcd_primary_al_hs7601*(1+sws_rate_on_bcd))+mcx_domestic_premium_inr_kg)*(1+$I166*MAX(0,$Q166-$A166)/day_count_inr)</f>
        <v/>
      </c>
      <c r="AC166" s="16">
        <f>$M166-$AB166</f>
        <v/>
      </c>
      <c r="AD166" s="7" t="inlineStr">
        <is>
          <t>PROXY_IMPORT_PARITY</t>
        </is>
      </c>
      <c r="AE166" s="7" t="inlineStr">
        <is>
          <t>ECB_CROSS</t>
        </is>
      </c>
      <c r="AF166" s="7" t="inlineStr">
        <is>
          <t>WCI_REPORTED|USEC:ANCHORED|JEA:ASSUMPTION</t>
        </is>
      </c>
      <c r="AG166" s="17" t="b">
        <v>0</v>
      </c>
      <c r="AH166" s="17" t="b">
        <v>1</v>
      </c>
    </row>
    <row r="167">
      <c r="A167" s="11" t="n">
        <v>44797</v>
      </c>
      <c r="B167" s="13" t="n">
        <v>2422</v>
      </c>
      <c r="C167" s="13" t="n">
        <v>2414</v>
      </c>
      <c r="D167" s="13" t="n">
        <v>8</v>
      </c>
      <c r="E167" s="13" t="n">
        <v>282075</v>
      </c>
      <c r="F167" s="13" t="n">
        <v>79.8275</v>
      </c>
      <c r="G167" s="6" t="n">
        <v>80.0204</v>
      </c>
      <c r="H167" s="6" t="n">
        <v>80.39749999999999</v>
      </c>
      <c r="I167" s="14" t="n">
        <v>0.056428</v>
      </c>
      <c r="J167" s="14" t="n">
        <v>0.027518</v>
      </c>
      <c r="K167" s="14" t="n">
        <v>0.054</v>
      </c>
      <c r="L167" s="13" t="n">
        <v>209.2929</v>
      </c>
      <c r="M167" s="13" t="n">
        <v>209.5194</v>
      </c>
      <c r="N167" s="13" t="n">
        <v>210.4901</v>
      </c>
      <c r="O167" s="13" t="n">
        <v>15.89</v>
      </c>
      <c r="P167" s="13" t="n">
        <v>70.45</v>
      </c>
      <c r="Q167" s="12" t="n">
        <v>44804</v>
      </c>
      <c r="R167" s="12" t="n">
        <v>44834</v>
      </c>
      <c r="S167" s="8">
        <f>YEAR($Q167)*100+MONTH($Q167)</f>
        <v/>
      </c>
      <c r="T167" s="8">
        <f>YEAR($R167)*100+MONTH($R167)</f>
        <v/>
      </c>
      <c r="U167" s="15">
        <f>IF($A167&lt;=INDEX(pdates_wc_rate_inr_pa,1),INDEX(pvals_wc_rate_inr_pa,1),INDEX(pvals_wc_rate_inr_pa,MATCH($A167,pdates_wc_rate_inr_pa,1)))</f>
        <v/>
      </c>
      <c r="V167" s="8">
        <f>IF(AND($A167&gt;=customs_fx_first,$A167&lt;=customs_fx_last+customs_fx_notification_validity_days),IF($A167&lt;=INDEX(pdates_customs_usdinr_import,1),INDEX(pvals_customs_usdinr_import,1),INDEX(pvals_customs_usdinr_import,MATCH($A167,pdates_customs_usdinr_import,1))),$F167*(1+customs_fx_markup_frac))</f>
        <v/>
      </c>
      <c r="W167" s="8">
        <f>IF(AND($A167&gt;=customs_fx_first,$A167&lt;=customs_fx_last+customs_fx_notification_validity_days),"CBIC_NOTIFIED","MARKUP_FALLBACK")</f>
        <v/>
      </c>
      <c r="X167" s="8">
        <f>IF($A167&lt;=INDEX(pdates_grade_factor_zorba,1),INDEX(pvals_grade_factor_zorba,1),IF($A167&gt;=INDEX(pdates_grade_factor_zorba,10),INDEX(pvals_grade_factor_zorba,10),INDEX(pvals_grade_factor_zorba,MATCH($A167,pdates_grade_factor_zorba,1))+($A167-INDEX(pdates_grade_factor_zorba,MATCH($A167,pdates_grade_factor_zorba,1)))/(INDEX(pdates_grade_factor_zorba,MATCH($A167,pdates_grade_factor_zorba,1)+1)-INDEX(pdates_grade_factor_zorba,MATCH($A167,pdates_grade_factor_zorba,1)))*(INDEX(pvals_grade_factor_zorba,MATCH($A167,pdates_grade_factor_zorba,1)+1)-INDEX(pvals_grade_factor_zorba,MATCH($A167,pdates_grade_factor_zorba,1)))))</f>
        <v/>
      </c>
      <c r="Y167" s="8">
        <f>IF($A167&lt;=INDEX(pdates_grade_factor_taint_tabor,1),INDEX(pvals_grade_factor_taint_tabor,1),IF($A167&gt;=INDEX(pdates_grade_factor_taint_tabor,10),INDEX(pvals_grade_factor_taint_tabor,10),INDEX(pvals_grade_factor_taint_tabor,MATCH($A167,pdates_grade_factor_taint_tabor,1))+($A167-INDEX(pdates_grade_factor_taint_tabor,MATCH($A167,pdates_grade_factor_taint_tabor,1)))/(INDEX(pdates_grade_factor_taint_tabor,MATCH($A167,pdates_grade_factor_taint_tabor,1)+1)-INDEX(pdates_grade_factor_taint_tabor,MATCH($A167,pdates_grade_factor_taint_tabor,1)))*(INDEX(pvals_grade_factor_taint_tabor,MATCH($A167,pdates_grade_factor_taint_tabor,1)+1)-INDEX(pvals_grade_factor_taint_tabor,MATCH($A167,pdates_grade_factor_taint_tabor,1)))))</f>
        <v/>
      </c>
      <c r="Z167" s="8">
        <f>IF($A167&lt;=INDEX(pdates_grade_factor_tense,1),INDEX(pvals_grade_factor_tense,1),IF($A167&gt;=INDEX(pdates_grade_factor_tense,10),INDEX(pvals_grade_factor_tense,10),INDEX(pvals_grade_factor_tense,MATCH($A167,pdates_grade_factor_tense,1))+($A167-INDEX(pdates_grade_factor_tense,MATCH($A167,pdates_grade_factor_tense,1)))/(INDEX(pdates_grade_factor_tense,MATCH($A167,pdates_grade_factor_tense,1)+1)-INDEX(pdates_grade_factor_tense,MATCH($A167,pdates_grade_factor_tense,1)))*(INDEX(pvals_grade_factor_tense,MATCH($A167,pdates_grade_factor_tense,1)+1)-INDEX(pvals_grade_factor_tense,MATCH($A167,pdates_grade_factor_tense,1)))))</f>
        <v/>
      </c>
      <c r="AA167" s="8">
        <f>IF($A167&lt;=INDEX(pdates_grade_factor_mix_pit,1),INDEX(pvals_grade_factor_mix_pit,1),IF($A167&gt;=INDEX(pdates_grade_factor_mix_pit,10),INDEX(pvals_grade_factor_mix_pit,10),INDEX(pvals_grade_factor_mix_pit,MATCH($A167,pdates_grade_factor_mix_pit,1))+($A167-INDEX(pdates_grade_factor_mix_pit,MATCH($A167,pdates_grade_factor_mix_pit,1)))/(INDEX(pdates_grade_factor_mix_pit,MATCH($A167,pdates_grade_factor_mix_pit,1)+1)-INDEX(pdates_grade_factor_mix_pit,MATCH($A167,pdates_grade_factor_mix_pit,1)))*(INDEX(pvals_grade_factor_mix_pit,MATCH($A167,pdates_grade_factor_mix_pit,1)+1)-INDEX(pvals_grade_factor_mix_pit,MATCH($A167,pdates_grade_factor_mix_pit,1)))))</f>
        <v/>
      </c>
      <c r="AB167" s="16">
        <f>($B167*$F167/kg_per_mt*(1+bcd_primary_al_hs7601*(1+sws_rate_on_bcd))+mcx_domestic_premium_inr_kg)*(1+$I167*MAX(0,$Q167-$A167)/day_count_inr)</f>
        <v/>
      </c>
      <c r="AC167" s="16">
        <f>$M167-$AB167</f>
        <v/>
      </c>
      <c r="AD167" s="7" t="inlineStr">
        <is>
          <t>PROXY_IMPORT_PARITY</t>
        </is>
      </c>
      <c r="AE167" s="7" t="inlineStr">
        <is>
          <t>ECB_CROSS</t>
        </is>
      </c>
      <c r="AF167" s="7" t="inlineStr">
        <is>
          <t>WCI_REPORTED|USEC:ANCHORED|JEA:ASSUMPTION</t>
        </is>
      </c>
      <c r="AG167" s="17" t="b">
        <v>0</v>
      </c>
      <c r="AH167" s="17" t="b">
        <v>1</v>
      </c>
    </row>
    <row r="168">
      <c r="A168" s="11" t="n">
        <v>44798</v>
      </c>
      <c r="B168" s="13" t="n">
        <v>2442.5</v>
      </c>
      <c r="C168" s="13" t="n">
        <v>2427.5</v>
      </c>
      <c r="D168" s="13" t="n">
        <v>15</v>
      </c>
      <c r="E168" s="13" t="n">
        <v>280125</v>
      </c>
      <c r="F168" s="13" t="n">
        <v>79.8952</v>
      </c>
      <c r="G168" s="6" t="n">
        <v>80.0849</v>
      </c>
      <c r="H168" s="6" t="n">
        <v>80.4556</v>
      </c>
      <c r="I168" s="14" t="n">
        <v>0.056428</v>
      </c>
      <c r="J168" s="14" t="n">
        <v>0.028011</v>
      </c>
      <c r="K168" s="14" t="n">
        <v>0.054</v>
      </c>
      <c r="L168" s="13" t="n">
        <v>211.2434</v>
      </c>
      <c r="M168" s="13" t="n">
        <v>211.4394</v>
      </c>
      <c r="N168" s="13" t="n">
        <v>212.4191</v>
      </c>
      <c r="O168" s="13" t="n">
        <v>15.78</v>
      </c>
      <c r="P168" s="13" t="n">
        <v>69.95999999999999</v>
      </c>
      <c r="Q168" s="12" t="n">
        <v>44804</v>
      </c>
      <c r="R168" s="12" t="n">
        <v>44834</v>
      </c>
      <c r="S168" s="8">
        <f>YEAR($Q168)*100+MONTH($Q168)</f>
        <v/>
      </c>
      <c r="T168" s="8">
        <f>YEAR($R168)*100+MONTH($R168)</f>
        <v/>
      </c>
      <c r="U168" s="15">
        <f>IF($A168&lt;=INDEX(pdates_wc_rate_inr_pa,1),INDEX(pvals_wc_rate_inr_pa,1),INDEX(pvals_wc_rate_inr_pa,MATCH($A168,pdates_wc_rate_inr_pa,1)))</f>
        <v/>
      </c>
      <c r="V168" s="8">
        <f>IF(AND($A168&gt;=customs_fx_first,$A168&lt;=customs_fx_last+customs_fx_notification_validity_days),IF($A168&lt;=INDEX(pdates_customs_usdinr_import,1),INDEX(pvals_customs_usdinr_import,1),INDEX(pvals_customs_usdinr_import,MATCH($A168,pdates_customs_usdinr_import,1))),$F168*(1+customs_fx_markup_frac))</f>
        <v/>
      </c>
      <c r="W168" s="8">
        <f>IF(AND($A168&gt;=customs_fx_first,$A168&lt;=customs_fx_last+customs_fx_notification_validity_days),"CBIC_NOTIFIED","MARKUP_FALLBACK")</f>
        <v/>
      </c>
      <c r="X168" s="8">
        <f>IF($A168&lt;=INDEX(pdates_grade_factor_zorba,1),INDEX(pvals_grade_factor_zorba,1),IF($A168&gt;=INDEX(pdates_grade_factor_zorba,10),INDEX(pvals_grade_factor_zorba,10),INDEX(pvals_grade_factor_zorba,MATCH($A168,pdates_grade_factor_zorba,1))+($A168-INDEX(pdates_grade_factor_zorba,MATCH($A168,pdates_grade_factor_zorba,1)))/(INDEX(pdates_grade_factor_zorba,MATCH($A168,pdates_grade_factor_zorba,1)+1)-INDEX(pdates_grade_factor_zorba,MATCH($A168,pdates_grade_factor_zorba,1)))*(INDEX(pvals_grade_factor_zorba,MATCH($A168,pdates_grade_factor_zorba,1)+1)-INDEX(pvals_grade_factor_zorba,MATCH($A168,pdates_grade_factor_zorba,1)))))</f>
        <v/>
      </c>
      <c r="Y168" s="8">
        <f>IF($A168&lt;=INDEX(pdates_grade_factor_taint_tabor,1),INDEX(pvals_grade_factor_taint_tabor,1),IF($A168&gt;=INDEX(pdates_grade_factor_taint_tabor,10),INDEX(pvals_grade_factor_taint_tabor,10),INDEX(pvals_grade_factor_taint_tabor,MATCH($A168,pdates_grade_factor_taint_tabor,1))+($A168-INDEX(pdates_grade_factor_taint_tabor,MATCH($A168,pdates_grade_factor_taint_tabor,1)))/(INDEX(pdates_grade_factor_taint_tabor,MATCH($A168,pdates_grade_factor_taint_tabor,1)+1)-INDEX(pdates_grade_factor_taint_tabor,MATCH($A168,pdates_grade_factor_taint_tabor,1)))*(INDEX(pvals_grade_factor_taint_tabor,MATCH($A168,pdates_grade_factor_taint_tabor,1)+1)-INDEX(pvals_grade_factor_taint_tabor,MATCH($A168,pdates_grade_factor_taint_tabor,1)))))</f>
        <v/>
      </c>
      <c r="Z168" s="8">
        <f>IF($A168&lt;=INDEX(pdates_grade_factor_tense,1),INDEX(pvals_grade_factor_tense,1),IF($A168&gt;=INDEX(pdates_grade_factor_tense,10),INDEX(pvals_grade_factor_tense,10),INDEX(pvals_grade_factor_tense,MATCH($A168,pdates_grade_factor_tense,1))+($A168-INDEX(pdates_grade_factor_tense,MATCH($A168,pdates_grade_factor_tense,1)))/(INDEX(pdates_grade_factor_tense,MATCH($A168,pdates_grade_factor_tense,1)+1)-INDEX(pdates_grade_factor_tense,MATCH($A168,pdates_grade_factor_tense,1)))*(INDEX(pvals_grade_factor_tense,MATCH($A168,pdates_grade_factor_tense,1)+1)-INDEX(pvals_grade_factor_tense,MATCH($A168,pdates_grade_factor_tense,1)))))</f>
        <v/>
      </c>
      <c r="AA168" s="8">
        <f>IF($A168&lt;=INDEX(pdates_grade_factor_mix_pit,1),INDEX(pvals_grade_factor_mix_pit,1),IF($A168&gt;=INDEX(pdates_grade_factor_mix_pit,10),INDEX(pvals_grade_factor_mix_pit,10),INDEX(pvals_grade_factor_mix_pit,MATCH($A168,pdates_grade_factor_mix_pit,1))+($A168-INDEX(pdates_grade_factor_mix_pit,MATCH($A168,pdates_grade_factor_mix_pit,1)))/(INDEX(pdates_grade_factor_mix_pit,MATCH($A168,pdates_grade_factor_mix_pit,1)+1)-INDEX(pdates_grade_factor_mix_pit,MATCH($A168,pdates_grade_factor_mix_pit,1)))*(INDEX(pvals_grade_factor_mix_pit,MATCH($A168,pdates_grade_factor_mix_pit,1)+1)-INDEX(pvals_grade_factor_mix_pit,MATCH($A168,pdates_grade_factor_mix_pit,1)))))</f>
        <v/>
      </c>
      <c r="AB168" s="16">
        <f>($B168*$F168/kg_per_mt*(1+bcd_primary_al_hs7601*(1+sws_rate_on_bcd))+mcx_domestic_premium_inr_kg)*(1+$I168*MAX(0,$Q168-$A168)/day_count_inr)</f>
        <v/>
      </c>
      <c r="AC168" s="16">
        <f>$M168-$AB168</f>
        <v/>
      </c>
      <c r="AD168" s="7" t="inlineStr">
        <is>
          <t>PROXY_IMPORT_PARITY</t>
        </is>
      </c>
      <c r="AE168" s="7" t="inlineStr">
        <is>
          <t>ECB_CROSS</t>
        </is>
      </c>
      <c r="AF168" s="7" t="inlineStr">
        <is>
          <t>WCI_REPORTED|USEC:ANCHORED|JEA:ASSUMPTION</t>
        </is>
      </c>
      <c r="AG168" s="17" t="b">
        <v>0</v>
      </c>
      <c r="AH168" s="17" t="b">
        <v>0</v>
      </c>
    </row>
    <row r="169">
      <c r="A169" s="11" t="n">
        <v>44799</v>
      </c>
      <c r="B169" s="13" t="n">
        <v>2495</v>
      </c>
      <c r="C169" s="13" t="n">
        <v>2485.5</v>
      </c>
      <c r="D169" s="13" t="n">
        <v>9.5</v>
      </c>
      <c r="E169" s="13" t="n">
        <v>278025</v>
      </c>
      <c r="F169" s="13" t="n">
        <v>79.8466</v>
      </c>
      <c r="G169" s="6" t="n">
        <v>80.03619999999999</v>
      </c>
      <c r="H169" s="6" t="n">
        <v>80.4067</v>
      </c>
      <c r="I169" s="14" t="n">
        <v>0.056428</v>
      </c>
      <c r="J169" s="14" t="n">
        <v>0.028011</v>
      </c>
      <c r="K169" s="14" t="n">
        <v>0.054</v>
      </c>
      <c r="L169" s="13" t="n">
        <v>215.6527</v>
      </c>
      <c r="M169" s="13" t="n">
        <v>215.8194</v>
      </c>
      <c r="N169" s="13" t="n">
        <v>216.8196</v>
      </c>
      <c r="O169" s="13" t="n">
        <v>15.78</v>
      </c>
      <c r="P169" s="13" t="n">
        <v>69.95999999999999</v>
      </c>
      <c r="Q169" s="12" t="n">
        <v>44804</v>
      </c>
      <c r="R169" s="12" t="n">
        <v>44834</v>
      </c>
      <c r="S169" s="8">
        <f>YEAR($Q169)*100+MONTH($Q169)</f>
        <v/>
      </c>
      <c r="T169" s="8">
        <f>YEAR($R169)*100+MONTH($R169)</f>
        <v/>
      </c>
      <c r="U169" s="15">
        <f>IF($A169&lt;=INDEX(pdates_wc_rate_inr_pa,1),INDEX(pvals_wc_rate_inr_pa,1),INDEX(pvals_wc_rate_inr_pa,MATCH($A169,pdates_wc_rate_inr_pa,1)))</f>
        <v/>
      </c>
      <c r="V169" s="8">
        <f>IF(AND($A169&gt;=customs_fx_first,$A169&lt;=customs_fx_last+customs_fx_notification_validity_days),IF($A169&lt;=INDEX(pdates_customs_usdinr_import,1),INDEX(pvals_customs_usdinr_import,1),INDEX(pvals_customs_usdinr_import,MATCH($A169,pdates_customs_usdinr_import,1))),$F169*(1+customs_fx_markup_frac))</f>
        <v/>
      </c>
      <c r="W169" s="8">
        <f>IF(AND($A169&gt;=customs_fx_first,$A169&lt;=customs_fx_last+customs_fx_notification_validity_days),"CBIC_NOTIFIED","MARKUP_FALLBACK")</f>
        <v/>
      </c>
      <c r="X169" s="8">
        <f>IF($A169&lt;=INDEX(pdates_grade_factor_zorba,1),INDEX(pvals_grade_factor_zorba,1),IF($A169&gt;=INDEX(pdates_grade_factor_zorba,10),INDEX(pvals_grade_factor_zorba,10),INDEX(pvals_grade_factor_zorba,MATCH($A169,pdates_grade_factor_zorba,1))+($A169-INDEX(pdates_grade_factor_zorba,MATCH($A169,pdates_grade_factor_zorba,1)))/(INDEX(pdates_grade_factor_zorba,MATCH($A169,pdates_grade_factor_zorba,1)+1)-INDEX(pdates_grade_factor_zorba,MATCH($A169,pdates_grade_factor_zorba,1)))*(INDEX(pvals_grade_factor_zorba,MATCH($A169,pdates_grade_factor_zorba,1)+1)-INDEX(pvals_grade_factor_zorba,MATCH($A169,pdates_grade_factor_zorba,1)))))</f>
        <v/>
      </c>
      <c r="Y169" s="8">
        <f>IF($A169&lt;=INDEX(pdates_grade_factor_taint_tabor,1),INDEX(pvals_grade_factor_taint_tabor,1),IF($A169&gt;=INDEX(pdates_grade_factor_taint_tabor,10),INDEX(pvals_grade_factor_taint_tabor,10),INDEX(pvals_grade_factor_taint_tabor,MATCH($A169,pdates_grade_factor_taint_tabor,1))+($A169-INDEX(pdates_grade_factor_taint_tabor,MATCH($A169,pdates_grade_factor_taint_tabor,1)))/(INDEX(pdates_grade_factor_taint_tabor,MATCH($A169,pdates_grade_factor_taint_tabor,1)+1)-INDEX(pdates_grade_factor_taint_tabor,MATCH($A169,pdates_grade_factor_taint_tabor,1)))*(INDEX(pvals_grade_factor_taint_tabor,MATCH($A169,pdates_grade_factor_taint_tabor,1)+1)-INDEX(pvals_grade_factor_taint_tabor,MATCH($A169,pdates_grade_factor_taint_tabor,1)))))</f>
        <v/>
      </c>
      <c r="Z169" s="8">
        <f>IF($A169&lt;=INDEX(pdates_grade_factor_tense,1),INDEX(pvals_grade_factor_tense,1),IF($A169&gt;=INDEX(pdates_grade_factor_tense,10),INDEX(pvals_grade_factor_tense,10),INDEX(pvals_grade_factor_tense,MATCH($A169,pdates_grade_factor_tense,1))+($A169-INDEX(pdates_grade_factor_tense,MATCH($A169,pdates_grade_factor_tense,1)))/(INDEX(pdates_grade_factor_tense,MATCH($A169,pdates_grade_factor_tense,1)+1)-INDEX(pdates_grade_factor_tense,MATCH($A169,pdates_grade_factor_tense,1)))*(INDEX(pvals_grade_factor_tense,MATCH($A169,pdates_grade_factor_tense,1)+1)-INDEX(pvals_grade_factor_tense,MATCH($A169,pdates_grade_factor_tense,1)))))</f>
        <v/>
      </c>
      <c r="AA169" s="8">
        <f>IF($A169&lt;=INDEX(pdates_grade_factor_mix_pit,1),INDEX(pvals_grade_factor_mix_pit,1),IF($A169&gt;=INDEX(pdates_grade_factor_mix_pit,10),INDEX(pvals_grade_factor_mix_pit,10),INDEX(pvals_grade_factor_mix_pit,MATCH($A169,pdates_grade_factor_mix_pit,1))+($A169-INDEX(pdates_grade_factor_mix_pit,MATCH($A169,pdates_grade_factor_mix_pit,1)))/(INDEX(pdates_grade_factor_mix_pit,MATCH($A169,pdates_grade_factor_mix_pit,1)+1)-INDEX(pdates_grade_factor_mix_pit,MATCH($A169,pdates_grade_factor_mix_pit,1)))*(INDEX(pvals_grade_factor_mix_pit,MATCH($A169,pdates_grade_factor_mix_pit,1)+1)-INDEX(pvals_grade_factor_mix_pit,MATCH($A169,pdates_grade_factor_mix_pit,1)))))</f>
        <v/>
      </c>
      <c r="AB169" s="16">
        <f>($B169*$F169/kg_per_mt*(1+bcd_primary_al_hs7601*(1+sws_rate_on_bcd))+mcx_domestic_premium_inr_kg)*(1+$I169*MAX(0,$Q169-$A169)/day_count_inr)</f>
        <v/>
      </c>
      <c r="AC169" s="16">
        <f>$M169-$AB169</f>
        <v/>
      </c>
      <c r="AD169" s="7" t="inlineStr">
        <is>
          <t>PROXY_IMPORT_PARITY</t>
        </is>
      </c>
      <c r="AE169" s="7" t="inlineStr">
        <is>
          <t>ECB_CROSS</t>
        </is>
      </c>
      <c r="AF169" s="7" t="inlineStr">
        <is>
          <t>WCI_REPORTED|USEC:ANCHORED|JEA:ASSUMPTION</t>
        </is>
      </c>
      <c r="AG169" s="17" t="b">
        <v>0</v>
      </c>
      <c r="AH169" s="17" t="b">
        <v>1</v>
      </c>
    </row>
    <row r="170">
      <c r="A170" s="11" t="n">
        <v>44803</v>
      </c>
      <c r="B170" s="13" t="n">
        <v>2406.5</v>
      </c>
      <c r="C170" s="13" t="n">
        <v>2405</v>
      </c>
      <c r="D170" s="13" t="n">
        <v>1.5</v>
      </c>
      <c r="E170" s="13" t="n">
        <v>280475</v>
      </c>
      <c r="F170" s="13" t="n">
        <v>79.5321</v>
      </c>
      <c r="G170" s="6" t="n">
        <v>79.71420000000001</v>
      </c>
      <c r="H170" s="6" t="n">
        <v>80.0699</v>
      </c>
      <c r="I170" s="14" t="n">
        <v>0.056428</v>
      </c>
      <c r="J170" s="14" t="n">
        <v>0.028997</v>
      </c>
      <c r="K170" s="14" t="n">
        <v>0.054</v>
      </c>
      <c r="L170" s="13" t="n">
        <v>207.184</v>
      </c>
      <c r="M170" s="13" t="n">
        <v>207.216</v>
      </c>
      <c r="N170" s="13" t="n">
        <v>208.1769</v>
      </c>
      <c r="O170" s="13" t="n">
        <v>15.78</v>
      </c>
      <c r="P170" s="13" t="n">
        <v>69.95999999999999</v>
      </c>
      <c r="Q170" s="12" t="n">
        <v>44804</v>
      </c>
      <c r="R170" s="12" t="n">
        <v>44834</v>
      </c>
      <c r="S170" s="8">
        <f>YEAR($Q170)*100+MONTH($Q170)</f>
        <v/>
      </c>
      <c r="T170" s="8">
        <f>YEAR($R170)*100+MONTH($R170)</f>
        <v/>
      </c>
      <c r="U170" s="15">
        <f>IF($A170&lt;=INDEX(pdates_wc_rate_inr_pa,1),INDEX(pvals_wc_rate_inr_pa,1),INDEX(pvals_wc_rate_inr_pa,MATCH($A170,pdates_wc_rate_inr_pa,1)))</f>
        <v/>
      </c>
      <c r="V170" s="8">
        <f>IF(AND($A170&gt;=customs_fx_first,$A170&lt;=customs_fx_last+customs_fx_notification_validity_days),IF($A170&lt;=INDEX(pdates_customs_usdinr_import,1),INDEX(pvals_customs_usdinr_import,1),INDEX(pvals_customs_usdinr_import,MATCH($A170,pdates_customs_usdinr_import,1))),$F170*(1+customs_fx_markup_frac))</f>
        <v/>
      </c>
      <c r="W170" s="8">
        <f>IF(AND($A170&gt;=customs_fx_first,$A170&lt;=customs_fx_last+customs_fx_notification_validity_days),"CBIC_NOTIFIED","MARKUP_FALLBACK")</f>
        <v/>
      </c>
      <c r="X170" s="8">
        <f>IF($A170&lt;=INDEX(pdates_grade_factor_zorba,1),INDEX(pvals_grade_factor_zorba,1),IF($A170&gt;=INDEX(pdates_grade_factor_zorba,10),INDEX(pvals_grade_factor_zorba,10),INDEX(pvals_grade_factor_zorba,MATCH($A170,pdates_grade_factor_zorba,1))+($A170-INDEX(pdates_grade_factor_zorba,MATCH($A170,pdates_grade_factor_zorba,1)))/(INDEX(pdates_grade_factor_zorba,MATCH($A170,pdates_grade_factor_zorba,1)+1)-INDEX(pdates_grade_factor_zorba,MATCH($A170,pdates_grade_factor_zorba,1)))*(INDEX(pvals_grade_factor_zorba,MATCH($A170,pdates_grade_factor_zorba,1)+1)-INDEX(pvals_grade_factor_zorba,MATCH($A170,pdates_grade_factor_zorba,1)))))</f>
        <v/>
      </c>
      <c r="Y170" s="8">
        <f>IF($A170&lt;=INDEX(pdates_grade_factor_taint_tabor,1),INDEX(pvals_grade_factor_taint_tabor,1),IF($A170&gt;=INDEX(pdates_grade_factor_taint_tabor,10),INDEX(pvals_grade_factor_taint_tabor,10),INDEX(pvals_grade_factor_taint_tabor,MATCH($A170,pdates_grade_factor_taint_tabor,1))+($A170-INDEX(pdates_grade_factor_taint_tabor,MATCH($A170,pdates_grade_factor_taint_tabor,1)))/(INDEX(pdates_grade_factor_taint_tabor,MATCH($A170,pdates_grade_factor_taint_tabor,1)+1)-INDEX(pdates_grade_factor_taint_tabor,MATCH($A170,pdates_grade_factor_taint_tabor,1)))*(INDEX(pvals_grade_factor_taint_tabor,MATCH($A170,pdates_grade_factor_taint_tabor,1)+1)-INDEX(pvals_grade_factor_taint_tabor,MATCH($A170,pdates_grade_factor_taint_tabor,1)))))</f>
        <v/>
      </c>
      <c r="Z170" s="8">
        <f>IF($A170&lt;=INDEX(pdates_grade_factor_tense,1),INDEX(pvals_grade_factor_tense,1),IF($A170&gt;=INDEX(pdates_grade_factor_tense,10),INDEX(pvals_grade_factor_tense,10),INDEX(pvals_grade_factor_tense,MATCH($A170,pdates_grade_factor_tense,1))+($A170-INDEX(pdates_grade_factor_tense,MATCH($A170,pdates_grade_factor_tense,1)))/(INDEX(pdates_grade_factor_tense,MATCH($A170,pdates_grade_factor_tense,1)+1)-INDEX(pdates_grade_factor_tense,MATCH($A170,pdates_grade_factor_tense,1)))*(INDEX(pvals_grade_factor_tense,MATCH($A170,pdates_grade_factor_tense,1)+1)-INDEX(pvals_grade_factor_tense,MATCH($A170,pdates_grade_factor_tense,1)))))</f>
        <v/>
      </c>
      <c r="AA170" s="8">
        <f>IF($A170&lt;=INDEX(pdates_grade_factor_mix_pit,1),INDEX(pvals_grade_factor_mix_pit,1),IF($A170&gt;=INDEX(pdates_grade_factor_mix_pit,10),INDEX(pvals_grade_factor_mix_pit,10),INDEX(pvals_grade_factor_mix_pit,MATCH($A170,pdates_grade_factor_mix_pit,1))+($A170-INDEX(pdates_grade_factor_mix_pit,MATCH($A170,pdates_grade_factor_mix_pit,1)))/(INDEX(pdates_grade_factor_mix_pit,MATCH($A170,pdates_grade_factor_mix_pit,1)+1)-INDEX(pdates_grade_factor_mix_pit,MATCH($A170,pdates_grade_factor_mix_pit,1)))*(INDEX(pvals_grade_factor_mix_pit,MATCH($A170,pdates_grade_factor_mix_pit,1)+1)-INDEX(pvals_grade_factor_mix_pit,MATCH($A170,pdates_grade_factor_mix_pit,1)))))</f>
        <v/>
      </c>
      <c r="AB170" s="16">
        <f>($B170*$F170/kg_per_mt*(1+bcd_primary_al_hs7601*(1+sws_rate_on_bcd))+mcx_domestic_premium_inr_kg)*(1+$I170*MAX(0,$Q170-$A170)/day_count_inr)</f>
        <v/>
      </c>
      <c r="AC170" s="16">
        <f>$M170-$AB170</f>
        <v/>
      </c>
      <c r="AD170" s="7" t="inlineStr">
        <is>
          <t>PROXY_IMPORT_PARITY</t>
        </is>
      </c>
      <c r="AE170" s="7" t="inlineStr">
        <is>
          <t>ECB_CROSS</t>
        </is>
      </c>
      <c r="AF170" s="7" t="inlineStr">
        <is>
          <t>WCI_REPORTED|USEC:ANCHORED|JEA:ASSUMPTION</t>
        </is>
      </c>
      <c r="AG170" s="17" t="b">
        <v>0</v>
      </c>
      <c r="AH170" s="17" t="b">
        <v>1</v>
      </c>
    </row>
    <row r="171">
      <c r="A171" s="11" t="n">
        <v>44804</v>
      </c>
      <c r="B171" s="13" t="n">
        <v>2368.5</v>
      </c>
      <c r="C171" s="13" t="n">
        <v>2357</v>
      </c>
      <c r="D171" s="13" t="n">
        <v>11.5</v>
      </c>
      <c r="E171" s="13" t="n">
        <v>277050</v>
      </c>
      <c r="F171" s="13" t="n">
        <v>79.54649999999999</v>
      </c>
      <c r="G171" s="6" t="n">
        <v>79.7234</v>
      </c>
      <c r="H171" s="6" t="n">
        <v>80.0806</v>
      </c>
      <c r="I171" s="14" t="n">
        <v>0.056428</v>
      </c>
      <c r="J171" s="14" t="n">
        <v>0.028899</v>
      </c>
      <c r="K171" s="14" t="n">
        <v>0.054</v>
      </c>
      <c r="L171" s="13" t="n">
        <v>203.9494</v>
      </c>
      <c r="M171" s="13" t="n">
        <v>203.9494</v>
      </c>
      <c r="N171" s="13" t="n">
        <v>204.8953</v>
      </c>
      <c r="O171" s="13" t="n">
        <v>15.78</v>
      </c>
      <c r="P171" s="13" t="n">
        <v>69.95999999999999</v>
      </c>
      <c r="Q171" s="12" t="n">
        <v>44804</v>
      </c>
      <c r="R171" s="12" t="n">
        <v>44834</v>
      </c>
      <c r="S171" s="8">
        <f>YEAR($Q171)*100+MONTH($Q171)</f>
        <v/>
      </c>
      <c r="T171" s="8">
        <f>YEAR($R171)*100+MONTH($R171)</f>
        <v/>
      </c>
      <c r="U171" s="15">
        <f>IF($A171&lt;=INDEX(pdates_wc_rate_inr_pa,1),INDEX(pvals_wc_rate_inr_pa,1),INDEX(pvals_wc_rate_inr_pa,MATCH($A171,pdates_wc_rate_inr_pa,1)))</f>
        <v/>
      </c>
      <c r="V171" s="8">
        <f>IF(AND($A171&gt;=customs_fx_first,$A171&lt;=customs_fx_last+customs_fx_notification_validity_days),IF($A171&lt;=INDEX(pdates_customs_usdinr_import,1),INDEX(pvals_customs_usdinr_import,1),INDEX(pvals_customs_usdinr_import,MATCH($A171,pdates_customs_usdinr_import,1))),$F171*(1+customs_fx_markup_frac))</f>
        <v/>
      </c>
      <c r="W171" s="8">
        <f>IF(AND($A171&gt;=customs_fx_first,$A171&lt;=customs_fx_last+customs_fx_notification_validity_days),"CBIC_NOTIFIED","MARKUP_FALLBACK")</f>
        <v/>
      </c>
      <c r="X171" s="8">
        <f>IF($A171&lt;=INDEX(pdates_grade_factor_zorba,1),INDEX(pvals_grade_factor_zorba,1),IF($A171&gt;=INDEX(pdates_grade_factor_zorba,10),INDEX(pvals_grade_factor_zorba,10),INDEX(pvals_grade_factor_zorba,MATCH($A171,pdates_grade_factor_zorba,1))+($A171-INDEX(pdates_grade_factor_zorba,MATCH($A171,pdates_grade_factor_zorba,1)))/(INDEX(pdates_grade_factor_zorba,MATCH($A171,pdates_grade_factor_zorba,1)+1)-INDEX(pdates_grade_factor_zorba,MATCH($A171,pdates_grade_factor_zorba,1)))*(INDEX(pvals_grade_factor_zorba,MATCH($A171,pdates_grade_factor_zorba,1)+1)-INDEX(pvals_grade_factor_zorba,MATCH($A171,pdates_grade_factor_zorba,1)))))</f>
        <v/>
      </c>
      <c r="Y171" s="8">
        <f>IF($A171&lt;=INDEX(pdates_grade_factor_taint_tabor,1),INDEX(pvals_grade_factor_taint_tabor,1),IF($A171&gt;=INDEX(pdates_grade_factor_taint_tabor,10),INDEX(pvals_grade_factor_taint_tabor,10),INDEX(pvals_grade_factor_taint_tabor,MATCH($A171,pdates_grade_factor_taint_tabor,1))+($A171-INDEX(pdates_grade_factor_taint_tabor,MATCH($A171,pdates_grade_factor_taint_tabor,1)))/(INDEX(pdates_grade_factor_taint_tabor,MATCH($A171,pdates_grade_factor_taint_tabor,1)+1)-INDEX(pdates_grade_factor_taint_tabor,MATCH($A171,pdates_grade_factor_taint_tabor,1)))*(INDEX(pvals_grade_factor_taint_tabor,MATCH($A171,pdates_grade_factor_taint_tabor,1)+1)-INDEX(pvals_grade_factor_taint_tabor,MATCH($A171,pdates_grade_factor_taint_tabor,1)))))</f>
        <v/>
      </c>
      <c r="Z171" s="8">
        <f>IF($A171&lt;=INDEX(pdates_grade_factor_tense,1),INDEX(pvals_grade_factor_tense,1),IF($A171&gt;=INDEX(pdates_grade_factor_tense,10),INDEX(pvals_grade_factor_tense,10),INDEX(pvals_grade_factor_tense,MATCH($A171,pdates_grade_factor_tense,1))+($A171-INDEX(pdates_grade_factor_tense,MATCH($A171,pdates_grade_factor_tense,1)))/(INDEX(pdates_grade_factor_tense,MATCH($A171,pdates_grade_factor_tense,1)+1)-INDEX(pdates_grade_factor_tense,MATCH($A171,pdates_grade_factor_tense,1)))*(INDEX(pvals_grade_factor_tense,MATCH($A171,pdates_grade_factor_tense,1)+1)-INDEX(pvals_grade_factor_tense,MATCH($A171,pdates_grade_factor_tense,1)))))</f>
        <v/>
      </c>
      <c r="AA171" s="8">
        <f>IF($A171&lt;=INDEX(pdates_grade_factor_mix_pit,1),INDEX(pvals_grade_factor_mix_pit,1),IF($A171&gt;=INDEX(pdates_grade_factor_mix_pit,10),INDEX(pvals_grade_factor_mix_pit,10),INDEX(pvals_grade_factor_mix_pit,MATCH($A171,pdates_grade_factor_mix_pit,1))+($A171-INDEX(pdates_grade_factor_mix_pit,MATCH($A171,pdates_grade_factor_mix_pit,1)))/(INDEX(pdates_grade_factor_mix_pit,MATCH($A171,pdates_grade_factor_mix_pit,1)+1)-INDEX(pdates_grade_factor_mix_pit,MATCH($A171,pdates_grade_factor_mix_pit,1)))*(INDEX(pvals_grade_factor_mix_pit,MATCH($A171,pdates_grade_factor_mix_pit,1)+1)-INDEX(pvals_grade_factor_mix_pit,MATCH($A171,pdates_grade_factor_mix_pit,1)))))</f>
        <v/>
      </c>
      <c r="AB171" s="16">
        <f>($B171*$F171/kg_per_mt*(1+bcd_primary_al_hs7601*(1+sws_rate_on_bcd))+mcx_domestic_premium_inr_kg)*(1+$I171*MAX(0,$Q171-$A171)/day_count_inr)</f>
        <v/>
      </c>
      <c r="AC171" s="16">
        <f>$M171-$AB171</f>
        <v/>
      </c>
      <c r="AD171" s="7" t="inlineStr">
        <is>
          <t>PROXY_IMPORT_PARITY</t>
        </is>
      </c>
      <c r="AE171" s="7" t="inlineStr">
        <is>
          <t>ECB_CROSS</t>
        </is>
      </c>
      <c r="AF171" s="7" t="inlineStr">
        <is>
          <t>WCI_REPORTED|USEC:ANCHORED|JEA:ASSUMPTION</t>
        </is>
      </c>
      <c r="AG171" s="17" t="b">
        <v>0</v>
      </c>
      <c r="AH171" s="17" t="b">
        <v>1</v>
      </c>
    </row>
    <row r="172">
      <c r="A172" s="11" t="n">
        <v>44805</v>
      </c>
      <c r="B172" s="13" t="n">
        <v>2306</v>
      </c>
      <c r="C172" s="13" t="n">
        <v>2301.5</v>
      </c>
      <c r="D172" s="13" t="n">
        <v>4.5</v>
      </c>
      <c r="E172" s="13" t="n">
        <v>276375</v>
      </c>
      <c r="F172" s="13" t="n">
        <v>79.5877</v>
      </c>
      <c r="G172" s="6" t="n">
        <v>79.77370000000001</v>
      </c>
      <c r="H172" s="6" t="n">
        <v>80.14919999999999</v>
      </c>
      <c r="I172" s="14" t="n">
        <v>0.057905</v>
      </c>
      <c r="J172" s="14" t="n">
        <v>0.028997</v>
      </c>
      <c r="K172" s="14" t="n">
        <v>0.054</v>
      </c>
      <c r="L172" s="13" t="n">
        <v>198.6704</v>
      </c>
      <c r="M172" s="13" t="n">
        <v>199.5844</v>
      </c>
      <c r="N172" s="13" t="n">
        <v>200.5615</v>
      </c>
      <c r="O172" s="13" t="n">
        <v>15.73</v>
      </c>
      <c r="P172" s="13" t="n">
        <v>69.76000000000001</v>
      </c>
      <c r="Q172" s="12" t="n">
        <v>44834</v>
      </c>
      <c r="R172" s="12" t="n">
        <v>44865</v>
      </c>
      <c r="S172" s="8">
        <f>YEAR($Q172)*100+MONTH($Q172)</f>
        <v/>
      </c>
      <c r="T172" s="8">
        <f>YEAR($R172)*100+MONTH($R172)</f>
        <v/>
      </c>
      <c r="U172" s="15">
        <f>IF($A172&lt;=INDEX(pdates_wc_rate_inr_pa,1),INDEX(pvals_wc_rate_inr_pa,1),INDEX(pvals_wc_rate_inr_pa,MATCH($A172,pdates_wc_rate_inr_pa,1)))</f>
        <v/>
      </c>
      <c r="V172" s="8">
        <f>IF(AND($A172&gt;=customs_fx_first,$A172&lt;=customs_fx_last+customs_fx_notification_validity_days),IF($A172&lt;=INDEX(pdates_customs_usdinr_import,1),INDEX(pvals_customs_usdinr_import,1),INDEX(pvals_customs_usdinr_import,MATCH($A172,pdates_customs_usdinr_import,1))),$F172*(1+customs_fx_markup_frac))</f>
        <v/>
      </c>
      <c r="W172" s="8">
        <f>IF(AND($A172&gt;=customs_fx_first,$A172&lt;=customs_fx_last+customs_fx_notification_validity_days),"CBIC_NOTIFIED","MARKUP_FALLBACK")</f>
        <v/>
      </c>
      <c r="X172" s="8">
        <f>IF($A172&lt;=INDEX(pdates_grade_factor_zorba,1),INDEX(pvals_grade_factor_zorba,1),IF($A172&gt;=INDEX(pdates_grade_factor_zorba,10),INDEX(pvals_grade_factor_zorba,10),INDEX(pvals_grade_factor_zorba,MATCH($A172,pdates_grade_factor_zorba,1))+($A172-INDEX(pdates_grade_factor_zorba,MATCH($A172,pdates_grade_factor_zorba,1)))/(INDEX(pdates_grade_factor_zorba,MATCH($A172,pdates_grade_factor_zorba,1)+1)-INDEX(pdates_grade_factor_zorba,MATCH($A172,pdates_grade_factor_zorba,1)))*(INDEX(pvals_grade_factor_zorba,MATCH($A172,pdates_grade_factor_zorba,1)+1)-INDEX(pvals_grade_factor_zorba,MATCH($A172,pdates_grade_factor_zorba,1)))))</f>
        <v/>
      </c>
      <c r="Y172" s="8">
        <f>IF($A172&lt;=INDEX(pdates_grade_factor_taint_tabor,1),INDEX(pvals_grade_factor_taint_tabor,1),IF($A172&gt;=INDEX(pdates_grade_factor_taint_tabor,10),INDEX(pvals_grade_factor_taint_tabor,10),INDEX(pvals_grade_factor_taint_tabor,MATCH($A172,pdates_grade_factor_taint_tabor,1))+($A172-INDEX(pdates_grade_factor_taint_tabor,MATCH($A172,pdates_grade_factor_taint_tabor,1)))/(INDEX(pdates_grade_factor_taint_tabor,MATCH($A172,pdates_grade_factor_taint_tabor,1)+1)-INDEX(pdates_grade_factor_taint_tabor,MATCH($A172,pdates_grade_factor_taint_tabor,1)))*(INDEX(pvals_grade_factor_taint_tabor,MATCH($A172,pdates_grade_factor_taint_tabor,1)+1)-INDEX(pvals_grade_factor_taint_tabor,MATCH($A172,pdates_grade_factor_taint_tabor,1)))))</f>
        <v/>
      </c>
      <c r="Z172" s="8">
        <f>IF($A172&lt;=INDEX(pdates_grade_factor_tense,1),INDEX(pvals_grade_factor_tense,1),IF($A172&gt;=INDEX(pdates_grade_factor_tense,10),INDEX(pvals_grade_factor_tense,10),INDEX(pvals_grade_factor_tense,MATCH($A172,pdates_grade_factor_tense,1))+($A172-INDEX(pdates_grade_factor_tense,MATCH($A172,pdates_grade_factor_tense,1)))/(INDEX(pdates_grade_factor_tense,MATCH($A172,pdates_grade_factor_tense,1)+1)-INDEX(pdates_grade_factor_tense,MATCH($A172,pdates_grade_factor_tense,1)))*(INDEX(pvals_grade_factor_tense,MATCH($A172,pdates_grade_factor_tense,1)+1)-INDEX(pvals_grade_factor_tense,MATCH($A172,pdates_grade_factor_tense,1)))))</f>
        <v/>
      </c>
      <c r="AA172" s="8">
        <f>IF($A172&lt;=INDEX(pdates_grade_factor_mix_pit,1),INDEX(pvals_grade_factor_mix_pit,1),IF($A172&gt;=INDEX(pdates_grade_factor_mix_pit,10),INDEX(pvals_grade_factor_mix_pit,10),INDEX(pvals_grade_factor_mix_pit,MATCH($A172,pdates_grade_factor_mix_pit,1))+($A172-INDEX(pdates_grade_factor_mix_pit,MATCH($A172,pdates_grade_factor_mix_pit,1)))/(INDEX(pdates_grade_factor_mix_pit,MATCH($A172,pdates_grade_factor_mix_pit,1)+1)-INDEX(pdates_grade_factor_mix_pit,MATCH($A172,pdates_grade_factor_mix_pit,1)))*(INDEX(pvals_grade_factor_mix_pit,MATCH($A172,pdates_grade_factor_mix_pit,1)+1)-INDEX(pvals_grade_factor_mix_pit,MATCH($A172,pdates_grade_factor_mix_pit,1)))))</f>
        <v/>
      </c>
      <c r="AB172" s="16">
        <f>($B172*$F172/kg_per_mt*(1+bcd_primary_al_hs7601*(1+sws_rate_on_bcd))+mcx_domestic_premium_inr_kg)*(1+$I172*MAX(0,$Q172-$A172)/day_count_inr)</f>
        <v/>
      </c>
      <c r="AC172" s="16">
        <f>$M172-$AB172</f>
        <v/>
      </c>
      <c r="AD172" s="7" t="inlineStr">
        <is>
          <t>PROXY_IMPORT_PARITY</t>
        </is>
      </c>
      <c r="AE172" s="7" t="inlineStr">
        <is>
          <t>ECB_CROSS</t>
        </is>
      </c>
      <c r="AF172" s="7" t="inlineStr">
        <is>
          <t>WCI_REPORTED|USEC:ANCHORED|JEA:ASSUMPTION</t>
        </is>
      </c>
      <c r="AG172" s="17" t="b">
        <v>0</v>
      </c>
      <c r="AH172" s="17" t="b">
        <v>0</v>
      </c>
    </row>
    <row r="173">
      <c r="A173" s="11" t="n">
        <v>44806</v>
      </c>
      <c r="B173" s="13" t="n">
        <v>2309</v>
      </c>
      <c r="C173" s="13" t="n">
        <v>2301</v>
      </c>
      <c r="D173" s="13" t="n">
        <v>8</v>
      </c>
      <c r="E173" s="13" t="n">
        <v>276050</v>
      </c>
      <c r="F173" s="13" t="n">
        <v>79.8655</v>
      </c>
      <c r="G173" s="6" t="n">
        <v>80.05410000000001</v>
      </c>
      <c r="H173" s="6" t="n">
        <v>80.4349</v>
      </c>
      <c r="I173" s="14" t="n">
        <v>0.057905</v>
      </c>
      <c r="J173" s="14" t="n">
        <v>0.028701</v>
      </c>
      <c r="K173" s="14" t="n">
        <v>0.054</v>
      </c>
      <c r="L173" s="13" t="n">
        <v>199.6232</v>
      </c>
      <c r="M173" s="13" t="n">
        <v>200.51</v>
      </c>
      <c r="N173" s="13" t="n">
        <v>201.4917</v>
      </c>
      <c r="O173" s="13" t="n">
        <v>15.73</v>
      </c>
      <c r="P173" s="13" t="n">
        <v>69.76000000000001</v>
      </c>
      <c r="Q173" s="12" t="n">
        <v>44834</v>
      </c>
      <c r="R173" s="12" t="n">
        <v>44865</v>
      </c>
      <c r="S173" s="8">
        <f>YEAR($Q173)*100+MONTH($Q173)</f>
        <v/>
      </c>
      <c r="T173" s="8">
        <f>YEAR($R173)*100+MONTH($R173)</f>
        <v/>
      </c>
      <c r="U173" s="15">
        <f>IF($A173&lt;=INDEX(pdates_wc_rate_inr_pa,1),INDEX(pvals_wc_rate_inr_pa,1),INDEX(pvals_wc_rate_inr_pa,MATCH($A173,pdates_wc_rate_inr_pa,1)))</f>
        <v/>
      </c>
      <c r="V173" s="8">
        <f>IF(AND($A173&gt;=customs_fx_first,$A173&lt;=customs_fx_last+customs_fx_notification_validity_days),IF($A173&lt;=INDEX(pdates_customs_usdinr_import,1),INDEX(pvals_customs_usdinr_import,1),INDEX(pvals_customs_usdinr_import,MATCH($A173,pdates_customs_usdinr_import,1))),$F173*(1+customs_fx_markup_frac))</f>
        <v/>
      </c>
      <c r="W173" s="8">
        <f>IF(AND($A173&gt;=customs_fx_first,$A173&lt;=customs_fx_last+customs_fx_notification_validity_days),"CBIC_NOTIFIED","MARKUP_FALLBACK")</f>
        <v/>
      </c>
      <c r="X173" s="8">
        <f>IF($A173&lt;=INDEX(pdates_grade_factor_zorba,1),INDEX(pvals_grade_factor_zorba,1),IF($A173&gt;=INDEX(pdates_grade_factor_zorba,10),INDEX(pvals_grade_factor_zorba,10),INDEX(pvals_grade_factor_zorba,MATCH($A173,pdates_grade_factor_zorba,1))+($A173-INDEX(pdates_grade_factor_zorba,MATCH($A173,pdates_grade_factor_zorba,1)))/(INDEX(pdates_grade_factor_zorba,MATCH($A173,pdates_grade_factor_zorba,1)+1)-INDEX(pdates_grade_factor_zorba,MATCH($A173,pdates_grade_factor_zorba,1)))*(INDEX(pvals_grade_factor_zorba,MATCH($A173,pdates_grade_factor_zorba,1)+1)-INDEX(pvals_grade_factor_zorba,MATCH($A173,pdates_grade_factor_zorba,1)))))</f>
        <v/>
      </c>
      <c r="Y173" s="8">
        <f>IF($A173&lt;=INDEX(pdates_grade_factor_taint_tabor,1),INDEX(pvals_grade_factor_taint_tabor,1),IF($A173&gt;=INDEX(pdates_grade_factor_taint_tabor,10),INDEX(pvals_grade_factor_taint_tabor,10),INDEX(pvals_grade_factor_taint_tabor,MATCH($A173,pdates_grade_factor_taint_tabor,1))+($A173-INDEX(pdates_grade_factor_taint_tabor,MATCH($A173,pdates_grade_factor_taint_tabor,1)))/(INDEX(pdates_grade_factor_taint_tabor,MATCH($A173,pdates_grade_factor_taint_tabor,1)+1)-INDEX(pdates_grade_factor_taint_tabor,MATCH($A173,pdates_grade_factor_taint_tabor,1)))*(INDEX(pvals_grade_factor_taint_tabor,MATCH($A173,pdates_grade_factor_taint_tabor,1)+1)-INDEX(pvals_grade_factor_taint_tabor,MATCH($A173,pdates_grade_factor_taint_tabor,1)))))</f>
        <v/>
      </c>
      <c r="Z173" s="8">
        <f>IF($A173&lt;=INDEX(pdates_grade_factor_tense,1),INDEX(pvals_grade_factor_tense,1),IF($A173&gt;=INDEX(pdates_grade_factor_tense,10),INDEX(pvals_grade_factor_tense,10),INDEX(pvals_grade_factor_tense,MATCH($A173,pdates_grade_factor_tense,1))+($A173-INDEX(pdates_grade_factor_tense,MATCH($A173,pdates_grade_factor_tense,1)))/(INDEX(pdates_grade_factor_tense,MATCH($A173,pdates_grade_factor_tense,1)+1)-INDEX(pdates_grade_factor_tense,MATCH($A173,pdates_grade_factor_tense,1)))*(INDEX(pvals_grade_factor_tense,MATCH($A173,pdates_grade_factor_tense,1)+1)-INDEX(pvals_grade_factor_tense,MATCH($A173,pdates_grade_factor_tense,1)))))</f>
        <v/>
      </c>
      <c r="AA173" s="8">
        <f>IF($A173&lt;=INDEX(pdates_grade_factor_mix_pit,1),INDEX(pvals_grade_factor_mix_pit,1),IF($A173&gt;=INDEX(pdates_grade_factor_mix_pit,10),INDEX(pvals_grade_factor_mix_pit,10),INDEX(pvals_grade_factor_mix_pit,MATCH($A173,pdates_grade_factor_mix_pit,1))+($A173-INDEX(pdates_grade_factor_mix_pit,MATCH($A173,pdates_grade_factor_mix_pit,1)))/(INDEX(pdates_grade_factor_mix_pit,MATCH($A173,pdates_grade_factor_mix_pit,1)+1)-INDEX(pdates_grade_factor_mix_pit,MATCH($A173,pdates_grade_factor_mix_pit,1)))*(INDEX(pvals_grade_factor_mix_pit,MATCH($A173,pdates_grade_factor_mix_pit,1)+1)-INDEX(pvals_grade_factor_mix_pit,MATCH($A173,pdates_grade_factor_mix_pit,1)))))</f>
        <v/>
      </c>
      <c r="AB173" s="16">
        <f>($B173*$F173/kg_per_mt*(1+bcd_primary_al_hs7601*(1+sws_rate_on_bcd))+mcx_domestic_premium_inr_kg)*(1+$I173*MAX(0,$Q173-$A173)/day_count_inr)</f>
        <v/>
      </c>
      <c r="AC173" s="16">
        <f>$M173-$AB173</f>
        <v/>
      </c>
      <c r="AD173" s="7" t="inlineStr">
        <is>
          <t>PROXY_IMPORT_PARITY</t>
        </is>
      </c>
      <c r="AE173" s="7" t="inlineStr">
        <is>
          <t>ECB_CROSS</t>
        </is>
      </c>
      <c r="AF173" s="7" t="inlineStr">
        <is>
          <t>WCI_REPORTED|USEC:ANCHORED|JEA:ASSUMPTION</t>
        </is>
      </c>
      <c r="AG173" s="17" t="b">
        <v>0</v>
      </c>
      <c r="AH173" s="17" t="b">
        <v>1</v>
      </c>
    </row>
    <row r="174">
      <c r="A174" s="11" t="n">
        <v>44809</v>
      </c>
      <c r="B174" s="13" t="n">
        <v>2290.5</v>
      </c>
      <c r="C174" s="13" t="n">
        <v>2290</v>
      </c>
      <c r="D174" s="13" t="n">
        <v>0.5</v>
      </c>
      <c r="E174" s="13" t="n">
        <v>277050</v>
      </c>
      <c r="F174" s="13" t="n">
        <v>79.87220000000001</v>
      </c>
      <c r="G174" s="6" t="n">
        <v>80.0608</v>
      </c>
      <c r="H174" s="6" t="n">
        <v>80.44159999999999</v>
      </c>
      <c r="I174" s="14" t="n">
        <v>0.057905</v>
      </c>
      <c r="J174" s="14" t="n">
        <v>0.028701</v>
      </c>
      <c r="K174" s="14" t="n">
        <v>0.054</v>
      </c>
      <c r="L174" s="13" t="n">
        <v>198.0404</v>
      </c>
      <c r="M174" s="13" t="n">
        <v>198.8259</v>
      </c>
      <c r="N174" s="13" t="n">
        <v>199.7998</v>
      </c>
      <c r="O174" s="13" t="n">
        <v>15.73</v>
      </c>
      <c r="P174" s="13" t="n">
        <v>69.76000000000001</v>
      </c>
      <c r="Q174" s="12" t="n">
        <v>44834</v>
      </c>
      <c r="R174" s="12" t="n">
        <v>44865</v>
      </c>
      <c r="S174" s="8">
        <f>YEAR($Q174)*100+MONTH($Q174)</f>
        <v/>
      </c>
      <c r="T174" s="8">
        <f>YEAR($R174)*100+MONTH($R174)</f>
        <v/>
      </c>
      <c r="U174" s="15">
        <f>IF($A174&lt;=INDEX(pdates_wc_rate_inr_pa,1),INDEX(pvals_wc_rate_inr_pa,1),INDEX(pvals_wc_rate_inr_pa,MATCH($A174,pdates_wc_rate_inr_pa,1)))</f>
        <v/>
      </c>
      <c r="V174" s="8">
        <f>IF(AND($A174&gt;=customs_fx_first,$A174&lt;=customs_fx_last+customs_fx_notification_validity_days),IF($A174&lt;=INDEX(pdates_customs_usdinr_import,1),INDEX(pvals_customs_usdinr_import,1),INDEX(pvals_customs_usdinr_import,MATCH($A174,pdates_customs_usdinr_import,1))),$F174*(1+customs_fx_markup_frac))</f>
        <v/>
      </c>
      <c r="W174" s="8">
        <f>IF(AND($A174&gt;=customs_fx_first,$A174&lt;=customs_fx_last+customs_fx_notification_validity_days),"CBIC_NOTIFIED","MARKUP_FALLBACK")</f>
        <v/>
      </c>
      <c r="X174" s="8">
        <f>IF($A174&lt;=INDEX(pdates_grade_factor_zorba,1),INDEX(pvals_grade_factor_zorba,1),IF($A174&gt;=INDEX(pdates_grade_factor_zorba,10),INDEX(pvals_grade_factor_zorba,10),INDEX(pvals_grade_factor_zorba,MATCH($A174,pdates_grade_factor_zorba,1))+($A174-INDEX(pdates_grade_factor_zorba,MATCH($A174,pdates_grade_factor_zorba,1)))/(INDEX(pdates_grade_factor_zorba,MATCH($A174,pdates_grade_factor_zorba,1)+1)-INDEX(pdates_grade_factor_zorba,MATCH($A174,pdates_grade_factor_zorba,1)))*(INDEX(pvals_grade_factor_zorba,MATCH($A174,pdates_grade_factor_zorba,1)+1)-INDEX(pvals_grade_factor_zorba,MATCH($A174,pdates_grade_factor_zorba,1)))))</f>
        <v/>
      </c>
      <c r="Y174" s="8">
        <f>IF($A174&lt;=INDEX(pdates_grade_factor_taint_tabor,1),INDEX(pvals_grade_factor_taint_tabor,1),IF($A174&gt;=INDEX(pdates_grade_factor_taint_tabor,10),INDEX(pvals_grade_factor_taint_tabor,10),INDEX(pvals_grade_factor_taint_tabor,MATCH($A174,pdates_grade_factor_taint_tabor,1))+($A174-INDEX(pdates_grade_factor_taint_tabor,MATCH($A174,pdates_grade_factor_taint_tabor,1)))/(INDEX(pdates_grade_factor_taint_tabor,MATCH($A174,pdates_grade_factor_taint_tabor,1)+1)-INDEX(pdates_grade_factor_taint_tabor,MATCH($A174,pdates_grade_factor_taint_tabor,1)))*(INDEX(pvals_grade_factor_taint_tabor,MATCH($A174,pdates_grade_factor_taint_tabor,1)+1)-INDEX(pvals_grade_factor_taint_tabor,MATCH($A174,pdates_grade_factor_taint_tabor,1)))))</f>
        <v/>
      </c>
      <c r="Z174" s="8">
        <f>IF($A174&lt;=INDEX(pdates_grade_factor_tense,1),INDEX(pvals_grade_factor_tense,1),IF($A174&gt;=INDEX(pdates_grade_factor_tense,10),INDEX(pvals_grade_factor_tense,10),INDEX(pvals_grade_factor_tense,MATCH($A174,pdates_grade_factor_tense,1))+($A174-INDEX(pdates_grade_factor_tense,MATCH($A174,pdates_grade_factor_tense,1)))/(INDEX(pdates_grade_factor_tense,MATCH($A174,pdates_grade_factor_tense,1)+1)-INDEX(pdates_grade_factor_tense,MATCH($A174,pdates_grade_factor_tense,1)))*(INDEX(pvals_grade_factor_tense,MATCH($A174,pdates_grade_factor_tense,1)+1)-INDEX(pvals_grade_factor_tense,MATCH($A174,pdates_grade_factor_tense,1)))))</f>
        <v/>
      </c>
      <c r="AA174" s="8">
        <f>IF($A174&lt;=INDEX(pdates_grade_factor_mix_pit,1),INDEX(pvals_grade_factor_mix_pit,1),IF($A174&gt;=INDEX(pdates_grade_factor_mix_pit,10),INDEX(pvals_grade_factor_mix_pit,10),INDEX(pvals_grade_factor_mix_pit,MATCH($A174,pdates_grade_factor_mix_pit,1))+($A174-INDEX(pdates_grade_factor_mix_pit,MATCH($A174,pdates_grade_factor_mix_pit,1)))/(INDEX(pdates_grade_factor_mix_pit,MATCH($A174,pdates_grade_factor_mix_pit,1)+1)-INDEX(pdates_grade_factor_mix_pit,MATCH($A174,pdates_grade_factor_mix_pit,1)))*(INDEX(pvals_grade_factor_mix_pit,MATCH($A174,pdates_grade_factor_mix_pit,1)+1)-INDEX(pvals_grade_factor_mix_pit,MATCH($A174,pdates_grade_factor_mix_pit,1)))))</f>
        <v/>
      </c>
      <c r="AB174" s="16">
        <f>($B174*$F174/kg_per_mt*(1+bcd_primary_al_hs7601*(1+sws_rate_on_bcd))+mcx_domestic_premium_inr_kg)*(1+$I174*MAX(0,$Q174-$A174)/day_count_inr)</f>
        <v/>
      </c>
      <c r="AC174" s="16">
        <f>$M174-$AB174</f>
        <v/>
      </c>
      <c r="AD174" s="7" t="inlineStr">
        <is>
          <t>PROXY_IMPORT_PARITY</t>
        </is>
      </c>
      <c r="AE174" s="7" t="inlineStr">
        <is>
          <t>ECB_CROSS</t>
        </is>
      </c>
      <c r="AF174" s="7" t="inlineStr">
        <is>
          <t>WCI_REPORTED|USEC:ANCHORED|JEA:ASSUMPTION</t>
        </is>
      </c>
      <c r="AG174" s="17" t="b">
        <v>0</v>
      </c>
      <c r="AH174" s="17" t="b">
        <v>1</v>
      </c>
    </row>
    <row r="175">
      <c r="A175" s="11" t="n">
        <v>44810</v>
      </c>
      <c r="B175" s="13" t="n">
        <v>2260</v>
      </c>
      <c r="C175" s="13" t="n">
        <v>2263</v>
      </c>
      <c r="D175" s="13" t="n">
        <v>-3</v>
      </c>
      <c r="E175" s="13" t="n">
        <v>308375</v>
      </c>
      <c r="F175" s="13" t="n">
        <v>79.8051</v>
      </c>
      <c r="G175" s="6" t="n">
        <v>79.9864</v>
      </c>
      <c r="H175" s="6" t="n">
        <v>80.3522</v>
      </c>
      <c r="I175" s="14" t="n">
        <v>0.057905</v>
      </c>
      <c r="J175" s="14" t="n">
        <v>0.029786</v>
      </c>
      <c r="K175" s="14" t="n">
        <v>0.054</v>
      </c>
      <c r="L175" s="13" t="n">
        <v>195.2392</v>
      </c>
      <c r="M175" s="13" t="n">
        <v>195.9826</v>
      </c>
      <c r="N175" s="13" t="n">
        <v>196.9427</v>
      </c>
      <c r="O175" s="13" t="n">
        <v>15.73</v>
      </c>
      <c r="P175" s="13" t="n">
        <v>69.76000000000001</v>
      </c>
      <c r="Q175" s="12" t="n">
        <v>44834</v>
      </c>
      <c r="R175" s="12" t="n">
        <v>44865</v>
      </c>
      <c r="S175" s="8">
        <f>YEAR($Q175)*100+MONTH($Q175)</f>
        <v/>
      </c>
      <c r="T175" s="8">
        <f>YEAR($R175)*100+MONTH($R175)</f>
        <v/>
      </c>
      <c r="U175" s="15">
        <f>IF($A175&lt;=INDEX(pdates_wc_rate_inr_pa,1),INDEX(pvals_wc_rate_inr_pa,1),INDEX(pvals_wc_rate_inr_pa,MATCH($A175,pdates_wc_rate_inr_pa,1)))</f>
        <v/>
      </c>
      <c r="V175" s="8">
        <f>IF(AND($A175&gt;=customs_fx_first,$A175&lt;=customs_fx_last+customs_fx_notification_validity_days),IF($A175&lt;=INDEX(pdates_customs_usdinr_import,1),INDEX(pvals_customs_usdinr_import,1),INDEX(pvals_customs_usdinr_import,MATCH($A175,pdates_customs_usdinr_import,1))),$F175*(1+customs_fx_markup_frac))</f>
        <v/>
      </c>
      <c r="W175" s="8">
        <f>IF(AND($A175&gt;=customs_fx_first,$A175&lt;=customs_fx_last+customs_fx_notification_validity_days),"CBIC_NOTIFIED","MARKUP_FALLBACK")</f>
        <v/>
      </c>
      <c r="X175" s="8">
        <f>IF($A175&lt;=INDEX(pdates_grade_factor_zorba,1),INDEX(pvals_grade_factor_zorba,1),IF($A175&gt;=INDEX(pdates_grade_factor_zorba,10),INDEX(pvals_grade_factor_zorba,10),INDEX(pvals_grade_factor_zorba,MATCH($A175,pdates_grade_factor_zorba,1))+($A175-INDEX(pdates_grade_factor_zorba,MATCH($A175,pdates_grade_factor_zorba,1)))/(INDEX(pdates_grade_factor_zorba,MATCH($A175,pdates_grade_factor_zorba,1)+1)-INDEX(pdates_grade_factor_zorba,MATCH($A175,pdates_grade_factor_zorba,1)))*(INDEX(pvals_grade_factor_zorba,MATCH($A175,pdates_grade_factor_zorba,1)+1)-INDEX(pvals_grade_factor_zorba,MATCH($A175,pdates_grade_factor_zorba,1)))))</f>
        <v/>
      </c>
      <c r="Y175" s="8">
        <f>IF($A175&lt;=INDEX(pdates_grade_factor_taint_tabor,1),INDEX(pvals_grade_factor_taint_tabor,1),IF($A175&gt;=INDEX(pdates_grade_factor_taint_tabor,10),INDEX(pvals_grade_factor_taint_tabor,10),INDEX(pvals_grade_factor_taint_tabor,MATCH($A175,pdates_grade_factor_taint_tabor,1))+($A175-INDEX(pdates_grade_factor_taint_tabor,MATCH($A175,pdates_grade_factor_taint_tabor,1)))/(INDEX(pdates_grade_factor_taint_tabor,MATCH($A175,pdates_grade_factor_taint_tabor,1)+1)-INDEX(pdates_grade_factor_taint_tabor,MATCH($A175,pdates_grade_factor_taint_tabor,1)))*(INDEX(pvals_grade_factor_taint_tabor,MATCH($A175,pdates_grade_factor_taint_tabor,1)+1)-INDEX(pvals_grade_factor_taint_tabor,MATCH($A175,pdates_grade_factor_taint_tabor,1)))))</f>
        <v/>
      </c>
      <c r="Z175" s="8">
        <f>IF($A175&lt;=INDEX(pdates_grade_factor_tense,1),INDEX(pvals_grade_factor_tense,1),IF($A175&gt;=INDEX(pdates_grade_factor_tense,10),INDEX(pvals_grade_factor_tense,10),INDEX(pvals_grade_factor_tense,MATCH($A175,pdates_grade_factor_tense,1))+($A175-INDEX(pdates_grade_factor_tense,MATCH($A175,pdates_grade_factor_tense,1)))/(INDEX(pdates_grade_factor_tense,MATCH($A175,pdates_grade_factor_tense,1)+1)-INDEX(pdates_grade_factor_tense,MATCH($A175,pdates_grade_factor_tense,1)))*(INDEX(pvals_grade_factor_tense,MATCH($A175,pdates_grade_factor_tense,1)+1)-INDEX(pvals_grade_factor_tense,MATCH($A175,pdates_grade_factor_tense,1)))))</f>
        <v/>
      </c>
      <c r="AA175" s="8">
        <f>IF($A175&lt;=INDEX(pdates_grade_factor_mix_pit,1),INDEX(pvals_grade_factor_mix_pit,1),IF($A175&gt;=INDEX(pdates_grade_factor_mix_pit,10),INDEX(pvals_grade_factor_mix_pit,10),INDEX(pvals_grade_factor_mix_pit,MATCH($A175,pdates_grade_factor_mix_pit,1))+($A175-INDEX(pdates_grade_factor_mix_pit,MATCH($A175,pdates_grade_factor_mix_pit,1)))/(INDEX(pdates_grade_factor_mix_pit,MATCH($A175,pdates_grade_factor_mix_pit,1)+1)-INDEX(pdates_grade_factor_mix_pit,MATCH($A175,pdates_grade_factor_mix_pit,1)))*(INDEX(pvals_grade_factor_mix_pit,MATCH($A175,pdates_grade_factor_mix_pit,1)+1)-INDEX(pvals_grade_factor_mix_pit,MATCH($A175,pdates_grade_factor_mix_pit,1)))))</f>
        <v/>
      </c>
      <c r="AB175" s="16">
        <f>($B175*$F175/kg_per_mt*(1+bcd_primary_al_hs7601*(1+sws_rate_on_bcd))+mcx_domestic_premium_inr_kg)*(1+$I175*MAX(0,$Q175-$A175)/day_count_inr)</f>
        <v/>
      </c>
      <c r="AC175" s="16">
        <f>$M175-$AB175</f>
        <v/>
      </c>
      <c r="AD175" s="7" t="inlineStr">
        <is>
          <t>PROXY_IMPORT_PARITY</t>
        </is>
      </c>
      <c r="AE175" s="7" t="inlineStr">
        <is>
          <t>ECB_CROSS</t>
        </is>
      </c>
      <c r="AF175" s="7" t="inlineStr">
        <is>
          <t>WCI_REPORTED|USEC:ANCHORED|JEA:ASSUMPTION</t>
        </is>
      </c>
      <c r="AG175" s="17" t="b">
        <v>0</v>
      </c>
      <c r="AH175" s="17" t="b">
        <v>1</v>
      </c>
    </row>
    <row r="176">
      <c r="A176" s="11" t="n">
        <v>44811</v>
      </c>
      <c r="B176" s="13" t="n">
        <v>2230.5</v>
      </c>
      <c r="C176" s="13" t="n">
        <v>2238</v>
      </c>
      <c r="D176" s="13" t="n">
        <v>-7.5</v>
      </c>
      <c r="E176" s="13" t="n">
        <v>309500</v>
      </c>
      <c r="F176" s="13" t="n">
        <v>79.9474</v>
      </c>
      <c r="G176" s="6" t="n">
        <v>80.1277</v>
      </c>
      <c r="H176" s="6" t="n">
        <v>80.4915</v>
      </c>
      <c r="I176" s="14" t="n">
        <v>0.057905</v>
      </c>
      <c r="J176" s="14" t="n">
        <v>0.029984</v>
      </c>
      <c r="K176" s="14" t="n">
        <v>0.054</v>
      </c>
      <c r="L176" s="13" t="n">
        <v>193.0343</v>
      </c>
      <c r="M176" s="13" t="n">
        <v>193.7386</v>
      </c>
      <c r="N176" s="13" t="n">
        <v>194.688</v>
      </c>
      <c r="O176" s="13" t="n">
        <v>15.73</v>
      </c>
      <c r="P176" s="13" t="n">
        <v>69.76000000000001</v>
      </c>
      <c r="Q176" s="12" t="n">
        <v>44834</v>
      </c>
      <c r="R176" s="12" t="n">
        <v>44865</v>
      </c>
      <c r="S176" s="8">
        <f>YEAR($Q176)*100+MONTH($Q176)</f>
        <v/>
      </c>
      <c r="T176" s="8">
        <f>YEAR($R176)*100+MONTH($R176)</f>
        <v/>
      </c>
      <c r="U176" s="15">
        <f>IF($A176&lt;=INDEX(pdates_wc_rate_inr_pa,1),INDEX(pvals_wc_rate_inr_pa,1),INDEX(pvals_wc_rate_inr_pa,MATCH($A176,pdates_wc_rate_inr_pa,1)))</f>
        <v/>
      </c>
      <c r="V176" s="8">
        <f>IF(AND($A176&gt;=customs_fx_first,$A176&lt;=customs_fx_last+customs_fx_notification_validity_days),IF($A176&lt;=INDEX(pdates_customs_usdinr_import,1),INDEX(pvals_customs_usdinr_import,1),INDEX(pvals_customs_usdinr_import,MATCH($A176,pdates_customs_usdinr_import,1))),$F176*(1+customs_fx_markup_frac))</f>
        <v/>
      </c>
      <c r="W176" s="8">
        <f>IF(AND($A176&gt;=customs_fx_first,$A176&lt;=customs_fx_last+customs_fx_notification_validity_days),"CBIC_NOTIFIED","MARKUP_FALLBACK")</f>
        <v/>
      </c>
      <c r="X176" s="8">
        <f>IF($A176&lt;=INDEX(pdates_grade_factor_zorba,1),INDEX(pvals_grade_factor_zorba,1),IF($A176&gt;=INDEX(pdates_grade_factor_zorba,10),INDEX(pvals_grade_factor_zorba,10),INDEX(pvals_grade_factor_zorba,MATCH($A176,pdates_grade_factor_zorba,1))+($A176-INDEX(pdates_grade_factor_zorba,MATCH($A176,pdates_grade_factor_zorba,1)))/(INDEX(pdates_grade_factor_zorba,MATCH($A176,pdates_grade_factor_zorba,1)+1)-INDEX(pdates_grade_factor_zorba,MATCH($A176,pdates_grade_factor_zorba,1)))*(INDEX(pvals_grade_factor_zorba,MATCH($A176,pdates_grade_factor_zorba,1)+1)-INDEX(pvals_grade_factor_zorba,MATCH($A176,pdates_grade_factor_zorba,1)))))</f>
        <v/>
      </c>
      <c r="Y176" s="8">
        <f>IF($A176&lt;=INDEX(pdates_grade_factor_taint_tabor,1),INDEX(pvals_grade_factor_taint_tabor,1),IF($A176&gt;=INDEX(pdates_grade_factor_taint_tabor,10),INDEX(pvals_grade_factor_taint_tabor,10),INDEX(pvals_grade_factor_taint_tabor,MATCH($A176,pdates_grade_factor_taint_tabor,1))+($A176-INDEX(pdates_grade_factor_taint_tabor,MATCH($A176,pdates_grade_factor_taint_tabor,1)))/(INDEX(pdates_grade_factor_taint_tabor,MATCH($A176,pdates_grade_factor_taint_tabor,1)+1)-INDEX(pdates_grade_factor_taint_tabor,MATCH($A176,pdates_grade_factor_taint_tabor,1)))*(INDEX(pvals_grade_factor_taint_tabor,MATCH($A176,pdates_grade_factor_taint_tabor,1)+1)-INDEX(pvals_grade_factor_taint_tabor,MATCH($A176,pdates_grade_factor_taint_tabor,1)))))</f>
        <v/>
      </c>
      <c r="Z176" s="8">
        <f>IF($A176&lt;=INDEX(pdates_grade_factor_tense,1),INDEX(pvals_grade_factor_tense,1),IF($A176&gt;=INDEX(pdates_grade_factor_tense,10),INDEX(pvals_grade_factor_tense,10),INDEX(pvals_grade_factor_tense,MATCH($A176,pdates_grade_factor_tense,1))+($A176-INDEX(pdates_grade_factor_tense,MATCH($A176,pdates_grade_factor_tense,1)))/(INDEX(pdates_grade_factor_tense,MATCH($A176,pdates_grade_factor_tense,1)+1)-INDEX(pdates_grade_factor_tense,MATCH($A176,pdates_grade_factor_tense,1)))*(INDEX(pvals_grade_factor_tense,MATCH($A176,pdates_grade_factor_tense,1)+1)-INDEX(pvals_grade_factor_tense,MATCH($A176,pdates_grade_factor_tense,1)))))</f>
        <v/>
      </c>
      <c r="AA176" s="8">
        <f>IF($A176&lt;=INDEX(pdates_grade_factor_mix_pit,1),INDEX(pvals_grade_factor_mix_pit,1),IF($A176&gt;=INDEX(pdates_grade_factor_mix_pit,10),INDEX(pvals_grade_factor_mix_pit,10),INDEX(pvals_grade_factor_mix_pit,MATCH($A176,pdates_grade_factor_mix_pit,1))+($A176-INDEX(pdates_grade_factor_mix_pit,MATCH($A176,pdates_grade_factor_mix_pit,1)))/(INDEX(pdates_grade_factor_mix_pit,MATCH($A176,pdates_grade_factor_mix_pit,1)+1)-INDEX(pdates_grade_factor_mix_pit,MATCH($A176,pdates_grade_factor_mix_pit,1)))*(INDEX(pvals_grade_factor_mix_pit,MATCH($A176,pdates_grade_factor_mix_pit,1)+1)-INDEX(pvals_grade_factor_mix_pit,MATCH($A176,pdates_grade_factor_mix_pit,1)))))</f>
        <v/>
      </c>
      <c r="AB176" s="16">
        <f>($B176*$F176/kg_per_mt*(1+bcd_primary_al_hs7601*(1+sws_rate_on_bcd))+mcx_domestic_premium_inr_kg)*(1+$I176*MAX(0,$Q176-$A176)/day_count_inr)</f>
        <v/>
      </c>
      <c r="AC176" s="16">
        <f>$M176-$AB176</f>
        <v/>
      </c>
      <c r="AD176" s="7" t="inlineStr">
        <is>
          <t>PROXY_IMPORT_PARITY</t>
        </is>
      </c>
      <c r="AE176" s="7" t="inlineStr">
        <is>
          <t>ECB_CROSS</t>
        </is>
      </c>
      <c r="AF176" s="7" t="inlineStr">
        <is>
          <t>WCI_REPORTED|USEC:ANCHORED|JEA:ASSUMPTION</t>
        </is>
      </c>
      <c r="AG176" s="17" t="b">
        <v>0</v>
      </c>
      <c r="AH176" s="17" t="b">
        <v>1</v>
      </c>
    </row>
    <row r="177">
      <c r="A177" s="11" t="n">
        <v>44812</v>
      </c>
      <c r="B177" s="13" t="n">
        <v>2256</v>
      </c>
      <c r="C177" s="13" t="n">
        <v>2268</v>
      </c>
      <c r="D177" s="13" t="n">
        <v>-12</v>
      </c>
      <c r="E177" s="13" t="n">
        <v>309025</v>
      </c>
      <c r="F177" s="13" t="n">
        <v>79.6658</v>
      </c>
      <c r="G177" s="6" t="n">
        <v>79.84610000000001</v>
      </c>
      <c r="H177" s="6" t="n">
        <v>80.20999999999999</v>
      </c>
      <c r="I177" s="14" t="n">
        <v>0.057905</v>
      </c>
      <c r="J177" s="14" t="n">
        <v>0.029885</v>
      </c>
      <c r="K177" s="14" t="n">
        <v>0.054</v>
      </c>
      <c r="L177" s="13" t="n">
        <v>194.5534</v>
      </c>
      <c r="M177" s="13" t="n">
        <v>195.2325</v>
      </c>
      <c r="N177" s="13" t="n">
        <v>196.1893</v>
      </c>
      <c r="O177" s="13" t="n">
        <v>16.2</v>
      </c>
      <c r="P177" s="13" t="n">
        <v>71.84</v>
      </c>
      <c r="Q177" s="12" t="n">
        <v>44834</v>
      </c>
      <c r="R177" s="12" t="n">
        <v>44865</v>
      </c>
      <c r="S177" s="8">
        <f>YEAR($Q177)*100+MONTH($Q177)</f>
        <v/>
      </c>
      <c r="T177" s="8">
        <f>YEAR($R177)*100+MONTH($R177)</f>
        <v/>
      </c>
      <c r="U177" s="15">
        <f>IF($A177&lt;=INDEX(pdates_wc_rate_inr_pa,1),INDEX(pvals_wc_rate_inr_pa,1),INDEX(pvals_wc_rate_inr_pa,MATCH($A177,pdates_wc_rate_inr_pa,1)))</f>
        <v/>
      </c>
      <c r="V177" s="8">
        <f>IF(AND($A177&gt;=customs_fx_first,$A177&lt;=customs_fx_last+customs_fx_notification_validity_days),IF($A177&lt;=INDEX(pdates_customs_usdinr_import,1),INDEX(pvals_customs_usdinr_import,1),INDEX(pvals_customs_usdinr_import,MATCH($A177,pdates_customs_usdinr_import,1))),$F177*(1+customs_fx_markup_frac))</f>
        <v/>
      </c>
      <c r="W177" s="8">
        <f>IF(AND($A177&gt;=customs_fx_first,$A177&lt;=customs_fx_last+customs_fx_notification_validity_days),"CBIC_NOTIFIED","MARKUP_FALLBACK")</f>
        <v/>
      </c>
      <c r="X177" s="8">
        <f>IF($A177&lt;=INDEX(pdates_grade_factor_zorba,1),INDEX(pvals_grade_factor_zorba,1),IF($A177&gt;=INDEX(pdates_grade_factor_zorba,10),INDEX(pvals_grade_factor_zorba,10),INDEX(pvals_grade_factor_zorba,MATCH($A177,pdates_grade_factor_zorba,1))+($A177-INDEX(pdates_grade_factor_zorba,MATCH($A177,pdates_grade_factor_zorba,1)))/(INDEX(pdates_grade_factor_zorba,MATCH($A177,pdates_grade_factor_zorba,1)+1)-INDEX(pdates_grade_factor_zorba,MATCH($A177,pdates_grade_factor_zorba,1)))*(INDEX(pvals_grade_factor_zorba,MATCH($A177,pdates_grade_factor_zorba,1)+1)-INDEX(pvals_grade_factor_zorba,MATCH($A177,pdates_grade_factor_zorba,1)))))</f>
        <v/>
      </c>
      <c r="Y177" s="8">
        <f>IF($A177&lt;=INDEX(pdates_grade_factor_taint_tabor,1),INDEX(pvals_grade_factor_taint_tabor,1),IF($A177&gt;=INDEX(pdates_grade_factor_taint_tabor,10),INDEX(pvals_grade_factor_taint_tabor,10),INDEX(pvals_grade_factor_taint_tabor,MATCH($A177,pdates_grade_factor_taint_tabor,1))+($A177-INDEX(pdates_grade_factor_taint_tabor,MATCH($A177,pdates_grade_factor_taint_tabor,1)))/(INDEX(pdates_grade_factor_taint_tabor,MATCH($A177,pdates_grade_factor_taint_tabor,1)+1)-INDEX(pdates_grade_factor_taint_tabor,MATCH($A177,pdates_grade_factor_taint_tabor,1)))*(INDEX(pvals_grade_factor_taint_tabor,MATCH($A177,pdates_grade_factor_taint_tabor,1)+1)-INDEX(pvals_grade_factor_taint_tabor,MATCH($A177,pdates_grade_factor_taint_tabor,1)))))</f>
        <v/>
      </c>
      <c r="Z177" s="8">
        <f>IF($A177&lt;=INDEX(pdates_grade_factor_tense,1),INDEX(pvals_grade_factor_tense,1),IF($A177&gt;=INDEX(pdates_grade_factor_tense,10),INDEX(pvals_grade_factor_tense,10),INDEX(pvals_grade_factor_tense,MATCH($A177,pdates_grade_factor_tense,1))+($A177-INDEX(pdates_grade_factor_tense,MATCH($A177,pdates_grade_factor_tense,1)))/(INDEX(pdates_grade_factor_tense,MATCH($A177,pdates_grade_factor_tense,1)+1)-INDEX(pdates_grade_factor_tense,MATCH($A177,pdates_grade_factor_tense,1)))*(INDEX(pvals_grade_factor_tense,MATCH($A177,pdates_grade_factor_tense,1)+1)-INDEX(pvals_grade_factor_tense,MATCH($A177,pdates_grade_factor_tense,1)))))</f>
        <v/>
      </c>
      <c r="AA177" s="8">
        <f>IF($A177&lt;=INDEX(pdates_grade_factor_mix_pit,1),INDEX(pvals_grade_factor_mix_pit,1),IF($A177&gt;=INDEX(pdates_grade_factor_mix_pit,10),INDEX(pvals_grade_factor_mix_pit,10),INDEX(pvals_grade_factor_mix_pit,MATCH($A177,pdates_grade_factor_mix_pit,1))+($A177-INDEX(pdates_grade_factor_mix_pit,MATCH($A177,pdates_grade_factor_mix_pit,1)))/(INDEX(pdates_grade_factor_mix_pit,MATCH($A177,pdates_grade_factor_mix_pit,1)+1)-INDEX(pdates_grade_factor_mix_pit,MATCH($A177,pdates_grade_factor_mix_pit,1)))*(INDEX(pvals_grade_factor_mix_pit,MATCH($A177,pdates_grade_factor_mix_pit,1)+1)-INDEX(pvals_grade_factor_mix_pit,MATCH($A177,pdates_grade_factor_mix_pit,1)))))</f>
        <v/>
      </c>
      <c r="AB177" s="16">
        <f>($B177*$F177/kg_per_mt*(1+bcd_primary_al_hs7601*(1+sws_rate_on_bcd))+mcx_domestic_premium_inr_kg)*(1+$I177*MAX(0,$Q177-$A177)/day_count_inr)</f>
        <v/>
      </c>
      <c r="AC177" s="16">
        <f>$M177-$AB177</f>
        <v/>
      </c>
      <c r="AD177" s="7" t="inlineStr">
        <is>
          <t>PROXY_IMPORT_PARITY</t>
        </is>
      </c>
      <c r="AE177" s="7" t="inlineStr">
        <is>
          <t>ECB_CROSS</t>
        </is>
      </c>
      <c r="AF177" s="7" t="inlineStr">
        <is>
          <t>WCI_REPORTED|USEC:ANCHORED|JEA:ASSUMPTION</t>
        </is>
      </c>
      <c r="AG177" s="17" t="b">
        <v>0</v>
      </c>
      <c r="AH177" s="17" t="b">
        <v>0</v>
      </c>
    </row>
    <row r="178">
      <c r="A178" s="11" t="n">
        <v>44813</v>
      </c>
      <c r="B178" s="13" t="n">
        <v>2280</v>
      </c>
      <c r="C178" s="13" t="n">
        <v>2290</v>
      </c>
      <c r="D178" s="13" t="n">
        <v>-10</v>
      </c>
      <c r="E178" s="13" t="n">
        <v>335275</v>
      </c>
      <c r="F178" s="13" t="n">
        <v>79.57859999999999</v>
      </c>
      <c r="G178" s="6" t="n">
        <v>79.758</v>
      </c>
      <c r="H178" s="6" t="n">
        <v>80.1202</v>
      </c>
      <c r="I178" s="14" t="n">
        <v>0.057905</v>
      </c>
      <c r="J178" s="14" t="n">
        <v>0.029984</v>
      </c>
      <c r="K178" s="14" t="n">
        <v>0.054</v>
      </c>
      <c r="L178" s="13" t="n">
        <v>196.4079</v>
      </c>
      <c r="M178" s="13" t="n">
        <v>197.0623</v>
      </c>
      <c r="N178" s="13" t="n">
        <v>198.0282</v>
      </c>
      <c r="O178" s="13" t="n">
        <v>16.2</v>
      </c>
      <c r="P178" s="13" t="n">
        <v>71.84</v>
      </c>
      <c r="Q178" s="12" t="n">
        <v>44834</v>
      </c>
      <c r="R178" s="12" t="n">
        <v>44865</v>
      </c>
      <c r="S178" s="8">
        <f>YEAR($Q178)*100+MONTH($Q178)</f>
        <v/>
      </c>
      <c r="T178" s="8">
        <f>YEAR($R178)*100+MONTH($R178)</f>
        <v/>
      </c>
      <c r="U178" s="15">
        <f>IF($A178&lt;=INDEX(pdates_wc_rate_inr_pa,1),INDEX(pvals_wc_rate_inr_pa,1),INDEX(pvals_wc_rate_inr_pa,MATCH($A178,pdates_wc_rate_inr_pa,1)))</f>
        <v/>
      </c>
      <c r="V178" s="8">
        <f>IF(AND($A178&gt;=customs_fx_first,$A178&lt;=customs_fx_last+customs_fx_notification_validity_days),IF($A178&lt;=INDEX(pdates_customs_usdinr_import,1),INDEX(pvals_customs_usdinr_import,1),INDEX(pvals_customs_usdinr_import,MATCH($A178,pdates_customs_usdinr_import,1))),$F178*(1+customs_fx_markup_frac))</f>
        <v/>
      </c>
      <c r="W178" s="8">
        <f>IF(AND($A178&gt;=customs_fx_first,$A178&lt;=customs_fx_last+customs_fx_notification_validity_days),"CBIC_NOTIFIED","MARKUP_FALLBACK")</f>
        <v/>
      </c>
      <c r="X178" s="8">
        <f>IF($A178&lt;=INDEX(pdates_grade_factor_zorba,1),INDEX(pvals_grade_factor_zorba,1),IF($A178&gt;=INDEX(pdates_grade_factor_zorba,10),INDEX(pvals_grade_factor_zorba,10),INDEX(pvals_grade_factor_zorba,MATCH($A178,pdates_grade_factor_zorba,1))+($A178-INDEX(pdates_grade_factor_zorba,MATCH($A178,pdates_grade_factor_zorba,1)))/(INDEX(pdates_grade_factor_zorba,MATCH($A178,pdates_grade_factor_zorba,1)+1)-INDEX(pdates_grade_factor_zorba,MATCH($A178,pdates_grade_factor_zorba,1)))*(INDEX(pvals_grade_factor_zorba,MATCH($A178,pdates_grade_factor_zorba,1)+1)-INDEX(pvals_grade_factor_zorba,MATCH($A178,pdates_grade_factor_zorba,1)))))</f>
        <v/>
      </c>
      <c r="Y178" s="8">
        <f>IF($A178&lt;=INDEX(pdates_grade_factor_taint_tabor,1),INDEX(pvals_grade_factor_taint_tabor,1),IF($A178&gt;=INDEX(pdates_grade_factor_taint_tabor,10),INDEX(pvals_grade_factor_taint_tabor,10),INDEX(pvals_grade_factor_taint_tabor,MATCH($A178,pdates_grade_factor_taint_tabor,1))+($A178-INDEX(pdates_grade_factor_taint_tabor,MATCH($A178,pdates_grade_factor_taint_tabor,1)))/(INDEX(pdates_grade_factor_taint_tabor,MATCH($A178,pdates_grade_factor_taint_tabor,1)+1)-INDEX(pdates_grade_factor_taint_tabor,MATCH($A178,pdates_grade_factor_taint_tabor,1)))*(INDEX(pvals_grade_factor_taint_tabor,MATCH($A178,pdates_grade_factor_taint_tabor,1)+1)-INDEX(pvals_grade_factor_taint_tabor,MATCH($A178,pdates_grade_factor_taint_tabor,1)))))</f>
        <v/>
      </c>
      <c r="Z178" s="8">
        <f>IF($A178&lt;=INDEX(pdates_grade_factor_tense,1),INDEX(pvals_grade_factor_tense,1),IF($A178&gt;=INDEX(pdates_grade_factor_tense,10),INDEX(pvals_grade_factor_tense,10),INDEX(pvals_grade_factor_tense,MATCH($A178,pdates_grade_factor_tense,1))+($A178-INDEX(pdates_grade_factor_tense,MATCH($A178,pdates_grade_factor_tense,1)))/(INDEX(pdates_grade_factor_tense,MATCH($A178,pdates_grade_factor_tense,1)+1)-INDEX(pdates_grade_factor_tense,MATCH($A178,pdates_grade_factor_tense,1)))*(INDEX(pvals_grade_factor_tense,MATCH($A178,pdates_grade_factor_tense,1)+1)-INDEX(pvals_grade_factor_tense,MATCH($A178,pdates_grade_factor_tense,1)))))</f>
        <v/>
      </c>
      <c r="AA178" s="8">
        <f>IF($A178&lt;=INDEX(pdates_grade_factor_mix_pit,1),INDEX(pvals_grade_factor_mix_pit,1),IF($A178&gt;=INDEX(pdates_grade_factor_mix_pit,10),INDEX(pvals_grade_factor_mix_pit,10),INDEX(pvals_grade_factor_mix_pit,MATCH($A178,pdates_grade_factor_mix_pit,1))+($A178-INDEX(pdates_grade_factor_mix_pit,MATCH($A178,pdates_grade_factor_mix_pit,1)))/(INDEX(pdates_grade_factor_mix_pit,MATCH($A178,pdates_grade_factor_mix_pit,1)+1)-INDEX(pdates_grade_factor_mix_pit,MATCH($A178,pdates_grade_factor_mix_pit,1)))*(INDEX(pvals_grade_factor_mix_pit,MATCH($A178,pdates_grade_factor_mix_pit,1)+1)-INDEX(pvals_grade_factor_mix_pit,MATCH($A178,pdates_grade_factor_mix_pit,1)))))</f>
        <v/>
      </c>
      <c r="AB178" s="16">
        <f>($B178*$F178/kg_per_mt*(1+bcd_primary_al_hs7601*(1+sws_rate_on_bcd))+mcx_domestic_premium_inr_kg)*(1+$I178*MAX(0,$Q178-$A178)/day_count_inr)</f>
        <v/>
      </c>
      <c r="AC178" s="16">
        <f>$M178-$AB178</f>
        <v/>
      </c>
      <c r="AD178" s="7" t="inlineStr">
        <is>
          <t>PROXY_IMPORT_PARITY</t>
        </is>
      </c>
      <c r="AE178" s="7" t="inlineStr">
        <is>
          <t>ECB_CROSS</t>
        </is>
      </c>
      <c r="AF178" s="7" t="inlineStr">
        <is>
          <t>WCI_REPORTED|USEC:ANCHORED|JEA:ASSUMPTION</t>
        </is>
      </c>
      <c r="AG178" s="17" t="b">
        <v>0</v>
      </c>
      <c r="AH178" s="17" t="b">
        <v>1</v>
      </c>
    </row>
    <row r="179">
      <c r="A179" s="11" t="n">
        <v>44816</v>
      </c>
      <c r="B179" s="13" t="n">
        <v>2288.5</v>
      </c>
      <c r="C179" s="13" t="n">
        <v>2309.5</v>
      </c>
      <c r="D179" s="13" t="n">
        <v>-21</v>
      </c>
      <c r="E179" s="13" t="n">
        <v>334375</v>
      </c>
      <c r="F179" s="13" t="n">
        <v>79.46040000000001</v>
      </c>
      <c r="G179" s="6" t="n">
        <v>79.6317</v>
      </c>
      <c r="H179" s="6" t="n">
        <v>79.9774</v>
      </c>
      <c r="I179" s="14" t="n">
        <v>0.057905</v>
      </c>
      <c r="J179" s="14" t="n">
        <v>0.031167</v>
      </c>
      <c r="K179" s="14" t="n">
        <v>0.054</v>
      </c>
      <c r="L179" s="13" t="n">
        <v>196.8473</v>
      </c>
      <c r="M179" s="13" t="n">
        <v>197.4095</v>
      </c>
      <c r="N179" s="13" t="n">
        <v>198.3776</v>
      </c>
      <c r="O179" s="13" t="n">
        <v>16.2</v>
      </c>
      <c r="P179" s="13" t="n">
        <v>71.84</v>
      </c>
      <c r="Q179" s="12" t="n">
        <v>44834</v>
      </c>
      <c r="R179" s="12" t="n">
        <v>44865</v>
      </c>
      <c r="S179" s="8">
        <f>YEAR($Q179)*100+MONTH($Q179)</f>
        <v/>
      </c>
      <c r="T179" s="8">
        <f>YEAR($R179)*100+MONTH($R179)</f>
        <v/>
      </c>
      <c r="U179" s="15">
        <f>IF($A179&lt;=INDEX(pdates_wc_rate_inr_pa,1),INDEX(pvals_wc_rate_inr_pa,1),INDEX(pvals_wc_rate_inr_pa,MATCH($A179,pdates_wc_rate_inr_pa,1)))</f>
        <v/>
      </c>
      <c r="V179" s="8">
        <f>IF(AND($A179&gt;=customs_fx_first,$A179&lt;=customs_fx_last+customs_fx_notification_validity_days),IF($A179&lt;=INDEX(pdates_customs_usdinr_import,1),INDEX(pvals_customs_usdinr_import,1),INDEX(pvals_customs_usdinr_import,MATCH($A179,pdates_customs_usdinr_import,1))),$F179*(1+customs_fx_markup_frac))</f>
        <v/>
      </c>
      <c r="W179" s="8">
        <f>IF(AND($A179&gt;=customs_fx_first,$A179&lt;=customs_fx_last+customs_fx_notification_validity_days),"CBIC_NOTIFIED","MARKUP_FALLBACK")</f>
        <v/>
      </c>
      <c r="X179" s="8">
        <f>IF($A179&lt;=INDEX(pdates_grade_factor_zorba,1),INDEX(pvals_grade_factor_zorba,1),IF($A179&gt;=INDEX(pdates_grade_factor_zorba,10),INDEX(pvals_grade_factor_zorba,10),INDEX(pvals_grade_factor_zorba,MATCH($A179,pdates_grade_factor_zorba,1))+($A179-INDEX(pdates_grade_factor_zorba,MATCH($A179,pdates_grade_factor_zorba,1)))/(INDEX(pdates_grade_factor_zorba,MATCH($A179,pdates_grade_factor_zorba,1)+1)-INDEX(pdates_grade_factor_zorba,MATCH($A179,pdates_grade_factor_zorba,1)))*(INDEX(pvals_grade_factor_zorba,MATCH($A179,pdates_grade_factor_zorba,1)+1)-INDEX(pvals_grade_factor_zorba,MATCH($A179,pdates_grade_factor_zorba,1)))))</f>
        <v/>
      </c>
      <c r="Y179" s="8">
        <f>IF($A179&lt;=INDEX(pdates_grade_factor_taint_tabor,1),INDEX(pvals_grade_factor_taint_tabor,1),IF($A179&gt;=INDEX(pdates_grade_factor_taint_tabor,10),INDEX(pvals_grade_factor_taint_tabor,10),INDEX(pvals_grade_factor_taint_tabor,MATCH($A179,pdates_grade_factor_taint_tabor,1))+($A179-INDEX(pdates_grade_factor_taint_tabor,MATCH($A179,pdates_grade_factor_taint_tabor,1)))/(INDEX(pdates_grade_factor_taint_tabor,MATCH($A179,pdates_grade_factor_taint_tabor,1)+1)-INDEX(pdates_grade_factor_taint_tabor,MATCH($A179,pdates_grade_factor_taint_tabor,1)))*(INDEX(pvals_grade_factor_taint_tabor,MATCH($A179,pdates_grade_factor_taint_tabor,1)+1)-INDEX(pvals_grade_factor_taint_tabor,MATCH($A179,pdates_grade_factor_taint_tabor,1)))))</f>
        <v/>
      </c>
      <c r="Z179" s="8">
        <f>IF($A179&lt;=INDEX(pdates_grade_factor_tense,1),INDEX(pvals_grade_factor_tense,1),IF($A179&gt;=INDEX(pdates_grade_factor_tense,10),INDEX(pvals_grade_factor_tense,10),INDEX(pvals_grade_factor_tense,MATCH($A179,pdates_grade_factor_tense,1))+($A179-INDEX(pdates_grade_factor_tense,MATCH($A179,pdates_grade_factor_tense,1)))/(INDEX(pdates_grade_factor_tense,MATCH($A179,pdates_grade_factor_tense,1)+1)-INDEX(pdates_grade_factor_tense,MATCH($A179,pdates_grade_factor_tense,1)))*(INDEX(pvals_grade_factor_tense,MATCH($A179,pdates_grade_factor_tense,1)+1)-INDEX(pvals_grade_factor_tense,MATCH($A179,pdates_grade_factor_tense,1)))))</f>
        <v/>
      </c>
      <c r="AA179" s="8">
        <f>IF($A179&lt;=INDEX(pdates_grade_factor_mix_pit,1),INDEX(pvals_grade_factor_mix_pit,1),IF($A179&gt;=INDEX(pdates_grade_factor_mix_pit,10),INDEX(pvals_grade_factor_mix_pit,10),INDEX(pvals_grade_factor_mix_pit,MATCH($A179,pdates_grade_factor_mix_pit,1))+($A179-INDEX(pdates_grade_factor_mix_pit,MATCH($A179,pdates_grade_factor_mix_pit,1)))/(INDEX(pdates_grade_factor_mix_pit,MATCH($A179,pdates_grade_factor_mix_pit,1)+1)-INDEX(pdates_grade_factor_mix_pit,MATCH($A179,pdates_grade_factor_mix_pit,1)))*(INDEX(pvals_grade_factor_mix_pit,MATCH($A179,pdates_grade_factor_mix_pit,1)+1)-INDEX(pvals_grade_factor_mix_pit,MATCH($A179,pdates_grade_factor_mix_pit,1)))))</f>
        <v/>
      </c>
      <c r="AB179" s="16">
        <f>($B179*$F179/kg_per_mt*(1+bcd_primary_al_hs7601*(1+sws_rate_on_bcd))+mcx_domestic_premium_inr_kg)*(1+$I179*MAX(0,$Q179-$A179)/day_count_inr)</f>
        <v/>
      </c>
      <c r="AC179" s="16">
        <f>$M179-$AB179</f>
        <v/>
      </c>
      <c r="AD179" s="7" t="inlineStr">
        <is>
          <t>PROXY_IMPORT_PARITY</t>
        </is>
      </c>
      <c r="AE179" s="7" t="inlineStr">
        <is>
          <t>ECB_CROSS</t>
        </is>
      </c>
      <c r="AF179" s="7" t="inlineStr">
        <is>
          <t>WCI_REPORTED|USEC:ANCHORED|JEA:ASSUMPTION</t>
        </is>
      </c>
      <c r="AG179" s="17" t="b">
        <v>0</v>
      </c>
      <c r="AH179" s="17" t="b">
        <v>1</v>
      </c>
    </row>
    <row r="180">
      <c r="A180" s="11" t="n">
        <v>44817</v>
      </c>
      <c r="B180" s="13" t="n">
        <v>2309.5</v>
      </c>
      <c r="C180" s="13" t="n">
        <v>2326.5</v>
      </c>
      <c r="D180" s="13" t="n">
        <v>-17</v>
      </c>
      <c r="E180" s="13" t="n">
        <v>332900</v>
      </c>
      <c r="F180" s="13" t="n">
        <v>79.16</v>
      </c>
      <c r="G180" s="6" t="n">
        <v>79.3242</v>
      </c>
      <c r="H180" s="6" t="n">
        <v>79.6554</v>
      </c>
      <c r="I180" s="14" t="n">
        <v>0.057905</v>
      </c>
      <c r="J180" s="14" t="n">
        <v>0.032153</v>
      </c>
      <c r="K180" s="14" t="n">
        <v>0.054</v>
      </c>
      <c r="L180" s="13" t="n">
        <v>197.9027</v>
      </c>
      <c r="M180" s="13" t="n">
        <v>198.4364</v>
      </c>
      <c r="N180" s="13" t="n">
        <v>199.4097</v>
      </c>
      <c r="O180" s="13" t="n">
        <v>16.2</v>
      </c>
      <c r="P180" s="13" t="n">
        <v>71.84</v>
      </c>
      <c r="Q180" s="12" t="n">
        <v>44834</v>
      </c>
      <c r="R180" s="12" t="n">
        <v>44865</v>
      </c>
      <c r="S180" s="8">
        <f>YEAR($Q180)*100+MONTH($Q180)</f>
        <v/>
      </c>
      <c r="T180" s="8">
        <f>YEAR($R180)*100+MONTH($R180)</f>
        <v/>
      </c>
      <c r="U180" s="15">
        <f>IF($A180&lt;=INDEX(pdates_wc_rate_inr_pa,1),INDEX(pvals_wc_rate_inr_pa,1),INDEX(pvals_wc_rate_inr_pa,MATCH($A180,pdates_wc_rate_inr_pa,1)))</f>
        <v/>
      </c>
      <c r="V180" s="8">
        <f>IF(AND($A180&gt;=customs_fx_first,$A180&lt;=customs_fx_last+customs_fx_notification_validity_days),IF($A180&lt;=INDEX(pdates_customs_usdinr_import,1),INDEX(pvals_customs_usdinr_import,1),INDEX(pvals_customs_usdinr_import,MATCH($A180,pdates_customs_usdinr_import,1))),$F180*(1+customs_fx_markup_frac))</f>
        <v/>
      </c>
      <c r="W180" s="8">
        <f>IF(AND($A180&gt;=customs_fx_first,$A180&lt;=customs_fx_last+customs_fx_notification_validity_days),"CBIC_NOTIFIED","MARKUP_FALLBACK")</f>
        <v/>
      </c>
      <c r="X180" s="8">
        <f>IF($A180&lt;=INDEX(pdates_grade_factor_zorba,1),INDEX(pvals_grade_factor_zorba,1),IF($A180&gt;=INDEX(pdates_grade_factor_zorba,10),INDEX(pvals_grade_factor_zorba,10),INDEX(pvals_grade_factor_zorba,MATCH($A180,pdates_grade_factor_zorba,1))+($A180-INDEX(pdates_grade_factor_zorba,MATCH($A180,pdates_grade_factor_zorba,1)))/(INDEX(pdates_grade_factor_zorba,MATCH($A180,pdates_grade_factor_zorba,1)+1)-INDEX(pdates_grade_factor_zorba,MATCH($A180,pdates_grade_factor_zorba,1)))*(INDEX(pvals_grade_factor_zorba,MATCH($A180,pdates_grade_factor_zorba,1)+1)-INDEX(pvals_grade_factor_zorba,MATCH($A180,pdates_grade_factor_zorba,1)))))</f>
        <v/>
      </c>
      <c r="Y180" s="8">
        <f>IF($A180&lt;=INDEX(pdates_grade_factor_taint_tabor,1),INDEX(pvals_grade_factor_taint_tabor,1),IF($A180&gt;=INDEX(pdates_grade_factor_taint_tabor,10),INDEX(pvals_grade_factor_taint_tabor,10),INDEX(pvals_grade_factor_taint_tabor,MATCH($A180,pdates_grade_factor_taint_tabor,1))+($A180-INDEX(pdates_grade_factor_taint_tabor,MATCH($A180,pdates_grade_factor_taint_tabor,1)))/(INDEX(pdates_grade_factor_taint_tabor,MATCH($A180,pdates_grade_factor_taint_tabor,1)+1)-INDEX(pdates_grade_factor_taint_tabor,MATCH($A180,pdates_grade_factor_taint_tabor,1)))*(INDEX(pvals_grade_factor_taint_tabor,MATCH($A180,pdates_grade_factor_taint_tabor,1)+1)-INDEX(pvals_grade_factor_taint_tabor,MATCH($A180,pdates_grade_factor_taint_tabor,1)))))</f>
        <v/>
      </c>
      <c r="Z180" s="8">
        <f>IF($A180&lt;=INDEX(pdates_grade_factor_tense,1),INDEX(pvals_grade_factor_tense,1),IF($A180&gt;=INDEX(pdates_grade_factor_tense,10),INDEX(pvals_grade_factor_tense,10),INDEX(pvals_grade_factor_tense,MATCH($A180,pdates_grade_factor_tense,1))+($A180-INDEX(pdates_grade_factor_tense,MATCH($A180,pdates_grade_factor_tense,1)))/(INDEX(pdates_grade_factor_tense,MATCH($A180,pdates_grade_factor_tense,1)+1)-INDEX(pdates_grade_factor_tense,MATCH($A180,pdates_grade_factor_tense,1)))*(INDEX(pvals_grade_factor_tense,MATCH($A180,pdates_grade_factor_tense,1)+1)-INDEX(pvals_grade_factor_tense,MATCH($A180,pdates_grade_factor_tense,1)))))</f>
        <v/>
      </c>
      <c r="AA180" s="8">
        <f>IF($A180&lt;=INDEX(pdates_grade_factor_mix_pit,1),INDEX(pvals_grade_factor_mix_pit,1),IF($A180&gt;=INDEX(pdates_grade_factor_mix_pit,10),INDEX(pvals_grade_factor_mix_pit,10),INDEX(pvals_grade_factor_mix_pit,MATCH($A180,pdates_grade_factor_mix_pit,1))+($A180-INDEX(pdates_grade_factor_mix_pit,MATCH($A180,pdates_grade_factor_mix_pit,1)))/(INDEX(pdates_grade_factor_mix_pit,MATCH($A180,pdates_grade_factor_mix_pit,1)+1)-INDEX(pdates_grade_factor_mix_pit,MATCH($A180,pdates_grade_factor_mix_pit,1)))*(INDEX(pvals_grade_factor_mix_pit,MATCH($A180,pdates_grade_factor_mix_pit,1)+1)-INDEX(pvals_grade_factor_mix_pit,MATCH($A180,pdates_grade_factor_mix_pit,1)))))</f>
        <v/>
      </c>
      <c r="AB180" s="16">
        <f>($B180*$F180/kg_per_mt*(1+bcd_primary_al_hs7601*(1+sws_rate_on_bcd))+mcx_domestic_premium_inr_kg)*(1+$I180*MAX(0,$Q180-$A180)/day_count_inr)</f>
        <v/>
      </c>
      <c r="AC180" s="16">
        <f>$M180-$AB180</f>
        <v/>
      </c>
      <c r="AD180" s="7" t="inlineStr">
        <is>
          <t>PROXY_IMPORT_PARITY</t>
        </is>
      </c>
      <c r="AE180" s="7" t="inlineStr">
        <is>
          <t>ECB_CROSS</t>
        </is>
      </c>
      <c r="AF180" s="7" t="inlineStr">
        <is>
          <t>WCI_REPORTED|USEC:ANCHORED|JEA:ASSUMPTION</t>
        </is>
      </c>
      <c r="AG180" s="17" t="b">
        <v>0</v>
      </c>
      <c r="AH180" s="17" t="b">
        <v>1</v>
      </c>
    </row>
    <row r="181">
      <c r="A181" s="11" t="n">
        <v>44818</v>
      </c>
      <c r="B181" s="13" t="n">
        <v>2227.5</v>
      </c>
      <c r="C181" s="13" t="n">
        <v>2244</v>
      </c>
      <c r="D181" s="13" t="n">
        <v>-16.5</v>
      </c>
      <c r="E181" s="13" t="n">
        <v>345600</v>
      </c>
      <c r="F181" s="13" t="n">
        <v>79.50149999999999</v>
      </c>
      <c r="G181" s="6" t="n">
        <v>79.66970000000001</v>
      </c>
      <c r="H181" s="6" t="n">
        <v>80.0089</v>
      </c>
      <c r="I181" s="14" t="n">
        <v>0.057905</v>
      </c>
      <c r="J181" s="14" t="n">
        <v>0.03166</v>
      </c>
      <c r="K181" s="14" t="n">
        <v>0.054</v>
      </c>
      <c r="L181" s="13" t="n">
        <v>191.6995</v>
      </c>
      <c r="M181" s="13" t="n">
        <v>192.1861</v>
      </c>
      <c r="N181" s="13" t="n">
        <v>193.1288</v>
      </c>
      <c r="O181" s="13" t="n">
        <v>16.2</v>
      </c>
      <c r="P181" s="13" t="n">
        <v>71.84</v>
      </c>
      <c r="Q181" s="12" t="n">
        <v>44834</v>
      </c>
      <c r="R181" s="12" t="n">
        <v>44865</v>
      </c>
      <c r="S181" s="8">
        <f>YEAR($Q181)*100+MONTH($Q181)</f>
        <v/>
      </c>
      <c r="T181" s="8">
        <f>YEAR($R181)*100+MONTH($R181)</f>
        <v/>
      </c>
      <c r="U181" s="15">
        <f>IF($A181&lt;=INDEX(pdates_wc_rate_inr_pa,1),INDEX(pvals_wc_rate_inr_pa,1),INDEX(pvals_wc_rate_inr_pa,MATCH($A181,pdates_wc_rate_inr_pa,1)))</f>
        <v/>
      </c>
      <c r="V181" s="8">
        <f>IF(AND($A181&gt;=customs_fx_first,$A181&lt;=customs_fx_last+customs_fx_notification_validity_days),IF($A181&lt;=INDEX(pdates_customs_usdinr_import,1),INDEX(pvals_customs_usdinr_import,1),INDEX(pvals_customs_usdinr_import,MATCH($A181,pdates_customs_usdinr_import,1))),$F181*(1+customs_fx_markup_frac))</f>
        <v/>
      </c>
      <c r="W181" s="8">
        <f>IF(AND($A181&gt;=customs_fx_first,$A181&lt;=customs_fx_last+customs_fx_notification_validity_days),"CBIC_NOTIFIED","MARKUP_FALLBACK")</f>
        <v/>
      </c>
      <c r="X181" s="8">
        <f>IF($A181&lt;=INDEX(pdates_grade_factor_zorba,1),INDEX(pvals_grade_factor_zorba,1),IF($A181&gt;=INDEX(pdates_grade_factor_zorba,10),INDEX(pvals_grade_factor_zorba,10),INDEX(pvals_grade_factor_zorba,MATCH($A181,pdates_grade_factor_zorba,1))+($A181-INDEX(pdates_grade_factor_zorba,MATCH($A181,pdates_grade_factor_zorba,1)))/(INDEX(pdates_grade_factor_zorba,MATCH($A181,pdates_grade_factor_zorba,1)+1)-INDEX(pdates_grade_factor_zorba,MATCH($A181,pdates_grade_factor_zorba,1)))*(INDEX(pvals_grade_factor_zorba,MATCH($A181,pdates_grade_factor_zorba,1)+1)-INDEX(pvals_grade_factor_zorba,MATCH($A181,pdates_grade_factor_zorba,1)))))</f>
        <v/>
      </c>
      <c r="Y181" s="8">
        <f>IF($A181&lt;=INDEX(pdates_grade_factor_taint_tabor,1),INDEX(pvals_grade_factor_taint_tabor,1),IF($A181&gt;=INDEX(pdates_grade_factor_taint_tabor,10),INDEX(pvals_grade_factor_taint_tabor,10),INDEX(pvals_grade_factor_taint_tabor,MATCH($A181,pdates_grade_factor_taint_tabor,1))+($A181-INDEX(pdates_grade_factor_taint_tabor,MATCH($A181,pdates_grade_factor_taint_tabor,1)))/(INDEX(pdates_grade_factor_taint_tabor,MATCH($A181,pdates_grade_factor_taint_tabor,1)+1)-INDEX(pdates_grade_factor_taint_tabor,MATCH($A181,pdates_grade_factor_taint_tabor,1)))*(INDEX(pvals_grade_factor_taint_tabor,MATCH($A181,pdates_grade_factor_taint_tabor,1)+1)-INDEX(pvals_grade_factor_taint_tabor,MATCH($A181,pdates_grade_factor_taint_tabor,1)))))</f>
        <v/>
      </c>
      <c r="Z181" s="8">
        <f>IF($A181&lt;=INDEX(pdates_grade_factor_tense,1),INDEX(pvals_grade_factor_tense,1),IF($A181&gt;=INDEX(pdates_grade_factor_tense,10),INDEX(pvals_grade_factor_tense,10),INDEX(pvals_grade_factor_tense,MATCH($A181,pdates_grade_factor_tense,1))+($A181-INDEX(pdates_grade_factor_tense,MATCH($A181,pdates_grade_factor_tense,1)))/(INDEX(pdates_grade_factor_tense,MATCH($A181,pdates_grade_factor_tense,1)+1)-INDEX(pdates_grade_factor_tense,MATCH($A181,pdates_grade_factor_tense,1)))*(INDEX(pvals_grade_factor_tense,MATCH($A181,pdates_grade_factor_tense,1)+1)-INDEX(pvals_grade_factor_tense,MATCH($A181,pdates_grade_factor_tense,1)))))</f>
        <v/>
      </c>
      <c r="AA181" s="8">
        <f>IF($A181&lt;=INDEX(pdates_grade_factor_mix_pit,1),INDEX(pvals_grade_factor_mix_pit,1),IF($A181&gt;=INDEX(pdates_grade_factor_mix_pit,10),INDEX(pvals_grade_factor_mix_pit,10),INDEX(pvals_grade_factor_mix_pit,MATCH($A181,pdates_grade_factor_mix_pit,1))+($A181-INDEX(pdates_grade_factor_mix_pit,MATCH($A181,pdates_grade_factor_mix_pit,1)))/(INDEX(pdates_grade_factor_mix_pit,MATCH($A181,pdates_grade_factor_mix_pit,1)+1)-INDEX(pdates_grade_factor_mix_pit,MATCH($A181,pdates_grade_factor_mix_pit,1)))*(INDEX(pvals_grade_factor_mix_pit,MATCH($A181,pdates_grade_factor_mix_pit,1)+1)-INDEX(pvals_grade_factor_mix_pit,MATCH($A181,pdates_grade_factor_mix_pit,1)))))</f>
        <v/>
      </c>
      <c r="AB181" s="16">
        <f>($B181*$F181/kg_per_mt*(1+bcd_primary_al_hs7601*(1+sws_rate_on_bcd))+mcx_domestic_premium_inr_kg)*(1+$I181*MAX(0,$Q181-$A181)/day_count_inr)</f>
        <v/>
      </c>
      <c r="AC181" s="16">
        <f>$M181-$AB181</f>
        <v/>
      </c>
      <c r="AD181" s="7" t="inlineStr">
        <is>
          <t>PROXY_IMPORT_PARITY</t>
        </is>
      </c>
      <c r="AE181" s="7" t="inlineStr">
        <is>
          <t>ECB_CROSS</t>
        </is>
      </c>
      <c r="AF181" s="7" t="inlineStr">
        <is>
          <t>WCI_REPORTED|USEC:ANCHORED|JEA:ASSUMPTION</t>
        </is>
      </c>
      <c r="AG181" s="17" t="b">
        <v>0</v>
      </c>
      <c r="AH181" s="17" t="b">
        <v>1</v>
      </c>
    </row>
    <row r="182">
      <c r="A182" s="11" t="n">
        <v>44819</v>
      </c>
      <c r="B182" s="13" t="n">
        <v>2272</v>
      </c>
      <c r="C182" s="13" t="n">
        <v>2282</v>
      </c>
      <c r="D182" s="13" t="n">
        <v>-10</v>
      </c>
      <c r="E182" s="13" t="n">
        <v>349650</v>
      </c>
      <c r="F182" s="13" t="n">
        <v>79.7757</v>
      </c>
      <c r="G182" s="6" t="n">
        <v>79.94580000000001</v>
      </c>
      <c r="H182" s="6" t="n">
        <v>80.2889</v>
      </c>
      <c r="I182" s="14" t="n">
        <v>0.057905</v>
      </c>
      <c r="J182" s="14" t="n">
        <v>0.031463</v>
      </c>
      <c r="K182" s="14" t="n">
        <v>0.054</v>
      </c>
      <c r="L182" s="13" t="n">
        <v>196.2035</v>
      </c>
      <c r="M182" s="13" t="n">
        <v>196.6704</v>
      </c>
      <c r="N182" s="13" t="n">
        <v>197.6354</v>
      </c>
      <c r="O182" s="13" t="n">
        <v>16.14</v>
      </c>
      <c r="P182" s="13" t="n">
        <v>71.55</v>
      </c>
      <c r="Q182" s="12" t="n">
        <v>44834</v>
      </c>
      <c r="R182" s="12" t="n">
        <v>44865</v>
      </c>
      <c r="S182" s="8">
        <f>YEAR($Q182)*100+MONTH($Q182)</f>
        <v/>
      </c>
      <c r="T182" s="8">
        <f>YEAR($R182)*100+MONTH($R182)</f>
        <v/>
      </c>
      <c r="U182" s="15">
        <f>IF($A182&lt;=INDEX(pdates_wc_rate_inr_pa,1),INDEX(pvals_wc_rate_inr_pa,1),INDEX(pvals_wc_rate_inr_pa,MATCH($A182,pdates_wc_rate_inr_pa,1)))</f>
        <v/>
      </c>
      <c r="V182" s="8">
        <f>IF(AND($A182&gt;=customs_fx_first,$A182&lt;=customs_fx_last+customs_fx_notification_validity_days),IF($A182&lt;=INDEX(pdates_customs_usdinr_import,1),INDEX(pvals_customs_usdinr_import,1),INDEX(pvals_customs_usdinr_import,MATCH($A182,pdates_customs_usdinr_import,1))),$F182*(1+customs_fx_markup_frac))</f>
        <v/>
      </c>
      <c r="W182" s="8">
        <f>IF(AND($A182&gt;=customs_fx_first,$A182&lt;=customs_fx_last+customs_fx_notification_validity_days),"CBIC_NOTIFIED","MARKUP_FALLBACK")</f>
        <v/>
      </c>
      <c r="X182" s="8">
        <f>IF($A182&lt;=INDEX(pdates_grade_factor_zorba,1),INDEX(pvals_grade_factor_zorba,1),IF($A182&gt;=INDEX(pdates_grade_factor_zorba,10),INDEX(pvals_grade_factor_zorba,10),INDEX(pvals_grade_factor_zorba,MATCH($A182,pdates_grade_factor_zorba,1))+($A182-INDEX(pdates_grade_factor_zorba,MATCH($A182,pdates_grade_factor_zorba,1)))/(INDEX(pdates_grade_factor_zorba,MATCH($A182,pdates_grade_factor_zorba,1)+1)-INDEX(pdates_grade_factor_zorba,MATCH($A182,pdates_grade_factor_zorba,1)))*(INDEX(pvals_grade_factor_zorba,MATCH($A182,pdates_grade_factor_zorba,1)+1)-INDEX(pvals_grade_factor_zorba,MATCH($A182,pdates_grade_factor_zorba,1)))))</f>
        <v/>
      </c>
      <c r="Y182" s="8">
        <f>IF($A182&lt;=INDEX(pdates_grade_factor_taint_tabor,1),INDEX(pvals_grade_factor_taint_tabor,1),IF($A182&gt;=INDEX(pdates_grade_factor_taint_tabor,10),INDEX(pvals_grade_factor_taint_tabor,10),INDEX(pvals_grade_factor_taint_tabor,MATCH($A182,pdates_grade_factor_taint_tabor,1))+($A182-INDEX(pdates_grade_factor_taint_tabor,MATCH($A182,pdates_grade_factor_taint_tabor,1)))/(INDEX(pdates_grade_factor_taint_tabor,MATCH($A182,pdates_grade_factor_taint_tabor,1)+1)-INDEX(pdates_grade_factor_taint_tabor,MATCH($A182,pdates_grade_factor_taint_tabor,1)))*(INDEX(pvals_grade_factor_taint_tabor,MATCH($A182,pdates_grade_factor_taint_tabor,1)+1)-INDEX(pvals_grade_factor_taint_tabor,MATCH($A182,pdates_grade_factor_taint_tabor,1)))))</f>
        <v/>
      </c>
      <c r="Z182" s="8">
        <f>IF($A182&lt;=INDEX(pdates_grade_factor_tense,1),INDEX(pvals_grade_factor_tense,1),IF($A182&gt;=INDEX(pdates_grade_factor_tense,10),INDEX(pvals_grade_factor_tense,10),INDEX(pvals_grade_factor_tense,MATCH($A182,pdates_grade_factor_tense,1))+($A182-INDEX(pdates_grade_factor_tense,MATCH($A182,pdates_grade_factor_tense,1)))/(INDEX(pdates_grade_factor_tense,MATCH($A182,pdates_grade_factor_tense,1)+1)-INDEX(pdates_grade_factor_tense,MATCH($A182,pdates_grade_factor_tense,1)))*(INDEX(pvals_grade_factor_tense,MATCH($A182,pdates_grade_factor_tense,1)+1)-INDEX(pvals_grade_factor_tense,MATCH($A182,pdates_grade_factor_tense,1)))))</f>
        <v/>
      </c>
      <c r="AA182" s="8">
        <f>IF($A182&lt;=INDEX(pdates_grade_factor_mix_pit,1),INDEX(pvals_grade_factor_mix_pit,1),IF($A182&gt;=INDEX(pdates_grade_factor_mix_pit,10),INDEX(pvals_grade_factor_mix_pit,10),INDEX(pvals_grade_factor_mix_pit,MATCH($A182,pdates_grade_factor_mix_pit,1))+($A182-INDEX(pdates_grade_factor_mix_pit,MATCH($A182,pdates_grade_factor_mix_pit,1)))/(INDEX(pdates_grade_factor_mix_pit,MATCH($A182,pdates_grade_factor_mix_pit,1)+1)-INDEX(pdates_grade_factor_mix_pit,MATCH($A182,pdates_grade_factor_mix_pit,1)))*(INDEX(pvals_grade_factor_mix_pit,MATCH($A182,pdates_grade_factor_mix_pit,1)+1)-INDEX(pvals_grade_factor_mix_pit,MATCH($A182,pdates_grade_factor_mix_pit,1)))))</f>
        <v/>
      </c>
      <c r="AB182" s="16">
        <f>($B182*$F182/kg_per_mt*(1+bcd_primary_al_hs7601*(1+sws_rate_on_bcd))+mcx_domestic_premium_inr_kg)*(1+$I182*MAX(0,$Q182-$A182)/day_count_inr)</f>
        <v/>
      </c>
      <c r="AC182" s="16">
        <f>$M182-$AB182</f>
        <v/>
      </c>
      <c r="AD182" s="7" t="inlineStr">
        <is>
          <t>PROXY_IMPORT_PARITY</t>
        </is>
      </c>
      <c r="AE182" s="7" t="inlineStr">
        <is>
          <t>ECB_CROSS</t>
        </is>
      </c>
      <c r="AF182" s="7" t="inlineStr">
        <is>
          <t>WCI_REPORTED|USEC:ANCHORED|JEA:ASSUMPTION</t>
        </is>
      </c>
      <c r="AG182" s="17" t="b">
        <v>0</v>
      </c>
      <c r="AH182" s="17" t="b">
        <v>0</v>
      </c>
    </row>
    <row r="183">
      <c r="A183" s="11" t="n">
        <v>44820</v>
      </c>
      <c r="B183" s="13" t="n">
        <v>2259</v>
      </c>
      <c r="C183" s="13" t="n">
        <v>2267</v>
      </c>
      <c r="D183" s="13" t="n">
        <v>-8</v>
      </c>
      <c r="E183" s="13" t="n">
        <v>347650</v>
      </c>
      <c r="F183" s="13" t="n">
        <v>79.7272</v>
      </c>
      <c r="G183" s="6" t="n">
        <v>79.8985</v>
      </c>
      <c r="H183" s="6" t="n">
        <v>80.244</v>
      </c>
      <c r="I183" s="14" t="n">
        <v>0.057905</v>
      </c>
      <c r="J183" s="14" t="n">
        <v>0.031266</v>
      </c>
      <c r="K183" s="14" t="n">
        <v>0.054</v>
      </c>
      <c r="L183" s="13" t="n">
        <v>194.9623</v>
      </c>
      <c r="M183" s="13" t="n">
        <v>195.3953</v>
      </c>
      <c r="N183" s="13" t="n">
        <v>196.3541</v>
      </c>
      <c r="O183" s="13" t="n">
        <v>16.14</v>
      </c>
      <c r="P183" s="13" t="n">
        <v>71.55</v>
      </c>
      <c r="Q183" s="12" t="n">
        <v>44834</v>
      </c>
      <c r="R183" s="12" t="n">
        <v>44865</v>
      </c>
      <c r="S183" s="8">
        <f>YEAR($Q183)*100+MONTH($Q183)</f>
        <v/>
      </c>
      <c r="T183" s="8">
        <f>YEAR($R183)*100+MONTH($R183)</f>
        <v/>
      </c>
      <c r="U183" s="15">
        <f>IF($A183&lt;=INDEX(pdates_wc_rate_inr_pa,1),INDEX(pvals_wc_rate_inr_pa,1),INDEX(pvals_wc_rate_inr_pa,MATCH($A183,pdates_wc_rate_inr_pa,1)))</f>
        <v/>
      </c>
      <c r="V183" s="8">
        <f>IF(AND($A183&gt;=customs_fx_first,$A183&lt;=customs_fx_last+customs_fx_notification_validity_days),IF($A183&lt;=INDEX(pdates_customs_usdinr_import,1),INDEX(pvals_customs_usdinr_import,1),INDEX(pvals_customs_usdinr_import,MATCH($A183,pdates_customs_usdinr_import,1))),$F183*(1+customs_fx_markup_frac))</f>
        <v/>
      </c>
      <c r="W183" s="8">
        <f>IF(AND($A183&gt;=customs_fx_first,$A183&lt;=customs_fx_last+customs_fx_notification_validity_days),"CBIC_NOTIFIED","MARKUP_FALLBACK")</f>
        <v/>
      </c>
      <c r="X183" s="8">
        <f>IF($A183&lt;=INDEX(pdates_grade_factor_zorba,1),INDEX(pvals_grade_factor_zorba,1),IF($A183&gt;=INDEX(pdates_grade_factor_zorba,10),INDEX(pvals_grade_factor_zorba,10),INDEX(pvals_grade_factor_zorba,MATCH($A183,pdates_grade_factor_zorba,1))+($A183-INDEX(pdates_grade_factor_zorba,MATCH($A183,pdates_grade_factor_zorba,1)))/(INDEX(pdates_grade_factor_zorba,MATCH($A183,pdates_grade_factor_zorba,1)+1)-INDEX(pdates_grade_factor_zorba,MATCH($A183,pdates_grade_factor_zorba,1)))*(INDEX(pvals_grade_factor_zorba,MATCH($A183,pdates_grade_factor_zorba,1)+1)-INDEX(pvals_grade_factor_zorba,MATCH($A183,pdates_grade_factor_zorba,1)))))</f>
        <v/>
      </c>
      <c r="Y183" s="8">
        <f>IF($A183&lt;=INDEX(pdates_grade_factor_taint_tabor,1),INDEX(pvals_grade_factor_taint_tabor,1),IF($A183&gt;=INDEX(pdates_grade_factor_taint_tabor,10),INDEX(pvals_grade_factor_taint_tabor,10),INDEX(pvals_grade_factor_taint_tabor,MATCH($A183,pdates_grade_factor_taint_tabor,1))+($A183-INDEX(pdates_grade_factor_taint_tabor,MATCH($A183,pdates_grade_factor_taint_tabor,1)))/(INDEX(pdates_grade_factor_taint_tabor,MATCH($A183,pdates_grade_factor_taint_tabor,1)+1)-INDEX(pdates_grade_factor_taint_tabor,MATCH($A183,pdates_grade_factor_taint_tabor,1)))*(INDEX(pvals_grade_factor_taint_tabor,MATCH($A183,pdates_grade_factor_taint_tabor,1)+1)-INDEX(pvals_grade_factor_taint_tabor,MATCH($A183,pdates_grade_factor_taint_tabor,1)))))</f>
        <v/>
      </c>
      <c r="Z183" s="8">
        <f>IF($A183&lt;=INDEX(pdates_grade_factor_tense,1),INDEX(pvals_grade_factor_tense,1),IF($A183&gt;=INDEX(pdates_grade_factor_tense,10),INDEX(pvals_grade_factor_tense,10),INDEX(pvals_grade_factor_tense,MATCH($A183,pdates_grade_factor_tense,1))+($A183-INDEX(pdates_grade_factor_tense,MATCH($A183,pdates_grade_factor_tense,1)))/(INDEX(pdates_grade_factor_tense,MATCH($A183,pdates_grade_factor_tense,1)+1)-INDEX(pdates_grade_factor_tense,MATCH($A183,pdates_grade_factor_tense,1)))*(INDEX(pvals_grade_factor_tense,MATCH($A183,pdates_grade_factor_tense,1)+1)-INDEX(pvals_grade_factor_tense,MATCH($A183,pdates_grade_factor_tense,1)))))</f>
        <v/>
      </c>
      <c r="AA183" s="8">
        <f>IF($A183&lt;=INDEX(pdates_grade_factor_mix_pit,1),INDEX(pvals_grade_factor_mix_pit,1),IF($A183&gt;=INDEX(pdates_grade_factor_mix_pit,10),INDEX(pvals_grade_factor_mix_pit,10),INDEX(pvals_grade_factor_mix_pit,MATCH($A183,pdates_grade_factor_mix_pit,1))+($A183-INDEX(pdates_grade_factor_mix_pit,MATCH($A183,pdates_grade_factor_mix_pit,1)))/(INDEX(pdates_grade_factor_mix_pit,MATCH($A183,pdates_grade_factor_mix_pit,1)+1)-INDEX(pdates_grade_factor_mix_pit,MATCH($A183,pdates_grade_factor_mix_pit,1)))*(INDEX(pvals_grade_factor_mix_pit,MATCH($A183,pdates_grade_factor_mix_pit,1)+1)-INDEX(pvals_grade_factor_mix_pit,MATCH($A183,pdates_grade_factor_mix_pit,1)))))</f>
        <v/>
      </c>
      <c r="AB183" s="16">
        <f>($B183*$F183/kg_per_mt*(1+bcd_primary_al_hs7601*(1+sws_rate_on_bcd))+mcx_domestic_premium_inr_kg)*(1+$I183*MAX(0,$Q183-$A183)/day_count_inr)</f>
        <v/>
      </c>
      <c r="AC183" s="16">
        <f>$M183-$AB183</f>
        <v/>
      </c>
      <c r="AD183" s="7" t="inlineStr">
        <is>
          <t>PROXY_IMPORT_PARITY</t>
        </is>
      </c>
      <c r="AE183" s="7" t="inlineStr">
        <is>
          <t>ECB_CROSS</t>
        </is>
      </c>
      <c r="AF183" s="7" t="inlineStr">
        <is>
          <t>WCI_REPORTED|USEC:ANCHORED|JEA:ASSUMPTION</t>
        </is>
      </c>
      <c r="AG183" s="17" t="b">
        <v>0</v>
      </c>
      <c r="AH183" s="17" t="b">
        <v>1</v>
      </c>
    </row>
    <row r="184">
      <c r="A184" s="11" t="n">
        <v>44823</v>
      </c>
      <c r="B184" s="13" t="n">
        <v>2232</v>
      </c>
      <c r="C184" s="13" t="n">
        <v>2247</v>
      </c>
      <c r="D184" s="13" t="n">
        <v>-15</v>
      </c>
      <c r="E184" s="13" t="n">
        <v>346325</v>
      </c>
      <c r="F184" s="13" t="n">
        <v>79.73269999999999</v>
      </c>
      <c r="G184" s="6" t="n">
        <v>79.8916</v>
      </c>
      <c r="H184" s="6" t="n">
        <v>80.2119</v>
      </c>
      <c r="I184" s="14" t="n">
        <v>0.057905</v>
      </c>
      <c r="J184" s="14" t="n">
        <v>0.03314</v>
      </c>
      <c r="K184" s="14" t="n">
        <v>0.054</v>
      </c>
      <c r="L184" s="13" t="n">
        <v>192.6454</v>
      </c>
      <c r="M184" s="13" t="n">
        <v>192.9815</v>
      </c>
      <c r="N184" s="13" t="n">
        <v>193.929</v>
      </c>
      <c r="O184" s="13" t="n">
        <v>16.14</v>
      </c>
      <c r="P184" s="13" t="n">
        <v>71.55</v>
      </c>
      <c r="Q184" s="12" t="n">
        <v>44834</v>
      </c>
      <c r="R184" s="12" t="n">
        <v>44865</v>
      </c>
      <c r="S184" s="8">
        <f>YEAR($Q184)*100+MONTH($Q184)</f>
        <v/>
      </c>
      <c r="T184" s="8">
        <f>YEAR($R184)*100+MONTH($R184)</f>
        <v/>
      </c>
      <c r="U184" s="15">
        <f>IF($A184&lt;=INDEX(pdates_wc_rate_inr_pa,1),INDEX(pvals_wc_rate_inr_pa,1),INDEX(pvals_wc_rate_inr_pa,MATCH($A184,pdates_wc_rate_inr_pa,1)))</f>
        <v/>
      </c>
      <c r="V184" s="8">
        <f>IF(AND($A184&gt;=customs_fx_first,$A184&lt;=customs_fx_last+customs_fx_notification_validity_days),IF($A184&lt;=INDEX(pdates_customs_usdinr_import,1),INDEX(pvals_customs_usdinr_import,1),INDEX(pvals_customs_usdinr_import,MATCH($A184,pdates_customs_usdinr_import,1))),$F184*(1+customs_fx_markup_frac))</f>
        <v/>
      </c>
      <c r="W184" s="8">
        <f>IF(AND($A184&gt;=customs_fx_first,$A184&lt;=customs_fx_last+customs_fx_notification_validity_days),"CBIC_NOTIFIED","MARKUP_FALLBACK")</f>
        <v/>
      </c>
      <c r="X184" s="8">
        <f>IF($A184&lt;=INDEX(pdates_grade_factor_zorba,1),INDEX(pvals_grade_factor_zorba,1),IF($A184&gt;=INDEX(pdates_grade_factor_zorba,10),INDEX(pvals_grade_factor_zorba,10),INDEX(pvals_grade_factor_zorba,MATCH($A184,pdates_grade_factor_zorba,1))+($A184-INDEX(pdates_grade_factor_zorba,MATCH($A184,pdates_grade_factor_zorba,1)))/(INDEX(pdates_grade_factor_zorba,MATCH($A184,pdates_grade_factor_zorba,1)+1)-INDEX(pdates_grade_factor_zorba,MATCH($A184,pdates_grade_factor_zorba,1)))*(INDEX(pvals_grade_factor_zorba,MATCH($A184,pdates_grade_factor_zorba,1)+1)-INDEX(pvals_grade_factor_zorba,MATCH($A184,pdates_grade_factor_zorba,1)))))</f>
        <v/>
      </c>
      <c r="Y184" s="8">
        <f>IF($A184&lt;=INDEX(pdates_grade_factor_taint_tabor,1),INDEX(pvals_grade_factor_taint_tabor,1),IF($A184&gt;=INDEX(pdates_grade_factor_taint_tabor,10),INDEX(pvals_grade_factor_taint_tabor,10),INDEX(pvals_grade_factor_taint_tabor,MATCH($A184,pdates_grade_factor_taint_tabor,1))+($A184-INDEX(pdates_grade_factor_taint_tabor,MATCH($A184,pdates_grade_factor_taint_tabor,1)))/(INDEX(pdates_grade_factor_taint_tabor,MATCH($A184,pdates_grade_factor_taint_tabor,1)+1)-INDEX(pdates_grade_factor_taint_tabor,MATCH($A184,pdates_grade_factor_taint_tabor,1)))*(INDEX(pvals_grade_factor_taint_tabor,MATCH($A184,pdates_grade_factor_taint_tabor,1)+1)-INDEX(pvals_grade_factor_taint_tabor,MATCH($A184,pdates_grade_factor_taint_tabor,1)))))</f>
        <v/>
      </c>
      <c r="Z184" s="8">
        <f>IF($A184&lt;=INDEX(pdates_grade_factor_tense,1),INDEX(pvals_grade_factor_tense,1),IF($A184&gt;=INDEX(pdates_grade_factor_tense,10),INDEX(pvals_grade_factor_tense,10),INDEX(pvals_grade_factor_tense,MATCH($A184,pdates_grade_factor_tense,1))+($A184-INDEX(pdates_grade_factor_tense,MATCH($A184,pdates_grade_factor_tense,1)))/(INDEX(pdates_grade_factor_tense,MATCH($A184,pdates_grade_factor_tense,1)+1)-INDEX(pdates_grade_factor_tense,MATCH($A184,pdates_grade_factor_tense,1)))*(INDEX(pvals_grade_factor_tense,MATCH($A184,pdates_grade_factor_tense,1)+1)-INDEX(pvals_grade_factor_tense,MATCH($A184,pdates_grade_factor_tense,1)))))</f>
        <v/>
      </c>
      <c r="AA184" s="8">
        <f>IF($A184&lt;=INDEX(pdates_grade_factor_mix_pit,1),INDEX(pvals_grade_factor_mix_pit,1),IF($A184&gt;=INDEX(pdates_grade_factor_mix_pit,10),INDEX(pvals_grade_factor_mix_pit,10),INDEX(pvals_grade_factor_mix_pit,MATCH($A184,pdates_grade_factor_mix_pit,1))+($A184-INDEX(pdates_grade_factor_mix_pit,MATCH($A184,pdates_grade_factor_mix_pit,1)))/(INDEX(pdates_grade_factor_mix_pit,MATCH($A184,pdates_grade_factor_mix_pit,1)+1)-INDEX(pdates_grade_factor_mix_pit,MATCH($A184,pdates_grade_factor_mix_pit,1)))*(INDEX(pvals_grade_factor_mix_pit,MATCH($A184,pdates_grade_factor_mix_pit,1)+1)-INDEX(pvals_grade_factor_mix_pit,MATCH($A184,pdates_grade_factor_mix_pit,1)))))</f>
        <v/>
      </c>
      <c r="AB184" s="16">
        <f>($B184*$F184/kg_per_mt*(1+bcd_primary_al_hs7601*(1+sws_rate_on_bcd))+mcx_domestic_premium_inr_kg)*(1+$I184*MAX(0,$Q184-$A184)/day_count_inr)</f>
        <v/>
      </c>
      <c r="AC184" s="16">
        <f>$M184-$AB184</f>
        <v/>
      </c>
      <c r="AD184" s="7" t="inlineStr">
        <is>
          <t>PROXY_IMPORT_PARITY</t>
        </is>
      </c>
      <c r="AE184" s="7" t="inlineStr">
        <is>
          <t>ECB_CROSS</t>
        </is>
      </c>
      <c r="AF184" s="7" t="inlineStr">
        <is>
          <t>WCI_REPORTED|USEC:ANCHORED|JEA:ASSUMPTION</t>
        </is>
      </c>
      <c r="AG184" s="17" t="b">
        <v>0</v>
      </c>
      <c r="AH184" s="17" t="b">
        <v>1</v>
      </c>
    </row>
    <row r="185">
      <c r="A185" s="11" t="n">
        <v>44824</v>
      </c>
      <c r="B185" s="13" t="n">
        <v>2245.5</v>
      </c>
      <c r="C185" s="13" t="n">
        <v>2266</v>
      </c>
      <c r="D185" s="13" t="n">
        <v>-20.5</v>
      </c>
      <c r="E185" s="13" t="n">
        <v>346025</v>
      </c>
      <c r="F185" s="13" t="n">
        <v>79.72110000000001</v>
      </c>
      <c r="G185" s="6" t="n">
        <v>79.8819</v>
      </c>
      <c r="H185" s="6" t="n">
        <v>80.20610000000001</v>
      </c>
      <c r="I185" s="14" t="n">
        <v>0.057905</v>
      </c>
      <c r="J185" s="14" t="n">
        <v>0.032844</v>
      </c>
      <c r="K185" s="14" t="n">
        <v>0.054</v>
      </c>
      <c r="L185" s="13" t="n">
        <v>193.7824</v>
      </c>
      <c r="M185" s="13" t="n">
        <v>194.0898</v>
      </c>
      <c r="N185" s="13" t="n">
        <v>195.0428</v>
      </c>
      <c r="O185" s="13" t="n">
        <v>16.14</v>
      </c>
      <c r="P185" s="13" t="n">
        <v>71.55</v>
      </c>
      <c r="Q185" s="12" t="n">
        <v>44834</v>
      </c>
      <c r="R185" s="12" t="n">
        <v>44865</v>
      </c>
      <c r="S185" s="8">
        <f>YEAR($Q185)*100+MONTH($Q185)</f>
        <v/>
      </c>
      <c r="T185" s="8">
        <f>YEAR($R185)*100+MONTH($R185)</f>
        <v/>
      </c>
      <c r="U185" s="15">
        <f>IF($A185&lt;=INDEX(pdates_wc_rate_inr_pa,1),INDEX(pvals_wc_rate_inr_pa,1),INDEX(pvals_wc_rate_inr_pa,MATCH($A185,pdates_wc_rate_inr_pa,1)))</f>
        <v/>
      </c>
      <c r="V185" s="8">
        <f>IF(AND($A185&gt;=customs_fx_first,$A185&lt;=customs_fx_last+customs_fx_notification_validity_days),IF($A185&lt;=INDEX(pdates_customs_usdinr_import,1),INDEX(pvals_customs_usdinr_import,1),INDEX(pvals_customs_usdinr_import,MATCH($A185,pdates_customs_usdinr_import,1))),$F185*(1+customs_fx_markup_frac))</f>
        <v/>
      </c>
      <c r="W185" s="8">
        <f>IF(AND($A185&gt;=customs_fx_first,$A185&lt;=customs_fx_last+customs_fx_notification_validity_days),"CBIC_NOTIFIED","MARKUP_FALLBACK")</f>
        <v/>
      </c>
      <c r="X185" s="8">
        <f>IF($A185&lt;=INDEX(pdates_grade_factor_zorba,1),INDEX(pvals_grade_factor_zorba,1),IF($A185&gt;=INDEX(pdates_grade_factor_zorba,10),INDEX(pvals_grade_factor_zorba,10),INDEX(pvals_grade_factor_zorba,MATCH($A185,pdates_grade_factor_zorba,1))+($A185-INDEX(pdates_grade_factor_zorba,MATCH($A185,pdates_grade_factor_zorba,1)))/(INDEX(pdates_grade_factor_zorba,MATCH($A185,pdates_grade_factor_zorba,1)+1)-INDEX(pdates_grade_factor_zorba,MATCH($A185,pdates_grade_factor_zorba,1)))*(INDEX(pvals_grade_factor_zorba,MATCH($A185,pdates_grade_factor_zorba,1)+1)-INDEX(pvals_grade_factor_zorba,MATCH($A185,pdates_grade_factor_zorba,1)))))</f>
        <v/>
      </c>
      <c r="Y185" s="8">
        <f>IF($A185&lt;=INDEX(pdates_grade_factor_taint_tabor,1),INDEX(pvals_grade_factor_taint_tabor,1),IF($A185&gt;=INDEX(pdates_grade_factor_taint_tabor,10),INDEX(pvals_grade_factor_taint_tabor,10),INDEX(pvals_grade_factor_taint_tabor,MATCH($A185,pdates_grade_factor_taint_tabor,1))+($A185-INDEX(pdates_grade_factor_taint_tabor,MATCH($A185,pdates_grade_factor_taint_tabor,1)))/(INDEX(pdates_grade_factor_taint_tabor,MATCH($A185,pdates_grade_factor_taint_tabor,1)+1)-INDEX(pdates_grade_factor_taint_tabor,MATCH($A185,pdates_grade_factor_taint_tabor,1)))*(INDEX(pvals_grade_factor_taint_tabor,MATCH($A185,pdates_grade_factor_taint_tabor,1)+1)-INDEX(pvals_grade_factor_taint_tabor,MATCH($A185,pdates_grade_factor_taint_tabor,1)))))</f>
        <v/>
      </c>
      <c r="Z185" s="8">
        <f>IF($A185&lt;=INDEX(pdates_grade_factor_tense,1),INDEX(pvals_grade_factor_tense,1),IF($A185&gt;=INDEX(pdates_grade_factor_tense,10),INDEX(pvals_grade_factor_tense,10),INDEX(pvals_grade_factor_tense,MATCH($A185,pdates_grade_factor_tense,1))+($A185-INDEX(pdates_grade_factor_tense,MATCH($A185,pdates_grade_factor_tense,1)))/(INDEX(pdates_grade_factor_tense,MATCH($A185,pdates_grade_factor_tense,1)+1)-INDEX(pdates_grade_factor_tense,MATCH($A185,pdates_grade_factor_tense,1)))*(INDEX(pvals_grade_factor_tense,MATCH($A185,pdates_grade_factor_tense,1)+1)-INDEX(pvals_grade_factor_tense,MATCH($A185,pdates_grade_factor_tense,1)))))</f>
        <v/>
      </c>
      <c r="AA185" s="8">
        <f>IF($A185&lt;=INDEX(pdates_grade_factor_mix_pit,1),INDEX(pvals_grade_factor_mix_pit,1),IF($A185&gt;=INDEX(pdates_grade_factor_mix_pit,10),INDEX(pvals_grade_factor_mix_pit,10),INDEX(pvals_grade_factor_mix_pit,MATCH($A185,pdates_grade_factor_mix_pit,1))+($A185-INDEX(pdates_grade_factor_mix_pit,MATCH($A185,pdates_grade_factor_mix_pit,1)))/(INDEX(pdates_grade_factor_mix_pit,MATCH($A185,pdates_grade_factor_mix_pit,1)+1)-INDEX(pdates_grade_factor_mix_pit,MATCH($A185,pdates_grade_factor_mix_pit,1)))*(INDEX(pvals_grade_factor_mix_pit,MATCH($A185,pdates_grade_factor_mix_pit,1)+1)-INDEX(pvals_grade_factor_mix_pit,MATCH($A185,pdates_grade_factor_mix_pit,1)))))</f>
        <v/>
      </c>
      <c r="AB185" s="16">
        <f>($B185*$F185/kg_per_mt*(1+bcd_primary_al_hs7601*(1+sws_rate_on_bcd))+mcx_domestic_premium_inr_kg)*(1+$I185*MAX(0,$Q185-$A185)/day_count_inr)</f>
        <v/>
      </c>
      <c r="AC185" s="16">
        <f>$M185-$AB185</f>
        <v/>
      </c>
      <c r="AD185" s="7" t="inlineStr">
        <is>
          <t>PROXY_IMPORT_PARITY</t>
        </is>
      </c>
      <c r="AE185" s="7" t="inlineStr">
        <is>
          <t>ECB_CROSS</t>
        </is>
      </c>
      <c r="AF185" s="7" t="inlineStr">
        <is>
          <t>WCI_REPORTED|USEC:ANCHORED|JEA:ASSUMPTION</t>
        </is>
      </c>
      <c r="AG185" s="17" t="b">
        <v>0</v>
      </c>
      <c r="AH185" s="17" t="b">
        <v>1</v>
      </c>
    </row>
    <row r="186">
      <c r="A186" s="11" t="n">
        <v>44825</v>
      </c>
      <c r="B186" s="13" t="n">
        <v>2191</v>
      </c>
      <c r="C186" s="13" t="n">
        <v>2218</v>
      </c>
      <c r="D186" s="13" t="n">
        <v>-27</v>
      </c>
      <c r="E186" s="13" t="n">
        <v>343325</v>
      </c>
      <c r="F186" s="13" t="n">
        <v>79.9066</v>
      </c>
      <c r="G186" s="6" t="n">
        <v>80.0711</v>
      </c>
      <c r="H186" s="6" t="n">
        <v>80.4027</v>
      </c>
      <c r="I186" s="14" t="n">
        <v>0.057905</v>
      </c>
      <c r="J186" s="14" t="n">
        <v>0.032351</v>
      </c>
      <c r="K186" s="14" t="n">
        <v>0.054</v>
      </c>
      <c r="L186" s="13" t="n">
        <v>189.5191</v>
      </c>
      <c r="M186" s="13" t="n">
        <v>189.7897</v>
      </c>
      <c r="N186" s="13" t="n">
        <v>190.7217</v>
      </c>
      <c r="O186" s="13" t="n">
        <v>16.14</v>
      </c>
      <c r="P186" s="13" t="n">
        <v>71.55</v>
      </c>
      <c r="Q186" s="12" t="n">
        <v>44834</v>
      </c>
      <c r="R186" s="12" t="n">
        <v>44865</v>
      </c>
      <c r="S186" s="8">
        <f>YEAR($Q186)*100+MONTH($Q186)</f>
        <v/>
      </c>
      <c r="T186" s="8">
        <f>YEAR($R186)*100+MONTH($R186)</f>
        <v/>
      </c>
      <c r="U186" s="15">
        <f>IF($A186&lt;=INDEX(pdates_wc_rate_inr_pa,1),INDEX(pvals_wc_rate_inr_pa,1),INDEX(pvals_wc_rate_inr_pa,MATCH($A186,pdates_wc_rate_inr_pa,1)))</f>
        <v/>
      </c>
      <c r="V186" s="8">
        <f>IF(AND($A186&gt;=customs_fx_first,$A186&lt;=customs_fx_last+customs_fx_notification_validity_days),IF($A186&lt;=INDEX(pdates_customs_usdinr_import,1),INDEX(pvals_customs_usdinr_import,1),INDEX(pvals_customs_usdinr_import,MATCH($A186,pdates_customs_usdinr_import,1))),$F186*(1+customs_fx_markup_frac))</f>
        <v/>
      </c>
      <c r="W186" s="8">
        <f>IF(AND($A186&gt;=customs_fx_first,$A186&lt;=customs_fx_last+customs_fx_notification_validity_days),"CBIC_NOTIFIED","MARKUP_FALLBACK")</f>
        <v/>
      </c>
      <c r="X186" s="8">
        <f>IF($A186&lt;=INDEX(pdates_grade_factor_zorba,1),INDEX(pvals_grade_factor_zorba,1),IF($A186&gt;=INDEX(pdates_grade_factor_zorba,10),INDEX(pvals_grade_factor_zorba,10),INDEX(pvals_grade_factor_zorba,MATCH($A186,pdates_grade_factor_zorba,1))+($A186-INDEX(pdates_grade_factor_zorba,MATCH($A186,pdates_grade_factor_zorba,1)))/(INDEX(pdates_grade_factor_zorba,MATCH($A186,pdates_grade_factor_zorba,1)+1)-INDEX(pdates_grade_factor_zorba,MATCH($A186,pdates_grade_factor_zorba,1)))*(INDEX(pvals_grade_factor_zorba,MATCH($A186,pdates_grade_factor_zorba,1)+1)-INDEX(pvals_grade_factor_zorba,MATCH($A186,pdates_grade_factor_zorba,1)))))</f>
        <v/>
      </c>
      <c r="Y186" s="8">
        <f>IF($A186&lt;=INDEX(pdates_grade_factor_taint_tabor,1),INDEX(pvals_grade_factor_taint_tabor,1),IF($A186&gt;=INDEX(pdates_grade_factor_taint_tabor,10),INDEX(pvals_grade_factor_taint_tabor,10),INDEX(pvals_grade_factor_taint_tabor,MATCH($A186,pdates_grade_factor_taint_tabor,1))+($A186-INDEX(pdates_grade_factor_taint_tabor,MATCH($A186,pdates_grade_factor_taint_tabor,1)))/(INDEX(pdates_grade_factor_taint_tabor,MATCH($A186,pdates_grade_factor_taint_tabor,1)+1)-INDEX(pdates_grade_factor_taint_tabor,MATCH($A186,pdates_grade_factor_taint_tabor,1)))*(INDEX(pvals_grade_factor_taint_tabor,MATCH($A186,pdates_grade_factor_taint_tabor,1)+1)-INDEX(pvals_grade_factor_taint_tabor,MATCH($A186,pdates_grade_factor_taint_tabor,1)))))</f>
        <v/>
      </c>
      <c r="Z186" s="8">
        <f>IF($A186&lt;=INDEX(pdates_grade_factor_tense,1),INDEX(pvals_grade_factor_tense,1),IF($A186&gt;=INDEX(pdates_grade_factor_tense,10),INDEX(pvals_grade_factor_tense,10),INDEX(pvals_grade_factor_tense,MATCH($A186,pdates_grade_factor_tense,1))+($A186-INDEX(pdates_grade_factor_tense,MATCH($A186,pdates_grade_factor_tense,1)))/(INDEX(pdates_grade_factor_tense,MATCH($A186,pdates_grade_factor_tense,1)+1)-INDEX(pdates_grade_factor_tense,MATCH($A186,pdates_grade_factor_tense,1)))*(INDEX(pvals_grade_factor_tense,MATCH($A186,pdates_grade_factor_tense,1)+1)-INDEX(pvals_grade_factor_tense,MATCH($A186,pdates_grade_factor_tense,1)))))</f>
        <v/>
      </c>
      <c r="AA186" s="8">
        <f>IF($A186&lt;=INDEX(pdates_grade_factor_mix_pit,1),INDEX(pvals_grade_factor_mix_pit,1),IF($A186&gt;=INDEX(pdates_grade_factor_mix_pit,10),INDEX(pvals_grade_factor_mix_pit,10),INDEX(pvals_grade_factor_mix_pit,MATCH($A186,pdates_grade_factor_mix_pit,1))+($A186-INDEX(pdates_grade_factor_mix_pit,MATCH($A186,pdates_grade_factor_mix_pit,1)))/(INDEX(pdates_grade_factor_mix_pit,MATCH($A186,pdates_grade_factor_mix_pit,1)+1)-INDEX(pdates_grade_factor_mix_pit,MATCH($A186,pdates_grade_factor_mix_pit,1)))*(INDEX(pvals_grade_factor_mix_pit,MATCH($A186,pdates_grade_factor_mix_pit,1)+1)-INDEX(pvals_grade_factor_mix_pit,MATCH($A186,pdates_grade_factor_mix_pit,1)))))</f>
        <v/>
      </c>
      <c r="AB186" s="16">
        <f>($B186*$F186/kg_per_mt*(1+bcd_primary_al_hs7601*(1+sws_rate_on_bcd))+mcx_domestic_premium_inr_kg)*(1+$I186*MAX(0,$Q186-$A186)/day_count_inr)</f>
        <v/>
      </c>
      <c r="AC186" s="16">
        <f>$M186-$AB186</f>
        <v/>
      </c>
      <c r="AD186" s="7" t="inlineStr">
        <is>
          <t>PROXY_IMPORT_PARITY</t>
        </is>
      </c>
      <c r="AE186" s="7" t="inlineStr">
        <is>
          <t>ECB_CROSS</t>
        </is>
      </c>
      <c r="AF186" s="7" t="inlineStr">
        <is>
          <t>WCI_REPORTED|USEC:ANCHORED|JEA:ASSUMPTION</t>
        </is>
      </c>
      <c r="AG186" s="17" t="b">
        <v>0</v>
      </c>
      <c r="AH186" s="17" t="b">
        <v>1</v>
      </c>
    </row>
    <row r="187">
      <c r="A187" s="11" t="n">
        <v>44826</v>
      </c>
      <c r="B187" s="13" t="n">
        <v>2195.5</v>
      </c>
      <c r="C187" s="13" t="n">
        <v>2215.5</v>
      </c>
      <c r="D187" s="13" t="n">
        <v>-20</v>
      </c>
      <c r="E187" s="13" t="n">
        <v>341650</v>
      </c>
      <c r="F187" s="13" t="n">
        <v>80.8347</v>
      </c>
      <c r="G187" s="6" t="n">
        <v>81.00239999999999</v>
      </c>
      <c r="H187" s="6" t="n">
        <v>81.34050000000001</v>
      </c>
      <c r="I187" s="14" t="n">
        <v>0.057905</v>
      </c>
      <c r="J187" s="14" t="n">
        <v>0.032153</v>
      </c>
      <c r="K187" s="14" t="n">
        <v>0.054</v>
      </c>
      <c r="L187" s="13" t="n">
        <v>192.1141</v>
      </c>
      <c r="M187" s="13" t="n">
        <v>192.3579</v>
      </c>
      <c r="N187" s="13" t="n">
        <v>193.3027</v>
      </c>
      <c r="O187" s="13" t="n">
        <v>15.83</v>
      </c>
      <c r="P187" s="13" t="n">
        <v>70.18000000000001</v>
      </c>
      <c r="Q187" s="12" t="n">
        <v>44834</v>
      </c>
      <c r="R187" s="12" t="n">
        <v>44865</v>
      </c>
      <c r="S187" s="8">
        <f>YEAR($Q187)*100+MONTH($Q187)</f>
        <v/>
      </c>
      <c r="T187" s="8">
        <f>YEAR($R187)*100+MONTH($R187)</f>
        <v/>
      </c>
      <c r="U187" s="15">
        <f>IF($A187&lt;=INDEX(pdates_wc_rate_inr_pa,1),INDEX(pvals_wc_rate_inr_pa,1),INDEX(pvals_wc_rate_inr_pa,MATCH($A187,pdates_wc_rate_inr_pa,1)))</f>
        <v/>
      </c>
      <c r="V187" s="8">
        <f>IF(AND($A187&gt;=customs_fx_first,$A187&lt;=customs_fx_last+customs_fx_notification_validity_days),IF($A187&lt;=INDEX(pdates_customs_usdinr_import,1),INDEX(pvals_customs_usdinr_import,1),INDEX(pvals_customs_usdinr_import,MATCH($A187,pdates_customs_usdinr_import,1))),$F187*(1+customs_fx_markup_frac))</f>
        <v/>
      </c>
      <c r="W187" s="8">
        <f>IF(AND($A187&gt;=customs_fx_first,$A187&lt;=customs_fx_last+customs_fx_notification_validity_days),"CBIC_NOTIFIED","MARKUP_FALLBACK")</f>
        <v/>
      </c>
      <c r="X187" s="8">
        <f>IF($A187&lt;=INDEX(pdates_grade_factor_zorba,1),INDEX(pvals_grade_factor_zorba,1),IF($A187&gt;=INDEX(pdates_grade_factor_zorba,10),INDEX(pvals_grade_factor_zorba,10),INDEX(pvals_grade_factor_zorba,MATCH($A187,pdates_grade_factor_zorba,1))+($A187-INDEX(pdates_grade_factor_zorba,MATCH($A187,pdates_grade_factor_zorba,1)))/(INDEX(pdates_grade_factor_zorba,MATCH($A187,pdates_grade_factor_zorba,1)+1)-INDEX(pdates_grade_factor_zorba,MATCH($A187,pdates_grade_factor_zorba,1)))*(INDEX(pvals_grade_factor_zorba,MATCH($A187,pdates_grade_factor_zorba,1)+1)-INDEX(pvals_grade_factor_zorba,MATCH($A187,pdates_grade_factor_zorba,1)))))</f>
        <v/>
      </c>
      <c r="Y187" s="8">
        <f>IF($A187&lt;=INDEX(pdates_grade_factor_taint_tabor,1),INDEX(pvals_grade_factor_taint_tabor,1),IF($A187&gt;=INDEX(pdates_grade_factor_taint_tabor,10),INDEX(pvals_grade_factor_taint_tabor,10),INDEX(pvals_grade_factor_taint_tabor,MATCH($A187,pdates_grade_factor_taint_tabor,1))+($A187-INDEX(pdates_grade_factor_taint_tabor,MATCH($A187,pdates_grade_factor_taint_tabor,1)))/(INDEX(pdates_grade_factor_taint_tabor,MATCH($A187,pdates_grade_factor_taint_tabor,1)+1)-INDEX(pdates_grade_factor_taint_tabor,MATCH($A187,pdates_grade_factor_taint_tabor,1)))*(INDEX(pvals_grade_factor_taint_tabor,MATCH($A187,pdates_grade_factor_taint_tabor,1)+1)-INDEX(pvals_grade_factor_taint_tabor,MATCH($A187,pdates_grade_factor_taint_tabor,1)))))</f>
        <v/>
      </c>
      <c r="Z187" s="8">
        <f>IF($A187&lt;=INDEX(pdates_grade_factor_tense,1),INDEX(pvals_grade_factor_tense,1),IF($A187&gt;=INDEX(pdates_grade_factor_tense,10),INDEX(pvals_grade_factor_tense,10),INDEX(pvals_grade_factor_tense,MATCH($A187,pdates_grade_factor_tense,1))+($A187-INDEX(pdates_grade_factor_tense,MATCH($A187,pdates_grade_factor_tense,1)))/(INDEX(pdates_grade_factor_tense,MATCH($A187,pdates_grade_factor_tense,1)+1)-INDEX(pdates_grade_factor_tense,MATCH($A187,pdates_grade_factor_tense,1)))*(INDEX(pvals_grade_factor_tense,MATCH($A187,pdates_grade_factor_tense,1)+1)-INDEX(pvals_grade_factor_tense,MATCH($A187,pdates_grade_factor_tense,1)))))</f>
        <v/>
      </c>
      <c r="AA187" s="8">
        <f>IF($A187&lt;=INDEX(pdates_grade_factor_mix_pit,1),INDEX(pvals_grade_factor_mix_pit,1),IF($A187&gt;=INDEX(pdates_grade_factor_mix_pit,10),INDEX(pvals_grade_factor_mix_pit,10),INDEX(pvals_grade_factor_mix_pit,MATCH($A187,pdates_grade_factor_mix_pit,1))+($A187-INDEX(pdates_grade_factor_mix_pit,MATCH($A187,pdates_grade_factor_mix_pit,1)))/(INDEX(pdates_grade_factor_mix_pit,MATCH($A187,pdates_grade_factor_mix_pit,1)+1)-INDEX(pdates_grade_factor_mix_pit,MATCH($A187,pdates_grade_factor_mix_pit,1)))*(INDEX(pvals_grade_factor_mix_pit,MATCH($A187,pdates_grade_factor_mix_pit,1)+1)-INDEX(pvals_grade_factor_mix_pit,MATCH($A187,pdates_grade_factor_mix_pit,1)))))</f>
        <v/>
      </c>
      <c r="AB187" s="16">
        <f>($B187*$F187/kg_per_mt*(1+bcd_primary_al_hs7601*(1+sws_rate_on_bcd))+mcx_domestic_premium_inr_kg)*(1+$I187*MAX(0,$Q187-$A187)/day_count_inr)</f>
        <v/>
      </c>
      <c r="AC187" s="16">
        <f>$M187-$AB187</f>
        <v/>
      </c>
      <c r="AD187" s="7" t="inlineStr">
        <is>
          <t>PROXY_IMPORT_PARITY</t>
        </is>
      </c>
      <c r="AE187" s="7" t="inlineStr">
        <is>
          <t>ECB_CROSS</t>
        </is>
      </c>
      <c r="AF187" s="7" t="inlineStr">
        <is>
          <t>WCI_REPORTED|USEC:ANCHORED|JEA:ASSUMPTION</t>
        </is>
      </c>
      <c r="AG187" s="17" t="b">
        <v>0</v>
      </c>
      <c r="AH187" s="17" t="b">
        <v>0</v>
      </c>
    </row>
    <row r="188">
      <c r="A188" s="11" t="n">
        <v>44827</v>
      </c>
      <c r="B188" s="13" t="n">
        <v>2153</v>
      </c>
      <c r="C188" s="13" t="n">
        <v>2172</v>
      </c>
      <c r="D188" s="13" t="n">
        <v>-19</v>
      </c>
      <c r="E188" s="13" t="n">
        <v>340350</v>
      </c>
      <c r="F188" s="13" t="n">
        <v>81.0647</v>
      </c>
      <c r="G188" s="6" t="n">
        <v>81.2375</v>
      </c>
      <c r="H188" s="6" t="n">
        <v>81.5861</v>
      </c>
      <c r="I188" s="14" t="n">
        <v>0.057905</v>
      </c>
      <c r="J188" s="14" t="n">
        <v>0.031463</v>
      </c>
      <c r="K188" s="14" t="n">
        <v>0.054</v>
      </c>
      <c r="L188" s="13" t="n">
        <v>188.9312</v>
      </c>
      <c r="M188" s="13" t="n">
        <v>189.141</v>
      </c>
      <c r="N188" s="13" t="n">
        <v>190.0702</v>
      </c>
      <c r="O188" s="13" t="n">
        <v>15.83</v>
      </c>
      <c r="P188" s="13" t="n">
        <v>70.18000000000001</v>
      </c>
      <c r="Q188" s="12" t="n">
        <v>44834</v>
      </c>
      <c r="R188" s="12" t="n">
        <v>44865</v>
      </c>
      <c r="S188" s="8">
        <f>YEAR($Q188)*100+MONTH($Q188)</f>
        <v/>
      </c>
      <c r="T188" s="8">
        <f>YEAR($R188)*100+MONTH($R188)</f>
        <v/>
      </c>
      <c r="U188" s="15">
        <f>IF($A188&lt;=INDEX(pdates_wc_rate_inr_pa,1),INDEX(pvals_wc_rate_inr_pa,1),INDEX(pvals_wc_rate_inr_pa,MATCH($A188,pdates_wc_rate_inr_pa,1)))</f>
        <v/>
      </c>
      <c r="V188" s="8">
        <f>IF(AND($A188&gt;=customs_fx_first,$A188&lt;=customs_fx_last+customs_fx_notification_validity_days),IF($A188&lt;=INDEX(pdates_customs_usdinr_import,1),INDEX(pvals_customs_usdinr_import,1),INDEX(pvals_customs_usdinr_import,MATCH($A188,pdates_customs_usdinr_import,1))),$F188*(1+customs_fx_markup_frac))</f>
        <v/>
      </c>
      <c r="W188" s="8">
        <f>IF(AND($A188&gt;=customs_fx_first,$A188&lt;=customs_fx_last+customs_fx_notification_validity_days),"CBIC_NOTIFIED","MARKUP_FALLBACK")</f>
        <v/>
      </c>
      <c r="X188" s="8">
        <f>IF($A188&lt;=INDEX(pdates_grade_factor_zorba,1),INDEX(pvals_grade_factor_zorba,1),IF($A188&gt;=INDEX(pdates_grade_factor_zorba,10),INDEX(pvals_grade_factor_zorba,10),INDEX(pvals_grade_factor_zorba,MATCH($A188,pdates_grade_factor_zorba,1))+($A188-INDEX(pdates_grade_factor_zorba,MATCH($A188,pdates_grade_factor_zorba,1)))/(INDEX(pdates_grade_factor_zorba,MATCH($A188,pdates_grade_factor_zorba,1)+1)-INDEX(pdates_grade_factor_zorba,MATCH($A188,pdates_grade_factor_zorba,1)))*(INDEX(pvals_grade_factor_zorba,MATCH($A188,pdates_grade_factor_zorba,1)+1)-INDEX(pvals_grade_factor_zorba,MATCH($A188,pdates_grade_factor_zorba,1)))))</f>
        <v/>
      </c>
      <c r="Y188" s="8">
        <f>IF($A188&lt;=INDEX(pdates_grade_factor_taint_tabor,1),INDEX(pvals_grade_factor_taint_tabor,1),IF($A188&gt;=INDEX(pdates_grade_factor_taint_tabor,10),INDEX(pvals_grade_factor_taint_tabor,10),INDEX(pvals_grade_factor_taint_tabor,MATCH($A188,pdates_grade_factor_taint_tabor,1))+($A188-INDEX(pdates_grade_factor_taint_tabor,MATCH($A188,pdates_grade_factor_taint_tabor,1)))/(INDEX(pdates_grade_factor_taint_tabor,MATCH($A188,pdates_grade_factor_taint_tabor,1)+1)-INDEX(pdates_grade_factor_taint_tabor,MATCH($A188,pdates_grade_factor_taint_tabor,1)))*(INDEX(pvals_grade_factor_taint_tabor,MATCH($A188,pdates_grade_factor_taint_tabor,1)+1)-INDEX(pvals_grade_factor_taint_tabor,MATCH($A188,pdates_grade_factor_taint_tabor,1)))))</f>
        <v/>
      </c>
      <c r="Z188" s="8">
        <f>IF($A188&lt;=INDEX(pdates_grade_factor_tense,1),INDEX(pvals_grade_factor_tense,1),IF($A188&gt;=INDEX(pdates_grade_factor_tense,10),INDEX(pvals_grade_factor_tense,10),INDEX(pvals_grade_factor_tense,MATCH($A188,pdates_grade_factor_tense,1))+($A188-INDEX(pdates_grade_factor_tense,MATCH($A188,pdates_grade_factor_tense,1)))/(INDEX(pdates_grade_factor_tense,MATCH($A188,pdates_grade_factor_tense,1)+1)-INDEX(pdates_grade_factor_tense,MATCH($A188,pdates_grade_factor_tense,1)))*(INDEX(pvals_grade_factor_tense,MATCH($A188,pdates_grade_factor_tense,1)+1)-INDEX(pvals_grade_factor_tense,MATCH($A188,pdates_grade_factor_tense,1)))))</f>
        <v/>
      </c>
      <c r="AA188" s="8">
        <f>IF($A188&lt;=INDEX(pdates_grade_factor_mix_pit,1),INDEX(pvals_grade_factor_mix_pit,1),IF($A188&gt;=INDEX(pdates_grade_factor_mix_pit,10),INDEX(pvals_grade_factor_mix_pit,10),INDEX(pvals_grade_factor_mix_pit,MATCH($A188,pdates_grade_factor_mix_pit,1))+($A188-INDEX(pdates_grade_factor_mix_pit,MATCH($A188,pdates_grade_factor_mix_pit,1)))/(INDEX(pdates_grade_factor_mix_pit,MATCH($A188,pdates_grade_factor_mix_pit,1)+1)-INDEX(pdates_grade_factor_mix_pit,MATCH($A188,pdates_grade_factor_mix_pit,1)))*(INDEX(pvals_grade_factor_mix_pit,MATCH($A188,pdates_grade_factor_mix_pit,1)+1)-INDEX(pvals_grade_factor_mix_pit,MATCH($A188,pdates_grade_factor_mix_pit,1)))))</f>
        <v/>
      </c>
      <c r="AB188" s="16">
        <f>($B188*$F188/kg_per_mt*(1+bcd_primary_al_hs7601*(1+sws_rate_on_bcd))+mcx_domestic_premium_inr_kg)*(1+$I188*MAX(0,$Q188-$A188)/day_count_inr)</f>
        <v/>
      </c>
      <c r="AC188" s="16">
        <f>$M188-$AB188</f>
        <v/>
      </c>
      <c r="AD188" s="7" t="inlineStr">
        <is>
          <t>PROXY_IMPORT_PARITY</t>
        </is>
      </c>
      <c r="AE188" s="7" t="inlineStr">
        <is>
          <t>ECB_CROSS</t>
        </is>
      </c>
      <c r="AF188" s="7" t="inlineStr">
        <is>
          <t>WCI_REPORTED|USEC:ANCHORED|JEA:ASSUMPTION</t>
        </is>
      </c>
      <c r="AG188" s="17" t="b">
        <v>0</v>
      </c>
      <c r="AH188" s="17" t="b">
        <v>1</v>
      </c>
    </row>
    <row r="189">
      <c r="A189" s="11" t="n">
        <v>44830</v>
      </c>
      <c r="B189" s="13" t="n">
        <v>2125.5</v>
      </c>
      <c r="C189" s="13" t="n">
        <v>2145.5</v>
      </c>
      <c r="D189" s="13" t="n">
        <v>-20</v>
      </c>
      <c r="E189" s="13" t="n">
        <v>338850</v>
      </c>
      <c r="F189" s="13" t="n">
        <v>81.5924</v>
      </c>
      <c r="G189" s="6" t="n">
        <v>81.7542</v>
      </c>
      <c r="H189" s="6" t="n">
        <v>82.0806</v>
      </c>
      <c r="I189" s="14" t="n">
        <v>0.057905</v>
      </c>
      <c r="J189" s="14" t="n">
        <v>0.033238</v>
      </c>
      <c r="K189" s="14" t="n">
        <v>0.054</v>
      </c>
      <c r="L189" s="13" t="n">
        <v>187.7322</v>
      </c>
      <c r="M189" s="13" t="n">
        <v>187.8513</v>
      </c>
      <c r="N189" s="13" t="n">
        <v>188.7746</v>
      </c>
      <c r="O189" s="13" t="n">
        <v>15.83</v>
      </c>
      <c r="P189" s="13" t="n">
        <v>70.18000000000001</v>
      </c>
      <c r="Q189" s="12" t="n">
        <v>44834</v>
      </c>
      <c r="R189" s="12" t="n">
        <v>44865</v>
      </c>
      <c r="S189" s="8">
        <f>YEAR($Q189)*100+MONTH($Q189)</f>
        <v/>
      </c>
      <c r="T189" s="8">
        <f>YEAR($R189)*100+MONTH($R189)</f>
        <v/>
      </c>
      <c r="U189" s="15">
        <f>IF($A189&lt;=INDEX(pdates_wc_rate_inr_pa,1),INDEX(pvals_wc_rate_inr_pa,1),INDEX(pvals_wc_rate_inr_pa,MATCH($A189,pdates_wc_rate_inr_pa,1)))</f>
        <v/>
      </c>
      <c r="V189" s="8">
        <f>IF(AND($A189&gt;=customs_fx_first,$A189&lt;=customs_fx_last+customs_fx_notification_validity_days),IF($A189&lt;=INDEX(pdates_customs_usdinr_import,1),INDEX(pvals_customs_usdinr_import,1),INDEX(pvals_customs_usdinr_import,MATCH($A189,pdates_customs_usdinr_import,1))),$F189*(1+customs_fx_markup_frac))</f>
        <v/>
      </c>
      <c r="W189" s="8">
        <f>IF(AND($A189&gt;=customs_fx_first,$A189&lt;=customs_fx_last+customs_fx_notification_validity_days),"CBIC_NOTIFIED","MARKUP_FALLBACK")</f>
        <v/>
      </c>
      <c r="X189" s="8">
        <f>IF($A189&lt;=INDEX(pdates_grade_factor_zorba,1),INDEX(pvals_grade_factor_zorba,1),IF($A189&gt;=INDEX(pdates_grade_factor_zorba,10),INDEX(pvals_grade_factor_zorba,10),INDEX(pvals_grade_factor_zorba,MATCH($A189,pdates_grade_factor_zorba,1))+($A189-INDEX(pdates_grade_factor_zorba,MATCH($A189,pdates_grade_factor_zorba,1)))/(INDEX(pdates_grade_factor_zorba,MATCH($A189,pdates_grade_factor_zorba,1)+1)-INDEX(pdates_grade_factor_zorba,MATCH($A189,pdates_grade_factor_zorba,1)))*(INDEX(pvals_grade_factor_zorba,MATCH($A189,pdates_grade_factor_zorba,1)+1)-INDEX(pvals_grade_factor_zorba,MATCH($A189,pdates_grade_factor_zorba,1)))))</f>
        <v/>
      </c>
      <c r="Y189" s="8">
        <f>IF($A189&lt;=INDEX(pdates_grade_factor_taint_tabor,1),INDEX(pvals_grade_factor_taint_tabor,1),IF($A189&gt;=INDEX(pdates_grade_factor_taint_tabor,10),INDEX(pvals_grade_factor_taint_tabor,10),INDEX(pvals_grade_factor_taint_tabor,MATCH($A189,pdates_grade_factor_taint_tabor,1))+($A189-INDEX(pdates_grade_factor_taint_tabor,MATCH($A189,pdates_grade_factor_taint_tabor,1)))/(INDEX(pdates_grade_factor_taint_tabor,MATCH($A189,pdates_grade_factor_taint_tabor,1)+1)-INDEX(pdates_grade_factor_taint_tabor,MATCH($A189,pdates_grade_factor_taint_tabor,1)))*(INDEX(pvals_grade_factor_taint_tabor,MATCH($A189,pdates_grade_factor_taint_tabor,1)+1)-INDEX(pvals_grade_factor_taint_tabor,MATCH($A189,pdates_grade_factor_taint_tabor,1)))))</f>
        <v/>
      </c>
      <c r="Z189" s="8">
        <f>IF($A189&lt;=INDEX(pdates_grade_factor_tense,1),INDEX(pvals_grade_factor_tense,1),IF($A189&gt;=INDEX(pdates_grade_factor_tense,10),INDEX(pvals_grade_factor_tense,10),INDEX(pvals_grade_factor_tense,MATCH($A189,pdates_grade_factor_tense,1))+($A189-INDEX(pdates_grade_factor_tense,MATCH($A189,pdates_grade_factor_tense,1)))/(INDEX(pdates_grade_factor_tense,MATCH($A189,pdates_grade_factor_tense,1)+1)-INDEX(pdates_grade_factor_tense,MATCH($A189,pdates_grade_factor_tense,1)))*(INDEX(pvals_grade_factor_tense,MATCH($A189,pdates_grade_factor_tense,1)+1)-INDEX(pvals_grade_factor_tense,MATCH($A189,pdates_grade_factor_tense,1)))))</f>
        <v/>
      </c>
      <c r="AA189" s="8">
        <f>IF($A189&lt;=INDEX(pdates_grade_factor_mix_pit,1),INDEX(pvals_grade_factor_mix_pit,1),IF($A189&gt;=INDEX(pdates_grade_factor_mix_pit,10),INDEX(pvals_grade_factor_mix_pit,10),INDEX(pvals_grade_factor_mix_pit,MATCH($A189,pdates_grade_factor_mix_pit,1))+($A189-INDEX(pdates_grade_factor_mix_pit,MATCH($A189,pdates_grade_factor_mix_pit,1)))/(INDEX(pdates_grade_factor_mix_pit,MATCH($A189,pdates_grade_factor_mix_pit,1)+1)-INDEX(pdates_grade_factor_mix_pit,MATCH($A189,pdates_grade_factor_mix_pit,1)))*(INDEX(pvals_grade_factor_mix_pit,MATCH($A189,pdates_grade_factor_mix_pit,1)+1)-INDEX(pvals_grade_factor_mix_pit,MATCH($A189,pdates_grade_factor_mix_pit,1)))))</f>
        <v/>
      </c>
      <c r="AB189" s="16">
        <f>($B189*$F189/kg_per_mt*(1+bcd_primary_al_hs7601*(1+sws_rate_on_bcd))+mcx_domestic_premium_inr_kg)*(1+$I189*MAX(0,$Q189-$A189)/day_count_inr)</f>
        <v/>
      </c>
      <c r="AC189" s="16">
        <f>$M189-$AB189</f>
        <v/>
      </c>
      <c r="AD189" s="7" t="inlineStr">
        <is>
          <t>PROXY_IMPORT_PARITY</t>
        </is>
      </c>
      <c r="AE189" s="7" t="inlineStr">
        <is>
          <t>ECB_CROSS</t>
        </is>
      </c>
      <c r="AF189" s="7" t="inlineStr">
        <is>
          <t>WCI_REPORTED|USEC:ANCHORED|JEA:ASSUMPTION</t>
        </is>
      </c>
      <c r="AG189" s="17" t="b">
        <v>0</v>
      </c>
      <c r="AH189" s="17" t="b">
        <v>1</v>
      </c>
    </row>
    <row r="190">
      <c r="A190" s="11" t="n">
        <v>44831</v>
      </c>
      <c r="B190" s="13" t="n">
        <v>2106</v>
      </c>
      <c r="C190" s="13" t="n">
        <v>2130</v>
      </c>
      <c r="D190" s="13" t="n">
        <v>-24</v>
      </c>
      <c r="E190" s="13" t="n">
        <v>337425</v>
      </c>
      <c r="F190" s="13" t="n">
        <v>81.47450000000001</v>
      </c>
      <c r="G190" s="6" t="n">
        <v>81.6388</v>
      </c>
      <c r="H190" s="6" t="n">
        <v>81.97020000000001</v>
      </c>
      <c r="I190" s="14" t="n">
        <v>0.057905</v>
      </c>
      <c r="J190" s="14" t="n">
        <v>0.032844</v>
      </c>
      <c r="K190" s="14" t="n">
        <v>0.054</v>
      </c>
      <c r="L190" s="13" t="n">
        <v>185.7411</v>
      </c>
      <c r="M190" s="13" t="n">
        <v>185.8295</v>
      </c>
      <c r="N190" s="13" t="n">
        <v>186.743</v>
      </c>
      <c r="O190" s="13" t="n">
        <v>15.83</v>
      </c>
      <c r="P190" s="13" t="n">
        <v>70.18000000000001</v>
      </c>
      <c r="Q190" s="12" t="n">
        <v>44834</v>
      </c>
      <c r="R190" s="12" t="n">
        <v>44865</v>
      </c>
      <c r="S190" s="8">
        <f>YEAR($Q190)*100+MONTH($Q190)</f>
        <v/>
      </c>
      <c r="T190" s="8">
        <f>YEAR($R190)*100+MONTH($R190)</f>
        <v/>
      </c>
      <c r="U190" s="15">
        <f>IF($A190&lt;=INDEX(pdates_wc_rate_inr_pa,1),INDEX(pvals_wc_rate_inr_pa,1),INDEX(pvals_wc_rate_inr_pa,MATCH($A190,pdates_wc_rate_inr_pa,1)))</f>
        <v/>
      </c>
      <c r="V190" s="8">
        <f>IF(AND($A190&gt;=customs_fx_first,$A190&lt;=customs_fx_last+customs_fx_notification_validity_days),IF($A190&lt;=INDEX(pdates_customs_usdinr_import,1),INDEX(pvals_customs_usdinr_import,1),INDEX(pvals_customs_usdinr_import,MATCH($A190,pdates_customs_usdinr_import,1))),$F190*(1+customs_fx_markup_frac))</f>
        <v/>
      </c>
      <c r="W190" s="8">
        <f>IF(AND($A190&gt;=customs_fx_first,$A190&lt;=customs_fx_last+customs_fx_notification_validity_days),"CBIC_NOTIFIED","MARKUP_FALLBACK")</f>
        <v/>
      </c>
      <c r="X190" s="8">
        <f>IF($A190&lt;=INDEX(pdates_grade_factor_zorba,1),INDEX(pvals_grade_factor_zorba,1),IF($A190&gt;=INDEX(pdates_grade_factor_zorba,10),INDEX(pvals_grade_factor_zorba,10),INDEX(pvals_grade_factor_zorba,MATCH($A190,pdates_grade_factor_zorba,1))+($A190-INDEX(pdates_grade_factor_zorba,MATCH($A190,pdates_grade_factor_zorba,1)))/(INDEX(pdates_grade_factor_zorba,MATCH($A190,pdates_grade_factor_zorba,1)+1)-INDEX(pdates_grade_factor_zorba,MATCH($A190,pdates_grade_factor_zorba,1)))*(INDEX(pvals_grade_factor_zorba,MATCH($A190,pdates_grade_factor_zorba,1)+1)-INDEX(pvals_grade_factor_zorba,MATCH($A190,pdates_grade_factor_zorba,1)))))</f>
        <v/>
      </c>
      <c r="Y190" s="8">
        <f>IF($A190&lt;=INDEX(pdates_grade_factor_taint_tabor,1),INDEX(pvals_grade_factor_taint_tabor,1),IF($A190&gt;=INDEX(pdates_grade_factor_taint_tabor,10),INDEX(pvals_grade_factor_taint_tabor,10),INDEX(pvals_grade_factor_taint_tabor,MATCH($A190,pdates_grade_factor_taint_tabor,1))+($A190-INDEX(pdates_grade_factor_taint_tabor,MATCH($A190,pdates_grade_factor_taint_tabor,1)))/(INDEX(pdates_grade_factor_taint_tabor,MATCH($A190,pdates_grade_factor_taint_tabor,1)+1)-INDEX(pdates_grade_factor_taint_tabor,MATCH($A190,pdates_grade_factor_taint_tabor,1)))*(INDEX(pvals_grade_factor_taint_tabor,MATCH($A190,pdates_grade_factor_taint_tabor,1)+1)-INDEX(pvals_grade_factor_taint_tabor,MATCH($A190,pdates_grade_factor_taint_tabor,1)))))</f>
        <v/>
      </c>
      <c r="Z190" s="8">
        <f>IF($A190&lt;=INDEX(pdates_grade_factor_tense,1),INDEX(pvals_grade_factor_tense,1),IF($A190&gt;=INDEX(pdates_grade_factor_tense,10),INDEX(pvals_grade_factor_tense,10),INDEX(pvals_grade_factor_tense,MATCH($A190,pdates_grade_factor_tense,1))+($A190-INDEX(pdates_grade_factor_tense,MATCH($A190,pdates_grade_factor_tense,1)))/(INDEX(pdates_grade_factor_tense,MATCH($A190,pdates_grade_factor_tense,1)+1)-INDEX(pdates_grade_factor_tense,MATCH($A190,pdates_grade_factor_tense,1)))*(INDEX(pvals_grade_factor_tense,MATCH($A190,pdates_grade_factor_tense,1)+1)-INDEX(pvals_grade_factor_tense,MATCH($A190,pdates_grade_factor_tense,1)))))</f>
        <v/>
      </c>
      <c r="AA190" s="8">
        <f>IF($A190&lt;=INDEX(pdates_grade_factor_mix_pit,1),INDEX(pvals_grade_factor_mix_pit,1),IF($A190&gt;=INDEX(pdates_grade_factor_mix_pit,10),INDEX(pvals_grade_factor_mix_pit,10),INDEX(pvals_grade_factor_mix_pit,MATCH($A190,pdates_grade_factor_mix_pit,1))+($A190-INDEX(pdates_grade_factor_mix_pit,MATCH($A190,pdates_grade_factor_mix_pit,1)))/(INDEX(pdates_grade_factor_mix_pit,MATCH($A190,pdates_grade_factor_mix_pit,1)+1)-INDEX(pdates_grade_factor_mix_pit,MATCH($A190,pdates_grade_factor_mix_pit,1)))*(INDEX(pvals_grade_factor_mix_pit,MATCH($A190,pdates_grade_factor_mix_pit,1)+1)-INDEX(pvals_grade_factor_mix_pit,MATCH($A190,pdates_grade_factor_mix_pit,1)))))</f>
        <v/>
      </c>
      <c r="AB190" s="16">
        <f>($B190*$F190/kg_per_mt*(1+bcd_primary_al_hs7601*(1+sws_rate_on_bcd))+mcx_domestic_premium_inr_kg)*(1+$I190*MAX(0,$Q190-$A190)/day_count_inr)</f>
        <v/>
      </c>
      <c r="AC190" s="16">
        <f>$M190-$AB190</f>
        <v/>
      </c>
      <c r="AD190" s="7" t="inlineStr">
        <is>
          <t>PROXY_IMPORT_PARITY</t>
        </is>
      </c>
      <c r="AE190" s="7" t="inlineStr">
        <is>
          <t>ECB_CROSS</t>
        </is>
      </c>
      <c r="AF190" s="7" t="inlineStr">
        <is>
          <t>WCI_REPORTED|USEC:ANCHORED|JEA:ASSUMPTION</t>
        </is>
      </c>
      <c r="AG190" s="17" t="b">
        <v>0</v>
      </c>
      <c r="AH190" s="17" t="b">
        <v>1</v>
      </c>
    </row>
    <row r="191">
      <c r="A191" s="11" t="n">
        <v>44832</v>
      </c>
      <c r="B191" s="13" t="n">
        <v>2080</v>
      </c>
      <c r="C191" s="13" t="n">
        <v>2103</v>
      </c>
      <c r="D191" s="13" t="n">
        <v>-23</v>
      </c>
      <c r="E191" s="13" t="n">
        <v>335625</v>
      </c>
      <c r="F191" s="13" t="n">
        <v>81.8249</v>
      </c>
      <c r="G191" s="6" t="n">
        <v>81.9879</v>
      </c>
      <c r="H191" s="6" t="n">
        <v>82.31659999999999</v>
      </c>
      <c r="I191" s="14" t="n">
        <v>0.057905</v>
      </c>
      <c r="J191" s="14" t="n">
        <v>0.03314</v>
      </c>
      <c r="K191" s="14" t="n">
        <v>0.054</v>
      </c>
      <c r="L191" s="13" t="n">
        <v>184.2369</v>
      </c>
      <c r="M191" s="13" t="n">
        <v>184.2954</v>
      </c>
      <c r="N191" s="13" t="n">
        <v>185.2015</v>
      </c>
      <c r="O191" s="13" t="n">
        <v>15.83</v>
      </c>
      <c r="P191" s="13" t="n">
        <v>70.18000000000001</v>
      </c>
      <c r="Q191" s="12" t="n">
        <v>44834</v>
      </c>
      <c r="R191" s="12" t="n">
        <v>44865</v>
      </c>
      <c r="S191" s="8">
        <f>YEAR($Q191)*100+MONTH($Q191)</f>
        <v/>
      </c>
      <c r="T191" s="8">
        <f>YEAR($R191)*100+MONTH($R191)</f>
        <v/>
      </c>
      <c r="U191" s="15">
        <f>IF($A191&lt;=INDEX(pdates_wc_rate_inr_pa,1),INDEX(pvals_wc_rate_inr_pa,1),INDEX(pvals_wc_rate_inr_pa,MATCH($A191,pdates_wc_rate_inr_pa,1)))</f>
        <v/>
      </c>
      <c r="V191" s="8">
        <f>IF(AND($A191&gt;=customs_fx_first,$A191&lt;=customs_fx_last+customs_fx_notification_validity_days),IF($A191&lt;=INDEX(pdates_customs_usdinr_import,1),INDEX(pvals_customs_usdinr_import,1),INDEX(pvals_customs_usdinr_import,MATCH($A191,pdates_customs_usdinr_import,1))),$F191*(1+customs_fx_markup_frac))</f>
        <v/>
      </c>
      <c r="W191" s="8">
        <f>IF(AND($A191&gt;=customs_fx_first,$A191&lt;=customs_fx_last+customs_fx_notification_validity_days),"CBIC_NOTIFIED","MARKUP_FALLBACK")</f>
        <v/>
      </c>
      <c r="X191" s="8">
        <f>IF($A191&lt;=INDEX(pdates_grade_factor_zorba,1),INDEX(pvals_grade_factor_zorba,1),IF($A191&gt;=INDEX(pdates_grade_factor_zorba,10),INDEX(pvals_grade_factor_zorba,10),INDEX(pvals_grade_factor_zorba,MATCH($A191,pdates_grade_factor_zorba,1))+($A191-INDEX(pdates_grade_factor_zorba,MATCH($A191,pdates_grade_factor_zorba,1)))/(INDEX(pdates_grade_factor_zorba,MATCH($A191,pdates_grade_factor_zorba,1)+1)-INDEX(pdates_grade_factor_zorba,MATCH($A191,pdates_grade_factor_zorba,1)))*(INDEX(pvals_grade_factor_zorba,MATCH($A191,pdates_grade_factor_zorba,1)+1)-INDEX(pvals_grade_factor_zorba,MATCH($A191,pdates_grade_factor_zorba,1)))))</f>
        <v/>
      </c>
      <c r="Y191" s="8">
        <f>IF($A191&lt;=INDEX(pdates_grade_factor_taint_tabor,1),INDEX(pvals_grade_factor_taint_tabor,1),IF($A191&gt;=INDEX(pdates_grade_factor_taint_tabor,10),INDEX(pvals_grade_factor_taint_tabor,10),INDEX(pvals_grade_factor_taint_tabor,MATCH($A191,pdates_grade_factor_taint_tabor,1))+($A191-INDEX(pdates_grade_factor_taint_tabor,MATCH($A191,pdates_grade_factor_taint_tabor,1)))/(INDEX(pdates_grade_factor_taint_tabor,MATCH($A191,pdates_grade_factor_taint_tabor,1)+1)-INDEX(pdates_grade_factor_taint_tabor,MATCH($A191,pdates_grade_factor_taint_tabor,1)))*(INDEX(pvals_grade_factor_taint_tabor,MATCH($A191,pdates_grade_factor_taint_tabor,1)+1)-INDEX(pvals_grade_factor_taint_tabor,MATCH($A191,pdates_grade_factor_taint_tabor,1)))))</f>
        <v/>
      </c>
      <c r="Z191" s="8">
        <f>IF($A191&lt;=INDEX(pdates_grade_factor_tense,1),INDEX(pvals_grade_factor_tense,1),IF($A191&gt;=INDEX(pdates_grade_factor_tense,10),INDEX(pvals_grade_factor_tense,10),INDEX(pvals_grade_factor_tense,MATCH($A191,pdates_grade_factor_tense,1))+($A191-INDEX(pdates_grade_factor_tense,MATCH($A191,pdates_grade_factor_tense,1)))/(INDEX(pdates_grade_factor_tense,MATCH($A191,pdates_grade_factor_tense,1)+1)-INDEX(pdates_grade_factor_tense,MATCH($A191,pdates_grade_factor_tense,1)))*(INDEX(pvals_grade_factor_tense,MATCH($A191,pdates_grade_factor_tense,1)+1)-INDEX(pvals_grade_factor_tense,MATCH($A191,pdates_grade_factor_tense,1)))))</f>
        <v/>
      </c>
      <c r="AA191" s="8">
        <f>IF($A191&lt;=INDEX(pdates_grade_factor_mix_pit,1),INDEX(pvals_grade_factor_mix_pit,1),IF($A191&gt;=INDEX(pdates_grade_factor_mix_pit,10),INDEX(pvals_grade_factor_mix_pit,10),INDEX(pvals_grade_factor_mix_pit,MATCH($A191,pdates_grade_factor_mix_pit,1))+($A191-INDEX(pdates_grade_factor_mix_pit,MATCH($A191,pdates_grade_factor_mix_pit,1)))/(INDEX(pdates_grade_factor_mix_pit,MATCH($A191,pdates_grade_factor_mix_pit,1)+1)-INDEX(pdates_grade_factor_mix_pit,MATCH($A191,pdates_grade_factor_mix_pit,1)))*(INDEX(pvals_grade_factor_mix_pit,MATCH($A191,pdates_grade_factor_mix_pit,1)+1)-INDEX(pvals_grade_factor_mix_pit,MATCH($A191,pdates_grade_factor_mix_pit,1)))))</f>
        <v/>
      </c>
      <c r="AB191" s="16">
        <f>($B191*$F191/kg_per_mt*(1+bcd_primary_al_hs7601*(1+sws_rate_on_bcd))+mcx_domestic_premium_inr_kg)*(1+$I191*MAX(0,$Q191-$A191)/day_count_inr)</f>
        <v/>
      </c>
      <c r="AC191" s="16">
        <f>$M191-$AB191</f>
        <v/>
      </c>
      <c r="AD191" s="7" t="inlineStr">
        <is>
          <t>PROXY_IMPORT_PARITY</t>
        </is>
      </c>
      <c r="AE191" s="7" t="inlineStr">
        <is>
          <t>ECB_CROSS</t>
        </is>
      </c>
      <c r="AF191" s="7" t="inlineStr">
        <is>
          <t>WCI_REPORTED|USEC:ANCHORED|JEA:ASSUMPTION</t>
        </is>
      </c>
      <c r="AG191" s="17" t="b">
        <v>0</v>
      </c>
      <c r="AH191" s="17" t="b">
        <v>1</v>
      </c>
    </row>
    <row r="192">
      <c r="A192" s="11" t="n">
        <v>44833</v>
      </c>
      <c r="B192" s="13" t="n">
        <v>2261</v>
      </c>
      <c r="C192" s="13" t="n">
        <v>2273</v>
      </c>
      <c r="D192" s="13" t="n">
        <v>-12</v>
      </c>
      <c r="E192" s="13" t="n">
        <v>334100</v>
      </c>
      <c r="F192" s="13" t="n">
        <v>81.7165</v>
      </c>
      <c r="G192" s="6" t="n">
        <v>81.8813</v>
      </c>
      <c r="H192" s="6" t="n">
        <v>82.2136</v>
      </c>
      <c r="I192" s="14" t="n">
        <v>0.057905</v>
      </c>
      <c r="J192" s="14" t="n">
        <v>0.032844</v>
      </c>
      <c r="K192" s="14" t="n">
        <v>0.054</v>
      </c>
      <c r="L192" s="13" t="n">
        <v>200.0038</v>
      </c>
      <c r="M192" s="13" t="n">
        <v>200.0355</v>
      </c>
      <c r="N192" s="13" t="n">
        <v>201.0191</v>
      </c>
      <c r="O192" s="13" t="n">
        <v>15.4</v>
      </c>
      <c r="P192" s="13" t="n">
        <v>68.29000000000001</v>
      </c>
      <c r="Q192" s="12" t="n">
        <v>44834</v>
      </c>
      <c r="R192" s="12" t="n">
        <v>44865</v>
      </c>
      <c r="S192" s="8">
        <f>YEAR($Q192)*100+MONTH($Q192)</f>
        <v/>
      </c>
      <c r="T192" s="8">
        <f>YEAR($R192)*100+MONTH($R192)</f>
        <v/>
      </c>
      <c r="U192" s="15">
        <f>IF($A192&lt;=INDEX(pdates_wc_rate_inr_pa,1),INDEX(pvals_wc_rate_inr_pa,1),INDEX(pvals_wc_rate_inr_pa,MATCH($A192,pdates_wc_rate_inr_pa,1)))</f>
        <v/>
      </c>
      <c r="V192" s="8">
        <f>IF(AND($A192&gt;=customs_fx_first,$A192&lt;=customs_fx_last+customs_fx_notification_validity_days),IF($A192&lt;=INDEX(pdates_customs_usdinr_import,1),INDEX(pvals_customs_usdinr_import,1),INDEX(pvals_customs_usdinr_import,MATCH($A192,pdates_customs_usdinr_import,1))),$F192*(1+customs_fx_markup_frac))</f>
        <v/>
      </c>
      <c r="W192" s="8">
        <f>IF(AND($A192&gt;=customs_fx_first,$A192&lt;=customs_fx_last+customs_fx_notification_validity_days),"CBIC_NOTIFIED","MARKUP_FALLBACK")</f>
        <v/>
      </c>
      <c r="X192" s="8">
        <f>IF($A192&lt;=INDEX(pdates_grade_factor_zorba,1),INDEX(pvals_grade_factor_zorba,1),IF($A192&gt;=INDEX(pdates_grade_factor_zorba,10),INDEX(pvals_grade_factor_zorba,10),INDEX(pvals_grade_factor_zorba,MATCH($A192,pdates_grade_factor_zorba,1))+($A192-INDEX(pdates_grade_factor_zorba,MATCH($A192,pdates_grade_factor_zorba,1)))/(INDEX(pdates_grade_factor_zorba,MATCH($A192,pdates_grade_factor_zorba,1)+1)-INDEX(pdates_grade_factor_zorba,MATCH($A192,pdates_grade_factor_zorba,1)))*(INDEX(pvals_grade_factor_zorba,MATCH($A192,pdates_grade_factor_zorba,1)+1)-INDEX(pvals_grade_factor_zorba,MATCH($A192,pdates_grade_factor_zorba,1)))))</f>
        <v/>
      </c>
      <c r="Y192" s="8">
        <f>IF($A192&lt;=INDEX(pdates_grade_factor_taint_tabor,1),INDEX(pvals_grade_factor_taint_tabor,1),IF($A192&gt;=INDEX(pdates_grade_factor_taint_tabor,10),INDEX(pvals_grade_factor_taint_tabor,10),INDEX(pvals_grade_factor_taint_tabor,MATCH($A192,pdates_grade_factor_taint_tabor,1))+($A192-INDEX(pdates_grade_factor_taint_tabor,MATCH($A192,pdates_grade_factor_taint_tabor,1)))/(INDEX(pdates_grade_factor_taint_tabor,MATCH($A192,pdates_grade_factor_taint_tabor,1)+1)-INDEX(pdates_grade_factor_taint_tabor,MATCH($A192,pdates_grade_factor_taint_tabor,1)))*(INDEX(pvals_grade_factor_taint_tabor,MATCH($A192,pdates_grade_factor_taint_tabor,1)+1)-INDEX(pvals_grade_factor_taint_tabor,MATCH($A192,pdates_grade_factor_taint_tabor,1)))))</f>
        <v/>
      </c>
      <c r="Z192" s="8">
        <f>IF($A192&lt;=INDEX(pdates_grade_factor_tense,1),INDEX(pvals_grade_factor_tense,1),IF($A192&gt;=INDEX(pdates_grade_factor_tense,10),INDEX(pvals_grade_factor_tense,10),INDEX(pvals_grade_factor_tense,MATCH($A192,pdates_grade_factor_tense,1))+($A192-INDEX(pdates_grade_factor_tense,MATCH($A192,pdates_grade_factor_tense,1)))/(INDEX(pdates_grade_factor_tense,MATCH($A192,pdates_grade_factor_tense,1)+1)-INDEX(pdates_grade_factor_tense,MATCH($A192,pdates_grade_factor_tense,1)))*(INDEX(pvals_grade_factor_tense,MATCH($A192,pdates_grade_factor_tense,1)+1)-INDEX(pvals_grade_factor_tense,MATCH($A192,pdates_grade_factor_tense,1)))))</f>
        <v/>
      </c>
      <c r="AA192" s="8">
        <f>IF($A192&lt;=INDEX(pdates_grade_factor_mix_pit,1),INDEX(pvals_grade_factor_mix_pit,1),IF($A192&gt;=INDEX(pdates_grade_factor_mix_pit,10),INDEX(pvals_grade_factor_mix_pit,10),INDEX(pvals_grade_factor_mix_pit,MATCH($A192,pdates_grade_factor_mix_pit,1))+($A192-INDEX(pdates_grade_factor_mix_pit,MATCH($A192,pdates_grade_factor_mix_pit,1)))/(INDEX(pdates_grade_factor_mix_pit,MATCH($A192,pdates_grade_factor_mix_pit,1)+1)-INDEX(pdates_grade_factor_mix_pit,MATCH($A192,pdates_grade_factor_mix_pit,1)))*(INDEX(pvals_grade_factor_mix_pit,MATCH($A192,pdates_grade_factor_mix_pit,1)+1)-INDEX(pvals_grade_factor_mix_pit,MATCH($A192,pdates_grade_factor_mix_pit,1)))))</f>
        <v/>
      </c>
      <c r="AB192" s="16">
        <f>($B192*$F192/kg_per_mt*(1+bcd_primary_al_hs7601*(1+sws_rate_on_bcd))+mcx_domestic_premium_inr_kg)*(1+$I192*MAX(0,$Q192-$A192)/day_count_inr)</f>
        <v/>
      </c>
      <c r="AC192" s="16">
        <f>$M192-$AB192</f>
        <v/>
      </c>
      <c r="AD192" s="7" t="inlineStr">
        <is>
          <t>PROXY_IMPORT_PARITY</t>
        </is>
      </c>
      <c r="AE192" s="7" t="inlineStr">
        <is>
          <t>ECB_CROSS</t>
        </is>
      </c>
      <c r="AF192" s="7" t="inlineStr">
        <is>
          <t>WCI_REPORTED|USEC:ANCHORED|JEA:ASSUMPTION</t>
        </is>
      </c>
      <c r="AG192" s="17" t="b">
        <v>0</v>
      </c>
      <c r="AH192" s="17" t="b">
        <v>0</v>
      </c>
    </row>
    <row r="193">
      <c r="A193" s="11" t="n">
        <v>44834</v>
      </c>
      <c r="B193" s="13" t="n">
        <v>2180</v>
      </c>
      <c r="C193" s="13" t="n">
        <v>2197</v>
      </c>
      <c r="D193" s="13" t="n">
        <v>-17</v>
      </c>
      <c r="E193" s="13" t="n">
        <v>332175</v>
      </c>
      <c r="F193" s="13" t="n">
        <v>81.4783</v>
      </c>
      <c r="G193" s="6" t="n">
        <v>81.6786</v>
      </c>
      <c r="H193" s="6" t="n">
        <v>82.08280000000001</v>
      </c>
      <c r="I193" s="14" t="n">
        <v>0.062905</v>
      </c>
      <c r="J193" s="14" t="n">
        <v>0.032449</v>
      </c>
      <c r="K193" s="14" t="n">
        <v>0.059</v>
      </c>
      <c r="L193" s="13" t="n">
        <v>192.2766</v>
      </c>
      <c r="M193" s="13" t="n">
        <v>192.2766</v>
      </c>
      <c r="N193" s="13" t="n">
        <v>193.3038</v>
      </c>
      <c r="O193" s="13" t="n">
        <v>15.4</v>
      </c>
      <c r="P193" s="13" t="n">
        <v>68.29000000000001</v>
      </c>
      <c r="Q193" s="12" t="n">
        <v>44834</v>
      </c>
      <c r="R193" s="12" t="n">
        <v>44865</v>
      </c>
      <c r="S193" s="8">
        <f>YEAR($Q193)*100+MONTH($Q193)</f>
        <v/>
      </c>
      <c r="T193" s="8">
        <f>YEAR($R193)*100+MONTH($R193)</f>
        <v/>
      </c>
      <c r="U193" s="15">
        <f>IF($A193&lt;=INDEX(pdates_wc_rate_inr_pa,1),INDEX(pvals_wc_rate_inr_pa,1),INDEX(pvals_wc_rate_inr_pa,MATCH($A193,pdates_wc_rate_inr_pa,1)))</f>
        <v/>
      </c>
      <c r="V193" s="8">
        <f>IF(AND($A193&gt;=customs_fx_first,$A193&lt;=customs_fx_last+customs_fx_notification_validity_days),IF($A193&lt;=INDEX(pdates_customs_usdinr_import,1),INDEX(pvals_customs_usdinr_import,1),INDEX(pvals_customs_usdinr_import,MATCH($A193,pdates_customs_usdinr_import,1))),$F193*(1+customs_fx_markup_frac))</f>
        <v/>
      </c>
      <c r="W193" s="8">
        <f>IF(AND($A193&gt;=customs_fx_first,$A193&lt;=customs_fx_last+customs_fx_notification_validity_days),"CBIC_NOTIFIED","MARKUP_FALLBACK")</f>
        <v/>
      </c>
      <c r="X193" s="8">
        <f>IF($A193&lt;=INDEX(pdates_grade_factor_zorba,1),INDEX(pvals_grade_factor_zorba,1),IF($A193&gt;=INDEX(pdates_grade_factor_zorba,10),INDEX(pvals_grade_factor_zorba,10),INDEX(pvals_grade_factor_zorba,MATCH($A193,pdates_grade_factor_zorba,1))+($A193-INDEX(pdates_grade_factor_zorba,MATCH($A193,pdates_grade_factor_zorba,1)))/(INDEX(pdates_grade_factor_zorba,MATCH($A193,pdates_grade_factor_zorba,1)+1)-INDEX(pdates_grade_factor_zorba,MATCH($A193,pdates_grade_factor_zorba,1)))*(INDEX(pvals_grade_factor_zorba,MATCH($A193,pdates_grade_factor_zorba,1)+1)-INDEX(pvals_grade_factor_zorba,MATCH($A193,pdates_grade_factor_zorba,1)))))</f>
        <v/>
      </c>
      <c r="Y193" s="8">
        <f>IF($A193&lt;=INDEX(pdates_grade_factor_taint_tabor,1),INDEX(pvals_grade_factor_taint_tabor,1),IF($A193&gt;=INDEX(pdates_grade_factor_taint_tabor,10),INDEX(pvals_grade_factor_taint_tabor,10),INDEX(pvals_grade_factor_taint_tabor,MATCH($A193,pdates_grade_factor_taint_tabor,1))+($A193-INDEX(pdates_grade_factor_taint_tabor,MATCH($A193,pdates_grade_factor_taint_tabor,1)))/(INDEX(pdates_grade_factor_taint_tabor,MATCH($A193,pdates_grade_factor_taint_tabor,1)+1)-INDEX(pdates_grade_factor_taint_tabor,MATCH($A193,pdates_grade_factor_taint_tabor,1)))*(INDEX(pvals_grade_factor_taint_tabor,MATCH($A193,pdates_grade_factor_taint_tabor,1)+1)-INDEX(pvals_grade_factor_taint_tabor,MATCH($A193,pdates_grade_factor_taint_tabor,1)))))</f>
        <v/>
      </c>
      <c r="Z193" s="8">
        <f>IF($A193&lt;=INDEX(pdates_grade_factor_tense,1),INDEX(pvals_grade_factor_tense,1),IF($A193&gt;=INDEX(pdates_grade_factor_tense,10),INDEX(pvals_grade_factor_tense,10),INDEX(pvals_grade_factor_tense,MATCH($A193,pdates_grade_factor_tense,1))+($A193-INDEX(pdates_grade_factor_tense,MATCH($A193,pdates_grade_factor_tense,1)))/(INDEX(pdates_grade_factor_tense,MATCH($A193,pdates_grade_factor_tense,1)+1)-INDEX(pdates_grade_factor_tense,MATCH($A193,pdates_grade_factor_tense,1)))*(INDEX(pvals_grade_factor_tense,MATCH($A193,pdates_grade_factor_tense,1)+1)-INDEX(pvals_grade_factor_tense,MATCH($A193,pdates_grade_factor_tense,1)))))</f>
        <v/>
      </c>
      <c r="AA193" s="8">
        <f>IF($A193&lt;=INDEX(pdates_grade_factor_mix_pit,1),INDEX(pvals_grade_factor_mix_pit,1),IF($A193&gt;=INDEX(pdates_grade_factor_mix_pit,10),INDEX(pvals_grade_factor_mix_pit,10),INDEX(pvals_grade_factor_mix_pit,MATCH($A193,pdates_grade_factor_mix_pit,1))+($A193-INDEX(pdates_grade_factor_mix_pit,MATCH($A193,pdates_grade_factor_mix_pit,1)))/(INDEX(pdates_grade_factor_mix_pit,MATCH($A193,pdates_grade_factor_mix_pit,1)+1)-INDEX(pdates_grade_factor_mix_pit,MATCH($A193,pdates_grade_factor_mix_pit,1)))*(INDEX(pvals_grade_factor_mix_pit,MATCH($A193,pdates_grade_factor_mix_pit,1)+1)-INDEX(pvals_grade_factor_mix_pit,MATCH($A193,pdates_grade_factor_mix_pit,1)))))</f>
        <v/>
      </c>
      <c r="AB193" s="16">
        <f>($B193*$F193/kg_per_mt*(1+bcd_primary_al_hs7601*(1+sws_rate_on_bcd))+mcx_domestic_premium_inr_kg)*(1+$I193*MAX(0,$Q193-$A193)/day_count_inr)</f>
        <v/>
      </c>
      <c r="AC193" s="16">
        <f>$M193-$AB193</f>
        <v/>
      </c>
      <c r="AD193" s="7" t="inlineStr">
        <is>
          <t>PROXY_IMPORT_PARITY</t>
        </is>
      </c>
      <c r="AE193" s="7" t="inlineStr">
        <is>
          <t>ECB_CROSS</t>
        </is>
      </c>
      <c r="AF193" s="7" t="inlineStr">
        <is>
          <t>WCI_REPORTED|USEC:ANCHORED|JEA:ASSUMPTION</t>
        </is>
      </c>
      <c r="AG193" s="17" t="b">
        <v>0</v>
      </c>
      <c r="AH193" s="17" t="b">
        <v>1</v>
      </c>
    </row>
    <row r="194">
      <c r="A194" s="11" t="n">
        <v>44837</v>
      </c>
      <c r="B194" s="13" t="n">
        <v>2164</v>
      </c>
      <c r="C194" s="13" t="n">
        <v>2169</v>
      </c>
      <c r="D194" s="13" t="n">
        <v>-5</v>
      </c>
      <c r="E194" s="13" t="n">
        <v>330050</v>
      </c>
      <c r="F194" s="13" t="n">
        <v>81.8292</v>
      </c>
      <c r="G194" s="6" t="n">
        <v>82.0279</v>
      </c>
      <c r="H194" s="6" t="n">
        <v>82.41549999999999</v>
      </c>
      <c r="I194" s="14" t="n">
        <v>0.062871</v>
      </c>
      <c r="J194" s="14" t="n">
        <v>0.033732</v>
      </c>
      <c r="K194" s="14" t="n">
        <v>0.059</v>
      </c>
      <c r="L194" s="13" t="n">
        <v>191.6874</v>
      </c>
      <c r="M194" s="13" t="n">
        <v>192.6119</v>
      </c>
      <c r="N194" s="13" t="n">
        <v>193.6024</v>
      </c>
      <c r="O194" s="13" t="n">
        <v>15.4</v>
      </c>
      <c r="P194" s="13" t="n">
        <v>68.29000000000001</v>
      </c>
      <c r="Q194" s="12" t="n">
        <v>44865</v>
      </c>
      <c r="R194" s="12" t="n">
        <v>44895</v>
      </c>
      <c r="S194" s="8">
        <f>YEAR($Q194)*100+MONTH($Q194)</f>
        <v/>
      </c>
      <c r="T194" s="8">
        <f>YEAR($R194)*100+MONTH($R194)</f>
        <v/>
      </c>
      <c r="U194" s="15">
        <f>IF($A194&lt;=INDEX(pdates_wc_rate_inr_pa,1),INDEX(pvals_wc_rate_inr_pa,1),INDEX(pvals_wc_rate_inr_pa,MATCH($A194,pdates_wc_rate_inr_pa,1)))</f>
        <v/>
      </c>
      <c r="V194" s="8">
        <f>IF(AND($A194&gt;=customs_fx_first,$A194&lt;=customs_fx_last+customs_fx_notification_validity_days),IF($A194&lt;=INDEX(pdates_customs_usdinr_import,1),INDEX(pvals_customs_usdinr_import,1),INDEX(pvals_customs_usdinr_import,MATCH($A194,pdates_customs_usdinr_import,1))),$F194*(1+customs_fx_markup_frac))</f>
        <v/>
      </c>
      <c r="W194" s="8">
        <f>IF(AND($A194&gt;=customs_fx_first,$A194&lt;=customs_fx_last+customs_fx_notification_validity_days),"CBIC_NOTIFIED","MARKUP_FALLBACK")</f>
        <v/>
      </c>
      <c r="X194" s="8">
        <f>IF($A194&lt;=INDEX(pdates_grade_factor_zorba,1),INDEX(pvals_grade_factor_zorba,1),IF($A194&gt;=INDEX(pdates_grade_factor_zorba,10),INDEX(pvals_grade_factor_zorba,10),INDEX(pvals_grade_factor_zorba,MATCH($A194,pdates_grade_factor_zorba,1))+($A194-INDEX(pdates_grade_factor_zorba,MATCH($A194,pdates_grade_factor_zorba,1)))/(INDEX(pdates_grade_factor_zorba,MATCH($A194,pdates_grade_factor_zorba,1)+1)-INDEX(pdates_grade_factor_zorba,MATCH($A194,pdates_grade_factor_zorba,1)))*(INDEX(pvals_grade_factor_zorba,MATCH($A194,pdates_grade_factor_zorba,1)+1)-INDEX(pvals_grade_factor_zorba,MATCH($A194,pdates_grade_factor_zorba,1)))))</f>
        <v/>
      </c>
      <c r="Y194" s="8">
        <f>IF($A194&lt;=INDEX(pdates_grade_factor_taint_tabor,1),INDEX(pvals_grade_factor_taint_tabor,1),IF($A194&gt;=INDEX(pdates_grade_factor_taint_tabor,10),INDEX(pvals_grade_factor_taint_tabor,10),INDEX(pvals_grade_factor_taint_tabor,MATCH($A194,pdates_grade_factor_taint_tabor,1))+($A194-INDEX(pdates_grade_factor_taint_tabor,MATCH($A194,pdates_grade_factor_taint_tabor,1)))/(INDEX(pdates_grade_factor_taint_tabor,MATCH($A194,pdates_grade_factor_taint_tabor,1)+1)-INDEX(pdates_grade_factor_taint_tabor,MATCH($A194,pdates_grade_factor_taint_tabor,1)))*(INDEX(pvals_grade_factor_taint_tabor,MATCH($A194,pdates_grade_factor_taint_tabor,1)+1)-INDEX(pvals_grade_factor_taint_tabor,MATCH($A194,pdates_grade_factor_taint_tabor,1)))))</f>
        <v/>
      </c>
      <c r="Z194" s="8">
        <f>IF($A194&lt;=INDEX(pdates_grade_factor_tense,1),INDEX(pvals_grade_factor_tense,1),IF($A194&gt;=INDEX(pdates_grade_factor_tense,10),INDEX(pvals_grade_factor_tense,10),INDEX(pvals_grade_factor_tense,MATCH($A194,pdates_grade_factor_tense,1))+($A194-INDEX(pdates_grade_factor_tense,MATCH($A194,pdates_grade_factor_tense,1)))/(INDEX(pdates_grade_factor_tense,MATCH($A194,pdates_grade_factor_tense,1)+1)-INDEX(pdates_grade_factor_tense,MATCH($A194,pdates_grade_factor_tense,1)))*(INDEX(pvals_grade_factor_tense,MATCH($A194,pdates_grade_factor_tense,1)+1)-INDEX(pvals_grade_factor_tense,MATCH($A194,pdates_grade_factor_tense,1)))))</f>
        <v/>
      </c>
      <c r="AA194" s="8">
        <f>IF($A194&lt;=INDEX(pdates_grade_factor_mix_pit,1),INDEX(pvals_grade_factor_mix_pit,1),IF($A194&gt;=INDEX(pdates_grade_factor_mix_pit,10),INDEX(pvals_grade_factor_mix_pit,10),INDEX(pvals_grade_factor_mix_pit,MATCH($A194,pdates_grade_factor_mix_pit,1))+($A194-INDEX(pdates_grade_factor_mix_pit,MATCH($A194,pdates_grade_factor_mix_pit,1)))/(INDEX(pdates_grade_factor_mix_pit,MATCH($A194,pdates_grade_factor_mix_pit,1)+1)-INDEX(pdates_grade_factor_mix_pit,MATCH($A194,pdates_grade_factor_mix_pit,1)))*(INDEX(pvals_grade_factor_mix_pit,MATCH($A194,pdates_grade_factor_mix_pit,1)+1)-INDEX(pvals_grade_factor_mix_pit,MATCH($A194,pdates_grade_factor_mix_pit,1)))))</f>
        <v/>
      </c>
      <c r="AB194" s="16">
        <f>($B194*$F194/kg_per_mt*(1+bcd_primary_al_hs7601*(1+sws_rate_on_bcd))+mcx_domestic_premium_inr_kg)*(1+$I194*MAX(0,$Q194-$A194)/day_count_inr)</f>
        <v/>
      </c>
      <c r="AC194" s="16">
        <f>$M194-$AB194</f>
        <v/>
      </c>
      <c r="AD194" s="7" t="inlineStr">
        <is>
          <t>PROXY_IMPORT_PARITY</t>
        </is>
      </c>
      <c r="AE194" s="7" t="inlineStr">
        <is>
          <t>ECB_CROSS</t>
        </is>
      </c>
      <c r="AF194" s="7" t="inlineStr">
        <is>
          <t>WCI_REPORTED|USEC:ANCHORED|JEA:ASSUMPTION</t>
        </is>
      </c>
      <c r="AG194" s="17" t="b">
        <v>0</v>
      </c>
      <c r="AH194" s="17" t="b">
        <v>1</v>
      </c>
    </row>
    <row r="195">
      <c r="A195" s="11" t="n">
        <v>44838</v>
      </c>
      <c r="B195" s="13" t="n">
        <v>2261.5</v>
      </c>
      <c r="C195" s="13" t="n">
        <v>2272</v>
      </c>
      <c r="D195" s="13" t="n">
        <v>-10.5</v>
      </c>
      <c r="E195" s="13" t="n">
        <v>328600</v>
      </c>
      <c r="F195" s="13" t="n">
        <v>81.58880000000001</v>
      </c>
      <c r="G195" s="6" t="n">
        <v>81.789</v>
      </c>
      <c r="H195" s="6" t="n">
        <v>82.17959999999999</v>
      </c>
      <c r="I195" s="14" t="n">
        <v>0.062871</v>
      </c>
      <c r="J195" s="14" t="n">
        <v>0.033436</v>
      </c>
      <c r="K195" s="14" t="n">
        <v>0.059</v>
      </c>
      <c r="L195" s="13" t="n">
        <v>199.7354</v>
      </c>
      <c r="M195" s="13" t="n">
        <v>200.6643</v>
      </c>
      <c r="N195" s="13" t="n">
        <v>201.6964</v>
      </c>
      <c r="O195" s="13" t="n">
        <v>15.4</v>
      </c>
      <c r="P195" s="13" t="n">
        <v>68.29000000000001</v>
      </c>
      <c r="Q195" s="12" t="n">
        <v>44865</v>
      </c>
      <c r="R195" s="12" t="n">
        <v>44895</v>
      </c>
      <c r="S195" s="8">
        <f>YEAR($Q195)*100+MONTH($Q195)</f>
        <v/>
      </c>
      <c r="T195" s="8">
        <f>YEAR($R195)*100+MONTH($R195)</f>
        <v/>
      </c>
      <c r="U195" s="15">
        <f>IF($A195&lt;=INDEX(pdates_wc_rate_inr_pa,1),INDEX(pvals_wc_rate_inr_pa,1),INDEX(pvals_wc_rate_inr_pa,MATCH($A195,pdates_wc_rate_inr_pa,1)))</f>
        <v/>
      </c>
      <c r="V195" s="8">
        <f>IF(AND($A195&gt;=customs_fx_first,$A195&lt;=customs_fx_last+customs_fx_notification_validity_days),IF($A195&lt;=INDEX(pdates_customs_usdinr_import,1),INDEX(pvals_customs_usdinr_import,1),INDEX(pvals_customs_usdinr_import,MATCH($A195,pdates_customs_usdinr_import,1))),$F195*(1+customs_fx_markup_frac))</f>
        <v/>
      </c>
      <c r="W195" s="8">
        <f>IF(AND($A195&gt;=customs_fx_first,$A195&lt;=customs_fx_last+customs_fx_notification_validity_days),"CBIC_NOTIFIED","MARKUP_FALLBACK")</f>
        <v/>
      </c>
      <c r="X195" s="8">
        <f>IF($A195&lt;=INDEX(pdates_grade_factor_zorba,1),INDEX(pvals_grade_factor_zorba,1),IF($A195&gt;=INDEX(pdates_grade_factor_zorba,10),INDEX(pvals_grade_factor_zorba,10),INDEX(pvals_grade_factor_zorba,MATCH($A195,pdates_grade_factor_zorba,1))+($A195-INDEX(pdates_grade_factor_zorba,MATCH($A195,pdates_grade_factor_zorba,1)))/(INDEX(pdates_grade_factor_zorba,MATCH($A195,pdates_grade_factor_zorba,1)+1)-INDEX(pdates_grade_factor_zorba,MATCH($A195,pdates_grade_factor_zorba,1)))*(INDEX(pvals_grade_factor_zorba,MATCH($A195,pdates_grade_factor_zorba,1)+1)-INDEX(pvals_grade_factor_zorba,MATCH($A195,pdates_grade_factor_zorba,1)))))</f>
        <v/>
      </c>
      <c r="Y195" s="8">
        <f>IF($A195&lt;=INDEX(pdates_grade_factor_taint_tabor,1),INDEX(pvals_grade_factor_taint_tabor,1),IF($A195&gt;=INDEX(pdates_grade_factor_taint_tabor,10),INDEX(pvals_grade_factor_taint_tabor,10),INDEX(pvals_grade_factor_taint_tabor,MATCH($A195,pdates_grade_factor_taint_tabor,1))+($A195-INDEX(pdates_grade_factor_taint_tabor,MATCH($A195,pdates_grade_factor_taint_tabor,1)))/(INDEX(pdates_grade_factor_taint_tabor,MATCH($A195,pdates_grade_factor_taint_tabor,1)+1)-INDEX(pdates_grade_factor_taint_tabor,MATCH($A195,pdates_grade_factor_taint_tabor,1)))*(INDEX(pvals_grade_factor_taint_tabor,MATCH($A195,pdates_grade_factor_taint_tabor,1)+1)-INDEX(pvals_grade_factor_taint_tabor,MATCH($A195,pdates_grade_factor_taint_tabor,1)))))</f>
        <v/>
      </c>
      <c r="Z195" s="8">
        <f>IF($A195&lt;=INDEX(pdates_grade_factor_tense,1),INDEX(pvals_grade_factor_tense,1),IF($A195&gt;=INDEX(pdates_grade_factor_tense,10),INDEX(pvals_grade_factor_tense,10),INDEX(pvals_grade_factor_tense,MATCH($A195,pdates_grade_factor_tense,1))+($A195-INDEX(pdates_grade_factor_tense,MATCH($A195,pdates_grade_factor_tense,1)))/(INDEX(pdates_grade_factor_tense,MATCH($A195,pdates_grade_factor_tense,1)+1)-INDEX(pdates_grade_factor_tense,MATCH($A195,pdates_grade_factor_tense,1)))*(INDEX(pvals_grade_factor_tense,MATCH($A195,pdates_grade_factor_tense,1)+1)-INDEX(pvals_grade_factor_tense,MATCH($A195,pdates_grade_factor_tense,1)))))</f>
        <v/>
      </c>
      <c r="AA195" s="8">
        <f>IF($A195&lt;=INDEX(pdates_grade_factor_mix_pit,1),INDEX(pvals_grade_factor_mix_pit,1),IF($A195&gt;=INDEX(pdates_grade_factor_mix_pit,10),INDEX(pvals_grade_factor_mix_pit,10),INDEX(pvals_grade_factor_mix_pit,MATCH($A195,pdates_grade_factor_mix_pit,1))+($A195-INDEX(pdates_grade_factor_mix_pit,MATCH($A195,pdates_grade_factor_mix_pit,1)))/(INDEX(pdates_grade_factor_mix_pit,MATCH($A195,pdates_grade_factor_mix_pit,1)+1)-INDEX(pdates_grade_factor_mix_pit,MATCH($A195,pdates_grade_factor_mix_pit,1)))*(INDEX(pvals_grade_factor_mix_pit,MATCH($A195,pdates_grade_factor_mix_pit,1)+1)-INDEX(pvals_grade_factor_mix_pit,MATCH($A195,pdates_grade_factor_mix_pit,1)))))</f>
        <v/>
      </c>
      <c r="AB195" s="16">
        <f>($B195*$F195/kg_per_mt*(1+bcd_primary_al_hs7601*(1+sws_rate_on_bcd))+mcx_domestic_premium_inr_kg)*(1+$I195*MAX(0,$Q195-$A195)/day_count_inr)</f>
        <v/>
      </c>
      <c r="AC195" s="16">
        <f>$M195-$AB195</f>
        <v/>
      </c>
      <c r="AD195" s="7" t="inlineStr">
        <is>
          <t>PROXY_IMPORT_PARITY</t>
        </is>
      </c>
      <c r="AE195" s="7" t="inlineStr">
        <is>
          <t>ECB_CROSS</t>
        </is>
      </c>
      <c r="AF195" s="7" t="inlineStr">
        <is>
          <t>WCI_REPORTED|USEC:ANCHORED|JEA:ASSUMPTION</t>
        </is>
      </c>
      <c r="AG195" s="17" t="b">
        <v>0</v>
      </c>
      <c r="AH195" s="17" t="b">
        <v>1</v>
      </c>
    </row>
    <row r="196">
      <c r="A196" s="11" t="n">
        <v>44839</v>
      </c>
      <c r="B196" s="13" t="n">
        <v>2289</v>
      </c>
      <c r="C196" s="13" t="n">
        <v>2299</v>
      </c>
      <c r="D196" s="13" t="n">
        <v>-10</v>
      </c>
      <c r="E196" s="13" t="n">
        <v>328525</v>
      </c>
      <c r="F196" s="13" t="n">
        <v>81.6026</v>
      </c>
      <c r="G196" s="6" t="n">
        <v>81.8021</v>
      </c>
      <c r="H196" s="6" t="n">
        <v>82.1914</v>
      </c>
      <c r="I196" s="14" t="n">
        <v>0.062871</v>
      </c>
      <c r="J196" s="14" t="n">
        <v>0.033534</v>
      </c>
      <c r="K196" s="14" t="n">
        <v>0.059</v>
      </c>
      <c r="L196" s="13" t="n">
        <v>202.1984</v>
      </c>
      <c r="M196" s="13" t="n">
        <v>203.1039</v>
      </c>
      <c r="N196" s="13" t="n">
        <v>204.1488</v>
      </c>
      <c r="O196" s="13" t="n">
        <v>15.4</v>
      </c>
      <c r="P196" s="13" t="n">
        <v>68.29000000000001</v>
      </c>
      <c r="Q196" s="12" t="n">
        <v>44865</v>
      </c>
      <c r="R196" s="12" t="n">
        <v>44895</v>
      </c>
      <c r="S196" s="8">
        <f>YEAR($Q196)*100+MONTH($Q196)</f>
        <v/>
      </c>
      <c r="T196" s="8">
        <f>YEAR($R196)*100+MONTH($R196)</f>
        <v/>
      </c>
      <c r="U196" s="15">
        <f>IF($A196&lt;=INDEX(pdates_wc_rate_inr_pa,1),INDEX(pvals_wc_rate_inr_pa,1),INDEX(pvals_wc_rate_inr_pa,MATCH($A196,pdates_wc_rate_inr_pa,1)))</f>
        <v/>
      </c>
      <c r="V196" s="8">
        <f>IF(AND($A196&gt;=customs_fx_first,$A196&lt;=customs_fx_last+customs_fx_notification_validity_days),IF($A196&lt;=INDEX(pdates_customs_usdinr_import,1),INDEX(pvals_customs_usdinr_import,1),INDEX(pvals_customs_usdinr_import,MATCH($A196,pdates_customs_usdinr_import,1))),$F196*(1+customs_fx_markup_frac))</f>
        <v/>
      </c>
      <c r="W196" s="8">
        <f>IF(AND($A196&gt;=customs_fx_first,$A196&lt;=customs_fx_last+customs_fx_notification_validity_days),"CBIC_NOTIFIED","MARKUP_FALLBACK")</f>
        <v/>
      </c>
      <c r="X196" s="8">
        <f>IF($A196&lt;=INDEX(pdates_grade_factor_zorba,1),INDEX(pvals_grade_factor_zorba,1),IF($A196&gt;=INDEX(pdates_grade_factor_zorba,10),INDEX(pvals_grade_factor_zorba,10),INDEX(pvals_grade_factor_zorba,MATCH($A196,pdates_grade_factor_zorba,1))+($A196-INDEX(pdates_grade_factor_zorba,MATCH($A196,pdates_grade_factor_zorba,1)))/(INDEX(pdates_grade_factor_zorba,MATCH($A196,pdates_grade_factor_zorba,1)+1)-INDEX(pdates_grade_factor_zorba,MATCH($A196,pdates_grade_factor_zorba,1)))*(INDEX(pvals_grade_factor_zorba,MATCH($A196,pdates_grade_factor_zorba,1)+1)-INDEX(pvals_grade_factor_zorba,MATCH($A196,pdates_grade_factor_zorba,1)))))</f>
        <v/>
      </c>
      <c r="Y196" s="8">
        <f>IF($A196&lt;=INDEX(pdates_grade_factor_taint_tabor,1),INDEX(pvals_grade_factor_taint_tabor,1),IF($A196&gt;=INDEX(pdates_grade_factor_taint_tabor,10),INDEX(pvals_grade_factor_taint_tabor,10),INDEX(pvals_grade_factor_taint_tabor,MATCH($A196,pdates_grade_factor_taint_tabor,1))+($A196-INDEX(pdates_grade_factor_taint_tabor,MATCH($A196,pdates_grade_factor_taint_tabor,1)))/(INDEX(pdates_grade_factor_taint_tabor,MATCH($A196,pdates_grade_factor_taint_tabor,1)+1)-INDEX(pdates_grade_factor_taint_tabor,MATCH($A196,pdates_grade_factor_taint_tabor,1)))*(INDEX(pvals_grade_factor_taint_tabor,MATCH($A196,pdates_grade_factor_taint_tabor,1)+1)-INDEX(pvals_grade_factor_taint_tabor,MATCH($A196,pdates_grade_factor_taint_tabor,1)))))</f>
        <v/>
      </c>
      <c r="Z196" s="8">
        <f>IF($A196&lt;=INDEX(pdates_grade_factor_tense,1),INDEX(pvals_grade_factor_tense,1),IF($A196&gt;=INDEX(pdates_grade_factor_tense,10),INDEX(pvals_grade_factor_tense,10),INDEX(pvals_grade_factor_tense,MATCH($A196,pdates_grade_factor_tense,1))+($A196-INDEX(pdates_grade_factor_tense,MATCH($A196,pdates_grade_factor_tense,1)))/(INDEX(pdates_grade_factor_tense,MATCH($A196,pdates_grade_factor_tense,1)+1)-INDEX(pdates_grade_factor_tense,MATCH($A196,pdates_grade_factor_tense,1)))*(INDEX(pvals_grade_factor_tense,MATCH($A196,pdates_grade_factor_tense,1)+1)-INDEX(pvals_grade_factor_tense,MATCH($A196,pdates_grade_factor_tense,1)))))</f>
        <v/>
      </c>
      <c r="AA196" s="8">
        <f>IF($A196&lt;=INDEX(pdates_grade_factor_mix_pit,1),INDEX(pvals_grade_factor_mix_pit,1),IF($A196&gt;=INDEX(pdates_grade_factor_mix_pit,10),INDEX(pvals_grade_factor_mix_pit,10),INDEX(pvals_grade_factor_mix_pit,MATCH($A196,pdates_grade_factor_mix_pit,1))+($A196-INDEX(pdates_grade_factor_mix_pit,MATCH($A196,pdates_grade_factor_mix_pit,1)))/(INDEX(pdates_grade_factor_mix_pit,MATCH($A196,pdates_grade_factor_mix_pit,1)+1)-INDEX(pdates_grade_factor_mix_pit,MATCH($A196,pdates_grade_factor_mix_pit,1)))*(INDEX(pvals_grade_factor_mix_pit,MATCH($A196,pdates_grade_factor_mix_pit,1)+1)-INDEX(pvals_grade_factor_mix_pit,MATCH($A196,pdates_grade_factor_mix_pit,1)))))</f>
        <v/>
      </c>
      <c r="AB196" s="16">
        <f>($B196*$F196/kg_per_mt*(1+bcd_primary_al_hs7601*(1+sws_rate_on_bcd))+mcx_domestic_premium_inr_kg)*(1+$I196*MAX(0,$Q196-$A196)/day_count_inr)</f>
        <v/>
      </c>
      <c r="AC196" s="16">
        <f>$M196-$AB196</f>
        <v/>
      </c>
      <c r="AD196" s="7" t="inlineStr">
        <is>
          <t>PROXY_IMPORT_PARITY</t>
        </is>
      </c>
      <c r="AE196" s="7" t="inlineStr">
        <is>
          <t>ECB_CROSS</t>
        </is>
      </c>
      <c r="AF196" s="7" t="inlineStr">
        <is>
          <t>WCI_REPORTED|USEC:ANCHORED|JEA:ASSUMPTION</t>
        </is>
      </c>
      <c r="AG196" s="17" t="b">
        <v>0</v>
      </c>
      <c r="AH196" s="17" t="b">
        <v>1</v>
      </c>
    </row>
    <row r="197">
      <c r="A197" s="11" t="n">
        <v>44840</v>
      </c>
      <c r="B197" s="13" t="n">
        <v>2355</v>
      </c>
      <c r="C197" s="13" t="n">
        <v>2360</v>
      </c>
      <c r="D197" s="13" t="n">
        <v>-5</v>
      </c>
      <c r="E197" s="13" t="n">
        <v>328850</v>
      </c>
      <c r="F197" s="13" t="n">
        <v>82.21250000000001</v>
      </c>
      <c r="G197" s="6" t="n">
        <v>82.41419999999999</v>
      </c>
      <c r="H197" s="6" t="n">
        <v>82.8077</v>
      </c>
      <c r="I197" s="14" t="n">
        <v>0.062871</v>
      </c>
      <c r="J197" s="14" t="n">
        <v>0.033436</v>
      </c>
      <c r="K197" s="14" t="n">
        <v>0.059</v>
      </c>
      <c r="L197" s="13" t="n">
        <v>209.5833</v>
      </c>
      <c r="M197" s="13" t="n">
        <v>210.4858</v>
      </c>
      <c r="N197" s="13" t="n">
        <v>211.5688</v>
      </c>
      <c r="O197" s="13" t="n">
        <v>15</v>
      </c>
      <c r="P197" s="13" t="n">
        <v>66.5</v>
      </c>
      <c r="Q197" s="12" t="n">
        <v>44865</v>
      </c>
      <c r="R197" s="12" t="n">
        <v>44895</v>
      </c>
      <c r="S197" s="8">
        <f>YEAR($Q197)*100+MONTH($Q197)</f>
        <v/>
      </c>
      <c r="T197" s="8">
        <f>YEAR($R197)*100+MONTH($R197)</f>
        <v/>
      </c>
      <c r="U197" s="15">
        <f>IF($A197&lt;=INDEX(pdates_wc_rate_inr_pa,1),INDEX(pvals_wc_rate_inr_pa,1),INDEX(pvals_wc_rate_inr_pa,MATCH($A197,pdates_wc_rate_inr_pa,1)))</f>
        <v/>
      </c>
      <c r="V197" s="8">
        <f>IF(AND($A197&gt;=customs_fx_first,$A197&lt;=customs_fx_last+customs_fx_notification_validity_days),IF($A197&lt;=INDEX(pdates_customs_usdinr_import,1),INDEX(pvals_customs_usdinr_import,1),INDEX(pvals_customs_usdinr_import,MATCH($A197,pdates_customs_usdinr_import,1))),$F197*(1+customs_fx_markup_frac))</f>
        <v/>
      </c>
      <c r="W197" s="8">
        <f>IF(AND($A197&gt;=customs_fx_first,$A197&lt;=customs_fx_last+customs_fx_notification_validity_days),"CBIC_NOTIFIED","MARKUP_FALLBACK")</f>
        <v/>
      </c>
      <c r="X197" s="8">
        <f>IF($A197&lt;=INDEX(pdates_grade_factor_zorba,1),INDEX(pvals_grade_factor_zorba,1),IF($A197&gt;=INDEX(pdates_grade_factor_zorba,10),INDEX(pvals_grade_factor_zorba,10),INDEX(pvals_grade_factor_zorba,MATCH($A197,pdates_grade_factor_zorba,1))+($A197-INDEX(pdates_grade_factor_zorba,MATCH($A197,pdates_grade_factor_zorba,1)))/(INDEX(pdates_grade_factor_zorba,MATCH($A197,pdates_grade_factor_zorba,1)+1)-INDEX(pdates_grade_factor_zorba,MATCH($A197,pdates_grade_factor_zorba,1)))*(INDEX(pvals_grade_factor_zorba,MATCH($A197,pdates_grade_factor_zorba,1)+1)-INDEX(pvals_grade_factor_zorba,MATCH($A197,pdates_grade_factor_zorba,1)))))</f>
        <v/>
      </c>
      <c r="Y197" s="8">
        <f>IF($A197&lt;=INDEX(pdates_grade_factor_taint_tabor,1),INDEX(pvals_grade_factor_taint_tabor,1),IF($A197&gt;=INDEX(pdates_grade_factor_taint_tabor,10),INDEX(pvals_grade_factor_taint_tabor,10),INDEX(pvals_grade_factor_taint_tabor,MATCH($A197,pdates_grade_factor_taint_tabor,1))+($A197-INDEX(pdates_grade_factor_taint_tabor,MATCH($A197,pdates_grade_factor_taint_tabor,1)))/(INDEX(pdates_grade_factor_taint_tabor,MATCH($A197,pdates_grade_factor_taint_tabor,1)+1)-INDEX(pdates_grade_factor_taint_tabor,MATCH($A197,pdates_grade_factor_taint_tabor,1)))*(INDEX(pvals_grade_factor_taint_tabor,MATCH($A197,pdates_grade_factor_taint_tabor,1)+1)-INDEX(pvals_grade_factor_taint_tabor,MATCH($A197,pdates_grade_factor_taint_tabor,1)))))</f>
        <v/>
      </c>
      <c r="Z197" s="8">
        <f>IF($A197&lt;=INDEX(pdates_grade_factor_tense,1),INDEX(pvals_grade_factor_tense,1),IF($A197&gt;=INDEX(pdates_grade_factor_tense,10),INDEX(pvals_grade_factor_tense,10),INDEX(pvals_grade_factor_tense,MATCH($A197,pdates_grade_factor_tense,1))+($A197-INDEX(pdates_grade_factor_tense,MATCH($A197,pdates_grade_factor_tense,1)))/(INDEX(pdates_grade_factor_tense,MATCH($A197,pdates_grade_factor_tense,1)+1)-INDEX(pdates_grade_factor_tense,MATCH($A197,pdates_grade_factor_tense,1)))*(INDEX(pvals_grade_factor_tense,MATCH($A197,pdates_grade_factor_tense,1)+1)-INDEX(pvals_grade_factor_tense,MATCH($A197,pdates_grade_factor_tense,1)))))</f>
        <v/>
      </c>
      <c r="AA197" s="8">
        <f>IF($A197&lt;=INDEX(pdates_grade_factor_mix_pit,1),INDEX(pvals_grade_factor_mix_pit,1),IF($A197&gt;=INDEX(pdates_grade_factor_mix_pit,10),INDEX(pvals_grade_factor_mix_pit,10),INDEX(pvals_grade_factor_mix_pit,MATCH($A197,pdates_grade_factor_mix_pit,1))+($A197-INDEX(pdates_grade_factor_mix_pit,MATCH($A197,pdates_grade_factor_mix_pit,1)))/(INDEX(pdates_grade_factor_mix_pit,MATCH($A197,pdates_grade_factor_mix_pit,1)+1)-INDEX(pdates_grade_factor_mix_pit,MATCH($A197,pdates_grade_factor_mix_pit,1)))*(INDEX(pvals_grade_factor_mix_pit,MATCH($A197,pdates_grade_factor_mix_pit,1)+1)-INDEX(pvals_grade_factor_mix_pit,MATCH($A197,pdates_grade_factor_mix_pit,1)))))</f>
        <v/>
      </c>
      <c r="AB197" s="16">
        <f>($B197*$F197/kg_per_mt*(1+bcd_primary_al_hs7601*(1+sws_rate_on_bcd))+mcx_domestic_premium_inr_kg)*(1+$I197*MAX(0,$Q197-$A197)/day_count_inr)</f>
        <v/>
      </c>
      <c r="AC197" s="16">
        <f>$M197-$AB197</f>
        <v/>
      </c>
      <c r="AD197" s="7" t="inlineStr">
        <is>
          <t>PROXY_IMPORT_PARITY</t>
        </is>
      </c>
      <c r="AE197" s="7" t="inlineStr">
        <is>
          <t>ECB_CROSS</t>
        </is>
      </c>
      <c r="AF197" s="7" t="inlineStr">
        <is>
          <t>WCI_REPORTED|USEC:ANCHORED|JEA:ASSUMPTION</t>
        </is>
      </c>
      <c r="AG197" s="17" t="b">
        <v>0</v>
      </c>
      <c r="AH197" s="17" t="b">
        <v>0</v>
      </c>
    </row>
    <row r="198">
      <c r="A198" s="11" t="n">
        <v>44841</v>
      </c>
      <c r="B198" s="13" t="n">
        <v>2342</v>
      </c>
      <c r="C198" s="13" t="n">
        <v>2345.5</v>
      </c>
      <c r="D198" s="13" t="n">
        <v>-3.5</v>
      </c>
      <c r="E198" s="13" t="n">
        <v>327625</v>
      </c>
      <c r="F198" s="13" t="n">
        <v>82.215</v>
      </c>
      <c r="G198" s="6" t="n">
        <v>82.4174</v>
      </c>
      <c r="H198" s="6" t="n">
        <v>82.81229999999999</v>
      </c>
      <c r="I198" s="14" t="n">
        <v>0.062871</v>
      </c>
      <c r="J198" s="14" t="n">
        <v>0.033337</v>
      </c>
      <c r="K198" s="14" t="n">
        <v>0.059</v>
      </c>
      <c r="L198" s="13" t="n">
        <v>208.4327</v>
      </c>
      <c r="M198" s="13" t="n">
        <v>209.2944</v>
      </c>
      <c r="N198" s="13" t="n">
        <v>210.3714</v>
      </c>
      <c r="O198" s="13" t="n">
        <v>15</v>
      </c>
      <c r="P198" s="13" t="n">
        <v>66.5</v>
      </c>
      <c r="Q198" s="12" t="n">
        <v>44865</v>
      </c>
      <c r="R198" s="12" t="n">
        <v>44895</v>
      </c>
      <c r="S198" s="8">
        <f>YEAR($Q198)*100+MONTH($Q198)</f>
        <v/>
      </c>
      <c r="T198" s="8">
        <f>YEAR($R198)*100+MONTH($R198)</f>
        <v/>
      </c>
      <c r="U198" s="15">
        <f>IF($A198&lt;=INDEX(pdates_wc_rate_inr_pa,1),INDEX(pvals_wc_rate_inr_pa,1),INDEX(pvals_wc_rate_inr_pa,MATCH($A198,pdates_wc_rate_inr_pa,1)))</f>
        <v/>
      </c>
      <c r="V198" s="8">
        <f>IF(AND($A198&gt;=customs_fx_first,$A198&lt;=customs_fx_last+customs_fx_notification_validity_days),IF($A198&lt;=INDEX(pdates_customs_usdinr_import,1),INDEX(pvals_customs_usdinr_import,1),INDEX(pvals_customs_usdinr_import,MATCH($A198,pdates_customs_usdinr_import,1))),$F198*(1+customs_fx_markup_frac))</f>
        <v/>
      </c>
      <c r="W198" s="8">
        <f>IF(AND($A198&gt;=customs_fx_first,$A198&lt;=customs_fx_last+customs_fx_notification_validity_days),"CBIC_NOTIFIED","MARKUP_FALLBACK")</f>
        <v/>
      </c>
      <c r="X198" s="8">
        <f>IF($A198&lt;=INDEX(pdates_grade_factor_zorba,1),INDEX(pvals_grade_factor_zorba,1),IF($A198&gt;=INDEX(pdates_grade_factor_zorba,10),INDEX(pvals_grade_factor_zorba,10),INDEX(pvals_grade_factor_zorba,MATCH($A198,pdates_grade_factor_zorba,1))+($A198-INDEX(pdates_grade_factor_zorba,MATCH($A198,pdates_grade_factor_zorba,1)))/(INDEX(pdates_grade_factor_zorba,MATCH($A198,pdates_grade_factor_zorba,1)+1)-INDEX(pdates_grade_factor_zorba,MATCH($A198,pdates_grade_factor_zorba,1)))*(INDEX(pvals_grade_factor_zorba,MATCH($A198,pdates_grade_factor_zorba,1)+1)-INDEX(pvals_grade_factor_zorba,MATCH($A198,pdates_grade_factor_zorba,1)))))</f>
        <v/>
      </c>
      <c r="Y198" s="8">
        <f>IF($A198&lt;=INDEX(pdates_grade_factor_taint_tabor,1),INDEX(pvals_grade_factor_taint_tabor,1),IF($A198&gt;=INDEX(pdates_grade_factor_taint_tabor,10),INDEX(pvals_grade_factor_taint_tabor,10),INDEX(pvals_grade_factor_taint_tabor,MATCH($A198,pdates_grade_factor_taint_tabor,1))+($A198-INDEX(pdates_grade_factor_taint_tabor,MATCH($A198,pdates_grade_factor_taint_tabor,1)))/(INDEX(pdates_grade_factor_taint_tabor,MATCH($A198,pdates_grade_factor_taint_tabor,1)+1)-INDEX(pdates_grade_factor_taint_tabor,MATCH($A198,pdates_grade_factor_taint_tabor,1)))*(INDEX(pvals_grade_factor_taint_tabor,MATCH($A198,pdates_grade_factor_taint_tabor,1)+1)-INDEX(pvals_grade_factor_taint_tabor,MATCH($A198,pdates_grade_factor_taint_tabor,1)))))</f>
        <v/>
      </c>
      <c r="Z198" s="8">
        <f>IF($A198&lt;=INDEX(pdates_grade_factor_tense,1),INDEX(pvals_grade_factor_tense,1),IF($A198&gt;=INDEX(pdates_grade_factor_tense,10),INDEX(pvals_grade_factor_tense,10),INDEX(pvals_grade_factor_tense,MATCH($A198,pdates_grade_factor_tense,1))+($A198-INDEX(pdates_grade_factor_tense,MATCH($A198,pdates_grade_factor_tense,1)))/(INDEX(pdates_grade_factor_tense,MATCH($A198,pdates_grade_factor_tense,1)+1)-INDEX(pdates_grade_factor_tense,MATCH($A198,pdates_grade_factor_tense,1)))*(INDEX(pvals_grade_factor_tense,MATCH($A198,pdates_grade_factor_tense,1)+1)-INDEX(pvals_grade_factor_tense,MATCH($A198,pdates_grade_factor_tense,1)))))</f>
        <v/>
      </c>
      <c r="AA198" s="8">
        <f>IF($A198&lt;=INDEX(pdates_grade_factor_mix_pit,1),INDEX(pvals_grade_factor_mix_pit,1),IF($A198&gt;=INDEX(pdates_grade_factor_mix_pit,10),INDEX(pvals_grade_factor_mix_pit,10),INDEX(pvals_grade_factor_mix_pit,MATCH($A198,pdates_grade_factor_mix_pit,1))+($A198-INDEX(pdates_grade_factor_mix_pit,MATCH($A198,pdates_grade_factor_mix_pit,1)))/(INDEX(pdates_grade_factor_mix_pit,MATCH($A198,pdates_grade_factor_mix_pit,1)+1)-INDEX(pdates_grade_factor_mix_pit,MATCH($A198,pdates_grade_factor_mix_pit,1)))*(INDEX(pvals_grade_factor_mix_pit,MATCH($A198,pdates_grade_factor_mix_pit,1)+1)-INDEX(pvals_grade_factor_mix_pit,MATCH($A198,pdates_grade_factor_mix_pit,1)))))</f>
        <v/>
      </c>
      <c r="AB198" s="16">
        <f>($B198*$F198/kg_per_mt*(1+bcd_primary_al_hs7601*(1+sws_rate_on_bcd))+mcx_domestic_premium_inr_kg)*(1+$I198*MAX(0,$Q198-$A198)/day_count_inr)</f>
        <v/>
      </c>
      <c r="AC198" s="16">
        <f>$M198-$AB198</f>
        <v/>
      </c>
      <c r="AD198" s="7" t="inlineStr">
        <is>
          <t>PROXY_IMPORT_PARITY</t>
        </is>
      </c>
      <c r="AE198" s="7" t="inlineStr">
        <is>
          <t>ECB_CROSS</t>
        </is>
      </c>
      <c r="AF198" s="7" t="inlineStr">
        <is>
          <t>WCI_REPORTED|USEC:ANCHORED|JEA:ASSUMPTION</t>
        </is>
      </c>
      <c r="AG198" s="17" t="b">
        <v>0</v>
      </c>
      <c r="AH198" s="17" t="b">
        <v>1</v>
      </c>
    </row>
    <row r="199">
      <c r="A199" s="11" t="n">
        <v>44844</v>
      </c>
      <c r="B199" s="13" t="n">
        <v>2274</v>
      </c>
      <c r="C199" s="13" t="n">
        <v>2278</v>
      </c>
      <c r="D199" s="13" t="n">
        <v>-4</v>
      </c>
      <c r="E199" s="13" t="n">
        <v>327675</v>
      </c>
      <c r="F199" s="13" t="n">
        <v>82.4665</v>
      </c>
      <c r="G199" s="6" t="n">
        <v>82.6696</v>
      </c>
      <c r="H199" s="6" t="n">
        <v>83.06570000000001</v>
      </c>
      <c r="I199" s="14" t="n">
        <v>0.062871</v>
      </c>
      <c r="J199" s="14" t="n">
        <v>0.033337</v>
      </c>
      <c r="K199" s="14" t="n">
        <v>0.059</v>
      </c>
      <c r="L199" s="13" t="n">
        <v>202.9999</v>
      </c>
      <c r="M199" s="13" t="n">
        <v>203.7342</v>
      </c>
      <c r="N199" s="13" t="n">
        <v>204.7832</v>
      </c>
      <c r="O199" s="13" t="n">
        <v>15</v>
      </c>
      <c r="P199" s="13" t="n">
        <v>66.5</v>
      </c>
      <c r="Q199" s="12" t="n">
        <v>44865</v>
      </c>
      <c r="R199" s="12" t="n">
        <v>44895</v>
      </c>
      <c r="S199" s="8">
        <f>YEAR($Q199)*100+MONTH($Q199)</f>
        <v/>
      </c>
      <c r="T199" s="8">
        <f>YEAR($R199)*100+MONTH($R199)</f>
        <v/>
      </c>
      <c r="U199" s="15">
        <f>IF($A199&lt;=INDEX(pdates_wc_rate_inr_pa,1),INDEX(pvals_wc_rate_inr_pa,1),INDEX(pvals_wc_rate_inr_pa,MATCH($A199,pdates_wc_rate_inr_pa,1)))</f>
        <v/>
      </c>
      <c r="V199" s="8">
        <f>IF(AND($A199&gt;=customs_fx_first,$A199&lt;=customs_fx_last+customs_fx_notification_validity_days),IF($A199&lt;=INDEX(pdates_customs_usdinr_import,1),INDEX(pvals_customs_usdinr_import,1),INDEX(pvals_customs_usdinr_import,MATCH($A199,pdates_customs_usdinr_import,1))),$F199*(1+customs_fx_markup_frac))</f>
        <v/>
      </c>
      <c r="W199" s="8">
        <f>IF(AND($A199&gt;=customs_fx_first,$A199&lt;=customs_fx_last+customs_fx_notification_validity_days),"CBIC_NOTIFIED","MARKUP_FALLBACK")</f>
        <v/>
      </c>
      <c r="X199" s="8">
        <f>IF($A199&lt;=INDEX(pdates_grade_factor_zorba,1),INDEX(pvals_grade_factor_zorba,1),IF($A199&gt;=INDEX(pdates_grade_factor_zorba,10),INDEX(pvals_grade_factor_zorba,10),INDEX(pvals_grade_factor_zorba,MATCH($A199,pdates_grade_factor_zorba,1))+($A199-INDEX(pdates_grade_factor_zorba,MATCH($A199,pdates_grade_factor_zorba,1)))/(INDEX(pdates_grade_factor_zorba,MATCH($A199,pdates_grade_factor_zorba,1)+1)-INDEX(pdates_grade_factor_zorba,MATCH($A199,pdates_grade_factor_zorba,1)))*(INDEX(pvals_grade_factor_zorba,MATCH($A199,pdates_grade_factor_zorba,1)+1)-INDEX(pvals_grade_factor_zorba,MATCH($A199,pdates_grade_factor_zorba,1)))))</f>
        <v/>
      </c>
      <c r="Y199" s="8">
        <f>IF($A199&lt;=INDEX(pdates_grade_factor_taint_tabor,1),INDEX(pvals_grade_factor_taint_tabor,1),IF($A199&gt;=INDEX(pdates_grade_factor_taint_tabor,10),INDEX(pvals_grade_factor_taint_tabor,10),INDEX(pvals_grade_factor_taint_tabor,MATCH($A199,pdates_grade_factor_taint_tabor,1))+($A199-INDEX(pdates_grade_factor_taint_tabor,MATCH($A199,pdates_grade_factor_taint_tabor,1)))/(INDEX(pdates_grade_factor_taint_tabor,MATCH($A199,pdates_grade_factor_taint_tabor,1)+1)-INDEX(pdates_grade_factor_taint_tabor,MATCH($A199,pdates_grade_factor_taint_tabor,1)))*(INDEX(pvals_grade_factor_taint_tabor,MATCH($A199,pdates_grade_factor_taint_tabor,1)+1)-INDEX(pvals_grade_factor_taint_tabor,MATCH($A199,pdates_grade_factor_taint_tabor,1)))))</f>
        <v/>
      </c>
      <c r="Z199" s="8">
        <f>IF($A199&lt;=INDEX(pdates_grade_factor_tense,1),INDEX(pvals_grade_factor_tense,1),IF($A199&gt;=INDEX(pdates_grade_factor_tense,10),INDEX(pvals_grade_factor_tense,10),INDEX(pvals_grade_factor_tense,MATCH($A199,pdates_grade_factor_tense,1))+($A199-INDEX(pdates_grade_factor_tense,MATCH($A199,pdates_grade_factor_tense,1)))/(INDEX(pdates_grade_factor_tense,MATCH($A199,pdates_grade_factor_tense,1)+1)-INDEX(pdates_grade_factor_tense,MATCH($A199,pdates_grade_factor_tense,1)))*(INDEX(pvals_grade_factor_tense,MATCH($A199,pdates_grade_factor_tense,1)+1)-INDEX(pvals_grade_factor_tense,MATCH($A199,pdates_grade_factor_tense,1)))))</f>
        <v/>
      </c>
      <c r="AA199" s="8">
        <f>IF($A199&lt;=INDEX(pdates_grade_factor_mix_pit,1),INDEX(pvals_grade_factor_mix_pit,1),IF($A199&gt;=INDEX(pdates_grade_factor_mix_pit,10),INDEX(pvals_grade_factor_mix_pit,10),INDEX(pvals_grade_factor_mix_pit,MATCH($A199,pdates_grade_factor_mix_pit,1))+($A199-INDEX(pdates_grade_factor_mix_pit,MATCH($A199,pdates_grade_factor_mix_pit,1)))/(INDEX(pdates_grade_factor_mix_pit,MATCH($A199,pdates_grade_factor_mix_pit,1)+1)-INDEX(pdates_grade_factor_mix_pit,MATCH($A199,pdates_grade_factor_mix_pit,1)))*(INDEX(pvals_grade_factor_mix_pit,MATCH($A199,pdates_grade_factor_mix_pit,1)+1)-INDEX(pvals_grade_factor_mix_pit,MATCH($A199,pdates_grade_factor_mix_pit,1)))))</f>
        <v/>
      </c>
      <c r="AB199" s="16">
        <f>($B199*$F199/kg_per_mt*(1+bcd_primary_al_hs7601*(1+sws_rate_on_bcd))+mcx_domestic_premium_inr_kg)*(1+$I199*MAX(0,$Q199-$A199)/day_count_inr)</f>
        <v/>
      </c>
      <c r="AC199" s="16">
        <f>$M199-$AB199</f>
        <v/>
      </c>
      <c r="AD199" s="7" t="inlineStr">
        <is>
          <t>PROXY_IMPORT_PARITY</t>
        </is>
      </c>
      <c r="AE199" s="7" t="inlineStr">
        <is>
          <t>ECB_CROSS</t>
        </is>
      </c>
      <c r="AF199" s="7" t="inlineStr">
        <is>
          <t>WCI_REPORTED|USEC:ANCHORED|JEA:ASSUMPTION</t>
        </is>
      </c>
      <c r="AG199" s="17" t="b">
        <v>0</v>
      </c>
      <c r="AH199" s="17" t="b">
        <v>1</v>
      </c>
    </row>
    <row r="200">
      <c r="A200" s="11" t="n">
        <v>44845</v>
      </c>
      <c r="B200" s="13" t="n">
        <v>2218.5</v>
      </c>
      <c r="C200" s="13" t="n">
        <v>2215.5</v>
      </c>
      <c r="D200" s="13" t="n">
        <v>3</v>
      </c>
      <c r="E200" s="13" t="n">
        <v>325800</v>
      </c>
      <c r="F200" s="13" t="n">
        <v>82.2334</v>
      </c>
      <c r="G200" s="6" t="n">
        <v>82.4198</v>
      </c>
      <c r="H200" s="6" t="n">
        <v>82.7833</v>
      </c>
      <c r="I200" s="14" t="n">
        <v>0.062871</v>
      </c>
      <c r="J200" s="14" t="n">
        <v>0.035605</v>
      </c>
      <c r="K200" s="14" t="n">
        <v>0.059</v>
      </c>
      <c r="L200" s="13" t="n">
        <v>197.4857</v>
      </c>
      <c r="M200" s="13" t="n">
        <v>198.166</v>
      </c>
      <c r="N200" s="13" t="n">
        <v>199.1865</v>
      </c>
      <c r="O200" s="13" t="n">
        <v>15</v>
      </c>
      <c r="P200" s="13" t="n">
        <v>66.5</v>
      </c>
      <c r="Q200" s="12" t="n">
        <v>44865</v>
      </c>
      <c r="R200" s="12" t="n">
        <v>44895</v>
      </c>
      <c r="S200" s="8">
        <f>YEAR($Q200)*100+MONTH($Q200)</f>
        <v/>
      </c>
      <c r="T200" s="8">
        <f>YEAR($R200)*100+MONTH($R200)</f>
        <v/>
      </c>
      <c r="U200" s="15">
        <f>IF($A200&lt;=INDEX(pdates_wc_rate_inr_pa,1),INDEX(pvals_wc_rate_inr_pa,1),INDEX(pvals_wc_rate_inr_pa,MATCH($A200,pdates_wc_rate_inr_pa,1)))</f>
        <v/>
      </c>
      <c r="V200" s="8">
        <f>IF(AND($A200&gt;=customs_fx_first,$A200&lt;=customs_fx_last+customs_fx_notification_validity_days),IF($A200&lt;=INDEX(pdates_customs_usdinr_import,1),INDEX(pvals_customs_usdinr_import,1),INDEX(pvals_customs_usdinr_import,MATCH($A200,pdates_customs_usdinr_import,1))),$F200*(1+customs_fx_markup_frac))</f>
        <v/>
      </c>
      <c r="W200" s="8">
        <f>IF(AND($A200&gt;=customs_fx_first,$A200&lt;=customs_fx_last+customs_fx_notification_validity_days),"CBIC_NOTIFIED","MARKUP_FALLBACK")</f>
        <v/>
      </c>
      <c r="X200" s="8">
        <f>IF($A200&lt;=INDEX(pdates_grade_factor_zorba,1),INDEX(pvals_grade_factor_zorba,1),IF($A200&gt;=INDEX(pdates_grade_factor_zorba,10),INDEX(pvals_grade_factor_zorba,10),INDEX(pvals_grade_factor_zorba,MATCH($A200,pdates_grade_factor_zorba,1))+($A200-INDEX(pdates_grade_factor_zorba,MATCH($A200,pdates_grade_factor_zorba,1)))/(INDEX(pdates_grade_factor_zorba,MATCH($A200,pdates_grade_factor_zorba,1)+1)-INDEX(pdates_grade_factor_zorba,MATCH($A200,pdates_grade_factor_zorba,1)))*(INDEX(pvals_grade_factor_zorba,MATCH($A200,pdates_grade_factor_zorba,1)+1)-INDEX(pvals_grade_factor_zorba,MATCH($A200,pdates_grade_factor_zorba,1)))))</f>
        <v/>
      </c>
      <c r="Y200" s="8">
        <f>IF($A200&lt;=INDEX(pdates_grade_factor_taint_tabor,1),INDEX(pvals_grade_factor_taint_tabor,1),IF($A200&gt;=INDEX(pdates_grade_factor_taint_tabor,10),INDEX(pvals_grade_factor_taint_tabor,10),INDEX(pvals_grade_factor_taint_tabor,MATCH($A200,pdates_grade_factor_taint_tabor,1))+($A200-INDEX(pdates_grade_factor_taint_tabor,MATCH($A200,pdates_grade_factor_taint_tabor,1)))/(INDEX(pdates_grade_factor_taint_tabor,MATCH($A200,pdates_grade_factor_taint_tabor,1)+1)-INDEX(pdates_grade_factor_taint_tabor,MATCH($A200,pdates_grade_factor_taint_tabor,1)))*(INDEX(pvals_grade_factor_taint_tabor,MATCH($A200,pdates_grade_factor_taint_tabor,1)+1)-INDEX(pvals_grade_factor_taint_tabor,MATCH($A200,pdates_grade_factor_taint_tabor,1)))))</f>
        <v/>
      </c>
      <c r="Z200" s="8">
        <f>IF($A200&lt;=INDEX(pdates_grade_factor_tense,1),INDEX(pvals_grade_factor_tense,1),IF($A200&gt;=INDEX(pdates_grade_factor_tense,10),INDEX(pvals_grade_factor_tense,10),INDEX(pvals_grade_factor_tense,MATCH($A200,pdates_grade_factor_tense,1))+($A200-INDEX(pdates_grade_factor_tense,MATCH($A200,pdates_grade_factor_tense,1)))/(INDEX(pdates_grade_factor_tense,MATCH($A200,pdates_grade_factor_tense,1)+1)-INDEX(pdates_grade_factor_tense,MATCH($A200,pdates_grade_factor_tense,1)))*(INDEX(pvals_grade_factor_tense,MATCH($A200,pdates_grade_factor_tense,1)+1)-INDEX(pvals_grade_factor_tense,MATCH($A200,pdates_grade_factor_tense,1)))))</f>
        <v/>
      </c>
      <c r="AA200" s="8">
        <f>IF($A200&lt;=INDEX(pdates_grade_factor_mix_pit,1),INDEX(pvals_grade_factor_mix_pit,1),IF($A200&gt;=INDEX(pdates_grade_factor_mix_pit,10),INDEX(pvals_grade_factor_mix_pit,10),INDEX(pvals_grade_factor_mix_pit,MATCH($A200,pdates_grade_factor_mix_pit,1))+($A200-INDEX(pdates_grade_factor_mix_pit,MATCH($A200,pdates_grade_factor_mix_pit,1)))/(INDEX(pdates_grade_factor_mix_pit,MATCH($A200,pdates_grade_factor_mix_pit,1)+1)-INDEX(pdates_grade_factor_mix_pit,MATCH($A200,pdates_grade_factor_mix_pit,1)))*(INDEX(pvals_grade_factor_mix_pit,MATCH($A200,pdates_grade_factor_mix_pit,1)+1)-INDEX(pvals_grade_factor_mix_pit,MATCH($A200,pdates_grade_factor_mix_pit,1)))))</f>
        <v/>
      </c>
      <c r="AB200" s="16">
        <f>($B200*$F200/kg_per_mt*(1+bcd_primary_al_hs7601*(1+sws_rate_on_bcd))+mcx_domestic_premium_inr_kg)*(1+$I200*MAX(0,$Q200-$A200)/day_count_inr)</f>
        <v/>
      </c>
      <c r="AC200" s="16">
        <f>$M200-$AB200</f>
        <v/>
      </c>
      <c r="AD200" s="7" t="inlineStr">
        <is>
          <t>PROXY_IMPORT_PARITY</t>
        </is>
      </c>
      <c r="AE200" s="7" t="inlineStr">
        <is>
          <t>ECB_CROSS</t>
        </is>
      </c>
      <c r="AF200" s="7" t="inlineStr">
        <is>
          <t>WCI_REPORTED|USEC:ANCHORED|JEA:ASSUMPTION</t>
        </is>
      </c>
      <c r="AG200" s="17" t="b">
        <v>0</v>
      </c>
      <c r="AH200" s="17" t="b">
        <v>1</v>
      </c>
    </row>
    <row r="201">
      <c r="A201" s="11" t="n">
        <v>44846</v>
      </c>
      <c r="B201" s="13" t="n">
        <v>2227</v>
      </c>
      <c r="C201" s="13" t="n">
        <v>2220</v>
      </c>
      <c r="D201" s="13" t="n">
        <v>7</v>
      </c>
      <c r="E201" s="13" t="n">
        <v>336275</v>
      </c>
      <c r="F201" s="13" t="n">
        <v>82.3156</v>
      </c>
      <c r="G201" s="6" t="n">
        <v>82.5001</v>
      </c>
      <c r="H201" s="6" t="n">
        <v>82.85980000000001</v>
      </c>
      <c r="I201" s="14" t="n">
        <v>0.062871</v>
      </c>
      <c r="J201" s="14" t="n">
        <v>0.035901</v>
      </c>
      <c r="K201" s="14" t="n">
        <v>0.059</v>
      </c>
      <c r="L201" s="13" t="n">
        <v>198.4405</v>
      </c>
      <c r="M201" s="13" t="n">
        <v>199.0899</v>
      </c>
      <c r="N201" s="13" t="n">
        <v>200.1154</v>
      </c>
      <c r="O201" s="13" t="n">
        <v>15</v>
      </c>
      <c r="P201" s="13" t="n">
        <v>66.5</v>
      </c>
      <c r="Q201" s="12" t="n">
        <v>44865</v>
      </c>
      <c r="R201" s="12" t="n">
        <v>44895</v>
      </c>
      <c r="S201" s="8">
        <f>YEAR($Q201)*100+MONTH($Q201)</f>
        <v/>
      </c>
      <c r="T201" s="8">
        <f>YEAR($R201)*100+MONTH($R201)</f>
        <v/>
      </c>
      <c r="U201" s="15">
        <f>IF($A201&lt;=INDEX(pdates_wc_rate_inr_pa,1),INDEX(pvals_wc_rate_inr_pa,1),INDEX(pvals_wc_rate_inr_pa,MATCH($A201,pdates_wc_rate_inr_pa,1)))</f>
        <v/>
      </c>
      <c r="V201" s="8">
        <f>IF(AND($A201&gt;=customs_fx_first,$A201&lt;=customs_fx_last+customs_fx_notification_validity_days),IF($A201&lt;=INDEX(pdates_customs_usdinr_import,1),INDEX(pvals_customs_usdinr_import,1),INDEX(pvals_customs_usdinr_import,MATCH($A201,pdates_customs_usdinr_import,1))),$F201*(1+customs_fx_markup_frac))</f>
        <v/>
      </c>
      <c r="W201" s="8">
        <f>IF(AND($A201&gt;=customs_fx_first,$A201&lt;=customs_fx_last+customs_fx_notification_validity_days),"CBIC_NOTIFIED","MARKUP_FALLBACK")</f>
        <v/>
      </c>
      <c r="X201" s="8">
        <f>IF($A201&lt;=INDEX(pdates_grade_factor_zorba,1),INDEX(pvals_grade_factor_zorba,1),IF($A201&gt;=INDEX(pdates_grade_factor_zorba,10),INDEX(pvals_grade_factor_zorba,10),INDEX(pvals_grade_factor_zorba,MATCH($A201,pdates_grade_factor_zorba,1))+($A201-INDEX(pdates_grade_factor_zorba,MATCH($A201,pdates_grade_factor_zorba,1)))/(INDEX(pdates_grade_factor_zorba,MATCH($A201,pdates_grade_factor_zorba,1)+1)-INDEX(pdates_grade_factor_zorba,MATCH($A201,pdates_grade_factor_zorba,1)))*(INDEX(pvals_grade_factor_zorba,MATCH($A201,pdates_grade_factor_zorba,1)+1)-INDEX(pvals_grade_factor_zorba,MATCH($A201,pdates_grade_factor_zorba,1)))))</f>
        <v/>
      </c>
      <c r="Y201" s="8">
        <f>IF($A201&lt;=INDEX(pdates_grade_factor_taint_tabor,1),INDEX(pvals_grade_factor_taint_tabor,1),IF($A201&gt;=INDEX(pdates_grade_factor_taint_tabor,10),INDEX(pvals_grade_factor_taint_tabor,10),INDEX(pvals_grade_factor_taint_tabor,MATCH($A201,pdates_grade_factor_taint_tabor,1))+($A201-INDEX(pdates_grade_factor_taint_tabor,MATCH($A201,pdates_grade_factor_taint_tabor,1)))/(INDEX(pdates_grade_factor_taint_tabor,MATCH($A201,pdates_grade_factor_taint_tabor,1)+1)-INDEX(pdates_grade_factor_taint_tabor,MATCH($A201,pdates_grade_factor_taint_tabor,1)))*(INDEX(pvals_grade_factor_taint_tabor,MATCH($A201,pdates_grade_factor_taint_tabor,1)+1)-INDEX(pvals_grade_factor_taint_tabor,MATCH($A201,pdates_grade_factor_taint_tabor,1)))))</f>
        <v/>
      </c>
      <c r="Z201" s="8">
        <f>IF($A201&lt;=INDEX(pdates_grade_factor_tense,1),INDEX(pvals_grade_factor_tense,1),IF($A201&gt;=INDEX(pdates_grade_factor_tense,10),INDEX(pvals_grade_factor_tense,10),INDEX(pvals_grade_factor_tense,MATCH($A201,pdates_grade_factor_tense,1))+($A201-INDEX(pdates_grade_factor_tense,MATCH($A201,pdates_grade_factor_tense,1)))/(INDEX(pdates_grade_factor_tense,MATCH($A201,pdates_grade_factor_tense,1)+1)-INDEX(pdates_grade_factor_tense,MATCH($A201,pdates_grade_factor_tense,1)))*(INDEX(pvals_grade_factor_tense,MATCH($A201,pdates_grade_factor_tense,1)+1)-INDEX(pvals_grade_factor_tense,MATCH($A201,pdates_grade_factor_tense,1)))))</f>
        <v/>
      </c>
      <c r="AA201" s="8">
        <f>IF($A201&lt;=INDEX(pdates_grade_factor_mix_pit,1),INDEX(pvals_grade_factor_mix_pit,1),IF($A201&gt;=INDEX(pdates_grade_factor_mix_pit,10),INDEX(pvals_grade_factor_mix_pit,10),INDEX(pvals_grade_factor_mix_pit,MATCH($A201,pdates_grade_factor_mix_pit,1))+($A201-INDEX(pdates_grade_factor_mix_pit,MATCH($A201,pdates_grade_factor_mix_pit,1)))/(INDEX(pdates_grade_factor_mix_pit,MATCH($A201,pdates_grade_factor_mix_pit,1)+1)-INDEX(pdates_grade_factor_mix_pit,MATCH($A201,pdates_grade_factor_mix_pit,1)))*(INDEX(pvals_grade_factor_mix_pit,MATCH($A201,pdates_grade_factor_mix_pit,1)+1)-INDEX(pvals_grade_factor_mix_pit,MATCH($A201,pdates_grade_factor_mix_pit,1)))))</f>
        <v/>
      </c>
      <c r="AB201" s="16">
        <f>($B201*$F201/kg_per_mt*(1+bcd_primary_al_hs7601*(1+sws_rate_on_bcd))+mcx_domestic_premium_inr_kg)*(1+$I201*MAX(0,$Q201-$A201)/day_count_inr)</f>
        <v/>
      </c>
      <c r="AC201" s="16">
        <f>$M201-$AB201</f>
        <v/>
      </c>
      <c r="AD201" s="7" t="inlineStr">
        <is>
          <t>PROXY_IMPORT_PARITY</t>
        </is>
      </c>
      <c r="AE201" s="7" t="inlineStr">
        <is>
          <t>ECB_CROSS</t>
        </is>
      </c>
      <c r="AF201" s="7" t="inlineStr">
        <is>
          <t>WCI_REPORTED|USEC:ANCHORED|JEA:ASSUMPTION</t>
        </is>
      </c>
      <c r="AG201" s="17" t="b">
        <v>0</v>
      </c>
      <c r="AH201" s="17" t="b">
        <v>1</v>
      </c>
    </row>
    <row r="202">
      <c r="A202" s="11" t="n">
        <v>44847</v>
      </c>
      <c r="B202" s="13" t="n">
        <v>2374</v>
      </c>
      <c r="C202" s="13" t="n">
        <v>2360.5</v>
      </c>
      <c r="D202" s="13" t="n">
        <v>13.5</v>
      </c>
      <c r="E202" s="13" t="n">
        <v>351900</v>
      </c>
      <c r="F202" s="13" t="n">
        <v>82.142</v>
      </c>
      <c r="G202" s="6" t="n">
        <v>82.3205</v>
      </c>
      <c r="H202" s="6" t="n">
        <v>82.6686</v>
      </c>
      <c r="I202" s="14" t="n">
        <v>0.062871</v>
      </c>
      <c r="J202" s="14" t="n">
        <v>0.03669</v>
      </c>
      <c r="K202" s="14" t="n">
        <v>0.059</v>
      </c>
      <c r="L202" s="13" t="n">
        <v>211.093</v>
      </c>
      <c r="M202" s="13" t="n">
        <v>211.7475</v>
      </c>
      <c r="N202" s="13" t="n">
        <v>212.8383</v>
      </c>
      <c r="O202" s="13" t="n">
        <v>15.01</v>
      </c>
      <c r="P202" s="13" t="n">
        <v>66.55</v>
      </c>
      <c r="Q202" s="12" t="n">
        <v>44865</v>
      </c>
      <c r="R202" s="12" t="n">
        <v>44895</v>
      </c>
      <c r="S202" s="8">
        <f>YEAR($Q202)*100+MONTH($Q202)</f>
        <v/>
      </c>
      <c r="T202" s="8">
        <f>YEAR($R202)*100+MONTH($R202)</f>
        <v/>
      </c>
      <c r="U202" s="15">
        <f>IF($A202&lt;=INDEX(pdates_wc_rate_inr_pa,1),INDEX(pvals_wc_rate_inr_pa,1),INDEX(pvals_wc_rate_inr_pa,MATCH($A202,pdates_wc_rate_inr_pa,1)))</f>
        <v/>
      </c>
      <c r="V202" s="8">
        <f>IF(AND($A202&gt;=customs_fx_first,$A202&lt;=customs_fx_last+customs_fx_notification_validity_days),IF($A202&lt;=INDEX(pdates_customs_usdinr_import,1),INDEX(pvals_customs_usdinr_import,1),INDEX(pvals_customs_usdinr_import,MATCH($A202,pdates_customs_usdinr_import,1))),$F202*(1+customs_fx_markup_frac))</f>
        <v/>
      </c>
      <c r="W202" s="8">
        <f>IF(AND($A202&gt;=customs_fx_first,$A202&lt;=customs_fx_last+customs_fx_notification_validity_days),"CBIC_NOTIFIED","MARKUP_FALLBACK")</f>
        <v/>
      </c>
      <c r="X202" s="8">
        <f>IF($A202&lt;=INDEX(pdates_grade_factor_zorba,1),INDEX(pvals_grade_factor_zorba,1),IF($A202&gt;=INDEX(pdates_grade_factor_zorba,10),INDEX(pvals_grade_factor_zorba,10),INDEX(pvals_grade_factor_zorba,MATCH($A202,pdates_grade_factor_zorba,1))+($A202-INDEX(pdates_grade_factor_zorba,MATCH($A202,pdates_grade_factor_zorba,1)))/(INDEX(pdates_grade_factor_zorba,MATCH($A202,pdates_grade_factor_zorba,1)+1)-INDEX(pdates_grade_factor_zorba,MATCH($A202,pdates_grade_factor_zorba,1)))*(INDEX(pvals_grade_factor_zorba,MATCH($A202,pdates_grade_factor_zorba,1)+1)-INDEX(pvals_grade_factor_zorba,MATCH($A202,pdates_grade_factor_zorba,1)))))</f>
        <v/>
      </c>
      <c r="Y202" s="8">
        <f>IF($A202&lt;=INDEX(pdates_grade_factor_taint_tabor,1),INDEX(pvals_grade_factor_taint_tabor,1),IF($A202&gt;=INDEX(pdates_grade_factor_taint_tabor,10),INDEX(pvals_grade_factor_taint_tabor,10),INDEX(pvals_grade_factor_taint_tabor,MATCH($A202,pdates_grade_factor_taint_tabor,1))+($A202-INDEX(pdates_grade_factor_taint_tabor,MATCH($A202,pdates_grade_factor_taint_tabor,1)))/(INDEX(pdates_grade_factor_taint_tabor,MATCH($A202,pdates_grade_factor_taint_tabor,1)+1)-INDEX(pdates_grade_factor_taint_tabor,MATCH($A202,pdates_grade_factor_taint_tabor,1)))*(INDEX(pvals_grade_factor_taint_tabor,MATCH($A202,pdates_grade_factor_taint_tabor,1)+1)-INDEX(pvals_grade_factor_taint_tabor,MATCH($A202,pdates_grade_factor_taint_tabor,1)))))</f>
        <v/>
      </c>
      <c r="Z202" s="8">
        <f>IF($A202&lt;=INDEX(pdates_grade_factor_tense,1),INDEX(pvals_grade_factor_tense,1),IF($A202&gt;=INDEX(pdates_grade_factor_tense,10),INDEX(pvals_grade_factor_tense,10),INDEX(pvals_grade_factor_tense,MATCH($A202,pdates_grade_factor_tense,1))+($A202-INDEX(pdates_grade_factor_tense,MATCH($A202,pdates_grade_factor_tense,1)))/(INDEX(pdates_grade_factor_tense,MATCH($A202,pdates_grade_factor_tense,1)+1)-INDEX(pdates_grade_factor_tense,MATCH($A202,pdates_grade_factor_tense,1)))*(INDEX(pvals_grade_factor_tense,MATCH($A202,pdates_grade_factor_tense,1)+1)-INDEX(pvals_grade_factor_tense,MATCH($A202,pdates_grade_factor_tense,1)))))</f>
        <v/>
      </c>
      <c r="AA202" s="8">
        <f>IF($A202&lt;=INDEX(pdates_grade_factor_mix_pit,1),INDEX(pvals_grade_factor_mix_pit,1),IF($A202&gt;=INDEX(pdates_grade_factor_mix_pit,10),INDEX(pvals_grade_factor_mix_pit,10),INDEX(pvals_grade_factor_mix_pit,MATCH($A202,pdates_grade_factor_mix_pit,1))+($A202-INDEX(pdates_grade_factor_mix_pit,MATCH($A202,pdates_grade_factor_mix_pit,1)))/(INDEX(pdates_grade_factor_mix_pit,MATCH($A202,pdates_grade_factor_mix_pit,1)+1)-INDEX(pdates_grade_factor_mix_pit,MATCH($A202,pdates_grade_factor_mix_pit,1)))*(INDEX(pvals_grade_factor_mix_pit,MATCH($A202,pdates_grade_factor_mix_pit,1)+1)-INDEX(pvals_grade_factor_mix_pit,MATCH($A202,pdates_grade_factor_mix_pit,1)))))</f>
        <v/>
      </c>
      <c r="AB202" s="16">
        <f>($B202*$F202/kg_per_mt*(1+bcd_primary_al_hs7601*(1+sws_rate_on_bcd))+mcx_domestic_premium_inr_kg)*(1+$I202*MAX(0,$Q202-$A202)/day_count_inr)</f>
        <v/>
      </c>
      <c r="AC202" s="16">
        <f>$M202-$AB202</f>
        <v/>
      </c>
      <c r="AD202" s="7" t="inlineStr">
        <is>
          <t>PROXY_IMPORT_PARITY</t>
        </is>
      </c>
      <c r="AE202" s="7" t="inlineStr">
        <is>
          <t>ECB_CROSS</t>
        </is>
      </c>
      <c r="AF202" s="7" t="inlineStr">
        <is>
          <t>WCI_REPORTED|USEC:ANCHORED|JEA:ASSUMPTION</t>
        </is>
      </c>
      <c r="AG202" s="17" t="b">
        <v>0</v>
      </c>
      <c r="AH202" s="17" t="b">
        <v>0</v>
      </c>
    </row>
    <row r="203">
      <c r="A203" s="11" t="n">
        <v>44848</v>
      </c>
      <c r="B203" s="13" t="n">
        <v>2309</v>
      </c>
      <c r="C203" s="13" t="n">
        <v>2303</v>
      </c>
      <c r="D203" s="13" t="n">
        <v>6</v>
      </c>
      <c r="E203" s="13" t="n">
        <v>367200</v>
      </c>
      <c r="F203" s="13" t="n">
        <v>82.2985</v>
      </c>
      <c r="G203" s="6" t="n">
        <v>82.47669999999999</v>
      </c>
      <c r="H203" s="6" t="n">
        <v>82.8241</v>
      </c>
      <c r="I203" s="14" t="n">
        <v>0.062871</v>
      </c>
      <c r="J203" s="14" t="n">
        <v>0.036789</v>
      </c>
      <c r="K203" s="14" t="n">
        <v>0.059</v>
      </c>
      <c r="L203" s="13" t="n">
        <v>205.7045</v>
      </c>
      <c r="M203" s="13" t="n">
        <v>206.3068</v>
      </c>
      <c r="N203" s="13" t="n">
        <v>207.3698</v>
      </c>
      <c r="O203" s="13" t="n">
        <v>15.01</v>
      </c>
      <c r="P203" s="13" t="n">
        <v>66.55</v>
      </c>
      <c r="Q203" s="12" t="n">
        <v>44865</v>
      </c>
      <c r="R203" s="12" t="n">
        <v>44895</v>
      </c>
      <c r="S203" s="8">
        <f>YEAR($Q203)*100+MONTH($Q203)</f>
        <v/>
      </c>
      <c r="T203" s="8">
        <f>YEAR($R203)*100+MONTH($R203)</f>
        <v/>
      </c>
      <c r="U203" s="15">
        <f>IF($A203&lt;=INDEX(pdates_wc_rate_inr_pa,1),INDEX(pvals_wc_rate_inr_pa,1),INDEX(pvals_wc_rate_inr_pa,MATCH($A203,pdates_wc_rate_inr_pa,1)))</f>
        <v/>
      </c>
      <c r="V203" s="8">
        <f>IF(AND($A203&gt;=customs_fx_first,$A203&lt;=customs_fx_last+customs_fx_notification_validity_days),IF($A203&lt;=INDEX(pdates_customs_usdinr_import,1),INDEX(pvals_customs_usdinr_import,1),INDEX(pvals_customs_usdinr_import,MATCH($A203,pdates_customs_usdinr_import,1))),$F203*(1+customs_fx_markup_frac))</f>
        <v/>
      </c>
      <c r="W203" s="8">
        <f>IF(AND($A203&gt;=customs_fx_first,$A203&lt;=customs_fx_last+customs_fx_notification_validity_days),"CBIC_NOTIFIED","MARKUP_FALLBACK")</f>
        <v/>
      </c>
      <c r="X203" s="8">
        <f>IF($A203&lt;=INDEX(pdates_grade_factor_zorba,1),INDEX(pvals_grade_factor_zorba,1),IF($A203&gt;=INDEX(pdates_grade_factor_zorba,10),INDEX(pvals_grade_factor_zorba,10),INDEX(pvals_grade_factor_zorba,MATCH($A203,pdates_grade_factor_zorba,1))+($A203-INDEX(pdates_grade_factor_zorba,MATCH($A203,pdates_grade_factor_zorba,1)))/(INDEX(pdates_grade_factor_zorba,MATCH($A203,pdates_grade_factor_zorba,1)+1)-INDEX(pdates_grade_factor_zorba,MATCH($A203,pdates_grade_factor_zorba,1)))*(INDEX(pvals_grade_factor_zorba,MATCH($A203,pdates_grade_factor_zorba,1)+1)-INDEX(pvals_grade_factor_zorba,MATCH($A203,pdates_grade_factor_zorba,1)))))</f>
        <v/>
      </c>
      <c r="Y203" s="8">
        <f>IF($A203&lt;=INDEX(pdates_grade_factor_taint_tabor,1),INDEX(pvals_grade_factor_taint_tabor,1),IF($A203&gt;=INDEX(pdates_grade_factor_taint_tabor,10),INDEX(pvals_grade_factor_taint_tabor,10),INDEX(pvals_grade_factor_taint_tabor,MATCH($A203,pdates_grade_factor_taint_tabor,1))+($A203-INDEX(pdates_grade_factor_taint_tabor,MATCH($A203,pdates_grade_factor_taint_tabor,1)))/(INDEX(pdates_grade_factor_taint_tabor,MATCH($A203,pdates_grade_factor_taint_tabor,1)+1)-INDEX(pdates_grade_factor_taint_tabor,MATCH($A203,pdates_grade_factor_taint_tabor,1)))*(INDEX(pvals_grade_factor_taint_tabor,MATCH($A203,pdates_grade_factor_taint_tabor,1)+1)-INDEX(pvals_grade_factor_taint_tabor,MATCH($A203,pdates_grade_factor_taint_tabor,1)))))</f>
        <v/>
      </c>
      <c r="Z203" s="8">
        <f>IF($A203&lt;=INDEX(pdates_grade_factor_tense,1),INDEX(pvals_grade_factor_tense,1),IF($A203&gt;=INDEX(pdates_grade_factor_tense,10),INDEX(pvals_grade_factor_tense,10),INDEX(pvals_grade_factor_tense,MATCH($A203,pdates_grade_factor_tense,1))+($A203-INDEX(pdates_grade_factor_tense,MATCH($A203,pdates_grade_factor_tense,1)))/(INDEX(pdates_grade_factor_tense,MATCH($A203,pdates_grade_factor_tense,1)+1)-INDEX(pdates_grade_factor_tense,MATCH($A203,pdates_grade_factor_tense,1)))*(INDEX(pvals_grade_factor_tense,MATCH($A203,pdates_grade_factor_tense,1)+1)-INDEX(pvals_grade_factor_tense,MATCH($A203,pdates_grade_factor_tense,1)))))</f>
        <v/>
      </c>
      <c r="AA203" s="8">
        <f>IF($A203&lt;=INDEX(pdates_grade_factor_mix_pit,1),INDEX(pvals_grade_factor_mix_pit,1),IF($A203&gt;=INDEX(pdates_grade_factor_mix_pit,10),INDEX(pvals_grade_factor_mix_pit,10),INDEX(pvals_grade_factor_mix_pit,MATCH($A203,pdates_grade_factor_mix_pit,1))+($A203-INDEX(pdates_grade_factor_mix_pit,MATCH($A203,pdates_grade_factor_mix_pit,1)))/(INDEX(pdates_grade_factor_mix_pit,MATCH($A203,pdates_grade_factor_mix_pit,1)+1)-INDEX(pdates_grade_factor_mix_pit,MATCH($A203,pdates_grade_factor_mix_pit,1)))*(INDEX(pvals_grade_factor_mix_pit,MATCH($A203,pdates_grade_factor_mix_pit,1)+1)-INDEX(pvals_grade_factor_mix_pit,MATCH($A203,pdates_grade_factor_mix_pit,1)))))</f>
        <v/>
      </c>
      <c r="AB203" s="16">
        <f>($B203*$F203/kg_per_mt*(1+bcd_primary_al_hs7601*(1+sws_rate_on_bcd))+mcx_domestic_premium_inr_kg)*(1+$I203*MAX(0,$Q203-$A203)/day_count_inr)</f>
        <v/>
      </c>
      <c r="AC203" s="16">
        <f>$M203-$AB203</f>
        <v/>
      </c>
      <c r="AD203" s="7" t="inlineStr">
        <is>
          <t>PROXY_IMPORT_PARITY</t>
        </is>
      </c>
      <c r="AE203" s="7" t="inlineStr">
        <is>
          <t>ECB_CROSS</t>
        </is>
      </c>
      <c r="AF203" s="7" t="inlineStr">
        <is>
          <t>WCI_REPORTED|USEC:ANCHORED|JEA:ASSUMPTION</t>
        </is>
      </c>
      <c r="AG203" s="17" t="b">
        <v>0</v>
      </c>
      <c r="AH203" s="17" t="b">
        <v>1</v>
      </c>
    </row>
    <row r="204">
      <c r="A204" s="11" t="n">
        <v>44851</v>
      </c>
      <c r="B204" s="13" t="n">
        <v>2240</v>
      </c>
      <c r="C204" s="13" t="n">
        <v>2240.5</v>
      </c>
      <c r="D204" s="13" t="n">
        <v>-0.5</v>
      </c>
      <c r="E204" s="13" t="n">
        <v>433025</v>
      </c>
      <c r="F204" s="13" t="n">
        <v>82.2754</v>
      </c>
      <c r="G204" s="6" t="n">
        <v>82.4409</v>
      </c>
      <c r="H204" s="6" t="n">
        <v>82.76349999999999</v>
      </c>
      <c r="I204" s="14" t="n">
        <v>0.062871</v>
      </c>
      <c r="J204" s="14" t="n">
        <v>0.038564</v>
      </c>
      <c r="K204" s="14" t="n">
        <v>0.059</v>
      </c>
      <c r="L204" s="13" t="n">
        <v>199.5014</v>
      </c>
      <c r="M204" s="13" t="n">
        <v>199.9825</v>
      </c>
      <c r="N204" s="13" t="n">
        <v>201.0134</v>
      </c>
      <c r="O204" s="13" t="n">
        <v>15.01</v>
      </c>
      <c r="P204" s="13" t="n">
        <v>66.55</v>
      </c>
      <c r="Q204" s="12" t="n">
        <v>44865</v>
      </c>
      <c r="R204" s="12" t="n">
        <v>44895</v>
      </c>
      <c r="S204" s="8">
        <f>YEAR($Q204)*100+MONTH($Q204)</f>
        <v/>
      </c>
      <c r="T204" s="8">
        <f>YEAR($R204)*100+MONTH($R204)</f>
        <v/>
      </c>
      <c r="U204" s="15">
        <f>IF($A204&lt;=INDEX(pdates_wc_rate_inr_pa,1),INDEX(pvals_wc_rate_inr_pa,1),INDEX(pvals_wc_rate_inr_pa,MATCH($A204,pdates_wc_rate_inr_pa,1)))</f>
        <v/>
      </c>
      <c r="V204" s="8">
        <f>IF(AND($A204&gt;=customs_fx_first,$A204&lt;=customs_fx_last+customs_fx_notification_validity_days),IF($A204&lt;=INDEX(pdates_customs_usdinr_import,1),INDEX(pvals_customs_usdinr_import,1),INDEX(pvals_customs_usdinr_import,MATCH($A204,pdates_customs_usdinr_import,1))),$F204*(1+customs_fx_markup_frac))</f>
        <v/>
      </c>
      <c r="W204" s="8">
        <f>IF(AND($A204&gt;=customs_fx_first,$A204&lt;=customs_fx_last+customs_fx_notification_validity_days),"CBIC_NOTIFIED","MARKUP_FALLBACK")</f>
        <v/>
      </c>
      <c r="X204" s="8">
        <f>IF($A204&lt;=INDEX(pdates_grade_factor_zorba,1),INDEX(pvals_grade_factor_zorba,1),IF($A204&gt;=INDEX(pdates_grade_factor_zorba,10),INDEX(pvals_grade_factor_zorba,10),INDEX(pvals_grade_factor_zorba,MATCH($A204,pdates_grade_factor_zorba,1))+($A204-INDEX(pdates_grade_factor_zorba,MATCH($A204,pdates_grade_factor_zorba,1)))/(INDEX(pdates_grade_factor_zorba,MATCH($A204,pdates_grade_factor_zorba,1)+1)-INDEX(pdates_grade_factor_zorba,MATCH($A204,pdates_grade_factor_zorba,1)))*(INDEX(pvals_grade_factor_zorba,MATCH($A204,pdates_grade_factor_zorba,1)+1)-INDEX(pvals_grade_factor_zorba,MATCH($A204,pdates_grade_factor_zorba,1)))))</f>
        <v/>
      </c>
      <c r="Y204" s="8">
        <f>IF($A204&lt;=INDEX(pdates_grade_factor_taint_tabor,1),INDEX(pvals_grade_factor_taint_tabor,1),IF($A204&gt;=INDEX(pdates_grade_factor_taint_tabor,10),INDEX(pvals_grade_factor_taint_tabor,10),INDEX(pvals_grade_factor_taint_tabor,MATCH($A204,pdates_grade_factor_taint_tabor,1))+($A204-INDEX(pdates_grade_factor_taint_tabor,MATCH($A204,pdates_grade_factor_taint_tabor,1)))/(INDEX(pdates_grade_factor_taint_tabor,MATCH($A204,pdates_grade_factor_taint_tabor,1)+1)-INDEX(pdates_grade_factor_taint_tabor,MATCH($A204,pdates_grade_factor_taint_tabor,1)))*(INDEX(pvals_grade_factor_taint_tabor,MATCH($A204,pdates_grade_factor_taint_tabor,1)+1)-INDEX(pvals_grade_factor_taint_tabor,MATCH($A204,pdates_grade_factor_taint_tabor,1)))))</f>
        <v/>
      </c>
      <c r="Z204" s="8">
        <f>IF($A204&lt;=INDEX(pdates_grade_factor_tense,1),INDEX(pvals_grade_factor_tense,1),IF($A204&gt;=INDEX(pdates_grade_factor_tense,10),INDEX(pvals_grade_factor_tense,10),INDEX(pvals_grade_factor_tense,MATCH($A204,pdates_grade_factor_tense,1))+($A204-INDEX(pdates_grade_factor_tense,MATCH($A204,pdates_grade_factor_tense,1)))/(INDEX(pdates_grade_factor_tense,MATCH($A204,pdates_grade_factor_tense,1)+1)-INDEX(pdates_grade_factor_tense,MATCH($A204,pdates_grade_factor_tense,1)))*(INDEX(pvals_grade_factor_tense,MATCH($A204,pdates_grade_factor_tense,1)+1)-INDEX(pvals_grade_factor_tense,MATCH($A204,pdates_grade_factor_tense,1)))))</f>
        <v/>
      </c>
      <c r="AA204" s="8">
        <f>IF($A204&lt;=INDEX(pdates_grade_factor_mix_pit,1),INDEX(pvals_grade_factor_mix_pit,1),IF($A204&gt;=INDEX(pdates_grade_factor_mix_pit,10),INDEX(pvals_grade_factor_mix_pit,10),INDEX(pvals_grade_factor_mix_pit,MATCH($A204,pdates_grade_factor_mix_pit,1))+($A204-INDEX(pdates_grade_factor_mix_pit,MATCH($A204,pdates_grade_factor_mix_pit,1)))/(INDEX(pdates_grade_factor_mix_pit,MATCH($A204,pdates_grade_factor_mix_pit,1)+1)-INDEX(pdates_grade_factor_mix_pit,MATCH($A204,pdates_grade_factor_mix_pit,1)))*(INDEX(pvals_grade_factor_mix_pit,MATCH($A204,pdates_grade_factor_mix_pit,1)+1)-INDEX(pvals_grade_factor_mix_pit,MATCH($A204,pdates_grade_factor_mix_pit,1)))))</f>
        <v/>
      </c>
      <c r="AB204" s="16">
        <f>($B204*$F204/kg_per_mt*(1+bcd_primary_al_hs7601*(1+sws_rate_on_bcd))+mcx_domestic_premium_inr_kg)*(1+$I204*MAX(0,$Q204-$A204)/day_count_inr)</f>
        <v/>
      </c>
      <c r="AC204" s="16">
        <f>$M204-$AB204</f>
        <v/>
      </c>
      <c r="AD204" s="7" t="inlineStr">
        <is>
          <t>PROXY_IMPORT_PARITY</t>
        </is>
      </c>
      <c r="AE204" s="7" t="inlineStr">
        <is>
          <t>ECB_CROSS</t>
        </is>
      </c>
      <c r="AF204" s="7" t="inlineStr">
        <is>
          <t>WCI_REPORTED|USEC:ANCHORED|JEA:ASSUMPTION</t>
        </is>
      </c>
      <c r="AG204" s="17" t="b">
        <v>0</v>
      </c>
      <c r="AH204" s="17" t="b">
        <v>1</v>
      </c>
    </row>
    <row r="205">
      <c r="A205" s="11" t="n">
        <v>44852</v>
      </c>
      <c r="B205" s="13" t="n">
        <v>2200.5</v>
      </c>
      <c r="C205" s="13" t="n">
        <v>2216.5</v>
      </c>
      <c r="D205" s="13" t="n">
        <v>-16</v>
      </c>
      <c r="E205" s="13" t="n">
        <v>481375</v>
      </c>
      <c r="F205" s="13" t="n">
        <v>82.2771</v>
      </c>
      <c r="G205" s="6" t="n">
        <v>82.43770000000001</v>
      </c>
      <c r="H205" s="6" t="n">
        <v>82.7508</v>
      </c>
      <c r="I205" s="14" t="n">
        <v>0.062871</v>
      </c>
      <c r="J205" s="14" t="n">
        <v>0.039255</v>
      </c>
      <c r="K205" s="14" t="n">
        <v>0.059</v>
      </c>
      <c r="L205" s="13" t="n">
        <v>195.9874</v>
      </c>
      <c r="M205" s="13" t="n">
        <v>196.4263</v>
      </c>
      <c r="N205" s="13" t="n">
        <v>197.4391</v>
      </c>
      <c r="O205" s="13" t="n">
        <v>15.01</v>
      </c>
      <c r="P205" s="13" t="n">
        <v>66.55</v>
      </c>
      <c r="Q205" s="12" t="n">
        <v>44865</v>
      </c>
      <c r="R205" s="12" t="n">
        <v>44895</v>
      </c>
      <c r="S205" s="8">
        <f>YEAR($Q205)*100+MONTH($Q205)</f>
        <v/>
      </c>
      <c r="T205" s="8">
        <f>YEAR($R205)*100+MONTH($R205)</f>
        <v/>
      </c>
      <c r="U205" s="15">
        <f>IF($A205&lt;=INDEX(pdates_wc_rate_inr_pa,1),INDEX(pvals_wc_rate_inr_pa,1),INDEX(pvals_wc_rate_inr_pa,MATCH($A205,pdates_wc_rate_inr_pa,1)))</f>
        <v/>
      </c>
      <c r="V205" s="8">
        <f>IF(AND($A205&gt;=customs_fx_first,$A205&lt;=customs_fx_last+customs_fx_notification_validity_days),IF($A205&lt;=INDEX(pdates_customs_usdinr_import,1),INDEX(pvals_customs_usdinr_import,1),INDEX(pvals_customs_usdinr_import,MATCH($A205,pdates_customs_usdinr_import,1))),$F205*(1+customs_fx_markup_frac))</f>
        <v/>
      </c>
      <c r="W205" s="8">
        <f>IF(AND($A205&gt;=customs_fx_first,$A205&lt;=customs_fx_last+customs_fx_notification_validity_days),"CBIC_NOTIFIED","MARKUP_FALLBACK")</f>
        <v/>
      </c>
      <c r="X205" s="8">
        <f>IF($A205&lt;=INDEX(pdates_grade_factor_zorba,1),INDEX(pvals_grade_factor_zorba,1),IF($A205&gt;=INDEX(pdates_grade_factor_zorba,10),INDEX(pvals_grade_factor_zorba,10),INDEX(pvals_grade_factor_zorba,MATCH($A205,pdates_grade_factor_zorba,1))+($A205-INDEX(pdates_grade_factor_zorba,MATCH($A205,pdates_grade_factor_zorba,1)))/(INDEX(pdates_grade_factor_zorba,MATCH($A205,pdates_grade_factor_zorba,1)+1)-INDEX(pdates_grade_factor_zorba,MATCH($A205,pdates_grade_factor_zorba,1)))*(INDEX(pvals_grade_factor_zorba,MATCH($A205,pdates_grade_factor_zorba,1)+1)-INDEX(pvals_grade_factor_zorba,MATCH($A205,pdates_grade_factor_zorba,1)))))</f>
        <v/>
      </c>
      <c r="Y205" s="8">
        <f>IF($A205&lt;=INDEX(pdates_grade_factor_taint_tabor,1),INDEX(pvals_grade_factor_taint_tabor,1),IF($A205&gt;=INDEX(pdates_grade_factor_taint_tabor,10),INDEX(pvals_grade_factor_taint_tabor,10),INDEX(pvals_grade_factor_taint_tabor,MATCH($A205,pdates_grade_factor_taint_tabor,1))+($A205-INDEX(pdates_grade_factor_taint_tabor,MATCH($A205,pdates_grade_factor_taint_tabor,1)))/(INDEX(pdates_grade_factor_taint_tabor,MATCH($A205,pdates_grade_factor_taint_tabor,1)+1)-INDEX(pdates_grade_factor_taint_tabor,MATCH($A205,pdates_grade_factor_taint_tabor,1)))*(INDEX(pvals_grade_factor_taint_tabor,MATCH($A205,pdates_grade_factor_taint_tabor,1)+1)-INDEX(pvals_grade_factor_taint_tabor,MATCH($A205,pdates_grade_factor_taint_tabor,1)))))</f>
        <v/>
      </c>
      <c r="Z205" s="8">
        <f>IF($A205&lt;=INDEX(pdates_grade_factor_tense,1),INDEX(pvals_grade_factor_tense,1),IF($A205&gt;=INDEX(pdates_grade_factor_tense,10),INDEX(pvals_grade_factor_tense,10),INDEX(pvals_grade_factor_tense,MATCH($A205,pdates_grade_factor_tense,1))+($A205-INDEX(pdates_grade_factor_tense,MATCH($A205,pdates_grade_factor_tense,1)))/(INDEX(pdates_grade_factor_tense,MATCH($A205,pdates_grade_factor_tense,1)+1)-INDEX(pdates_grade_factor_tense,MATCH($A205,pdates_grade_factor_tense,1)))*(INDEX(pvals_grade_factor_tense,MATCH($A205,pdates_grade_factor_tense,1)+1)-INDEX(pvals_grade_factor_tense,MATCH($A205,pdates_grade_factor_tense,1)))))</f>
        <v/>
      </c>
      <c r="AA205" s="8">
        <f>IF($A205&lt;=INDEX(pdates_grade_factor_mix_pit,1),INDEX(pvals_grade_factor_mix_pit,1),IF($A205&gt;=INDEX(pdates_grade_factor_mix_pit,10),INDEX(pvals_grade_factor_mix_pit,10),INDEX(pvals_grade_factor_mix_pit,MATCH($A205,pdates_grade_factor_mix_pit,1))+($A205-INDEX(pdates_grade_factor_mix_pit,MATCH($A205,pdates_grade_factor_mix_pit,1)))/(INDEX(pdates_grade_factor_mix_pit,MATCH($A205,pdates_grade_factor_mix_pit,1)+1)-INDEX(pdates_grade_factor_mix_pit,MATCH($A205,pdates_grade_factor_mix_pit,1)))*(INDEX(pvals_grade_factor_mix_pit,MATCH($A205,pdates_grade_factor_mix_pit,1)+1)-INDEX(pvals_grade_factor_mix_pit,MATCH($A205,pdates_grade_factor_mix_pit,1)))))</f>
        <v/>
      </c>
      <c r="AB205" s="16">
        <f>($B205*$F205/kg_per_mt*(1+bcd_primary_al_hs7601*(1+sws_rate_on_bcd))+mcx_domestic_premium_inr_kg)*(1+$I205*MAX(0,$Q205-$A205)/day_count_inr)</f>
        <v/>
      </c>
      <c r="AC205" s="16">
        <f>$M205-$AB205</f>
        <v/>
      </c>
      <c r="AD205" s="7" t="inlineStr">
        <is>
          <t>PROXY_IMPORT_PARITY</t>
        </is>
      </c>
      <c r="AE205" s="7" t="inlineStr">
        <is>
          <t>ECB_CROSS</t>
        </is>
      </c>
      <c r="AF205" s="7" t="inlineStr">
        <is>
          <t>WCI_REPORTED|USEC:ANCHORED|JEA:ASSUMPTION</t>
        </is>
      </c>
      <c r="AG205" s="17" t="b">
        <v>0</v>
      </c>
      <c r="AH205" s="17" t="b">
        <v>1</v>
      </c>
    </row>
    <row r="206">
      <c r="A206" s="11" t="n">
        <v>44853</v>
      </c>
      <c r="B206" s="13" t="n">
        <v>2169</v>
      </c>
      <c r="C206" s="13" t="n">
        <v>2181</v>
      </c>
      <c r="D206" s="13" t="n">
        <v>-12</v>
      </c>
      <c r="E206" s="13" t="n">
        <v>562550</v>
      </c>
      <c r="F206" s="13" t="n">
        <v>83.039</v>
      </c>
      <c r="G206" s="6" t="n">
        <v>83.19970000000001</v>
      </c>
      <c r="H206" s="6" t="n">
        <v>83.5129</v>
      </c>
      <c r="I206" s="14" t="n">
        <v>0.062871</v>
      </c>
      <c r="J206" s="14" t="n">
        <v>0.039452</v>
      </c>
      <c r="K206" s="14" t="n">
        <v>0.059</v>
      </c>
      <c r="L206" s="13" t="n">
        <v>194.9708</v>
      </c>
      <c r="M206" s="13" t="n">
        <v>195.3738</v>
      </c>
      <c r="N206" s="13" t="n">
        <v>196.3813</v>
      </c>
      <c r="O206" s="13" t="n">
        <v>15.01</v>
      </c>
      <c r="P206" s="13" t="n">
        <v>66.55</v>
      </c>
      <c r="Q206" s="12" t="n">
        <v>44865</v>
      </c>
      <c r="R206" s="12" t="n">
        <v>44895</v>
      </c>
      <c r="S206" s="8">
        <f>YEAR($Q206)*100+MONTH($Q206)</f>
        <v/>
      </c>
      <c r="T206" s="8">
        <f>YEAR($R206)*100+MONTH($R206)</f>
        <v/>
      </c>
      <c r="U206" s="15">
        <f>IF($A206&lt;=INDEX(pdates_wc_rate_inr_pa,1),INDEX(pvals_wc_rate_inr_pa,1),INDEX(pvals_wc_rate_inr_pa,MATCH($A206,pdates_wc_rate_inr_pa,1)))</f>
        <v/>
      </c>
      <c r="V206" s="8">
        <f>IF(AND($A206&gt;=customs_fx_first,$A206&lt;=customs_fx_last+customs_fx_notification_validity_days),IF($A206&lt;=INDEX(pdates_customs_usdinr_import,1),INDEX(pvals_customs_usdinr_import,1),INDEX(pvals_customs_usdinr_import,MATCH($A206,pdates_customs_usdinr_import,1))),$F206*(1+customs_fx_markup_frac))</f>
        <v/>
      </c>
      <c r="W206" s="8">
        <f>IF(AND($A206&gt;=customs_fx_first,$A206&lt;=customs_fx_last+customs_fx_notification_validity_days),"CBIC_NOTIFIED","MARKUP_FALLBACK")</f>
        <v/>
      </c>
      <c r="X206" s="8">
        <f>IF($A206&lt;=INDEX(pdates_grade_factor_zorba,1),INDEX(pvals_grade_factor_zorba,1),IF($A206&gt;=INDEX(pdates_grade_factor_zorba,10),INDEX(pvals_grade_factor_zorba,10),INDEX(pvals_grade_factor_zorba,MATCH($A206,pdates_grade_factor_zorba,1))+($A206-INDEX(pdates_grade_factor_zorba,MATCH($A206,pdates_grade_factor_zorba,1)))/(INDEX(pdates_grade_factor_zorba,MATCH($A206,pdates_grade_factor_zorba,1)+1)-INDEX(pdates_grade_factor_zorba,MATCH($A206,pdates_grade_factor_zorba,1)))*(INDEX(pvals_grade_factor_zorba,MATCH($A206,pdates_grade_factor_zorba,1)+1)-INDEX(pvals_grade_factor_zorba,MATCH($A206,pdates_grade_factor_zorba,1)))))</f>
        <v/>
      </c>
      <c r="Y206" s="8">
        <f>IF($A206&lt;=INDEX(pdates_grade_factor_taint_tabor,1),INDEX(pvals_grade_factor_taint_tabor,1),IF($A206&gt;=INDEX(pdates_grade_factor_taint_tabor,10),INDEX(pvals_grade_factor_taint_tabor,10),INDEX(pvals_grade_factor_taint_tabor,MATCH($A206,pdates_grade_factor_taint_tabor,1))+($A206-INDEX(pdates_grade_factor_taint_tabor,MATCH($A206,pdates_grade_factor_taint_tabor,1)))/(INDEX(pdates_grade_factor_taint_tabor,MATCH($A206,pdates_grade_factor_taint_tabor,1)+1)-INDEX(pdates_grade_factor_taint_tabor,MATCH($A206,pdates_grade_factor_taint_tabor,1)))*(INDEX(pvals_grade_factor_taint_tabor,MATCH($A206,pdates_grade_factor_taint_tabor,1)+1)-INDEX(pvals_grade_factor_taint_tabor,MATCH($A206,pdates_grade_factor_taint_tabor,1)))))</f>
        <v/>
      </c>
      <c r="Z206" s="8">
        <f>IF($A206&lt;=INDEX(pdates_grade_factor_tense,1),INDEX(pvals_grade_factor_tense,1),IF($A206&gt;=INDEX(pdates_grade_factor_tense,10),INDEX(pvals_grade_factor_tense,10),INDEX(pvals_grade_factor_tense,MATCH($A206,pdates_grade_factor_tense,1))+($A206-INDEX(pdates_grade_factor_tense,MATCH($A206,pdates_grade_factor_tense,1)))/(INDEX(pdates_grade_factor_tense,MATCH($A206,pdates_grade_factor_tense,1)+1)-INDEX(pdates_grade_factor_tense,MATCH($A206,pdates_grade_factor_tense,1)))*(INDEX(pvals_grade_factor_tense,MATCH($A206,pdates_grade_factor_tense,1)+1)-INDEX(pvals_grade_factor_tense,MATCH($A206,pdates_grade_factor_tense,1)))))</f>
        <v/>
      </c>
      <c r="AA206" s="8">
        <f>IF($A206&lt;=INDEX(pdates_grade_factor_mix_pit,1),INDEX(pvals_grade_factor_mix_pit,1),IF($A206&gt;=INDEX(pdates_grade_factor_mix_pit,10),INDEX(pvals_grade_factor_mix_pit,10),INDEX(pvals_grade_factor_mix_pit,MATCH($A206,pdates_grade_factor_mix_pit,1))+($A206-INDEX(pdates_grade_factor_mix_pit,MATCH($A206,pdates_grade_factor_mix_pit,1)))/(INDEX(pdates_grade_factor_mix_pit,MATCH($A206,pdates_grade_factor_mix_pit,1)+1)-INDEX(pdates_grade_factor_mix_pit,MATCH($A206,pdates_grade_factor_mix_pit,1)))*(INDEX(pvals_grade_factor_mix_pit,MATCH($A206,pdates_grade_factor_mix_pit,1)+1)-INDEX(pvals_grade_factor_mix_pit,MATCH($A206,pdates_grade_factor_mix_pit,1)))))</f>
        <v/>
      </c>
      <c r="AB206" s="16">
        <f>($B206*$F206/kg_per_mt*(1+bcd_primary_al_hs7601*(1+sws_rate_on_bcd))+mcx_domestic_premium_inr_kg)*(1+$I206*MAX(0,$Q206-$A206)/day_count_inr)</f>
        <v/>
      </c>
      <c r="AC206" s="16">
        <f>$M206-$AB206</f>
        <v/>
      </c>
      <c r="AD206" s="7" t="inlineStr">
        <is>
          <t>PROXY_IMPORT_PARITY</t>
        </is>
      </c>
      <c r="AE206" s="7" t="inlineStr">
        <is>
          <t>ECB_CROSS</t>
        </is>
      </c>
      <c r="AF206" s="7" t="inlineStr">
        <is>
          <t>WCI_REPORTED|USEC:ANCHORED|JEA:ASSUMPTION</t>
        </is>
      </c>
      <c r="AG206" s="17" t="b">
        <v>0</v>
      </c>
      <c r="AH206" s="17" t="b">
        <v>1</v>
      </c>
    </row>
    <row r="207">
      <c r="A207" s="11" t="n">
        <v>44854</v>
      </c>
      <c r="B207" s="13" t="n">
        <v>2214</v>
      </c>
      <c r="C207" s="13" t="n">
        <v>2228</v>
      </c>
      <c r="D207" s="13" t="n">
        <v>-14</v>
      </c>
      <c r="E207" s="13" t="n">
        <v>568275</v>
      </c>
      <c r="F207" s="13" t="n">
        <v>82.7393</v>
      </c>
      <c r="G207" s="6" t="n">
        <v>82.8994</v>
      </c>
      <c r="H207" s="6" t="n">
        <v>83.2115</v>
      </c>
      <c r="I207" s="14" t="n">
        <v>0.062871</v>
      </c>
      <c r="J207" s="14" t="n">
        <v>0.039452</v>
      </c>
      <c r="K207" s="14" t="n">
        <v>0.059</v>
      </c>
      <c r="L207" s="13" t="n">
        <v>198.2976</v>
      </c>
      <c r="M207" s="13" t="n">
        <v>198.6733</v>
      </c>
      <c r="N207" s="13" t="n">
        <v>199.698</v>
      </c>
      <c r="O207" s="13" t="n">
        <v>15.45</v>
      </c>
      <c r="P207" s="13" t="n">
        <v>68.51000000000001</v>
      </c>
      <c r="Q207" s="12" t="n">
        <v>44865</v>
      </c>
      <c r="R207" s="12" t="n">
        <v>44895</v>
      </c>
      <c r="S207" s="8">
        <f>YEAR($Q207)*100+MONTH($Q207)</f>
        <v/>
      </c>
      <c r="T207" s="8">
        <f>YEAR($R207)*100+MONTH($R207)</f>
        <v/>
      </c>
      <c r="U207" s="15">
        <f>IF($A207&lt;=INDEX(pdates_wc_rate_inr_pa,1),INDEX(pvals_wc_rate_inr_pa,1),INDEX(pvals_wc_rate_inr_pa,MATCH($A207,pdates_wc_rate_inr_pa,1)))</f>
        <v/>
      </c>
      <c r="V207" s="8">
        <f>IF(AND($A207&gt;=customs_fx_first,$A207&lt;=customs_fx_last+customs_fx_notification_validity_days),IF($A207&lt;=INDEX(pdates_customs_usdinr_import,1),INDEX(pvals_customs_usdinr_import,1),INDEX(pvals_customs_usdinr_import,MATCH($A207,pdates_customs_usdinr_import,1))),$F207*(1+customs_fx_markup_frac))</f>
        <v/>
      </c>
      <c r="W207" s="8">
        <f>IF(AND($A207&gt;=customs_fx_first,$A207&lt;=customs_fx_last+customs_fx_notification_validity_days),"CBIC_NOTIFIED","MARKUP_FALLBACK")</f>
        <v/>
      </c>
      <c r="X207" s="8">
        <f>IF($A207&lt;=INDEX(pdates_grade_factor_zorba,1),INDEX(pvals_grade_factor_zorba,1),IF($A207&gt;=INDEX(pdates_grade_factor_zorba,10),INDEX(pvals_grade_factor_zorba,10),INDEX(pvals_grade_factor_zorba,MATCH($A207,pdates_grade_factor_zorba,1))+($A207-INDEX(pdates_grade_factor_zorba,MATCH($A207,pdates_grade_factor_zorba,1)))/(INDEX(pdates_grade_factor_zorba,MATCH($A207,pdates_grade_factor_zorba,1)+1)-INDEX(pdates_grade_factor_zorba,MATCH($A207,pdates_grade_factor_zorba,1)))*(INDEX(pvals_grade_factor_zorba,MATCH($A207,pdates_grade_factor_zorba,1)+1)-INDEX(pvals_grade_factor_zorba,MATCH($A207,pdates_grade_factor_zorba,1)))))</f>
        <v/>
      </c>
      <c r="Y207" s="8">
        <f>IF($A207&lt;=INDEX(pdates_grade_factor_taint_tabor,1),INDEX(pvals_grade_factor_taint_tabor,1),IF($A207&gt;=INDEX(pdates_grade_factor_taint_tabor,10),INDEX(pvals_grade_factor_taint_tabor,10),INDEX(pvals_grade_factor_taint_tabor,MATCH($A207,pdates_grade_factor_taint_tabor,1))+($A207-INDEX(pdates_grade_factor_taint_tabor,MATCH($A207,pdates_grade_factor_taint_tabor,1)))/(INDEX(pdates_grade_factor_taint_tabor,MATCH($A207,pdates_grade_factor_taint_tabor,1)+1)-INDEX(pdates_grade_factor_taint_tabor,MATCH($A207,pdates_grade_factor_taint_tabor,1)))*(INDEX(pvals_grade_factor_taint_tabor,MATCH($A207,pdates_grade_factor_taint_tabor,1)+1)-INDEX(pvals_grade_factor_taint_tabor,MATCH($A207,pdates_grade_factor_taint_tabor,1)))))</f>
        <v/>
      </c>
      <c r="Z207" s="8">
        <f>IF($A207&lt;=INDEX(pdates_grade_factor_tense,1),INDEX(pvals_grade_factor_tense,1),IF($A207&gt;=INDEX(pdates_grade_factor_tense,10),INDEX(pvals_grade_factor_tense,10),INDEX(pvals_grade_factor_tense,MATCH($A207,pdates_grade_factor_tense,1))+($A207-INDEX(pdates_grade_factor_tense,MATCH($A207,pdates_grade_factor_tense,1)))/(INDEX(pdates_grade_factor_tense,MATCH($A207,pdates_grade_factor_tense,1)+1)-INDEX(pdates_grade_factor_tense,MATCH($A207,pdates_grade_factor_tense,1)))*(INDEX(pvals_grade_factor_tense,MATCH($A207,pdates_grade_factor_tense,1)+1)-INDEX(pvals_grade_factor_tense,MATCH($A207,pdates_grade_factor_tense,1)))))</f>
        <v/>
      </c>
      <c r="AA207" s="8">
        <f>IF($A207&lt;=INDEX(pdates_grade_factor_mix_pit,1),INDEX(pvals_grade_factor_mix_pit,1),IF($A207&gt;=INDEX(pdates_grade_factor_mix_pit,10),INDEX(pvals_grade_factor_mix_pit,10),INDEX(pvals_grade_factor_mix_pit,MATCH($A207,pdates_grade_factor_mix_pit,1))+($A207-INDEX(pdates_grade_factor_mix_pit,MATCH($A207,pdates_grade_factor_mix_pit,1)))/(INDEX(pdates_grade_factor_mix_pit,MATCH($A207,pdates_grade_factor_mix_pit,1)+1)-INDEX(pdates_grade_factor_mix_pit,MATCH($A207,pdates_grade_factor_mix_pit,1)))*(INDEX(pvals_grade_factor_mix_pit,MATCH($A207,pdates_grade_factor_mix_pit,1)+1)-INDEX(pvals_grade_factor_mix_pit,MATCH($A207,pdates_grade_factor_mix_pit,1)))))</f>
        <v/>
      </c>
      <c r="AB207" s="16">
        <f>($B207*$F207/kg_per_mt*(1+bcd_primary_al_hs7601*(1+sws_rate_on_bcd))+mcx_domestic_premium_inr_kg)*(1+$I207*MAX(0,$Q207-$A207)/day_count_inr)</f>
        <v/>
      </c>
      <c r="AC207" s="16">
        <f>$M207-$AB207</f>
        <v/>
      </c>
      <c r="AD207" s="7" t="inlineStr">
        <is>
          <t>PROXY_IMPORT_PARITY</t>
        </is>
      </c>
      <c r="AE207" s="7" t="inlineStr">
        <is>
          <t>ECB_CROSS</t>
        </is>
      </c>
      <c r="AF207" s="7" t="inlineStr">
        <is>
          <t>WCI_REPORTED|USEC:ANCHORED|JEA:ASSUMPTION</t>
        </is>
      </c>
      <c r="AG207" s="17" t="b">
        <v>0</v>
      </c>
      <c r="AH207" s="17" t="b">
        <v>0</v>
      </c>
    </row>
    <row r="208">
      <c r="A208" s="11" t="n">
        <v>44855</v>
      </c>
      <c r="B208" s="13" t="n">
        <v>2155.5</v>
      </c>
      <c r="C208" s="13" t="n">
        <v>2175.5</v>
      </c>
      <c r="D208" s="13" t="n">
        <v>-20</v>
      </c>
      <c r="E208" s="13" t="n">
        <v>570000</v>
      </c>
      <c r="F208" s="13" t="n">
        <v>82.9794</v>
      </c>
      <c r="G208" s="6" t="n">
        <v>83.1408</v>
      </c>
      <c r="H208" s="6" t="n">
        <v>83.4551</v>
      </c>
      <c r="I208" s="14" t="n">
        <v>0.062871</v>
      </c>
      <c r="J208" s="14" t="n">
        <v>0.039353</v>
      </c>
      <c r="K208" s="14" t="n">
        <v>0.059</v>
      </c>
      <c r="L208" s="13" t="n">
        <v>193.6182</v>
      </c>
      <c r="M208" s="13" t="n">
        <v>193.9517</v>
      </c>
      <c r="N208" s="13" t="n">
        <v>194.9522</v>
      </c>
      <c r="O208" s="13" t="n">
        <v>15.45</v>
      </c>
      <c r="P208" s="13" t="n">
        <v>68.51000000000001</v>
      </c>
      <c r="Q208" s="12" t="n">
        <v>44865</v>
      </c>
      <c r="R208" s="12" t="n">
        <v>44895</v>
      </c>
      <c r="S208" s="8">
        <f>YEAR($Q208)*100+MONTH($Q208)</f>
        <v/>
      </c>
      <c r="T208" s="8">
        <f>YEAR($R208)*100+MONTH($R208)</f>
        <v/>
      </c>
      <c r="U208" s="15">
        <f>IF($A208&lt;=INDEX(pdates_wc_rate_inr_pa,1),INDEX(pvals_wc_rate_inr_pa,1),INDEX(pvals_wc_rate_inr_pa,MATCH($A208,pdates_wc_rate_inr_pa,1)))</f>
        <v/>
      </c>
      <c r="V208" s="8">
        <f>IF(AND($A208&gt;=customs_fx_first,$A208&lt;=customs_fx_last+customs_fx_notification_validity_days),IF($A208&lt;=INDEX(pdates_customs_usdinr_import,1),INDEX(pvals_customs_usdinr_import,1),INDEX(pvals_customs_usdinr_import,MATCH($A208,pdates_customs_usdinr_import,1))),$F208*(1+customs_fx_markup_frac))</f>
        <v/>
      </c>
      <c r="W208" s="8">
        <f>IF(AND($A208&gt;=customs_fx_first,$A208&lt;=customs_fx_last+customs_fx_notification_validity_days),"CBIC_NOTIFIED","MARKUP_FALLBACK")</f>
        <v/>
      </c>
      <c r="X208" s="8">
        <f>IF($A208&lt;=INDEX(pdates_grade_factor_zorba,1),INDEX(pvals_grade_factor_zorba,1),IF($A208&gt;=INDEX(pdates_grade_factor_zorba,10),INDEX(pvals_grade_factor_zorba,10),INDEX(pvals_grade_factor_zorba,MATCH($A208,pdates_grade_factor_zorba,1))+($A208-INDEX(pdates_grade_factor_zorba,MATCH($A208,pdates_grade_factor_zorba,1)))/(INDEX(pdates_grade_factor_zorba,MATCH($A208,pdates_grade_factor_zorba,1)+1)-INDEX(pdates_grade_factor_zorba,MATCH($A208,pdates_grade_factor_zorba,1)))*(INDEX(pvals_grade_factor_zorba,MATCH($A208,pdates_grade_factor_zorba,1)+1)-INDEX(pvals_grade_factor_zorba,MATCH($A208,pdates_grade_factor_zorba,1)))))</f>
        <v/>
      </c>
      <c r="Y208" s="8">
        <f>IF($A208&lt;=INDEX(pdates_grade_factor_taint_tabor,1),INDEX(pvals_grade_factor_taint_tabor,1),IF($A208&gt;=INDEX(pdates_grade_factor_taint_tabor,10),INDEX(pvals_grade_factor_taint_tabor,10),INDEX(pvals_grade_factor_taint_tabor,MATCH($A208,pdates_grade_factor_taint_tabor,1))+($A208-INDEX(pdates_grade_factor_taint_tabor,MATCH($A208,pdates_grade_factor_taint_tabor,1)))/(INDEX(pdates_grade_factor_taint_tabor,MATCH($A208,pdates_grade_factor_taint_tabor,1)+1)-INDEX(pdates_grade_factor_taint_tabor,MATCH($A208,pdates_grade_factor_taint_tabor,1)))*(INDEX(pvals_grade_factor_taint_tabor,MATCH($A208,pdates_grade_factor_taint_tabor,1)+1)-INDEX(pvals_grade_factor_taint_tabor,MATCH($A208,pdates_grade_factor_taint_tabor,1)))))</f>
        <v/>
      </c>
      <c r="Z208" s="8">
        <f>IF($A208&lt;=INDEX(pdates_grade_factor_tense,1),INDEX(pvals_grade_factor_tense,1),IF($A208&gt;=INDEX(pdates_grade_factor_tense,10),INDEX(pvals_grade_factor_tense,10),INDEX(pvals_grade_factor_tense,MATCH($A208,pdates_grade_factor_tense,1))+($A208-INDEX(pdates_grade_factor_tense,MATCH($A208,pdates_grade_factor_tense,1)))/(INDEX(pdates_grade_factor_tense,MATCH($A208,pdates_grade_factor_tense,1)+1)-INDEX(pdates_grade_factor_tense,MATCH($A208,pdates_grade_factor_tense,1)))*(INDEX(pvals_grade_factor_tense,MATCH($A208,pdates_grade_factor_tense,1)+1)-INDEX(pvals_grade_factor_tense,MATCH($A208,pdates_grade_factor_tense,1)))))</f>
        <v/>
      </c>
      <c r="AA208" s="8">
        <f>IF($A208&lt;=INDEX(pdates_grade_factor_mix_pit,1),INDEX(pvals_grade_factor_mix_pit,1),IF($A208&gt;=INDEX(pdates_grade_factor_mix_pit,10),INDEX(pvals_grade_factor_mix_pit,10),INDEX(pvals_grade_factor_mix_pit,MATCH($A208,pdates_grade_factor_mix_pit,1))+($A208-INDEX(pdates_grade_factor_mix_pit,MATCH($A208,pdates_grade_factor_mix_pit,1)))/(INDEX(pdates_grade_factor_mix_pit,MATCH($A208,pdates_grade_factor_mix_pit,1)+1)-INDEX(pdates_grade_factor_mix_pit,MATCH($A208,pdates_grade_factor_mix_pit,1)))*(INDEX(pvals_grade_factor_mix_pit,MATCH($A208,pdates_grade_factor_mix_pit,1)+1)-INDEX(pvals_grade_factor_mix_pit,MATCH($A208,pdates_grade_factor_mix_pit,1)))))</f>
        <v/>
      </c>
      <c r="AB208" s="16">
        <f>($B208*$F208/kg_per_mt*(1+bcd_primary_al_hs7601*(1+sws_rate_on_bcd))+mcx_domestic_premium_inr_kg)*(1+$I208*MAX(0,$Q208-$A208)/day_count_inr)</f>
        <v/>
      </c>
      <c r="AC208" s="16">
        <f>$M208-$AB208</f>
        <v/>
      </c>
      <c r="AD208" s="7" t="inlineStr">
        <is>
          <t>PROXY_IMPORT_PARITY</t>
        </is>
      </c>
      <c r="AE208" s="7" t="inlineStr">
        <is>
          <t>ECB_CROSS</t>
        </is>
      </c>
      <c r="AF208" s="7" t="inlineStr">
        <is>
          <t>WCI_REPORTED|USEC:ANCHORED|JEA:ASSUMPTION</t>
        </is>
      </c>
      <c r="AG208" s="17" t="b">
        <v>0</v>
      </c>
      <c r="AH208" s="17" t="b">
        <v>1</v>
      </c>
    </row>
    <row r="209">
      <c r="A209" s="11" t="n">
        <v>44858</v>
      </c>
      <c r="B209" s="13" t="n">
        <v>2160</v>
      </c>
      <c r="C209" s="13" t="n">
        <v>2179</v>
      </c>
      <c r="D209" s="13" t="n">
        <v>-19</v>
      </c>
      <c r="E209" s="13" t="n">
        <v>569525</v>
      </c>
      <c r="F209" s="13" t="n">
        <v>82.77849999999999</v>
      </c>
      <c r="G209" s="6" t="n">
        <v>82.93170000000001</v>
      </c>
      <c r="H209" s="6" t="n">
        <v>83.2302</v>
      </c>
      <c r="I209" s="14" t="n">
        <v>0.062871</v>
      </c>
      <c r="J209" s="14" t="n">
        <v>0.040438</v>
      </c>
      <c r="K209" s="14" t="n">
        <v>0.059</v>
      </c>
      <c r="L209" s="13" t="n">
        <v>193.5527</v>
      </c>
      <c r="M209" s="13" t="n">
        <v>193.7861</v>
      </c>
      <c r="N209" s="13" t="n">
        <v>194.7862</v>
      </c>
      <c r="O209" s="13" t="n">
        <v>15.45</v>
      </c>
      <c r="P209" s="13" t="n">
        <v>68.51000000000001</v>
      </c>
      <c r="Q209" s="12" t="n">
        <v>44865</v>
      </c>
      <c r="R209" s="12" t="n">
        <v>44895</v>
      </c>
      <c r="S209" s="8">
        <f>YEAR($Q209)*100+MONTH($Q209)</f>
        <v/>
      </c>
      <c r="T209" s="8">
        <f>YEAR($R209)*100+MONTH($R209)</f>
        <v/>
      </c>
      <c r="U209" s="15">
        <f>IF($A209&lt;=INDEX(pdates_wc_rate_inr_pa,1),INDEX(pvals_wc_rate_inr_pa,1),INDEX(pvals_wc_rate_inr_pa,MATCH($A209,pdates_wc_rate_inr_pa,1)))</f>
        <v/>
      </c>
      <c r="V209" s="8">
        <f>IF(AND($A209&gt;=customs_fx_first,$A209&lt;=customs_fx_last+customs_fx_notification_validity_days),IF($A209&lt;=INDEX(pdates_customs_usdinr_import,1),INDEX(pvals_customs_usdinr_import,1),INDEX(pvals_customs_usdinr_import,MATCH($A209,pdates_customs_usdinr_import,1))),$F209*(1+customs_fx_markup_frac))</f>
        <v/>
      </c>
      <c r="W209" s="8">
        <f>IF(AND($A209&gt;=customs_fx_first,$A209&lt;=customs_fx_last+customs_fx_notification_validity_days),"CBIC_NOTIFIED","MARKUP_FALLBACK")</f>
        <v/>
      </c>
      <c r="X209" s="8">
        <f>IF($A209&lt;=INDEX(pdates_grade_factor_zorba,1),INDEX(pvals_grade_factor_zorba,1),IF($A209&gt;=INDEX(pdates_grade_factor_zorba,10),INDEX(pvals_grade_factor_zorba,10),INDEX(pvals_grade_factor_zorba,MATCH($A209,pdates_grade_factor_zorba,1))+($A209-INDEX(pdates_grade_factor_zorba,MATCH($A209,pdates_grade_factor_zorba,1)))/(INDEX(pdates_grade_factor_zorba,MATCH($A209,pdates_grade_factor_zorba,1)+1)-INDEX(pdates_grade_factor_zorba,MATCH($A209,pdates_grade_factor_zorba,1)))*(INDEX(pvals_grade_factor_zorba,MATCH($A209,pdates_grade_factor_zorba,1)+1)-INDEX(pvals_grade_factor_zorba,MATCH($A209,pdates_grade_factor_zorba,1)))))</f>
        <v/>
      </c>
      <c r="Y209" s="8">
        <f>IF($A209&lt;=INDEX(pdates_grade_factor_taint_tabor,1),INDEX(pvals_grade_factor_taint_tabor,1),IF($A209&gt;=INDEX(pdates_grade_factor_taint_tabor,10),INDEX(pvals_grade_factor_taint_tabor,10),INDEX(pvals_grade_factor_taint_tabor,MATCH($A209,pdates_grade_factor_taint_tabor,1))+($A209-INDEX(pdates_grade_factor_taint_tabor,MATCH($A209,pdates_grade_factor_taint_tabor,1)))/(INDEX(pdates_grade_factor_taint_tabor,MATCH($A209,pdates_grade_factor_taint_tabor,1)+1)-INDEX(pdates_grade_factor_taint_tabor,MATCH($A209,pdates_grade_factor_taint_tabor,1)))*(INDEX(pvals_grade_factor_taint_tabor,MATCH($A209,pdates_grade_factor_taint_tabor,1)+1)-INDEX(pvals_grade_factor_taint_tabor,MATCH($A209,pdates_grade_factor_taint_tabor,1)))))</f>
        <v/>
      </c>
      <c r="Z209" s="8">
        <f>IF($A209&lt;=INDEX(pdates_grade_factor_tense,1),INDEX(pvals_grade_factor_tense,1),IF($A209&gt;=INDEX(pdates_grade_factor_tense,10),INDEX(pvals_grade_factor_tense,10),INDEX(pvals_grade_factor_tense,MATCH($A209,pdates_grade_factor_tense,1))+($A209-INDEX(pdates_grade_factor_tense,MATCH($A209,pdates_grade_factor_tense,1)))/(INDEX(pdates_grade_factor_tense,MATCH($A209,pdates_grade_factor_tense,1)+1)-INDEX(pdates_grade_factor_tense,MATCH($A209,pdates_grade_factor_tense,1)))*(INDEX(pvals_grade_factor_tense,MATCH($A209,pdates_grade_factor_tense,1)+1)-INDEX(pvals_grade_factor_tense,MATCH($A209,pdates_grade_factor_tense,1)))))</f>
        <v/>
      </c>
      <c r="AA209" s="8">
        <f>IF($A209&lt;=INDEX(pdates_grade_factor_mix_pit,1),INDEX(pvals_grade_factor_mix_pit,1),IF($A209&gt;=INDEX(pdates_grade_factor_mix_pit,10),INDEX(pvals_grade_factor_mix_pit,10),INDEX(pvals_grade_factor_mix_pit,MATCH($A209,pdates_grade_factor_mix_pit,1))+($A209-INDEX(pdates_grade_factor_mix_pit,MATCH($A209,pdates_grade_factor_mix_pit,1)))/(INDEX(pdates_grade_factor_mix_pit,MATCH($A209,pdates_grade_factor_mix_pit,1)+1)-INDEX(pdates_grade_factor_mix_pit,MATCH($A209,pdates_grade_factor_mix_pit,1)))*(INDEX(pvals_grade_factor_mix_pit,MATCH($A209,pdates_grade_factor_mix_pit,1)+1)-INDEX(pvals_grade_factor_mix_pit,MATCH($A209,pdates_grade_factor_mix_pit,1)))))</f>
        <v/>
      </c>
      <c r="AB209" s="16">
        <f>($B209*$F209/kg_per_mt*(1+bcd_primary_al_hs7601*(1+sws_rate_on_bcd))+mcx_domestic_premium_inr_kg)*(1+$I209*MAX(0,$Q209-$A209)/day_count_inr)</f>
        <v/>
      </c>
      <c r="AC209" s="16">
        <f>$M209-$AB209</f>
        <v/>
      </c>
      <c r="AD209" s="7" t="inlineStr">
        <is>
          <t>PROXY_IMPORT_PARITY</t>
        </is>
      </c>
      <c r="AE209" s="7" t="inlineStr">
        <is>
          <t>ECB_CROSS</t>
        </is>
      </c>
      <c r="AF209" s="7" t="inlineStr">
        <is>
          <t>WCI_REPORTED|USEC:ANCHORED|JEA:ASSUMPTION</t>
        </is>
      </c>
      <c r="AG209" s="17" t="b">
        <v>0</v>
      </c>
      <c r="AH209" s="17" t="b">
        <v>1</v>
      </c>
    </row>
    <row r="210">
      <c r="A210" s="11" t="n">
        <v>44859</v>
      </c>
      <c r="B210" s="13" t="n">
        <v>2170.5</v>
      </c>
      <c r="C210" s="13" t="n">
        <v>2192</v>
      </c>
      <c r="D210" s="13" t="n">
        <v>-21.5</v>
      </c>
      <c r="E210" s="13" t="n">
        <v>569500</v>
      </c>
      <c r="F210" s="13" t="n">
        <v>82.804</v>
      </c>
      <c r="G210" s="6" t="n">
        <v>82.9594</v>
      </c>
      <c r="H210" s="6" t="n">
        <v>83.262</v>
      </c>
      <c r="I210" s="14" t="n">
        <v>0.062871</v>
      </c>
      <c r="J210" s="14" t="n">
        <v>0.040142</v>
      </c>
      <c r="K210" s="14" t="n">
        <v>0.059</v>
      </c>
      <c r="L210" s="13" t="n">
        <v>194.5535</v>
      </c>
      <c r="M210" s="13" t="n">
        <v>194.7546</v>
      </c>
      <c r="N210" s="13" t="n">
        <v>195.7599</v>
      </c>
      <c r="O210" s="13" t="n">
        <v>15.45</v>
      </c>
      <c r="P210" s="13" t="n">
        <v>68.51000000000001</v>
      </c>
      <c r="Q210" s="12" t="n">
        <v>44865</v>
      </c>
      <c r="R210" s="12" t="n">
        <v>44895</v>
      </c>
      <c r="S210" s="8">
        <f>YEAR($Q210)*100+MONTH($Q210)</f>
        <v/>
      </c>
      <c r="T210" s="8">
        <f>YEAR($R210)*100+MONTH($R210)</f>
        <v/>
      </c>
      <c r="U210" s="15">
        <f>IF($A210&lt;=INDEX(pdates_wc_rate_inr_pa,1),INDEX(pvals_wc_rate_inr_pa,1),INDEX(pvals_wc_rate_inr_pa,MATCH($A210,pdates_wc_rate_inr_pa,1)))</f>
        <v/>
      </c>
      <c r="V210" s="8">
        <f>IF(AND($A210&gt;=customs_fx_first,$A210&lt;=customs_fx_last+customs_fx_notification_validity_days),IF($A210&lt;=INDEX(pdates_customs_usdinr_import,1),INDEX(pvals_customs_usdinr_import,1),INDEX(pvals_customs_usdinr_import,MATCH($A210,pdates_customs_usdinr_import,1))),$F210*(1+customs_fx_markup_frac))</f>
        <v/>
      </c>
      <c r="W210" s="8">
        <f>IF(AND($A210&gt;=customs_fx_first,$A210&lt;=customs_fx_last+customs_fx_notification_validity_days),"CBIC_NOTIFIED","MARKUP_FALLBACK")</f>
        <v/>
      </c>
      <c r="X210" s="8">
        <f>IF($A210&lt;=INDEX(pdates_grade_factor_zorba,1),INDEX(pvals_grade_factor_zorba,1),IF($A210&gt;=INDEX(pdates_grade_factor_zorba,10),INDEX(pvals_grade_factor_zorba,10),INDEX(pvals_grade_factor_zorba,MATCH($A210,pdates_grade_factor_zorba,1))+($A210-INDEX(pdates_grade_factor_zorba,MATCH($A210,pdates_grade_factor_zorba,1)))/(INDEX(pdates_grade_factor_zorba,MATCH($A210,pdates_grade_factor_zorba,1)+1)-INDEX(pdates_grade_factor_zorba,MATCH($A210,pdates_grade_factor_zorba,1)))*(INDEX(pvals_grade_factor_zorba,MATCH($A210,pdates_grade_factor_zorba,1)+1)-INDEX(pvals_grade_factor_zorba,MATCH($A210,pdates_grade_factor_zorba,1)))))</f>
        <v/>
      </c>
      <c r="Y210" s="8">
        <f>IF($A210&lt;=INDEX(pdates_grade_factor_taint_tabor,1),INDEX(pvals_grade_factor_taint_tabor,1),IF($A210&gt;=INDEX(pdates_grade_factor_taint_tabor,10),INDEX(pvals_grade_factor_taint_tabor,10),INDEX(pvals_grade_factor_taint_tabor,MATCH($A210,pdates_grade_factor_taint_tabor,1))+($A210-INDEX(pdates_grade_factor_taint_tabor,MATCH($A210,pdates_grade_factor_taint_tabor,1)))/(INDEX(pdates_grade_factor_taint_tabor,MATCH($A210,pdates_grade_factor_taint_tabor,1)+1)-INDEX(pdates_grade_factor_taint_tabor,MATCH($A210,pdates_grade_factor_taint_tabor,1)))*(INDEX(pvals_grade_factor_taint_tabor,MATCH($A210,pdates_grade_factor_taint_tabor,1)+1)-INDEX(pvals_grade_factor_taint_tabor,MATCH($A210,pdates_grade_factor_taint_tabor,1)))))</f>
        <v/>
      </c>
      <c r="Z210" s="8">
        <f>IF($A210&lt;=INDEX(pdates_grade_factor_tense,1),INDEX(pvals_grade_factor_tense,1),IF($A210&gt;=INDEX(pdates_grade_factor_tense,10),INDEX(pvals_grade_factor_tense,10),INDEX(pvals_grade_factor_tense,MATCH($A210,pdates_grade_factor_tense,1))+($A210-INDEX(pdates_grade_factor_tense,MATCH($A210,pdates_grade_factor_tense,1)))/(INDEX(pdates_grade_factor_tense,MATCH($A210,pdates_grade_factor_tense,1)+1)-INDEX(pdates_grade_factor_tense,MATCH($A210,pdates_grade_factor_tense,1)))*(INDEX(pvals_grade_factor_tense,MATCH($A210,pdates_grade_factor_tense,1)+1)-INDEX(pvals_grade_factor_tense,MATCH($A210,pdates_grade_factor_tense,1)))))</f>
        <v/>
      </c>
      <c r="AA210" s="8">
        <f>IF($A210&lt;=INDEX(pdates_grade_factor_mix_pit,1),INDEX(pvals_grade_factor_mix_pit,1),IF($A210&gt;=INDEX(pdates_grade_factor_mix_pit,10),INDEX(pvals_grade_factor_mix_pit,10),INDEX(pvals_grade_factor_mix_pit,MATCH($A210,pdates_grade_factor_mix_pit,1))+($A210-INDEX(pdates_grade_factor_mix_pit,MATCH($A210,pdates_grade_factor_mix_pit,1)))/(INDEX(pdates_grade_factor_mix_pit,MATCH($A210,pdates_grade_factor_mix_pit,1)+1)-INDEX(pdates_grade_factor_mix_pit,MATCH($A210,pdates_grade_factor_mix_pit,1)))*(INDEX(pvals_grade_factor_mix_pit,MATCH($A210,pdates_grade_factor_mix_pit,1)+1)-INDEX(pvals_grade_factor_mix_pit,MATCH($A210,pdates_grade_factor_mix_pit,1)))))</f>
        <v/>
      </c>
      <c r="AB210" s="16">
        <f>($B210*$F210/kg_per_mt*(1+bcd_primary_al_hs7601*(1+sws_rate_on_bcd))+mcx_domestic_premium_inr_kg)*(1+$I210*MAX(0,$Q210-$A210)/day_count_inr)</f>
        <v/>
      </c>
      <c r="AC210" s="16">
        <f>$M210-$AB210</f>
        <v/>
      </c>
      <c r="AD210" s="7" t="inlineStr">
        <is>
          <t>PROXY_IMPORT_PARITY</t>
        </is>
      </c>
      <c r="AE210" s="7" t="inlineStr">
        <is>
          <t>ECB_CROSS</t>
        </is>
      </c>
      <c r="AF210" s="7" t="inlineStr">
        <is>
          <t>WCI_REPORTED|USEC:ANCHORED|JEA:ASSUMPTION</t>
        </is>
      </c>
      <c r="AG210" s="17" t="b">
        <v>0</v>
      </c>
      <c r="AH210" s="17" t="b">
        <v>1</v>
      </c>
    </row>
    <row r="211">
      <c r="A211" s="11" t="n">
        <v>44860</v>
      </c>
      <c r="B211" s="13" t="n">
        <v>2265.5</v>
      </c>
      <c r="C211" s="13" t="n">
        <v>2262</v>
      </c>
      <c r="D211" s="13" t="n">
        <v>3.5</v>
      </c>
      <c r="E211" s="13" t="n">
        <v>574075</v>
      </c>
      <c r="F211" s="13" t="n">
        <v>82.01739999999999</v>
      </c>
      <c r="G211" s="6" t="n">
        <v>82.1741</v>
      </c>
      <c r="H211" s="6" t="n">
        <v>82.47929999999999</v>
      </c>
      <c r="I211" s="14" t="n">
        <v>0.062871</v>
      </c>
      <c r="J211" s="14" t="n">
        <v>0.039748</v>
      </c>
      <c r="K211" s="14" t="n">
        <v>0.059</v>
      </c>
      <c r="L211" s="13" t="n">
        <v>201.1398</v>
      </c>
      <c r="M211" s="13" t="n">
        <v>201.313</v>
      </c>
      <c r="N211" s="13" t="n">
        <v>202.3524</v>
      </c>
      <c r="O211" s="13" t="n">
        <v>15.45</v>
      </c>
      <c r="P211" s="13" t="n">
        <v>68.51000000000001</v>
      </c>
      <c r="Q211" s="12" t="n">
        <v>44865</v>
      </c>
      <c r="R211" s="12" t="n">
        <v>44895</v>
      </c>
      <c r="S211" s="8">
        <f>YEAR($Q211)*100+MONTH($Q211)</f>
        <v/>
      </c>
      <c r="T211" s="8">
        <f>YEAR($R211)*100+MONTH($R211)</f>
        <v/>
      </c>
      <c r="U211" s="15">
        <f>IF($A211&lt;=INDEX(pdates_wc_rate_inr_pa,1),INDEX(pvals_wc_rate_inr_pa,1),INDEX(pvals_wc_rate_inr_pa,MATCH($A211,pdates_wc_rate_inr_pa,1)))</f>
        <v/>
      </c>
      <c r="V211" s="8">
        <f>IF(AND($A211&gt;=customs_fx_first,$A211&lt;=customs_fx_last+customs_fx_notification_validity_days),IF($A211&lt;=INDEX(pdates_customs_usdinr_import,1),INDEX(pvals_customs_usdinr_import,1),INDEX(pvals_customs_usdinr_import,MATCH($A211,pdates_customs_usdinr_import,1))),$F211*(1+customs_fx_markup_frac))</f>
        <v/>
      </c>
      <c r="W211" s="8">
        <f>IF(AND($A211&gt;=customs_fx_first,$A211&lt;=customs_fx_last+customs_fx_notification_validity_days),"CBIC_NOTIFIED","MARKUP_FALLBACK")</f>
        <v/>
      </c>
      <c r="X211" s="8">
        <f>IF($A211&lt;=INDEX(pdates_grade_factor_zorba,1),INDEX(pvals_grade_factor_zorba,1),IF($A211&gt;=INDEX(pdates_grade_factor_zorba,10),INDEX(pvals_grade_factor_zorba,10),INDEX(pvals_grade_factor_zorba,MATCH($A211,pdates_grade_factor_zorba,1))+($A211-INDEX(pdates_grade_factor_zorba,MATCH($A211,pdates_grade_factor_zorba,1)))/(INDEX(pdates_grade_factor_zorba,MATCH($A211,pdates_grade_factor_zorba,1)+1)-INDEX(pdates_grade_factor_zorba,MATCH($A211,pdates_grade_factor_zorba,1)))*(INDEX(pvals_grade_factor_zorba,MATCH($A211,pdates_grade_factor_zorba,1)+1)-INDEX(pvals_grade_factor_zorba,MATCH($A211,pdates_grade_factor_zorba,1)))))</f>
        <v/>
      </c>
      <c r="Y211" s="8">
        <f>IF($A211&lt;=INDEX(pdates_grade_factor_taint_tabor,1),INDEX(pvals_grade_factor_taint_tabor,1),IF($A211&gt;=INDEX(pdates_grade_factor_taint_tabor,10),INDEX(pvals_grade_factor_taint_tabor,10),INDEX(pvals_grade_factor_taint_tabor,MATCH($A211,pdates_grade_factor_taint_tabor,1))+($A211-INDEX(pdates_grade_factor_taint_tabor,MATCH($A211,pdates_grade_factor_taint_tabor,1)))/(INDEX(pdates_grade_factor_taint_tabor,MATCH($A211,pdates_grade_factor_taint_tabor,1)+1)-INDEX(pdates_grade_factor_taint_tabor,MATCH($A211,pdates_grade_factor_taint_tabor,1)))*(INDEX(pvals_grade_factor_taint_tabor,MATCH($A211,pdates_grade_factor_taint_tabor,1)+1)-INDEX(pvals_grade_factor_taint_tabor,MATCH($A211,pdates_grade_factor_taint_tabor,1)))))</f>
        <v/>
      </c>
      <c r="Z211" s="8">
        <f>IF($A211&lt;=INDEX(pdates_grade_factor_tense,1),INDEX(pvals_grade_factor_tense,1),IF($A211&gt;=INDEX(pdates_grade_factor_tense,10),INDEX(pvals_grade_factor_tense,10),INDEX(pvals_grade_factor_tense,MATCH($A211,pdates_grade_factor_tense,1))+($A211-INDEX(pdates_grade_factor_tense,MATCH($A211,pdates_grade_factor_tense,1)))/(INDEX(pdates_grade_factor_tense,MATCH($A211,pdates_grade_factor_tense,1)+1)-INDEX(pdates_grade_factor_tense,MATCH($A211,pdates_grade_factor_tense,1)))*(INDEX(pvals_grade_factor_tense,MATCH($A211,pdates_grade_factor_tense,1)+1)-INDEX(pvals_grade_factor_tense,MATCH($A211,pdates_grade_factor_tense,1)))))</f>
        <v/>
      </c>
      <c r="AA211" s="8">
        <f>IF($A211&lt;=INDEX(pdates_grade_factor_mix_pit,1),INDEX(pvals_grade_factor_mix_pit,1),IF($A211&gt;=INDEX(pdates_grade_factor_mix_pit,10),INDEX(pvals_grade_factor_mix_pit,10),INDEX(pvals_grade_factor_mix_pit,MATCH($A211,pdates_grade_factor_mix_pit,1))+($A211-INDEX(pdates_grade_factor_mix_pit,MATCH($A211,pdates_grade_factor_mix_pit,1)))/(INDEX(pdates_grade_factor_mix_pit,MATCH($A211,pdates_grade_factor_mix_pit,1)+1)-INDEX(pdates_grade_factor_mix_pit,MATCH($A211,pdates_grade_factor_mix_pit,1)))*(INDEX(pvals_grade_factor_mix_pit,MATCH($A211,pdates_grade_factor_mix_pit,1)+1)-INDEX(pvals_grade_factor_mix_pit,MATCH($A211,pdates_grade_factor_mix_pit,1)))))</f>
        <v/>
      </c>
      <c r="AB211" s="16">
        <f>($B211*$F211/kg_per_mt*(1+bcd_primary_al_hs7601*(1+sws_rate_on_bcd))+mcx_domestic_premium_inr_kg)*(1+$I211*MAX(0,$Q211-$A211)/day_count_inr)</f>
        <v/>
      </c>
      <c r="AC211" s="16">
        <f>$M211-$AB211</f>
        <v/>
      </c>
      <c r="AD211" s="7" t="inlineStr">
        <is>
          <t>PROXY_IMPORT_PARITY</t>
        </is>
      </c>
      <c r="AE211" s="7" t="inlineStr">
        <is>
          <t>ECB_CROSS</t>
        </is>
      </c>
      <c r="AF211" s="7" t="inlineStr">
        <is>
          <t>WCI_REPORTED|USEC:ANCHORED|JEA:ASSUMPTION</t>
        </is>
      </c>
      <c r="AG211" s="17" t="b">
        <v>0</v>
      </c>
      <c r="AH211" s="17" t="b">
        <v>1</v>
      </c>
    </row>
    <row r="212">
      <c r="A212" s="11" t="n">
        <v>44861</v>
      </c>
      <c r="B212" s="13" t="n">
        <v>2297</v>
      </c>
      <c r="C212" s="13" t="n">
        <v>2302</v>
      </c>
      <c r="D212" s="13" t="n">
        <v>-5</v>
      </c>
      <c r="E212" s="13" t="n">
        <v>587100</v>
      </c>
      <c r="F212" s="13" t="n">
        <v>82.35129999999999</v>
      </c>
      <c r="G212" s="6" t="n">
        <v>82.50790000000001</v>
      </c>
      <c r="H212" s="6" t="n">
        <v>82.813</v>
      </c>
      <c r="I212" s="14" t="n">
        <v>0.062871</v>
      </c>
      <c r="J212" s="14" t="n">
        <v>0.039847</v>
      </c>
      <c r="K212" s="14" t="n">
        <v>0.059</v>
      </c>
      <c r="L212" s="13" t="n">
        <v>204.7667</v>
      </c>
      <c r="M212" s="13" t="n">
        <v>204.9078</v>
      </c>
      <c r="N212" s="13" t="n">
        <v>205.9659</v>
      </c>
      <c r="O212" s="13" t="n">
        <v>15.22</v>
      </c>
      <c r="P212" s="13" t="n">
        <v>67.48999999999999</v>
      </c>
      <c r="Q212" s="12" t="n">
        <v>44865</v>
      </c>
      <c r="R212" s="12" t="n">
        <v>44895</v>
      </c>
      <c r="S212" s="8">
        <f>YEAR($Q212)*100+MONTH($Q212)</f>
        <v/>
      </c>
      <c r="T212" s="8">
        <f>YEAR($R212)*100+MONTH($R212)</f>
        <v/>
      </c>
      <c r="U212" s="15">
        <f>IF($A212&lt;=INDEX(pdates_wc_rate_inr_pa,1),INDEX(pvals_wc_rate_inr_pa,1),INDEX(pvals_wc_rate_inr_pa,MATCH($A212,pdates_wc_rate_inr_pa,1)))</f>
        <v/>
      </c>
      <c r="V212" s="8">
        <f>IF(AND($A212&gt;=customs_fx_first,$A212&lt;=customs_fx_last+customs_fx_notification_validity_days),IF($A212&lt;=INDEX(pdates_customs_usdinr_import,1),INDEX(pvals_customs_usdinr_import,1),INDEX(pvals_customs_usdinr_import,MATCH($A212,pdates_customs_usdinr_import,1))),$F212*(1+customs_fx_markup_frac))</f>
        <v/>
      </c>
      <c r="W212" s="8">
        <f>IF(AND($A212&gt;=customs_fx_first,$A212&lt;=customs_fx_last+customs_fx_notification_validity_days),"CBIC_NOTIFIED","MARKUP_FALLBACK")</f>
        <v/>
      </c>
      <c r="X212" s="8">
        <f>IF($A212&lt;=INDEX(pdates_grade_factor_zorba,1),INDEX(pvals_grade_factor_zorba,1),IF($A212&gt;=INDEX(pdates_grade_factor_zorba,10),INDEX(pvals_grade_factor_zorba,10),INDEX(pvals_grade_factor_zorba,MATCH($A212,pdates_grade_factor_zorba,1))+($A212-INDEX(pdates_grade_factor_zorba,MATCH($A212,pdates_grade_factor_zorba,1)))/(INDEX(pdates_grade_factor_zorba,MATCH($A212,pdates_grade_factor_zorba,1)+1)-INDEX(pdates_grade_factor_zorba,MATCH($A212,pdates_grade_factor_zorba,1)))*(INDEX(pvals_grade_factor_zorba,MATCH($A212,pdates_grade_factor_zorba,1)+1)-INDEX(pvals_grade_factor_zorba,MATCH($A212,pdates_grade_factor_zorba,1)))))</f>
        <v/>
      </c>
      <c r="Y212" s="8">
        <f>IF($A212&lt;=INDEX(pdates_grade_factor_taint_tabor,1),INDEX(pvals_grade_factor_taint_tabor,1),IF($A212&gt;=INDEX(pdates_grade_factor_taint_tabor,10),INDEX(pvals_grade_factor_taint_tabor,10),INDEX(pvals_grade_factor_taint_tabor,MATCH($A212,pdates_grade_factor_taint_tabor,1))+($A212-INDEX(pdates_grade_factor_taint_tabor,MATCH($A212,pdates_grade_factor_taint_tabor,1)))/(INDEX(pdates_grade_factor_taint_tabor,MATCH($A212,pdates_grade_factor_taint_tabor,1)+1)-INDEX(pdates_grade_factor_taint_tabor,MATCH($A212,pdates_grade_factor_taint_tabor,1)))*(INDEX(pvals_grade_factor_taint_tabor,MATCH($A212,pdates_grade_factor_taint_tabor,1)+1)-INDEX(pvals_grade_factor_taint_tabor,MATCH($A212,pdates_grade_factor_taint_tabor,1)))))</f>
        <v/>
      </c>
      <c r="Z212" s="8">
        <f>IF($A212&lt;=INDEX(pdates_grade_factor_tense,1),INDEX(pvals_grade_factor_tense,1),IF($A212&gt;=INDEX(pdates_grade_factor_tense,10),INDEX(pvals_grade_factor_tense,10),INDEX(pvals_grade_factor_tense,MATCH($A212,pdates_grade_factor_tense,1))+($A212-INDEX(pdates_grade_factor_tense,MATCH($A212,pdates_grade_factor_tense,1)))/(INDEX(pdates_grade_factor_tense,MATCH($A212,pdates_grade_factor_tense,1)+1)-INDEX(pdates_grade_factor_tense,MATCH($A212,pdates_grade_factor_tense,1)))*(INDEX(pvals_grade_factor_tense,MATCH($A212,pdates_grade_factor_tense,1)+1)-INDEX(pvals_grade_factor_tense,MATCH($A212,pdates_grade_factor_tense,1)))))</f>
        <v/>
      </c>
      <c r="AA212" s="8">
        <f>IF($A212&lt;=INDEX(pdates_grade_factor_mix_pit,1),INDEX(pvals_grade_factor_mix_pit,1),IF($A212&gt;=INDEX(pdates_grade_factor_mix_pit,10),INDEX(pvals_grade_factor_mix_pit,10),INDEX(pvals_grade_factor_mix_pit,MATCH($A212,pdates_grade_factor_mix_pit,1))+($A212-INDEX(pdates_grade_factor_mix_pit,MATCH($A212,pdates_grade_factor_mix_pit,1)))/(INDEX(pdates_grade_factor_mix_pit,MATCH($A212,pdates_grade_factor_mix_pit,1)+1)-INDEX(pdates_grade_factor_mix_pit,MATCH($A212,pdates_grade_factor_mix_pit,1)))*(INDEX(pvals_grade_factor_mix_pit,MATCH($A212,pdates_grade_factor_mix_pit,1)+1)-INDEX(pvals_grade_factor_mix_pit,MATCH($A212,pdates_grade_factor_mix_pit,1)))))</f>
        <v/>
      </c>
      <c r="AB212" s="16">
        <f>($B212*$F212/kg_per_mt*(1+bcd_primary_al_hs7601*(1+sws_rate_on_bcd))+mcx_domestic_premium_inr_kg)*(1+$I212*MAX(0,$Q212-$A212)/day_count_inr)</f>
        <v/>
      </c>
      <c r="AC212" s="16">
        <f>$M212-$AB212</f>
        <v/>
      </c>
      <c r="AD212" s="7" t="inlineStr">
        <is>
          <t>PROXY_IMPORT_PARITY</t>
        </is>
      </c>
      <c r="AE212" s="7" t="inlineStr">
        <is>
          <t>ECB_CROSS</t>
        </is>
      </c>
      <c r="AF212" s="7" t="inlineStr">
        <is>
          <t>WCI_REPORTED|USEC:ANCHORED|JEA:ASSUMPTION</t>
        </is>
      </c>
      <c r="AG212" s="17" t="b">
        <v>0</v>
      </c>
      <c r="AH212" s="17" t="b">
        <v>0</v>
      </c>
    </row>
    <row r="213">
      <c r="A213" s="11" t="n">
        <v>44862</v>
      </c>
      <c r="B213" s="13" t="n">
        <v>2226</v>
      </c>
      <c r="C213" s="13" t="n">
        <v>2236</v>
      </c>
      <c r="D213" s="13" t="n">
        <v>-10</v>
      </c>
      <c r="E213" s="13" t="n">
        <v>587425</v>
      </c>
      <c r="F213" s="13" t="n">
        <v>82.4606</v>
      </c>
      <c r="G213" s="6" t="n">
        <v>82.6146</v>
      </c>
      <c r="H213" s="6" t="n">
        <v>82.91459999999999</v>
      </c>
      <c r="I213" s="14" t="n">
        <v>0.062871</v>
      </c>
      <c r="J213" s="14" t="n">
        <v>0.040241</v>
      </c>
      <c r="K213" s="14" t="n">
        <v>0.059</v>
      </c>
      <c r="L213" s="13" t="n">
        <v>198.7008</v>
      </c>
      <c r="M213" s="13" t="n">
        <v>198.8035</v>
      </c>
      <c r="N213" s="13" t="n">
        <v>199.8302</v>
      </c>
      <c r="O213" s="13" t="n">
        <v>15.22</v>
      </c>
      <c r="P213" s="13" t="n">
        <v>67.48999999999999</v>
      </c>
      <c r="Q213" s="12" t="n">
        <v>44865</v>
      </c>
      <c r="R213" s="12" t="n">
        <v>44895</v>
      </c>
      <c r="S213" s="8">
        <f>YEAR($Q213)*100+MONTH($Q213)</f>
        <v/>
      </c>
      <c r="T213" s="8">
        <f>YEAR($R213)*100+MONTH($R213)</f>
        <v/>
      </c>
      <c r="U213" s="15">
        <f>IF($A213&lt;=INDEX(pdates_wc_rate_inr_pa,1),INDEX(pvals_wc_rate_inr_pa,1),INDEX(pvals_wc_rate_inr_pa,MATCH($A213,pdates_wc_rate_inr_pa,1)))</f>
        <v/>
      </c>
      <c r="V213" s="8">
        <f>IF(AND($A213&gt;=customs_fx_first,$A213&lt;=customs_fx_last+customs_fx_notification_validity_days),IF($A213&lt;=INDEX(pdates_customs_usdinr_import,1),INDEX(pvals_customs_usdinr_import,1),INDEX(pvals_customs_usdinr_import,MATCH($A213,pdates_customs_usdinr_import,1))),$F213*(1+customs_fx_markup_frac))</f>
        <v/>
      </c>
      <c r="W213" s="8">
        <f>IF(AND($A213&gt;=customs_fx_first,$A213&lt;=customs_fx_last+customs_fx_notification_validity_days),"CBIC_NOTIFIED","MARKUP_FALLBACK")</f>
        <v/>
      </c>
      <c r="X213" s="8">
        <f>IF($A213&lt;=INDEX(pdates_grade_factor_zorba,1),INDEX(pvals_grade_factor_zorba,1),IF($A213&gt;=INDEX(pdates_grade_factor_zorba,10),INDEX(pvals_grade_factor_zorba,10),INDEX(pvals_grade_factor_zorba,MATCH($A213,pdates_grade_factor_zorba,1))+($A213-INDEX(pdates_grade_factor_zorba,MATCH($A213,pdates_grade_factor_zorba,1)))/(INDEX(pdates_grade_factor_zorba,MATCH($A213,pdates_grade_factor_zorba,1)+1)-INDEX(pdates_grade_factor_zorba,MATCH($A213,pdates_grade_factor_zorba,1)))*(INDEX(pvals_grade_factor_zorba,MATCH($A213,pdates_grade_factor_zorba,1)+1)-INDEX(pvals_grade_factor_zorba,MATCH($A213,pdates_grade_factor_zorba,1)))))</f>
        <v/>
      </c>
      <c r="Y213" s="8">
        <f>IF($A213&lt;=INDEX(pdates_grade_factor_taint_tabor,1),INDEX(pvals_grade_factor_taint_tabor,1),IF($A213&gt;=INDEX(pdates_grade_factor_taint_tabor,10),INDEX(pvals_grade_factor_taint_tabor,10),INDEX(pvals_grade_factor_taint_tabor,MATCH($A213,pdates_grade_factor_taint_tabor,1))+($A213-INDEX(pdates_grade_factor_taint_tabor,MATCH($A213,pdates_grade_factor_taint_tabor,1)))/(INDEX(pdates_grade_factor_taint_tabor,MATCH($A213,pdates_grade_factor_taint_tabor,1)+1)-INDEX(pdates_grade_factor_taint_tabor,MATCH($A213,pdates_grade_factor_taint_tabor,1)))*(INDEX(pvals_grade_factor_taint_tabor,MATCH($A213,pdates_grade_factor_taint_tabor,1)+1)-INDEX(pvals_grade_factor_taint_tabor,MATCH($A213,pdates_grade_factor_taint_tabor,1)))))</f>
        <v/>
      </c>
      <c r="Z213" s="8">
        <f>IF($A213&lt;=INDEX(pdates_grade_factor_tense,1),INDEX(pvals_grade_factor_tense,1),IF($A213&gt;=INDEX(pdates_grade_factor_tense,10),INDEX(pvals_grade_factor_tense,10),INDEX(pvals_grade_factor_tense,MATCH($A213,pdates_grade_factor_tense,1))+($A213-INDEX(pdates_grade_factor_tense,MATCH($A213,pdates_grade_factor_tense,1)))/(INDEX(pdates_grade_factor_tense,MATCH($A213,pdates_grade_factor_tense,1)+1)-INDEX(pdates_grade_factor_tense,MATCH($A213,pdates_grade_factor_tense,1)))*(INDEX(pvals_grade_factor_tense,MATCH($A213,pdates_grade_factor_tense,1)+1)-INDEX(pvals_grade_factor_tense,MATCH($A213,pdates_grade_factor_tense,1)))))</f>
        <v/>
      </c>
      <c r="AA213" s="8">
        <f>IF($A213&lt;=INDEX(pdates_grade_factor_mix_pit,1),INDEX(pvals_grade_factor_mix_pit,1),IF($A213&gt;=INDEX(pdates_grade_factor_mix_pit,10),INDEX(pvals_grade_factor_mix_pit,10),INDEX(pvals_grade_factor_mix_pit,MATCH($A213,pdates_grade_factor_mix_pit,1))+($A213-INDEX(pdates_grade_factor_mix_pit,MATCH($A213,pdates_grade_factor_mix_pit,1)))/(INDEX(pdates_grade_factor_mix_pit,MATCH($A213,pdates_grade_factor_mix_pit,1)+1)-INDEX(pdates_grade_factor_mix_pit,MATCH($A213,pdates_grade_factor_mix_pit,1)))*(INDEX(pvals_grade_factor_mix_pit,MATCH($A213,pdates_grade_factor_mix_pit,1)+1)-INDEX(pvals_grade_factor_mix_pit,MATCH($A213,pdates_grade_factor_mix_pit,1)))))</f>
        <v/>
      </c>
      <c r="AB213" s="16">
        <f>($B213*$F213/kg_per_mt*(1+bcd_primary_al_hs7601*(1+sws_rate_on_bcd))+mcx_domestic_premium_inr_kg)*(1+$I213*MAX(0,$Q213-$A213)/day_count_inr)</f>
        <v/>
      </c>
      <c r="AC213" s="16">
        <f>$M213-$AB213</f>
        <v/>
      </c>
      <c r="AD213" s="7" t="inlineStr">
        <is>
          <t>PROXY_IMPORT_PARITY</t>
        </is>
      </c>
      <c r="AE213" s="7" t="inlineStr">
        <is>
          <t>ECB_CROSS</t>
        </is>
      </c>
      <c r="AF213" s="7" t="inlineStr">
        <is>
          <t>WCI_REPORTED|USEC:ANCHORED|JEA:ASSUMPTION</t>
        </is>
      </c>
      <c r="AG213" s="17" t="b">
        <v>0</v>
      </c>
      <c r="AH213" s="17" t="b">
        <v>1</v>
      </c>
    </row>
    <row r="214">
      <c r="A214" s="11" t="n">
        <v>44865</v>
      </c>
      <c r="B214" s="13" t="n">
        <v>2197</v>
      </c>
      <c r="C214" s="13" t="n">
        <v>2207</v>
      </c>
      <c r="D214" s="13" t="n">
        <v>-10</v>
      </c>
      <c r="E214" s="13" t="n">
        <v>586225</v>
      </c>
      <c r="F214" s="13" t="n">
        <v>82.81570000000001</v>
      </c>
      <c r="G214" s="6" t="n">
        <v>82.95999999999999</v>
      </c>
      <c r="H214" s="6" t="n">
        <v>83.2551</v>
      </c>
      <c r="I214" s="14" t="n">
        <v>0.062871</v>
      </c>
      <c r="J214" s="14" t="n">
        <v>0.04103</v>
      </c>
      <c r="K214" s="14" t="n">
        <v>0.059</v>
      </c>
      <c r="L214" s="13" t="n">
        <v>196.9566</v>
      </c>
      <c r="M214" s="13" t="n">
        <v>196.9566</v>
      </c>
      <c r="N214" s="13" t="n">
        <v>197.9744</v>
      </c>
      <c r="O214" s="13" t="n">
        <v>15.22</v>
      </c>
      <c r="P214" s="13" t="n">
        <v>67.48999999999999</v>
      </c>
      <c r="Q214" s="12" t="n">
        <v>44865</v>
      </c>
      <c r="R214" s="12" t="n">
        <v>44895</v>
      </c>
      <c r="S214" s="8">
        <f>YEAR($Q214)*100+MONTH($Q214)</f>
        <v/>
      </c>
      <c r="T214" s="8">
        <f>YEAR($R214)*100+MONTH($R214)</f>
        <v/>
      </c>
      <c r="U214" s="15">
        <f>IF($A214&lt;=INDEX(pdates_wc_rate_inr_pa,1),INDEX(pvals_wc_rate_inr_pa,1),INDEX(pvals_wc_rate_inr_pa,MATCH($A214,pdates_wc_rate_inr_pa,1)))</f>
        <v/>
      </c>
      <c r="V214" s="8">
        <f>IF(AND($A214&gt;=customs_fx_first,$A214&lt;=customs_fx_last+customs_fx_notification_validity_days),IF($A214&lt;=INDEX(pdates_customs_usdinr_import,1),INDEX(pvals_customs_usdinr_import,1),INDEX(pvals_customs_usdinr_import,MATCH($A214,pdates_customs_usdinr_import,1))),$F214*(1+customs_fx_markup_frac))</f>
        <v/>
      </c>
      <c r="W214" s="8">
        <f>IF(AND($A214&gt;=customs_fx_first,$A214&lt;=customs_fx_last+customs_fx_notification_validity_days),"CBIC_NOTIFIED","MARKUP_FALLBACK")</f>
        <v/>
      </c>
      <c r="X214" s="8">
        <f>IF($A214&lt;=INDEX(pdates_grade_factor_zorba,1),INDEX(pvals_grade_factor_zorba,1),IF($A214&gt;=INDEX(pdates_grade_factor_zorba,10),INDEX(pvals_grade_factor_zorba,10),INDEX(pvals_grade_factor_zorba,MATCH($A214,pdates_grade_factor_zorba,1))+($A214-INDEX(pdates_grade_factor_zorba,MATCH($A214,pdates_grade_factor_zorba,1)))/(INDEX(pdates_grade_factor_zorba,MATCH($A214,pdates_grade_factor_zorba,1)+1)-INDEX(pdates_grade_factor_zorba,MATCH($A214,pdates_grade_factor_zorba,1)))*(INDEX(pvals_grade_factor_zorba,MATCH($A214,pdates_grade_factor_zorba,1)+1)-INDEX(pvals_grade_factor_zorba,MATCH($A214,pdates_grade_factor_zorba,1)))))</f>
        <v/>
      </c>
      <c r="Y214" s="8">
        <f>IF($A214&lt;=INDEX(pdates_grade_factor_taint_tabor,1),INDEX(pvals_grade_factor_taint_tabor,1),IF($A214&gt;=INDEX(pdates_grade_factor_taint_tabor,10),INDEX(pvals_grade_factor_taint_tabor,10),INDEX(pvals_grade_factor_taint_tabor,MATCH($A214,pdates_grade_factor_taint_tabor,1))+($A214-INDEX(pdates_grade_factor_taint_tabor,MATCH($A214,pdates_grade_factor_taint_tabor,1)))/(INDEX(pdates_grade_factor_taint_tabor,MATCH($A214,pdates_grade_factor_taint_tabor,1)+1)-INDEX(pdates_grade_factor_taint_tabor,MATCH($A214,pdates_grade_factor_taint_tabor,1)))*(INDEX(pvals_grade_factor_taint_tabor,MATCH($A214,pdates_grade_factor_taint_tabor,1)+1)-INDEX(pvals_grade_factor_taint_tabor,MATCH($A214,pdates_grade_factor_taint_tabor,1)))))</f>
        <v/>
      </c>
      <c r="Z214" s="8">
        <f>IF($A214&lt;=INDEX(pdates_grade_factor_tense,1),INDEX(pvals_grade_factor_tense,1),IF($A214&gt;=INDEX(pdates_grade_factor_tense,10),INDEX(pvals_grade_factor_tense,10),INDEX(pvals_grade_factor_tense,MATCH($A214,pdates_grade_factor_tense,1))+($A214-INDEX(pdates_grade_factor_tense,MATCH($A214,pdates_grade_factor_tense,1)))/(INDEX(pdates_grade_factor_tense,MATCH($A214,pdates_grade_factor_tense,1)+1)-INDEX(pdates_grade_factor_tense,MATCH($A214,pdates_grade_factor_tense,1)))*(INDEX(pvals_grade_factor_tense,MATCH($A214,pdates_grade_factor_tense,1)+1)-INDEX(pvals_grade_factor_tense,MATCH($A214,pdates_grade_factor_tense,1)))))</f>
        <v/>
      </c>
      <c r="AA214" s="8">
        <f>IF($A214&lt;=INDEX(pdates_grade_factor_mix_pit,1),INDEX(pvals_grade_factor_mix_pit,1),IF($A214&gt;=INDEX(pdates_grade_factor_mix_pit,10),INDEX(pvals_grade_factor_mix_pit,10),INDEX(pvals_grade_factor_mix_pit,MATCH($A214,pdates_grade_factor_mix_pit,1))+($A214-INDEX(pdates_grade_factor_mix_pit,MATCH($A214,pdates_grade_factor_mix_pit,1)))/(INDEX(pdates_grade_factor_mix_pit,MATCH($A214,pdates_grade_factor_mix_pit,1)+1)-INDEX(pdates_grade_factor_mix_pit,MATCH($A214,pdates_grade_factor_mix_pit,1)))*(INDEX(pvals_grade_factor_mix_pit,MATCH($A214,pdates_grade_factor_mix_pit,1)+1)-INDEX(pvals_grade_factor_mix_pit,MATCH($A214,pdates_grade_factor_mix_pit,1)))))</f>
        <v/>
      </c>
      <c r="AB214" s="16">
        <f>($B214*$F214/kg_per_mt*(1+bcd_primary_al_hs7601*(1+sws_rate_on_bcd))+mcx_domestic_premium_inr_kg)*(1+$I214*MAX(0,$Q214-$A214)/day_count_inr)</f>
        <v/>
      </c>
      <c r="AC214" s="16">
        <f>$M214-$AB214</f>
        <v/>
      </c>
      <c r="AD214" s="7" t="inlineStr">
        <is>
          <t>PROXY_IMPORT_PARITY</t>
        </is>
      </c>
      <c r="AE214" s="7" t="inlineStr">
        <is>
          <t>ECB_CROSS</t>
        </is>
      </c>
      <c r="AF214" s="7" t="inlineStr">
        <is>
          <t>WCI_REPORTED|USEC:ANCHORED|JEA:ASSUMPTION</t>
        </is>
      </c>
      <c r="AG214" s="17" t="b">
        <v>0</v>
      </c>
      <c r="AH214" s="17" t="b">
        <v>1</v>
      </c>
    </row>
    <row r="215">
      <c r="A215" s="11" t="n">
        <v>44866</v>
      </c>
      <c r="B215" s="13" t="n">
        <v>2245.5</v>
      </c>
      <c r="C215" s="13" t="n">
        <v>2254</v>
      </c>
      <c r="D215" s="13" t="n">
        <v>-8.5</v>
      </c>
      <c r="E215" s="13" t="n">
        <v>583975</v>
      </c>
      <c r="F215" s="13" t="n">
        <v>82.5214</v>
      </c>
      <c r="G215" s="6" t="n">
        <v>82.6767</v>
      </c>
      <c r="H215" s="6" t="n">
        <v>82.9944</v>
      </c>
      <c r="I215" s="14" t="n">
        <v>0.06458</v>
      </c>
      <c r="J215" s="14" t="n">
        <v>0.04103</v>
      </c>
      <c r="K215" s="14" t="n">
        <v>0.059</v>
      </c>
      <c r="L215" s="13" t="n">
        <v>200.5892</v>
      </c>
      <c r="M215" s="13" t="n">
        <v>201.6184</v>
      </c>
      <c r="N215" s="13" t="n">
        <v>202.6831</v>
      </c>
      <c r="O215" s="13" t="n">
        <v>15.22</v>
      </c>
      <c r="P215" s="13" t="n">
        <v>67.48999999999999</v>
      </c>
      <c r="Q215" s="12" t="n">
        <v>44895</v>
      </c>
      <c r="R215" s="12" t="n">
        <v>44925</v>
      </c>
      <c r="S215" s="8">
        <f>YEAR($Q215)*100+MONTH($Q215)</f>
        <v/>
      </c>
      <c r="T215" s="8">
        <f>YEAR($R215)*100+MONTH($R215)</f>
        <v/>
      </c>
      <c r="U215" s="15">
        <f>IF($A215&lt;=INDEX(pdates_wc_rate_inr_pa,1),INDEX(pvals_wc_rate_inr_pa,1),INDEX(pvals_wc_rate_inr_pa,MATCH($A215,pdates_wc_rate_inr_pa,1)))</f>
        <v/>
      </c>
      <c r="V215" s="8">
        <f>IF(AND($A215&gt;=customs_fx_first,$A215&lt;=customs_fx_last+customs_fx_notification_validity_days),IF($A215&lt;=INDEX(pdates_customs_usdinr_import,1),INDEX(pvals_customs_usdinr_import,1),INDEX(pvals_customs_usdinr_import,MATCH($A215,pdates_customs_usdinr_import,1))),$F215*(1+customs_fx_markup_frac))</f>
        <v/>
      </c>
      <c r="W215" s="8">
        <f>IF(AND($A215&gt;=customs_fx_first,$A215&lt;=customs_fx_last+customs_fx_notification_validity_days),"CBIC_NOTIFIED","MARKUP_FALLBACK")</f>
        <v/>
      </c>
      <c r="X215" s="8">
        <f>IF($A215&lt;=INDEX(pdates_grade_factor_zorba,1),INDEX(pvals_grade_factor_zorba,1),IF($A215&gt;=INDEX(pdates_grade_factor_zorba,10),INDEX(pvals_grade_factor_zorba,10),INDEX(pvals_grade_factor_zorba,MATCH($A215,pdates_grade_factor_zorba,1))+($A215-INDEX(pdates_grade_factor_zorba,MATCH($A215,pdates_grade_factor_zorba,1)))/(INDEX(pdates_grade_factor_zorba,MATCH($A215,pdates_grade_factor_zorba,1)+1)-INDEX(pdates_grade_factor_zorba,MATCH($A215,pdates_grade_factor_zorba,1)))*(INDEX(pvals_grade_factor_zorba,MATCH($A215,pdates_grade_factor_zorba,1)+1)-INDEX(pvals_grade_factor_zorba,MATCH($A215,pdates_grade_factor_zorba,1)))))</f>
        <v/>
      </c>
      <c r="Y215" s="8">
        <f>IF($A215&lt;=INDEX(pdates_grade_factor_taint_tabor,1),INDEX(pvals_grade_factor_taint_tabor,1),IF($A215&gt;=INDEX(pdates_grade_factor_taint_tabor,10),INDEX(pvals_grade_factor_taint_tabor,10),INDEX(pvals_grade_factor_taint_tabor,MATCH($A215,pdates_grade_factor_taint_tabor,1))+($A215-INDEX(pdates_grade_factor_taint_tabor,MATCH($A215,pdates_grade_factor_taint_tabor,1)))/(INDEX(pdates_grade_factor_taint_tabor,MATCH($A215,pdates_grade_factor_taint_tabor,1)+1)-INDEX(pdates_grade_factor_taint_tabor,MATCH($A215,pdates_grade_factor_taint_tabor,1)))*(INDEX(pvals_grade_factor_taint_tabor,MATCH($A215,pdates_grade_factor_taint_tabor,1)+1)-INDEX(pvals_grade_factor_taint_tabor,MATCH($A215,pdates_grade_factor_taint_tabor,1)))))</f>
        <v/>
      </c>
      <c r="Z215" s="8">
        <f>IF($A215&lt;=INDEX(pdates_grade_factor_tense,1),INDEX(pvals_grade_factor_tense,1),IF($A215&gt;=INDEX(pdates_grade_factor_tense,10),INDEX(pvals_grade_factor_tense,10),INDEX(pvals_grade_factor_tense,MATCH($A215,pdates_grade_factor_tense,1))+($A215-INDEX(pdates_grade_factor_tense,MATCH($A215,pdates_grade_factor_tense,1)))/(INDEX(pdates_grade_factor_tense,MATCH($A215,pdates_grade_factor_tense,1)+1)-INDEX(pdates_grade_factor_tense,MATCH($A215,pdates_grade_factor_tense,1)))*(INDEX(pvals_grade_factor_tense,MATCH($A215,pdates_grade_factor_tense,1)+1)-INDEX(pvals_grade_factor_tense,MATCH($A215,pdates_grade_factor_tense,1)))))</f>
        <v/>
      </c>
      <c r="AA215" s="8">
        <f>IF($A215&lt;=INDEX(pdates_grade_factor_mix_pit,1),INDEX(pvals_grade_factor_mix_pit,1),IF($A215&gt;=INDEX(pdates_grade_factor_mix_pit,10),INDEX(pvals_grade_factor_mix_pit,10),INDEX(pvals_grade_factor_mix_pit,MATCH($A215,pdates_grade_factor_mix_pit,1))+($A215-INDEX(pdates_grade_factor_mix_pit,MATCH($A215,pdates_grade_factor_mix_pit,1)))/(INDEX(pdates_grade_factor_mix_pit,MATCH($A215,pdates_grade_factor_mix_pit,1)+1)-INDEX(pdates_grade_factor_mix_pit,MATCH($A215,pdates_grade_factor_mix_pit,1)))*(INDEX(pvals_grade_factor_mix_pit,MATCH($A215,pdates_grade_factor_mix_pit,1)+1)-INDEX(pvals_grade_factor_mix_pit,MATCH($A215,pdates_grade_factor_mix_pit,1)))))</f>
        <v/>
      </c>
      <c r="AB215" s="16">
        <f>($B215*$F215/kg_per_mt*(1+bcd_primary_al_hs7601*(1+sws_rate_on_bcd))+mcx_domestic_premium_inr_kg)*(1+$I215*MAX(0,$Q215-$A215)/day_count_inr)</f>
        <v/>
      </c>
      <c r="AC215" s="16">
        <f>$M215-$AB215</f>
        <v/>
      </c>
      <c r="AD215" s="7" t="inlineStr">
        <is>
          <t>PROXY_IMPORT_PARITY</t>
        </is>
      </c>
      <c r="AE215" s="7" t="inlineStr">
        <is>
          <t>ECB_CROSS</t>
        </is>
      </c>
      <c r="AF215" s="7" t="inlineStr">
        <is>
          <t>WCI_REPORTED|USEC:ANCHORED|JEA:ASSUMPTION</t>
        </is>
      </c>
      <c r="AG215" s="17" t="b">
        <v>0</v>
      </c>
      <c r="AH215" s="17" t="b">
        <v>1</v>
      </c>
    </row>
    <row r="216">
      <c r="A216" s="11" t="n">
        <v>44867</v>
      </c>
      <c r="B216" s="13" t="n">
        <v>2227</v>
      </c>
      <c r="C216" s="13" t="n">
        <v>2238.5</v>
      </c>
      <c r="D216" s="13" t="n">
        <v>-11.5</v>
      </c>
      <c r="E216" s="13" t="n">
        <v>581050</v>
      </c>
      <c r="F216" s="13" t="n">
        <v>82.7533</v>
      </c>
      <c r="G216" s="6" t="n">
        <v>82.9105</v>
      </c>
      <c r="H216" s="6" t="n">
        <v>83.23180000000001</v>
      </c>
      <c r="I216" s="14" t="n">
        <v>0.06458</v>
      </c>
      <c r="J216" s="14" t="n">
        <v>0.040833</v>
      </c>
      <c r="K216" s="14" t="n">
        <v>0.059</v>
      </c>
      <c r="L216" s="13" t="n">
        <v>199.4957</v>
      </c>
      <c r="M216" s="13" t="n">
        <v>200.484</v>
      </c>
      <c r="N216" s="13" t="n">
        <v>201.5429</v>
      </c>
      <c r="O216" s="13" t="n">
        <v>15.22</v>
      </c>
      <c r="P216" s="13" t="n">
        <v>67.48999999999999</v>
      </c>
      <c r="Q216" s="12" t="n">
        <v>44895</v>
      </c>
      <c r="R216" s="12" t="n">
        <v>44925</v>
      </c>
      <c r="S216" s="8">
        <f>YEAR($Q216)*100+MONTH($Q216)</f>
        <v/>
      </c>
      <c r="T216" s="8">
        <f>YEAR($R216)*100+MONTH($R216)</f>
        <v/>
      </c>
      <c r="U216" s="15">
        <f>IF($A216&lt;=INDEX(pdates_wc_rate_inr_pa,1),INDEX(pvals_wc_rate_inr_pa,1),INDEX(pvals_wc_rate_inr_pa,MATCH($A216,pdates_wc_rate_inr_pa,1)))</f>
        <v/>
      </c>
      <c r="V216" s="8">
        <f>IF(AND($A216&gt;=customs_fx_first,$A216&lt;=customs_fx_last+customs_fx_notification_validity_days),IF($A216&lt;=INDEX(pdates_customs_usdinr_import,1),INDEX(pvals_customs_usdinr_import,1),INDEX(pvals_customs_usdinr_import,MATCH($A216,pdates_customs_usdinr_import,1))),$F216*(1+customs_fx_markup_frac))</f>
        <v/>
      </c>
      <c r="W216" s="8">
        <f>IF(AND($A216&gt;=customs_fx_first,$A216&lt;=customs_fx_last+customs_fx_notification_validity_days),"CBIC_NOTIFIED","MARKUP_FALLBACK")</f>
        <v/>
      </c>
      <c r="X216" s="8">
        <f>IF($A216&lt;=INDEX(pdates_grade_factor_zorba,1),INDEX(pvals_grade_factor_zorba,1),IF($A216&gt;=INDEX(pdates_grade_factor_zorba,10),INDEX(pvals_grade_factor_zorba,10),INDEX(pvals_grade_factor_zorba,MATCH($A216,pdates_grade_factor_zorba,1))+($A216-INDEX(pdates_grade_factor_zorba,MATCH($A216,pdates_grade_factor_zorba,1)))/(INDEX(pdates_grade_factor_zorba,MATCH($A216,pdates_grade_factor_zorba,1)+1)-INDEX(pdates_grade_factor_zorba,MATCH($A216,pdates_grade_factor_zorba,1)))*(INDEX(pvals_grade_factor_zorba,MATCH($A216,pdates_grade_factor_zorba,1)+1)-INDEX(pvals_grade_factor_zorba,MATCH($A216,pdates_grade_factor_zorba,1)))))</f>
        <v/>
      </c>
      <c r="Y216" s="8">
        <f>IF($A216&lt;=INDEX(pdates_grade_factor_taint_tabor,1),INDEX(pvals_grade_factor_taint_tabor,1),IF($A216&gt;=INDEX(pdates_grade_factor_taint_tabor,10),INDEX(pvals_grade_factor_taint_tabor,10),INDEX(pvals_grade_factor_taint_tabor,MATCH($A216,pdates_grade_factor_taint_tabor,1))+($A216-INDEX(pdates_grade_factor_taint_tabor,MATCH($A216,pdates_grade_factor_taint_tabor,1)))/(INDEX(pdates_grade_factor_taint_tabor,MATCH($A216,pdates_grade_factor_taint_tabor,1)+1)-INDEX(pdates_grade_factor_taint_tabor,MATCH($A216,pdates_grade_factor_taint_tabor,1)))*(INDEX(pvals_grade_factor_taint_tabor,MATCH($A216,pdates_grade_factor_taint_tabor,1)+1)-INDEX(pvals_grade_factor_taint_tabor,MATCH($A216,pdates_grade_factor_taint_tabor,1)))))</f>
        <v/>
      </c>
      <c r="Z216" s="8">
        <f>IF($A216&lt;=INDEX(pdates_grade_factor_tense,1),INDEX(pvals_grade_factor_tense,1),IF($A216&gt;=INDEX(pdates_grade_factor_tense,10),INDEX(pvals_grade_factor_tense,10),INDEX(pvals_grade_factor_tense,MATCH($A216,pdates_grade_factor_tense,1))+($A216-INDEX(pdates_grade_factor_tense,MATCH($A216,pdates_grade_factor_tense,1)))/(INDEX(pdates_grade_factor_tense,MATCH($A216,pdates_grade_factor_tense,1)+1)-INDEX(pdates_grade_factor_tense,MATCH($A216,pdates_grade_factor_tense,1)))*(INDEX(pvals_grade_factor_tense,MATCH($A216,pdates_grade_factor_tense,1)+1)-INDEX(pvals_grade_factor_tense,MATCH($A216,pdates_grade_factor_tense,1)))))</f>
        <v/>
      </c>
      <c r="AA216" s="8">
        <f>IF($A216&lt;=INDEX(pdates_grade_factor_mix_pit,1),INDEX(pvals_grade_factor_mix_pit,1),IF($A216&gt;=INDEX(pdates_grade_factor_mix_pit,10),INDEX(pvals_grade_factor_mix_pit,10),INDEX(pvals_grade_factor_mix_pit,MATCH($A216,pdates_grade_factor_mix_pit,1))+($A216-INDEX(pdates_grade_factor_mix_pit,MATCH($A216,pdates_grade_factor_mix_pit,1)))/(INDEX(pdates_grade_factor_mix_pit,MATCH($A216,pdates_grade_factor_mix_pit,1)+1)-INDEX(pdates_grade_factor_mix_pit,MATCH($A216,pdates_grade_factor_mix_pit,1)))*(INDEX(pvals_grade_factor_mix_pit,MATCH($A216,pdates_grade_factor_mix_pit,1)+1)-INDEX(pvals_grade_factor_mix_pit,MATCH($A216,pdates_grade_factor_mix_pit,1)))))</f>
        <v/>
      </c>
      <c r="AB216" s="16">
        <f>($B216*$F216/kg_per_mt*(1+bcd_primary_al_hs7601*(1+sws_rate_on_bcd))+mcx_domestic_premium_inr_kg)*(1+$I216*MAX(0,$Q216-$A216)/day_count_inr)</f>
        <v/>
      </c>
      <c r="AC216" s="16">
        <f>$M216-$AB216</f>
        <v/>
      </c>
      <c r="AD216" s="7" t="inlineStr">
        <is>
          <t>PROXY_IMPORT_PARITY</t>
        </is>
      </c>
      <c r="AE216" s="7" t="inlineStr">
        <is>
          <t>ECB_CROSS</t>
        </is>
      </c>
      <c r="AF216" s="7" t="inlineStr">
        <is>
          <t>WCI_REPORTED|USEC:ANCHORED|JEA:ASSUMPTION</t>
        </is>
      </c>
      <c r="AG216" s="17" t="b">
        <v>0</v>
      </c>
      <c r="AH216" s="17" t="b">
        <v>1</v>
      </c>
    </row>
    <row r="217">
      <c r="A217" s="11" t="n">
        <v>44868</v>
      </c>
      <c r="B217" s="13" t="n">
        <v>2216</v>
      </c>
      <c r="C217" s="13" t="n">
        <v>2242</v>
      </c>
      <c r="D217" s="13" t="n">
        <v>-26</v>
      </c>
      <c r="E217" s="13" t="n">
        <v>577875</v>
      </c>
      <c r="F217" s="13" t="n">
        <v>82.9329</v>
      </c>
      <c r="G217" s="6" t="n">
        <v>83.0891</v>
      </c>
      <c r="H217" s="6" t="n">
        <v>83.4083</v>
      </c>
      <c r="I217" s="14" t="n">
        <v>0.06458</v>
      </c>
      <c r="J217" s="14" t="n">
        <v>0.04103</v>
      </c>
      <c r="K217" s="14" t="n">
        <v>0.059</v>
      </c>
      <c r="L217" s="13" t="n">
        <v>198.9411</v>
      </c>
      <c r="M217" s="13" t="n">
        <v>199.8915</v>
      </c>
      <c r="N217" s="13" t="n">
        <v>200.9474</v>
      </c>
      <c r="O217" s="13" t="n">
        <v>15.74</v>
      </c>
      <c r="P217" s="13" t="n">
        <v>69.77</v>
      </c>
      <c r="Q217" s="12" t="n">
        <v>44895</v>
      </c>
      <c r="R217" s="12" t="n">
        <v>44925</v>
      </c>
      <c r="S217" s="8">
        <f>YEAR($Q217)*100+MONTH($Q217)</f>
        <v/>
      </c>
      <c r="T217" s="8">
        <f>YEAR($R217)*100+MONTH($R217)</f>
        <v/>
      </c>
      <c r="U217" s="15">
        <f>IF($A217&lt;=INDEX(pdates_wc_rate_inr_pa,1),INDEX(pvals_wc_rate_inr_pa,1),INDEX(pvals_wc_rate_inr_pa,MATCH($A217,pdates_wc_rate_inr_pa,1)))</f>
        <v/>
      </c>
      <c r="V217" s="8">
        <f>IF(AND($A217&gt;=customs_fx_first,$A217&lt;=customs_fx_last+customs_fx_notification_validity_days),IF($A217&lt;=INDEX(pdates_customs_usdinr_import,1),INDEX(pvals_customs_usdinr_import,1),INDEX(pvals_customs_usdinr_import,MATCH($A217,pdates_customs_usdinr_import,1))),$F217*(1+customs_fx_markup_frac))</f>
        <v/>
      </c>
      <c r="W217" s="8">
        <f>IF(AND($A217&gt;=customs_fx_first,$A217&lt;=customs_fx_last+customs_fx_notification_validity_days),"CBIC_NOTIFIED","MARKUP_FALLBACK")</f>
        <v/>
      </c>
      <c r="X217" s="8">
        <f>IF($A217&lt;=INDEX(pdates_grade_factor_zorba,1),INDEX(pvals_grade_factor_zorba,1),IF($A217&gt;=INDEX(pdates_grade_factor_zorba,10),INDEX(pvals_grade_factor_zorba,10),INDEX(pvals_grade_factor_zorba,MATCH($A217,pdates_grade_factor_zorba,1))+($A217-INDEX(pdates_grade_factor_zorba,MATCH($A217,pdates_grade_factor_zorba,1)))/(INDEX(pdates_grade_factor_zorba,MATCH($A217,pdates_grade_factor_zorba,1)+1)-INDEX(pdates_grade_factor_zorba,MATCH($A217,pdates_grade_factor_zorba,1)))*(INDEX(pvals_grade_factor_zorba,MATCH($A217,pdates_grade_factor_zorba,1)+1)-INDEX(pvals_grade_factor_zorba,MATCH($A217,pdates_grade_factor_zorba,1)))))</f>
        <v/>
      </c>
      <c r="Y217" s="8">
        <f>IF($A217&lt;=INDEX(pdates_grade_factor_taint_tabor,1),INDEX(pvals_grade_factor_taint_tabor,1),IF($A217&gt;=INDEX(pdates_grade_factor_taint_tabor,10),INDEX(pvals_grade_factor_taint_tabor,10),INDEX(pvals_grade_factor_taint_tabor,MATCH($A217,pdates_grade_factor_taint_tabor,1))+($A217-INDEX(pdates_grade_factor_taint_tabor,MATCH($A217,pdates_grade_factor_taint_tabor,1)))/(INDEX(pdates_grade_factor_taint_tabor,MATCH($A217,pdates_grade_factor_taint_tabor,1)+1)-INDEX(pdates_grade_factor_taint_tabor,MATCH($A217,pdates_grade_factor_taint_tabor,1)))*(INDEX(pvals_grade_factor_taint_tabor,MATCH($A217,pdates_grade_factor_taint_tabor,1)+1)-INDEX(pvals_grade_factor_taint_tabor,MATCH($A217,pdates_grade_factor_taint_tabor,1)))))</f>
        <v/>
      </c>
      <c r="Z217" s="8">
        <f>IF($A217&lt;=INDEX(pdates_grade_factor_tense,1),INDEX(pvals_grade_factor_tense,1),IF($A217&gt;=INDEX(pdates_grade_factor_tense,10),INDEX(pvals_grade_factor_tense,10),INDEX(pvals_grade_factor_tense,MATCH($A217,pdates_grade_factor_tense,1))+($A217-INDEX(pdates_grade_factor_tense,MATCH($A217,pdates_grade_factor_tense,1)))/(INDEX(pdates_grade_factor_tense,MATCH($A217,pdates_grade_factor_tense,1)+1)-INDEX(pdates_grade_factor_tense,MATCH($A217,pdates_grade_factor_tense,1)))*(INDEX(pvals_grade_factor_tense,MATCH($A217,pdates_grade_factor_tense,1)+1)-INDEX(pvals_grade_factor_tense,MATCH($A217,pdates_grade_factor_tense,1)))))</f>
        <v/>
      </c>
      <c r="AA217" s="8">
        <f>IF($A217&lt;=INDEX(pdates_grade_factor_mix_pit,1),INDEX(pvals_grade_factor_mix_pit,1),IF($A217&gt;=INDEX(pdates_grade_factor_mix_pit,10),INDEX(pvals_grade_factor_mix_pit,10),INDEX(pvals_grade_factor_mix_pit,MATCH($A217,pdates_grade_factor_mix_pit,1))+($A217-INDEX(pdates_grade_factor_mix_pit,MATCH($A217,pdates_grade_factor_mix_pit,1)))/(INDEX(pdates_grade_factor_mix_pit,MATCH($A217,pdates_grade_factor_mix_pit,1)+1)-INDEX(pdates_grade_factor_mix_pit,MATCH($A217,pdates_grade_factor_mix_pit,1)))*(INDEX(pvals_grade_factor_mix_pit,MATCH($A217,pdates_grade_factor_mix_pit,1)+1)-INDEX(pvals_grade_factor_mix_pit,MATCH($A217,pdates_grade_factor_mix_pit,1)))))</f>
        <v/>
      </c>
      <c r="AB217" s="16">
        <f>($B217*$F217/kg_per_mt*(1+bcd_primary_al_hs7601*(1+sws_rate_on_bcd))+mcx_domestic_premium_inr_kg)*(1+$I217*MAX(0,$Q217-$A217)/day_count_inr)</f>
        <v/>
      </c>
      <c r="AC217" s="16">
        <f>$M217-$AB217</f>
        <v/>
      </c>
      <c r="AD217" s="7" t="inlineStr">
        <is>
          <t>PROXY_IMPORT_PARITY</t>
        </is>
      </c>
      <c r="AE217" s="7" t="inlineStr">
        <is>
          <t>ECB_CROSS</t>
        </is>
      </c>
      <c r="AF217" s="7" t="inlineStr">
        <is>
          <t>WCI_REPORTED|USEC:ANCHORED|JEA:ASSUMPTION</t>
        </is>
      </c>
      <c r="AG217" s="17" t="b">
        <v>0</v>
      </c>
      <c r="AH217" s="17" t="b">
        <v>0</v>
      </c>
    </row>
    <row r="218">
      <c r="A218" s="11" t="n">
        <v>44869</v>
      </c>
      <c r="B218" s="13" t="n">
        <v>2306</v>
      </c>
      <c r="C218" s="13" t="n">
        <v>2318</v>
      </c>
      <c r="D218" s="13" t="n">
        <v>-12</v>
      </c>
      <c r="E218" s="13" t="n">
        <v>574425</v>
      </c>
      <c r="F218" s="13" t="n">
        <v>82.0705</v>
      </c>
      <c r="G218" s="6" t="n">
        <v>82.2277</v>
      </c>
      <c r="H218" s="6" t="n">
        <v>82.5492</v>
      </c>
      <c r="I218" s="14" t="n">
        <v>0.06458</v>
      </c>
      <c r="J218" s="14" t="n">
        <v>0.040636</v>
      </c>
      <c r="K218" s="14" t="n">
        <v>0.059</v>
      </c>
      <c r="L218" s="13" t="n">
        <v>204.8681</v>
      </c>
      <c r="M218" s="13" t="n">
        <v>205.8105</v>
      </c>
      <c r="N218" s="13" t="n">
        <v>206.8979</v>
      </c>
      <c r="O218" s="13" t="n">
        <v>15.74</v>
      </c>
      <c r="P218" s="13" t="n">
        <v>69.77</v>
      </c>
      <c r="Q218" s="12" t="n">
        <v>44895</v>
      </c>
      <c r="R218" s="12" t="n">
        <v>44925</v>
      </c>
      <c r="S218" s="8">
        <f>YEAR($Q218)*100+MONTH($Q218)</f>
        <v/>
      </c>
      <c r="T218" s="8">
        <f>YEAR($R218)*100+MONTH($R218)</f>
        <v/>
      </c>
      <c r="U218" s="15">
        <f>IF($A218&lt;=INDEX(pdates_wc_rate_inr_pa,1),INDEX(pvals_wc_rate_inr_pa,1),INDEX(pvals_wc_rate_inr_pa,MATCH($A218,pdates_wc_rate_inr_pa,1)))</f>
        <v/>
      </c>
      <c r="V218" s="8">
        <f>IF(AND($A218&gt;=customs_fx_first,$A218&lt;=customs_fx_last+customs_fx_notification_validity_days),IF($A218&lt;=INDEX(pdates_customs_usdinr_import,1),INDEX(pvals_customs_usdinr_import,1),INDEX(pvals_customs_usdinr_import,MATCH($A218,pdates_customs_usdinr_import,1))),$F218*(1+customs_fx_markup_frac))</f>
        <v/>
      </c>
      <c r="W218" s="8">
        <f>IF(AND($A218&gt;=customs_fx_first,$A218&lt;=customs_fx_last+customs_fx_notification_validity_days),"CBIC_NOTIFIED","MARKUP_FALLBACK")</f>
        <v/>
      </c>
      <c r="X218" s="8">
        <f>IF($A218&lt;=INDEX(pdates_grade_factor_zorba,1),INDEX(pvals_grade_factor_zorba,1),IF($A218&gt;=INDEX(pdates_grade_factor_zorba,10),INDEX(pvals_grade_factor_zorba,10),INDEX(pvals_grade_factor_zorba,MATCH($A218,pdates_grade_factor_zorba,1))+($A218-INDEX(pdates_grade_factor_zorba,MATCH($A218,pdates_grade_factor_zorba,1)))/(INDEX(pdates_grade_factor_zorba,MATCH($A218,pdates_grade_factor_zorba,1)+1)-INDEX(pdates_grade_factor_zorba,MATCH($A218,pdates_grade_factor_zorba,1)))*(INDEX(pvals_grade_factor_zorba,MATCH($A218,pdates_grade_factor_zorba,1)+1)-INDEX(pvals_grade_factor_zorba,MATCH($A218,pdates_grade_factor_zorba,1)))))</f>
        <v/>
      </c>
      <c r="Y218" s="8">
        <f>IF($A218&lt;=INDEX(pdates_grade_factor_taint_tabor,1),INDEX(pvals_grade_factor_taint_tabor,1),IF($A218&gt;=INDEX(pdates_grade_factor_taint_tabor,10),INDEX(pvals_grade_factor_taint_tabor,10),INDEX(pvals_grade_factor_taint_tabor,MATCH($A218,pdates_grade_factor_taint_tabor,1))+($A218-INDEX(pdates_grade_factor_taint_tabor,MATCH($A218,pdates_grade_factor_taint_tabor,1)))/(INDEX(pdates_grade_factor_taint_tabor,MATCH($A218,pdates_grade_factor_taint_tabor,1)+1)-INDEX(pdates_grade_factor_taint_tabor,MATCH($A218,pdates_grade_factor_taint_tabor,1)))*(INDEX(pvals_grade_factor_taint_tabor,MATCH($A218,pdates_grade_factor_taint_tabor,1)+1)-INDEX(pvals_grade_factor_taint_tabor,MATCH($A218,pdates_grade_factor_taint_tabor,1)))))</f>
        <v/>
      </c>
      <c r="Z218" s="8">
        <f>IF($A218&lt;=INDEX(pdates_grade_factor_tense,1),INDEX(pvals_grade_factor_tense,1),IF($A218&gt;=INDEX(pdates_grade_factor_tense,10),INDEX(pvals_grade_factor_tense,10),INDEX(pvals_grade_factor_tense,MATCH($A218,pdates_grade_factor_tense,1))+($A218-INDEX(pdates_grade_factor_tense,MATCH($A218,pdates_grade_factor_tense,1)))/(INDEX(pdates_grade_factor_tense,MATCH($A218,pdates_grade_factor_tense,1)+1)-INDEX(pdates_grade_factor_tense,MATCH($A218,pdates_grade_factor_tense,1)))*(INDEX(pvals_grade_factor_tense,MATCH($A218,pdates_grade_factor_tense,1)+1)-INDEX(pvals_grade_factor_tense,MATCH($A218,pdates_grade_factor_tense,1)))))</f>
        <v/>
      </c>
      <c r="AA218" s="8">
        <f>IF($A218&lt;=INDEX(pdates_grade_factor_mix_pit,1),INDEX(pvals_grade_factor_mix_pit,1),IF($A218&gt;=INDEX(pdates_grade_factor_mix_pit,10),INDEX(pvals_grade_factor_mix_pit,10),INDEX(pvals_grade_factor_mix_pit,MATCH($A218,pdates_grade_factor_mix_pit,1))+($A218-INDEX(pdates_grade_factor_mix_pit,MATCH($A218,pdates_grade_factor_mix_pit,1)))/(INDEX(pdates_grade_factor_mix_pit,MATCH($A218,pdates_grade_factor_mix_pit,1)+1)-INDEX(pdates_grade_factor_mix_pit,MATCH($A218,pdates_grade_factor_mix_pit,1)))*(INDEX(pvals_grade_factor_mix_pit,MATCH($A218,pdates_grade_factor_mix_pit,1)+1)-INDEX(pvals_grade_factor_mix_pit,MATCH($A218,pdates_grade_factor_mix_pit,1)))))</f>
        <v/>
      </c>
      <c r="AB218" s="16">
        <f>($B218*$F218/kg_per_mt*(1+bcd_primary_al_hs7601*(1+sws_rate_on_bcd))+mcx_domestic_premium_inr_kg)*(1+$I218*MAX(0,$Q218-$A218)/day_count_inr)</f>
        <v/>
      </c>
      <c r="AC218" s="16">
        <f>$M218-$AB218</f>
        <v/>
      </c>
      <c r="AD218" s="7" t="inlineStr">
        <is>
          <t>PROXY_IMPORT_PARITY</t>
        </is>
      </c>
      <c r="AE218" s="7" t="inlineStr">
        <is>
          <t>ECB_CROSS</t>
        </is>
      </c>
      <c r="AF218" s="7" t="inlineStr">
        <is>
          <t>WCI_REPORTED|USEC:ANCHORED|JEA:ASSUMPTION</t>
        </is>
      </c>
      <c r="AG218" s="17" t="b">
        <v>0</v>
      </c>
      <c r="AH218" s="17" t="b">
        <v>1</v>
      </c>
    </row>
    <row r="219">
      <c r="A219" s="11" t="n">
        <v>44872</v>
      </c>
      <c r="B219" s="13" t="n">
        <v>2292</v>
      </c>
      <c r="C219" s="13" t="n">
        <v>2302</v>
      </c>
      <c r="D219" s="13" t="n">
        <v>-10</v>
      </c>
      <c r="E219" s="13" t="n">
        <v>570775</v>
      </c>
      <c r="F219" s="13" t="n">
        <v>81.898</v>
      </c>
      <c r="G219" s="6" t="n">
        <v>82.04819999999999</v>
      </c>
      <c r="H219" s="6" t="n">
        <v>82.3552</v>
      </c>
      <c r="I219" s="14" t="n">
        <v>0.06458</v>
      </c>
      <c r="J219" s="14" t="n">
        <v>0.041622</v>
      </c>
      <c r="K219" s="14" t="n">
        <v>0.059</v>
      </c>
      <c r="L219" s="13" t="n">
        <v>203.1963</v>
      </c>
      <c r="M219" s="13" t="n">
        <v>204.0232</v>
      </c>
      <c r="N219" s="13" t="n">
        <v>205.1018</v>
      </c>
      <c r="O219" s="13" t="n">
        <v>15.74</v>
      </c>
      <c r="P219" s="13" t="n">
        <v>69.77</v>
      </c>
      <c r="Q219" s="12" t="n">
        <v>44895</v>
      </c>
      <c r="R219" s="12" t="n">
        <v>44925</v>
      </c>
      <c r="S219" s="8">
        <f>YEAR($Q219)*100+MONTH($Q219)</f>
        <v/>
      </c>
      <c r="T219" s="8">
        <f>YEAR($R219)*100+MONTH($R219)</f>
        <v/>
      </c>
      <c r="U219" s="15">
        <f>IF($A219&lt;=INDEX(pdates_wc_rate_inr_pa,1),INDEX(pvals_wc_rate_inr_pa,1),INDEX(pvals_wc_rate_inr_pa,MATCH($A219,pdates_wc_rate_inr_pa,1)))</f>
        <v/>
      </c>
      <c r="V219" s="8">
        <f>IF(AND($A219&gt;=customs_fx_first,$A219&lt;=customs_fx_last+customs_fx_notification_validity_days),IF($A219&lt;=INDEX(pdates_customs_usdinr_import,1),INDEX(pvals_customs_usdinr_import,1),INDEX(pvals_customs_usdinr_import,MATCH($A219,pdates_customs_usdinr_import,1))),$F219*(1+customs_fx_markup_frac))</f>
        <v/>
      </c>
      <c r="W219" s="8">
        <f>IF(AND($A219&gt;=customs_fx_first,$A219&lt;=customs_fx_last+customs_fx_notification_validity_days),"CBIC_NOTIFIED","MARKUP_FALLBACK")</f>
        <v/>
      </c>
      <c r="X219" s="8">
        <f>IF($A219&lt;=INDEX(pdates_grade_factor_zorba,1),INDEX(pvals_grade_factor_zorba,1),IF($A219&gt;=INDEX(pdates_grade_factor_zorba,10),INDEX(pvals_grade_factor_zorba,10),INDEX(pvals_grade_factor_zorba,MATCH($A219,pdates_grade_factor_zorba,1))+($A219-INDEX(pdates_grade_factor_zorba,MATCH($A219,pdates_grade_factor_zorba,1)))/(INDEX(pdates_grade_factor_zorba,MATCH($A219,pdates_grade_factor_zorba,1)+1)-INDEX(pdates_grade_factor_zorba,MATCH($A219,pdates_grade_factor_zorba,1)))*(INDEX(pvals_grade_factor_zorba,MATCH($A219,pdates_grade_factor_zorba,1)+1)-INDEX(pvals_grade_factor_zorba,MATCH($A219,pdates_grade_factor_zorba,1)))))</f>
        <v/>
      </c>
      <c r="Y219" s="8">
        <f>IF($A219&lt;=INDEX(pdates_grade_factor_taint_tabor,1),INDEX(pvals_grade_factor_taint_tabor,1),IF($A219&gt;=INDEX(pdates_grade_factor_taint_tabor,10),INDEX(pvals_grade_factor_taint_tabor,10),INDEX(pvals_grade_factor_taint_tabor,MATCH($A219,pdates_grade_factor_taint_tabor,1))+($A219-INDEX(pdates_grade_factor_taint_tabor,MATCH($A219,pdates_grade_factor_taint_tabor,1)))/(INDEX(pdates_grade_factor_taint_tabor,MATCH($A219,pdates_grade_factor_taint_tabor,1)+1)-INDEX(pdates_grade_factor_taint_tabor,MATCH($A219,pdates_grade_factor_taint_tabor,1)))*(INDEX(pvals_grade_factor_taint_tabor,MATCH($A219,pdates_grade_factor_taint_tabor,1)+1)-INDEX(pvals_grade_factor_taint_tabor,MATCH($A219,pdates_grade_factor_taint_tabor,1)))))</f>
        <v/>
      </c>
      <c r="Z219" s="8">
        <f>IF($A219&lt;=INDEX(pdates_grade_factor_tense,1),INDEX(pvals_grade_factor_tense,1),IF($A219&gt;=INDEX(pdates_grade_factor_tense,10),INDEX(pvals_grade_factor_tense,10),INDEX(pvals_grade_factor_tense,MATCH($A219,pdates_grade_factor_tense,1))+($A219-INDEX(pdates_grade_factor_tense,MATCH($A219,pdates_grade_factor_tense,1)))/(INDEX(pdates_grade_factor_tense,MATCH($A219,pdates_grade_factor_tense,1)+1)-INDEX(pdates_grade_factor_tense,MATCH($A219,pdates_grade_factor_tense,1)))*(INDEX(pvals_grade_factor_tense,MATCH($A219,pdates_grade_factor_tense,1)+1)-INDEX(pvals_grade_factor_tense,MATCH($A219,pdates_grade_factor_tense,1)))))</f>
        <v/>
      </c>
      <c r="AA219" s="8">
        <f>IF($A219&lt;=INDEX(pdates_grade_factor_mix_pit,1),INDEX(pvals_grade_factor_mix_pit,1),IF($A219&gt;=INDEX(pdates_grade_factor_mix_pit,10),INDEX(pvals_grade_factor_mix_pit,10),INDEX(pvals_grade_factor_mix_pit,MATCH($A219,pdates_grade_factor_mix_pit,1))+($A219-INDEX(pdates_grade_factor_mix_pit,MATCH($A219,pdates_grade_factor_mix_pit,1)))/(INDEX(pdates_grade_factor_mix_pit,MATCH($A219,pdates_grade_factor_mix_pit,1)+1)-INDEX(pdates_grade_factor_mix_pit,MATCH($A219,pdates_grade_factor_mix_pit,1)))*(INDEX(pvals_grade_factor_mix_pit,MATCH($A219,pdates_grade_factor_mix_pit,1)+1)-INDEX(pvals_grade_factor_mix_pit,MATCH($A219,pdates_grade_factor_mix_pit,1)))))</f>
        <v/>
      </c>
      <c r="AB219" s="16">
        <f>($B219*$F219/kg_per_mt*(1+bcd_primary_al_hs7601*(1+sws_rate_on_bcd))+mcx_domestic_premium_inr_kg)*(1+$I219*MAX(0,$Q219-$A219)/day_count_inr)</f>
        <v/>
      </c>
      <c r="AC219" s="16">
        <f>$M219-$AB219</f>
        <v/>
      </c>
      <c r="AD219" s="7" t="inlineStr">
        <is>
          <t>PROXY_IMPORT_PARITY</t>
        </is>
      </c>
      <c r="AE219" s="7" t="inlineStr">
        <is>
          <t>ECB_CROSS</t>
        </is>
      </c>
      <c r="AF219" s="7" t="inlineStr">
        <is>
          <t>WCI_REPORTED|USEC:ANCHORED|JEA:ASSUMPTION</t>
        </is>
      </c>
      <c r="AG219" s="17" t="b">
        <v>0</v>
      </c>
      <c r="AH219" s="17" t="b">
        <v>1</v>
      </c>
    </row>
    <row r="220">
      <c r="A220" s="11" t="n">
        <v>44873</v>
      </c>
      <c r="B220" s="13" t="n">
        <v>2327</v>
      </c>
      <c r="C220" s="13" t="n">
        <v>2339.5</v>
      </c>
      <c r="D220" s="13" t="n">
        <v>-12.5</v>
      </c>
      <c r="E220" s="13" t="n">
        <v>564375</v>
      </c>
      <c r="F220" s="13" t="n">
        <v>81.5506</v>
      </c>
      <c r="G220" s="6" t="n">
        <v>81.7015</v>
      </c>
      <c r="H220" s="6" t="n">
        <v>82.0099</v>
      </c>
      <c r="I220" s="14" t="n">
        <v>0.06458</v>
      </c>
      <c r="J220" s="14" t="n">
        <v>0.041425</v>
      </c>
      <c r="K220" s="14" t="n">
        <v>0.059</v>
      </c>
      <c r="L220" s="13" t="n">
        <v>205.4241</v>
      </c>
      <c r="M220" s="13" t="n">
        <v>206.2237</v>
      </c>
      <c r="N220" s="13" t="n">
        <v>207.3141</v>
      </c>
      <c r="O220" s="13" t="n">
        <v>15.74</v>
      </c>
      <c r="P220" s="13" t="n">
        <v>69.77</v>
      </c>
      <c r="Q220" s="12" t="n">
        <v>44895</v>
      </c>
      <c r="R220" s="12" t="n">
        <v>44925</v>
      </c>
      <c r="S220" s="8">
        <f>YEAR($Q220)*100+MONTH($Q220)</f>
        <v/>
      </c>
      <c r="T220" s="8">
        <f>YEAR($R220)*100+MONTH($R220)</f>
        <v/>
      </c>
      <c r="U220" s="15">
        <f>IF($A220&lt;=INDEX(pdates_wc_rate_inr_pa,1),INDEX(pvals_wc_rate_inr_pa,1),INDEX(pvals_wc_rate_inr_pa,MATCH($A220,pdates_wc_rate_inr_pa,1)))</f>
        <v/>
      </c>
      <c r="V220" s="8">
        <f>IF(AND($A220&gt;=customs_fx_first,$A220&lt;=customs_fx_last+customs_fx_notification_validity_days),IF($A220&lt;=INDEX(pdates_customs_usdinr_import,1),INDEX(pvals_customs_usdinr_import,1),INDEX(pvals_customs_usdinr_import,MATCH($A220,pdates_customs_usdinr_import,1))),$F220*(1+customs_fx_markup_frac))</f>
        <v/>
      </c>
      <c r="W220" s="8">
        <f>IF(AND($A220&gt;=customs_fx_first,$A220&lt;=customs_fx_last+customs_fx_notification_validity_days),"CBIC_NOTIFIED","MARKUP_FALLBACK")</f>
        <v/>
      </c>
      <c r="X220" s="8">
        <f>IF($A220&lt;=INDEX(pdates_grade_factor_zorba,1),INDEX(pvals_grade_factor_zorba,1),IF($A220&gt;=INDEX(pdates_grade_factor_zorba,10),INDEX(pvals_grade_factor_zorba,10),INDEX(pvals_grade_factor_zorba,MATCH($A220,pdates_grade_factor_zorba,1))+($A220-INDEX(pdates_grade_factor_zorba,MATCH($A220,pdates_grade_factor_zorba,1)))/(INDEX(pdates_grade_factor_zorba,MATCH($A220,pdates_grade_factor_zorba,1)+1)-INDEX(pdates_grade_factor_zorba,MATCH($A220,pdates_grade_factor_zorba,1)))*(INDEX(pvals_grade_factor_zorba,MATCH($A220,pdates_grade_factor_zorba,1)+1)-INDEX(pvals_grade_factor_zorba,MATCH($A220,pdates_grade_factor_zorba,1)))))</f>
        <v/>
      </c>
      <c r="Y220" s="8">
        <f>IF($A220&lt;=INDEX(pdates_grade_factor_taint_tabor,1),INDEX(pvals_grade_factor_taint_tabor,1),IF($A220&gt;=INDEX(pdates_grade_factor_taint_tabor,10),INDEX(pvals_grade_factor_taint_tabor,10),INDEX(pvals_grade_factor_taint_tabor,MATCH($A220,pdates_grade_factor_taint_tabor,1))+($A220-INDEX(pdates_grade_factor_taint_tabor,MATCH($A220,pdates_grade_factor_taint_tabor,1)))/(INDEX(pdates_grade_factor_taint_tabor,MATCH($A220,pdates_grade_factor_taint_tabor,1)+1)-INDEX(pdates_grade_factor_taint_tabor,MATCH($A220,pdates_grade_factor_taint_tabor,1)))*(INDEX(pvals_grade_factor_taint_tabor,MATCH($A220,pdates_grade_factor_taint_tabor,1)+1)-INDEX(pvals_grade_factor_taint_tabor,MATCH($A220,pdates_grade_factor_taint_tabor,1)))))</f>
        <v/>
      </c>
      <c r="Z220" s="8">
        <f>IF($A220&lt;=INDEX(pdates_grade_factor_tense,1),INDEX(pvals_grade_factor_tense,1),IF($A220&gt;=INDEX(pdates_grade_factor_tense,10),INDEX(pvals_grade_factor_tense,10),INDEX(pvals_grade_factor_tense,MATCH($A220,pdates_grade_factor_tense,1))+($A220-INDEX(pdates_grade_factor_tense,MATCH($A220,pdates_grade_factor_tense,1)))/(INDEX(pdates_grade_factor_tense,MATCH($A220,pdates_grade_factor_tense,1)+1)-INDEX(pdates_grade_factor_tense,MATCH($A220,pdates_grade_factor_tense,1)))*(INDEX(pvals_grade_factor_tense,MATCH($A220,pdates_grade_factor_tense,1)+1)-INDEX(pvals_grade_factor_tense,MATCH($A220,pdates_grade_factor_tense,1)))))</f>
        <v/>
      </c>
      <c r="AA220" s="8">
        <f>IF($A220&lt;=INDEX(pdates_grade_factor_mix_pit,1),INDEX(pvals_grade_factor_mix_pit,1),IF($A220&gt;=INDEX(pdates_grade_factor_mix_pit,10),INDEX(pvals_grade_factor_mix_pit,10),INDEX(pvals_grade_factor_mix_pit,MATCH($A220,pdates_grade_factor_mix_pit,1))+($A220-INDEX(pdates_grade_factor_mix_pit,MATCH($A220,pdates_grade_factor_mix_pit,1)))/(INDEX(pdates_grade_factor_mix_pit,MATCH($A220,pdates_grade_factor_mix_pit,1)+1)-INDEX(pdates_grade_factor_mix_pit,MATCH($A220,pdates_grade_factor_mix_pit,1)))*(INDEX(pvals_grade_factor_mix_pit,MATCH($A220,pdates_grade_factor_mix_pit,1)+1)-INDEX(pvals_grade_factor_mix_pit,MATCH($A220,pdates_grade_factor_mix_pit,1)))))</f>
        <v/>
      </c>
      <c r="AB220" s="16">
        <f>($B220*$F220/kg_per_mt*(1+bcd_primary_al_hs7601*(1+sws_rate_on_bcd))+mcx_domestic_premium_inr_kg)*(1+$I220*MAX(0,$Q220-$A220)/day_count_inr)</f>
        <v/>
      </c>
      <c r="AC220" s="16">
        <f>$M220-$AB220</f>
        <v/>
      </c>
      <c r="AD220" s="7" t="inlineStr">
        <is>
          <t>PROXY_IMPORT_PARITY</t>
        </is>
      </c>
      <c r="AE220" s="7" t="inlineStr">
        <is>
          <t>ECB_CROSS</t>
        </is>
      </c>
      <c r="AF220" s="7" t="inlineStr">
        <is>
          <t>WCI_REPORTED|USEC:ANCHORED|JEA:ASSUMPTION</t>
        </is>
      </c>
      <c r="AG220" s="17" t="b">
        <v>0</v>
      </c>
      <c r="AH220" s="17" t="b">
        <v>1</v>
      </c>
    </row>
    <row r="221">
      <c r="A221" s="11" t="n">
        <v>44874</v>
      </c>
      <c r="B221" s="13" t="n">
        <v>2338</v>
      </c>
      <c r="C221" s="13" t="n">
        <v>2355</v>
      </c>
      <c r="D221" s="13" t="n">
        <v>-17</v>
      </c>
      <c r="E221" s="13" t="n">
        <v>558825</v>
      </c>
      <c r="F221" s="13" t="n">
        <v>81.3403</v>
      </c>
      <c r="G221" s="6" t="n">
        <v>81.48999999999999</v>
      </c>
      <c r="H221" s="6" t="n">
        <v>81.7963</v>
      </c>
      <c r="I221" s="14" t="n">
        <v>0.06458</v>
      </c>
      <c r="J221" s="14" t="n">
        <v>0.041523</v>
      </c>
      <c r="K221" s="14" t="n">
        <v>0.059</v>
      </c>
      <c r="L221" s="13" t="n">
        <v>205.8629</v>
      </c>
      <c r="M221" s="13" t="n">
        <v>206.6278</v>
      </c>
      <c r="N221" s="13" t="n">
        <v>207.7206</v>
      </c>
      <c r="O221" s="13" t="n">
        <v>15.74</v>
      </c>
      <c r="P221" s="13" t="n">
        <v>69.77</v>
      </c>
      <c r="Q221" s="12" t="n">
        <v>44895</v>
      </c>
      <c r="R221" s="12" t="n">
        <v>44925</v>
      </c>
      <c r="S221" s="8">
        <f>YEAR($Q221)*100+MONTH($Q221)</f>
        <v/>
      </c>
      <c r="T221" s="8">
        <f>YEAR($R221)*100+MONTH($R221)</f>
        <v/>
      </c>
      <c r="U221" s="15">
        <f>IF($A221&lt;=INDEX(pdates_wc_rate_inr_pa,1),INDEX(pvals_wc_rate_inr_pa,1),INDEX(pvals_wc_rate_inr_pa,MATCH($A221,pdates_wc_rate_inr_pa,1)))</f>
        <v/>
      </c>
      <c r="V221" s="8">
        <f>IF(AND($A221&gt;=customs_fx_first,$A221&lt;=customs_fx_last+customs_fx_notification_validity_days),IF($A221&lt;=INDEX(pdates_customs_usdinr_import,1),INDEX(pvals_customs_usdinr_import,1),INDEX(pvals_customs_usdinr_import,MATCH($A221,pdates_customs_usdinr_import,1))),$F221*(1+customs_fx_markup_frac))</f>
        <v/>
      </c>
      <c r="W221" s="8">
        <f>IF(AND($A221&gt;=customs_fx_first,$A221&lt;=customs_fx_last+customs_fx_notification_validity_days),"CBIC_NOTIFIED","MARKUP_FALLBACK")</f>
        <v/>
      </c>
      <c r="X221" s="8">
        <f>IF($A221&lt;=INDEX(pdates_grade_factor_zorba,1),INDEX(pvals_grade_factor_zorba,1),IF($A221&gt;=INDEX(pdates_grade_factor_zorba,10),INDEX(pvals_grade_factor_zorba,10),INDEX(pvals_grade_factor_zorba,MATCH($A221,pdates_grade_factor_zorba,1))+($A221-INDEX(pdates_grade_factor_zorba,MATCH($A221,pdates_grade_factor_zorba,1)))/(INDEX(pdates_grade_factor_zorba,MATCH($A221,pdates_grade_factor_zorba,1)+1)-INDEX(pdates_grade_factor_zorba,MATCH($A221,pdates_grade_factor_zorba,1)))*(INDEX(pvals_grade_factor_zorba,MATCH($A221,pdates_grade_factor_zorba,1)+1)-INDEX(pvals_grade_factor_zorba,MATCH($A221,pdates_grade_factor_zorba,1)))))</f>
        <v/>
      </c>
      <c r="Y221" s="8">
        <f>IF($A221&lt;=INDEX(pdates_grade_factor_taint_tabor,1),INDEX(pvals_grade_factor_taint_tabor,1),IF($A221&gt;=INDEX(pdates_grade_factor_taint_tabor,10),INDEX(pvals_grade_factor_taint_tabor,10),INDEX(pvals_grade_factor_taint_tabor,MATCH($A221,pdates_grade_factor_taint_tabor,1))+($A221-INDEX(pdates_grade_factor_taint_tabor,MATCH($A221,pdates_grade_factor_taint_tabor,1)))/(INDEX(pdates_grade_factor_taint_tabor,MATCH($A221,pdates_grade_factor_taint_tabor,1)+1)-INDEX(pdates_grade_factor_taint_tabor,MATCH($A221,pdates_grade_factor_taint_tabor,1)))*(INDEX(pvals_grade_factor_taint_tabor,MATCH($A221,pdates_grade_factor_taint_tabor,1)+1)-INDEX(pvals_grade_factor_taint_tabor,MATCH($A221,pdates_grade_factor_taint_tabor,1)))))</f>
        <v/>
      </c>
      <c r="Z221" s="8">
        <f>IF($A221&lt;=INDEX(pdates_grade_factor_tense,1),INDEX(pvals_grade_factor_tense,1),IF($A221&gt;=INDEX(pdates_grade_factor_tense,10),INDEX(pvals_grade_factor_tense,10),INDEX(pvals_grade_factor_tense,MATCH($A221,pdates_grade_factor_tense,1))+($A221-INDEX(pdates_grade_factor_tense,MATCH($A221,pdates_grade_factor_tense,1)))/(INDEX(pdates_grade_factor_tense,MATCH($A221,pdates_grade_factor_tense,1)+1)-INDEX(pdates_grade_factor_tense,MATCH($A221,pdates_grade_factor_tense,1)))*(INDEX(pvals_grade_factor_tense,MATCH($A221,pdates_grade_factor_tense,1)+1)-INDEX(pvals_grade_factor_tense,MATCH($A221,pdates_grade_factor_tense,1)))))</f>
        <v/>
      </c>
      <c r="AA221" s="8">
        <f>IF($A221&lt;=INDEX(pdates_grade_factor_mix_pit,1),INDEX(pvals_grade_factor_mix_pit,1),IF($A221&gt;=INDEX(pdates_grade_factor_mix_pit,10),INDEX(pvals_grade_factor_mix_pit,10),INDEX(pvals_grade_factor_mix_pit,MATCH($A221,pdates_grade_factor_mix_pit,1))+($A221-INDEX(pdates_grade_factor_mix_pit,MATCH($A221,pdates_grade_factor_mix_pit,1)))/(INDEX(pdates_grade_factor_mix_pit,MATCH($A221,pdates_grade_factor_mix_pit,1)+1)-INDEX(pdates_grade_factor_mix_pit,MATCH($A221,pdates_grade_factor_mix_pit,1)))*(INDEX(pvals_grade_factor_mix_pit,MATCH($A221,pdates_grade_factor_mix_pit,1)+1)-INDEX(pvals_grade_factor_mix_pit,MATCH($A221,pdates_grade_factor_mix_pit,1)))))</f>
        <v/>
      </c>
      <c r="AB221" s="16">
        <f>($B221*$F221/kg_per_mt*(1+bcd_primary_al_hs7601*(1+sws_rate_on_bcd))+mcx_domestic_premium_inr_kg)*(1+$I221*MAX(0,$Q221-$A221)/day_count_inr)</f>
        <v/>
      </c>
      <c r="AC221" s="16">
        <f>$M221-$AB221</f>
        <v/>
      </c>
      <c r="AD221" s="7" t="inlineStr">
        <is>
          <t>PROXY_IMPORT_PARITY</t>
        </is>
      </c>
      <c r="AE221" s="7" t="inlineStr">
        <is>
          <t>ECB_CROSS</t>
        </is>
      </c>
      <c r="AF221" s="7" t="inlineStr">
        <is>
          <t>WCI_REPORTED|USEC:ANCHORED|JEA:ASSUMPTION</t>
        </is>
      </c>
      <c r="AG221" s="17" t="b">
        <v>0</v>
      </c>
      <c r="AH221" s="17" t="b">
        <v>1</v>
      </c>
    </row>
    <row r="222">
      <c r="A222" s="11" t="n">
        <v>44875</v>
      </c>
      <c r="B222" s="13" t="n">
        <v>2272</v>
      </c>
      <c r="C222" s="13" t="n">
        <v>2285</v>
      </c>
      <c r="D222" s="13" t="n">
        <v>-13</v>
      </c>
      <c r="E222" s="13" t="n">
        <v>552600</v>
      </c>
      <c r="F222" s="13" t="n">
        <v>81.6815</v>
      </c>
      <c r="G222" s="6" t="n">
        <v>81.83329999999999</v>
      </c>
      <c r="H222" s="6" t="n">
        <v>82.14360000000001</v>
      </c>
      <c r="I222" s="14" t="n">
        <v>0.06458</v>
      </c>
      <c r="J222" s="14" t="n">
        <v>0.041326</v>
      </c>
      <c r="K222" s="14" t="n">
        <v>0.059</v>
      </c>
      <c r="L222" s="13" t="n">
        <v>200.8907</v>
      </c>
      <c r="M222" s="13" t="n">
        <v>201.6016</v>
      </c>
      <c r="N222" s="13" t="n">
        <v>202.6679</v>
      </c>
      <c r="O222" s="13" t="n">
        <v>15.57</v>
      </c>
      <c r="P222" s="13" t="n">
        <v>69.04000000000001</v>
      </c>
      <c r="Q222" s="12" t="n">
        <v>44895</v>
      </c>
      <c r="R222" s="12" t="n">
        <v>44925</v>
      </c>
      <c r="S222" s="8">
        <f>YEAR($Q222)*100+MONTH($Q222)</f>
        <v/>
      </c>
      <c r="T222" s="8">
        <f>YEAR($R222)*100+MONTH($R222)</f>
        <v/>
      </c>
      <c r="U222" s="15">
        <f>IF($A222&lt;=INDEX(pdates_wc_rate_inr_pa,1),INDEX(pvals_wc_rate_inr_pa,1),INDEX(pvals_wc_rate_inr_pa,MATCH($A222,pdates_wc_rate_inr_pa,1)))</f>
        <v/>
      </c>
      <c r="V222" s="8">
        <f>IF(AND($A222&gt;=customs_fx_first,$A222&lt;=customs_fx_last+customs_fx_notification_validity_days),IF($A222&lt;=INDEX(pdates_customs_usdinr_import,1),INDEX(pvals_customs_usdinr_import,1),INDEX(pvals_customs_usdinr_import,MATCH($A222,pdates_customs_usdinr_import,1))),$F222*(1+customs_fx_markup_frac))</f>
        <v/>
      </c>
      <c r="W222" s="8">
        <f>IF(AND($A222&gt;=customs_fx_first,$A222&lt;=customs_fx_last+customs_fx_notification_validity_days),"CBIC_NOTIFIED","MARKUP_FALLBACK")</f>
        <v/>
      </c>
      <c r="X222" s="8">
        <f>IF($A222&lt;=INDEX(pdates_grade_factor_zorba,1),INDEX(pvals_grade_factor_zorba,1),IF($A222&gt;=INDEX(pdates_grade_factor_zorba,10),INDEX(pvals_grade_factor_zorba,10),INDEX(pvals_grade_factor_zorba,MATCH($A222,pdates_grade_factor_zorba,1))+($A222-INDEX(pdates_grade_factor_zorba,MATCH($A222,pdates_grade_factor_zorba,1)))/(INDEX(pdates_grade_factor_zorba,MATCH($A222,pdates_grade_factor_zorba,1)+1)-INDEX(pdates_grade_factor_zorba,MATCH($A222,pdates_grade_factor_zorba,1)))*(INDEX(pvals_grade_factor_zorba,MATCH($A222,pdates_grade_factor_zorba,1)+1)-INDEX(pvals_grade_factor_zorba,MATCH($A222,pdates_grade_factor_zorba,1)))))</f>
        <v/>
      </c>
      <c r="Y222" s="8">
        <f>IF($A222&lt;=INDEX(pdates_grade_factor_taint_tabor,1),INDEX(pvals_grade_factor_taint_tabor,1),IF($A222&gt;=INDEX(pdates_grade_factor_taint_tabor,10),INDEX(pvals_grade_factor_taint_tabor,10),INDEX(pvals_grade_factor_taint_tabor,MATCH($A222,pdates_grade_factor_taint_tabor,1))+($A222-INDEX(pdates_grade_factor_taint_tabor,MATCH($A222,pdates_grade_factor_taint_tabor,1)))/(INDEX(pdates_grade_factor_taint_tabor,MATCH($A222,pdates_grade_factor_taint_tabor,1)+1)-INDEX(pdates_grade_factor_taint_tabor,MATCH($A222,pdates_grade_factor_taint_tabor,1)))*(INDEX(pvals_grade_factor_taint_tabor,MATCH($A222,pdates_grade_factor_taint_tabor,1)+1)-INDEX(pvals_grade_factor_taint_tabor,MATCH($A222,pdates_grade_factor_taint_tabor,1)))))</f>
        <v/>
      </c>
      <c r="Z222" s="8">
        <f>IF($A222&lt;=INDEX(pdates_grade_factor_tense,1),INDEX(pvals_grade_factor_tense,1),IF($A222&gt;=INDEX(pdates_grade_factor_tense,10),INDEX(pvals_grade_factor_tense,10),INDEX(pvals_grade_factor_tense,MATCH($A222,pdates_grade_factor_tense,1))+($A222-INDEX(pdates_grade_factor_tense,MATCH($A222,pdates_grade_factor_tense,1)))/(INDEX(pdates_grade_factor_tense,MATCH($A222,pdates_grade_factor_tense,1)+1)-INDEX(pdates_grade_factor_tense,MATCH($A222,pdates_grade_factor_tense,1)))*(INDEX(pvals_grade_factor_tense,MATCH($A222,pdates_grade_factor_tense,1)+1)-INDEX(pvals_grade_factor_tense,MATCH($A222,pdates_grade_factor_tense,1)))))</f>
        <v/>
      </c>
      <c r="AA222" s="8">
        <f>IF($A222&lt;=INDEX(pdates_grade_factor_mix_pit,1),INDEX(pvals_grade_factor_mix_pit,1),IF($A222&gt;=INDEX(pdates_grade_factor_mix_pit,10),INDEX(pvals_grade_factor_mix_pit,10),INDEX(pvals_grade_factor_mix_pit,MATCH($A222,pdates_grade_factor_mix_pit,1))+($A222-INDEX(pdates_grade_factor_mix_pit,MATCH($A222,pdates_grade_factor_mix_pit,1)))/(INDEX(pdates_grade_factor_mix_pit,MATCH($A222,pdates_grade_factor_mix_pit,1)+1)-INDEX(pdates_grade_factor_mix_pit,MATCH($A222,pdates_grade_factor_mix_pit,1)))*(INDEX(pvals_grade_factor_mix_pit,MATCH($A222,pdates_grade_factor_mix_pit,1)+1)-INDEX(pvals_grade_factor_mix_pit,MATCH($A222,pdates_grade_factor_mix_pit,1)))))</f>
        <v/>
      </c>
      <c r="AB222" s="16">
        <f>($B222*$F222/kg_per_mt*(1+bcd_primary_al_hs7601*(1+sws_rate_on_bcd))+mcx_domestic_premium_inr_kg)*(1+$I222*MAX(0,$Q222-$A222)/day_count_inr)</f>
        <v/>
      </c>
      <c r="AC222" s="16">
        <f>$M222-$AB222</f>
        <v/>
      </c>
      <c r="AD222" s="7" t="inlineStr">
        <is>
          <t>PROXY_IMPORT_PARITY</t>
        </is>
      </c>
      <c r="AE222" s="7" t="inlineStr">
        <is>
          <t>ECB_CROSS</t>
        </is>
      </c>
      <c r="AF222" s="7" t="inlineStr">
        <is>
          <t>WCI_INTERPOLATED|USEC:ANCHORED|JEA:ASSUMPTION</t>
        </is>
      </c>
      <c r="AG222" s="17" t="b">
        <v>0</v>
      </c>
      <c r="AH222" s="17" t="b">
        <v>0</v>
      </c>
    </row>
    <row r="223">
      <c r="A223" s="11" t="n">
        <v>44876</v>
      </c>
      <c r="B223" s="13" t="n">
        <v>2410</v>
      </c>
      <c r="C223" s="13" t="n">
        <v>2426</v>
      </c>
      <c r="D223" s="13" t="n">
        <v>-16</v>
      </c>
      <c r="E223" s="13" t="n">
        <v>549275</v>
      </c>
      <c r="F223" s="13" t="n">
        <v>80.73860000000001</v>
      </c>
      <c r="G223" s="6" t="n">
        <v>80.88849999999999</v>
      </c>
      <c r="H223" s="6" t="n">
        <v>81.1953</v>
      </c>
      <c r="I223" s="14" t="n">
        <v>0.06458</v>
      </c>
      <c r="J223" s="14" t="n">
        <v>0.041326</v>
      </c>
      <c r="K223" s="14" t="n">
        <v>0.059</v>
      </c>
      <c r="L223" s="13" t="n">
        <v>210.6329</v>
      </c>
      <c r="M223" s="13" t="n">
        <v>211.341</v>
      </c>
      <c r="N223" s="13" t="n">
        <v>212.459</v>
      </c>
      <c r="O223" s="13" t="n">
        <v>15.57</v>
      </c>
      <c r="P223" s="13" t="n">
        <v>69.04000000000001</v>
      </c>
      <c r="Q223" s="12" t="n">
        <v>44895</v>
      </c>
      <c r="R223" s="12" t="n">
        <v>44925</v>
      </c>
      <c r="S223" s="8">
        <f>YEAR($Q223)*100+MONTH($Q223)</f>
        <v/>
      </c>
      <c r="T223" s="8">
        <f>YEAR($R223)*100+MONTH($R223)</f>
        <v/>
      </c>
      <c r="U223" s="15">
        <f>IF($A223&lt;=INDEX(pdates_wc_rate_inr_pa,1),INDEX(pvals_wc_rate_inr_pa,1),INDEX(pvals_wc_rate_inr_pa,MATCH($A223,pdates_wc_rate_inr_pa,1)))</f>
        <v/>
      </c>
      <c r="V223" s="8">
        <f>IF(AND($A223&gt;=customs_fx_first,$A223&lt;=customs_fx_last+customs_fx_notification_validity_days),IF($A223&lt;=INDEX(pdates_customs_usdinr_import,1),INDEX(pvals_customs_usdinr_import,1),INDEX(pvals_customs_usdinr_import,MATCH($A223,pdates_customs_usdinr_import,1))),$F223*(1+customs_fx_markup_frac))</f>
        <v/>
      </c>
      <c r="W223" s="8">
        <f>IF(AND($A223&gt;=customs_fx_first,$A223&lt;=customs_fx_last+customs_fx_notification_validity_days),"CBIC_NOTIFIED","MARKUP_FALLBACK")</f>
        <v/>
      </c>
      <c r="X223" s="8">
        <f>IF($A223&lt;=INDEX(pdates_grade_factor_zorba,1),INDEX(pvals_grade_factor_zorba,1),IF($A223&gt;=INDEX(pdates_grade_factor_zorba,10),INDEX(pvals_grade_factor_zorba,10),INDEX(pvals_grade_factor_zorba,MATCH($A223,pdates_grade_factor_zorba,1))+($A223-INDEX(pdates_grade_factor_zorba,MATCH($A223,pdates_grade_factor_zorba,1)))/(INDEX(pdates_grade_factor_zorba,MATCH($A223,pdates_grade_factor_zorba,1)+1)-INDEX(pdates_grade_factor_zorba,MATCH($A223,pdates_grade_factor_zorba,1)))*(INDEX(pvals_grade_factor_zorba,MATCH($A223,pdates_grade_factor_zorba,1)+1)-INDEX(pvals_grade_factor_zorba,MATCH($A223,pdates_grade_factor_zorba,1)))))</f>
        <v/>
      </c>
      <c r="Y223" s="8">
        <f>IF($A223&lt;=INDEX(pdates_grade_factor_taint_tabor,1),INDEX(pvals_grade_factor_taint_tabor,1),IF($A223&gt;=INDEX(pdates_grade_factor_taint_tabor,10),INDEX(pvals_grade_factor_taint_tabor,10),INDEX(pvals_grade_factor_taint_tabor,MATCH($A223,pdates_grade_factor_taint_tabor,1))+($A223-INDEX(pdates_grade_factor_taint_tabor,MATCH($A223,pdates_grade_factor_taint_tabor,1)))/(INDEX(pdates_grade_factor_taint_tabor,MATCH($A223,pdates_grade_factor_taint_tabor,1)+1)-INDEX(pdates_grade_factor_taint_tabor,MATCH($A223,pdates_grade_factor_taint_tabor,1)))*(INDEX(pvals_grade_factor_taint_tabor,MATCH($A223,pdates_grade_factor_taint_tabor,1)+1)-INDEX(pvals_grade_factor_taint_tabor,MATCH($A223,pdates_grade_factor_taint_tabor,1)))))</f>
        <v/>
      </c>
      <c r="Z223" s="8">
        <f>IF($A223&lt;=INDEX(pdates_grade_factor_tense,1),INDEX(pvals_grade_factor_tense,1),IF($A223&gt;=INDEX(pdates_grade_factor_tense,10),INDEX(pvals_grade_factor_tense,10),INDEX(pvals_grade_factor_tense,MATCH($A223,pdates_grade_factor_tense,1))+($A223-INDEX(pdates_grade_factor_tense,MATCH($A223,pdates_grade_factor_tense,1)))/(INDEX(pdates_grade_factor_tense,MATCH($A223,pdates_grade_factor_tense,1)+1)-INDEX(pdates_grade_factor_tense,MATCH($A223,pdates_grade_factor_tense,1)))*(INDEX(pvals_grade_factor_tense,MATCH($A223,pdates_grade_factor_tense,1)+1)-INDEX(pvals_grade_factor_tense,MATCH($A223,pdates_grade_factor_tense,1)))))</f>
        <v/>
      </c>
      <c r="AA223" s="8">
        <f>IF($A223&lt;=INDEX(pdates_grade_factor_mix_pit,1),INDEX(pvals_grade_factor_mix_pit,1),IF($A223&gt;=INDEX(pdates_grade_factor_mix_pit,10),INDEX(pvals_grade_factor_mix_pit,10),INDEX(pvals_grade_factor_mix_pit,MATCH($A223,pdates_grade_factor_mix_pit,1))+($A223-INDEX(pdates_grade_factor_mix_pit,MATCH($A223,pdates_grade_factor_mix_pit,1)))/(INDEX(pdates_grade_factor_mix_pit,MATCH($A223,pdates_grade_factor_mix_pit,1)+1)-INDEX(pdates_grade_factor_mix_pit,MATCH($A223,pdates_grade_factor_mix_pit,1)))*(INDEX(pvals_grade_factor_mix_pit,MATCH($A223,pdates_grade_factor_mix_pit,1)+1)-INDEX(pvals_grade_factor_mix_pit,MATCH($A223,pdates_grade_factor_mix_pit,1)))))</f>
        <v/>
      </c>
      <c r="AB223" s="16">
        <f>($B223*$F223/kg_per_mt*(1+bcd_primary_al_hs7601*(1+sws_rate_on_bcd))+mcx_domestic_premium_inr_kg)*(1+$I223*MAX(0,$Q223-$A223)/day_count_inr)</f>
        <v/>
      </c>
      <c r="AC223" s="16">
        <f>$M223-$AB223</f>
        <v/>
      </c>
      <c r="AD223" s="7" t="inlineStr">
        <is>
          <t>PROXY_IMPORT_PARITY</t>
        </is>
      </c>
      <c r="AE223" s="7" t="inlineStr">
        <is>
          <t>ECB_CROSS</t>
        </is>
      </c>
      <c r="AF223" s="7" t="inlineStr">
        <is>
          <t>WCI_INTERPOLATED|USEC:ANCHORED|JEA:ASSUMPTION</t>
        </is>
      </c>
      <c r="AG223" s="17" t="b">
        <v>0</v>
      </c>
      <c r="AH223" s="17" t="b">
        <v>1</v>
      </c>
    </row>
    <row r="224">
      <c r="A224" s="11" t="n">
        <v>44879</v>
      </c>
      <c r="B224" s="13" t="n">
        <v>2392</v>
      </c>
      <c r="C224" s="13" t="n">
        <v>2418</v>
      </c>
      <c r="D224" s="13" t="n">
        <v>-26</v>
      </c>
      <c r="E224" s="13" t="n">
        <v>544025</v>
      </c>
      <c r="F224" s="13" t="n">
        <v>81.188</v>
      </c>
      <c r="G224" s="6" t="n">
        <v>81.3342</v>
      </c>
      <c r="H224" s="6" t="n">
        <v>81.633</v>
      </c>
      <c r="I224" s="14" t="n">
        <v>0.06458</v>
      </c>
      <c r="J224" s="14" t="n">
        <v>0.042016</v>
      </c>
      <c r="K224" s="14" t="n">
        <v>0.059</v>
      </c>
      <c r="L224" s="13" t="n">
        <v>210.2233</v>
      </c>
      <c r="M224" s="13" t="n">
        <v>210.8185</v>
      </c>
      <c r="N224" s="13" t="n">
        <v>211.9343</v>
      </c>
      <c r="O224" s="13" t="n">
        <v>15.57</v>
      </c>
      <c r="P224" s="13" t="n">
        <v>69.04000000000001</v>
      </c>
      <c r="Q224" s="12" t="n">
        <v>44895</v>
      </c>
      <c r="R224" s="12" t="n">
        <v>44925</v>
      </c>
      <c r="S224" s="8">
        <f>YEAR($Q224)*100+MONTH($Q224)</f>
        <v/>
      </c>
      <c r="T224" s="8">
        <f>YEAR($R224)*100+MONTH($R224)</f>
        <v/>
      </c>
      <c r="U224" s="15">
        <f>IF($A224&lt;=INDEX(pdates_wc_rate_inr_pa,1),INDEX(pvals_wc_rate_inr_pa,1),INDEX(pvals_wc_rate_inr_pa,MATCH($A224,pdates_wc_rate_inr_pa,1)))</f>
        <v/>
      </c>
      <c r="V224" s="8">
        <f>IF(AND($A224&gt;=customs_fx_first,$A224&lt;=customs_fx_last+customs_fx_notification_validity_days),IF($A224&lt;=INDEX(pdates_customs_usdinr_import,1),INDEX(pvals_customs_usdinr_import,1),INDEX(pvals_customs_usdinr_import,MATCH($A224,pdates_customs_usdinr_import,1))),$F224*(1+customs_fx_markup_frac))</f>
        <v/>
      </c>
      <c r="W224" s="8">
        <f>IF(AND($A224&gt;=customs_fx_first,$A224&lt;=customs_fx_last+customs_fx_notification_validity_days),"CBIC_NOTIFIED","MARKUP_FALLBACK")</f>
        <v/>
      </c>
      <c r="X224" s="8">
        <f>IF($A224&lt;=INDEX(pdates_grade_factor_zorba,1),INDEX(pvals_grade_factor_zorba,1),IF($A224&gt;=INDEX(pdates_grade_factor_zorba,10),INDEX(pvals_grade_factor_zorba,10),INDEX(pvals_grade_factor_zorba,MATCH($A224,pdates_grade_factor_zorba,1))+($A224-INDEX(pdates_grade_factor_zorba,MATCH($A224,pdates_grade_factor_zorba,1)))/(INDEX(pdates_grade_factor_zorba,MATCH($A224,pdates_grade_factor_zorba,1)+1)-INDEX(pdates_grade_factor_zorba,MATCH($A224,pdates_grade_factor_zorba,1)))*(INDEX(pvals_grade_factor_zorba,MATCH($A224,pdates_grade_factor_zorba,1)+1)-INDEX(pvals_grade_factor_zorba,MATCH($A224,pdates_grade_factor_zorba,1)))))</f>
        <v/>
      </c>
      <c r="Y224" s="8">
        <f>IF($A224&lt;=INDEX(pdates_grade_factor_taint_tabor,1),INDEX(pvals_grade_factor_taint_tabor,1),IF($A224&gt;=INDEX(pdates_grade_factor_taint_tabor,10),INDEX(pvals_grade_factor_taint_tabor,10),INDEX(pvals_grade_factor_taint_tabor,MATCH($A224,pdates_grade_factor_taint_tabor,1))+($A224-INDEX(pdates_grade_factor_taint_tabor,MATCH($A224,pdates_grade_factor_taint_tabor,1)))/(INDEX(pdates_grade_factor_taint_tabor,MATCH($A224,pdates_grade_factor_taint_tabor,1)+1)-INDEX(pdates_grade_factor_taint_tabor,MATCH($A224,pdates_grade_factor_taint_tabor,1)))*(INDEX(pvals_grade_factor_taint_tabor,MATCH($A224,pdates_grade_factor_taint_tabor,1)+1)-INDEX(pvals_grade_factor_taint_tabor,MATCH($A224,pdates_grade_factor_taint_tabor,1)))))</f>
        <v/>
      </c>
      <c r="Z224" s="8">
        <f>IF($A224&lt;=INDEX(pdates_grade_factor_tense,1),INDEX(pvals_grade_factor_tense,1),IF($A224&gt;=INDEX(pdates_grade_factor_tense,10),INDEX(pvals_grade_factor_tense,10),INDEX(pvals_grade_factor_tense,MATCH($A224,pdates_grade_factor_tense,1))+($A224-INDEX(pdates_grade_factor_tense,MATCH($A224,pdates_grade_factor_tense,1)))/(INDEX(pdates_grade_factor_tense,MATCH($A224,pdates_grade_factor_tense,1)+1)-INDEX(pdates_grade_factor_tense,MATCH($A224,pdates_grade_factor_tense,1)))*(INDEX(pvals_grade_factor_tense,MATCH($A224,pdates_grade_factor_tense,1)+1)-INDEX(pvals_grade_factor_tense,MATCH($A224,pdates_grade_factor_tense,1)))))</f>
        <v/>
      </c>
      <c r="AA224" s="8">
        <f>IF($A224&lt;=INDEX(pdates_grade_factor_mix_pit,1),INDEX(pvals_grade_factor_mix_pit,1),IF($A224&gt;=INDEX(pdates_grade_factor_mix_pit,10),INDEX(pvals_grade_factor_mix_pit,10),INDEX(pvals_grade_factor_mix_pit,MATCH($A224,pdates_grade_factor_mix_pit,1))+($A224-INDEX(pdates_grade_factor_mix_pit,MATCH($A224,pdates_grade_factor_mix_pit,1)))/(INDEX(pdates_grade_factor_mix_pit,MATCH($A224,pdates_grade_factor_mix_pit,1)+1)-INDEX(pdates_grade_factor_mix_pit,MATCH($A224,pdates_grade_factor_mix_pit,1)))*(INDEX(pvals_grade_factor_mix_pit,MATCH($A224,pdates_grade_factor_mix_pit,1)+1)-INDEX(pvals_grade_factor_mix_pit,MATCH($A224,pdates_grade_factor_mix_pit,1)))))</f>
        <v/>
      </c>
      <c r="AB224" s="16">
        <f>($B224*$F224/kg_per_mt*(1+bcd_primary_al_hs7601*(1+sws_rate_on_bcd))+mcx_domestic_premium_inr_kg)*(1+$I224*MAX(0,$Q224-$A224)/day_count_inr)</f>
        <v/>
      </c>
      <c r="AC224" s="16">
        <f>$M224-$AB224</f>
        <v/>
      </c>
      <c r="AD224" s="7" t="inlineStr">
        <is>
          <t>PROXY_IMPORT_PARITY</t>
        </is>
      </c>
      <c r="AE224" s="7" t="inlineStr">
        <is>
          <t>ECB_CROSS</t>
        </is>
      </c>
      <c r="AF224" s="7" t="inlineStr">
        <is>
          <t>WCI_INTERPOLATED|USEC:ANCHORED|JEA:ASSUMPTION</t>
        </is>
      </c>
      <c r="AG224" s="17" t="b">
        <v>0</v>
      </c>
      <c r="AH224" s="17" t="b">
        <v>1</v>
      </c>
    </row>
    <row r="225">
      <c r="A225" s="11" t="n">
        <v>44880</v>
      </c>
      <c r="B225" s="13" t="n">
        <v>2410</v>
      </c>
      <c r="C225" s="13" t="n">
        <v>2445</v>
      </c>
      <c r="D225" s="13" t="n">
        <v>-35</v>
      </c>
      <c r="E225" s="13" t="n">
        <v>538825</v>
      </c>
      <c r="F225" s="13" t="n">
        <v>80.8635</v>
      </c>
      <c r="G225" s="6" t="n">
        <v>81.0104</v>
      </c>
      <c r="H225" s="6" t="n">
        <v>81.3108</v>
      </c>
      <c r="I225" s="14" t="n">
        <v>0.06458</v>
      </c>
      <c r="J225" s="14" t="n">
        <v>0.041819</v>
      </c>
      <c r="K225" s="14" t="n">
        <v>0.059</v>
      </c>
      <c r="L225" s="13" t="n">
        <v>210.9587</v>
      </c>
      <c r="M225" s="13" t="n">
        <v>211.5186</v>
      </c>
      <c r="N225" s="13" t="n">
        <v>212.6384</v>
      </c>
      <c r="O225" s="13" t="n">
        <v>15.57</v>
      </c>
      <c r="P225" s="13" t="n">
        <v>69.04000000000001</v>
      </c>
      <c r="Q225" s="12" t="n">
        <v>44895</v>
      </c>
      <c r="R225" s="12" t="n">
        <v>44925</v>
      </c>
      <c r="S225" s="8">
        <f>YEAR($Q225)*100+MONTH($Q225)</f>
        <v/>
      </c>
      <c r="T225" s="8">
        <f>YEAR($R225)*100+MONTH($R225)</f>
        <v/>
      </c>
      <c r="U225" s="15">
        <f>IF($A225&lt;=INDEX(pdates_wc_rate_inr_pa,1),INDEX(pvals_wc_rate_inr_pa,1),INDEX(pvals_wc_rate_inr_pa,MATCH($A225,pdates_wc_rate_inr_pa,1)))</f>
        <v/>
      </c>
      <c r="V225" s="8">
        <f>IF(AND($A225&gt;=customs_fx_first,$A225&lt;=customs_fx_last+customs_fx_notification_validity_days),IF($A225&lt;=INDEX(pdates_customs_usdinr_import,1),INDEX(pvals_customs_usdinr_import,1),INDEX(pvals_customs_usdinr_import,MATCH($A225,pdates_customs_usdinr_import,1))),$F225*(1+customs_fx_markup_frac))</f>
        <v/>
      </c>
      <c r="W225" s="8">
        <f>IF(AND($A225&gt;=customs_fx_first,$A225&lt;=customs_fx_last+customs_fx_notification_validity_days),"CBIC_NOTIFIED","MARKUP_FALLBACK")</f>
        <v/>
      </c>
      <c r="X225" s="8">
        <f>IF($A225&lt;=INDEX(pdates_grade_factor_zorba,1),INDEX(pvals_grade_factor_zorba,1),IF($A225&gt;=INDEX(pdates_grade_factor_zorba,10),INDEX(pvals_grade_factor_zorba,10),INDEX(pvals_grade_factor_zorba,MATCH($A225,pdates_grade_factor_zorba,1))+($A225-INDEX(pdates_grade_factor_zorba,MATCH($A225,pdates_grade_factor_zorba,1)))/(INDEX(pdates_grade_factor_zorba,MATCH($A225,pdates_grade_factor_zorba,1)+1)-INDEX(pdates_grade_factor_zorba,MATCH($A225,pdates_grade_factor_zorba,1)))*(INDEX(pvals_grade_factor_zorba,MATCH($A225,pdates_grade_factor_zorba,1)+1)-INDEX(pvals_grade_factor_zorba,MATCH($A225,pdates_grade_factor_zorba,1)))))</f>
        <v/>
      </c>
      <c r="Y225" s="8">
        <f>IF($A225&lt;=INDEX(pdates_grade_factor_taint_tabor,1),INDEX(pvals_grade_factor_taint_tabor,1),IF($A225&gt;=INDEX(pdates_grade_factor_taint_tabor,10),INDEX(pvals_grade_factor_taint_tabor,10),INDEX(pvals_grade_factor_taint_tabor,MATCH($A225,pdates_grade_factor_taint_tabor,1))+($A225-INDEX(pdates_grade_factor_taint_tabor,MATCH($A225,pdates_grade_factor_taint_tabor,1)))/(INDEX(pdates_grade_factor_taint_tabor,MATCH($A225,pdates_grade_factor_taint_tabor,1)+1)-INDEX(pdates_grade_factor_taint_tabor,MATCH($A225,pdates_grade_factor_taint_tabor,1)))*(INDEX(pvals_grade_factor_taint_tabor,MATCH($A225,pdates_grade_factor_taint_tabor,1)+1)-INDEX(pvals_grade_factor_taint_tabor,MATCH($A225,pdates_grade_factor_taint_tabor,1)))))</f>
        <v/>
      </c>
      <c r="Z225" s="8">
        <f>IF($A225&lt;=INDEX(pdates_grade_factor_tense,1),INDEX(pvals_grade_factor_tense,1),IF($A225&gt;=INDEX(pdates_grade_factor_tense,10),INDEX(pvals_grade_factor_tense,10),INDEX(pvals_grade_factor_tense,MATCH($A225,pdates_grade_factor_tense,1))+($A225-INDEX(pdates_grade_factor_tense,MATCH($A225,pdates_grade_factor_tense,1)))/(INDEX(pdates_grade_factor_tense,MATCH($A225,pdates_grade_factor_tense,1)+1)-INDEX(pdates_grade_factor_tense,MATCH($A225,pdates_grade_factor_tense,1)))*(INDEX(pvals_grade_factor_tense,MATCH($A225,pdates_grade_factor_tense,1)+1)-INDEX(pvals_grade_factor_tense,MATCH($A225,pdates_grade_factor_tense,1)))))</f>
        <v/>
      </c>
      <c r="AA225" s="8">
        <f>IF($A225&lt;=INDEX(pdates_grade_factor_mix_pit,1),INDEX(pvals_grade_factor_mix_pit,1),IF($A225&gt;=INDEX(pdates_grade_factor_mix_pit,10),INDEX(pvals_grade_factor_mix_pit,10),INDEX(pvals_grade_factor_mix_pit,MATCH($A225,pdates_grade_factor_mix_pit,1))+($A225-INDEX(pdates_grade_factor_mix_pit,MATCH($A225,pdates_grade_factor_mix_pit,1)))/(INDEX(pdates_grade_factor_mix_pit,MATCH($A225,pdates_grade_factor_mix_pit,1)+1)-INDEX(pdates_grade_factor_mix_pit,MATCH($A225,pdates_grade_factor_mix_pit,1)))*(INDEX(pvals_grade_factor_mix_pit,MATCH($A225,pdates_grade_factor_mix_pit,1)+1)-INDEX(pvals_grade_factor_mix_pit,MATCH($A225,pdates_grade_factor_mix_pit,1)))))</f>
        <v/>
      </c>
      <c r="AB225" s="16">
        <f>($B225*$F225/kg_per_mt*(1+bcd_primary_al_hs7601*(1+sws_rate_on_bcd))+mcx_domestic_premium_inr_kg)*(1+$I225*MAX(0,$Q225-$A225)/day_count_inr)</f>
        <v/>
      </c>
      <c r="AC225" s="16">
        <f>$M225-$AB225</f>
        <v/>
      </c>
      <c r="AD225" s="7" t="inlineStr">
        <is>
          <t>PROXY_IMPORT_PARITY</t>
        </is>
      </c>
      <c r="AE225" s="7" t="inlineStr">
        <is>
          <t>ECB_CROSS</t>
        </is>
      </c>
      <c r="AF225" s="7" t="inlineStr">
        <is>
          <t>WCI_INTERPOLATED|USEC:ANCHORED|JEA:ASSUMPTION</t>
        </is>
      </c>
      <c r="AG225" s="17" t="b">
        <v>0</v>
      </c>
      <c r="AH225" s="17" t="b">
        <v>1</v>
      </c>
    </row>
    <row r="226">
      <c r="A226" s="11" t="n">
        <v>44881</v>
      </c>
      <c r="B226" s="13" t="n">
        <v>2393</v>
      </c>
      <c r="C226" s="13" t="n">
        <v>2420</v>
      </c>
      <c r="D226" s="13" t="n">
        <v>-27</v>
      </c>
      <c r="E226" s="13" t="n">
        <v>532975</v>
      </c>
      <c r="F226" s="13" t="n">
        <v>81.2433</v>
      </c>
      <c r="G226" s="6" t="n">
        <v>81.3909</v>
      </c>
      <c r="H226" s="6" t="n">
        <v>81.6927</v>
      </c>
      <c r="I226" s="14" t="n">
        <v>0.06458</v>
      </c>
      <c r="J226" s="14" t="n">
        <v>0.041819</v>
      </c>
      <c r="K226" s="14" t="n">
        <v>0.059</v>
      </c>
      <c r="L226" s="13" t="n">
        <v>210.4545</v>
      </c>
      <c r="M226" s="13" t="n">
        <v>210.9758</v>
      </c>
      <c r="N226" s="13" t="n">
        <v>212.0929</v>
      </c>
      <c r="O226" s="13" t="n">
        <v>15.57</v>
      </c>
      <c r="P226" s="13" t="n">
        <v>69.04000000000001</v>
      </c>
      <c r="Q226" s="12" t="n">
        <v>44895</v>
      </c>
      <c r="R226" s="12" t="n">
        <v>44925</v>
      </c>
      <c r="S226" s="8">
        <f>YEAR($Q226)*100+MONTH($Q226)</f>
        <v/>
      </c>
      <c r="T226" s="8">
        <f>YEAR($R226)*100+MONTH($R226)</f>
        <v/>
      </c>
      <c r="U226" s="15">
        <f>IF($A226&lt;=INDEX(pdates_wc_rate_inr_pa,1),INDEX(pvals_wc_rate_inr_pa,1),INDEX(pvals_wc_rate_inr_pa,MATCH($A226,pdates_wc_rate_inr_pa,1)))</f>
        <v/>
      </c>
      <c r="V226" s="8">
        <f>IF(AND($A226&gt;=customs_fx_first,$A226&lt;=customs_fx_last+customs_fx_notification_validity_days),IF($A226&lt;=INDEX(pdates_customs_usdinr_import,1),INDEX(pvals_customs_usdinr_import,1),INDEX(pvals_customs_usdinr_import,MATCH($A226,pdates_customs_usdinr_import,1))),$F226*(1+customs_fx_markup_frac))</f>
        <v/>
      </c>
      <c r="W226" s="8">
        <f>IF(AND($A226&gt;=customs_fx_first,$A226&lt;=customs_fx_last+customs_fx_notification_validity_days),"CBIC_NOTIFIED","MARKUP_FALLBACK")</f>
        <v/>
      </c>
      <c r="X226" s="8">
        <f>IF($A226&lt;=INDEX(pdates_grade_factor_zorba,1),INDEX(pvals_grade_factor_zorba,1),IF($A226&gt;=INDEX(pdates_grade_factor_zorba,10),INDEX(pvals_grade_factor_zorba,10),INDEX(pvals_grade_factor_zorba,MATCH($A226,pdates_grade_factor_zorba,1))+($A226-INDEX(pdates_grade_factor_zorba,MATCH($A226,pdates_grade_factor_zorba,1)))/(INDEX(pdates_grade_factor_zorba,MATCH($A226,pdates_grade_factor_zorba,1)+1)-INDEX(pdates_grade_factor_zorba,MATCH($A226,pdates_grade_factor_zorba,1)))*(INDEX(pvals_grade_factor_zorba,MATCH($A226,pdates_grade_factor_zorba,1)+1)-INDEX(pvals_grade_factor_zorba,MATCH($A226,pdates_grade_factor_zorba,1)))))</f>
        <v/>
      </c>
      <c r="Y226" s="8">
        <f>IF($A226&lt;=INDEX(pdates_grade_factor_taint_tabor,1),INDEX(pvals_grade_factor_taint_tabor,1),IF($A226&gt;=INDEX(pdates_grade_factor_taint_tabor,10),INDEX(pvals_grade_factor_taint_tabor,10),INDEX(pvals_grade_factor_taint_tabor,MATCH($A226,pdates_grade_factor_taint_tabor,1))+($A226-INDEX(pdates_grade_factor_taint_tabor,MATCH($A226,pdates_grade_factor_taint_tabor,1)))/(INDEX(pdates_grade_factor_taint_tabor,MATCH($A226,pdates_grade_factor_taint_tabor,1)+1)-INDEX(pdates_grade_factor_taint_tabor,MATCH($A226,pdates_grade_factor_taint_tabor,1)))*(INDEX(pvals_grade_factor_taint_tabor,MATCH($A226,pdates_grade_factor_taint_tabor,1)+1)-INDEX(pvals_grade_factor_taint_tabor,MATCH($A226,pdates_grade_factor_taint_tabor,1)))))</f>
        <v/>
      </c>
      <c r="Z226" s="8">
        <f>IF($A226&lt;=INDEX(pdates_grade_factor_tense,1),INDEX(pvals_grade_factor_tense,1),IF($A226&gt;=INDEX(pdates_grade_factor_tense,10),INDEX(pvals_grade_factor_tense,10),INDEX(pvals_grade_factor_tense,MATCH($A226,pdates_grade_factor_tense,1))+($A226-INDEX(pdates_grade_factor_tense,MATCH($A226,pdates_grade_factor_tense,1)))/(INDEX(pdates_grade_factor_tense,MATCH($A226,pdates_grade_factor_tense,1)+1)-INDEX(pdates_grade_factor_tense,MATCH($A226,pdates_grade_factor_tense,1)))*(INDEX(pvals_grade_factor_tense,MATCH($A226,pdates_grade_factor_tense,1)+1)-INDEX(pvals_grade_factor_tense,MATCH($A226,pdates_grade_factor_tense,1)))))</f>
        <v/>
      </c>
      <c r="AA226" s="8">
        <f>IF($A226&lt;=INDEX(pdates_grade_factor_mix_pit,1),INDEX(pvals_grade_factor_mix_pit,1),IF($A226&gt;=INDEX(pdates_grade_factor_mix_pit,10),INDEX(pvals_grade_factor_mix_pit,10),INDEX(pvals_grade_factor_mix_pit,MATCH($A226,pdates_grade_factor_mix_pit,1))+($A226-INDEX(pdates_grade_factor_mix_pit,MATCH($A226,pdates_grade_factor_mix_pit,1)))/(INDEX(pdates_grade_factor_mix_pit,MATCH($A226,pdates_grade_factor_mix_pit,1)+1)-INDEX(pdates_grade_factor_mix_pit,MATCH($A226,pdates_grade_factor_mix_pit,1)))*(INDEX(pvals_grade_factor_mix_pit,MATCH($A226,pdates_grade_factor_mix_pit,1)+1)-INDEX(pvals_grade_factor_mix_pit,MATCH($A226,pdates_grade_factor_mix_pit,1)))))</f>
        <v/>
      </c>
      <c r="AB226" s="16">
        <f>($B226*$F226/kg_per_mt*(1+bcd_primary_al_hs7601*(1+sws_rate_on_bcd))+mcx_domestic_premium_inr_kg)*(1+$I226*MAX(0,$Q226-$A226)/day_count_inr)</f>
        <v/>
      </c>
      <c r="AC226" s="16">
        <f>$M226-$AB226</f>
        <v/>
      </c>
      <c r="AD226" s="7" t="inlineStr">
        <is>
          <t>PROXY_IMPORT_PARITY</t>
        </is>
      </c>
      <c r="AE226" s="7" t="inlineStr">
        <is>
          <t>ECB_CROSS</t>
        </is>
      </c>
      <c r="AF226" s="7" t="inlineStr">
        <is>
          <t>WCI_INTERPOLATED|USEC:ANCHORED|JEA:ASSUMPTION</t>
        </is>
      </c>
      <c r="AG226" s="17" t="b">
        <v>0</v>
      </c>
      <c r="AH226" s="17" t="b">
        <v>1</v>
      </c>
    </row>
    <row r="227">
      <c r="A227" s="11" t="n">
        <v>44882</v>
      </c>
      <c r="B227" s="13" t="n">
        <v>2342.5</v>
      </c>
      <c r="C227" s="13" t="n">
        <v>2371</v>
      </c>
      <c r="D227" s="13" t="n">
        <v>-28.5</v>
      </c>
      <c r="E227" s="13" t="n">
        <v>528250</v>
      </c>
      <c r="F227" s="13" t="n">
        <v>81.7851</v>
      </c>
      <c r="G227" s="6" t="n">
        <v>81.93429999999999</v>
      </c>
      <c r="H227" s="6" t="n">
        <v>82.23950000000001</v>
      </c>
      <c r="I227" s="14" t="n">
        <v>0.06458</v>
      </c>
      <c r="J227" s="14" t="n">
        <v>0.041721</v>
      </c>
      <c r="K227" s="14" t="n">
        <v>0.059</v>
      </c>
      <c r="L227" s="13" t="n">
        <v>207.3871</v>
      </c>
      <c r="M227" s="13" t="n">
        <v>207.8641</v>
      </c>
      <c r="N227" s="13" t="n">
        <v>208.9649</v>
      </c>
      <c r="O227" s="13" t="n">
        <v>15.3</v>
      </c>
      <c r="P227" s="13" t="n">
        <v>67.86</v>
      </c>
      <c r="Q227" s="12" t="n">
        <v>44895</v>
      </c>
      <c r="R227" s="12" t="n">
        <v>44925</v>
      </c>
      <c r="S227" s="8">
        <f>YEAR($Q227)*100+MONTH($Q227)</f>
        <v/>
      </c>
      <c r="T227" s="8">
        <f>YEAR($R227)*100+MONTH($R227)</f>
        <v/>
      </c>
      <c r="U227" s="15">
        <f>IF($A227&lt;=INDEX(pdates_wc_rate_inr_pa,1),INDEX(pvals_wc_rate_inr_pa,1),INDEX(pvals_wc_rate_inr_pa,MATCH($A227,pdates_wc_rate_inr_pa,1)))</f>
        <v/>
      </c>
      <c r="V227" s="8">
        <f>IF(AND($A227&gt;=customs_fx_first,$A227&lt;=customs_fx_last+customs_fx_notification_validity_days),IF($A227&lt;=INDEX(pdates_customs_usdinr_import,1),INDEX(pvals_customs_usdinr_import,1),INDEX(pvals_customs_usdinr_import,MATCH($A227,pdates_customs_usdinr_import,1))),$F227*(1+customs_fx_markup_frac))</f>
        <v/>
      </c>
      <c r="W227" s="8">
        <f>IF(AND($A227&gt;=customs_fx_first,$A227&lt;=customs_fx_last+customs_fx_notification_validity_days),"CBIC_NOTIFIED","MARKUP_FALLBACK")</f>
        <v/>
      </c>
      <c r="X227" s="8">
        <f>IF($A227&lt;=INDEX(pdates_grade_factor_zorba,1),INDEX(pvals_grade_factor_zorba,1),IF($A227&gt;=INDEX(pdates_grade_factor_zorba,10),INDEX(pvals_grade_factor_zorba,10),INDEX(pvals_grade_factor_zorba,MATCH($A227,pdates_grade_factor_zorba,1))+($A227-INDEX(pdates_grade_factor_zorba,MATCH($A227,pdates_grade_factor_zorba,1)))/(INDEX(pdates_grade_factor_zorba,MATCH($A227,pdates_grade_factor_zorba,1)+1)-INDEX(pdates_grade_factor_zorba,MATCH($A227,pdates_grade_factor_zorba,1)))*(INDEX(pvals_grade_factor_zorba,MATCH($A227,pdates_grade_factor_zorba,1)+1)-INDEX(pvals_grade_factor_zorba,MATCH($A227,pdates_grade_factor_zorba,1)))))</f>
        <v/>
      </c>
      <c r="Y227" s="8">
        <f>IF($A227&lt;=INDEX(pdates_grade_factor_taint_tabor,1),INDEX(pvals_grade_factor_taint_tabor,1),IF($A227&gt;=INDEX(pdates_grade_factor_taint_tabor,10),INDEX(pvals_grade_factor_taint_tabor,10),INDEX(pvals_grade_factor_taint_tabor,MATCH($A227,pdates_grade_factor_taint_tabor,1))+($A227-INDEX(pdates_grade_factor_taint_tabor,MATCH($A227,pdates_grade_factor_taint_tabor,1)))/(INDEX(pdates_grade_factor_taint_tabor,MATCH($A227,pdates_grade_factor_taint_tabor,1)+1)-INDEX(pdates_grade_factor_taint_tabor,MATCH($A227,pdates_grade_factor_taint_tabor,1)))*(INDEX(pvals_grade_factor_taint_tabor,MATCH($A227,pdates_grade_factor_taint_tabor,1)+1)-INDEX(pvals_grade_factor_taint_tabor,MATCH($A227,pdates_grade_factor_taint_tabor,1)))))</f>
        <v/>
      </c>
      <c r="Z227" s="8">
        <f>IF($A227&lt;=INDEX(pdates_grade_factor_tense,1),INDEX(pvals_grade_factor_tense,1),IF($A227&gt;=INDEX(pdates_grade_factor_tense,10),INDEX(pvals_grade_factor_tense,10),INDEX(pvals_grade_factor_tense,MATCH($A227,pdates_grade_factor_tense,1))+($A227-INDEX(pdates_grade_factor_tense,MATCH($A227,pdates_grade_factor_tense,1)))/(INDEX(pdates_grade_factor_tense,MATCH($A227,pdates_grade_factor_tense,1)+1)-INDEX(pdates_grade_factor_tense,MATCH($A227,pdates_grade_factor_tense,1)))*(INDEX(pvals_grade_factor_tense,MATCH($A227,pdates_grade_factor_tense,1)+1)-INDEX(pvals_grade_factor_tense,MATCH($A227,pdates_grade_factor_tense,1)))))</f>
        <v/>
      </c>
      <c r="AA227" s="8">
        <f>IF($A227&lt;=INDEX(pdates_grade_factor_mix_pit,1),INDEX(pvals_grade_factor_mix_pit,1),IF($A227&gt;=INDEX(pdates_grade_factor_mix_pit,10),INDEX(pvals_grade_factor_mix_pit,10),INDEX(pvals_grade_factor_mix_pit,MATCH($A227,pdates_grade_factor_mix_pit,1))+($A227-INDEX(pdates_grade_factor_mix_pit,MATCH($A227,pdates_grade_factor_mix_pit,1)))/(INDEX(pdates_grade_factor_mix_pit,MATCH($A227,pdates_grade_factor_mix_pit,1)+1)-INDEX(pdates_grade_factor_mix_pit,MATCH($A227,pdates_grade_factor_mix_pit,1)))*(INDEX(pvals_grade_factor_mix_pit,MATCH($A227,pdates_grade_factor_mix_pit,1)+1)-INDEX(pvals_grade_factor_mix_pit,MATCH($A227,pdates_grade_factor_mix_pit,1)))))</f>
        <v/>
      </c>
      <c r="AB227" s="16">
        <f>($B227*$F227/kg_per_mt*(1+bcd_primary_al_hs7601*(1+sws_rate_on_bcd))+mcx_domestic_premium_inr_kg)*(1+$I227*MAX(0,$Q227-$A227)/day_count_inr)</f>
        <v/>
      </c>
      <c r="AC227" s="16">
        <f>$M227-$AB227</f>
        <v/>
      </c>
      <c r="AD227" s="7" t="inlineStr">
        <is>
          <t>PROXY_IMPORT_PARITY</t>
        </is>
      </c>
      <c r="AE227" s="7" t="inlineStr">
        <is>
          <t>ECB_CROSS</t>
        </is>
      </c>
      <c r="AF227" s="7" t="inlineStr">
        <is>
          <t>WCI_DERIVED|USEC:ANCHORED|JEA:ASSUMPTION</t>
        </is>
      </c>
      <c r="AG227" s="17" t="b">
        <v>0</v>
      </c>
      <c r="AH227" s="17" t="b">
        <v>0</v>
      </c>
    </row>
    <row r="228">
      <c r="A228" s="11" t="n">
        <v>44883</v>
      </c>
      <c r="B228" s="13" t="n">
        <v>2369</v>
      </c>
      <c r="C228" s="13" t="n">
        <v>2400</v>
      </c>
      <c r="D228" s="13" t="n">
        <v>-31</v>
      </c>
      <c r="E228" s="13" t="n">
        <v>524375</v>
      </c>
      <c r="F228" s="13" t="n">
        <v>81.6974</v>
      </c>
      <c r="G228" s="6" t="n">
        <v>81.8451</v>
      </c>
      <c r="H228" s="6" t="n">
        <v>82.1472</v>
      </c>
      <c r="I228" s="14" t="n">
        <v>0.06458</v>
      </c>
      <c r="J228" s="14" t="n">
        <v>0.041918</v>
      </c>
      <c r="K228" s="14" t="n">
        <v>0.059</v>
      </c>
      <c r="L228" s="13" t="n">
        <v>209.5083</v>
      </c>
      <c r="M228" s="13" t="n">
        <v>209.9531</v>
      </c>
      <c r="N228" s="13" t="n">
        <v>211.0652</v>
      </c>
      <c r="O228" s="13" t="n">
        <v>15.3</v>
      </c>
      <c r="P228" s="13" t="n">
        <v>67.86</v>
      </c>
      <c r="Q228" s="12" t="n">
        <v>44895</v>
      </c>
      <c r="R228" s="12" t="n">
        <v>44925</v>
      </c>
      <c r="S228" s="8">
        <f>YEAR($Q228)*100+MONTH($Q228)</f>
        <v/>
      </c>
      <c r="T228" s="8">
        <f>YEAR($R228)*100+MONTH($R228)</f>
        <v/>
      </c>
      <c r="U228" s="15">
        <f>IF($A228&lt;=INDEX(pdates_wc_rate_inr_pa,1),INDEX(pvals_wc_rate_inr_pa,1),INDEX(pvals_wc_rate_inr_pa,MATCH($A228,pdates_wc_rate_inr_pa,1)))</f>
        <v/>
      </c>
      <c r="V228" s="8">
        <f>IF(AND($A228&gt;=customs_fx_first,$A228&lt;=customs_fx_last+customs_fx_notification_validity_days),IF($A228&lt;=INDEX(pdates_customs_usdinr_import,1),INDEX(pvals_customs_usdinr_import,1),INDEX(pvals_customs_usdinr_import,MATCH($A228,pdates_customs_usdinr_import,1))),$F228*(1+customs_fx_markup_frac))</f>
        <v/>
      </c>
      <c r="W228" s="8">
        <f>IF(AND($A228&gt;=customs_fx_first,$A228&lt;=customs_fx_last+customs_fx_notification_validity_days),"CBIC_NOTIFIED","MARKUP_FALLBACK")</f>
        <v/>
      </c>
      <c r="X228" s="8">
        <f>IF($A228&lt;=INDEX(pdates_grade_factor_zorba,1),INDEX(pvals_grade_factor_zorba,1),IF($A228&gt;=INDEX(pdates_grade_factor_zorba,10),INDEX(pvals_grade_factor_zorba,10),INDEX(pvals_grade_factor_zorba,MATCH($A228,pdates_grade_factor_zorba,1))+($A228-INDEX(pdates_grade_factor_zorba,MATCH($A228,pdates_grade_factor_zorba,1)))/(INDEX(pdates_grade_factor_zorba,MATCH($A228,pdates_grade_factor_zorba,1)+1)-INDEX(pdates_grade_factor_zorba,MATCH($A228,pdates_grade_factor_zorba,1)))*(INDEX(pvals_grade_factor_zorba,MATCH($A228,pdates_grade_factor_zorba,1)+1)-INDEX(pvals_grade_factor_zorba,MATCH($A228,pdates_grade_factor_zorba,1)))))</f>
        <v/>
      </c>
      <c r="Y228" s="8">
        <f>IF($A228&lt;=INDEX(pdates_grade_factor_taint_tabor,1),INDEX(pvals_grade_factor_taint_tabor,1),IF($A228&gt;=INDEX(pdates_grade_factor_taint_tabor,10),INDEX(pvals_grade_factor_taint_tabor,10),INDEX(pvals_grade_factor_taint_tabor,MATCH($A228,pdates_grade_factor_taint_tabor,1))+($A228-INDEX(pdates_grade_factor_taint_tabor,MATCH($A228,pdates_grade_factor_taint_tabor,1)))/(INDEX(pdates_grade_factor_taint_tabor,MATCH($A228,pdates_grade_factor_taint_tabor,1)+1)-INDEX(pdates_grade_factor_taint_tabor,MATCH($A228,pdates_grade_factor_taint_tabor,1)))*(INDEX(pvals_grade_factor_taint_tabor,MATCH($A228,pdates_grade_factor_taint_tabor,1)+1)-INDEX(pvals_grade_factor_taint_tabor,MATCH($A228,pdates_grade_factor_taint_tabor,1)))))</f>
        <v/>
      </c>
      <c r="Z228" s="8">
        <f>IF($A228&lt;=INDEX(pdates_grade_factor_tense,1),INDEX(pvals_grade_factor_tense,1),IF($A228&gt;=INDEX(pdates_grade_factor_tense,10),INDEX(pvals_grade_factor_tense,10),INDEX(pvals_grade_factor_tense,MATCH($A228,pdates_grade_factor_tense,1))+($A228-INDEX(pdates_grade_factor_tense,MATCH($A228,pdates_grade_factor_tense,1)))/(INDEX(pdates_grade_factor_tense,MATCH($A228,pdates_grade_factor_tense,1)+1)-INDEX(pdates_grade_factor_tense,MATCH($A228,pdates_grade_factor_tense,1)))*(INDEX(pvals_grade_factor_tense,MATCH($A228,pdates_grade_factor_tense,1)+1)-INDEX(pvals_grade_factor_tense,MATCH($A228,pdates_grade_factor_tense,1)))))</f>
        <v/>
      </c>
      <c r="AA228" s="8">
        <f>IF($A228&lt;=INDEX(pdates_grade_factor_mix_pit,1),INDEX(pvals_grade_factor_mix_pit,1),IF($A228&gt;=INDEX(pdates_grade_factor_mix_pit,10),INDEX(pvals_grade_factor_mix_pit,10),INDEX(pvals_grade_factor_mix_pit,MATCH($A228,pdates_grade_factor_mix_pit,1))+($A228-INDEX(pdates_grade_factor_mix_pit,MATCH($A228,pdates_grade_factor_mix_pit,1)))/(INDEX(pdates_grade_factor_mix_pit,MATCH($A228,pdates_grade_factor_mix_pit,1)+1)-INDEX(pdates_grade_factor_mix_pit,MATCH($A228,pdates_grade_factor_mix_pit,1)))*(INDEX(pvals_grade_factor_mix_pit,MATCH($A228,pdates_grade_factor_mix_pit,1)+1)-INDEX(pvals_grade_factor_mix_pit,MATCH($A228,pdates_grade_factor_mix_pit,1)))))</f>
        <v/>
      </c>
      <c r="AB228" s="16">
        <f>($B228*$F228/kg_per_mt*(1+bcd_primary_al_hs7601*(1+sws_rate_on_bcd))+mcx_domestic_premium_inr_kg)*(1+$I228*MAX(0,$Q228-$A228)/day_count_inr)</f>
        <v/>
      </c>
      <c r="AC228" s="16">
        <f>$M228-$AB228</f>
        <v/>
      </c>
      <c r="AD228" s="7" t="inlineStr">
        <is>
          <t>PROXY_IMPORT_PARITY</t>
        </is>
      </c>
      <c r="AE228" s="7" t="inlineStr">
        <is>
          <t>ECB_CROSS</t>
        </is>
      </c>
      <c r="AF228" s="7" t="inlineStr">
        <is>
          <t>WCI_DERIVED|USEC:ANCHORED|JEA:ASSUMPTION</t>
        </is>
      </c>
      <c r="AG228" s="17" t="b">
        <v>0</v>
      </c>
      <c r="AH228" s="17" t="b">
        <v>1</v>
      </c>
    </row>
    <row r="229">
      <c r="A229" s="11" t="n">
        <v>44886</v>
      </c>
      <c r="B229" s="13" t="n">
        <v>2344</v>
      </c>
      <c r="C229" s="13" t="n">
        <v>2368</v>
      </c>
      <c r="D229" s="13" t="n">
        <v>-24</v>
      </c>
      <c r="E229" s="13" t="n">
        <v>522000</v>
      </c>
      <c r="F229" s="13" t="n">
        <v>81.727</v>
      </c>
      <c r="G229" s="6" t="n">
        <v>81.8695</v>
      </c>
      <c r="H229" s="6" t="n">
        <v>82.16070000000001</v>
      </c>
      <c r="I229" s="14" t="n">
        <v>0.06458</v>
      </c>
      <c r="J229" s="14" t="n">
        <v>0.042707</v>
      </c>
      <c r="K229" s="14" t="n">
        <v>0.059</v>
      </c>
      <c r="L229" s="13" t="n">
        <v>207.3725</v>
      </c>
      <c r="M229" s="13" t="n">
        <v>207.7027</v>
      </c>
      <c r="N229" s="13" t="n">
        <v>208.8034</v>
      </c>
      <c r="O229" s="13" t="n">
        <v>15.3</v>
      </c>
      <c r="P229" s="13" t="n">
        <v>67.86</v>
      </c>
      <c r="Q229" s="12" t="n">
        <v>44895</v>
      </c>
      <c r="R229" s="12" t="n">
        <v>44925</v>
      </c>
      <c r="S229" s="8">
        <f>YEAR($Q229)*100+MONTH($Q229)</f>
        <v/>
      </c>
      <c r="T229" s="8">
        <f>YEAR($R229)*100+MONTH($R229)</f>
        <v/>
      </c>
      <c r="U229" s="15">
        <f>IF($A229&lt;=INDEX(pdates_wc_rate_inr_pa,1),INDEX(pvals_wc_rate_inr_pa,1),INDEX(pvals_wc_rate_inr_pa,MATCH($A229,pdates_wc_rate_inr_pa,1)))</f>
        <v/>
      </c>
      <c r="V229" s="8">
        <f>IF(AND($A229&gt;=customs_fx_first,$A229&lt;=customs_fx_last+customs_fx_notification_validity_days),IF($A229&lt;=INDEX(pdates_customs_usdinr_import,1),INDEX(pvals_customs_usdinr_import,1),INDEX(pvals_customs_usdinr_import,MATCH($A229,pdates_customs_usdinr_import,1))),$F229*(1+customs_fx_markup_frac))</f>
        <v/>
      </c>
      <c r="W229" s="8">
        <f>IF(AND($A229&gt;=customs_fx_first,$A229&lt;=customs_fx_last+customs_fx_notification_validity_days),"CBIC_NOTIFIED","MARKUP_FALLBACK")</f>
        <v/>
      </c>
      <c r="X229" s="8">
        <f>IF($A229&lt;=INDEX(pdates_grade_factor_zorba,1),INDEX(pvals_grade_factor_zorba,1),IF($A229&gt;=INDEX(pdates_grade_factor_zorba,10),INDEX(pvals_grade_factor_zorba,10),INDEX(pvals_grade_factor_zorba,MATCH($A229,pdates_grade_factor_zorba,1))+($A229-INDEX(pdates_grade_factor_zorba,MATCH($A229,pdates_grade_factor_zorba,1)))/(INDEX(pdates_grade_factor_zorba,MATCH($A229,pdates_grade_factor_zorba,1)+1)-INDEX(pdates_grade_factor_zorba,MATCH($A229,pdates_grade_factor_zorba,1)))*(INDEX(pvals_grade_factor_zorba,MATCH($A229,pdates_grade_factor_zorba,1)+1)-INDEX(pvals_grade_factor_zorba,MATCH($A229,pdates_grade_factor_zorba,1)))))</f>
        <v/>
      </c>
      <c r="Y229" s="8">
        <f>IF($A229&lt;=INDEX(pdates_grade_factor_taint_tabor,1),INDEX(pvals_grade_factor_taint_tabor,1),IF($A229&gt;=INDEX(pdates_grade_factor_taint_tabor,10),INDEX(pvals_grade_factor_taint_tabor,10),INDEX(pvals_grade_factor_taint_tabor,MATCH($A229,pdates_grade_factor_taint_tabor,1))+($A229-INDEX(pdates_grade_factor_taint_tabor,MATCH($A229,pdates_grade_factor_taint_tabor,1)))/(INDEX(pdates_grade_factor_taint_tabor,MATCH($A229,pdates_grade_factor_taint_tabor,1)+1)-INDEX(pdates_grade_factor_taint_tabor,MATCH($A229,pdates_grade_factor_taint_tabor,1)))*(INDEX(pvals_grade_factor_taint_tabor,MATCH($A229,pdates_grade_factor_taint_tabor,1)+1)-INDEX(pvals_grade_factor_taint_tabor,MATCH($A229,pdates_grade_factor_taint_tabor,1)))))</f>
        <v/>
      </c>
      <c r="Z229" s="8">
        <f>IF($A229&lt;=INDEX(pdates_grade_factor_tense,1),INDEX(pvals_grade_factor_tense,1),IF($A229&gt;=INDEX(pdates_grade_factor_tense,10),INDEX(pvals_grade_factor_tense,10),INDEX(pvals_grade_factor_tense,MATCH($A229,pdates_grade_factor_tense,1))+($A229-INDEX(pdates_grade_factor_tense,MATCH($A229,pdates_grade_factor_tense,1)))/(INDEX(pdates_grade_factor_tense,MATCH($A229,pdates_grade_factor_tense,1)+1)-INDEX(pdates_grade_factor_tense,MATCH($A229,pdates_grade_factor_tense,1)))*(INDEX(pvals_grade_factor_tense,MATCH($A229,pdates_grade_factor_tense,1)+1)-INDEX(pvals_grade_factor_tense,MATCH($A229,pdates_grade_factor_tense,1)))))</f>
        <v/>
      </c>
      <c r="AA229" s="8">
        <f>IF($A229&lt;=INDEX(pdates_grade_factor_mix_pit,1),INDEX(pvals_grade_factor_mix_pit,1),IF($A229&gt;=INDEX(pdates_grade_factor_mix_pit,10),INDEX(pvals_grade_factor_mix_pit,10),INDEX(pvals_grade_factor_mix_pit,MATCH($A229,pdates_grade_factor_mix_pit,1))+($A229-INDEX(pdates_grade_factor_mix_pit,MATCH($A229,pdates_grade_factor_mix_pit,1)))/(INDEX(pdates_grade_factor_mix_pit,MATCH($A229,pdates_grade_factor_mix_pit,1)+1)-INDEX(pdates_grade_factor_mix_pit,MATCH($A229,pdates_grade_factor_mix_pit,1)))*(INDEX(pvals_grade_factor_mix_pit,MATCH($A229,pdates_grade_factor_mix_pit,1)+1)-INDEX(pvals_grade_factor_mix_pit,MATCH($A229,pdates_grade_factor_mix_pit,1)))))</f>
        <v/>
      </c>
      <c r="AB229" s="16">
        <f>($B229*$F229/kg_per_mt*(1+bcd_primary_al_hs7601*(1+sws_rate_on_bcd))+mcx_domestic_premium_inr_kg)*(1+$I229*MAX(0,$Q229-$A229)/day_count_inr)</f>
        <v/>
      </c>
      <c r="AC229" s="16">
        <f>$M229-$AB229</f>
        <v/>
      </c>
      <c r="AD229" s="7" t="inlineStr">
        <is>
          <t>PROXY_IMPORT_PARITY</t>
        </is>
      </c>
      <c r="AE229" s="7" t="inlineStr">
        <is>
          <t>ECB_CROSS</t>
        </is>
      </c>
      <c r="AF229" s="7" t="inlineStr">
        <is>
          <t>WCI_DERIVED|USEC:ANCHORED|JEA:ASSUMPTION</t>
        </is>
      </c>
      <c r="AG229" s="17" t="b">
        <v>0</v>
      </c>
      <c r="AH229" s="17" t="b">
        <v>1</v>
      </c>
    </row>
    <row r="230">
      <c r="A230" s="11" t="n">
        <v>44887</v>
      </c>
      <c r="B230" s="13" t="n">
        <v>2394</v>
      </c>
      <c r="C230" s="13" t="n">
        <v>2419</v>
      </c>
      <c r="D230" s="13" t="n">
        <v>-25</v>
      </c>
      <c r="E230" s="13" t="n">
        <v>517075</v>
      </c>
      <c r="F230" s="13" t="n">
        <v>81.6399</v>
      </c>
      <c r="G230" s="6" t="n">
        <v>81.7835</v>
      </c>
      <c r="H230" s="6" t="n">
        <v>82.0771</v>
      </c>
      <c r="I230" s="14" t="n">
        <v>0.06458</v>
      </c>
      <c r="J230" s="14" t="n">
        <v>0.04251</v>
      </c>
      <c r="K230" s="14" t="n">
        <v>0.059</v>
      </c>
      <c r="L230" s="13" t="n">
        <v>211.5702</v>
      </c>
      <c r="M230" s="13" t="n">
        <v>211.8697</v>
      </c>
      <c r="N230" s="13" t="n">
        <v>212.9927</v>
      </c>
      <c r="O230" s="13" t="n">
        <v>15.3</v>
      </c>
      <c r="P230" s="13" t="n">
        <v>67.86</v>
      </c>
      <c r="Q230" s="12" t="n">
        <v>44895</v>
      </c>
      <c r="R230" s="12" t="n">
        <v>44925</v>
      </c>
      <c r="S230" s="8">
        <f>YEAR($Q230)*100+MONTH($Q230)</f>
        <v/>
      </c>
      <c r="T230" s="8">
        <f>YEAR($R230)*100+MONTH($R230)</f>
        <v/>
      </c>
      <c r="U230" s="15">
        <f>IF($A230&lt;=INDEX(pdates_wc_rate_inr_pa,1),INDEX(pvals_wc_rate_inr_pa,1),INDEX(pvals_wc_rate_inr_pa,MATCH($A230,pdates_wc_rate_inr_pa,1)))</f>
        <v/>
      </c>
      <c r="V230" s="8">
        <f>IF(AND($A230&gt;=customs_fx_first,$A230&lt;=customs_fx_last+customs_fx_notification_validity_days),IF($A230&lt;=INDEX(pdates_customs_usdinr_import,1),INDEX(pvals_customs_usdinr_import,1),INDEX(pvals_customs_usdinr_import,MATCH($A230,pdates_customs_usdinr_import,1))),$F230*(1+customs_fx_markup_frac))</f>
        <v/>
      </c>
      <c r="W230" s="8">
        <f>IF(AND($A230&gt;=customs_fx_first,$A230&lt;=customs_fx_last+customs_fx_notification_validity_days),"CBIC_NOTIFIED","MARKUP_FALLBACK")</f>
        <v/>
      </c>
      <c r="X230" s="8">
        <f>IF($A230&lt;=INDEX(pdates_grade_factor_zorba,1),INDEX(pvals_grade_factor_zorba,1),IF($A230&gt;=INDEX(pdates_grade_factor_zorba,10),INDEX(pvals_grade_factor_zorba,10),INDEX(pvals_grade_factor_zorba,MATCH($A230,pdates_grade_factor_zorba,1))+($A230-INDEX(pdates_grade_factor_zorba,MATCH($A230,pdates_grade_factor_zorba,1)))/(INDEX(pdates_grade_factor_zorba,MATCH($A230,pdates_grade_factor_zorba,1)+1)-INDEX(pdates_grade_factor_zorba,MATCH($A230,pdates_grade_factor_zorba,1)))*(INDEX(pvals_grade_factor_zorba,MATCH($A230,pdates_grade_factor_zorba,1)+1)-INDEX(pvals_grade_factor_zorba,MATCH($A230,pdates_grade_factor_zorba,1)))))</f>
        <v/>
      </c>
      <c r="Y230" s="8">
        <f>IF($A230&lt;=INDEX(pdates_grade_factor_taint_tabor,1),INDEX(pvals_grade_factor_taint_tabor,1),IF($A230&gt;=INDEX(pdates_grade_factor_taint_tabor,10),INDEX(pvals_grade_factor_taint_tabor,10),INDEX(pvals_grade_factor_taint_tabor,MATCH($A230,pdates_grade_factor_taint_tabor,1))+($A230-INDEX(pdates_grade_factor_taint_tabor,MATCH($A230,pdates_grade_factor_taint_tabor,1)))/(INDEX(pdates_grade_factor_taint_tabor,MATCH($A230,pdates_grade_factor_taint_tabor,1)+1)-INDEX(pdates_grade_factor_taint_tabor,MATCH($A230,pdates_grade_factor_taint_tabor,1)))*(INDEX(pvals_grade_factor_taint_tabor,MATCH($A230,pdates_grade_factor_taint_tabor,1)+1)-INDEX(pvals_grade_factor_taint_tabor,MATCH($A230,pdates_grade_factor_taint_tabor,1)))))</f>
        <v/>
      </c>
      <c r="Z230" s="8">
        <f>IF($A230&lt;=INDEX(pdates_grade_factor_tense,1),INDEX(pvals_grade_factor_tense,1),IF($A230&gt;=INDEX(pdates_grade_factor_tense,10),INDEX(pvals_grade_factor_tense,10),INDEX(pvals_grade_factor_tense,MATCH($A230,pdates_grade_factor_tense,1))+($A230-INDEX(pdates_grade_factor_tense,MATCH($A230,pdates_grade_factor_tense,1)))/(INDEX(pdates_grade_factor_tense,MATCH($A230,pdates_grade_factor_tense,1)+1)-INDEX(pdates_grade_factor_tense,MATCH($A230,pdates_grade_factor_tense,1)))*(INDEX(pvals_grade_factor_tense,MATCH($A230,pdates_grade_factor_tense,1)+1)-INDEX(pvals_grade_factor_tense,MATCH($A230,pdates_grade_factor_tense,1)))))</f>
        <v/>
      </c>
      <c r="AA230" s="8">
        <f>IF($A230&lt;=INDEX(pdates_grade_factor_mix_pit,1),INDEX(pvals_grade_factor_mix_pit,1),IF($A230&gt;=INDEX(pdates_grade_factor_mix_pit,10),INDEX(pvals_grade_factor_mix_pit,10),INDEX(pvals_grade_factor_mix_pit,MATCH($A230,pdates_grade_factor_mix_pit,1))+($A230-INDEX(pdates_grade_factor_mix_pit,MATCH($A230,pdates_grade_factor_mix_pit,1)))/(INDEX(pdates_grade_factor_mix_pit,MATCH($A230,pdates_grade_factor_mix_pit,1)+1)-INDEX(pdates_grade_factor_mix_pit,MATCH($A230,pdates_grade_factor_mix_pit,1)))*(INDEX(pvals_grade_factor_mix_pit,MATCH($A230,pdates_grade_factor_mix_pit,1)+1)-INDEX(pvals_grade_factor_mix_pit,MATCH($A230,pdates_grade_factor_mix_pit,1)))))</f>
        <v/>
      </c>
      <c r="AB230" s="16">
        <f>($B230*$F230/kg_per_mt*(1+bcd_primary_al_hs7601*(1+sws_rate_on_bcd))+mcx_domestic_premium_inr_kg)*(1+$I230*MAX(0,$Q230-$A230)/day_count_inr)</f>
        <v/>
      </c>
      <c r="AC230" s="16">
        <f>$M230-$AB230</f>
        <v/>
      </c>
      <c r="AD230" s="7" t="inlineStr">
        <is>
          <t>PROXY_IMPORT_PARITY</t>
        </is>
      </c>
      <c r="AE230" s="7" t="inlineStr">
        <is>
          <t>ECB_CROSS</t>
        </is>
      </c>
      <c r="AF230" s="7" t="inlineStr">
        <is>
          <t>WCI_DERIVED|USEC:ANCHORED|JEA:ASSUMPTION</t>
        </is>
      </c>
      <c r="AG230" s="17" t="b">
        <v>0</v>
      </c>
      <c r="AH230" s="17" t="b">
        <v>1</v>
      </c>
    </row>
    <row r="231">
      <c r="A231" s="11" t="n">
        <v>44888</v>
      </c>
      <c r="B231" s="13" t="n">
        <v>2364</v>
      </c>
      <c r="C231" s="13" t="n">
        <v>2391</v>
      </c>
      <c r="D231" s="13" t="n">
        <v>-27</v>
      </c>
      <c r="E231" s="13" t="n">
        <v>513275</v>
      </c>
      <c r="F231" s="13" t="n">
        <v>81.8073</v>
      </c>
      <c r="G231" s="6" t="n">
        <v>81.9512</v>
      </c>
      <c r="H231" s="6" t="n">
        <v>82.2454</v>
      </c>
      <c r="I231" s="14" t="n">
        <v>0.06458</v>
      </c>
      <c r="J231" s="14" t="n">
        <v>0.04251</v>
      </c>
      <c r="K231" s="14" t="n">
        <v>0.059</v>
      </c>
      <c r="L231" s="13" t="n">
        <v>209.3473</v>
      </c>
      <c r="M231" s="13" t="n">
        <v>209.6066</v>
      </c>
      <c r="N231" s="13" t="n">
        <v>210.7178</v>
      </c>
      <c r="O231" s="13" t="n">
        <v>15.3</v>
      </c>
      <c r="P231" s="13" t="n">
        <v>67.86</v>
      </c>
      <c r="Q231" s="12" t="n">
        <v>44895</v>
      </c>
      <c r="R231" s="12" t="n">
        <v>44925</v>
      </c>
      <c r="S231" s="8">
        <f>YEAR($Q231)*100+MONTH($Q231)</f>
        <v/>
      </c>
      <c r="T231" s="8">
        <f>YEAR($R231)*100+MONTH($R231)</f>
        <v/>
      </c>
      <c r="U231" s="15">
        <f>IF($A231&lt;=INDEX(pdates_wc_rate_inr_pa,1),INDEX(pvals_wc_rate_inr_pa,1),INDEX(pvals_wc_rate_inr_pa,MATCH($A231,pdates_wc_rate_inr_pa,1)))</f>
        <v/>
      </c>
      <c r="V231" s="8">
        <f>IF(AND($A231&gt;=customs_fx_first,$A231&lt;=customs_fx_last+customs_fx_notification_validity_days),IF($A231&lt;=INDEX(pdates_customs_usdinr_import,1),INDEX(pvals_customs_usdinr_import,1),INDEX(pvals_customs_usdinr_import,MATCH($A231,pdates_customs_usdinr_import,1))),$F231*(1+customs_fx_markup_frac))</f>
        <v/>
      </c>
      <c r="W231" s="8">
        <f>IF(AND($A231&gt;=customs_fx_first,$A231&lt;=customs_fx_last+customs_fx_notification_validity_days),"CBIC_NOTIFIED","MARKUP_FALLBACK")</f>
        <v/>
      </c>
      <c r="X231" s="8">
        <f>IF($A231&lt;=INDEX(pdates_grade_factor_zorba,1),INDEX(pvals_grade_factor_zorba,1),IF($A231&gt;=INDEX(pdates_grade_factor_zorba,10),INDEX(pvals_grade_factor_zorba,10),INDEX(pvals_grade_factor_zorba,MATCH($A231,pdates_grade_factor_zorba,1))+($A231-INDEX(pdates_grade_factor_zorba,MATCH($A231,pdates_grade_factor_zorba,1)))/(INDEX(pdates_grade_factor_zorba,MATCH($A231,pdates_grade_factor_zorba,1)+1)-INDEX(pdates_grade_factor_zorba,MATCH($A231,pdates_grade_factor_zorba,1)))*(INDEX(pvals_grade_factor_zorba,MATCH($A231,pdates_grade_factor_zorba,1)+1)-INDEX(pvals_grade_factor_zorba,MATCH($A231,pdates_grade_factor_zorba,1)))))</f>
        <v/>
      </c>
      <c r="Y231" s="8">
        <f>IF($A231&lt;=INDEX(pdates_grade_factor_taint_tabor,1),INDEX(pvals_grade_factor_taint_tabor,1),IF($A231&gt;=INDEX(pdates_grade_factor_taint_tabor,10),INDEX(pvals_grade_factor_taint_tabor,10),INDEX(pvals_grade_factor_taint_tabor,MATCH($A231,pdates_grade_factor_taint_tabor,1))+($A231-INDEX(pdates_grade_factor_taint_tabor,MATCH($A231,pdates_grade_factor_taint_tabor,1)))/(INDEX(pdates_grade_factor_taint_tabor,MATCH($A231,pdates_grade_factor_taint_tabor,1)+1)-INDEX(pdates_grade_factor_taint_tabor,MATCH($A231,pdates_grade_factor_taint_tabor,1)))*(INDEX(pvals_grade_factor_taint_tabor,MATCH($A231,pdates_grade_factor_taint_tabor,1)+1)-INDEX(pvals_grade_factor_taint_tabor,MATCH($A231,pdates_grade_factor_taint_tabor,1)))))</f>
        <v/>
      </c>
      <c r="Z231" s="8">
        <f>IF($A231&lt;=INDEX(pdates_grade_factor_tense,1),INDEX(pvals_grade_factor_tense,1),IF($A231&gt;=INDEX(pdates_grade_factor_tense,10),INDEX(pvals_grade_factor_tense,10),INDEX(pvals_grade_factor_tense,MATCH($A231,pdates_grade_factor_tense,1))+($A231-INDEX(pdates_grade_factor_tense,MATCH($A231,pdates_grade_factor_tense,1)))/(INDEX(pdates_grade_factor_tense,MATCH($A231,pdates_grade_factor_tense,1)+1)-INDEX(pdates_grade_factor_tense,MATCH($A231,pdates_grade_factor_tense,1)))*(INDEX(pvals_grade_factor_tense,MATCH($A231,pdates_grade_factor_tense,1)+1)-INDEX(pvals_grade_factor_tense,MATCH($A231,pdates_grade_factor_tense,1)))))</f>
        <v/>
      </c>
      <c r="AA231" s="8">
        <f>IF($A231&lt;=INDEX(pdates_grade_factor_mix_pit,1),INDEX(pvals_grade_factor_mix_pit,1),IF($A231&gt;=INDEX(pdates_grade_factor_mix_pit,10),INDEX(pvals_grade_factor_mix_pit,10),INDEX(pvals_grade_factor_mix_pit,MATCH($A231,pdates_grade_factor_mix_pit,1))+($A231-INDEX(pdates_grade_factor_mix_pit,MATCH($A231,pdates_grade_factor_mix_pit,1)))/(INDEX(pdates_grade_factor_mix_pit,MATCH($A231,pdates_grade_factor_mix_pit,1)+1)-INDEX(pdates_grade_factor_mix_pit,MATCH($A231,pdates_grade_factor_mix_pit,1)))*(INDEX(pvals_grade_factor_mix_pit,MATCH($A231,pdates_grade_factor_mix_pit,1)+1)-INDEX(pvals_grade_factor_mix_pit,MATCH($A231,pdates_grade_factor_mix_pit,1)))))</f>
        <v/>
      </c>
      <c r="AB231" s="16">
        <f>($B231*$F231/kg_per_mt*(1+bcd_primary_al_hs7601*(1+sws_rate_on_bcd))+mcx_domestic_premium_inr_kg)*(1+$I231*MAX(0,$Q231-$A231)/day_count_inr)</f>
        <v/>
      </c>
      <c r="AC231" s="16">
        <f>$M231-$AB231</f>
        <v/>
      </c>
      <c r="AD231" s="7" t="inlineStr">
        <is>
          <t>PROXY_IMPORT_PARITY</t>
        </is>
      </c>
      <c r="AE231" s="7" t="inlineStr">
        <is>
          <t>ECB_CROSS</t>
        </is>
      </c>
      <c r="AF231" s="7" t="inlineStr">
        <is>
          <t>WCI_DERIVED|USEC:ANCHORED|JEA:ASSUMPTION</t>
        </is>
      </c>
      <c r="AG231" s="17" t="b">
        <v>0</v>
      </c>
      <c r="AH231" s="17" t="b">
        <v>1</v>
      </c>
    </row>
    <row r="232">
      <c r="A232" s="11" t="n">
        <v>44889</v>
      </c>
      <c r="B232" s="13" t="n">
        <v>2344</v>
      </c>
      <c r="C232" s="13" t="n">
        <v>2375</v>
      </c>
      <c r="D232" s="13" t="n">
        <v>-31</v>
      </c>
      <c r="E232" s="13" t="n">
        <v>509450</v>
      </c>
      <c r="F232" s="13" t="n">
        <v>81.6571</v>
      </c>
      <c r="G232" s="6" t="n">
        <v>81.80070000000001</v>
      </c>
      <c r="H232" s="6" t="n">
        <v>82.09439999999999</v>
      </c>
      <c r="I232" s="14" t="n">
        <v>0.06458</v>
      </c>
      <c r="J232" s="14" t="n">
        <v>0.04251</v>
      </c>
      <c r="K232" s="14" t="n">
        <v>0.059</v>
      </c>
      <c r="L232" s="13" t="n">
        <v>207.1951</v>
      </c>
      <c r="M232" s="13" t="n">
        <v>207.415</v>
      </c>
      <c r="N232" s="13" t="n">
        <v>208.5148</v>
      </c>
      <c r="O232" s="13" t="n">
        <v>15.24</v>
      </c>
      <c r="P232" s="13" t="n">
        <v>67.59</v>
      </c>
      <c r="Q232" s="12" t="n">
        <v>44895</v>
      </c>
      <c r="R232" s="12" t="n">
        <v>44925</v>
      </c>
      <c r="S232" s="8">
        <f>YEAR($Q232)*100+MONTH($Q232)</f>
        <v/>
      </c>
      <c r="T232" s="8">
        <f>YEAR($R232)*100+MONTH($R232)</f>
        <v/>
      </c>
      <c r="U232" s="15">
        <f>IF($A232&lt;=INDEX(pdates_wc_rate_inr_pa,1),INDEX(pvals_wc_rate_inr_pa,1),INDEX(pvals_wc_rate_inr_pa,MATCH($A232,pdates_wc_rate_inr_pa,1)))</f>
        <v/>
      </c>
      <c r="V232" s="8">
        <f>IF(AND($A232&gt;=customs_fx_first,$A232&lt;=customs_fx_last+customs_fx_notification_validity_days),IF($A232&lt;=INDEX(pdates_customs_usdinr_import,1),INDEX(pvals_customs_usdinr_import,1),INDEX(pvals_customs_usdinr_import,MATCH($A232,pdates_customs_usdinr_import,1))),$F232*(1+customs_fx_markup_frac))</f>
        <v/>
      </c>
      <c r="W232" s="8">
        <f>IF(AND($A232&gt;=customs_fx_first,$A232&lt;=customs_fx_last+customs_fx_notification_validity_days),"CBIC_NOTIFIED","MARKUP_FALLBACK")</f>
        <v/>
      </c>
      <c r="X232" s="8">
        <f>IF($A232&lt;=INDEX(pdates_grade_factor_zorba,1),INDEX(pvals_grade_factor_zorba,1),IF($A232&gt;=INDEX(pdates_grade_factor_zorba,10),INDEX(pvals_grade_factor_zorba,10),INDEX(pvals_grade_factor_zorba,MATCH($A232,pdates_grade_factor_zorba,1))+($A232-INDEX(pdates_grade_factor_zorba,MATCH($A232,pdates_grade_factor_zorba,1)))/(INDEX(pdates_grade_factor_zorba,MATCH($A232,pdates_grade_factor_zorba,1)+1)-INDEX(pdates_grade_factor_zorba,MATCH($A232,pdates_grade_factor_zorba,1)))*(INDEX(pvals_grade_factor_zorba,MATCH($A232,pdates_grade_factor_zorba,1)+1)-INDEX(pvals_grade_factor_zorba,MATCH($A232,pdates_grade_factor_zorba,1)))))</f>
        <v/>
      </c>
      <c r="Y232" s="8">
        <f>IF($A232&lt;=INDEX(pdates_grade_factor_taint_tabor,1),INDEX(pvals_grade_factor_taint_tabor,1),IF($A232&gt;=INDEX(pdates_grade_factor_taint_tabor,10),INDEX(pvals_grade_factor_taint_tabor,10),INDEX(pvals_grade_factor_taint_tabor,MATCH($A232,pdates_grade_factor_taint_tabor,1))+($A232-INDEX(pdates_grade_factor_taint_tabor,MATCH($A232,pdates_grade_factor_taint_tabor,1)))/(INDEX(pdates_grade_factor_taint_tabor,MATCH($A232,pdates_grade_factor_taint_tabor,1)+1)-INDEX(pdates_grade_factor_taint_tabor,MATCH($A232,pdates_grade_factor_taint_tabor,1)))*(INDEX(pvals_grade_factor_taint_tabor,MATCH($A232,pdates_grade_factor_taint_tabor,1)+1)-INDEX(pvals_grade_factor_taint_tabor,MATCH($A232,pdates_grade_factor_taint_tabor,1)))))</f>
        <v/>
      </c>
      <c r="Z232" s="8">
        <f>IF($A232&lt;=INDEX(pdates_grade_factor_tense,1),INDEX(pvals_grade_factor_tense,1),IF($A232&gt;=INDEX(pdates_grade_factor_tense,10),INDEX(pvals_grade_factor_tense,10),INDEX(pvals_grade_factor_tense,MATCH($A232,pdates_grade_factor_tense,1))+($A232-INDEX(pdates_grade_factor_tense,MATCH($A232,pdates_grade_factor_tense,1)))/(INDEX(pdates_grade_factor_tense,MATCH($A232,pdates_grade_factor_tense,1)+1)-INDEX(pdates_grade_factor_tense,MATCH($A232,pdates_grade_factor_tense,1)))*(INDEX(pvals_grade_factor_tense,MATCH($A232,pdates_grade_factor_tense,1)+1)-INDEX(pvals_grade_factor_tense,MATCH($A232,pdates_grade_factor_tense,1)))))</f>
        <v/>
      </c>
      <c r="AA232" s="8">
        <f>IF($A232&lt;=INDEX(pdates_grade_factor_mix_pit,1),INDEX(pvals_grade_factor_mix_pit,1),IF($A232&gt;=INDEX(pdates_grade_factor_mix_pit,10),INDEX(pvals_grade_factor_mix_pit,10),INDEX(pvals_grade_factor_mix_pit,MATCH($A232,pdates_grade_factor_mix_pit,1))+($A232-INDEX(pdates_grade_factor_mix_pit,MATCH($A232,pdates_grade_factor_mix_pit,1)))/(INDEX(pdates_grade_factor_mix_pit,MATCH($A232,pdates_grade_factor_mix_pit,1)+1)-INDEX(pdates_grade_factor_mix_pit,MATCH($A232,pdates_grade_factor_mix_pit,1)))*(INDEX(pvals_grade_factor_mix_pit,MATCH($A232,pdates_grade_factor_mix_pit,1)+1)-INDEX(pvals_grade_factor_mix_pit,MATCH($A232,pdates_grade_factor_mix_pit,1)))))</f>
        <v/>
      </c>
      <c r="AB232" s="16">
        <f>($B232*$F232/kg_per_mt*(1+bcd_primary_al_hs7601*(1+sws_rate_on_bcd))+mcx_domestic_premium_inr_kg)*(1+$I232*MAX(0,$Q232-$A232)/day_count_inr)</f>
        <v/>
      </c>
      <c r="AC232" s="16">
        <f>$M232-$AB232</f>
        <v/>
      </c>
      <c r="AD232" s="7" t="inlineStr">
        <is>
          <t>PROXY_IMPORT_PARITY</t>
        </is>
      </c>
      <c r="AE232" s="7" t="inlineStr">
        <is>
          <t>ECB_CROSS</t>
        </is>
      </c>
      <c r="AF232" s="7" t="inlineStr">
        <is>
          <t>WCI_REPORTED|USEC:ANCHORED|JEA:ASSUMPTION</t>
        </is>
      </c>
      <c r="AG232" s="17" t="b">
        <v>0</v>
      </c>
      <c r="AH232" s="17" t="b">
        <v>0</v>
      </c>
    </row>
    <row r="233">
      <c r="A233" s="11" t="n">
        <v>44890</v>
      </c>
      <c r="B233" s="13" t="n">
        <v>2346</v>
      </c>
      <c r="C233" s="13" t="n">
        <v>2381</v>
      </c>
      <c r="D233" s="13" t="n">
        <v>-35</v>
      </c>
      <c r="E233" s="13" t="n">
        <v>506275</v>
      </c>
      <c r="F233" s="13" t="n">
        <v>81.6525</v>
      </c>
      <c r="G233" s="6" t="n">
        <v>81.7955</v>
      </c>
      <c r="H233" s="6" t="n">
        <v>82.0878</v>
      </c>
      <c r="I233" s="14" t="n">
        <v>0.06458</v>
      </c>
      <c r="J233" s="14" t="n">
        <v>0.042608</v>
      </c>
      <c r="K233" s="14" t="n">
        <v>0.059</v>
      </c>
      <c r="L233" s="13" t="n">
        <v>207.3602</v>
      </c>
      <c r="M233" s="13" t="n">
        <v>207.5436</v>
      </c>
      <c r="N233" s="13" t="n">
        <v>208.6443</v>
      </c>
      <c r="O233" s="13" t="n">
        <v>15.24</v>
      </c>
      <c r="P233" s="13" t="n">
        <v>67.59</v>
      </c>
      <c r="Q233" s="12" t="n">
        <v>44895</v>
      </c>
      <c r="R233" s="12" t="n">
        <v>44925</v>
      </c>
      <c r="S233" s="8">
        <f>YEAR($Q233)*100+MONTH($Q233)</f>
        <v/>
      </c>
      <c r="T233" s="8">
        <f>YEAR($R233)*100+MONTH($R233)</f>
        <v/>
      </c>
      <c r="U233" s="15">
        <f>IF($A233&lt;=INDEX(pdates_wc_rate_inr_pa,1),INDEX(pvals_wc_rate_inr_pa,1),INDEX(pvals_wc_rate_inr_pa,MATCH($A233,pdates_wc_rate_inr_pa,1)))</f>
        <v/>
      </c>
      <c r="V233" s="8">
        <f>IF(AND($A233&gt;=customs_fx_first,$A233&lt;=customs_fx_last+customs_fx_notification_validity_days),IF($A233&lt;=INDEX(pdates_customs_usdinr_import,1),INDEX(pvals_customs_usdinr_import,1),INDEX(pvals_customs_usdinr_import,MATCH($A233,pdates_customs_usdinr_import,1))),$F233*(1+customs_fx_markup_frac))</f>
        <v/>
      </c>
      <c r="W233" s="8">
        <f>IF(AND($A233&gt;=customs_fx_first,$A233&lt;=customs_fx_last+customs_fx_notification_validity_days),"CBIC_NOTIFIED","MARKUP_FALLBACK")</f>
        <v/>
      </c>
      <c r="X233" s="8">
        <f>IF($A233&lt;=INDEX(pdates_grade_factor_zorba,1),INDEX(pvals_grade_factor_zorba,1),IF($A233&gt;=INDEX(pdates_grade_factor_zorba,10),INDEX(pvals_grade_factor_zorba,10),INDEX(pvals_grade_factor_zorba,MATCH($A233,pdates_grade_factor_zorba,1))+($A233-INDEX(pdates_grade_factor_zorba,MATCH($A233,pdates_grade_factor_zorba,1)))/(INDEX(pdates_grade_factor_zorba,MATCH($A233,pdates_grade_factor_zorba,1)+1)-INDEX(pdates_grade_factor_zorba,MATCH($A233,pdates_grade_factor_zorba,1)))*(INDEX(pvals_grade_factor_zorba,MATCH($A233,pdates_grade_factor_zorba,1)+1)-INDEX(pvals_grade_factor_zorba,MATCH($A233,pdates_grade_factor_zorba,1)))))</f>
        <v/>
      </c>
      <c r="Y233" s="8">
        <f>IF($A233&lt;=INDEX(pdates_grade_factor_taint_tabor,1),INDEX(pvals_grade_factor_taint_tabor,1),IF($A233&gt;=INDEX(pdates_grade_factor_taint_tabor,10),INDEX(pvals_grade_factor_taint_tabor,10),INDEX(pvals_grade_factor_taint_tabor,MATCH($A233,pdates_grade_factor_taint_tabor,1))+($A233-INDEX(pdates_grade_factor_taint_tabor,MATCH($A233,pdates_grade_factor_taint_tabor,1)))/(INDEX(pdates_grade_factor_taint_tabor,MATCH($A233,pdates_grade_factor_taint_tabor,1)+1)-INDEX(pdates_grade_factor_taint_tabor,MATCH($A233,pdates_grade_factor_taint_tabor,1)))*(INDEX(pvals_grade_factor_taint_tabor,MATCH($A233,pdates_grade_factor_taint_tabor,1)+1)-INDEX(pvals_grade_factor_taint_tabor,MATCH($A233,pdates_grade_factor_taint_tabor,1)))))</f>
        <v/>
      </c>
      <c r="Z233" s="8">
        <f>IF($A233&lt;=INDEX(pdates_grade_factor_tense,1),INDEX(pvals_grade_factor_tense,1),IF($A233&gt;=INDEX(pdates_grade_factor_tense,10),INDEX(pvals_grade_factor_tense,10),INDEX(pvals_grade_factor_tense,MATCH($A233,pdates_grade_factor_tense,1))+($A233-INDEX(pdates_grade_factor_tense,MATCH($A233,pdates_grade_factor_tense,1)))/(INDEX(pdates_grade_factor_tense,MATCH($A233,pdates_grade_factor_tense,1)+1)-INDEX(pdates_grade_factor_tense,MATCH($A233,pdates_grade_factor_tense,1)))*(INDEX(pvals_grade_factor_tense,MATCH($A233,pdates_grade_factor_tense,1)+1)-INDEX(pvals_grade_factor_tense,MATCH($A233,pdates_grade_factor_tense,1)))))</f>
        <v/>
      </c>
      <c r="AA233" s="8">
        <f>IF($A233&lt;=INDEX(pdates_grade_factor_mix_pit,1),INDEX(pvals_grade_factor_mix_pit,1),IF($A233&gt;=INDEX(pdates_grade_factor_mix_pit,10),INDEX(pvals_grade_factor_mix_pit,10),INDEX(pvals_grade_factor_mix_pit,MATCH($A233,pdates_grade_factor_mix_pit,1))+($A233-INDEX(pdates_grade_factor_mix_pit,MATCH($A233,pdates_grade_factor_mix_pit,1)))/(INDEX(pdates_grade_factor_mix_pit,MATCH($A233,pdates_grade_factor_mix_pit,1)+1)-INDEX(pdates_grade_factor_mix_pit,MATCH($A233,pdates_grade_factor_mix_pit,1)))*(INDEX(pvals_grade_factor_mix_pit,MATCH($A233,pdates_grade_factor_mix_pit,1)+1)-INDEX(pvals_grade_factor_mix_pit,MATCH($A233,pdates_grade_factor_mix_pit,1)))))</f>
        <v/>
      </c>
      <c r="AB233" s="16">
        <f>($B233*$F233/kg_per_mt*(1+bcd_primary_al_hs7601*(1+sws_rate_on_bcd))+mcx_domestic_premium_inr_kg)*(1+$I233*MAX(0,$Q233-$A233)/day_count_inr)</f>
        <v/>
      </c>
      <c r="AC233" s="16">
        <f>$M233-$AB233</f>
        <v/>
      </c>
      <c r="AD233" s="7" t="inlineStr">
        <is>
          <t>PROXY_IMPORT_PARITY</t>
        </is>
      </c>
      <c r="AE233" s="7" t="inlineStr">
        <is>
          <t>ECB_CROSS</t>
        </is>
      </c>
      <c r="AF233" s="7" t="inlineStr">
        <is>
          <t>WCI_REPORTED|USEC:ANCHORED|JEA:ASSUMPTION</t>
        </is>
      </c>
      <c r="AG233" s="17" t="b">
        <v>0</v>
      </c>
      <c r="AH233" s="17" t="b">
        <v>1</v>
      </c>
    </row>
    <row r="234">
      <c r="A234" s="11" t="n">
        <v>44893</v>
      </c>
      <c r="B234" s="13" t="n">
        <v>2315.5</v>
      </c>
      <c r="C234" s="13" t="n">
        <v>2353.5</v>
      </c>
      <c r="D234" s="13" t="n">
        <v>-38</v>
      </c>
      <c r="E234" s="13" t="n">
        <v>503700</v>
      </c>
      <c r="F234" s="13" t="n">
        <v>81.6563</v>
      </c>
      <c r="G234" s="6" t="n">
        <v>81.7933</v>
      </c>
      <c r="H234" s="6" t="n">
        <v>82.0732</v>
      </c>
      <c r="I234" s="14" t="n">
        <v>0.06458</v>
      </c>
      <c r="J234" s="14" t="n">
        <v>0.043496</v>
      </c>
      <c r="K234" s="14" t="n">
        <v>0.059</v>
      </c>
      <c r="L234" s="13" t="n">
        <v>204.6739</v>
      </c>
      <c r="M234" s="13" t="n">
        <v>204.7463</v>
      </c>
      <c r="N234" s="13" t="n">
        <v>205.8327</v>
      </c>
      <c r="O234" s="13" t="n">
        <v>15.24</v>
      </c>
      <c r="P234" s="13" t="n">
        <v>67.59</v>
      </c>
      <c r="Q234" s="12" t="n">
        <v>44895</v>
      </c>
      <c r="R234" s="12" t="n">
        <v>44925</v>
      </c>
      <c r="S234" s="8">
        <f>YEAR($Q234)*100+MONTH($Q234)</f>
        <v/>
      </c>
      <c r="T234" s="8">
        <f>YEAR($R234)*100+MONTH($R234)</f>
        <v/>
      </c>
      <c r="U234" s="15">
        <f>IF($A234&lt;=INDEX(pdates_wc_rate_inr_pa,1),INDEX(pvals_wc_rate_inr_pa,1),INDEX(pvals_wc_rate_inr_pa,MATCH($A234,pdates_wc_rate_inr_pa,1)))</f>
        <v/>
      </c>
      <c r="V234" s="8">
        <f>IF(AND($A234&gt;=customs_fx_first,$A234&lt;=customs_fx_last+customs_fx_notification_validity_days),IF($A234&lt;=INDEX(pdates_customs_usdinr_import,1),INDEX(pvals_customs_usdinr_import,1),INDEX(pvals_customs_usdinr_import,MATCH($A234,pdates_customs_usdinr_import,1))),$F234*(1+customs_fx_markup_frac))</f>
        <v/>
      </c>
      <c r="W234" s="8">
        <f>IF(AND($A234&gt;=customs_fx_first,$A234&lt;=customs_fx_last+customs_fx_notification_validity_days),"CBIC_NOTIFIED","MARKUP_FALLBACK")</f>
        <v/>
      </c>
      <c r="X234" s="8">
        <f>IF($A234&lt;=INDEX(pdates_grade_factor_zorba,1),INDEX(pvals_grade_factor_zorba,1),IF($A234&gt;=INDEX(pdates_grade_factor_zorba,10),INDEX(pvals_grade_factor_zorba,10),INDEX(pvals_grade_factor_zorba,MATCH($A234,pdates_grade_factor_zorba,1))+($A234-INDEX(pdates_grade_factor_zorba,MATCH($A234,pdates_grade_factor_zorba,1)))/(INDEX(pdates_grade_factor_zorba,MATCH($A234,pdates_grade_factor_zorba,1)+1)-INDEX(pdates_grade_factor_zorba,MATCH($A234,pdates_grade_factor_zorba,1)))*(INDEX(pvals_grade_factor_zorba,MATCH($A234,pdates_grade_factor_zorba,1)+1)-INDEX(pvals_grade_factor_zorba,MATCH($A234,pdates_grade_factor_zorba,1)))))</f>
        <v/>
      </c>
      <c r="Y234" s="8">
        <f>IF($A234&lt;=INDEX(pdates_grade_factor_taint_tabor,1),INDEX(pvals_grade_factor_taint_tabor,1),IF($A234&gt;=INDEX(pdates_grade_factor_taint_tabor,10),INDEX(pvals_grade_factor_taint_tabor,10),INDEX(pvals_grade_factor_taint_tabor,MATCH($A234,pdates_grade_factor_taint_tabor,1))+($A234-INDEX(pdates_grade_factor_taint_tabor,MATCH($A234,pdates_grade_factor_taint_tabor,1)))/(INDEX(pdates_grade_factor_taint_tabor,MATCH($A234,pdates_grade_factor_taint_tabor,1)+1)-INDEX(pdates_grade_factor_taint_tabor,MATCH($A234,pdates_grade_factor_taint_tabor,1)))*(INDEX(pvals_grade_factor_taint_tabor,MATCH($A234,pdates_grade_factor_taint_tabor,1)+1)-INDEX(pvals_grade_factor_taint_tabor,MATCH($A234,pdates_grade_factor_taint_tabor,1)))))</f>
        <v/>
      </c>
      <c r="Z234" s="8">
        <f>IF($A234&lt;=INDEX(pdates_grade_factor_tense,1),INDEX(pvals_grade_factor_tense,1),IF($A234&gt;=INDEX(pdates_grade_factor_tense,10),INDEX(pvals_grade_factor_tense,10),INDEX(pvals_grade_factor_tense,MATCH($A234,pdates_grade_factor_tense,1))+($A234-INDEX(pdates_grade_factor_tense,MATCH($A234,pdates_grade_factor_tense,1)))/(INDEX(pdates_grade_factor_tense,MATCH($A234,pdates_grade_factor_tense,1)+1)-INDEX(pdates_grade_factor_tense,MATCH($A234,pdates_grade_factor_tense,1)))*(INDEX(pvals_grade_factor_tense,MATCH($A234,pdates_grade_factor_tense,1)+1)-INDEX(pvals_grade_factor_tense,MATCH($A234,pdates_grade_factor_tense,1)))))</f>
        <v/>
      </c>
      <c r="AA234" s="8">
        <f>IF($A234&lt;=INDEX(pdates_grade_factor_mix_pit,1),INDEX(pvals_grade_factor_mix_pit,1),IF($A234&gt;=INDEX(pdates_grade_factor_mix_pit,10),INDEX(pvals_grade_factor_mix_pit,10),INDEX(pvals_grade_factor_mix_pit,MATCH($A234,pdates_grade_factor_mix_pit,1))+($A234-INDEX(pdates_grade_factor_mix_pit,MATCH($A234,pdates_grade_factor_mix_pit,1)))/(INDEX(pdates_grade_factor_mix_pit,MATCH($A234,pdates_grade_factor_mix_pit,1)+1)-INDEX(pdates_grade_factor_mix_pit,MATCH($A234,pdates_grade_factor_mix_pit,1)))*(INDEX(pvals_grade_factor_mix_pit,MATCH($A234,pdates_grade_factor_mix_pit,1)+1)-INDEX(pvals_grade_factor_mix_pit,MATCH($A234,pdates_grade_factor_mix_pit,1)))))</f>
        <v/>
      </c>
      <c r="AB234" s="16">
        <f>($B234*$F234/kg_per_mt*(1+bcd_primary_al_hs7601*(1+sws_rate_on_bcd))+mcx_domestic_premium_inr_kg)*(1+$I234*MAX(0,$Q234-$A234)/day_count_inr)</f>
        <v/>
      </c>
      <c r="AC234" s="16">
        <f>$M234-$AB234</f>
        <v/>
      </c>
      <c r="AD234" s="7" t="inlineStr">
        <is>
          <t>PROXY_IMPORT_PARITY</t>
        </is>
      </c>
      <c r="AE234" s="7" t="inlineStr">
        <is>
          <t>ECB_CROSS</t>
        </is>
      </c>
      <c r="AF234" s="7" t="inlineStr">
        <is>
          <t>WCI_REPORTED|USEC:ANCHORED|JEA:ASSUMPTION</t>
        </is>
      </c>
      <c r="AG234" s="17" t="b">
        <v>0</v>
      </c>
      <c r="AH234" s="17" t="b">
        <v>1</v>
      </c>
    </row>
    <row r="235">
      <c r="A235" s="11" t="n">
        <v>44894</v>
      </c>
      <c r="B235" s="13" t="n">
        <v>2341.5</v>
      </c>
      <c r="C235" s="13" t="n">
        <v>2382</v>
      </c>
      <c r="D235" s="13" t="n">
        <v>-40.5</v>
      </c>
      <c r="E235" s="13" t="n">
        <v>503150</v>
      </c>
      <c r="F235" s="13" t="n">
        <v>81.6658</v>
      </c>
      <c r="G235" s="6" t="n">
        <v>81.8048</v>
      </c>
      <c r="H235" s="6" t="n">
        <v>82.0844</v>
      </c>
      <c r="I235" s="14" t="n">
        <v>0.06458</v>
      </c>
      <c r="J235" s="14" t="n">
        <v>0.0432</v>
      </c>
      <c r="K235" s="14" t="n">
        <v>0.059</v>
      </c>
      <c r="L235" s="13" t="n">
        <v>206.9962</v>
      </c>
      <c r="M235" s="13" t="n">
        <v>207.0328</v>
      </c>
      <c r="N235" s="13" t="n">
        <v>208.1315</v>
      </c>
      <c r="O235" s="13" t="n">
        <v>15.24</v>
      </c>
      <c r="P235" s="13" t="n">
        <v>67.59</v>
      </c>
      <c r="Q235" s="12" t="n">
        <v>44895</v>
      </c>
      <c r="R235" s="12" t="n">
        <v>44925</v>
      </c>
      <c r="S235" s="8">
        <f>YEAR($Q235)*100+MONTH($Q235)</f>
        <v/>
      </c>
      <c r="T235" s="8">
        <f>YEAR($R235)*100+MONTH($R235)</f>
        <v/>
      </c>
      <c r="U235" s="15">
        <f>IF($A235&lt;=INDEX(pdates_wc_rate_inr_pa,1),INDEX(pvals_wc_rate_inr_pa,1),INDEX(pvals_wc_rate_inr_pa,MATCH($A235,pdates_wc_rate_inr_pa,1)))</f>
        <v/>
      </c>
      <c r="V235" s="8">
        <f>IF(AND($A235&gt;=customs_fx_first,$A235&lt;=customs_fx_last+customs_fx_notification_validity_days),IF($A235&lt;=INDEX(pdates_customs_usdinr_import,1),INDEX(pvals_customs_usdinr_import,1),INDEX(pvals_customs_usdinr_import,MATCH($A235,pdates_customs_usdinr_import,1))),$F235*(1+customs_fx_markup_frac))</f>
        <v/>
      </c>
      <c r="W235" s="8">
        <f>IF(AND($A235&gt;=customs_fx_first,$A235&lt;=customs_fx_last+customs_fx_notification_validity_days),"CBIC_NOTIFIED","MARKUP_FALLBACK")</f>
        <v/>
      </c>
      <c r="X235" s="8">
        <f>IF($A235&lt;=INDEX(pdates_grade_factor_zorba,1),INDEX(pvals_grade_factor_zorba,1),IF($A235&gt;=INDEX(pdates_grade_factor_zorba,10),INDEX(pvals_grade_factor_zorba,10),INDEX(pvals_grade_factor_zorba,MATCH($A235,pdates_grade_factor_zorba,1))+($A235-INDEX(pdates_grade_factor_zorba,MATCH($A235,pdates_grade_factor_zorba,1)))/(INDEX(pdates_grade_factor_zorba,MATCH($A235,pdates_grade_factor_zorba,1)+1)-INDEX(pdates_grade_factor_zorba,MATCH($A235,pdates_grade_factor_zorba,1)))*(INDEX(pvals_grade_factor_zorba,MATCH($A235,pdates_grade_factor_zorba,1)+1)-INDEX(pvals_grade_factor_zorba,MATCH($A235,pdates_grade_factor_zorba,1)))))</f>
        <v/>
      </c>
      <c r="Y235" s="8">
        <f>IF($A235&lt;=INDEX(pdates_grade_factor_taint_tabor,1),INDEX(pvals_grade_factor_taint_tabor,1),IF($A235&gt;=INDEX(pdates_grade_factor_taint_tabor,10),INDEX(pvals_grade_factor_taint_tabor,10),INDEX(pvals_grade_factor_taint_tabor,MATCH($A235,pdates_grade_factor_taint_tabor,1))+($A235-INDEX(pdates_grade_factor_taint_tabor,MATCH($A235,pdates_grade_factor_taint_tabor,1)))/(INDEX(pdates_grade_factor_taint_tabor,MATCH($A235,pdates_grade_factor_taint_tabor,1)+1)-INDEX(pdates_grade_factor_taint_tabor,MATCH($A235,pdates_grade_factor_taint_tabor,1)))*(INDEX(pvals_grade_factor_taint_tabor,MATCH($A235,pdates_grade_factor_taint_tabor,1)+1)-INDEX(pvals_grade_factor_taint_tabor,MATCH($A235,pdates_grade_factor_taint_tabor,1)))))</f>
        <v/>
      </c>
      <c r="Z235" s="8">
        <f>IF($A235&lt;=INDEX(pdates_grade_factor_tense,1),INDEX(pvals_grade_factor_tense,1),IF($A235&gt;=INDEX(pdates_grade_factor_tense,10),INDEX(pvals_grade_factor_tense,10),INDEX(pvals_grade_factor_tense,MATCH($A235,pdates_grade_factor_tense,1))+($A235-INDEX(pdates_grade_factor_tense,MATCH($A235,pdates_grade_factor_tense,1)))/(INDEX(pdates_grade_factor_tense,MATCH($A235,pdates_grade_factor_tense,1)+1)-INDEX(pdates_grade_factor_tense,MATCH($A235,pdates_grade_factor_tense,1)))*(INDEX(pvals_grade_factor_tense,MATCH($A235,pdates_grade_factor_tense,1)+1)-INDEX(pvals_grade_factor_tense,MATCH($A235,pdates_grade_factor_tense,1)))))</f>
        <v/>
      </c>
      <c r="AA235" s="8">
        <f>IF($A235&lt;=INDEX(pdates_grade_factor_mix_pit,1),INDEX(pvals_grade_factor_mix_pit,1),IF($A235&gt;=INDEX(pdates_grade_factor_mix_pit,10),INDEX(pvals_grade_factor_mix_pit,10),INDEX(pvals_grade_factor_mix_pit,MATCH($A235,pdates_grade_factor_mix_pit,1))+($A235-INDEX(pdates_grade_factor_mix_pit,MATCH($A235,pdates_grade_factor_mix_pit,1)))/(INDEX(pdates_grade_factor_mix_pit,MATCH($A235,pdates_grade_factor_mix_pit,1)+1)-INDEX(pdates_grade_factor_mix_pit,MATCH($A235,pdates_grade_factor_mix_pit,1)))*(INDEX(pvals_grade_factor_mix_pit,MATCH($A235,pdates_grade_factor_mix_pit,1)+1)-INDEX(pvals_grade_factor_mix_pit,MATCH($A235,pdates_grade_factor_mix_pit,1)))))</f>
        <v/>
      </c>
      <c r="AB235" s="16">
        <f>($B235*$F235/kg_per_mt*(1+bcd_primary_al_hs7601*(1+sws_rate_on_bcd))+mcx_domestic_premium_inr_kg)*(1+$I235*MAX(0,$Q235-$A235)/day_count_inr)</f>
        <v/>
      </c>
      <c r="AC235" s="16">
        <f>$M235-$AB235</f>
        <v/>
      </c>
      <c r="AD235" s="7" t="inlineStr">
        <is>
          <t>PROXY_IMPORT_PARITY</t>
        </is>
      </c>
      <c r="AE235" s="7" t="inlineStr">
        <is>
          <t>ECB_CROSS</t>
        </is>
      </c>
      <c r="AF235" s="7" t="inlineStr">
        <is>
          <t>WCI_REPORTED|USEC:ANCHORED|JEA:ASSUMPTION</t>
        </is>
      </c>
      <c r="AG235" s="17" t="b">
        <v>0</v>
      </c>
      <c r="AH235" s="17" t="b">
        <v>1</v>
      </c>
    </row>
    <row r="236">
      <c r="A236" s="11" t="n">
        <v>44895</v>
      </c>
      <c r="B236" s="13" t="n">
        <v>2387</v>
      </c>
      <c r="C236" s="13" t="n">
        <v>2419</v>
      </c>
      <c r="D236" s="13" t="n">
        <v>-32</v>
      </c>
      <c r="E236" s="13" t="n">
        <v>501225</v>
      </c>
      <c r="F236" s="13" t="n">
        <v>81.3623</v>
      </c>
      <c r="G236" s="6" t="n">
        <v>81.50069999999999</v>
      </c>
      <c r="H236" s="6" t="n">
        <v>81.7747</v>
      </c>
      <c r="I236" s="14" t="n">
        <v>0.06458</v>
      </c>
      <c r="J236" s="14" t="n">
        <v>0.0432</v>
      </c>
      <c r="K236" s="14" t="n">
        <v>0.059</v>
      </c>
      <c r="L236" s="13" t="n">
        <v>210.2343</v>
      </c>
      <c r="M236" s="13" t="n">
        <v>210.2343</v>
      </c>
      <c r="N236" s="13" t="n">
        <v>211.3502</v>
      </c>
      <c r="O236" s="13" t="n">
        <v>15.24</v>
      </c>
      <c r="P236" s="13" t="n">
        <v>67.59</v>
      </c>
      <c r="Q236" s="12" t="n">
        <v>44895</v>
      </c>
      <c r="R236" s="12" t="n">
        <v>44925</v>
      </c>
      <c r="S236" s="8">
        <f>YEAR($Q236)*100+MONTH($Q236)</f>
        <v/>
      </c>
      <c r="T236" s="8">
        <f>YEAR($R236)*100+MONTH($R236)</f>
        <v/>
      </c>
      <c r="U236" s="15">
        <f>IF($A236&lt;=INDEX(pdates_wc_rate_inr_pa,1),INDEX(pvals_wc_rate_inr_pa,1),INDEX(pvals_wc_rate_inr_pa,MATCH($A236,pdates_wc_rate_inr_pa,1)))</f>
        <v/>
      </c>
      <c r="V236" s="8">
        <f>IF(AND($A236&gt;=customs_fx_first,$A236&lt;=customs_fx_last+customs_fx_notification_validity_days),IF($A236&lt;=INDEX(pdates_customs_usdinr_import,1),INDEX(pvals_customs_usdinr_import,1),INDEX(pvals_customs_usdinr_import,MATCH($A236,pdates_customs_usdinr_import,1))),$F236*(1+customs_fx_markup_frac))</f>
        <v/>
      </c>
      <c r="W236" s="8">
        <f>IF(AND($A236&gt;=customs_fx_first,$A236&lt;=customs_fx_last+customs_fx_notification_validity_days),"CBIC_NOTIFIED","MARKUP_FALLBACK")</f>
        <v/>
      </c>
      <c r="X236" s="8">
        <f>IF($A236&lt;=INDEX(pdates_grade_factor_zorba,1),INDEX(pvals_grade_factor_zorba,1),IF($A236&gt;=INDEX(pdates_grade_factor_zorba,10),INDEX(pvals_grade_factor_zorba,10),INDEX(pvals_grade_factor_zorba,MATCH($A236,pdates_grade_factor_zorba,1))+($A236-INDEX(pdates_grade_factor_zorba,MATCH($A236,pdates_grade_factor_zorba,1)))/(INDEX(pdates_grade_factor_zorba,MATCH($A236,pdates_grade_factor_zorba,1)+1)-INDEX(pdates_grade_factor_zorba,MATCH($A236,pdates_grade_factor_zorba,1)))*(INDEX(pvals_grade_factor_zorba,MATCH($A236,pdates_grade_factor_zorba,1)+1)-INDEX(pvals_grade_factor_zorba,MATCH($A236,pdates_grade_factor_zorba,1)))))</f>
        <v/>
      </c>
      <c r="Y236" s="8">
        <f>IF($A236&lt;=INDEX(pdates_grade_factor_taint_tabor,1),INDEX(pvals_grade_factor_taint_tabor,1),IF($A236&gt;=INDEX(pdates_grade_factor_taint_tabor,10),INDEX(pvals_grade_factor_taint_tabor,10),INDEX(pvals_grade_factor_taint_tabor,MATCH($A236,pdates_grade_factor_taint_tabor,1))+($A236-INDEX(pdates_grade_factor_taint_tabor,MATCH($A236,pdates_grade_factor_taint_tabor,1)))/(INDEX(pdates_grade_factor_taint_tabor,MATCH($A236,pdates_grade_factor_taint_tabor,1)+1)-INDEX(pdates_grade_factor_taint_tabor,MATCH($A236,pdates_grade_factor_taint_tabor,1)))*(INDEX(pvals_grade_factor_taint_tabor,MATCH($A236,pdates_grade_factor_taint_tabor,1)+1)-INDEX(pvals_grade_factor_taint_tabor,MATCH($A236,pdates_grade_factor_taint_tabor,1)))))</f>
        <v/>
      </c>
      <c r="Z236" s="8">
        <f>IF($A236&lt;=INDEX(pdates_grade_factor_tense,1),INDEX(pvals_grade_factor_tense,1),IF($A236&gt;=INDEX(pdates_grade_factor_tense,10),INDEX(pvals_grade_factor_tense,10),INDEX(pvals_grade_factor_tense,MATCH($A236,pdates_grade_factor_tense,1))+($A236-INDEX(pdates_grade_factor_tense,MATCH($A236,pdates_grade_factor_tense,1)))/(INDEX(pdates_grade_factor_tense,MATCH($A236,pdates_grade_factor_tense,1)+1)-INDEX(pdates_grade_factor_tense,MATCH($A236,pdates_grade_factor_tense,1)))*(INDEX(pvals_grade_factor_tense,MATCH($A236,pdates_grade_factor_tense,1)+1)-INDEX(pvals_grade_factor_tense,MATCH($A236,pdates_grade_factor_tense,1)))))</f>
        <v/>
      </c>
      <c r="AA236" s="8">
        <f>IF($A236&lt;=INDEX(pdates_grade_factor_mix_pit,1),INDEX(pvals_grade_factor_mix_pit,1),IF($A236&gt;=INDEX(pdates_grade_factor_mix_pit,10),INDEX(pvals_grade_factor_mix_pit,10),INDEX(pvals_grade_factor_mix_pit,MATCH($A236,pdates_grade_factor_mix_pit,1))+($A236-INDEX(pdates_grade_factor_mix_pit,MATCH($A236,pdates_grade_factor_mix_pit,1)))/(INDEX(pdates_grade_factor_mix_pit,MATCH($A236,pdates_grade_factor_mix_pit,1)+1)-INDEX(pdates_grade_factor_mix_pit,MATCH($A236,pdates_grade_factor_mix_pit,1)))*(INDEX(pvals_grade_factor_mix_pit,MATCH($A236,pdates_grade_factor_mix_pit,1)+1)-INDEX(pvals_grade_factor_mix_pit,MATCH($A236,pdates_grade_factor_mix_pit,1)))))</f>
        <v/>
      </c>
      <c r="AB236" s="16">
        <f>($B236*$F236/kg_per_mt*(1+bcd_primary_al_hs7601*(1+sws_rate_on_bcd))+mcx_domestic_premium_inr_kg)*(1+$I236*MAX(0,$Q236-$A236)/day_count_inr)</f>
        <v/>
      </c>
      <c r="AC236" s="16">
        <f>$M236-$AB236</f>
        <v/>
      </c>
      <c r="AD236" s="7" t="inlineStr">
        <is>
          <t>PROXY_IMPORT_PARITY</t>
        </is>
      </c>
      <c r="AE236" s="7" t="inlineStr">
        <is>
          <t>ECB_CROSS</t>
        </is>
      </c>
      <c r="AF236" s="7" t="inlineStr">
        <is>
          <t>WCI_REPORTED|USEC:ANCHORED|JEA:ASSUMPTION</t>
        </is>
      </c>
      <c r="AG236" s="17" t="b">
        <v>0</v>
      </c>
      <c r="AH236" s="17" t="b">
        <v>1</v>
      </c>
    </row>
    <row r="237">
      <c r="A237" s="11" t="n">
        <v>44896</v>
      </c>
      <c r="B237" s="13" t="n">
        <v>2430.5</v>
      </c>
      <c r="C237" s="13" t="n">
        <v>2460.5</v>
      </c>
      <c r="D237" s="13" t="n">
        <v>-30</v>
      </c>
      <c r="E237" s="13" t="n">
        <v>499150</v>
      </c>
      <c r="F237" s="13" t="n">
        <v>81.2445</v>
      </c>
      <c r="G237" s="6" t="n">
        <v>81.3674</v>
      </c>
      <c r="H237" s="6" t="n">
        <v>81.59869999999999</v>
      </c>
      <c r="I237" s="14" t="n">
        <v>0.061071</v>
      </c>
      <c r="J237" s="14" t="n">
        <v>0.042608</v>
      </c>
      <c r="K237" s="14" t="n">
        <v>0.059</v>
      </c>
      <c r="L237" s="13" t="n">
        <v>213.7556</v>
      </c>
      <c r="M237" s="13" t="n">
        <v>214.7928</v>
      </c>
      <c r="N237" s="13" t="n">
        <v>215.9373</v>
      </c>
      <c r="O237" s="13" t="n">
        <v>14.85</v>
      </c>
      <c r="P237" s="13" t="n">
        <v>65.84</v>
      </c>
      <c r="Q237" s="12" t="n">
        <v>44925</v>
      </c>
      <c r="R237" s="12" t="n">
        <v>44957</v>
      </c>
      <c r="S237" s="8">
        <f>YEAR($Q237)*100+MONTH($Q237)</f>
        <v/>
      </c>
      <c r="T237" s="8">
        <f>YEAR($R237)*100+MONTH($R237)</f>
        <v/>
      </c>
      <c r="U237" s="15">
        <f>IF($A237&lt;=INDEX(pdates_wc_rate_inr_pa,1),INDEX(pvals_wc_rate_inr_pa,1),INDEX(pvals_wc_rate_inr_pa,MATCH($A237,pdates_wc_rate_inr_pa,1)))</f>
        <v/>
      </c>
      <c r="V237" s="8">
        <f>IF(AND($A237&gt;=customs_fx_first,$A237&lt;=customs_fx_last+customs_fx_notification_validity_days),IF($A237&lt;=INDEX(pdates_customs_usdinr_import,1),INDEX(pvals_customs_usdinr_import,1),INDEX(pvals_customs_usdinr_import,MATCH($A237,pdates_customs_usdinr_import,1))),$F237*(1+customs_fx_markup_frac))</f>
        <v/>
      </c>
      <c r="W237" s="8">
        <f>IF(AND($A237&gt;=customs_fx_first,$A237&lt;=customs_fx_last+customs_fx_notification_validity_days),"CBIC_NOTIFIED","MARKUP_FALLBACK")</f>
        <v/>
      </c>
      <c r="X237" s="8">
        <f>IF($A237&lt;=INDEX(pdates_grade_factor_zorba,1),INDEX(pvals_grade_factor_zorba,1),IF($A237&gt;=INDEX(pdates_grade_factor_zorba,10),INDEX(pvals_grade_factor_zorba,10),INDEX(pvals_grade_factor_zorba,MATCH($A237,pdates_grade_factor_zorba,1))+($A237-INDEX(pdates_grade_factor_zorba,MATCH($A237,pdates_grade_factor_zorba,1)))/(INDEX(pdates_grade_factor_zorba,MATCH($A237,pdates_grade_factor_zorba,1)+1)-INDEX(pdates_grade_factor_zorba,MATCH($A237,pdates_grade_factor_zorba,1)))*(INDEX(pvals_grade_factor_zorba,MATCH($A237,pdates_grade_factor_zorba,1)+1)-INDEX(pvals_grade_factor_zorba,MATCH($A237,pdates_grade_factor_zorba,1)))))</f>
        <v/>
      </c>
      <c r="Y237" s="8">
        <f>IF($A237&lt;=INDEX(pdates_grade_factor_taint_tabor,1),INDEX(pvals_grade_factor_taint_tabor,1),IF($A237&gt;=INDEX(pdates_grade_factor_taint_tabor,10),INDEX(pvals_grade_factor_taint_tabor,10),INDEX(pvals_grade_factor_taint_tabor,MATCH($A237,pdates_grade_factor_taint_tabor,1))+($A237-INDEX(pdates_grade_factor_taint_tabor,MATCH($A237,pdates_grade_factor_taint_tabor,1)))/(INDEX(pdates_grade_factor_taint_tabor,MATCH($A237,pdates_grade_factor_taint_tabor,1)+1)-INDEX(pdates_grade_factor_taint_tabor,MATCH($A237,pdates_grade_factor_taint_tabor,1)))*(INDEX(pvals_grade_factor_taint_tabor,MATCH($A237,pdates_grade_factor_taint_tabor,1)+1)-INDEX(pvals_grade_factor_taint_tabor,MATCH($A237,pdates_grade_factor_taint_tabor,1)))))</f>
        <v/>
      </c>
      <c r="Z237" s="8">
        <f>IF($A237&lt;=INDEX(pdates_grade_factor_tense,1),INDEX(pvals_grade_factor_tense,1),IF($A237&gt;=INDEX(pdates_grade_factor_tense,10),INDEX(pvals_grade_factor_tense,10),INDEX(pvals_grade_factor_tense,MATCH($A237,pdates_grade_factor_tense,1))+($A237-INDEX(pdates_grade_factor_tense,MATCH($A237,pdates_grade_factor_tense,1)))/(INDEX(pdates_grade_factor_tense,MATCH($A237,pdates_grade_factor_tense,1)+1)-INDEX(pdates_grade_factor_tense,MATCH($A237,pdates_grade_factor_tense,1)))*(INDEX(pvals_grade_factor_tense,MATCH($A237,pdates_grade_factor_tense,1)+1)-INDEX(pvals_grade_factor_tense,MATCH($A237,pdates_grade_factor_tense,1)))))</f>
        <v/>
      </c>
      <c r="AA237" s="8">
        <f>IF($A237&lt;=INDEX(pdates_grade_factor_mix_pit,1),INDEX(pvals_grade_factor_mix_pit,1),IF($A237&gt;=INDEX(pdates_grade_factor_mix_pit,10),INDEX(pvals_grade_factor_mix_pit,10),INDEX(pvals_grade_factor_mix_pit,MATCH($A237,pdates_grade_factor_mix_pit,1))+($A237-INDEX(pdates_grade_factor_mix_pit,MATCH($A237,pdates_grade_factor_mix_pit,1)))/(INDEX(pdates_grade_factor_mix_pit,MATCH($A237,pdates_grade_factor_mix_pit,1)+1)-INDEX(pdates_grade_factor_mix_pit,MATCH($A237,pdates_grade_factor_mix_pit,1)))*(INDEX(pvals_grade_factor_mix_pit,MATCH($A237,pdates_grade_factor_mix_pit,1)+1)-INDEX(pvals_grade_factor_mix_pit,MATCH($A237,pdates_grade_factor_mix_pit,1)))))</f>
        <v/>
      </c>
      <c r="AB237" s="16">
        <f>($B237*$F237/kg_per_mt*(1+bcd_primary_al_hs7601*(1+sws_rate_on_bcd))+mcx_domestic_premium_inr_kg)*(1+$I237*MAX(0,$Q237-$A237)/day_count_inr)</f>
        <v/>
      </c>
      <c r="AC237" s="16">
        <f>$M237-$AB237</f>
        <v/>
      </c>
      <c r="AD237" s="7" t="inlineStr">
        <is>
          <t>PROXY_IMPORT_PARITY</t>
        </is>
      </c>
      <c r="AE237" s="7" t="inlineStr">
        <is>
          <t>ECB_CROSS</t>
        </is>
      </c>
      <c r="AF237" s="7" t="inlineStr">
        <is>
          <t>WCI_REPORTED|USEC:ANCHORED|JEA:ASSUMPTION</t>
        </is>
      </c>
      <c r="AG237" s="17" t="b">
        <v>0</v>
      </c>
      <c r="AH237" s="17" t="b">
        <v>0</v>
      </c>
    </row>
    <row r="238">
      <c r="A238" s="11" t="n">
        <v>44897</v>
      </c>
      <c r="B238" s="13" t="n">
        <v>2448.5</v>
      </c>
      <c r="C238" s="13" t="n">
        <v>2479</v>
      </c>
      <c r="D238" s="13" t="n">
        <v>-30.5</v>
      </c>
      <c r="E238" s="13" t="n">
        <v>497925</v>
      </c>
      <c r="F238" s="13" t="n">
        <v>81.2711</v>
      </c>
      <c r="G238" s="6" t="n">
        <v>81.39400000000001</v>
      </c>
      <c r="H238" s="6" t="n">
        <v>81.6255</v>
      </c>
      <c r="I238" s="14" t="n">
        <v>0.061071</v>
      </c>
      <c r="J238" s="14" t="n">
        <v>0.042608</v>
      </c>
      <c r="K238" s="14" t="n">
        <v>0.059</v>
      </c>
      <c r="L238" s="13" t="n">
        <v>215.4092</v>
      </c>
      <c r="M238" s="13" t="n">
        <v>216.4183</v>
      </c>
      <c r="N238" s="13" t="n">
        <v>217.5717</v>
      </c>
      <c r="O238" s="13" t="n">
        <v>14.85</v>
      </c>
      <c r="P238" s="13" t="n">
        <v>65.84</v>
      </c>
      <c r="Q238" s="12" t="n">
        <v>44925</v>
      </c>
      <c r="R238" s="12" t="n">
        <v>44957</v>
      </c>
      <c r="S238" s="8">
        <f>YEAR($Q238)*100+MONTH($Q238)</f>
        <v/>
      </c>
      <c r="T238" s="8">
        <f>YEAR($R238)*100+MONTH($R238)</f>
        <v/>
      </c>
      <c r="U238" s="15">
        <f>IF($A238&lt;=INDEX(pdates_wc_rate_inr_pa,1),INDEX(pvals_wc_rate_inr_pa,1),INDEX(pvals_wc_rate_inr_pa,MATCH($A238,pdates_wc_rate_inr_pa,1)))</f>
        <v/>
      </c>
      <c r="V238" s="8">
        <f>IF(AND($A238&gt;=customs_fx_first,$A238&lt;=customs_fx_last+customs_fx_notification_validity_days),IF($A238&lt;=INDEX(pdates_customs_usdinr_import,1),INDEX(pvals_customs_usdinr_import,1),INDEX(pvals_customs_usdinr_import,MATCH($A238,pdates_customs_usdinr_import,1))),$F238*(1+customs_fx_markup_frac))</f>
        <v/>
      </c>
      <c r="W238" s="8">
        <f>IF(AND($A238&gt;=customs_fx_first,$A238&lt;=customs_fx_last+customs_fx_notification_validity_days),"CBIC_NOTIFIED","MARKUP_FALLBACK")</f>
        <v/>
      </c>
      <c r="X238" s="8">
        <f>IF($A238&lt;=INDEX(pdates_grade_factor_zorba,1),INDEX(pvals_grade_factor_zorba,1),IF($A238&gt;=INDEX(pdates_grade_factor_zorba,10),INDEX(pvals_grade_factor_zorba,10),INDEX(pvals_grade_factor_zorba,MATCH($A238,pdates_grade_factor_zorba,1))+($A238-INDEX(pdates_grade_factor_zorba,MATCH($A238,pdates_grade_factor_zorba,1)))/(INDEX(pdates_grade_factor_zorba,MATCH($A238,pdates_grade_factor_zorba,1)+1)-INDEX(pdates_grade_factor_zorba,MATCH($A238,pdates_grade_factor_zorba,1)))*(INDEX(pvals_grade_factor_zorba,MATCH($A238,pdates_grade_factor_zorba,1)+1)-INDEX(pvals_grade_factor_zorba,MATCH($A238,pdates_grade_factor_zorba,1)))))</f>
        <v/>
      </c>
      <c r="Y238" s="8">
        <f>IF($A238&lt;=INDEX(pdates_grade_factor_taint_tabor,1),INDEX(pvals_grade_factor_taint_tabor,1),IF($A238&gt;=INDEX(pdates_grade_factor_taint_tabor,10),INDEX(pvals_grade_factor_taint_tabor,10),INDEX(pvals_grade_factor_taint_tabor,MATCH($A238,pdates_grade_factor_taint_tabor,1))+($A238-INDEX(pdates_grade_factor_taint_tabor,MATCH($A238,pdates_grade_factor_taint_tabor,1)))/(INDEX(pdates_grade_factor_taint_tabor,MATCH($A238,pdates_grade_factor_taint_tabor,1)+1)-INDEX(pdates_grade_factor_taint_tabor,MATCH($A238,pdates_grade_factor_taint_tabor,1)))*(INDEX(pvals_grade_factor_taint_tabor,MATCH($A238,pdates_grade_factor_taint_tabor,1)+1)-INDEX(pvals_grade_factor_taint_tabor,MATCH($A238,pdates_grade_factor_taint_tabor,1)))))</f>
        <v/>
      </c>
      <c r="Z238" s="8">
        <f>IF($A238&lt;=INDEX(pdates_grade_factor_tense,1),INDEX(pvals_grade_factor_tense,1),IF($A238&gt;=INDEX(pdates_grade_factor_tense,10),INDEX(pvals_grade_factor_tense,10),INDEX(pvals_grade_factor_tense,MATCH($A238,pdates_grade_factor_tense,1))+($A238-INDEX(pdates_grade_factor_tense,MATCH($A238,pdates_grade_factor_tense,1)))/(INDEX(pdates_grade_factor_tense,MATCH($A238,pdates_grade_factor_tense,1)+1)-INDEX(pdates_grade_factor_tense,MATCH($A238,pdates_grade_factor_tense,1)))*(INDEX(pvals_grade_factor_tense,MATCH($A238,pdates_grade_factor_tense,1)+1)-INDEX(pvals_grade_factor_tense,MATCH($A238,pdates_grade_factor_tense,1)))))</f>
        <v/>
      </c>
      <c r="AA238" s="8">
        <f>IF($A238&lt;=INDEX(pdates_grade_factor_mix_pit,1),INDEX(pvals_grade_factor_mix_pit,1),IF($A238&gt;=INDEX(pdates_grade_factor_mix_pit,10),INDEX(pvals_grade_factor_mix_pit,10),INDEX(pvals_grade_factor_mix_pit,MATCH($A238,pdates_grade_factor_mix_pit,1))+($A238-INDEX(pdates_grade_factor_mix_pit,MATCH($A238,pdates_grade_factor_mix_pit,1)))/(INDEX(pdates_grade_factor_mix_pit,MATCH($A238,pdates_grade_factor_mix_pit,1)+1)-INDEX(pdates_grade_factor_mix_pit,MATCH($A238,pdates_grade_factor_mix_pit,1)))*(INDEX(pvals_grade_factor_mix_pit,MATCH($A238,pdates_grade_factor_mix_pit,1)+1)-INDEX(pvals_grade_factor_mix_pit,MATCH($A238,pdates_grade_factor_mix_pit,1)))))</f>
        <v/>
      </c>
      <c r="AB238" s="16">
        <f>($B238*$F238/kg_per_mt*(1+bcd_primary_al_hs7601*(1+sws_rate_on_bcd))+mcx_domestic_premium_inr_kg)*(1+$I238*MAX(0,$Q238-$A238)/day_count_inr)</f>
        <v/>
      </c>
      <c r="AC238" s="16">
        <f>$M238-$AB238</f>
        <v/>
      </c>
      <c r="AD238" s="7" t="inlineStr">
        <is>
          <t>PROXY_IMPORT_PARITY</t>
        </is>
      </c>
      <c r="AE238" s="7" t="inlineStr">
        <is>
          <t>ECB_CROSS</t>
        </is>
      </c>
      <c r="AF238" s="7" t="inlineStr">
        <is>
          <t>WCI_REPORTED|USEC:ANCHORED|JEA:ASSUMPTION</t>
        </is>
      </c>
      <c r="AG238" s="17" t="b">
        <v>0</v>
      </c>
      <c r="AH238" s="17" t="b">
        <v>1</v>
      </c>
    </row>
    <row r="239">
      <c r="A239" s="11" t="n">
        <v>44900</v>
      </c>
      <c r="B239" s="13" t="n">
        <v>2485</v>
      </c>
      <c r="C239" s="13" t="n">
        <v>2517</v>
      </c>
      <c r="D239" s="13" t="n">
        <v>-32</v>
      </c>
      <c r="E239" s="13" t="n">
        <v>495550</v>
      </c>
      <c r="F239" s="13" t="n">
        <v>81.72750000000001</v>
      </c>
      <c r="G239" s="6" t="n">
        <v>81.84690000000001</v>
      </c>
      <c r="H239" s="6" t="n">
        <v>82.0718</v>
      </c>
      <c r="I239" s="14" t="n">
        <v>0.061071</v>
      </c>
      <c r="J239" s="14" t="n">
        <v>0.0432</v>
      </c>
      <c r="K239" s="14" t="n">
        <v>0.059</v>
      </c>
      <c r="L239" s="13" t="n">
        <v>219.848</v>
      </c>
      <c r="M239" s="13" t="n">
        <v>220.7676</v>
      </c>
      <c r="N239" s="13" t="n">
        <v>221.9447</v>
      </c>
      <c r="O239" s="13" t="n">
        <v>14.85</v>
      </c>
      <c r="P239" s="13" t="n">
        <v>65.84</v>
      </c>
      <c r="Q239" s="12" t="n">
        <v>44925</v>
      </c>
      <c r="R239" s="12" t="n">
        <v>44957</v>
      </c>
      <c r="S239" s="8">
        <f>YEAR($Q239)*100+MONTH($Q239)</f>
        <v/>
      </c>
      <c r="T239" s="8">
        <f>YEAR($R239)*100+MONTH($R239)</f>
        <v/>
      </c>
      <c r="U239" s="15">
        <f>IF($A239&lt;=INDEX(pdates_wc_rate_inr_pa,1),INDEX(pvals_wc_rate_inr_pa,1),INDEX(pvals_wc_rate_inr_pa,MATCH($A239,pdates_wc_rate_inr_pa,1)))</f>
        <v/>
      </c>
      <c r="V239" s="8">
        <f>IF(AND($A239&gt;=customs_fx_first,$A239&lt;=customs_fx_last+customs_fx_notification_validity_days),IF($A239&lt;=INDEX(pdates_customs_usdinr_import,1),INDEX(pvals_customs_usdinr_import,1),INDEX(pvals_customs_usdinr_import,MATCH($A239,pdates_customs_usdinr_import,1))),$F239*(1+customs_fx_markup_frac))</f>
        <v/>
      </c>
      <c r="W239" s="8">
        <f>IF(AND($A239&gt;=customs_fx_first,$A239&lt;=customs_fx_last+customs_fx_notification_validity_days),"CBIC_NOTIFIED","MARKUP_FALLBACK")</f>
        <v/>
      </c>
      <c r="X239" s="8">
        <f>IF($A239&lt;=INDEX(pdates_grade_factor_zorba,1),INDEX(pvals_grade_factor_zorba,1),IF($A239&gt;=INDEX(pdates_grade_factor_zorba,10),INDEX(pvals_grade_factor_zorba,10),INDEX(pvals_grade_factor_zorba,MATCH($A239,pdates_grade_factor_zorba,1))+($A239-INDEX(pdates_grade_factor_zorba,MATCH($A239,pdates_grade_factor_zorba,1)))/(INDEX(pdates_grade_factor_zorba,MATCH($A239,pdates_grade_factor_zorba,1)+1)-INDEX(pdates_grade_factor_zorba,MATCH($A239,pdates_grade_factor_zorba,1)))*(INDEX(pvals_grade_factor_zorba,MATCH($A239,pdates_grade_factor_zorba,1)+1)-INDEX(pvals_grade_factor_zorba,MATCH($A239,pdates_grade_factor_zorba,1)))))</f>
        <v/>
      </c>
      <c r="Y239" s="8">
        <f>IF($A239&lt;=INDEX(pdates_grade_factor_taint_tabor,1),INDEX(pvals_grade_factor_taint_tabor,1),IF($A239&gt;=INDEX(pdates_grade_factor_taint_tabor,10),INDEX(pvals_grade_factor_taint_tabor,10),INDEX(pvals_grade_factor_taint_tabor,MATCH($A239,pdates_grade_factor_taint_tabor,1))+($A239-INDEX(pdates_grade_factor_taint_tabor,MATCH($A239,pdates_grade_factor_taint_tabor,1)))/(INDEX(pdates_grade_factor_taint_tabor,MATCH($A239,pdates_grade_factor_taint_tabor,1)+1)-INDEX(pdates_grade_factor_taint_tabor,MATCH($A239,pdates_grade_factor_taint_tabor,1)))*(INDEX(pvals_grade_factor_taint_tabor,MATCH($A239,pdates_grade_factor_taint_tabor,1)+1)-INDEX(pvals_grade_factor_taint_tabor,MATCH($A239,pdates_grade_factor_taint_tabor,1)))))</f>
        <v/>
      </c>
      <c r="Z239" s="8">
        <f>IF($A239&lt;=INDEX(pdates_grade_factor_tense,1),INDEX(pvals_grade_factor_tense,1),IF($A239&gt;=INDEX(pdates_grade_factor_tense,10),INDEX(pvals_grade_factor_tense,10),INDEX(pvals_grade_factor_tense,MATCH($A239,pdates_grade_factor_tense,1))+($A239-INDEX(pdates_grade_factor_tense,MATCH($A239,pdates_grade_factor_tense,1)))/(INDEX(pdates_grade_factor_tense,MATCH($A239,pdates_grade_factor_tense,1)+1)-INDEX(pdates_grade_factor_tense,MATCH($A239,pdates_grade_factor_tense,1)))*(INDEX(pvals_grade_factor_tense,MATCH($A239,pdates_grade_factor_tense,1)+1)-INDEX(pvals_grade_factor_tense,MATCH($A239,pdates_grade_factor_tense,1)))))</f>
        <v/>
      </c>
      <c r="AA239" s="8">
        <f>IF($A239&lt;=INDEX(pdates_grade_factor_mix_pit,1),INDEX(pvals_grade_factor_mix_pit,1),IF($A239&gt;=INDEX(pdates_grade_factor_mix_pit,10),INDEX(pvals_grade_factor_mix_pit,10),INDEX(pvals_grade_factor_mix_pit,MATCH($A239,pdates_grade_factor_mix_pit,1))+($A239-INDEX(pdates_grade_factor_mix_pit,MATCH($A239,pdates_grade_factor_mix_pit,1)))/(INDEX(pdates_grade_factor_mix_pit,MATCH($A239,pdates_grade_factor_mix_pit,1)+1)-INDEX(pdates_grade_factor_mix_pit,MATCH($A239,pdates_grade_factor_mix_pit,1)))*(INDEX(pvals_grade_factor_mix_pit,MATCH($A239,pdates_grade_factor_mix_pit,1)+1)-INDEX(pvals_grade_factor_mix_pit,MATCH($A239,pdates_grade_factor_mix_pit,1)))))</f>
        <v/>
      </c>
      <c r="AB239" s="16">
        <f>($B239*$F239/kg_per_mt*(1+bcd_primary_al_hs7601*(1+sws_rate_on_bcd))+mcx_domestic_premium_inr_kg)*(1+$I239*MAX(0,$Q239-$A239)/day_count_inr)</f>
        <v/>
      </c>
      <c r="AC239" s="16">
        <f>$M239-$AB239</f>
        <v/>
      </c>
      <c r="AD239" s="7" t="inlineStr">
        <is>
          <t>PROXY_IMPORT_PARITY</t>
        </is>
      </c>
      <c r="AE239" s="7" t="inlineStr">
        <is>
          <t>ECB_CROSS</t>
        </is>
      </c>
      <c r="AF239" s="7" t="inlineStr">
        <is>
          <t>WCI_REPORTED|USEC:ANCHORED|JEA:ASSUMPTION</t>
        </is>
      </c>
      <c r="AG239" s="17" t="b">
        <v>0</v>
      </c>
      <c r="AH239" s="17" t="b">
        <v>1</v>
      </c>
    </row>
    <row r="240">
      <c r="A240" s="11" t="n">
        <v>44901</v>
      </c>
      <c r="B240" s="13" t="n">
        <v>2461</v>
      </c>
      <c r="C240" s="13" t="n">
        <v>2490.5</v>
      </c>
      <c r="D240" s="13" t="n">
        <v>-29.5</v>
      </c>
      <c r="E240" s="13" t="n">
        <v>491750</v>
      </c>
      <c r="F240" s="13" t="n">
        <v>82.3968</v>
      </c>
      <c r="G240" s="6" t="n">
        <v>82.5172</v>
      </c>
      <c r="H240" s="6" t="n">
        <v>82.744</v>
      </c>
      <c r="I240" s="14" t="n">
        <v>0.061071</v>
      </c>
      <c r="J240" s="14" t="n">
        <v>0.0432</v>
      </c>
      <c r="K240" s="14" t="n">
        <v>0.059</v>
      </c>
      <c r="L240" s="13" t="n">
        <v>219.5078</v>
      </c>
      <c r="M240" s="13" t="n">
        <v>220.3892</v>
      </c>
      <c r="N240" s="13" t="n">
        <v>221.5645</v>
      </c>
      <c r="O240" s="13" t="n">
        <v>14.85</v>
      </c>
      <c r="P240" s="13" t="n">
        <v>65.84</v>
      </c>
      <c r="Q240" s="12" t="n">
        <v>44925</v>
      </c>
      <c r="R240" s="12" t="n">
        <v>44957</v>
      </c>
      <c r="S240" s="8">
        <f>YEAR($Q240)*100+MONTH($Q240)</f>
        <v/>
      </c>
      <c r="T240" s="8">
        <f>YEAR($R240)*100+MONTH($R240)</f>
        <v/>
      </c>
      <c r="U240" s="15">
        <f>IF($A240&lt;=INDEX(pdates_wc_rate_inr_pa,1),INDEX(pvals_wc_rate_inr_pa,1),INDEX(pvals_wc_rate_inr_pa,MATCH($A240,pdates_wc_rate_inr_pa,1)))</f>
        <v/>
      </c>
      <c r="V240" s="8">
        <f>IF(AND($A240&gt;=customs_fx_first,$A240&lt;=customs_fx_last+customs_fx_notification_validity_days),IF($A240&lt;=INDEX(pdates_customs_usdinr_import,1),INDEX(pvals_customs_usdinr_import,1),INDEX(pvals_customs_usdinr_import,MATCH($A240,pdates_customs_usdinr_import,1))),$F240*(1+customs_fx_markup_frac))</f>
        <v/>
      </c>
      <c r="W240" s="8">
        <f>IF(AND($A240&gt;=customs_fx_first,$A240&lt;=customs_fx_last+customs_fx_notification_validity_days),"CBIC_NOTIFIED","MARKUP_FALLBACK")</f>
        <v/>
      </c>
      <c r="X240" s="8">
        <f>IF($A240&lt;=INDEX(pdates_grade_factor_zorba,1),INDEX(pvals_grade_factor_zorba,1),IF($A240&gt;=INDEX(pdates_grade_factor_zorba,10),INDEX(pvals_grade_factor_zorba,10),INDEX(pvals_grade_factor_zorba,MATCH($A240,pdates_grade_factor_zorba,1))+($A240-INDEX(pdates_grade_factor_zorba,MATCH($A240,pdates_grade_factor_zorba,1)))/(INDEX(pdates_grade_factor_zorba,MATCH($A240,pdates_grade_factor_zorba,1)+1)-INDEX(pdates_grade_factor_zorba,MATCH($A240,pdates_grade_factor_zorba,1)))*(INDEX(pvals_grade_factor_zorba,MATCH($A240,pdates_grade_factor_zorba,1)+1)-INDEX(pvals_grade_factor_zorba,MATCH($A240,pdates_grade_factor_zorba,1)))))</f>
        <v/>
      </c>
      <c r="Y240" s="8">
        <f>IF($A240&lt;=INDEX(pdates_grade_factor_taint_tabor,1),INDEX(pvals_grade_factor_taint_tabor,1),IF($A240&gt;=INDEX(pdates_grade_factor_taint_tabor,10),INDEX(pvals_grade_factor_taint_tabor,10),INDEX(pvals_grade_factor_taint_tabor,MATCH($A240,pdates_grade_factor_taint_tabor,1))+($A240-INDEX(pdates_grade_factor_taint_tabor,MATCH($A240,pdates_grade_factor_taint_tabor,1)))/(INDEX(pdates_grade_factor_taint_tabor,MATCH($A240,pdates_grade_factor_taint_tabor,1)+1)-INDEX(pdates_grade_factor_taint_tabor,MATCH($A240,pdates_grade_factor_taint_tabor,1)))*(INDEX(pvals_grade_factor_taint_tabor,MATCH($A240,pdates_grade_factor_taint_tabor,1)+1)-INDEX(pvals_grade_factor_taint_tabor,MATCH($A240,pdates_grade_factor_taint_tabor,1)))))</f>
        <v/>
      </c>
      <c r="Z240" s="8">
        <f>IF($A240&lt;=INDEX(pdates_grade_factor_tense,1),INDEX(pvals_grade_factor_tense,1),IF($A240&gt;=INDEX(pdates_grade_factor_tense,10),INDEX(pvals_grade_factor_tense,10),INDEX(pvals_grade_factor_tense,MATCH($A240,pdates_grade_factor_tense,1))+($A240-INDEX(pdates_grade_factor_tense,MATCH($A240,pdates_grade_factor_tense,1)))/(INDEX(pdates_grade_factor_tense,MATCH($A240,pdates_grade_factor_tense,1)+1)-INDEX(pdates_grade_factor_tense,MATCH($A240,pdates_grade_factor_tense,1)))*(INDEX(pvals_grade_factor_tense,MATCH($A240,pdates_grade_factor_tense,1)+1)-INDEX(pvals_grade_factor_tense,MATCH($A240,pdates_grade_factor_tense,1)))))</f>
        <v/>
      </c>
      <c r="AA240" s="8">
        <f>IF($A240&lt;=INDEX(pdates_grade_factor_mix_pit,1),INDEX(pvals_grade_factor_mix_pit,1),IF($A240&gt;=INDEX(pdates_grade_factor_mix_pit,10),INDEX(pvals_grade_factor_mix_pit,10),INDEX(pvals_grade_factor_mix_pit,MATCH($A240,pdates_grade_factor_mix_pit,1))+($A240-INDEX(pdates_grade_factor_mix_pit,MATCH($A240,pdates_grade_factor_mix_pit,1)))/(INDEX(pdates_grade_factor_mix_pit,MATCH($A240,pdates_grade_factor_mix_pit,1)+1)-INDEX(pdates_grade_factor_mix_pit,MATCH($A240,pdates_grade_factor_mix_pit,1)))*(INDEX(pvals_grade_factor_mix_pit,MATCH($A240,pdates_grade_factor_mix_pit,1)+1)-INDEX(pvals_grade_factor_mix_pit,MATCH($A240,pdates_grade_factor_mix_pit,1)))))</f>
        <v/>
      </c>
      <c r="AB240" s="16">
        <f>($B240*$F240/kg_per_mt*(1+bcd_primary_al_hs7601*(1+sws_rate_on_bcd))+mcx_domestic_premium_inr_kg)*(1+$I240*MAX(0,$Q240-$A240)/day_count_inr)</f>
        <v/>
      </c>
      <c r="AC240" s="16">
        <f>$M240-$AB240</f>
        <v/>
      </c>
      <c r="AD240" s="7" t="inlineStr">
        <is>
          <t>PROXY_IMPORT_PARITY</t>
        </is>
      </c>
      <c r="AE240" s="7" t="inlineStr">
        <is>
          <t>ECB_CROSS</t>
        </is>
      </c>
      <c r="AF240" s="7" t="inlineStr">
        <is>
          <t>WCI_REPORTED|USEC:ANCHORED|JEA:ASSUMPTION</t>
        </is>
      </c>
      <c r="AG240" s="17" t="b">
        <v>0</v>
      </c>
      <c r="AH240" s="17" t="b">
        <v>1</v>
      </c>
    </row>
    <row r="241">
      <c r="A241" s="11" t="n">
        <v>44902</v>
      </c>
      <c r="B241" s="13" t="n">
        <v>2450.5</v>
      </c>
      <c r="C241" s="13" t="n">
        <v>2477</v>
      </c>
      <c r="D241" s="13" t="n">
        <v>-26.5</v>
      </c>
      <c r="E241" s="13" t="n">
        <v>483575</v>
      </c>
      <c r="F241" s="13" t="n">
        <v>82.3364</v>
      </c>
      <c r="G241" s="6" t="n">
        <v>82.4867</v>
      </c>
      <c r="H241" s="6" t="n">
        <v>82.7697</v>
      </c>
      <c r="I241" s="14" t="n">
        <v>0.064571</v>
      </c>
      <c r="J241" s="14" t="n">
        <v>0.042411</v>
      </c>
      <c r="K241" s="14" t="n">
        <v>0.0625</v>
      </c>
      <c r="L241" s="13" t="n">
        <v>218.411</v>
      </c>
      <c r="M241" s="13" t="n">
        <v>219.2997</v>
      </c>
      <c r="N241" s="13" t="n">
        <v>220.5361</v>
      </c>
      <c r="O241" s="13" t="n">
        <v>14.85</v>
      </c>
      <c r="P241" s="13" t="n">
        <v>65.84</v>
      </c>
      <c r="Q241" s="12" t="n">
        <v>44925</v>
      </c>
      <c r="R241" s="12" t="n">
        <v>44957</v>
      </c>
      <c r="S241" s="8">
        <f>YEAR($Q241)*100+MONTH($Q241)</f>
        <v/>
      </c>
      <c r="T241" s="8">
        <f>YEAR($R241)*100+MONTH($R241)</f>
        <v/>
      </c>
      <c r="U241" s="15">
        <f>IF($A241&lt;=INDEX(pdates_wc_rate_inr_pa,1),INDEX(pvals_wc_rate_inr_pa,1),INDEX(pvals_wc_rate_inr_pa,MATCH($A241,pdates_wc_rate_inr_pa,1)))</f>
        <v/>
      </c>
      <c r="V241" s="8">
        <f>IF(AND($A241&gt;=customs_fx_first,$A241&lt;=customs_fx_last+customs_fx_notification_validity_days),IF($A241&lt;=INDEX(pdates_customs_usdinr_import,1),INDEX(pvals_customs_usdinr_import,1),INDEX(pvals_customs_usdinr_import,MATCH($A241,pdates_customs_usdinr_import,1))),$F241*(1+customs_fx_markup_frac))</f>
        <v/>
      </c>
      <c r="W241" s="8">
        <f>IF(AND($A241&gt;=customs_fx_first,$A241&lt;=customs_fx_last+customs_fx_notification_validity_days),"CBIC_NOTIFIED","MARKUP_FALLBACK")</f>
        <v/>
      </c>
      <c r="X241" s="8">
        <f>IF($A241&lt;=INDEX(pdates_grade_factor_zorba,1),INDEX(pvals_grade_factor_zorba,1),IF($A241&gt;=INDEX(pdates_grade_factor_zorba,10),INDEX(pvals_grade_factor_zorba,10),INDEX(pvals_grade_factor_zorba,MATCH($A241,pdates_grade_factor_zorba,1))+($A241-INDEX(pdates_grade_factor_zorba,MATCH($A241,pdates_grade_factor_zorba,1)))/(INDEX(pdates_grade_factor_zorba,MATCH($A241,pdates_grade_factor_zorba,1)+1)-INDEX(pdates_grade_factor_zorba,MATCH($A241,pdates_grade_factor_zorba,1)))*(INDEX(pvals_grade_factor_zorba,MATCH($A241,pdates_grade_factor_zorba,1)+1)-INDEX(pvals_grade_factor_zorba,MATCH($A241,pdates_grade_factor_zorba,1)))))</f>
        <v/>
      </c>
      <c r="Y241" s="8">
        <f>IF($A241&lt;=INDEX(pdates_grade_factor_taint_tabor,1),INDEX(pvals_grade_factor_taint_tabor,1),IF($A241&gt;=INDEX(pdates_grade_factor_taint_tabor,10),INDEX(pvals_grade_factor_taint_tabor,10),INDEX(pvals_grade_factor_taint_tabor,MATCH($A241,pdates_grade_factor_taint_tabor,1))+($A241-INDEX(pdates_grade_factor_taint_tabor,MATCH($A241,pdates_grade_factor_taint_tabor,1)))/(INDEX(pdates_grade_factor_taint_tabor,MATCH($A241,pdates_grade_factor_taint_tabor,1)+1)-INDEX(pdates_grade_factor_taint_tabor,MATCH($A241,pdates_grade_factor_taint_tabor,1)))*(INDEX(pvals_grade_factor_taint_tabor,MATCH($A241,pdates_grade_factor_taint_tabor,1)+1)-INDEX(pvals_grade_factor_taint_tabor,MATCH($A241,pdates_grade_factor_taint_tabor,1)))))</f>
        <v/>
      </c>
      <c r="Z241" s="8">
        <f>IF($A241&lt;=INDEX(pdates_grade_factor_tense,1),INDEX(pvals_grade_factor_tense,1),IF($A241&gt;=INDEX(pdates_grade_factor_tense,10),INDEX(pvals_grade_factor_tense,10),INDEX(pvals_grade_factor_tense,MATCH($A241,pdates_grade_factor_tense,1))+($A241-INDEX(pdates_grade_factor_tense,MATCH($A241,pdates_grade_factor_tense,1)))/(INDEX(pdates_grade_factor_tense,MATCH($A241,pdates_grade_factor_tense,1)+1)-INDEX(pdates_grade_factor_tense,MATCH($A241,pdates_grade_factor_tense,1)))*(INDEX(pvals_grade_factor_tense,MATCH($A241,pdates_grade_factor_tense,1)+1)-INDEX(pvals_grade_factor_tense,MATCH($A241,pdates_grade_factor_tense,1)))))</f>
        <v/>
      </c>
      <c r="AA241" s="8">
        <f>IF($A241&lt;=INDEX(pdates_grade_factor_mix_pit,1),INDEX(pvals_grade_factor_mix_pit,1),IF($A241&gt;=INDEX(pdates_grade_factor_mix_pit,10),INDEX(pvals_grade_factor_mix_pit,10),INDEX(pvals_grade_factor_mix_pit,MATCH($A241,pdates_grade_factor_mix_pit,1))+($A241-INDEX(pdates_grade_factor_mix_pit,MATCH($A241,pdates_grade_factor_mix_pit,1)))/(INDEX(pdates_grade_factor_mix_pit,MATCH($A241,pdates_grade_factor_mix_pit,1)+1)-INDEX(pdates_grade_factor_mix_pit,MATCH($A241,pdates_grade_factor_mix_pit,1)))*(INDEX(pvals_grade_factor_mix_pit,MATCH($A241,pdates_grade_factor_mix_pit,1)+1)-INDEX(pvals_grade_factor_mix_pit,MATCH($A241,pdates_grade_factor_mix_pit,1)))))</f>
        <v/>
      </c>
      <c r="AB241" s="16">
        <f>($B241*$F241/kg_per_mt*(1+bcd_primary_al_hs7601*(1+sws_rate_on_bcd))+mcx_domestic_premium_inr_kg)*(1+$I241*MAX(0,$Q241-$A241)/day_count_inr)</f>
        <v/>
      </c>
      <c r="AC241" s="16">
        <f>$M241-$AB241</f>
        <v/>
      </c>
      <c r="AD241" s="7" t="inlineStr">
        <is>
          <t>PROXY_IMPORT_PARITY</t>
        </is>
      </c>
      <c r="AE241" s="7" t="inlineStr">
        <is>
          <t>ECB_CROSS</t>
        </is>
      </c>
      <c r="AF241" s="7" t="inlineStr">
        <is>
          <t>WCI_REPORTED|USEC:ANCHORED|JEA:ASSUMPTION</t>
        </is>
      </c>
      <c r="AG241" s="17" t="b">
        <v>0</v>
      </c>
      <c r="AH241" s="17" t="b">
        <v>1</v>
      </c>
    </row>
    <row r="242">
      <c r="A242" s="11" t="n">
        <v>44903</v>
      </c>
      <c r="B242" s="13" t="n">
        <v>2468.5</v>
      </c>
      <c r="C242" s="13" t="n">
        <v>2498</v>
      </c>
      <c r="D242" s="13" t="n">
        <v>-29.5</v>
      </c>
      <c r="E242" s="13" t="n">
        <v>477425</v>
      </c>
      <c r="F242" s="13" t="n">
        <v>82.399</v>
      </c>
      <c r="G242" s="6" t="n">
        <v>82.5515</v>
      </c>
      <c r="H242" s="6" t="n">
        <v>82.8387</v>
      </c>
      <c r="I242" s="14" t="n">
        <v>0.064571</v>
      </c>
      <c r="J242" s="14" t="n">
        <v>0.042115</v>
      </c>
      <c r="K242" s="14" t="n">
        <v>0.0625</v>
      </c>
      <c r="L242" s="13" t="n">
        <v>220.1826</v>
      </c>
      <c r="M242" s="13" t="n">
        <v>221.0395</v>
      </c>
      <c r="N242" s="13" t="n">
        <v>222.286</v>
      </c>
      <c r="O242" s="13" t="n">
        <v>13.45</v>
      </c>
      <c r="P242" s="13" t="n">
        <v>59.65</v>
      </c>
      <c r="Q242" s="12" t="n">
        <v>44925</v>
      </c>
      <c r="R242" s="12" t="n">
        <v>44957</v>
      </c>
      <c r="S242" s="8">
        <f>YEAR($Q242)*100+MONTH($Q242)</f>
        <v/>
      </c>
      <c r="T242" s="8">
        <f>YEAR($R242)*100+MONTH($R242)</f>
        <v/>
      </c>
      <c r="U242" s="15">
        <f>IF($A242&lt;=INDEX(pdates_wc_rate_inr_pa,1),INDEX(pvals_wc_rate_inr_pa,1),INDEX(pvals_wc_rate_inr_pa,MATCH($A242,pdates_wc_rate_inr_pa,1)))</f>
        <v/>
      </c>
      <c r="V242" s="8">
        <f>IF(AND($A242&gt;=customs_fx_first,$A242&lt;=customs_fx_last+customs_fx_notification_validity_days),IF($A242&lt;=INDEX(pdates_customs_usdinr_import,1),INDEX(pvals_customs_usdinr_import,1),INDEX(pvals_customs_usdinr_import,MATCH($A242,pdates_customs_usdinr_import,1))),$F242*(1+customs_fx_markup_frac))</f>
        <v/>
      </c>
      <c r="W242" s="8">
        <f>IF(AND($A242&gt;=customs_fx_first,$A242&lt;=customs_fx_last+customs_fx_notification_validity_days),"CBIC_NOTIFIED","MARKUP_FALLBACK")</f>
        <v/>
      </c>
      <c r="X242" s="8">
        <f>IF($A242&lt;=INDEX(pdates_grade_factor_zorba,1),INDEX(pvals_grade_factor_zorba,1),IF($A242&gt;=INDEX(pdates_grade_factor_zorba,10),INDEX(pvals_grade_factor_zorba,10),INDEX(pvals_grade_factor_zorba,MATCH($A242,pdates_grade_factor_zorba,1))+($A242-INDEX(pdates_grade_factor_zorba,MATCH($A242,pdates_grade_factor_zorba,1)))/(INDEX(pdates_grade_factor_zorba,MATCH($A242,pdates_grade_factor_zorba,1)+1)-INDEX(pdates_grade_factor_zorba,MATCH($A242,pdates_grade_factor_zorba,1)))*(INDEX(pvals_grade_factor_zorba,MATCH($A242,pdates_grade_factor_zorba,1)+1)-INDEX(pvals_grade_factor_zorba,MATCH($A242,pdates_grade_factor_zorba,1)))))</f>
        <v/>
      </c>
      <c r="Y242" s="8">
        <f>IF($A242&lt;=INDEX(pdates_grade_factor_taint_tabor,1),INDEX(pvals_grade_factor_taint_tabor,1),IF($A242&gt;=INDEX(pdates_grade_factor_taint_tabor,10),INDEX(pvals_grade_factor_taint_tabor,10),INDEX(pvals_grade_factor_taint_tabor,MATCH($A242,pdates_grade_factor_taint_tabor,1))+($A242-INDEX(pdates_grade_factor_taint_tabor,MATCH($A242,pdates_grade_factor_taint_tabor,1)))/(INDEX(pdates_grade_factor_taint_tabor,MATCH($A242,pdates_grade_factor_taint_tabor,1)+1)-INDEX(pdates_grade_factor_taint_tabor,MATCH($A242,pdates_grade_factor_taint_tabor,1)))*(INDEX(pvals_grade_factor_taint_tabor,MATCH($A242,pdates_grade_factor_taint_tabor,1)+1)-INDEX(pvals_grade_factor_taint_tabor,MATCH($A242,pdates_grade_factor_taint_tabor,1)))))</f>
        <v/>
      </c>
      <c r="Z242" s="8">
        <f>IF($A242&lt;=INDEX(pdates_grade_factor_tense,1),INDEX(pvals_grade_factor_tense,1),IF($A242&gt;=INDEX(pdates_grade_factor_tense,10),INDEX(pvals_grade_factor_tense,10),INDEX(pvals_grade_factor_tense,MATCH($A242,pdates_grade_factor_tense,1))+($A242-INDEX(pdates_grade_factor_tense,MATCH($A242,pdates_grade_factor_tense,1)))/(INDEX(pdates_grade_factor_tense,MATCH($A242,pdates_grade_factor_tense,1)+1)-INDEX(pdates_grade_factor_tense,MATCH($A242,pdates_grade_factor_tense,1)))*(INDEX(pvals_grade_factor_tense,MATCH($A242,pdates_grade_factor_tense,1)+1)-INDEX(pvals_grade_factor_tense,MATCH($A242,pdates_grade_factor_tense,1)))))</f>
        <v/>
      </c>
      <c r="AA242" s="8">
        <f>IF($A242&lt;=INDEX(pdates_grade_factor_mix_pit,1),INDEX(pvals_grade_factor_mix_pit,1),IF($A242&gt;=INDEX(pdates_grade_factor_mix_pit,10),INDEX(pvals_grade_factor_mix_pit,10),INDEX(pvals_grade_factor_mix_pit,MATCH($A242,pdates_grade_factor_mix_pit,1))+($A242-INDEX(pdates_grade_factor_mix_pit,MATCH($A242,pdates_grade_factor_mix_pit,1)))/(INDEX(pdates_grade_factor_mix_pit,MATCH($A242,pdates_grade_factor_mix_pit,1)+1)-INDEX(pdates_grade_factor_mix_pit,MATCH($A242,pdates_grade_factor_mix_pit,1)))*(INDEX(pvals_grade_factor_mix_pit,MATCH($A242,pdates_grade_factor_mix_pit,1)+1)-INDEX(pvals_grade_factor_mix_pit,MATCH($A242,pdates_grade_factor_mix_pit,1)))))</f>
        <v/>
      </c>
      <c r="AB242" s="16">
        <f>($B242*$F242/kg_per_mt*(1+bcd_primary_al_hs7601*(1+sws_rate_on_bcd))+mcx_domestic_premium_inr_kg)*(1+$I242*MAX(0,$Q242-$A242)/day_count_inr)</f>
        <v/>
      </c>
      <c r="AC242" s="16">
        <f>$M242-$AB242</f>
        <v/>
      </c>
      <c r="AD242" s="7" t="inlineStr">
        <is>
          <t>PROXY_IMPORT_PARITY</t>
        </is>
      </c>
      <c r="AE242" s="7" t="inlineStr">
        <is>
          <t>ECB_CROSS</t>
        </is>
      </c>
      <c r="AF242" s="7" t="inlineStr">
        <is>
          <t>WCI_REPORTED|USEC:ANCHORED|JEA:ASSUMPTION</t>
        </is>
      </c>
      <c r="AG242" s="17" t="b">
        <v>0</v>
      </c>
      <c r="AH242" s="17" t="b">
        <v>0</v>
      </c>
    </row>
    <row r="243">
      <c r="A243" s="11" t="n">
        <v>44904</v>
      </c>
      <c r="B243" s="13" t="n">
        <v>2453.5</v>
      </c>
      <c r="C243" s="13" t="n">
        <v>2488</v>
      </c>
      <c r="D243" s="13" t="n">
        <v>-34.5</v>
      </c>
      <c r="E243" s="13" t="n">
        <v>471575</v>
      </c>
      <c r="F243" s="13" t="n">
        <v>82.3501</v>
      </c>
      <c r="G243" s="6" t="n">
        <v>82.50109999999999</v>
      </c>
      <c r="H243" s="6" t="n">
        <v>82.7856</v>
      </c>
      <c r="I243" s="14" t="n">
        <v>0.064571</v>
      </c>
      <c r="J243" s="14" t="n">
        <v>0.042312</v>
      </c>
      <c r="K243" s="14" t="n">
        <v>0.0625</v>
      </c>
      <c r="L243" s="13" t="n">
        <v>218.7148</v>
      </c>
      <c r="M243" s="13" t="n">
        <v>219.5273</v>
      </c>
      <c r="N243" s="13" t="n">
        <v>220.7654</v>
      </c>
      <c r="O243" s="13" t="n">
        <v>13.45</v>
      </c>
      <c r="P243" s="13" t="n">
        <v>59.65</v>
      </c>
      <c r="Q243" s="12" t="n">
        <v>44925</v>
      </c>
      <c r="R243" s="12" t="n">
        <v>44957</v>
      </c>
      <c r="S243" s="8">
        <f>YEAR($Q243)*100+MONTH($Q243)</f>
        <v/>
      </c>
      <c r="T243" s="8">
        <f>YEAR($R243)*100+MONTH($R243)</f>
        <v/>
      </c>
      <c r="U243" s="15">
        <f>IF($A243&lt;=INDEX(pdates_wc_rate_inr_pa,1),INDEX(pvals_wc_rate_inr_pa,1),INDEX(pvals_wc_rate_inr_pa,MATCH($A243,pdates_wc_rate_inr_pa,1)))</f>
        <v/>
      </c>
      <c r="V243" s="8">
        <f>IF(AND($A243&gt;=customs_fx_first,$A243&lt;=customs_fx_last+customs_fx_notification_validity_days),IF($A243&lt;=INDEX(pdates_customs_usdinr_import,1),INDEX(pvals_customs_usdinr_import,1),INDEX(pvals_customs_usdinr_import,MATCH($A243,pdates_customs_usdinr_import,1))),$F243*(1+customs_fx_markup_frac))</f>
        <v/>
      </c>
      <c r="W243" s="8">
        <f>IF(AND($A243&gt;=customs_fx_first,$A243&lt;=customs_fx_last+customs_fx_notification_validity_days),"CBIC_NOTIFIED","MARKUP_FALLBACK")</f>
        <v/>
      </c>
      <c r="X243" s="8">
        <f>IF($A243&lt;=INDEX(pdates_grade_factor_zorba,1),INDEX(pvals_grade_factor_zorba,1),IF($A243&gt;=INDEX(pdates_grade_factor_zorba,10),INDEX(pvals_grade_factor_zorba,10),INDEX(pvals_grade_factor_zorba,MATCH($A243,pdates_grade_factor_zorba,1))+($A243-INDEX(pdates_grade_factor_zorba,MATCH($A243,pdates_grade_factor_zorba,1)))/(INDEX(pdates_grade_factor_zorba,MATCH($A243,pdates_grade_factor_zorba,1)+1)-INDEX(pdates_grade_factor_zorba,MATCH($A243,pdates_grade_factor_zorba,1)))*(INDEX(pvals_grade_factor_zorba,MATCH($A243,pdates_grade_factor_zorba,1)+1)-INDEX(pvals_grade_factor_zorba,MATCH($A243,pdates_grade_factor_zorba,1)))))</f>
        <v/>
      </c>
      <c r="Y243" s="8">
        <f>IF($A243&lt;=INDEX(pdates_grade_factor_taint_tabor,1),INDEX(pvals_grade_factor_taint_tabor,1),IF($A243&gt;=INDEX(pdates_grade_factor_taint_tabor,10),INDEX(pvals_grade_factor_taint_tabor,10),INDEX(pvals_grade_factor_taint_tabor,MATCH($A243,pdates_grade_factor_taint_tabor,1))+($A243-INDEX(pdates_grade_factor_taint_tabor,MATCH($A243,pdates_grade_factor_taint_tabor,1)))/(INDEX(pdates_grade_factor_taint_tabor,MATCH($A243,pdates_grade_factor_taint_tabor,1)+1)-INDEX(pdates_grade_factor_taint_tabor,MATCH($A243,pdates_grade_factor_taint_tabor,1)))*(INDEX(pvals_grade_factor_taint_tabor,MATCH($A243,pdates_grade_factor_taint_tabor,1)+1)-INDEX(pvals_grade_factor_taint_tabor,MATCH($A243,pdates_grade_factor_taint_tabor,1)))))</f>
        <v/>
      </c>
      <c r="Z243" s="8">
        <f>IF($A243&lt;=INDEX(pdates_grade_factor_tense,1),INDEX(pvals_grade_factor_tense,1),IF($A243&gt;=INDEX(pdates_grade_factor_tense,10),INDEX(pvals_grade_factor_tense,10),INDEX(pvals_grade_factor_tense,MATCH($A243,pdates_grade_factor_tense,1))+($A243-INDEX(pdates_grade_factor_tense,MATCH($A243,pdates_grade_factor_tense,1)))/(INDEX(pdates_grade_factor_tense,MATCH($A243,pdates_grade_factor_tense,1)+1)-INDEX(pdates_grade_factor_tense,MATCH($A243,pdates_grade_factor_tense,1)))*(INDEX(pvals_grade_factor_tense,MATCH($A243,pdates_grade_factor_tense,1)+1)-INDEX(pvals_grade_factor_tense,MATCH($A243,pdates_grade_factor_tense,1)))))</f>
        <v/>
      </c>
      <c r="AA243" s="8">
        <f>IF($A243&lt;=INDEX(pdates_grade_factor_mix_pit,1),INDEX(pvals_grade_factor_mix_pit,1),IF($A243&gt;=INDEX(pdates_grade_factor_mix_pit,10),INDEX(pvals_grade_factor_mix_pit,10),INDEX(pvals_grade_factor_mix_pit,MATCH($A243,pdates_grade_factor_mix_pit,1))+($A243-INDEX(pdates_grade_factor_mix_pit,MATCH($A243,pdates_grade_factor_mix_pit,1)))/(INDEX(pdates_grade_factor_mix_pit,MATCH($A243,pdates_grade_factor_mix_pit,1)+1)-INDEX(pdates_grade_factor_mix_pit,MATCH($A243,pdates_grade_factor_mix_pit,1)))*(INDEX(pvals_grade_factor_mix_pit,MATCH($A243,pdates_grade_factor_mix_pit,1)+1)-INDEX(pvals_grade_factor_mix_pit,MATCH($A243,pdates_grade_factor_mix_pit,1)))))</f>
        <v/>
      </c>
      <c r="AB243" s="16">
        <f>($B243*$F243/kg_per_mt*(1+bcd_primary_al_hs7601*(1+sws_rate_on_bcd))+mcx_domestic_premium_inr_kg)*(1+$I243*MAX(0,$Q243-$A243)/day_count_inr)</f>
        <v/>
      </c>
      <c r="AC243" s="16">
        <f>$M243-$AB243</f>
        <v/>
      </c>
      <c r="AD243" s="7" t="inlineStr">
        <is>
          <t>PROXY_IMPORT_PARITY</t>
        </is>
      </c>
      <c r="AE243" s="7" t="inlineStr">
        <is>
          <t>ECB_CROSS</t>
        </is>
      </c>
      <c r="AF243" s="7" t="inlineStr">
        <is>
          <t>WCI_REPORTED|USEC:ANCHORED|JEA:ASSUMPTION</t>
        </is>
      </c>
      <c r="AG243" s="17" t="b">
        <v>0</v>
      </c>
      <c r="AH243" s="17" t="b">
        <v>1</v>
      </c>
    </row>
    <row r="244">
      <c r="A244" s="11" t="n">
        <v>44907</v>
      </c>
      <c r="B244" s="13" t="n">
        <v>2390</v>
      </c>
      <c r="C244" s="13" t="n">
        <v>2430</v>
      </c>
      <c r="D244" s="13" t="n">
        <v>-40</v>
      </c>
      <c r="E244" s="13" t="n">
        <v>501675</v>
      </c>
      <c r="F244" s="13" t="n">
        <v>82.6103</v>
      </c>
      <c r="G244" s="6" t="n">
        <v>82.75409999999999</v>
      </c>
      <c r="H244" s="6" t="n">
        <v>83.0248</v>
      </c>
      <c r="I244" s="14" t="n">
        <v>0.064571</v>
      </c>
      <c r="J244" s="14" t="n">
        <v>0.043397</v>
      </c>
      <c r="K244" s="14" t="n">
        <v>0.0625</v>
      </c>
      <c r="L244" s="13" t="n">
        <v>213.7273</v>
      </c>
      <c r="M244" s="13" t="n">
        <v>214.4079</v>
      </c>
      <c r="N244" s="13" t="n">
        <v>215.6178</v>
      </c>
      <c r="O244" s="13" t="n">
        <v>13.45</v>
      </c>
      <c r="P244" s="13" t="n">
        <v>59.65</v>
      </c>
      <c r="Q244" s="12" t="n">
        <v>44925</v>
      </c>
      <c r="R244" s="12" t="n">
        <v>44957</v>
      </c>
      <c r="S244" s="8">
        <f>YEAR($Q244)*100+MONTH($Q244)</f>
        <v/>
      </c>
      <c r="T244" s="8">
        <f>YEAR($R244)*100+MONTH($R244)</f>
        <v/>
      </c>
      <c r="U244" s="15">
        <f>IF($A244&lt;=INDEX(pdates_wc_rate_inr_pa,1),INDEX(pvals_wc_rate_inr_pa,1),INDEX(pvals_wc_rate_inr_pa,MATCH($A244,pdates_wc_rate_inr_pa,1)))</f>
        <v/>
      </c>
      <c r="V244" s="8">
        <f>IF(AND($A244&gt;=customs_fx_first,$A244&lt;=customs_fx_last+customs_fx_notification_validity_days),IF($A244&lt;=INDEX(pdates_customs_usdinr_import,1),INDEX(pvals_customs_usdinr_import,1),INDEX(pvals_customs_usdinr_import,MATCH($A244,pdates_customs_usdinr_import,1))),$F244*(1+customs_fx_markup_frac))</f>
        <v/>
      </c>
      <c r="W244" s="8">
        <f>IF(AND($A244&gt;=customs_fx_first,$A244&lt;=customs_fx_last+customs_fx_notification_validity_days),"CBIC_NOTIFIED","MARKUP_FALLBACK")</f>
        <v/>
      </c>
      <c r="X244" s="8">
        <f>IF($A244&lt;=INDEX(pdates_grade_factor_zorba,1),INDEX(pvals_grade_factor_zorba,1),IF($A244&gt;=INDEX(pdates_grade_factor_zorba,10),INDEX(pvals_grade_factor_zorba,10),INDEX(pvals_grade_factor_zorba,MATCH($A244,pdates_grade_factor_zorba,1))+($A244-INDEX(pdates_grade_factor_zorba,MATCH($A244,pdates_grade_factor_zorba,1)))/(INDEX(pdates_grade_factor_zorba,MATCH($A244,pdates_grade_factor_zorba,1)+1)-INDEX(pdates_grade_factor_zorba,MATCH($A244,pdates_grade_factor_zorba,1)))*(INDEX(pvals_grade_factor_zorba,MATCH($A244,pdates_grade_factor_zorba,1)+1)-INDEX(pvals_grade_factor_zorba,MATCH($A244,pdates_grade_factor_zorba,1)))))</f>
        <v/>
      </c>
      <c r="Y244" s="8">
        <f>IF($A244&lt;=INDEX(pdates_grade_factor_taint_tabor,1),INDEX(pvals_grade_factor_taint_tabor,1),IF($A244&gt;=INDEX(pdates_grade_factor_taint_tabor,10),INDEX(pvals_grade_factor_taint_tabor,10),INDEX(pvals_grade_factor_taint_tabor,MATCH($A244,pdates_grade_factor_taint_tabor,1))+($A244-INDEX(pdates_grade_factor_taint_tabor,MATCH($A244,pdates_grade_factor_taint_tabor,1)))/(INDEX(pdates_grade_factor_taint_tabor,MATCH($A244,pdates_grade_factor_taint_tabor,1)+1)-INDEX(pdates_grade_factor_taint_tabor,MATCH($A244,pdates_grade_factor_taint_tabor,1)))*(INDEX(pvals_grade_factor_taint_tabor,MATCH($A244,pdates_grade_factor_taint_tabor,1)+1)-INDEX(pvals_grade_factor_taint_tabor,MATCH($A244,pdates_grade_factor_taint_tabor,1)))))</f>
        <v/>
      </c>
      <c r="Z244" s="8">
        <f>IF($A244&lt;=INDEX(pdates_grade_factor_tense,1),INDEX(pvals_grade_factor_tense,1),IF($A244&gt;=INDEX(pdates_grade_factor_tense,10),INDEX(pvals_grade_factor_tense,10),INDEX(pvals_grade_factor_tense,MATCH($A244,pdates_grade_factor_tense,1))+($A244-INDEX(pdates_grade_factor_tense,MATCH($A244,pdates_grade_factor_tense,1)))/(INDEX(pdates_grade_factor_tense,MATCH($A244,pdates_grade_factor_tense,1)+1)-INDEX(pdates_grade_factor_tense,MATCH($A244,pdates_grade_factor_tense,1)))*(INDEX(pvals_grade_factor_tense,MATCH($A244,pdates_grade_factor_tense,1)+1)-INDEX(pvals_grade_factor_tense,MATCH($A244,pdates_grade_factor_tense,1)))))</f>
        <v/>
      </c>
      <c r="AA244" s="8">
        <f>IF($A244&lt;=INDEX(pdates_grade_factor_mix_pit,1),INDEX(pvals_grade_factor_mix_pit,1),IF($A244&gt;=INDEX(pdates_grade_factor_mix_pit,10),INDEX(pvals_grade_factor_mix_pit,10),INDEX(pvals_grade_factor_mix_pit,MATCH($A244,pdates_grade_factor_mix_pit,1))+($A244-INDEX(pdates_grade_factor_mix_pit,MATCH($A244,pdates_grade_factor_mix_pit,1)))/(INDEX(pdates_grade_factor_mix_pit,MATCH($A244,pdates_grade_factor_mix_pit,1)+1)-INDEX(pdates_grade_factor_mix_pit,MATCH($A244,pdates_grade_factor_mix_pit,1)))*(INDEX(pvals_grade_factor_mix_pit,MATCH($A244,pdates_grade_factor_mix_pit,1)+1)-INDEX(pvals_grade_factor_mix_pit,MATCH($A244,pdates_grade_factor_mix_pit,1)))))</f>
        <v/>
      </c>
      <c r="AB244" s="16">
        <f>($B244*$F244/kg_per_mt*(1+bcd_primary_al_hs7601*(1+sws_rate_on_bcd))+mcx_domestic_premium_inr_kg)*(1+$I244*MAX(0,$Q244-$A244)/day_count_inr)</f>
        <v/>
      </c>
      <c r="AC244" s="16">
        <f>$M244-$AB244</f>
        <v/>
      </c>
      <c r="AD244" s="7" t="inlineStr">
        <is>
          <t>PROXY_IMPORT_PARITY</t>
        </is>
      </c>
      <c r="AE244" s="7" t="inlineStr">
        <is>
          <t>ECB_CROSS</t>
        </is>
      </c>
      <c r="AF244" s="7" t="inlineStr">
        <is>
          <t>WCI_REPORTED|USEC:ANCHORED|JEA:ASSUMPTION</t>
        </is>
      </c>
      <c r="AG244" s="17" t="b">
        <v>0</v>
      </c>
      <c r="AH244" s="17" t="b">
        <v>1</v>
      </c>
    </row>
    <row r="245">
      <c r="A245" s="11" t="n">
        <v>44908</v>
      </c>
      <c r="B245" s="13" t="n">
        <v>2388</v>
      </c>
      <c r="C245" s="13" t="n">
        <v>2428</v>
      </c>
      <c r="D245" s="13" t="n">
        <v>-40</v>
      </c>
      <c r="E245" s="13" t="n">
        <v>496425</v>
      </c>
      <c r="F245" s="13" t="n">
        <v>82.7847</v>
      </c>
      <c r="G245" s="6" t="n">
        <v>82.93089999999999</v>
      </c>
      <c r="H245" s="6" t="n">
        <v>83.2062</v>
      </c>
      <c r="I245" s="14" t="n">
        <v>0.064571</v>
      </c>
      <c r="J245" s="14" t="n">
        <v>0.043101</v>
      </c>
      <c r="K245" s="14" t="n">
        <v>0.0625</v>
      </c>
      <c r="L245" s="13" t="n">
        <v>213.9993</v>
      </c>
      <c r="M245" s="13" t="n">
        <v>214.6429</v>
      </c>
      <c r="N245" s="13" t="n">
        <v>215.8543</v>
      </c>
      <c r="O245" s="13" t="n">
        <v>13.45</v>
      </c>
      <c r="P245" s="13" t="n">
        <v>59.65</v>
      </c>
      <c r="Q245" s="12" t="n">
        <v>44925</v>
      </c>
      <c r="R245" s="12" t="n">
        <v>44957</v>
      </c>
      <c r="S245" s="8">
        <f>YEAR($Q245)*100+MONTH($Q245)</f>
        <v/>
      </c>
      <c r="T245" s="8">
        <f>YEAR($R245)*100+MONTH($R245)</f>
        <v/>
      </c>
      <c r="U245" s="15">
        <f>IF($A245&lt;=INDEX(pdates_wc_rate_inr_pa,1),INDEX(pvals_wc_rate_inr_pa,1),INDEX(pvals_wc_rate_inr_pa,MATCH($A245,pdates_wc_rate_inr_pa,1)))</f>
        <v/>
      </c>
      <c r="V245" s="8">
        <f>IF(AND($A245&gt;=customs_fx_first,$A245&lt;=customs_fx_last+customs_fx_notification_validity_days),IF($A245&lt;=INDEX(pdates_customs_usdinr_import,1),INDEX(pvals_customs_usdinr_import,1),INDEX(pvals_customs_usdinr_import,MATCH($A245,pdates_customs_usdinr_import,1))),$F245*(1+customs_fx_markup_frac))</f>
        <v/>
      </c>
      <c r="W245" s="8">
        <f>IF(AND($A245&gt;=customs_fx_first,$A245&lt;=customs_fx_last+customs_fx_notification_validity_days),"CBIC_NOTIFIED","MARKUP_FALLBACK")</f>
        <v/>
      </c>
      <c r="X245" s="8">
        <f>IF($A245&lt;=INDEX(pdates_grade_factor_zorba,1),INDEX(pvals_grade_factor_zorba,1),IF($A245&gt;=INDEX(pdates_grade_factor_zorba,10),INDEX(pvals_grade_factor_zorba,10),INDEX(pvals_grade_factor_zorba,MATCH($A245,pdates_grade_factor_zorba,1))+($A245-INDEX(pdates_grade_factor_zorba,MATCH($A245,pdates_grade_factor_zorba,1)))/(INDEX(pdates_grade_factor_zorba,MATCH($A245,pdates_grade_factor_zorba,1)+1)-INDEX(pdates_grade_factor_zorba,MATCH($A245,pdates_grade_factor_zorba,1)))*(INDEX(pvals_grade_factor_zorba,MATCH($A245,pdates_grade_factor_zorba,1)+1)-INDEX(pvals_grade_factor_zorba,MATCH($A245,pdates_grade_factor_zorba,1)))))</f>
        <v/>
      </c>
      <c r="Y245" s="8">
        <f>IF($A245&lt;=INDEX(pdates_grade_factor_taint_tabor,1),INDEX(pvals_grade_factor_taint_tabor,1),IF($A245&gt;=INDEX(pdates_grade_factor_taint_tabor,10),INDEX(pvals_grade_factor_taint_tabor,10),INDEX(pvals_grade_factor_taint_tabor,MATCH($A245,pdates_grade_factor_taint_tabor,1))+($A245-INDEX(pdates_grade_factor_taint_tabor,MATCH($A245,pdates_grade_factor_taint_tabor,1)))/(INDEX(pdates_grade_factor_taint_tabor,MATCH($A245,pdates_grade_factor_taint_tabor,1)+1)-INDEX(pdates_grade_factor_taint_tabor,MATCH($A245,pdates_grade_factor_taint_tabor,1)))*(INDEX(pvals_grade_factor_taint_tabor,MATCH($A245,pdates_grade_factor_taint_tabor,1)+1)-INDEX(pvals_grade_factor_taint_tabor,MATCH($A245,pdates_grade_factor_taint_tabor,1)))))</f>
        <v/>
      </c>
      <c r="Z245" s="8">
        <f>IF($A245&lt;=INDEX(pdates_grade_factor_tense,1),INDEX(pvals_grade_factor_tense,1),IF($A245&gt;=INDEX(pdates_grade_factor_tense,10),INDEX(pvals_grade_factor_tense,10),INDEX(pvals_grade_factor_tense,MATCH($A245,pdates_grade_factor_tense,1))+($A245-INDEX(pdates_grade_factor_tense,MATCH($A245,pdates_grade_factor_tense,1)))/(INDEX(pdates_grade_factor_tense,MATCH($A245,pdates_grade_factor_tense,1)+1)-INDEX(pdates_grade_factor_tense,MATCH($A245,pdates_grade_factor_tense,1)))*(INDEX(pvals_grade_factor_tense,MATCH($A245,pdates_grade_factor_tense,1)+1)-INDEX(pvals_grade_factor_tense,MATCH($A245,pdates_grade_factor_tense,1)))))</f>
        <v/>
      </c>
      <c r="AA245" s="8">
        <f>IF($A245&lt;=INDEX(pdates_grade_factor_mix_pit,1),INDEX(pvals_grade_factor_mix_pit,1),IF($A245&gt;=INDEX(pdates_grade_factor_mix_pit,10),INDEX(pvals_grade_factor_mix_pit,10),INDEX(pvals_grade_factor_mix_pit,MATCH($A245,pdates_grade_factor_mix_pit,1))+($A245-INDEX(pdates_grade_factor_mix_pit,MATCH($A245,pdates_grade_factor_mix_pit,1)))/(INDEX(pdates_grade_factor_mix_pit,MATCH($A245,pdates_grade_factor_mix_pit,1)+1)-INDEX(pdates_grade_factor_mix_pit,MATCH($A245,pdates_grade_factor_mix_pit,1)))*(INDEX(pvals_grade_factor_mix_pit,MATCH($A245,pdates_grade_factor_mix_pit,1)+1)-INDEX(pvals_grade_factor_mix_pit,MATCH($A245,pdates_grade_factor_mix_pit,1)))))</f>
        <v/>
      </c>
      <c r="AB245" s="16">
        <f>($B245*$F245/kg_per_mt*(1+bcd_primary_al_hs7601*(1+sws_rate_on_bcd))+mcx_domestic_premium_inr_kg)*(1+$I245*MAX(0,$Q245-$A245)/day_count_inr)</f>
        <v/>
      </c>
      <c r="AC245" s="16">
        <f>$M245-$AB245</f>
        <v/>
      </c>
      <c r="AD245" s="7" t="inlineStr">
        <is>
          <t>PROXY_IMPORT_PARITY</t>
        </is>
      </c>
      <c r="AE245" s="7" t="inlineStr">
        <is>
          <t>ECB_CROSS</t>
        </is>
      </c>
      <c r="AF245" s="7" t="inlineStr">
        <is>
          <t>WCI_REPORTED|USEC:ANCHORED|JEA:ASSUMPTION</t>
        </is>
      </c>
      <c r="AG245" s="17" t="b">
        <v>0</v>
      </c>
      <c r="AH245" s="17" t="b">
        <v>1</v>
      </c>
    </row>
    <row r="246">
      <c r="A246" s="11" t="n">
        <v>44909</v>
      </c>
      <c r="B246" s="13" t="n">
        <v>2379.5</v>
      </c>
      <c r="C246" s="13" t="n">
        <v>2428</v>
      </c>
      <c r="D246" s="13" t="n">
        <v>-48.5</v>
      </c>
      <c r="E246" s="13" t="n">
        <v>489300</v>
      </c>
      <c r="F246" s="13" t="n">
        <v>82.48990000000001</v>
      </c>
      <c r="G246" s="6" t="n">
        <v>82.6377</v>
      </c>
      <c r="H246" s="6" t="n">
        <v>82.916</v>
      </c>
      <c r="I246" s="14" t="n">
        <v>0.064571</v>
      </c>
      <c r="J246" s="14" t="n">
        <v>0.042805</v>
      </c>
      <c r="K246" s="14" t="n">
        <v>0.0625</v>
      </c>
      <c r="L246" s="13" t="n">
        <v>212.4782</v>
      </c>
      <c r="M246" s="13" t="n">
        <v>213.0796</v>
      </c>
      <c r="N246" s="13" t="n">
        <v>214.2825</v>
      </c>
      <c r="O246" s="13" t="n">
        <v>13.45</v>
      </c>
      <c r="P246" s="13" t="n">
        <v>59.65</v>
      </c>
      <c r="Q246" s="12" t="n">
        <v>44925</v>
      </c>
      <c r="R246" s="12" t="n">
        <v>44957</v>
      </c>
      <c r="S246" s="8">
        <f>YEAR($Q246)*100+MONTH($Q246)</f>
        <v/>
      </c>
      <c r="T246" s="8">
        <f>YEAR($R246)*100+MONTH($R246)</f>
        <v/>
      </c>
      <c r="U246" s="15">
        <f>IF($A246&lt;=INDEX(pdates_wc_rate_inr_pa,1),INDEX(pvals_wc_rate_inr_pa,1),INDEX(pvals_wc_rate_inr_pa,MATCH($A246,pdates_wc_rate_inr_pa,1)))</f>
        <v/>
      </c>
      <c r="V246" s="8">
        <f>IF(AND($A246&gt;=customs_fx_first,$A246&lt;=customs_fx_last+customs_fx_notification_validity_days),IF($A246&lt;=INDEX(pdates_customs_usdinr_import,1),INDEX(pvals_customs_usdinr_import,1),INDEX(pvals_customs_usdinr_import,MATCH($A246,pdates_customs_usdinr_import,1))),$F246*(1+customs_fx_markup_frac))</f>
        <v/>
      </c>
      <c r="W246" s="8">
        <f>IF(AND($A246&gt;=customs_fx_first,$A246&lt;=customs_fx_last+customs_fx_notification_validity_days),"CBIC_NOTIFIED","MARKUP_FALLBACK")</f>
        <v/>
      </c>
      <c r="X246" s="8">
        <f>IF($A246&lt;=INDEX(pdates_grade_factor_zorba,1),INDEX(pvals_grade_factor_zorba,1),IF($A246&gt;=INDEX(pdates_grade_factor_zorba,10),INDEX(pvals_grade_factor_zorba,10),INDEX(pvals_grade_factor_zorba,MATCH($A246,pdates_grade_factor_zorba,1))+($A246-INDEX(pdates_grade_factor_zorba,MATCH($A246,pdates_grade_factor_zorba,1)))/(INDEX(pdates_grade_factor_zorba,MATCH($A246,pdates_grade_factor_zorba,1)+1)-INDEX(pdates_grade_factor_zorba,MATCH($A246,pdates_grade_factor_zorba,1)))*(INDEX(pvals_grade_factor_zorba,MATCH($A246,pdates_grade_factor_zorba,1)+1)-INDEX(pvals_grade_factor_zorba,MATCH($A246,pdates_grade_factor_zorba,1)))))</f>
        <v/>
      </c>
      <c r="Y246" s="8">
        <f>IF($A246&lt;=INDEX(pdates_grade_factor_taint_tabor,1),INDEX(pvals_grade_factor_taint_tabor,1),IF($A246&gt;=INDEX(pdates_grade_factor_taint_tabor,10),INDEX(pvals_grade_factor_taint_tabor,10),INDEX(pvals_grade_factor_taint_tabor,MATCH($A246,pdates_grade_factor_taint_tabor,1))+($A246-INDEX(pdates_grade_factor_taint_tabor,MATCH($A246,pdates_grade_factor_taint_tabor,1)))/(INDEX(pdates_grade_factor_taint_tabor,MATCH($A246,pdates_grade_factor_taint_tabor,1)+1)-INDEX(pdates_grade_factor_taint_tabor,MATCH($A246,pdates_grade_factor_taint_tabor,1)))*(INDEX(pvals_grade_factor_taint_tabor,MATCH($A246,pdates_grade_factor_taint_tabor,1)+1)-INDEX(pvals_grade_factor_taint_tabor,MATCH($A246,pdates_grade_factor_taint_tabor,1)))))</f>
        <v/>
      </c>
      <c r="Z246" s="8">
        <f>IF($A246&lt;=INDEX(pdates_grade_factor_tense,1),INDEX(pvals_grade_factor_tense,1),IF($A246&gt;=INDEX(pdates_grade_factor_tense,10),INDEX(pvals_grade_factor_tense,10),INDEX(pvals_grade_factor_tense,MATCH($A246,pdates_grade_factor_tense,1))+($A246-INDEX(pdates_grade_factor_tense,MATCH($A246,pdates_grade_factor_tense,1)))/(INDEX(pdates_grade_factor_tense,MATCH($A246,pdates_grade_factor_tense,1)+1)-INDEX(pdates_grade_factor_tense,MATCH($A246,pdates_grade_factor_tense,1)))*(INDEX(pvals_grade_factor_tense,MATCH($A246,pdates_grade_factor_tense,1)+1)-INDEX(pvals_grade_factor_tense,MATCH($A246,pdates_grade_factor_tense,1)))))</f>
        <v/>
      </c>
      <c r="AA246" s="8">
        <f>IF($A246&lt;=INDEX(pdates_grade_factor_mix_pit,1),INDEX(pvals_grade_factor_mix_pit,1),IF($A246&gt;=INDEX(pdates_grade_factor_mix_pit,10),INDEX(pvals_grade_factor_mix_pit,10),INDEX(pvals_grade_factor_mix_pit,MATCH($A246,pdates_grade_factor_mix_pit,1))+($A246-INDEX(pdates_grade_factor_mix_pit,MATCH($A246,pdates_grade_factor_mix_pit,1)))/(INDEX(pdates_grade_factor_mix_pit,MATCH($A246,pdates_grade_factor_mix_pit,1)+1)-INDEX(pdates_grade_factor_mix_pit,MATCH($A246,pdates_grade_factor_mix_pit,1)))*(INDEX(pvals_grade_factor_mix_pit,MATCH($A246,pdates_grade_factor_mix_pit,1)+1)-INDEX(pvals_grade_factor_mix_pit,MATCH($A246,pdates_grade_factor_mix_pit,1)))))</f>
        <v/>
      </c>
      <c r="AB246" s="16">
        <f>($B246*$F246/kg_per_mt*(1+bcd_primary_al_hs7601*(1+sws_rate_on_bcd))+mcx_domestic_premium_inr_kg)*(1+$I246*MAX(0,$Q246-$A246)/day_count_inr)</f>
        <v/>
      </c>
      <c r="AC246" s="16">
        <f>$M246-$AB246</f>
        <v/>
      </c>
      <c r="AD246" s="7" t="inlineStr">
        <is>
          <t>PROXY_IMPORT_PARITY</t>
        </is>
      </c>
      <c r="AE246" s="7" t="inlineStr">
        <is>
          <t>ECB_CROSS</t>
        </is>
      </c>
      <c r="AF246" s="7" t="inlineStr">
        <is>
          <t>WCI_REPORTED|USEC:ANCHORED|JEA:ASSUMPTION</t>
        </is>
      </c>
      <c r="AG246" s="17" t="b">
        <v>0</v>
      </c>
      <c r="AH246" s="17" t="b">
        <v>1</v>
      </c>
    </row>
    <row r="247">
      <c r="A247" s="11" t="n">
        <v>44910</v>
      </c>
      <c r="B247" s="13" t="n">
        <v>2396</v>
      </c>
      <c r="C247" s="13" t="n">
        <v>2430</v>
      </c>
      <c r="D247" s="13" t="n">
        <v>-34</v>
      </c>
      <c r="E247" s="13" t="n">
        <v>483850</v>
      </c>
      <c r="F247" s="13" t="n">
        <v>82.794</v>
      </c>
      <c r="G247" s="6" t="n">
        <v>82.94370000000001</v>
      </c>
      <c r="H247" s="6" t="n">
        <v>83.2257</v>
      </c>
      <c r="I247" s="14" t="n">
        <v>0.064571</v>
      </c>
      <c r="J247" s="14" t="n">
        <v>0.042608</v>
      </c>
      <c r="K247" s="14" t="n">
        <v>0.0625</v>
      </c>
      <c r="L247" s="13" t="n">
        <v>214.7403</v>
      </c>
      <c r="M247" s="13" t="n">
        <v>215.3101</v>
      </c>
      <c r="N247" s="13" t="n">
        <v>216.5258</v>
      </c>
      <c r="O247" s="13" t="n">
        <v>12.94</v>
      </c>
      <c r="P247" s="13" t="n">
        <v>57.38</v>
      </c>
      <c r="Q247" s="12" t="n">
        <v>44925</v>
      </c>
      <c r="R247" s="12" t="n">
        <v>44957</v>
      </c>
      <c r="S247" s="8">
        <f>YEAR($Q247)*100+MONTH($Q247)</f>
        <v/>
      </c>
      <c r="T247" s="8">
        <f>YEAR($R247)*100+MONTH($R247)</f>
        <v/>
      </c>
      <c r="U247" s="15">
        <f>IF($A247&lt;=INDEX(pdates_wc_rate_inr_pa,1),INDEX(pvals_wc_rate_inr_pa,1),INDEX(pvals_wc_rate_inr_pa,MATCH($A247,pdates_wc_rate_inr_pa,1)))</f>
        <v/>
      </c>
      <c r="V247" s="8">
        <f>IF(AND($A247&gt;=customs_fx_first,$A247&lt;=customs_fx_last+customs_fx_notification_validity_days),IF($A247&lt;=INDEX(pdates_customs_usdinr_import,1),INDEX(pvals_customs_usdinr_import,1),INDEX(pvals_customs_usdinr_import,MATCH($A247,pdates_customs_usdinr_import,1))),$F247*(1+customs_fx_markup_frac))</f>
        <v/>
      </c>
      <c r="W247" s="8">
        <f>IF(AND($A247&gt;=customs_fx_first,$A247&lt;=customs_fx_last+customs_fx_notification_validity_days),"CBIC_NOTIFIED","MARKUP_FALLBACK")</f>
        <v/>
      </c>
      <c r="X247" s="8">
        <f>IF($A247&lt;=INDEX(pdates_grade_factor_zorba,1),INDEX(pvals_grade_factor_zorba,1),IF($A247&gt;=INDEX(pdates_grade_factor_zorba,10),INDEX(pvals_grade_factor_zorba,10),INDEX(pvals_grade_factor_zorba,MATCH($A247,pdates_grade_factor_zorba,1))+($A247-INDEX(pdates_grade_factor_zorba,MATCH($A247,pdates_grade_factor_zorba,1)))/(INDEX(pdates_grade_factor_zorba,MATCH($A247,pdates_grade_factor_zorba,1)+1)-INDEX(pdates_grade_factor_zorba,MATCH($A247,pdates_grade_factor_zorba,1)))*(INDEX(pvals_grade_factor_zorba,MATCH($A247,pdates_grade_factor_zorba,1)+1)-INDEX(pvals_grade_factor_zorba,MATCH($A247,pdates_grade_factor_zorba,1)))))</f>
        <v/>
      </c>
      <c r="Y247" s="8">
        <f>IF($A247&lt;=INDEX(pdates_grade_factor_taint_tabor,1),INDEX(pvals_grade_factor_taint_tabor,1),IF($A247&gt;=INDEX(pdates_grade_factor_taint_tabor,10),INDEX(pvals_grade_factor_taint_tabor,10),INDEX(pvals_grade_factor_taint_tabor,MATCH($A247,pdates_grade_factor_taint_tabor,1))+($A247-INDEX(pdates_grade_factor_taint_tabor,MATCH($A247,pdates_grade_factor_taint_tabor,1)))/(INDEX(pdates_grade_factor_taint_tabor,MATCH($A247,pdates_grade_factor_taint_tabor,1)+1)-INDEX(pdates_grade_factor_taint_tabor,MATCH($A247,pdates_grade_factor_taint_tabor,1)))*(INDEX(pvals_grade_factor_taint_tabor,MATCH($A247,pdates_grade_factor_taint_tabor,1)+1)-INDEX(pvals_grade_factor_taint_tabor,MATCH($A247,pdates_grade_factor_taint_tabor,1)))))</f>
        <v/>
      </c>
      <c r="Z247" s="8">
        <f>IF($A247&lt;=INDEX(pdates_grade_factor_tense,1),INDEX(pvals_grade_factor_tense,1),IF($A247&gt;=INDEX(pdates_grade_factor_tense,10),INDEX(pvals_grade_factor_tense,10),INDEX(pvals_grade_factor_tense,MATCH($A247,pdates_grade_factor_tense,1))+($A247-INDEX(pdates_grade_factor_tense,MATCH($A247,pdates_grade_factor_tense,1)))/(INDEX(pdates_grade_factor_tense,MATCH($A247,pdates_grade_factor_tense,1)+1)-INDEX(pdates_grade_factor_tense,MATCH($A247,pdates_grade_factor_tense,1)))*(INDEX(pvals_grade_factor_tense,MATCH($A247,pdates_grade_factor_tense,1)+1)-INDEX(pvals_grade_factor_tense,MATCH($A247,pdates_grade_factor_tense,1)))))</f>
        <v/>
      </c>
      <c r="AA247" s="8">
        <f>IF($A247&lt;=INDEX(pdates_grade_factor_mix_pit,1),INDEX(pvals_grade_factor_mix_pit,1),IF($A247&gt;=INDEX(pdates_grade_factor_mix_pit,10),INDEX(pvals_grade_factor_mix_pit,10),INDEX(pvals_grade_factor_mix_pit,MATCH($A247,pdates_grade_factor_mix_pit,1))+($A247-INDEX(pdates_grade_factor_mix_pit,MATCH($A247,pdates_grade_factor_mix_pit,1)))/(INDEX(pdates_grade_factor_mix_pit,MATCH($A247,pdates_grade_factor_mix_pit,1)+1)-INDEX(pdates_grade_factor_mix_pit,MATCH($A247,pdates_grade_factor_mix_pit,1)))*(INDEX(pvals_grade_factor_mix_pit,MATCH($A247,pdates_grade_factor_mix_pit,1)+1)-INDEX(pvals_grade_factor_mix_pit,MATCH($A247,pdates_grade_factor_mix_pit,1)))))</f>
        <v/>
      </c>
      <c r="AB247" s="16">
        <f>($B247*$F247/kg_per_mt*(1+bcd_primary_al_hs7601*(1+sws_rate_on_bcd))+mcx_domestic_premium_inr_kg)*(1+$I247*MAX(0,$Q247-$A247)/day_count_inr)</f>
        <v/>
      </c>
      <c r="AC247" s="16">
        <f>$M247-$AB247</f>
        <v/>
      </c>
      <c r="AD247" s="7" t="inlineStr">
        <is>
          <t>PROXY_IMPORT_PARITY</t>
        </is>
      </c>
      <c r="AE247" s="7" t="inlineStr">
        <is>
          <t>ECB_CROSS</t>
        </is>
      </c>
      <c r="AF247" s="7" t="inlineStr">
        <is>
          <t>WCI_DERIVED|USEC:ANCHORED|JEA:ASSUMPTION</t>
        </is>
      </c>
      <c r="AG247" s="17" t="b">
        <v>0</v>
      </c>
      <c r="AH247" s="17" t="b">
        <v>0</v>
      </c>
    </row>
    <row r="248">
      <c r="A248" s="11" t="n">
        <v>44911</v>
      </c>
      <c r="B248" s="13" t="n">
        <v>2354</v>
      </c>
      <c r="C248" s="13" t="n">
        <v>2398</v>
      </c>
      <c r="D248" s="13" t="n">
        <v>-44</v>
      </c>
      <c r="E248" s="13" t="n">
        <v>477650</v>
      </c>
      <c r="F248" s="13" t="n">
        <v>82.7046</v>
      </c>
      <c r="G248" s="6" t="n">
        <v>82.8556</v>
      </c>
      <c r="H248" s="6" t="n">
        <v>83.1399</v>
      </c>
      <c r="I248" s="14" t="n">
        <v>0.064571</v>
      </c>
      <c r="J248" s="14" t="n">
        <v>0.042411</v>
      </c>
      <c r="K248" s="14" t="n">
        <v>0.0625</v>
      </c>
      <c r="L248" s="13" t="n">
        <v>210.7483</v>
      </c>
      <c r="M248" s="13" t="n">
        <v>211.2702</v>
      </c>
      <c r="N248" s="13" t="n">
        <v>212.4633</v>
      </c>
      <c r="O248" s="13" t="n">
        <v>12.94</v>
      </c>
      <c r="P248" s="13" t="n">
        <v>57.38</v>
      </c>
      <c r="Q248" s="12" t="n">
        <v>44925</v>
      </c>
      <c r="R248" s="12" t="n">
        <v>44957</v>
      </c>
      <c r="S248" s="8">
        <f>YEAR($Q248)*100+MONTH($Q248)</f>
        <v/>
      </c>
      <c r="T248" s="8">
        <f>YEAR($R248)*100+MONTH($R248)</f>
        <v/>
      </c>
      <c r="U248" s="15">
        <f>IF($A248&lt;=INDEX(pdates_wc_rate_inr_pa,1),INDEX(pvals_wc_rate_inr_pa,1),INDEX(pvals_wc_rate_inr_pa,MATCH($A248,pdates_wc_rate_inr_pa,1)))</f>
        <v/>
      </c>
      <c r="V248" s="8">
        <f>IF(AND($A248&gt;=customs_fx_first,$A248&lt;=customs_fx_last+customs_fx_notification_validity_days),IF($A248&lt;=INDEX(pdates_customs_usdinr_import,1),INDEX(pvals_customs_usdinr_import,1),INDEX(pvals_customs_usdinr_import,MATCH($A248,pdates_customs_usdinr_import,1))),$F248*(1+customs_fx_markup_frac))</f>
        <v/>
      </c>
      <c r="W248" s="8">
        <f>IF(AND($A248&gt;=customs_fx_first,$A248&lt;=customs_fx_last+customs_fx_notification_validity_days),"CBIC_NOTIFIED","MARKUP_FALLBACK")</f>
        <v/>
      </c>
      <c r="X248" s="8">
        <f>IF($A248&lt;=INDEX(pdates_grade_factor_zorba,1),INDEX(pvals_grade_factor_zorba,1),IF($A248&gt;=INDEX(pdates_grade_factor_zorba,10),INDEX(pvals_grade_factor_zorba,10),INDEX(pvals_grade_factor_zorba,MATCH($A248,pdates_grade_factor_zorba,1))+($A248-INDEX(pdates_grade_factor_zorba,MATCH($A248,pdates_grade_factor_zorba,1)))/(INDEX(pdates_grade_factor_zorba,MATCH($A248,pdates_grade_factor_zorba,1)+1)-INDEX(pdates_grade_factor_zorba,MATCH($A248,pdates_grade_factor_zorba,1)))*(INDEX(pvals_grade_factor_zorba,MATCH($A248,pdates_grade_factor_zorba,1)+1)-INDEX(pvals_grade_factor_zorba,MATCH($A248,pdates_grade_factor_zorba,1)))))</f>
        <v/>
      </c>
      <c r="Y248" s="8">
        <f>IF($A248&lt;=INDEX(pdates_grade_factor_taint_tabor,1),INDEX(pvals_grade_factor_taint_tabor,1),IF($A248&gt;=INDEX(pdates_grade_factor_taint_tabor,10),INDEX(pvals_grade_factor_taint_tabor,10),INDEX(pvals_grade_factor_taint_tabor,MATCH($A248,pdates_grade_factor_taint_tabor,1))+($A248-INDEX(pdates_grade_factor_taint_tabor,MATCH($A248,pdates_grade_factor_taint_tabor,1)))/(INDEX(pdates_grade_factor_taint_tabor,MATCH($A248,pdates_grade_factor_taint_tabor,1)+1)-INDEX(pdates_grade_factor_taint_tabor,MATCH($A248,pdates_grade_factor_taint_tabor,1)))*(INDEX(pvals_grade_factor_taint_tabor,MATCH($A248,pdates_grade_factor_taint_tabor,1)+1)-INDEX(pvals_grade_factor_taint_tabor,MATCH($A248,pdates_grade_factor_taint_tabor,1)))))</f>
        <v/>
      </c>
      <c r="Z248" s="8">
        <f>IF($A248&lt;=INDEX(pdates_grade_factor_tense,1),INDEX(pvals_grade_factor_tense,1),IF($A248&gt;=INDEX(pdates_grade_factor_tense,10),INDEX(pvals_grade_factor_tense,10),INDEX(pvals_grade_factor_tense,MATCH($A248,pdates_grade_factor_tense,1))+($A248-INDEX(pdates_grade_factor_tense,MATCH($A248,pdates_grade_factor_tense,1)))/(INDEX(pdates_grade_factor_tense,MATCH($A248,pdates_grade_factor_tense,1)+1)-INDEX(pdates_grade_factor_tense,MATCH($A248,pdates_grade_factor_tense,1)))*(INDEX(pvals_grade_factor_tense,MATCH($A248,pdates_grade_factor_tense,1)+1)-INDEX(pvals_grade_factor_tense,MATCH($A248,pdates_grade_factor_tense,1)))))</f>
        <v/>
      </c>
      <c r="AA248" s="8">
        <f>IF($A248&lt;=INDEX(pdates_grade_factor_mix_pit,1),INDEX(pvals_grade_factor_mix_pit,1),IF($A248&gt;=INDEX(pdates_grade_factor_mix_pit,10),INDEX(pvals_grade_factor_mix_pit,10),INDEX(pvals_grade_factor_mix_pit,MATCH($A248,pdates_grade_factor_mix_pit,1))+($A248-INDEX(pdates_grade_factor_mix_pit,MATCH($A248,pdates_grade_factor_mix_pit,1)))/(INDEX(pdates_grade_factor_mix_pit,MATCH($A248,pdates_grade_factor_mix_pit,1)+1)-INDEX(pdates_grade_factor_mix_pit,MATCH($A248,pdates_grade_factor_mix_pit,1)))*(INDEX(pvals_grade_factor_mix_pit,MATCH($A248,pdates_grade_factor_mix_pit,1)+1)-INDEX(pvals_grade_factor_mix_pit,MATCH($A248,pdates_grade_factor_mix_pit,1)))))</f>
        <v/>
      </c>
      <c r="AB248" s="16">
        <f>($B248*$F248/kg_per_mt*(1+bcd_primary_al_hs7601*(1+sws_rate_on_bcd))+mcx_domestic_premium_inr_kg)*(1+$I248*MAX(0,$Q248-$A248)/day_count_inr)</f>
        <v/>
      </c>
      <c r="AC248" s="16">
        <f>$M248-$AB248</f>
        <v/>
      </c>
      <c r="AD248" s="7" t="inlineStr">
        <is>
          <t>PROXY_IMPORT_PARITY</t>
        </is>
      </c>
      <c r="AE248" s="7" t="inlineStr">
        <is>
          <t>ECB_CROSS</t>
        </is>
      </c>
      <c r="AF248" s="7" t="inlineStr">
        <is>
          <t>WCI_DERIVED|USEC:ANCHORED|JEA:ASSUMPTION</t>
        </is>
      </c>
      <c r="AG248" s="17" t="b">
        <v>0</v>
      </c>
      <c r="AH248" s="17" t="b">
        <v>1</v>
      </c>
    </row>
    <row r="249">
      <c r="A249" s="11" t="n">
        <v>44914</v>
      </c>
      <c r="B249" s="13" t="n">
        <v>2327</v>
      </c>
      <c r="C249" s="13" t="n">
        <v>2364</v>
      </c>
      <c r="D249" s="13" t="n">
        <v>-37</v>
      </c>
      <c r="E249" s="13" t="n">
        <v>479525</v>
      </c>
      <c r="F249" s="13" t="n">
        <v>82.593</v>
      </c>
      <c r="G249" s="6" t="n">
        <v>82.7375</v>
      </c>
      <c r="H249" s="6" t="n">
        <v>83.0095</v>
      </c>
      <c r="I249" s="14" t="n">
        <v>0.064571</v>
      </c>
      <c r="J249" s="14" t="n">
        <v>0.043299</v>
      </c>
      <c r="K249" s="14" t="n">
        <v>0.0625</v>
      </c>
      <c r="L249" s="13" t="n">
        <v>208.0499</v>
      </c>
      <c r="M249" s="13" t="n">
        <v>208.4548</v>
      </c>
      <c r="N249" s="13" t="n">
        <v>209.6325</v>
      </c>
      <c r="O249" s="13" t="n">
        <v>12.94</v>
      </c>
      <c r="P249" s="13" t="n">
        <v>57.38</v>
      </c>
      <c r="Q249" s="12" t="n">
        <v>44925</v>
      </c>
      <c r="R249" s="12" t="n">
        <v>44957</v>
      </c>
      <c r="S249" s="8">
        <f>YEAR($Q249)*100+MONTH($Q249)</f>
        <v/>
      </c>
      <c r="T249" s="8">
        <f>YEAR($R249)*100+MONTH($R249)</f>
        <v/>
      </c>
      <c r="U249" s="15">
        <f>IF($A249&lt;=INDEX(pdates_wc_rate_inr_pa,1),INDEX(pvals_wc_rate_inr_pa,1),INDEX(pvals_wc_rate_inr_pa,MATCH($A249,pdates_wc_rate_inr_pa,1)))</f>
        <v/>
      </c>
      <c r="V249" s="8">
        <f>IF(AND($A249&gt;=customs_fx_first,$A249&lt;=customs_fx_last+customs_fx_notification_validity_days),IF($A249&lt;=INDEX(pdates_customs_usdinr_import,1),INDEX(pvals_customs_usdinr_import,1),INDEX(pvals_customs_usdinr_import,MATCH($A249,pdates_customs_usdinr_import,1))),$F249*(1+customs_fx_markup_frac))</f>
        <v/>
      </c>
      <c r="W249" s="8">
        <f>IF(AND($A249&gt;=customs_fx_first,$A249&lt;=customs_fx_last+customs_fx_notification_validity_days),"CBIC_NOTIFIED","MARKUP_FALLBACK")</f>
        <v/>
      </c>
      <c r="X249" s="8">
        <f>IF($A249&lt;=INDEX(pdates_grade_factor_zorba,1),INDEX(pvals_grade_factor_zorba,1),IF($A249&gt;=INDEX(pdates_grade_factor_zorba,10),INDEX(pvals_grade_factor_zorba,10),INDEX(pvals_grade_factor_zorba,MATCH($A249,pdates_grade_factor_zorba,1))+($A249-INDEX(pdates_grade_factor_zorba,MATCH($A249,pdates_grade_factor_zorba,1)))/(INDEX(pdates_grade_factor_zorba,MATCH($A249,pdates_grade_factor_zorba,1)+1)-INDEX(pdates_grade_factor_zorba,MATCH($A249,pdates_grade_factor_zorba,1)))*(INDEX(pvals_grade_factor_zorba,MATCH($A249,pdates_grade_factor_zorba,1)+1)-INDEX(pvals_grade_factor_zorba,MATCH($A249,pdates_grade_factor_zorba,1)))))</f>
        <v/>
      </c>
      <c r="Y249" s="8">
        <f>IF($A249&lt;=INDEX(pdates_grade_factor_taint_tabor,1),INDEX(pvals_grade_factor_taint_tabor,1),IF($A249&gt;=INDEX(pdates_grade_factor_taint_tabor,10),INDEX(pvals_grade_factor_taint_tabor,10),INDEX(pvals_grade_factor_taint_tabor,MATCH($A249,pdates_grade_factor_taint_tabor,1))+($A249-INDEX(pdates_grade_factor_taint_tabor,MATCH($A249,pdates_grade_factor_taint_tabor,1)))/(INDEX(pdates_grade_factor_taint_tabor,MATCH($A249,pdates_grade_factor_taint_tabor,1)+1)-INDEX(pdates_grade_factor_taint_tabor,MATCH($A249,pdates_grade_factor_taint_tabor,1)))*(INDEX(pvals_grade_factor_taint_tabor,MATCH($A249,pdates_grade_factor_taint_tabor,1)+1)-INDEX(pvals_grade_factor_taint_tabor,MATCH($A249,pdates_grade_factor_taint_tabor,1)))))</f>
        <v/>
      </c>
      <c r="Z249" s="8">
        <f>IF($A249&lt;=INDEX(pdates_grade_factor_tense,1),INDEX(pvals_grade_factor_tense,1),IF($A249&gt;=INDEX(pdates_grade_factor_tense,10),INDEX(pvals_grade_factor_tense,10),INDEX(pvals_grade_factor_tense,MATCH($A249,pdates_grade_factor_tense,1))+($A249-INDEX(pdates_grade_factor_tense,MATCH($A249,pdates_grade_factor_tense,1)))/(INDEX(pdates_grade_factor_tense,MATCH($A249,pdates_grade_factor_tense,1)+1)-INDEX(pdates_grade_factor_tense,MATCH($A249,pdates_grade_factor_tense,1)))*(INDEX(pvals_grade_factor_tense,MATCH($A249,pdates_grade_factor_tense,1)+1)-INDEX(pvals_grade_factor_tense,MATCH($A249,pdates_grade_factor_tense,1)))))</f>
        <v/>
      </c>
      <c r="AA249" s="8">
        <f>IF($A249&lt;=INDEX(pdates_grade_factor_mix_pit,1),INDEX(pvals_grade_factor_mix_pit,1),IF($A249&gt;=INDEX(pdates_grade_factor_mix_pit,10),INDEX(pvals_grade_factor_mix_pit,10),INDEX(pvals_grade_factor_mix_pit,MATCH($A249,pdates_grade_factor_mix_pit,1))+($A249-INDEX(pdates_grade_factor_mix_pit,MATCH($A249,pdates_grade_factor_mix_pit,1)))/(INDEX(pdates_grade_factor_mix_pit,MATCH($A249,pdates_grade_factor_mix_pit,1)+1)-INDEX(pdates_grade_factor_mix_pit,MATCH($A249,pdates_grade_factor_mix_pit,1)))*(INDEX(pvals_grade_factor_mix_pit,MATCH($A249,pdates_grade_factor_mix_pit,1)+1)-INDEX(pvals_grade_factor_mix_pit,MATCH($A249,pdates_grade_factor_mix_pit,1)))))</f>
        <v/>
      </c>
      <c r="AB249" s="16">
        <f>($B249*$F249/kg_per_mt*(1+bcd_primary_al_hs7601*(1+sws_rate_on_bcd))+mcx_domestic_premium_inr_kg)*(1+$I249*MAX(0,$Q249-$A249)/day_count_inr)</f>
        <v/>
      </c>
      <c r="AC249" s="16">
        <f>$M249-$AB249</f>
        <v/>
      </c>
      <c r="AD249" s="7" t="inlineStr">
        <is>
          <t>PROXY_IMPORT_PARITY</t>
        </is>
      </c>
      <c r="AE249" s="7" t="inlineStr">
        <is>
          <t>ECB_CROSS</t>
        </is>
      </c>
      <c r="AF249" s="7" t="inlineStr">
        <is>
          <t>WCI_DERIVED|USEC:ANCHORED|JEA:ASSUMPTION</t>
        </is>
      </c>
      <c r="AG249" s="17" t="b">
        <v>0</v>
      </c>
      <c r="AH249" s="17" t="b">
        <v>1</v>
      </c>
    </row>
    <row r="250">
      <c r="A250" s="11" t="n">
        <v>44915</v>
      </c>
      <c r="B250" s="13" t="n">
        <v>2329.5</v>
      </c>
      <c r="C250" s="13" t="n">
        <v>2371</v>
      </c>
      <c r="D250" s="13" t="n">
        <v>-41.5</v>
      </c>
      <c r="E250" s="13" t="n">
        <v>478500</v>
      </c>
      <c r="F250" s="13" t="n">
        <v>82.7105</v>
      </c>
      <c r="G250" s="6" t="n">
        <v>82.8573</v>
      </c>
      <c r="H250" s="6" t="n">
        <v>83.1337</v>
      </c>
      <c r="I250" s="14" t="n">
        <v>0.064571</v>
      </c>
      <c r="J250" s="14" t="n">
        <v>0.043003</v>
      </c>
      <c r="K250" s="14" t="n">
        <v>0.0625</v>
      </c>
      <c r="L250" s="13" t="n">
        <v>208.5697</v>
      </c>
      <c r="M250" s="13" t="n">
        <v>208.9387</v>
      </c>
      <c r="N250" s="13" t="n">
        <v>210.1194</v>
      </c>
      <c r="O250" s="13" t="n">
        <v>12.94</v>
      </c>
      <c r="P250" s="13" t="n">
        <v>57.38</v>
      </c>
      <c r="Q250" s="12" t="n">
        <v>44925</v>
      </c>
      <c r="R250" s="12" t="n">
        <v>44957</v>
      </c>
      <c r="S250" s="8">
        <f>YEAR($Q250)*100+MONTH($Q250)</f>
        <v/>
      </c>
      <c r="T250" s="8">
        <f>YEAR($R250)*100+MONTH($R250)</f>
        <v/>
      </c>
      <c r="U250" s="15">
        <f>IF($A250&lt;=INDEX(pdates_wc_rate_inr_pa,1),INDEX(pvals_wc_rate_inr_pa,1),INDEX(pvals_wc_rate_inr_pa,MATCH($A250,pdates_wc_rate_inr_pa,1)))</f>
        <v/>
      </c>
      <c r="V250" s="8">
        <f>IF(AND($A250&gt;=customs_fx_first,$A250&lt;=customs_fx_last+customs_fx_notification_validity_days),IF($A250&lt;=INDEX(pdates_customs_usdinr_import,1),INDEX(pvals_customs_usdinr_import,1),INDEX(pvals_customs_usdinr_import,MATCH($A250,pdates_customs_usdinr_import,1))),$F250*(1+customs_fx_markup_frac))</f>
        <v/>
      </c>
      <c r="W250" s="8">
        <f>IF(AND($A250&gt;=customs_fx_first,$A250&lt;=customs_fx_last+customs_fx_notification_validity_days),"CBIC_NOTIFIED","MARKUP_FALLBACK")</f>
        <v/>
      </c>
      <c r="X250" s="8">
        <f>IF($A250&lt;=INDEX(pdates_grade_factor_zorba,1),INDEX(pvals_grade_factor_zorba,1),IF($A250&gt;=INDEX(pdates_grade_factor_zorba,10),INDEX(pvals_grade_factor_zorba,10),INDEX(pvals_grade_factor_zorba,MATCH($A250,pdates_grade_factor_zorba,1))+($A250-INDEX(pdates_grade_factor_zorba,MATCH($A250,pdates_grade_factor_zorba,1)))/(INDEX(pdates_grade_factor_zorba,MATCH($A250,pdates_grade_factor_zorba,1)+1)-INDEX(pdates_grade_factor_zorba,MATCH($A250,pdates_grade_factor_zorba,1)))*(INDEX(pvals_grade_factor_zorba,MATCH($A250,pdates_grade_factor_zorba,1)+1)-INDEX(pvals_grade_factor_zorba,MATCH($A250,pdates_grade_factor_zorba,1)))))</f>
        <v/>
      </c>
      <c r="Y250" s="8">
        <f>IF($A250&lt;=INDEX(pdates_grade_factor_taint_tabor,1),INDEX(pvals_grade_factor_taint_tabor,1),IF($A250&gt;=INDEX(pdates_grade_factor_taint_tabor,10),INDEX(pvals_grade_factor_taint_tabor,10),INDEX(pvals_grade_factor_taint_tabor,MATCH($A250,pdates_grade_factor_taint_tabor,1))+($A250-INDEX(pdates_grade_factor_taint_tabor,MATCH($A250,pdates_grade_factor_taint_tabor,1)))/(INDEX(pdates_grade_factor_taint_tabor,MATCH($A250,pdates_grade_factor_taint_tabor,1)+1)-INDEX(pdates_grade_factor_taint_tabor,MATCH($A250,pdates_grade_factor_taint_tabor,1)))*(INDEX(pvals_grade_factor_taint_tabor,MATCH($A250,pdates_grade_factor_taint_tabor,1)+1)-INDEX(pvals_grade_factor_taint_tabor,MATCH($A250,pdates_grade_factor_taint_tabor,1)))))</f>
        <v/>
      </c>
      <c r="Z250" s="8">
        <f>IF($A250&lt;=INDEX(pdates_grade_factor_tense,1),INDEX(pvals_grade_factor_tense,1),IF($A250&gt;=INDEX(pdates_grade_factor_tense,10),INDEX(pvals_grade_factor_tense,10),INDEX(pvals_grade_factor_tense,MATCH($A250,pdates_grade_factor_tense,1))+($A250-INDEX(pdates_grade_factor_tense,MATCH($A250,pdates_grade_factor_tense,1)))/(INDEX(pdates_grade_factor_tense,MATCH($A250,pdates_grade_factor_tense,1)+1)-INDEX(pdates_grade_factor_tense,MATCH($A250,pdates_grade_factor_tense,1)))*(INDEX(pvals_grade_factor_tense,MATCH($A250,pdates_grade_factor_tense,1)+1)-INDEX(pvals_grade_factor_tense,MATCH($A250,pdates_grade_factor_tense,1)))))</f>
        <v/>
      </c>
      <c r="AA250" s="8">
        <f>IF($A250&lt;=INDEX(pdates_grade_factor_mix_pit,1),INDEX(pvals_grade_factor_mix_pit,1),IF($A250&gt;=INDEX(pdates_grade_factor_mix_pit,10),INDEX(pvals_grade_factor_mix_pit,10),INDEX(pvals_grade_factor_mix_pit,MATCH($A250,pdates_grade_factor_mix_pit,1))+($A250-INDEX(pdates_grade_factor_mix_pit,MATCH($A250,pdates_grade_factor_mix_pit,1)))/(INDEX(pdates_grade_factor_mix_pit,MATCH($A250,pdates_grade_factor_mix_pit,1)+1)-INDEX(pdates_grade_factor_mix_pit,MATCH($A250,pdates_grade_factor_mix_pit,1)))*(INDEX(pvals_grade_factor_mix_pit,MATCH($A250,pdates_grade_factor_mix_pit,1)+1)-INDEX(pvals_grade_factor_mix_pit,MATCH($A250,pdates_grade_factor_mix_pit,1)))))</f>
        <v/>
      </c>
      <c r="AB250" s="16">
        <f>($B250*$F250/kg_per_mt*(1+bcd_primary_al_hs7601*(1+sws_rate_on_bcd))+mcx_domestic_premium_inr_kg)*(1+$I250*MAX(0,$Q250-$A250)/day_count_inr)</f>
        <v/>
      </c>
      <c r="AC250" s="16">
        <f>$M250-$AB250</f>
        <v/>
      </c>
      <c r="AD250" s="7" t="inlineStr">
        <is>
          <t>PROXY_IMPORT_PARITY</t>
        </is>
      </c>
      <c r="AE250" s="7" t="inlineStr">
        <is>
          <t>ECB_CROSS</t>
        </is>
      </c>
      <c r="AF250" s="7" t="inlineStr">
        <is>
          <t>WCI_DERIVED|USEC:ANCHORED|JEA:ASSUMPTION</t>
        </is>
      </c>
      <c r="AG250" s="17" t="b">
        <v>0</v>
      </c>
      <c r="AH250" s="17" t="b">
        <v>1</v>
      </c>
    </row>
    <row r="251">
      <c r="A251" s="11" t="n">
        <v>44916</v>
      </c>
      <c r="B251" s="13" t="n">
        <v>2357</v>
      </c>
      <c r="C251" s="13" t="n">
        <v>2392</v>
      </c>
      <c r="D251" s="13" t="n">
        <v>-35</v>
      </c>
      <c r="E251" s="13" t="n">
        <v>481175</v>
      </c>
      <c r="F251" s="13" t="n">
        <v>82.8404</v>
      </c>
      <c r="G251" s="6" t="n">
        <v>82.9902</v>
      </c>
      <c r="H251" s="6" t="n">
        <v>83.2723</v>
      </c>
      <c r="I251" s="14" t="n">
        <v>0.064571</v>
      </c>
      <c r="J251" s="14" t="n">
        <v>0.042608</v>
      </c>
      <c r="K251" s="14" t="n">
        <v>0.0625</v>
      </c>
      <c r="L251" s="13" t="n">
        <v>211.3633</v>
      </c>
      <c r="M251" s="13" t="n">
        <v>211.6999</v>
      </c>
      <c r="N251" s="13" t="n">
        <v>212.8964</v>
      </c>
      <c r="O251" s="13" t="n">
        <v>12.94</v>
      </c>
      <c r="P251" s="13" t="n">
        <v>57.38</v>
      </c>
      <c r="Q251" s="12" t="n">
        <v>44925</v>
      </c>
      <c r="R251" s="12" t="n">
        <v>44957</v>
      </c>
      <c r="S251" s="8">
        <f>YEAR($Q251)*100+MONTH($Q251)</f>
        <v/>
      </c>
      <c r="T251" s="8">
        <f>YEAR($R251)*100+MONTH($R251)</f>
        <v/>
      </c>
      <c r="U251" s="15">
        <f>IF($A251&lt;=INDEX(pdates_wc_rate_inr_pa,1),INDEX(pvals_wc_rate_inr_pa,1),INDEX(pvals_wc_rate_inr_pa,MATCH($A251,pdates_wc_rate_inr_pa,1)))</f>
        <v/>
      </c>
      <c r="V251" s="8">
        <f>IF(AND($A251&gt;=customs_fx_first,$A251&lt;=customs_fx_last+customs_fx_notification_validity_days),IF($A251&lt;=INDEX(pdates_customs_usdinr_import,1),INDEX(pvals_customs_usdinr_import,1),INDEX(pvals_customs_usdinr_import,MATCH($A251,pdates_customs_usdinr_import,1))),$F251*(1+customs_fx_markup_frac))</f>
        <v/>
      </c>
      <c r="W251" s="8">
        <f>IF(AND($A251&gt;=customs_fx_first,$A251&lt;=customs_fx_last+customs_fx_notification_validity_days),"CBIC_NOTIFIED","MARKUP_FALLBACK")</f>
        <v/>
      </c>
      <c r="X251" s="8">
        <f>IF($A251&lt;=INDEX(pdates_grade_factor_zorba,1),INDEX(pvals_grade_factor_zorba,1),IF($A251&gt;=INDEX(pdates_grade_factor_zorba,10),INDEX(pvals_grade_factor_zorba,10),INDEX(pvals_grade_factor_zorba,MATCH($A251,pdates_grade_factor_zorba,1))+($A251-INDEX(pdates_grade_factor_zorba,MATCH($A251,pdates_grade_factor_zorba,1)))/(INDEX(pdates_grade_factor_zorba,MATCH($A251,pdates_grade_factor_zorba,1)+1)-INDEX(pdates_grade_factor_zorba,MATCH($A251,pdates_grade_factor_zorba,1)))*(INDEX(pvals_grade_factor_zorba,MATCH($A251,pdates_grade_factor_zorba,1)+1)-INDEX(pvals_grade_factor_zorba,MATCH($A251,pdates_grade_factor_zorba,1)))))</f>
        <v/>
      </c>
      <c r="Y251" s="8">
        <f>IF($A251&lt;=INDEX(pdates_grade_factor_taint_tabor,1),INDEX(pvals_grade_factor_taint_tabor,1),IF($A251&gt;=INDEX(pdates_grade_factor_taint_tabor,10),INDEX(pvals_grade_factor_taint_tabor,10),INDEX(pvals_grade_factor_taint_tabor,MATCH($A251,pdates_grade_factor_taint_tabor,1))+($A251-INDEX(pdates_grade_factor_taint_tabor,MATCH($A251,pdates_grade_factor_taint_tabor,1)))/(INDEX(pdates_grade_factor_taint_tabor,MATCH($A251,pdates_grade_factor_taint_tabor,1)+1)-INDEX(pdates_grade_factor_taint_tabor,MATCH($A251,pdates_grade_factor_taint_tabor,1)))*(INDEX(pvals_grade_factor_taint_tabor,MATCH($A251,pdates_grade_factor_taint_tabor,1)+1)-INDEX(pvals_grade_factor_taint_tabor,MATCH($A251,pdates_grade_factor_taint_tabor,1)))))</f>
        <v/>
      </c>
      <c r="Z251" s="8">
        <f>IF($A251&lt;=INDEX(pdates_grade_factor_tense,1),INDEX(pvals_grade_factor_tense,1),IF($A251&gt;=INDEX(pdates_grade_factor_tense,10),INDEX(pvals_grade_factor_tense,10),INDEX(pvals_grade_factor_tense,MATCH($A251,pdates_grade_factor_tense,1))+($A251-INDEX(pdates_grade_factor_tense,MATCH($A251,pdates_grade_factor_tense,1)))/(INDEX(pdates_grade_factor_tense,MATCH($A251,pdates_grade_factor_tense,1)+1)-INDEX(pdates_grade_factor_tense,MATCH($A251,pdates_grade_factor_tense,1)))*(INDEX(pvals_grade_factor_tense,MATCH($A251,pdates_grade_factor_tense,1)+1)-INDEX(pvals_grade_factor_tense,MATCH($A251,pdates_grade_factor_tense,1)))))</f>
        <v/>
      </c>
      <c r="AA251" s="8">
        <f>IF($A251&lt;=INDEX(pdates_grade_factor_mix_pit,1),INDEX(pvals_grade_factor_mix_pit,1),IF($A251&gt;=INDEX(pdates_grade_factor_mix_pit,10),INDEX(pvals_grade_factor_mix_pit,10),INDEX(pvals_grade_factor_mix_pit,MATCH($A251,pdates_grade_factor_mix_pit,1))+($A251-INDEX(pdates_grade_factor_mix_pit,MATCH($A251,pdates_grade_factor_mix_pit,1)))/(INDEX(pdates_grade_factor_mix_pit,MATCH($A251,pdates_grade_factor_mix_pit,1)+1)-INDEX(pdates_grade_factor_mix_pit,MATCH($A251,pdates_grade_factor_mix_pit,1)))*(INDEX(pvals_grade_factor_mix_pit,MATCH($A251,pdates_grade_factor_mix_pit,1)+1)-INDEX(pvals_grade_factor_mix_pit,MATCH($A251,pdates_grade_factor_mix_pit,1)))))</f>
        <v/>
      </c>
      <c r="AB251" s="16">
        <f>($B251*$F251/kg_per_mt*(1+bcd_primary_al_hs7601*(1+sws_rate_on_bcd))+mcx_domestic_premium_inr_kg)*(1+$I251*MAX(0,$Q251-$A251)/day_count_inr)</f>
        <v/>
      </c>
      <c r="AC251" s="16">
        <f>$M251-$AB251</f>
        <v/>
      </c>
      <c r="AD251" s="7" t="inlineStr">
        <is>
          <t>PROXY_IMPORT_PARITY</t>
        </is>
      </c>
      <c r="AE251" s="7" t="inlineStr">
        <is>
          <t>ECB_CROSS</t>
        </is>
      </c>
      <c r="AF251" s="7" t="inlineStr">
        <is>
          <t>WCI_DERIVED|USEC:ANCHORED|JEA:ASSUMPTION</t>
        </is>
      </c>
      <c r="AG251" s="17" t="b">
        <v>0</v>
      </c>
      <c r="AH251" s="17" t="b">
        <v>1</v>
      </c>
    </row>
    <row r="252">
      <c r="A252" s="11" t="n">
        <v>44917</v>
      </c>
      <c r="B252" s="13" t="n">
        <v>2362</v>
      </c>
      <c r="C252" s="13" t="n">
        <v>2397</v>
      </c>
      <c r="D252" s="13" t="n">
        <v>-35</v>
      </c>
      <c r="E252" s="13" t="n">
        <v>473000</v>
      </c>
      <c r="F252" s="13" t="n">
        <v>82.7955</v>
      </c>
      <c r="G252" s="6" t="n">
        <v>82.9439</v>
      </c>
      <c r="H252" s="6" t="n">
        <v>83.22320000000001</v>
      </c>
      <c r="I252" s="14" t="n">
        <v>0.064571</v>
      </c>
      <c r="J252" s="14" t="n">
        <v>0.042805</v>
      </c>
      <c r="K252" s="14" t="n">
        <v>0.0625</v>
      </c>
      <c r="L252" s="13" t="n">
        <v>211.6969</v>
      </c>
      <c r="M252" s="13" t="n">
        <v>211.9965</v>
      </c>
      <c r="N252" s="13" t="n">
        <v>213.1949</v>
      </c>
      <c r="O252" s="13" t="n">
        <v>12.48</v>
      </c>
      <c r="P252" s="13" t="n">
        <v>55.36</v>
      </c>
      <c r="Q252" s="12" t="n">
        <v>44925</v>
      </c>
      <c r="R252" s="12" t="n">
        <v>44957</v>
      </c>
      <c r="S252" s="8">
        <f>YEAR($Q252)*100+MONTH($Q252)</f>
        <v/>
      </c>
      <c r="T252" s="8">
        <f>YEAR($R252)*100+MONTH($R252)</f>
        <v/>
      </c>
      <c r="U252" s="15">
        <f>IF($A252&lt;=INDEX(pdates_wc_rate_inr_pa,1),INDEX(pvals_wc_rate_inr_pa,1),INDEX(pvals_wc_rate_inr_pa,MATCH($A252,pdates_wc_rate_inr_pa,1)))</f>
        <v/>
      </c>
      <c r="V252" s="8">
        <f>IF(AND($A252&gt;=customs_fx_first,$A252&lt;=customs_fx_last+customs_fx_notification_validity_days),IF($A252&lt;=INDEX(pdates_customs_usdinr_import,1),INDEX(pvals_customs_usdinr_import,1),INDEX(pvals_customs_usdinr_import,MATCH($A252,pdates_customs_usdinr_import,1))),$F252*(1+customs_fx_markup_frac))</f>
        <v/>
      </c>
      <c r="W252" s="8">
        <f>IF(AND($A252&gt;=customs_fx_first,$A252&lt;=customs_fx_last+customs_fx_notification_validity_days),"CBIC_NOTIFIED","MARKUP_FALLBACK")</f>
        <v/>
      </c>
      <c r="X252" s="8">
        <f>IF($A252&lt;=INDEX(pdates_grade_factor_zorba,1),INDEX(pvals_grade_factor_zorba,1),IF($A252&gt;=INDEX(pdates_grade_factor_zorba,10),INDEX(pvals_grade_factor_zorba,10),INDEX(pvals_grade_factor_zorba,MATCH($A252,pdates_grade_factor_zorba,1))+($A252-INDEX(pdates_grade_factor_zorba,MATCH($A252,pdates_grade_factor_zorba,1)))/(INDEX(pdates_grade_factor_zorba,MATCH($A252,pdates_grade_factor_zorba,1)+1)-INDEX(pdates_grade_factor_zorba,MATCH($A252,pdates_grade_factor_zorba,1)))*(INDEX(pvals_grade_factor_zorba,MATCH($A252,pdates_grade_factor_zorba,1)+1)-INDEX(pvals_grade_factor_zorba,MATCH($A252,pdates_grade_factor_zorba,1)))))</f>
        <v/>
      </c>
      <c r="Y252" s="8">
        <f>IF($A252&lt;=INDEX(pdates_grade_factor_taint_tabor,1),INDEX(pvals_grade_factor_taint_tabor,1),IF($A252&gt;=INDEX(pdates_grade_factor_taint_tabor,10),INDEX(pvals_grade_factor_taint_tabor,10),INDEX(pvals_grade_factor_taint_tabor,MATCH($A252,pdates_grade_factor_taint_tabor,1))+($A252-INDEX(pdates_grade_factor_taint_tabor,MATCH($A252,pdates_grade_factor_taint_tabor,1)))/(INDEX(pdates_grade_factor_taint_tabor,MATCH($A252,pdates_grade_factor_taint_tabor,1)+1)-INDEX(pdates_grade_factor_taint_tabor,MATCH($A252,pdates_grade_factor_taint_tabor,1)))*(INDEX(pvals_grade_factor_taint_tabor,MATCH($A252,pdates_grade_factor_taint_tabor,1)+1)-INDEX(pvals_grade_factor_taint_tabor,MATCH($A252,pdates_grade_factor_taint_tabor,1)))))</f>
        <v/>
      </c>
      <c r="Z252" s="8">
        <f>IF($A252&lt;=INDEX(pdates_grade_factor_tense,1),INDEX(pvals_grade_factor_tense,1),IF($A252&gt;=INDEX(pdates_grade_factor_tense,10),INDEX(pvals_grade_factor_tense,10),INDEX(pvals_grade_factor_tense,MATCH($A252,pdates_grade_factor_tense,1))+($A252-INDEX(pdates_grade_factor_tense,MATCH($A252,pdates_grade_factor_tense,1)))/(INDEX(pdates_grade_factor_tense,MATCH($A252,pdates_grade_factor_tense,1)+1)-INDEX(pdates_grade_factor_tense,MATCH($A252,pdates_grade_factor_tense,1)))*(INDEX(pvals_grade_factor_tense,MATCH($A252,pdates_grade_factor_tense,1)+1)-INDEX(pvals_grade_factor_tense,MATCH($A252,pdates_grade_factor_tense,1)))))</f>
        <v/>
      </c>
      <c r="AA252" s="8">
        <f>IF($A252&lt;=INDEX(pdates_grade_factor_mix_pit,1),INDEX(pvals_grade_factor_mix_pit,1),IF($A252&gt;=INDEX(pdates_grade_factor_mix_pit,10),INDEX(pvals_grade_factor_mix_pit,10),INDEX(pvals_grade_factor_mix_pit,MATCH($A252,pdates_grade_factor_mix_pit,1))+($A252-INDEX(pdates_grade_factor_mix_pit,MATCH($A252,pdates_grade_factor_mix_pit,1)))/(INDEX(pdates_grade_factor_mix_pit,MATCH($A252,pdates_grade_factor_mix_pit,1)+1)-INDEX(pdates_grade_factor_mix_pit,MATCH($A252,pdates_grade_factor_mix_pit,1)))*(INDEX(pvals_grade_factor_mix_pit,MATCH($A252,pdates_grade_factor_mix_pit,1)+1)-INDEX(pvals_grade_factor_mix_pit,MATCH($A252,pdates_grade_factor_mix_pit,1)))))</f>
        <v/>
      </c>
      <c r="AB252" s="16">
        <f>($B252*$F252/kg_per_mt*(1+bcd_primary_al_hs7601*(1+sws_rate_on_bcd))+mcx_domestic_premium_inr_kg)*(1+$I252*MAX(0,$Q252-$A252)/day_count_inr)</f>
        <v/>
      </c>
      <c r="AC252" s="16">
        <f>$M252-$AB252</f>
        <v/>
      </c>
      <c r="AD252" s="7" t="inlineStr">
        <is>
          <t>PROXY_IMPORT_PARITY</t>
        </is>
      </c>
      <c r="AE252" s="7" t="inlineStr">
        <is>
          <t>ECB_CROSS</t>
        </is>
      </c>
      <c r="AF252" s="7" t="inlineStr">
        <is>
          <t>WCI_REPORTED|USEC:ANCHORED|JEA:ASSUMPTION</t>
        </is>
      </c>
      <c r="AG252" s="17" t="b">
        <v>0</v>
      </c>
      <c r="AH252" s="17" t="b">
        <v>0</v>
      </c>
    </row>
    <row r="253">
      <c r="A253" s="11" t="n">
        <v>44918</v>
      </c>
      <c r="B253" s="13" t="n">
        <v>2342</v>
      </c>
      <c r="C253" s="13" t="n">
        <v>2373</v>
      </c>
      <c r="D253" s="13" t="n">
        <v>-31</v>
      </c>
      <c r="E253" s="13" t="n">
        <v>466600</v>
      </c>
      <c r="F253" s="13" t="n">
        <v>82.8074</v>
      </c>
      <c r="G253" s="6" t="n">
        <v>82.9564</v>
      </c>
      <c r="H253" s="6" t="n">
        <v>83.2371</v>
      </c>
      <c r="I253" s="14" t="n">
        <v>0.064571</v>
      </c>
      <c r="J253" s="14" t="n">
        <v>0.042707</v>
      </c>
      <c r="K253" s="14" t="n">
        <v>0.0625</v>
      </c>
      <c r="L253" s="13" t="n">
        <v>209.9346</v>
      </c>
      <c r="M253" s="13" t="n">
        <v>210.1945</v>
      </c>
      <c r="N253" s="13" t="n">
        <v>211.383</v>
      </c>
      <c r="O253" s="13" t="n">
        <v>12.48</v>
      </c>
      <c r="P253" s="13" t="n">
        <v>55.36</v>
      </c>
      <c r="Q253" s="12" t="n">
        <v>44925</v>
      </c>
      <c r="R253" s="12" t="n">
        <v>44957</v>
      </c>
      <c r="S253" s="8">
        <f>YEAR($Q253)*100+MONTH($Q253)</f>
        <v/>
      </c>
      <c r="T253" s="8">
        <f>YEAR($R253)*100+MONTH($R253)</f>
        <v/>
      </c>
      <c r="U253" s="15">
        <f>IF($A253&lt;=INDEX(pdates_wc_rate_inr_pa,1),INDEX(pvals_wc_rate_inr_pa,1),INDEX(pvals_wc_rate_inr_pa,MATCH($A253,pdates_wc_rate_inr_pa,1)))</f>
        <v/>
      </c>
      <c r="V253" s="8">
        <f>IF(AND($A253&gt;=customs_fx_first,$A253&lt;=customs_fx_last+customs_fx_notification_validity_days),IF($A253&lt;=INDEX(pdates_customs_usdinr_import,1),INDEX(pvals_customs_usdinr_import,1),INDEX(pvals_customs_usdinr_import,MATCH($A253,pdates_customs_usdinr_import,1))),$F253*(1+customs_fx_markup_frac))</f>
        <v/>
      </c>
      <c r="W253" s="8">
        <f>IF(AND($A253&gt;=customs_fx_first,$A253&lt;=customs_fx_last+customs_fx_notification_validity_days),"CBIC_NOTIFIED","MARKUP_FALLBACK")</f>
        <v/>
      </c>
      <c r="X253" s="8">
        <f>IF($A253&lt;=INDEX(pdates_grade_factor_zorba,1),INDEX(pvals_grade_factor_zorba,1),IF($A253&gt;=INDEX(pdates_grade_factor_zorba,10),INDEX(pvals_grade_factor_zorba,10),INDEX(pvals_grade_factor_zorba,MATCH($A253,pdates_grade_factor_zorba,1))+($A253-INDEX(pdates_grade_factor_zorba,MATCH($A253,pdates_grade_factor_zorba,1)))/(INDEX(pdates_grade_factor_zorba,MATCH($A253,pdates_grade_factor_zorba,1)+1)-INDEX(pdates_grade_factor_zorba,MATCH($A253,pdates_grade_factor_zorba,1)))*(INDEX(pvals_grade_factor_zorba,MATCH($A253,pdates_grade_factor_zorba,1)+1)-INDEX(pvals_grade_factor_zorba,MATCH($A253,pdates_grade_factor_zorba,1)))))</f>
        <v/>
      </c>
      <c r="Y253" s="8">
        <f>IF($A253&lt;=INDEX(pdates_grade_factor_taint_tabor,1),INDEX(pvals_grade_factor_taint_tabor,1),IF($A253&gt;=INDEX(pdates_grade_factor_taint_tabor,10),INDEX(pvals_grade_factor_taint_tabor,10),INDEX(pvals_grade_factor_taint_tabor,MATCH($A253,pdates_grade_factor_taint_tabor,1))+($A253-INDEX(pdates_grade_factor_taint_tabor,MATCH($A253,pdates_grade_factor_taint_tabor,1)))/(INDEX(pdates_grade_factor_taint_tabor,MATCH($A253,pdates_grade_factor_taint_tabor,1)+1)-INDEX(pdates_grade_factor_taint_tabor,MATCH($A253,pdates_grade_factor_taint_tabor,1)))*(INDEX(pvals_grade_factor_taint_tabor,MATCH($A253,pdates_grade_factor_taint_tabor,1)+1)-INDEX(pvals_grade_factor_taint_tabor,MATCH($A253,pdates_grade_factor_taint_tabor,1)))))</f>
        <v/>
      </c>
      <c r="Z253" s="8">
        <f>IF($A253&lt;=INDEX(pdates_grade_factor_tense,1),INDEX(pvals_grade_factor_tense,1),IF($A253&gt;=INDEX(pdates_grade_factor_tense,10),INDEX(pvals_grade_factor_tense,10),INDEX(pvals_grade_factor_tense,MATCH($A253,pdates_grade_factor_tense,1))+($A253-INDEX(pdates_grade_factor_tense,MATCH($A253,pdates_grade_factor_tense,1)))/(INDEX(pdates_grade_factor_tense,MATCH($A253,pdates_grade_factor_tense,1)+1)-INDEX(pdates_grade_factor_tense,MATCH($A253,pdates_grade_factor_tense,1)))*(INDEX(pvals_grade_factor_tense,MATCH($A253,pdates_grade_factor_tense,1)+1)-INDEX(pvals_grade_factor_tense,MATCH($A253,pdates_grade_factor_tense,1)))))</f>
        <v/>
      </c>
      <c r="AA253" s="8">
        <f>IF($A253&lt;=INDEX(pdates_grade_factor_mix_pit,1),INDEX(pvals_grade_factor_mix_pit,1),IF($A253&gt;=INDEX(pdates_grade_factor_mix_pit,10),INDEX(pvals_grade_factor_mix_pit,10),INDEX(pvals_grade_factor_mix_pit,MATCH($A253,pdates_grade_factor_mix_pit,1))+($A253-INDEX(pdates_grade_factor_mix_pit,MATCH($A253,pdates_grade_factor_mix_pit,1)))/(INDEX(pdates_grade_factor_mix_pit,MATCH($A253,pdates_grade_factor_mix_pit,1)+1)-INDEX(pdates_grade_factor_mix_pit,MATCH($A253,pdates_grade_factor_mix_pit,1)))*(INDEX(pvals_grade_factor_mix_pit,MATCH($A253,pdates_grade_factor_mix_pit,1)+1)-INDEX(pvals_grade_factor_mix_pit,MATCH($A253,pdates_grade_factor_mix_pit,1)))))</f>
        <v/>
      </c>
      <c r="AB253" s="16">
        <f>($B253*$F253/kg_per_mt*(1+bcd_primary_al_hs7601*(1+sws_rate_on_bcd))+mcx_domestic_premium_inr_kg)*(1+$I253*MAX(0,$Q253-$A253)/day_count_inr)</f>
        <v/>
      </c>
      <c r="AC253" s="16">
        <f>$M253-$AB253</f>
        <v/>
      </c>
      <c r="AD253" s="7" t="inlineStr">
        <is>
          <t>PROXY_IMPORT_PARITY</t>
        </is>
      </c>
      <c r="AE253" s="7" t="inlineStr">
        <is>
          <t>ECB_CROSS</t>
        </is>
      </c>
      <c r="AF253" s="7" t="inlineStr">
        <is>
          <t>WCI_REPORTED|USEC:ANCHORED|JEA:ASSUMPTION</t>
        </is>
      </c>
      <c r="AG253" s="17" t="b">
        <v>0</v>
      </c>
      <c r="AH253" s="17" t="b">
        <v>1</v>
      </c>
    </row>
    <row r="254">
      <c r="A254" s="11" t="n">
        <v>44923</v>
      </c>
      <c r="B254" s="13" t="n">
        <v>2343</v>
      </c>
      <c r="C254" s="13" t="n">
        <v>2378</v>
      </c>
      <c r="D254" s="13" t="n">
        <v>-35</v>
      </c>
      <c r="E254" s="13" t="n">
        <v>461725</v>
      </c>
      <c r="F254" s="13" t="n">
        <v>82.7954</v>
      </c>
      <c r="G254" s="6" t="n">
        <v>82.9353</v>
      </c>
      <c r="H254" s="6" t="n">
        <v>83.1987</v>
      </c>
      <c r="I254" s="14" t="n">
        <v>0.064571</v>
      </c>
      <c r="J254" s="14" t="n">
        <v>0.043989</v>
      </c>
      <c r="K254" s="14" t="n">
        <v>0.0625</v>
      </c>
      <c r="L254" s="13" t="n">
        <v>209.9938</v>
      </c>
      <c r="M254" s="13" t="n">
        <v>210.0681</v>
      </c>
      <c r="N254" s="13" t="n">
        <v>211.2568</v>
      </c>
      <c r="O254" s="13" t="n">
        <v>12.48</v>
      </c>
      <c r="P254" s="13" t="n">
        <v>55.36</v>
      </c>
      <c r="Q254" s="12" t="n">
        <v>44925</v>
      </c>
      <c r="R254" s="12" t="n">
        <v>44957</v>
      </c>
      <c r="S254" s="8">
        <f>YEAR($Q254)*100+MONTH($Q254)</f>
        <v/>
      </c>
      <c r="T254" s="8">
        <f>YEAR($R254)*100+MONTH($R254)</f>
        <v/>
      </c>
      <c r="U254" s="15">
        <f>IF($A254&lt;=INDEX(pdates_wc_rate_inr_pa,1),INDEX(pvals_wc_rate_inr_pa,1),INDEX(pvals_wc_rate_inr_pa,MATCH($A254,pdates_wc_rate_inr_pa,1)))</f>
        <v/>
      </c>
      <c r="V254" s="8">
        <f>IF(AND($A254&gt;=customs_fx_first,$A254&lt;=customs_fx_last+customs_fx_notification_validity_days),IF($A254&lt;=INDEX(pdates_customs_usdinr_import,1),INDEX(pvals_customs_usdinr_import,1),INDEX(pvals_customs_usdinr_import,MATCH($A254,pdates_customs_usdinr_import,1))),$F254*(1+customs_fx_markup_frac))</f>
        <v/>
      </c>
      <c r="W254" s="8">
        <f>IF(AND($A254&gt;=customs_fx_first,$A254&lt;=customs_fx_last+customs_fx_notification_validity_days),"CBIC_NOTIFIED","MARKUP_FALLBACK")</f>
        <v/>
      </c>
      <c r="X254" s="8">
        <f>IF($A254&lt;=INDEX(pdates_grade_factor_zorba,1),INDEX(pvals_grade_factor_zorba,1),IF($A254&gt;=INDEX(pdates_grade_factor_zorba,10),INDEX(pvals_grade_factor_zorba,10),INDEX(pvals_grade_factor_zorba,MATCH($A254,pdates_grade_factor_zorba,1))+($A254-INDEX(pdates_grade_factor_zorba,MATCH($A254,pdates_grade_factor_zorba,1)))/(INDEX(pdates_grade_factor_zorba,MATCH($A254,pdates_grade_factor_zorba,1)+1)-INDEX(pdates_grade_factor_zorba,MATCH($A254,pdates_grade_factor_zorba,1)))*(INDEX(pvals_grade_factor_zorba,MATCH($A254,pdates_grade_factor_zorba,1)+1)-INDEX(pvals_grade_factor_zorba,MATCH($A254,pdates_grade_factor_zorba,1)))))</f>
        <v/>
      </c>
      <c r="Y254" s="8">
        <f>IF($A254&lt;=INDEX(pdates_grade_factor_taint_tabor,1),INDEX(pvals_grade_factor_taint_tabor,1),IF($A254&gt;=INDEX(pdates_grade_factor_taint_tabor,10),INDEX(pvals_grade_factor_taint_tabor,10),INDEX(pvals_grade_factor_taint_tabor,MATCH($A254,pdates_grade_factor_taint_tabor,1))+($A254-INDEX(pdates_grade_factor_taint_tabor,MATCH($A254,pdates_grade_factor_taint_tabor,1)))/(INDEX(pdates_grade_factor_taint_tabor,MATCH($A254,pdates_grade_factor_taint_tabor,1)+1)-INDEX(pdates_grade_factor_taint_tabor,MATCH($A254,pdates_grade_factor_taint_tabor,1)))*(INDEX(pvals_grade_factor_taint_tabor,MATCH($A254,pdates_grade_factor_taint_tabor,1)+1)-INDEX(pvals_grade_factor_taint_tabor,MATCH($A254,pdates_grade_factor_taint_tabor,1)))))</f>
        <v/>
      </c>
      <c r="Z254" s="8">
        <f>IF($A254&lt;=INDEX(pdates_grade_factor_tense,1),INDEX(pvals_grade_factor_tense,1),IF($A254&gt;=INDEX(pdates_grade_factor_tense,10),INDEX(pvals_grade_factor_tense,10),INDEX(pvals_grade_factor_tense,MATCH($A254,pdates_grade_factor_tense,1))+($A254-INDEX(pdates_grade_factor_tense,MATCH($A254,pdates_grade_factor_tense,1)))/(INDEX(pdates_grade_factor_tense,MATCH($A254,pdates_grade_factor_tense,1)+1)-INDEX(pdates_grade_factor_tense,MATCH($A254,pdates_grade_factor_tense,1)))*(INDEX(pvals_grade_factor_tense,MATCH($A254,pdates_grade_factor_tense,1)+1)-INDEX(pvals_grade_factor_tense,MATCH($A254,pdates_grade_factor_tense,1)))))</f>
        <v/>
      </c>
      <c r="AA254" s="8">
        <f>IF($A254&lt;=INDEX(pdates_grade_factor_mix_pit,1),INDEX(pvals_grade_factor_mix_pit,1),IF($A254&gt;=INDEX(pdates_grade_factor_mix_pit,10),INDEX(pvals_grade_factor_mix_pit,10),INDEX(pvals_grade_factor_mix_pit,MATCH($A254,pdates_grade_factor_mix_pit,1))+($A254-INDEX(pdates_grade_factor_mix_pit,MATCH($A254,pdates_grade_factor_mix_pit,1)))/(INDEX(pdates_grade_factor_mix_pit,MATCH($A254,pdates_grade_factor_mix_pit,1)+1)-INDEX(pdates_grade_factor_mix_pit,MATCH($A254,pdates_grade_factor_mix_pit,1)))*(INDEX(pvals_grade_factor_mix_pit,MATCH($A254,pdates_grade_factor_mix_pit,1)+1)-INDEX(pvals_grade_factor_mix_pit,MATCH($A254,pdates_grade_factor_mix_pit,1)))))</f>
        <v/>
      </c>
      <c r="AB254" s="16">
        <f>($B254*$F254/kg_per_mt*(1+bcd_primary_al_hs7601*(1+sws_rate_on_bcd))+mcx_domestic_premium_inr_kg)*(1+$I254*MAX(0,$Q254-$A254)/day_count_inr)</f>
        <v/>
      </c>
      <c r="AC254" s="16">
        <f>$M254-$AB254</f>
        <v/>
      </c>
      <c r="AD254" s="7" t="inlineStr">
        <is>
          <t>PROXY_IMPORT_PARITY</t>
        </is>
      </c>
      <c r="AE254" s="7" t="inlineStr">
        <is>
          <t>ECB_CROSS</t>
        </is>
      </c>
      <c r="AF254" s="7" t="inlineStr">
        <is>
          <t>WCI_REPORTED|USEC:ANCHORED|JEA:ASSUMPTION</t>
        </is>
      </c>
      <c r="AG254" s="17" t="b">
        <v>0</v>
      </c>
      <c r="AH254" s="17" t="b">
        <v>1</v>
      </c>
    </row>
    <row r="255">
      <c r="A255" s="11" t="n">
        <v>44924</v>
      </c>
      <c r="B255" s="13" t="n">
        <v>2371.5</v>
      </c>
      <c r="C255" s="13" t="n">
        <v>2399</v>
      </c>
      <c r="D255" s="13" t="n">
        <v>-27.5</v>
      </c>
      <c r="E255" s="13" t="n">
        <v>453375</v>
      </c>
      <c r="F255" s="13" t="n">
        <v>82.8524</v>
      </c>
      <c r="G255" s="6" t="n">
        <v>82.9931</v>
      </c>
      <c r="H255" s="6" t="n">
        <v>83.258</v>
      </c>
      <c r="I255" s="14" t="n">
        <v>0.064571</v>
      </c>
      <c r="J255" s="14" t="n">
        <v>0.04389</v>
      </c>
      <c r="K255" s="14" t="n">
        <v>0.0625</v>
      </c>
      <c r="L255" s="13" t="n">
        <v>212.6944</v>
      </c>
      <c r="M255" s="13" t="n">
        <v>212.7321</v>
      </c>
      <c r="N255" s="13" t="n">
        <v>213.9361</v>
      </c>
      <c r="O255" s="13" t="n">
        <v>12.08</v>
      </c>
      <c r="P255" s="13" t="n">
        <v>53.57</v>
      </c>
      <c r="Q255" s="12" t="n">
        <v>44925</v>
      </c>
      <c r="R255" s="12" t="n">
        <v>44957</v>
      </c>
      <c r="S255" s="8">
        <f>YEAR($Q255)*100+MONTH($Q255)</f>
        <v/>
      </c>
      <c r="T255" s="8">
        <f>YEAR($R255)*100+MONTH($R255)</f>
        <v/>
      </c>
      <c r="U255" s="15">
        <f>IF($A255&lt;=INDEX(pdates_wc_rate_inr_pa,1),INDEX(pvals_wc_rate_inr_pa,1),INDEX(pvals_wc_rate_inr_pa,MATCH($A255,pdates_wc_rate_inr_pa,1)))</f>
        <v/>
      </c>
      <c r="V255" s="8">
        <f>IF(AND($A255&gt;=customs_fx_first,$A255&lt;=customs_fx_last+customs_fx_notification_validity_days),IF($A255&lt;=INDEX(pdates_customs_usdinr_import,1),INDEX(pvals_customs_usdinr_import,1),INDEX(pvals_customs_usdinr_import,MATCH($A255,pdates_customs_usdinr_import,1))),$F255*(1+customs_fx_markup_frac))</f>
        <v/>
      </c>
      <c r="W255" s="8">
        <f>IF(AND($A255&gt;=customs_fx_first,$A255&lt;=customs_fx_last+customs_fx_notification_validity_days),"CBIC_NOTIFIED","MARKUP_FALLBACK")</f>
        <v/>
      </c>
      <c r="X255" s="8">
        <f>IF($A255&lt;=INDEX(pdates_grade_factor_zorba,1),INDEX(pvals_grade_factor_zorba,1),IF($A255&gt;=INDEX(pdates_grade_factor_zorba,10),INDEX(pvals_grade_factor_zorba,10),INDEX(pvals_grade_factor_zorba,MATCH($A255,pdates_grade_factor_zorba,1))+($A255-INDEX(pdates_grade_factor_zorba,MATCH($A255,pdates_grade_factor_zorba,1)))/(INDEX(pdates_grade_factor_zorba,MATCH($A255,pdates_grade_factor_zorba,1)+1)-INDEX(pdates_grade_factor_zorba,MATCH($A255,pdates_grade_factor_zorba,1)))*(INDEX(pvals_grade_factor_zorba,MATCH($A255,pdates_grade_factor_zorba,1)+1)-INDEX(pvals_grade_factor_zorba,MATCH($A255,pdates_grade_factor_zorba,1)))))</f>
        <v/>
      </c>
      <c r="Y255" s="8">
        <f>IF($A255&lt;=INDEX(pdates_grade_factor_taint_tabor,1),INDEX(pvals_grade_factor_taint_tabor,1),IF($A255&gt;=INDEX(pdates_grade_factor_taint_tabor,10),INDEX(pvals_grade_factor_taint_tabor,10),INDEX(pvals_grade_factor_taint_tabor,MATCH($A255,pdates_grade_factor_taint_tabor,1))+($A255-INDEX(pdates_grade_factor_taint_tabor,MATCH($A255,pdates_grade_factor_taint_tabor,1)))/(INDEX(pdates_grade_factor_taint_tabor,MATCH($A255,pdates_grade_factor_taint_tabor,1)+1)-INDEX(pdates_grade_factor_taint_tabor,MATCH($A255,pdates_grade_factor_taint_tabor,1)))*(INDEX(pvals_grade_factor_taint_tabor,MATCH($A255,pdates_grade_factor_taint_tabor,1)+1)-INDEX(pvals_grade_factor_taint_tabor,MATCH($A255,pdates_grade_factor_taint_tabor,1)))))</f>
        <v/>
      </c>
      <c r="Z255" s="8">
        <f>IF($A255&lt;=INDEX(pdates_grade_factor_tense,1),INDEX(pvals_grade_factor_tense,1),IF($A255&gt;=INDEX(pdates_grade_factor_tense,10),INDEX(pvals_grade_factor_tense,10),INDEX(pvals_grade_factor_tense,MATCH($A255,pdates_grade_factor_tense,1))+($A255-INDEX(pdates_grade_factor_tense,MATCH($A255,pdates_grade_factor_tense,1)))/(INDEX(pdates_grade_factor_tense,MATCH($A255,pdates_grade_factor_tense,1)+1)-INDEX(pdates_grade_factor_tense,MATCH($A255,pdates_grade_factor_tense,1)))*(INDEX(pvals_grade_factor_tense,MATCH($A255,pdates_grade_factor_tense,1)+1)-INDEX(pvals_grade_factor_tense,MATCH($A255,pdates_grade_factor_tense,1)))))</f>
        <v/>
      </c>
      <c r="AA255" s="8">
        <f>IF($A255&lt;=INDEX(pdates_grade_factor_mix_pit,1),INDEX(pvals_grade_factor_mix_pit,1),IF($A255&gt;=INDEX(pdates_grade_factor_mix_pit,10),INDEX(pvals_grade_factor_mix_pit,10),INDEX(pvals_grade_factor_mix_pit,MATCH($A255,pdates_grade_factor_mix_pit,1))+($A255-INDEX(pdates_grade_factor_mix_pit,MATCH($A255,pdates_grade_factor_mix_pit,1)))/(INDEX(pdates_grade_factor_mix_pit,MATCH($A255,pdates_grade_factor_mix_pit,1)+1)-INDEX(pdates_grade_factor_mix_pit,MATCH($A255,pdates_grade_factor_mix_pit,1)))*(INDEX(pvals_grade_factor_mix_pit,MATCH($A255,pdates_grade_factor_mix_pit,1)+1)-INDEX(pvals_grade_factor_mix_pit,MATCH($A255,pdates_grade_factor_mix_pit,1)))))</f>
        <v/>
      </c>
      <c r="AB255" s="16">
        <f>($B255*$F255/kg_per_mt*(1+bcd_primary_al_hs7601*(1+sws_rate_on_bcd))+mcx_domestic_premium_inr_kg)*(1+$I255*MAX(0,$Q255-$A255)/day_count_inr)</f>
        <v/>
      </c>
      <c r="AC255" s="16">
        <f>$M255-$AB255</f>
        <v/>
      </c>
      <c r="AD255" s="7" t="inlineStr">
        <is>
          <t>PROXY_IMPORT_PARITY</t>
        </is>
      </c>
      <c r="AE255" s="7" t="inlineStr">
        <is>
          <t>ECB_CROSS</t>
        </is>
      </c>
      <c r="AF255" s="7" t="inlineStr">
        <is>
          <t>WCI_DERIVED|USEC:ANCHORED|JEA:ASSUMPTION</t>
        </is>
      </c>
      <c r="AG255" s="17" t="b">
        <v>0</v>
      </c>
      <c r="AH255" s="17" t="b">
        <v>0</v>
      </c>
    </row>
    <row r="256">
      <c r="A256" s="11" t="n">
        <v>44925</v>
      </c>
      <c r="B256" s="13" t="n">
        <v>2360.5</v>
      </c>
      <c r="C256" s="13" t="n">
        <v>2392</v>
      </c>
      <c r="D256" s="13" t="n">
        <v>-31.5</v>
      </c>
      <c r="E256" s="13" t="n">
        <v>450300</v>
      </c>
      <c r="F256" s="13" t="n">
        <v>82.66549999999999</v>
      </c>
      <c r="G256" s="6" t="n">
        <v>82.8094</v>
      </c>
      <c r="H256" s="6" t="n">
        <v>83.08029999999999</v>
      </c>
      <c r="I256" s="14" t="n">
        <v>0.064571</v>
      </c>
      <c r="J256" s="14" t="n">
        <v>0.043397</v>
      </c>
      <c r="K256" s="14" t="n">
        <v>0.0625</v>
      </c>
      <c r="L256" s="13" t="n">
        <v>211.2303</v>
      </c>
      <c r="M256" s="13" t="n">
        <v>211.2303</v>
      </c>
      <c r="N256" s="13" t="n">
        <v>212.4261</v>
      </c>
      <c r="O256" s="13" t="n">
        <v>12.08</v>
      </c>
      <c r="P256" s="13" t="n">
        <v>53.57</v>
      </c>
      <c r="Q256" s="12" t="n">
        <v>44925</v>
      </c>
      <c r="R256" s="12" t="n">
        <v>44957</v>
      </c>
      <c r="S256" s="8">
        <f>YEAR($Q256)*100+MONTH($Q256)</f>
        <v/>
      </c>
      <c r="T256" s="8">
        <f>YEAR($R256)*100+MONTH($R256)</f>
        <v/>
      </c>
      <c r="U256" s="15">
        <f>IF($A256&lt;=INDEX(pdates_wc_rate_inr_pa,1),INDEX(pvals_wc_rate_inr_pa,1),INDEX(pvals_wc_rate_inr_pa,MATCH($A256,pdates_wc_rate_inr_pa,1)))</f>
        <v/>
      </c>
      <c r="V256" s="8">
        <f>IF(AND($A256&gt;=customs_fx_first,$A256&lt;=customs_fx_last+customs_fx_notification_validity_days),IF($A256&lt;=INDEX(pdates_customs_usdinr_import,1),INDEX(pvals_customs_usdinr_import,1),INDEX(pvals_customs_usdinr_import,MATCH($A256,pdates_customs_usdinr_import,1))),$F256*(1+customs_fx_markup_frac))</f>
        <v/>
      </c>
      <c r="W256" s="8">
        <f>IF(AND($A256&gt;=customs_fx_first,$A256&lt;=customs_fx_last+customs_fx_notification_validity_days),"CBIC_NOTIFIED","MARKUP_FALLBACK")</f>
        <v/>
      </c>
      <c r="X256" s="8">
        <f>IF($A256&lt;=INDEX(pdates_grade_factor_zorba,1),INDEX(pvals_grade_factor_zorba,1),IF($A256&gt;=INDEX(pdates_grade_factor_zorba,10),INDEX(pvals_grade_factor_zorba,10),INDEX(pvals_grade_factor_zorba,MATCH($A256,pdates_grade_factor_zorba,1))+($A256-INDEX(pdates_grade_factor_zorba,MATCH($A256,pdates_grade_factor_zorba,1)))/(INDEX(pdates_grade_factor_zorba,MATCH($A256,pdates_grade_factor_zorba,1)+1)-INDEX(pdates_grade_factor_zorba,MATCH($A256,pdates_grade_factor_zorba,1)))*(INDEX(pvals_grade_factor_zorba,MATCH($A256,pdates_grade_factor_zorba,1)+1)-INDEX(pvals_grade_factor_zorba,MATCH($A256,pdates_grade_factor_zorba,1)))))</f>
        <v/>
      </c>
      <c r="Y256" s="8">
        <f>IF($A256&lt;=INDEX(pdates_grade_factor_taint_tabor,1),INDEX(pvals_grade_factor_taint_tabor,1),IF($A256&gt;=INDEX(pdates_grade_factor_taint_tabor,10),INDEX(pvals_grade_factor_taint_tabor,10),INDEX(pvals_grade_factor_taint_tabor,MATCH($A256,pdates_grade_factor_taint_tabor,1))+($A256-INDEX(pdates_grade_factor_taint_tabor,MATCH($A256,pdates_grade_factor_taint_tabor,1)))/(INDEX(pdates_grade_factor_taint_tabor,MATCH($A256,pdates_grade_factor_taint_tabor,1)+1)-INDEX(pdates_grade_factor_taint_tabor,MATCH($A256,pdates_grade_factor_taint_tabor,1)))*(INDEX(pvals_grade_factor_taint_tabor,MATCH($A256,pdates_grade_factor_taint_tabor,1)+1)-INDEX(pvals_grade_factor_taint_tabor,MATCH($A256,pdates_grade_factor_taint_tabor,1)))))</f>
        <v/>
      </c>
      <c r="Z256" s="8">
        <f>IF($A256&lt;=INDEX(pdates_grade_factor_tense,1),INDEX(pvals_grade_factor_tense,1),IF($A256&gt;=INDEX(pdates_grade_factor_tense,10),INDEX(pvals_grade_factor_tense,10),INDEX(pvals_grade_factor_tense,MATCH($A256,pdates_grade_factor_tense,1))+($A256-INDEX(pdates_grade_factor_tense,MATCH($A256,pdates_grade_factor_tense,1)))/(INDEX(pdates_grade_factor_tense,MATCH($A256,pdates_grade_factor_tense,1)+1)-INDEX(pdates_grade_factor_tense,MATCH($A256,pdates_grade_factor_tense,1)))*(INDEX(pvals_grade_factor_tense,MATCH($A256,pdates_grade_factor_tense,1)+1)-INDEX(pvals_grade_factor_tense,MATCH($A256,pdates_grade_factor_tense,1)))))</f>
        <v/>
      </c>
      <c r="AA256" s="8">
        <f>IF($A256&lt;=INDEX(pdates_grade_factor_mix_pit,1),INDEX(pvals_grade_factor_mix_pit,1),IF($A256&gt;=INDEX(pdates_grade_factor_mix_pit,10),INDEX(pvals_grade_factor_mix_pit,10),INDEX(pvals_grade_factor_mix_pit,MATCH($A256,pdates_grade_factor_mix_pit,1))+($A256-INDEX(pdates_grade_factor_mix_pit,MATCH($A256,pdates_grade_factor_mix_pit,1)))/(INDEX(pdates_grade_factor_mix_pit,MATCH($A256,pdates_grade_factor_mix_pit,1)+1)-INDEX(pdates_grade_factor_mix_pit,MATCH($A256,pdates_grade_factor_mix_pit,1)))*(INDEX(pvals_grade_factor_mix_pit,MATCH($A256,pdates_grade_factor_mix_pit,1)+1)-INDEX(pvals_grade_factor_mix_pit,MATCH($A256,pdates_grade_factor_mix_pit,1)))))</f>
        <v/>
      </c>
      <c r="AB256" s="16">
        <f>($B256*$F256/kg_per_mt*(1+bcd_primary_al_hs7601*(1+sws_rate_on_bcd))+mcx_domestic_premium_inr_kg)*(1+$I256*MAX(0,$Q256-$A256)/day_count_inr)</f>
        <v/>
      </c>
      <c r="AC256" s="16">
        <f>$M256-$AB256</f>
        <v/>
      </c>
      <c r="AD256" s="7" t="inlineStr">
        <is>
          <t>PROXY_IMPORT_PARITY</t>
        </is>
      </c>
      <c r="AE256" s="7" t="inlineStr">
        <is>
          <t>ECB_CROSS</t>
        </is>
      </c>
      <c r="AF256" s="7" t="inlineStr">
        <is>
          <t>WCI_DERIVED|USEC:ANCHORED|JEA:ASSUMPTION</t>
        </is>
      </c>
      <c r="AG256" s="17" t="b">
        <v>0</v>
      </c>
      <c r="AH256" s="17" t="b">
        <v>1</v>
      </c>
    </row>
  </sheetData>
  <autoFilter ref="A5:AH2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8"/>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0" customWidth="1" min="3" max="3"/>
    <col width="16.7" customWidth="1" min="4" max="4"/>
    <col width="14.6" customWidth="1" min="5" max="5"/>
    <col width="26" customWidth="1" min="6" max="6"/>
    <col width="9" customWidth="1" min="7" max="7"/>
    <col width="15.65" customWidth="1" min="8" max="8"/>
    <col width="16.7" customWidth="1" min="9" max="9"/>
    <col width="16.7" customWidth="1" min="10" max="10"/>
    <col width="20.9" customWidth="1" min="11" max="11"/>
    <col width="18.8" customWidth="1" min="12" max="12"/>
    <col width="18.8" customWidth="1" min="13" max="13"/>
    <col width="24.05" customWidth="1" min="14" max="14"/>
    <col width="25.1" customWidth="1" min="15" max="15"/>
    <col width="16.7" customWidth="1" min="16" max="16"/>
    <col width="24.05" customWidth="1" min="17" max="17"/>
    <col width="20.9" customWidth="1" min="18" max="18"/>
    <col width="26" customWidth="1" min="19" max="19"/>
    <col width="20.9" customWidth="1" min="20" max="20"/>
    <col width="23" customWidth="1" min="21" max="21"/>
    <col width="18" customWidth="1" min="22" max="22"/>
  </cols>
  <sheetData>
    <row r="1">
      <c r="A1" s="1" t="inlineStr">
        <is>
          <t>ACADEMIC SIMULATION — not actual trades</t>
        </is>
      </c>
    </row>
    <row r="2">
      <c r="A2" s="2" t="inlineStr">
        <is>
          <t>Market_Weekly — CONTRACTS §3 weekly view (W-FRI, valued on the week's last panel day)</t>
        </is>
      </c>
    </row>
    <row r="3">
      <c r="A3" s="3" t="inlineStr">
        <is>
          <t>Every cell is an INDEX/MATCH into Market_Daily on the week's value_date. Nothing is pasted, and each column carries the provenance flag of the Market_Daily column it reads.</t>
        </is>
      </c>
    </row>
    <row r="5" ht="30" customHeight="1">
      <c r="A5" s="5" t="inlineStr">
        <is>
          <t>week_end</t>
        </is>
      </c>
      <c r="B5" s="5" t="inlineStr">
        <is>
          <t>value_date</t>
        </is>
      </c>
      <c r="C5" s="5" t="inlineStr">
        <is>
          <t>in_window</t>
        </is>
      </c>
      <c r="D5" s="5" t="inlineStr">
        <is>
          <t>lme_cash_usd_t</t>
        </is>
      </c>
      <c r="E5" s="5" t="inlineStr">
        <is>
          <t>lme_3m_usd_t</t>
        </is>
      </c>
      <c r="F5" s="5" t="inlineStr">
        <is>
          <t>lme_cash_3m_spread_usd_t</t>
        </is>
      </c>
      <c r="G5" s="5" t="inlineStr">
        <is>
          <t>usdinr</t>
        </is>
      </c>
      <c r="H5" s="5" t="inlineStr">
        <is>
          <t>usdinr_fwd_1m</t>
        </is>
      </c>
      <c r="I5" s="5" t="inlineStr">
        <is>
          <t>inr_rate_3m_pa</t>
        </is>
      </c>
      <c r="J5" s="5" t="inlineStr">
        <is>
          <t>usd_rate_3m_pa</t>
        </is>
      </c>
      <c r="K5" s="5" t="inlineStr">
        <is>
          <t>mcx_al_spot_inr_kg</t>
        </is>
      </c>
      <c r="L5" s="5" t="inlineStr">
        <is>
          <t>mcx_al_m1_inr_kg</t>
        </is>
      </c>
      <c r="M5" s="5" t="inlineStr">
        <is>
          <t>mcx_al_m2_inr_kg</t>
        </is>
      </c>
      <c r="N5" s="5" t="inlineStr">
        <is>
          <t>freight_jea_nsa_usd_t</t>
        </is>
      </c>
      <c r="O5" s="5" t="inlineStr">
        <is>
          <t>freight_usec_mun_usd_t</t>
        </is>
      </c>
      <c r="P5" s="5" t="inlineStr">
        <is>
          <t>wc_rate_inr_pa</t>
        </is>
      </c>
      <c r="Q5" s="5" t="inlineStr">
        <is>
          <t>customs_usdinr_import</t>
        </is>
      </c>
      <c r="R5" s="5" t="inlineStr">
        <is>
          <t>grade_factor_zorba</t>
        </is>
      </c>
      <c r="S5" s="5" t="inlineStr">
        <is>
          <t>grade_factor_taint_tabor</t>
        </is>
      </c>
      <c r="T5" s="5" t="inlineStr">
        <is>
          <t>grade_factor_tense</t>
        </is>
      </c>
      <c r="U5" s="5" t="inlineStr">
        <is>
          <t>grade_factor_mix_pit</t>
        </is>
      </c>
      <c r="V5" s="5" t="inlineStr">
        <is>
          <t>customs_fx_src</t>
        </is>
      </c>
    </row>
    <row r="6">
      <c r="A6" s="11" t="n">
        <v>44568</v>
      </c>
      <c r="B6" s="11" t="n">
        <v>44568</v>
      </c>
      <c r="C6" s="17" t="b">
        <v>0</v>
      </c>
      <c r="D6" s="16">
        <f>INDEX(Market_Daily!$B$6:$B$256,MATCH($B6,Market_Daily!$A$6:$A$256,0))</f>
        <v/>
      </c>
      <c r="E6" s="16">
        <f>INDEX(Market_Daily!$C$6:$C$256,MATCH($B6,Market_Daily!$A$6:$A$256,0))</f>
        <v/>
      </c>
      <c r="F6" s="16">
        <f>INDEX(Market_Daily!$D$6:$D$256,MATCH($B6,Market_Daily!$A$6:$A$256,0))</f>
        <v/>
      </c>
      <c r="G6" s="16">
        <f>INDEX(Market_Daily!$F$6:$F$256,MATCH($B6,Market_Daily!$A$6:$A$256,0))</f>
        <v/>
      </c>
      <c r="H6" s="8">
        <f>INDEX(Market_Daily!$G$6:$G$256,MATCH($B6,Market_Daily!$A$6:$A$256,0))</f>
        <v/>
      </c>
      <c r="I6" s="15">
        <f>INDEX(Market_Daily!$I$6:$I$256,MATCH($B6,Market_Daily!$A$6:$A$256,0))</f>
        <v/>
      </c>
      <c r="J6" s="15">
        <f>INDEX(Market_Daily!$J$6:$J$256,MATCH($B6,Market_Daily!$A$6:$A$256,0))</f>
        <v/>
      </c>
      <c r="K6" s="16">
        <f>INDEX(Market_Daily!$L$6:$L$256,MATCH($B6,Market_Daily!$A$6:$A$256,0))</f>
        <v/>
      </c>
      <c r="L6" s="16">
        <f>INDEX(Market_Daily!$M$6:$M$256,MATCH($B6,Market_Daily!$A$6:$A$256,0))</f>
        <v/>
      </c>
      <c r="M6" s="16">
        <f>INDEX(Market_Daily!$N$6:$N$256,MATCH($B6,Market_Daily!$A$6:$A$256,0))</f>
        <v/>
      </c>
      <c r="N6" s="16">
        <f>INDEX(Market_Daily!$O$6:$O$256,MATCH($B6,Market_Daily!$A$6:$A$256,0))</f>
        <v/>
      </c>
      <c r="O6" s="16">
        <f>INDEX(Market_Daily!$P$6:$P$256,MATCH($B6,Market_Daily!$A$6:$A$256,0))</f>
        <v/>
      </c>
      <c r="P6" s="15">
        <f>INDEX(Market_Daily!$U$6:$U$256,MATCH($B6,Market_Daily!$A$6:$A$256,0))</f>
        <v/>
      </c>
      <c r="Q6" s="8">
        <f>INDEX(Market_Daily!$V$6:$V$256,MATCH($B6,Market_Daily!$A$6:$A$256,0))</f>
        <v/>
      </c>
      <c r="R6" s="8">
        <f>INDEX(Market_Daily!$X$6:$X$256,MATCH($B6,Market_Daily!$A$6:$A$256,0))</f>
        <v/>
      </c>
      <c r="S6" s="8">
        <f>INDEX(Market_Daily!$Y$6:$Y$256,MATCH($B6,Market_Daily!$A$6:$A$256,0))</f>
        <v/>
      </c>
      <c r="T6" s="8">
        <f>INDEX(Market_Daily!$Z$6:$Z$256,MATCH($B6,Market_Daily!$A$6:$A$256,0))</f>
        <v/>
      </c>
      <c r="U6" s="8">
        <f>INDEX(Market_Daily!$AA$6:$AA$256,MATCH($B6,Market_Daily!$A$6:$A$256,0))</f>
        <v/>
      </c>
      <c r="V6" s="8">
        <f>INDEX(Market_Daily!$W$6:$W$256,MATCH($B6,Market_Daily!$A$6:$A$256,0))</f>
        <v/>
      </c>
    </row>
    <row r="7">
      <c r="A7" s="11" t="n">
        <v>44575</v>
      </c>
      <c r="B7" s="11" t="n">
        <v>44575</v>
      </c>
      <c r="C7" s="17" t="b">
        <v>0</v>
      </c>
      <c r="D7" s="16">
        <f>INDEX(Market_Daily!$B$6:$B$256,MATCH($B7,Market_Daily!$A$6:$A$256,0))</f>
        <v/>
      </c>
      <c r="E7" s="16">
        <f>INDEX(Market_Daily!$C$6:$C$256,MATCH($B7,Market_Daily!$A$6:$A$256,0))</f>
        <v/>
      </c>
      <c r="F7" s="16">
        <f>INDEX(Market_Daily!$D$6:$D$256,MATCH($B7,Market_Daily!$A$6:$A$256,0))</f>
        <v/>
      </c>
      <c r="G7" s="16">
        <f>INDEX(Market_Daily!$F$6:$F$256,MATCH($B7,Market_Daily!$A$6:$A$256,0))</f>
        <v/>
      </c>
      <c r="H7" s="8">
        <f>INDEX(Market_Daily!$G$6:$G$256,MATCH($B7,Market_Daily!$A$6:$A$256,0))</f>
        <v/>
      </c>
      <c r="I7" s="15">
        <f>INDEX(Market_Daily!$I$6:$I$256,MATCH($B7,Market_Daily!$A$6:$A$256,0))</f>
        <v/>
      </c>
      <c r="J7" s="15">
        <f>INDEX(Market_Daily!$J$6:$J$256,MATCH($B7,Market_Daily!$A$6:$A$256,0))</f>
        <v/>
      </c>
      <c r="K7" s="16">
        <f>INDEX(Market_Daily!$L$6:$L$256,MATCH($B7,Market_Daily!$A$6:$A$256,0))</f>
        <v/>
      </c>
      <c r="L7" s="16">
        <f>INDEX(Market_Daily!$M$6:$M$256,MATCH($B7,Market_Daily!$A$6:$A$256,0))</f>
        <v/>
      </c>
      <c r="M7" s="16">
        <f>INDEX(Market_Daily!$N$6:$N$256,MATCH($B7,Market_Daily!$A$6:$A$256,0))</f>
        <v/>
      </c>
      <c r="N7" s="16">
        <f>INDEX(Market_Daily!$O$6:$O$256,MATCH($B7,Market_Daily!$A$6:$A$256,0))</f>
        <v/>
      </c>
      <c r="O7" s="16">
        <f>INDEX(Market_Daily!$P$6:$P$256,MATCH($B7,Market_Daily!$A$6:$A$256,0))</f>
        <v/>
      </c>
      <c r="P7" s="15">
        <f>INDEX(Market_Daily!$U$6:$U$256,MATCH($B7,Market_Daily!$A$6:$A$256,0))</f>
        <v/>
      </c>
      <c r="Q7" s="8">
        <f>INDEX(Market_Daily!$V$6:$V$256,MATCH($B7,Market_Daily!$A$6:$A$256,0))</f>
        <v/>
      </c>
      <c r="R7" s="8">
        <f>INDEX(Market_Daily!$X$6:$X$256,MATCH($B7,Market_Daily!$A$6:$A$256,0))</f>
        <v/>
      </c>
      <c r="S7" s="8">
        <f>INDEX(Market_Daily!$Y$6:$Y$256,MATCH($B7,Market_Daily!$A$6:$A$256,0))</f>
        <v/>
      </c>
      <c r="T7" s="8">
        <f>INDEX(Market_Daily!$Z$6:$Z$256,MATCH($B7,Market_Daily!$A$6:$A$256,0))</f>
        <v/>
      </c>
      <c r="U7" s="8">
        <f>INDEX(Market_Daily!$AA$6:$AA$256,MATCH($B7,Market_Daily!$A$6:$A$256,0))</f>
        <v/>
      </c>
      <c r="V7" s="8">
        <f>INDEX(Market_Daily!$W$6:$W$256,MATCH($B7,Market_Daily!$A$6:$A$256,0))</f>
        <v/>
      </c>
    </row>
    <row r="8">
      <c r="A8" s="11" t="n">
        <v>44582</v>
      </c>
      <c r="B8" s="11" t="n">
        <v>44582</v>
      </c>
      <c r="C8" s="17" t="b">
        <v>0</v>
      </c>
      <c r="D8" s="16">
        <f>INDEX(Market_Daily!$B$6:$B$256,MATCH($B8,Market_Daily!$A$6:$A$256,0))</f>
        <v/>
      </c>
      <c r="E8" s="16">
        <f>INDEX(Market_Daily!$C$6:$C$256,MATCH($B8,Market_Daily!$A$6:$A$256,0))</f>
        <v/>
      </c>
      <c r="F8" s="16">
        <f>INDEX(Market_Daily!$D$6:$D$256,MATCH($B8,Market_Daily!$A$6:$A$256,0))</f>
        <v/>
      </c>
      <c r="G8" s="16">
        <f>INDEX(Market_Daily!$F$6:$F$256,MATCH($B8,Market_Daily!$A$6:$A$256,0))</f>
        <v/>
      </c>
      <c r="H8" s="8">
        <f>INDEX(Market_Daily!$G$6:$G$256,MATCH($B8,Market_Daily!$A$6:$A$256,0))</f>
        <v/>
      </c>
      <c r="I8" s="15">
        <f>INDEX(Market_Daily!$I$6:$I$256,MATCH($B8,Market_Daily!$A$6:$A$256,0))</f>
        <v/>
      </c>
      <c r="J8" s="15">
        <f>INDEX(Market_Daily!$J$6:$J$256,MATCH($B8,Market_Daily!$A$6:$A$256,0))</f>
        <v/>
      </c>
      <c r="K8" s="16">
        <f>INDEX(Market_Daily!$L$6:$L$256,MATCH($B8,Market_Daily!$A$6:$A$256,0))</f>
        <v/>
      </c>
      <c r="L8" s="16">
        <f>INDEX(Market_Daily!$M$6:$M$256,MATCH($B8,Market_Daily!$A$6:$A$256,0))</f>
        <v/>
      </c>
      <c r="M8" s="16">
        <f>INDEX(Market_Daily!$N$6:$N$256,MATCH($B8,Market_Daily!$A$6:$A$256,0))</f>
        <v/>
      </c>
      <c r="N8" s="16">
        <f>INDEX(Market_Daily!$O$6:$O$256,MATCH($B8,Market_Daily!$A$6:$A$256,0))</f>
        <v/>
      </c>
      <c r="O8" s="16">
        <f>INDEX(Market_Daily!$P$6:$P$256,MATCH($B8,Market_Daily!$A$6:$A$256,0))</f>
        <v/>
      </c>
      <c r="P8" s="15">
        <f>INDEX(Market_Daily!$U$6:$U$256,MATCH($B8,Market_Daily!$A$6:$A$256,0))</f>
        <v/>
      </c>
      <c r="Q8" s="8">
        <f>INDEX(Market_Daily!$V$6:$V$256,MATCH($B8,Market_Daily!$A$6:$A$256,0))</f>
        <v/>
      </c>
      <c r="R8" s="8">
        <f>INDEX(Market_Daily!$X$6:$X$256,MATCH($B8,Market_Daily!$A$6:$A$256,0))</f>
        <v/>
      </c>
      <c r="S8" s="8">
        <f>INDEX(Market_Daily!$Y$6:$Y$256,MATCH($B8,Market_Daily!$A$6:$A$256,0))</f>
        <v/>
      </c>
      <c r="T8" s="8">
        <f>INDEX(Market_Daily!$Z$6:$Z$256,MATCH($B8,Market_Daily!$A$6:$A$256,0))</f>
        <v/>
      </c>
      <c r="U8" s="8">
        <f>INDEX(Market_Daily!$AA$6:$AA$256,MATCH($B8,Market_Daily!$A$6:$A$256,0))</f>
        <v/>
      </c>
      <c r="V8" s="8">
        <f>INDEX(Market_Daily!$W$6:$W$256,MATCH($B8,Market_Daily!$A$6:$A$256,0))</f>
        <v/>
      </c>
    </row>
    <row r="9">
      <c r="A9" s="11" t="n">
        <v>44589</v>
      </c>
      <c r="B9" s="11" t="n">
        <v>44589</v>
      </c>
      <c r="C9" s="17" t="b">
        <v>0</v>
      </c>
      <c r="D9" s="16">
        <f>INDEX(Market_Daily!$B$6:$B$256,MATCH($B9,Market_Daily!$A$6:$A$256,0))</f>
        <v/>
      </c>
      <c r="E9" s="16">
        <f>INDEX(Market_Daily!$C$6:$C$256,MATCH($B9,Market_Daily!$A$6:$A$256,0))</f>
        <v/>
      </c>
      <c r="F9" s="16">
        <f>INDEX(Market_Daily!$D$6:$D$256,MATCH($B9,Market_Daily!$A$6:$A$256,0))</f>
        <v/>
      </c>
      <c r="G9" s="16">
        <f>INDEX(Market_Daily!$F$6:$F$256,MATCH($B9,Market_Daily!$A$6:$A$256,0))</f>
        <v/>
      </c>
      <c r="H9" s="8">
        <f>INDEX(Market_Daily!$G$6:$G$256,MATCH($B9,Market_Daily!$A$6:$A$256,0))</f>
        <v/>
      </c>
      <c r="I9" s="15">
        <f>INDEX(Market_Daily!$I$6:$I$256,MATCH($B9,Market_Daily!$A$6:$A$256,0))</f>
        <v/>
      </c>
      <c r="J9" s="15">
        <f>INDEX(Market_Daily!$J$6:$J$256,MATCH($B9,Market_Daily!$A$6:$A$256,0))</f>
        <v/>
      </c>
      <c r="K9" s="16">
        <f>INDEX(Market_Daily!$L$6:$L$256,MATCH($B9,Market_Daily!$A$6:$A$256,0))</f>
        <v/>
      </c>
      <c r="L9" s="16">
        <f>INDEX(Market_Daily!$M$6:$M$256,MATCH($B9,Market_Daily!$A$6:$A$256,0))</f>
        <v/>
      </c>
      <c r="M9" s="16">
        <f>INDEX(Market_Daily!$N$6:$N$256,MATCH($B9,Market_Daily!$A$6:$A$256,0))</f>
        <v/>
      </c>
      <c r="N9" s="16">
        <f>INDEX(Market_Daily!$O$6:$O$256,MATCH($B9,Market_Daily!$A$6:$A$256,0))</f>
        <v/>
      </c>
      <c r="O9" s="16">
        <f>INDEX(Market_Daily!$P$6:$P$256,MATCH($B9,Market_Daily!$A$6:$A$256,0))</f>
        <v/>
      </c>
      <c r="P9" s="15">
        <f>INDEX(Market_Daily!$U$6:$U$256,MATCH($B9,Market_Daily!$A$6:$A$256,0))</f>
        <v/>
      </c>
      <c r="Q9" s="8">
        <f>INDEX(Market_Daily!$V$6:$V$256,MATCH($B9,Market_Daily!$A$6:$A$256,0))</f>
        <v/>
      </c>
      <c r="R9" s="8">
        <f>INDEX(Market_Daily!$X$6:$X$256,MATCH($B9,Market_Daily!$A$6:$A$256,0))</f>
        <v/>
      </c>
      <c r="S9" s="8">
        <f>INDEX(Market_Daily!$Y$6:$Y$256,MATCH($B9,Market_Daily!$A$6:$A$256,0))</f>
        <v/>
      </c>
      <c r="T9" s="8">
        <f>INDEX(Market_Daily!$Z$6:$Z$256,MATCH($B9,Market_Daily!$A$6:$A$256,0))</f>
        <v/>
      </c>
      <c r="U9" s="8">
        <f>INDEX(Market_Daily!$AA$6:$AA$256,MATCH($B9,Market_Daily!$A$6:$A$256,0))</f>
        <v/>
      </c>
      <c r="V9" s="8">
        <f>INDEX(Market_Daily!$W$6:$W$256,MATCH($B9,Market_Daily!$A$6:$A$256,0))</f>
        <v/>
      </c>
    </row>
    <row r="10">
      <c r="A10" s="11" t="n">
        <v>44596</v>
      </c>
      <c r="B10" s="11" t="n">
        <v>44596</v>
      </c>
      <c r="C10" s="17" t="b">
        <v>0</v>
      </c>
      <c r="D10" s="16">
        <f>INDEX(Market_Daily!$B$6:$B$256,MATCH($B10,Market_Daily!$A$6:$A$256,0))</f>
        <v/>
      </c>
      <c r="E10" s="16">
        <f>INDEX(Market_Daily!$C$6:$C$256,MATCH($B10,Market_Daily!$A$6:$A$256,0))</f>
        <v/>
      </c>
      <c r="F10" s="16">
        <f>INDEX(Market_Daily!$D$6:$D$256,MATCH($B10,Market_Daily!$A$6:$A$256,0))</f>
        <v/>
      </c>
      <c r="G10" s="16">
        <f>INDEX(Market_Daily!$F$6:$F$256,MATCH($B10,Market_Daily!$A$6:$A$256,0))</f>
        <v/>
      </c>
      <c r="H10" s="8">
        <f>INDEX(Market_Daily!$G$6:$G$256,MATCH($B10,Market_Daily!$A$6:$A$256,0))</f>
        <v/>
      </c>
      <c r="I10" s="15">
        <f>INDEX(Market_Daily!$I$6:$I$256,MATCH($B10,Market_Daily!$A$6:$A$256,0))</f>
        <v/>
      </c>
      <c r="J10" s="15">
        <f>INDEX(Market_Daily!$J$6:$J$256,MATCH($B10,Market_Daily!$A$6:$A$256,0))</f>
        <v/>
      </c>
      <c r="K10" s="16">
        <f>INDEX(Market_Daily!$L$6:$L$256,MATCH($B10,Market_Daily!$A$6:$A$256,0))</f>
        <v/>
      </c>
      <c r="L10" s="16">
        <f>INDEX(Market_Daily!$M$6:$M$256,MATCH($B10,Market_Daily!$A$6:$A$256,0))</f>
        <v/>
      </c>
      <c r="M10" s="16">
        <f>INDEX(Market_Daily!$N$6:$N$256,MATCH($B10,Market_Daily!$A$6:$A$256,0))</f>
        <v/>
      </c>
      <c r="N10" s="16">
        <f>INDEX(Market_Daily!$O$6:$O$256,MATCH($B10,Market_Daily!$A$6:$A$256,0))</f>
        <v/>
      </c>
      <c r="O10" s="16">
        <f>INDEX(Market_Daily!$P$6:$P$256,MATCH($B10,Market_Daily!$A$6:$A$256,0))</f>
        <v/>
      </c>
      <c r="P10" s="15">
        <f>INDEX(Market_Daily!$U$6:$U$256,MATCH($B10,Market_Daily!$A$6:$A$256,0))</f>
        <v/>
      </c>
      <c r="Q10" s="8">
        <f>INDEX(Market_Daily!$V$6:$V$256,MATCH($B10,Market_Daily!$A$6:$A$256,0))</f>
        <v/>
      </c>
      <c r="R10" s="8">
        <f>INDEX(Market_Daily!$X$6:$X$256,MATCH($B10,Market_Daily!$A$6:$A$256,0))</f>
        <v/>
      </c>
      <c r="S10" s="8">
        <f>INDEX(Market_Daily!$Y$6:$Y$256,MATCH($B10,Market_Daily!$A$6:$A$256,0))</f>
        <v/>
      </c>
      <c r="T10" s="8">
        <f>INDEX(Market_Daily!$Z$6:$Z$256,MATCH($B10,Market_Daily!$A$6:$A$256,0))</f>
        <v/>
      </c>
      <c r="U10" s="8">
        <f>INDEX(Market_Daily!$AA$6:$AA$256,MATCH($B10,Market_Daily!$A$6:$A$256,0))</f>
        <v/>
      </c>
      <c r="V10" s="8">
        <f>INDEX(Market_Daily!$W$6:$W$256,MATCH($B10,Market_Daily!$A$6:$A$256,0))</f>
        <v/>
      </c>
    </row>
    <row r="11">
      <c r="A11" s="11" t="n">
        <v>44603</v>
      </c>
      <c r="B11" s="11" t="n">
        <v>44603</v>
      </c>
      <c r="C11" s="17" t="b">
        <v>0</v>
      </c>
      <c r="D11" s="16">
        <f>INDEX(Market_Daily!$B$6:$B$256,MATCH($B11,Market_Daily!$A$6:$A$256,0))</f>
        <v/>
      </c>
      <c r="E11" s="16">
        <f>INDEX(Market_Daily!$C$6:$C$256,MATCH($B11,Market_Daily!$A$6:$A$256,0))</f>
        <v/>
      </c>
      <c r="F11" s="16">
        <f>INDEX(Market_Daily!$D$6:$D$256,MATCH($B11,Market_Daily!$A$6:$A$256,0))</f>
        <v/>
      </c>
      <c r="G11" s="16">
        <f>INDEX(Market_Daily!$F$6:$F$256,MATCH($B11,Market_Daily!$A$6:$A$256,0))</f>
        <v/>
      </c>
      <c r="H11" s="8">
        <f>INDEX(Market_Daily!$G$6:$G$256,MATCH($B11,Market_Daily!$A$6:$A$256,0))</f>
        <v/>
      </c>
      <c r="I11" s="15">
        <f>INDEX(Market_Daily!$I$6:$I$256,MATCH($B11,Market_Daily!$A$6:$A$256,0))</f>
        <v/>
      </c>
      <c r="J11" s="15">
        <f>INDEX(Market_Daily!$J$6:$J$256,MATCH($B11,Market_Daily!$A$6:$A$256,0))</f>
        <v/>
      </c>
      <c r="K11" s="16">
        <f>INDEX(Market_Daily!$L$6:$L$256,MATCH($B11,Market_Daily!$A$6:$A$256,0))</f>
        <v/>
      </c>
      <c r="L11" s="16">
        <f>INDEX(Market_Daily!$M$6:$M$256,MATCH($B11,Market_Daily!$A$6:$A$256,0))</f>
        <v/>
      </c>
      <c r="M11" s="16">
        <f>INDEX(Market_Daily!$N$6:$N$256,MATCH($B11,Market_Daily!$A$6:$A$256,0))</f>
        <v/>
      </c>
      <c r="N11" s="16">
        <f>INDEX(Market_Daily!$O$6:$O$256,MATCH($B11,Market_Daily!$A$6:$A$256,0))</f>
        <v/>
      </c>
      <c r="O11" s="16">
        <f>INDEX(Market_Daily!$P$6:$P$256,MATCH($B11,Market_Daily!$A$6:$A$256,0))</f>
        <v/>
      </c>
      <c r="P11" s="15">
        <f>INDEX(Market_Daily!$U$6:$U$256,MATCH($B11,Market_Daily!$A$6:$A$256,0))</f>
        <v/>
      </c>
      <c r="Q11" s="8">
        <f>INDEX(Market_Daily!$V$6:$V$256,MATCH($B11,Market_Daily!$A$6:$A$256,0))</f>
        <v/>
      </c>
      <c r="R11" s="8">
        <f>INDEX(Market_Daily!$X$6:$X$256,MATCH($B11,Market_Daily!$A$6:$A$256,0))</f>
        <v/>
      </c>
      <c r="S11" s="8">
        <f>INDEX(Market_Daily!$Y$6:$Y$256,MATCH($B11,Market_Daily!$A$6:$A$256,0))</f>
        <v/>
      </c>
      <c r="T11" s="8">
        <f>INDEX(Market_Daily!$Z$6:$Z$256,MATCH($B11,Market_Daily!$A$6:$A$256,0))</f>
        <v/>
      </c>
      <c r="U11" s="8">
        <f>INDEX(Market_Daily!$AA$6:$AA$256,MATCH($B11,Market_Daily!$A$6:$A$256,0))</f>
        <v/>
      </c>
      <c r="V11" s="8">
        <f>INDEX(Market_Daily!$W$6:$W$256,MATCH($B11,Market_Daily!$A$6:$A$256,0))</f>
        <v/>
      </c>
    </row>
    <row r="12">
      <c r="A12" s="11" t="n">
        <v>44610</v>
      </c>
      <c r="B12" s="11" t="n">
        <v>44610</v>
      </c>
      <c r="C12" s="17" t="b">
        <v>0</v>
      </c>
      <c r="D12" s="16">
        <f>INDEX(Market_Daily!$B$6:$B$256,MATCH($B12,Market_Daily!$A$6:$A$256,0))</f>
        <v/>
      </c>
      <c r="E12" s="16">
        <f>INDEX(Market_Daily!$C$6:$C$256,MATCH($B12,Market_Daily!$A$6:$A$256,0))</f>
        <v/>
      </c>
      <c r="F12" s="16">
        <f>INDEX(Market_Daily!$D$6:$D$256,MATCH($B12,Market_Daily!$A$6:$A$256,0))</f>
        <v/>
      </c>
      <c r="G12" s="16">
        <f>INDEX(Market_Daily!$F$6:$F$256,MATCH($B12,Market_Daily!$A$6:$A$256,0))</f>
        <v/>
      </c>
      <c r="H12" s="8">
        <f>INDEX(Market_Daily!$G$6:$G$256,MATCH($B12,Market_Daily!$A$6:$A$256,0))</f>
        <v/>
      </c>
      <c r="I12" s="15">
        <f>INDEX(Market_Daily!$I$6:$I$256,MATCH($B12,Market_Daily!$A$6:$A$256,0))</f>
        <v/>
      </c>
      <c r="J12" s="15">
        <f>INDEX(Market_Daily!$J$6:$J$256,MATCH($B12,Market_Daily!$A$6:$A$256,0))</f>
        <v/>
      </c>
      <c r="K12" s="16">
        <f>INDEX(Market_Daily!$L$6:$L$256,MATCH($B12,Market_Daily!$A$6:$A$256,0))</f>
        <v/>
      </c>
      <c r="L12" s="16">
        <f>INDEX(Market_Daily!$M$6:$M$256,MATCH($B12,Market_Daily!$A$6:$A$256,0))</f>
        <v/>
      </c>
      <c r="M12" s="16">
        <f>INDEX(Market_Daily!$N$6:$N$256,MATCH($B12,Market_Daily!$A$6:$A$256,0))</f>
        <v/>
      </c>
      <c r="N12" s="16">
        <f>INDEX(Market_Daily!$O$6:$O$256,MATCH($B12,Market_Daily!$A$6:$A$256,0))</f>
        <v/>
      </c>
      <c r="O12" s="16">
        <f>INDEX(Market_Daily!$P$6:$P$256,MATCH($B12,Market_Daily!$A$6:$A$256,0))</f>
        <v/>
      </c>
      <c r="P12" s="15">
        <f>INDEX(Market_Daily!$U$6:$U$256,MATCH($B12,Market_Daily!$A$6:$A$256,0))</f>
        <v/>
      </c>
      <c r="Q12" s="8">
        <f>INDEX(Market_Daily!$V$6:$V$256,MATCH($B12,Market_Daily!$A$6:$A$256,0))</f>
        <v/>
      </c>
      <c r="R12" s="8">
        <f>INDEX(Market_Daily!$X$6:$X$256,MATCH($B12,Market_Daily!$A$6:$A$256,0))</f>
        <v/>
      </c>
      <c r="S12" s="8">
        <f>INDEX(Market_Daily!$Y$6:$Y$256,MATCH($B12,Market_Daily!$A$6:$A$256,0))</f>
        <v/>
      </c>
      <c r="T12" s="8">
        <f>INDEX(Market_Daily!$Z$6:$Z$256,MATCH($B12,Market_Daily!$A$6:$A$256,0))</f>
        <v/>
      </c>
      <c r="U12" s="8">
        <f>INDEX(Market_Daily!$AA$6:$AA$256,MATCH($B12,Market_Daily!$A$6:$A$256,0))</f>
        <v/>
      </c>
      <c r="V12" s="8">
        <f>INDEX(Market_Daily!$W$6:$W$256,MATCH($B12,Market_Daily!$A$6:$A$256,0))</f>
        <v/>
      </c>
    </row>
    <row r="13">
      <c r="A13" s="11" t="n">
        <v>44617</v>
      </c>
      <c r="B13" s="11" t="n">
        <v>44617</v>
      </c>
      <c r="C13" s="17" t="b">
        <v>0</v>
      </c>
      <c r="D13" s="16">
        <f>INDEX(Market_Daily!$B$6:$B$256,MATCH($B13,Market_Daily!$A$6:$A$256,0))</f>
        <v/>
      </c>
      <c r="E13" s="16">
        <f>INDEX(Market_Daily!$C$6:$C$256,MATCH($B13,Market_Daily!$A$6:$A$256,0))</f>
        <v/>
      </c>
      <c r="F13" s="16">
        <f>INDEX(Market_Daily!$D$6:$D$256,MATCH($B13,Market_Daily!$A$6:$A$256,0))</f>
        <v/>
      </c>
      <c r="G13" s="16">
        <f>INDEX(Market_Daily!$F$6:$F$256,MATCH($B13,Market_Daily!$A$6:$A$256,0))</f>
        <v/>
      </c>
      <c r="H13" s="8">
        <f>INDEX(Market_Daily!$G$6:$G$256,MATCH($B13,Market_Daily!$A$6:$A$256,0))</f>
        <v/>
      </c>
      <c r="I13" s="15">
        <f>INDEX(Market_Daily!$I$6:$I$256,MATCH($B13,Market_Daily!$A$6:$A$256,0))</f>
        <v/>
      </c>
      <c r="J13" s="15">
        <f>INDEX(Market_Daily!$J$6:$J$256,MATCH($B13,Market_Daily!$A$6:$A$256,0))</f>
        <v/>
      </c>
      <c r="K13" s="16">
        <f>INDEX(Market_Daily!$L$6:$L$256,MATCH($B13,Market_Daily!$A$6:$A$256,0))</f>
        <v/>
      </c>
      <c r="L13" s="16">
        <f>INDEX(Market_Daily!$M$6:$M$256,MATCH($B13,Market_Daily!$A$6:$A$256,0))</f>
        <v/>
      </c>
      <c r="M13" s="16">
        <f>INDEX(Market_Daily!$N$6:$N$256,MATCH($B13,Market_Daily!$A$6:$A$256,0))</f>
        <v/>
      </c>
      <c r="N13" s="16">
        <f>INDEX(Market_Daily!$O$6:$O$256,MATCH($B13,Market_Daily!$A$6:$A$256,0))</f>
        <v/>
      </c>
      <c r="O13" s="16">
        <f>INDEX(Market_Daily!$P$6:$P$256,MATCH($B13,Market_Daily!$A$6:$A$256,0))</f>
        <v/>
      </c>
      <c r="P13" s="15">
        <f>INDEX(Market_Daily!$U$6:$U$256,MATCH($B13,Market_Daily!$A$6:$A$256,0))</f>
        <v/>
      </c>
      <c r="Q13" s="8">
        <f>INDEX(Market_Daily!$V$6:$V$256,MATCH($B13,Market_Daily!$A$6:$A$256,0))</f>
        <v/>
      </c>
      <c r="R13" s="8">
        <f>INDEX(Market_Daily!$X$6:$X$256,MATCH($B13,Market_Daily!$A$6:$A$256,0))</f>
        <v/>
      </c>
      <c r="S13" s="8">
        <f>INDEX(Market_Daily!$Y$6:$Y$256,MATCH($B13,Market_Daily!$A$6:$A$256,0))</f>
        <v/>
      </c>
      <c r="T13" s="8">
        <f>INDEX(Market_Daily!$Z$6:$Z$256,MATCH($B13,Market_Daily!$A$6:$A$256,0))</f>
        <v/>
      </c>
      <c r="U13" s="8">
        <f>INDEX(Market_Daily!$AA$6:$AA$256,MATCH($B13,Market_Daily!$A$6:$A$256,0))</f>
        <v/>
      </c>
      <c r="V13" s="8">
        <f>INDEX(Market_Daily!$W$6:$W$256,MATCH($B13,Market_Daily!$A$6:$A$256,0))</f>
        <v/>
      </c>
    </row>
    <row r="14">
      <c r="A14" s="11" t="n">
        <v>44624</v>
      </c>
      <c r="B14" s="11" t="n">
        <v>44624</v>
      </c>
      <c r="C14" s="17" t="b">
        <v>1</v>
      </c>
      <c r="D14" s="16">
        <f>INDEX(Market_Daily!$B$6:$B$256,MATCH($B14,Market_Daily!$A$6:$A$256,0))</f>
        <v/>
      </c>
      <c r="E14" s="16">
        <f>INDEX(Market_Daily!$C$6:$C$256,MATCH($B14,Market_Daily!$A$6:$A$256,0))</f>
        <v/>
      </c>
      <c r="F14" s="16">
        <f>INDEX(Market_Daily!$D$6:$D$256,MATCH($B14,Market_Daily!$A$6:$A$256,0))</f>
        <v/>
      </c>
      <c r="G14" s="16">
        <f>INDEX(Market_Daily!$F$6:$F$256,MATCH($B14,Market_Daily!$A$6:$A$256,0))</f>
        <v/>
      </c>
      <c r="H14" s="8">
        <f>INDEX(Market_Daily!$G$6:$G$256,MATCH($B14,Market_Daily!$A$6:$A$256,0))</f>
        <v/>
      </c>
      <c r="I14" s="15">
        <f>INDEX(Market_Daily!$I$6:$I$256,MATCH($B14,Market_Daily!$A$6:$A$256,0))</f>
        <v/>
      </c>
      <c r="J14" s="15">
        <f>INDEX(Market_Daily!$J$6:$J$256,MATCH($B14,Market_Daily!$A$6:$A$256,0))</f>
        <v/>
      </c>
      <c r="K14" s="16">
        <f>INDEX(Market_Daily!$L$6:$L$256,MATCH($B14,Market_Daily!$A$6:$A$256,0))</f>
        <v/>
      </c>
      <c r="L14" s="16">
        <f>INDEX(Market_Daily!$M$6:$M$256,MATCH($B14,Market_Daily!$A$6:$A$256,0))</f>
        <v/>
      </c>
      <c r="M14" s="16">
        <f>INDEX(Market_Daily!$N$6:$N$256,MATCH($B14,Market_Daily!$A$6:$A$256,0))</f>
        <v/>
      </c>
      <c r="N14" s="16">
        <f>INDEX(Market_Daily!$O$6:$O$256,MATCH($B14,Market_Daily!$A$6:$A$256,0))</f>
        <v/>
      </c>
      <c r="O14" s="16">
        <f>INDEX(Market_Daily!$P$6:$P$256,MATCH($B14,Market_Daily!$A$6:$A$256,0))</f>
        <v/>
      </c>
      <c r="P14" s="15">
        <f>INDEX(Market_Daily!$U$6:$U$256,MATCH($B14,Market_Daily!$A$6:$A$256,0))</f>
        <v/>
      </c>
      <c r="Q14" s="8">
        <f>INDEX(Market_Daily!$V$6:$V$256,MATCH($B14,Market_Daily!$A$6:$A$256,0))</f>
        <v/>
      </c>
      <c r="R14" s="8">
        <f>INDEX(Market_Daily!$X$6:$X$256,MATCH($B14,Market_Daily!$A$6:$A$256,0))</f>
        <v/>
      </c>
      <c r="S14" s="8">
        <f>INDEX(Market_Daily!$Y$6:$Y$256,MATCH($B14,Market_Daily!$A$6:$A$256,0))</f>
        <v/>
      </c>
      <c r="T14" s="8">
        <f>INDEX(Market_Daily!$Z$6:$Z$256,MATCH($B14,Market_Daily!$A$6:$A$256,0))</f>
        <v/>
      </c>
      <c r="U14" s="8">
        <f>INDEX(Market_Daily!$AA$6:$AA$256,MATCH($B14,Market_Daily!$A$6:$A$256,0))</f>
        <v/>
      </c>
      <c r="V14" s="8">
        <f>INDEX(Market_Daily!$W$6:$W$256,MATCH($B14,Market_Daily!$A$6:$A$256,0))</f>
        <v/>
      </c>
    </row>
    <row r="15">
      <c r="A15" s="11" t="n">
        <v>44631</v>
      </c>
      <c r="B15" s="11" t="n">
        <v>44631</v>
      </c>
      <c r="C15" s="17" t="b">
        <v>1</v>
      </c>
      <c r="D15" s="16">
        <f>INDEX(Market_Daily!$B$6:$B$256,MATCH($B15,Market_Daily!$A$6:$A$256,0))</f>
        <v/>
      </c>
      <c r="E15" s="16">
        <f>INDEX(Market_Daily!$C$6:$C$256,MATCH($B15,Market_Daily!$A$6:$A$256,0))</f>
        <v/>
      </c>
      <c r="F15" s="16">
        <f>INDEX(Market_Daily!$D$6:$D$256,MATCH($B15,Market_Daily!$A$6:$A$256,0))</f>
        <v/>
      </c>
      <c r="G15" s="16">
        <f>INDEX(Market_Daily!$F$6:$F$256,MATCH($B15,Market_Daily!$A$6:$A$256,0))</f>
        <v/>
      </c>
      <c r="H15" s="8">
        <f>INDEX(Market_Daily!$G$6:$G$256,MATCH($B15,Market_Daily!$A$6:$A$256,0))</f>
        <v/>
      </c>
      <c r="I15" s="15">
        <f>INDEX(Market_Daily!$I$6:$I$256,MATCH($B15,Market_Daily!$A$6:$A$256,0))</f>
        <v/>
      </c>
      <c r="J15" s="15">
        <f>INDEX(Market_Daily!$J$6:$J$256,MATCH($B15,Market_Daily!$A$6:$A$256,0))</f>
        <v/>
      </c>
      <c r="K15" s="16">
        <f>INDEX(Market_Daily!$L$6:$L$256,MATCH($B15,Market_Daily!$A$6:$A$256,0))</f>
        <v/>
      </c>
      <c r="L15" s="16">
        <f>INDEX(Market_Daily!$M$6:$M$256,MATCH($B15,Market_Daily!$A$6:$A$256,0))</f>
        <v/>
      </c>
      <c r="M15" s="16">
        <f>INDEX(Market_Daily!$N$6:$N$256,MATCH($B15,Market_Daily!$A$6:$A$256,0))</f>
        <v/>
      </c>
      <c r="N15" s="16">
        <f>INDEX(Market_Daily!$O$6:$O$256,MATCH($B15,Market_Daily!$A$6:$A$256,0))</f>
        <v/>
      </c>
      <c r="O15" s="16">
        <f>INDEX(Market_Daily!$P$6:$P$256,MATCH($B15,Market_Daily!$A$6:$A$256,0))</f>
        <v/>
      </c>
      <c r="P15" s="15">
        <f>INDEX(Market_Daily!$U$6:$U$256,MATCH($B15,Market_Daily!$A$6:$A$256,0))</f>
        <v/>
      </c>
      <c r="Q15" s="8">
        <f>INDEX(Market_Daily!$V$6:$V$256,MATCH($B15,Market_Daily!$A$6:$A$256,0))</f>
        <v/>
      </c>
      <c r="R15" s="8">
        <f>INDEX(Market_Daily!$X$6:$X$256,MATCH($B15,Market_Daily!$A$6:$A$256,0))</f>
        <v/>
      </c>
      <c r="S15" s="8">
        <f>INDEX(Market_Daily!$Y$6:$Y$256,MATCH($B15,Market_Daily!$A$6:$A$256,0))</f>
        <v/>
      </c>
      <c r="T15" s="8">
        <f>INDEX(Market_Daily!$Z$6:$Z$256,MATCH($B15,Market_Daily!$A$6:$A$256,0))</f>
        <v/>
      </c>
      <c r="U15" s="8">
        <f>INDEX(Market_Daily!$AA$6:$AA$256,MATCH($B15,Market_Daily!$A$6:$A$256,0))</f>
        <v/>
      </c>
      <c r="V15" s="8">
        <f>INDEX(Market_Daily!$W$6:$W$256,MATCH($B15,Market_Daily!$A$6:$A$256,0))</f>
        <v/>
      </c>
    </row>
    <row r="16">
      <c r="A16" s="11" t="n">
        <v>44638</v>
      </c>
      <c r="B16" s="11" t="n">
        <v>44638</v>
      </c>
      <c r="C16" s="17" t="b">
        <v>1</v>
      </c>
      <c r="D16" s="16">
        <f>INDEX(Market_Daily!$B$6:$B$256,MATCH($B16,Market_Daily!$A$6:$A$256,0))</f>
        <v/>
      </c>
      <c r="E16" s="16">
        <f>INDEX(Market_Daily!$C$6:$C$256,MATCH($B16,Market_Daily!$A$6:$A$256,0))</f>
        <v/>
      </c>
      <c r="F16" s="16">
        <f>INDEX(Market_Daily!$D$6:$D$256,MATCH($B16,Market_Daily!$A$6:$A$256,0))</f>
        <v/>
      </c>
      <c r="G16" s="16">
        <f>INDEX(Market_Daily!$F$6:$F$256,MATCH($B16,Market_Daily!$A$6:$A$256,0))</f>
        <v/>
      </c>
      <c r="H16" s="8">
        <f>INDEX(Market_Daily!$G$6:$G$256,MATCH($B16,Market_Daily!$A$6:$A$256,0))</f>
        <v/>
      </c>
      <c r="I16" s="15">
        <f>INDEX(Market_Daily!$I$6:$I$256,MATCH($B16,Market_Daily!$A$6:$A$256,0))</f>
        <v/>
      </c>
      <c r="J16" s="15">
        <f>INDEX(Market_Daily!$J$6:$J$256,MATCH($B16,Market_Daily!$A$6:$A$256,0))</f>
        <v/>
      </c>
      <c r="K16" s="16">
        <f>INDEX(Market_Daily!$L$6:$L$256,MATCH($B16,Market_Daily!$A$6:$A$256,0))</f>
        <v/>
      </c>
      <c r="L16" s="16">
        <f>INDEX(Market_Daily!$M$6:$M$256,MATCH($B16,Market_Daily!$A$6:$A$256,0))</f>
        <v/>
      </c>
      <c r="M16" s="16">
        <f>INDEX(Market_Daily!$N$6:$N$256,MATCH($B16,Market_Daily!$A$6:$A$256,0))</f>
        <v/>
      </c>
      <c r="N16" s="16">
        <f>INDEX(Market_Daily!$O$6:$O$256,MATCH($B16,Market_Daily!$A$6:$A$256,0))</f>
        <v/>
      </c>
      <c r="O16" s="16">
        <f>INDEX(Market_Daily!$P$6:$P$256,MATCH($B16,Market_Daily!$A$6:$A$256,0))</f>
        <v/>
      </c>
      <c r="P16" s="15">
        <f>INDEX(Market_Daily!$U$6:$U$256,MATCH($B16,Market_Daily!$A$6:$A$256,0))</f>
        <v/>
      </c>
      <c r="Q16" s="8">
        <f>INDEX(Market_Daily!$V$6:$V$256,MATCH($B16,Market_Daily!$A$6:$A$256,0))</f>
        <v/>
      </c>
      <c r="R16" s="8">
        <f>INDEX(Market_Daily!$X$6:$X$256,MATCH($B16,Market_Daily!$A$6:$A$256,0))</f>
        <v/>
      </c>
      <c r="S16" s="8">
        <f>INDEX(Market_Daily!$Y$6:$Y$256,MATCH($B16,Market_Daily!$A$6:$A$256,0))</f>
        <v/>
      </c>
      <c r="T16" s="8">
        <f>INDEX(Market_Daily!$Z$6:$Z$256,MATCH($B16,Market_Daily!$A$6:$A$256,0))</f>
        <v/>
      </c>
      <c r="U16" s="8">
        <f>INDEX(Market_Daily!$AA$6:$AA$256,MATCH($B16,Market_Daily!$A$6:$A$256,0))</f>
        <v/>
      </c>
      <c r="V16" s="8">
        <f>INDEX(Market_Daily!$W$6:$W$256,MATCH($B16,Market_Daily!$A$6:$A$256,0))</f>
        <v/>
      </c>
    </row>
    <row r="17">
      <c r="A17" s="11" t="n">
        <v>44645</v>
      </c>
      <c r="B17" s="11" t="n">
        <v>44645</v>
      </c>
      <c r="C17" s="17" t="b">
        <v>1</v>
      </c>
      <c r="D17" s="16">
        <f>INDEX(Market_Daily!$B$6:$B$256,MATCH($B17,Market_Daily!$A$6:$A$256,0))</f>
        <v/>
      </c>
      <c r="E17" s="16">
        <f>INDEX(Market_Daily!$C$6:$C$256,MATCH($B17,Market_Daily!$A$6:$A$256,0))</f>
        <v/>
      </c>
      <c r="F17" s="16">
        <f>INDEX(Market_Daily!$D$6:$D$256,MATCH($B17,Market_Daily!$A$6:$A$256,0))</f>
        <v/>
      </c>
      <c r="G17" s="16">
        <f>INDEX(Market_Daily!$F$6:$F$256,MATCH($B17,Market_Daily!$A$6:$A$256,0))</f>
        <v/>
      </c>
      <c r="H17" s="8">
        <f>INDEX(Market_Daily!$G$6:$G$256,MATCH($B17,Market_Daily!$A$6:$A$256,0))</f>
        <v/>
      </c>
      <c r="I17" s="15">
        <f>INDEX(Market_Daily!$I$6:$I$256,MATCH($B17,Market_Daily!$A$6:$A$256,0))</f>
        <v/>
      </c>
      <c r="J17" s="15">
        <f>INDEX(Market_Daily!$J$6:$J$256,MATCH($B17,Market_Daily!$A$6:$A$256,0))</f>
        <v/>
      </c>
      <c r="K17" s="16">
        <f>INDEX(Market_Daily!$L$6:$L$256,MATCH($B17,Market_Daily!$A$6:$A$256,0))</f>
        <v/>
      </c>
      <c r="L17" s="16">
        <f>INDEX(Market_Daily!$M$6:$M$256,MATCH($B17,Market_Daily!$A$6:$A$256,0))</f>
        <v/>
      </c>
      <c r="M17" s="16">
        <f>INDEX(Market_Daily!$N$6:$N$256,MATCH($B17,Market_Daily!$A$6:$A$256,0))</f>
        <v/>
      </c>
      <c r="N17" s="16">
        <f>INDEX(Market_Daily!$O$6:$O$256,MATCH($B17,Market_Daily!$A$6:$A$256,0))</f>
        <v/>
      </c>
      <c r="O17" s="16">
        <f>INDEX(Market_Daily!$P$6:$P$256,MATCH($B17,Market_Daily!$A$6:$A$256,0))</f>
        <v/>
      </c>
      <c r="P17" s="15">
        <f>INDEX(Market_Daily!$U$6:$U$256,MATCH($B17,Market_Daily!$A$6:$A$256,0))</f>
        <v/>
      </c>
      <c r="Q17" s="8">
        <f>INDEX(Market_Daily!$V$6:$V$256,MATCH($B17,Market_Daily!$A$6:$A$256,0))</f>
        <v/>
      </c>
      <c r="R17" s="8">
        <f>INDEX(Market_Daily!$X$6:$X$256,MATCH($B17,Market_Daily!$A$6:$A$256,0))</f>
        <v/>
      </c>
      <c r="S17" s="8">
        <f>INDEX(Market_Daily!$Y$6:$Y$256,MATCH($B17,Market_Daily!$A$6:$A$256,0))</f>
        <v/>
      </c>
      <c r="T17" s="8">
        <f>INDEX(Market_Daily!$Z$6:$Z$256,MATCH($B17,Market_Daily!$A$6:$A$256,0))</f>
        <v/>
      </c>
      <c r="U17" s="8">
        <f>INDEX(Market_Daily!$AA$6:$AA$256,MATCH($B17,Market_Daily!$A$6:$A$256,0))</f>
        <v/>
      </c>
      <c r="V17" s="8">
        <f>INDEX(Market_Daily!$W$6:$W$256,MATCH($B17,Market_Daily!$A$6:$A$256,0))</f>
        <v/>
      </c>
    </row>
    <row r="18">
      <c r="A18" s="11" t="n">
        <v>44652</v>
      </c>
      <c r="B18" s="11" t="n">
        <v>44652</v>
      </c>
      <c r="C18" s="17" t="b">
        <v>1</v>
      </c>
      <c r="D18" s="16">
        <f>INDEX(Market_Daily!$B$6:$B$256,MATCH($B18,Market_Daily!$A$6:$A$256,0))</f>
        <v/>
      </c>
      <c r="E18" s="16">
        <f>INDEX(Market_Daily!$C$6:$C$256,MATCH($B18,Market_Daily!$A$6:$A$256,0))</f>
        <v/>
      </c>
      <c r="F18" s="16">
        <f>INDEX(Market_Daily!$D$6:$D$256,MATCH($B18,Market_Daily!$A$6:$A$256,0))</f>
        <v/>
      </c>
      <c r="G18" s="16">
        <f>INDEX(Market_Daily!$F$6:$F$256,MATCH($B18,Market_Daily!$A$6:$A$256,0))</f>
        <v/>
      </c>
      <c r="H18" s="8">
        <f>INDEX(Market_Daily!$G$6:$G$256,MATCH($B18,Market_Daily!$A$6:$A$256,0))</f>
        <v/>
      </c>
      <c r="I18" s="15">
        <f>INDEX(Market_Daily!$I$6:$I$256,MATCH($B18,Market_Daily!$A$6:$A$256,0))</f>
        <v/>
      </c>
      <c r="J18" s="15">
        <f>INDEX(Market_Daily!$J$6:$J$256,MATCH($B18,Market_Daily!$A$6:$A$256,0))</f>
        <v/>
      </c>
      <c r="K18" s="16">
        <f>INDEX(Market_Daily!$L$6:$L$256,MATCH($B18,Market_Daily!$A$6:$A$256,0))</f>
        <v/>
      </c>
      <c r="L18" s="16">
        <f>INDEX(Market_Daily!$M$6:$M$256,MATCH($B18,Market_Daily!$A$6:$A$256,0))</f>
        <v/>
      </c>
      <c r="M18" s="16">
        <f>INDEX(Market_Daily!$N$6:$N$256,MATCH($B18,Market_Daily!$A$6:$A$256,0))</f>
        <v/>
      </c>
      <c r="N18" s="16">
        <f>INDEX(Market_Daily!$O$6:$O$256,MATCH($B18,Market_Daily!$A$6:$A$256,0))</f>
        <v/>
      </c>
      <c r="O18" s="16">
        <f>INDEX(Market_Daily!$P$6:$P$256,MATCH($B18,Market_Daily!$A$6:$A$256,0))</f>
        <v/>
      </c>
      <c r="P18" s="15">
        <f>INDEX(Market_Daily!$U$6:$U$256,MATCH($B18,Market_Daily!$A$6:$A$256,0))</f>
        <v/>
      </c>
      <c r="Q18" s="8">
        <f>INDEX(Market_Daily!$V$6:$V$256,MATCH($B18,Market_Daily!$A$6:$A$256,0))</f>
        <v/>
      </c>
      <c r="R18" s="8">
        <f>INDEX(Market_Daily!$X$6:$X$256,MATCH($B18,Market_Daily!$A$6:$A$256,0))</f>
        <v/>
      </c>
      <c r="S18" s="8">
        <f>INDEX(Market_Daily!$Y$6:$Y$256,MATCH($B18,Market_Daily!$A$6:$A$256,0))</f>
        <v/>
      </c>
      <c r="T18" s="8">
        <f>INDEX(Market_Daily!$Z$6:$Z$256,MATCH($B18,Market_Daily!$A$6:$A$256,0))</f>
        <v/>
      </c>
      <c r="U18" s="8">
        <f>INDEX(Market_Daily!$AA$6:$AA$256,MATCH($B18,Market_Daily!$A$6:$A$256,0))</f>
        <v/>
      </c>
      <c r="V18" s="8">
        <f>INDEX(Market_Daily!$W$6:$W$256,MATCH($B18,Market_Daily!$A$6:$A$256,0))</f>
        <v/>
      </c>
    </row>
    <row r="19">
      <c r="A19" s="11" t="n">
        <v>44659</v>
      </c>
      <c r="B19" s="11" t="n">
        <v>44659</v>
      </c>
      <c r="C19" s="17" t="b">
        <v>1</v>
      </c>
      <c r="D19" s="16">
        <f>INDEX(Market_Daily!$B$6:$B$256,MATCH($B19,Market_Daily!$A$6:$A$256,0))</f>
        <v/>
      </c>
      <c r="E19" s="16">
        <f>INDEX(Market_Daily!$C$6:$C$256,MATCH($B19,Market_Daily!$A$6:$A$256,0))</f>
        <v/>
      </c>
      <c r="F19" s="16">
        <f>INDEX(Market_Daily!$D$6:$D$256,MATCH($B19,Market_Daily!$A$6:$A$256,0))</f>
        <v/>
      </c>
      <c r="G19" s="16">
        <f>INDEX(Market_Daily!$F$6:$F$256,MATCH($B19,Market_Daily!$A$6:$A$256,0))</f>
        <v/>
      </c>
      <c r="H19" s="8">
        <f>INDEX(Market_Daily!$G$6:$G$256,MATCH($B19,Market_Daily!$A$6:$A$256,0))</f>
        <v/>
      </c>
      <c r="I19" s="15">
        <f>INDEX(Market_Daily!$I$6:$I$256,MATCH($B19,Market_Daily!$A$6:$A$256,0))</f>
        <v/>
      </c>
      <c r="J19" s="15">
        <f>INDEX(Market_Daily!$J$6:$J$256,MATCH($B19,Market_Daily!$A$6:$A$256,0))</f>
        <v/>
      </c>
      <c r="K19" s="16">
        <f>INDEX(Market_Daily!$L$6:$L$256,MATCH($B19,Market_Daily!$A$6:$A$256,0))</f>
        <v/>
      </c>
      <c r="L19" s="16">
        <f>INDEX(Market_Daily!$M$6:$M$256,MATCH($B19,Market_Daily!$A$6:$A$256,0))</f>
        <v/>
      </c>
      <c r="M19" s="16">
        <f>INDEX(Market_Daily!$N$6:$N$256,MATCH($B19,Market_Daily!$A$6:$A$256,0))</f>
        <v/>
      </c>
      <c r="N19" s="16">
        <f>INDEX(Market_Daily!$O$6:$O$256,MATCH($B19,Market_Daily!$A$6:$A$256,0))</f>
        <v/>
      </c>
      <c r="O19" s="16">
        <f>INDEX(Market_Daily!$P$6:$P$256,MATCH($B19,Market_Daily!$A$6:$A$256,0))</f>
        <v/>
      </c>
      <c r="P19" s="15">
        <f>INDEX(Market_Daily!$U$6:$U$256,MATCH($B19,Market_Daily!$A$6:$A$256,0))</f>
        <v/>
      </c>
      <c r="Q19" s="8">
        <f>INDEX(Market_Daily!$V$6:$V$256,MATCH($B19,Market_Daily!$A$6:$A$256,0))</f>
        <v/>
      </c>
      <c r="R19" s="8">
        <f>INDEX(Market_Daily!$X$6:$X$256,MATCH($B19,Market_Daily!$A$6:$A$256,0))</f>
        <v/>
      </c>
      <c r="S19" s="8">
        <f>INDEX(Market_Daily!$Y$6:$Y$256,MATCH($B19,Market_Daily!$A$6:$A$256,0))</f>
        <v/>
      </c>
      <c r="T19" s="8">
        <f>INDEX(Market_Daily!$Z$6:$Z$256,MATCH($B19,Market_Daily!$A$6:$A$256,0))</f>
        <v/>
      </c>
      <c r="U19" s="8">
        <f>INDEX(Market_Daily!$AA$6:$AA$256,MATCH($B19,Market_Daily!$A$6:$A$256,0))</f>
        <v/>
      </c>
      <c r="V19" s="8">
        <f>INDEX(Market_Daily!$W$6:$W$256,MATCH($B19,Market_Daily!$A$6:$A$256,0))</f>
        <v/>
      </c>
    </row>
    <row r="20">
      <c r="A20" s="11" t="n">
        <v>44666</v>
      </c>
      <c r="B20" s="11" t="n">
        <v>44665</v>
      </c>
      <c r="C20" s="17" t="b">
        <v>1</v>
      </c>
      <c r="D20" s="16">
        <f>INDEX(Market_Daily!$B$6:$B$256,MATCH($B20,Market_Daily!$A$6:$A$256,0))</f>
        <v/>
      </c>
      <c r="E20" s="16">
        <f>INDEX(Market_Daily!$C$6:$C$256,MATCH($B20,Market_Daily!$A$6:$A$256,0))</f>
        <v/>
      </c>
      <c r="F20" s="16">
        <f>INDEX(Market_Daily!$D$6:$D$256,MATCH($B20,Market_Daily!$A$6:$A$256,0))</f>
        <v/>
      </c>
      <c r="G20" s="16">
        <f>INDEX(Market_Daily!$F$6:$F$256,MATCH($B20,Market_Daily!$A$6:$A$256,0))</f>
        <v/>
      </c>
      <c r="H20" s="8">
        <f>INDEX(Market_Daily!$G$6:$G$256,MATCH($B20,Market_Daily!$A$6:$A$256,0))</f>
        <v/>
      </c>
      <c r="I20" s="15">
        <f>INDEX(Market_Daily!$I$6:$I$256,MATCH($B20,Market_Daily!$A$6:$A$256,0))</f>
        <v/>
      </c>
      <c r="J20" s="15">
        <f>INDEX(Market_Daily!$J$6:$J$256,MATCH($B20,Market_Daily!$A$6:$A$256,0))</f>
        <v/>
      </c>
      <c r="K20" s="16">
        <f>INDEX(Market_Daily!$L$6:$L$256,MATCH($B20,Market_Daily!$A$6:$A$256,0))</f>
        <v/>
      </c>
      <c r="L20" s="16">
        <f>INDEX(Market_Daily!$M$6:$M$256,MATCH($B20,Market_Daily!$A$6:$A$256,0))</f>
        <v/>
      </c>
      <c r="M20" s="16">
        <f>INDEX(Market_Daily!$N$6:$N$256,MATCH($B20,Market_Daily!$A$6:$A$256,0))</f>
        <v/>
      </c>
      <c r="N20" s="16">
        <f>INDEX(Market_Daily!$O$6:$O$256,MATCH($B20,Market_Daily!$A$6:$A$256,0))</f>
        <v/>
      </c>
      <c r="O20" s="16">
        <f>INDEX(Market_Daily!$P$6:$P$256,MATCH($B20,Market_Daily!$A$6:$A$256,0))</f>
        <v/>
      </c>
      <c r="P20" s="15">
        <f>INDEX(Market_Daily!$U$6:$U$256,MATCH($B20,Market_Daily!$A$6:$A$256,0))</f>
        <v/>
      </c>
      <c r="Q20" s="8">
        <f>INDEX(Market_Daily!$V$6:$V$256,MATCH($B20,Market_Daily!$A$6:$A$256,0))</f>
        <v/>
      </c>
      <c r="R20" s="8">
        <f>INDEX(Market_Daily!$X$6:$X$256,MATCH($B20,Market_Daily!$A$6:$A$256,0))</f>
        <v/>
      </c>
      <c r="S20" s="8">
        <f>INDEX(Market_Daily!$Y$6:$Y$256,MATCH($B20,Market_Daily!$A$6:$A$256,0))</f>
        <v/>
      </c>
      <c r="T20" s="8">
        <f>INDEX(Market_Daily!$Z$6:$Z$256,MATCH($B20,Market_Daily!$A$6:$A$256,0))</f>
        <v/>
      </c>
      <c r="U20" s="8">
        <f>INDEX(Market_Daily!$AA$6:$AA$256,MATCH($B20,Market_Daily!$A$6:$A$256,0))</f>
        <v/>
      </c>
      <c r="V20" s="8">
        <f>INDEX(Market_Daily!$W$6:$W$256,MATCH($B20,Market_Daily!$A$6:$A$256,0))</f>
        <v/>
      </c>
    </row>
    <row r="21">
      <c r="A21" s="11" t="n">
        <v>44673</v>
      </c>
      <c r="B21" s="11" t="n">
        <v>44673</v>
      </c>
      <c r="C21" s="17" t="b">
        <v>1</v>
      </c>
      <c r="D21" s="16">
        <f>INDEX(Market_Daily!$B$6:$B$256,MATCH($B21,Market_Daily!$A$6:$A$256,0))</f>
        <v/>
      </c>
      <c r="E21" s="16">
        <f>INDEX(Market_Daily!$C$6:$C$256,MATCH($B21,Market_Daily!$A$6:$A$256,0))</f>
        <v/>
      </c>
      <c r="F21" s="16">
        <f>INDEX(Market_Daily!$D$6:$D$256,MATCH($B21,Market_Daily!$A$6:$A$256,0))</f>
        <v/>
      </c>
      <c r="G21" s="16">
        <f>INDEX(Market_Daily!$F$6:$F$256,MATCH($B21,Market_Daily!$A$6:$A$256,0))</f>
        <v/>
      </c>
      <c r="H21" s="8">
        <f>INDEX(Market_Daily!$G$6:$G$256,MATCH($B21,Market_Daily!$A$6:$A$256,0))</f>
        <v/>
      </c>
      <c r="I21" s="15">
        <f>INDEX(Market_Daily!$I$6:$I$256,MATCH($B21,Market_Daily!$A$6:$A$256,0))</f>
        <v/>
      </c>
      <c r="J21" s="15">
        <f>INDEX(Market_Daily!$J$6:$J$256,MATCH($B21,Market_Daily!$A$6:$A$256,0))</f>
        <v/>
      </c>
      <c r="K21" s="16">
        <f>INDEX(Market_Daily!$L$6:$L$256,MATCH($B21,Market_Daily!$A$6:$A$256,0))</f>
        <v/>
      </c>
      <c r="L21" s="16">
        <f>INDEX(Market_Daily!$M$6:$M$256,MATCH($B21,Market_Daily!$A$6:$A$256,0))</f>
        <v/>
      </c>
      <c r="M21" s="16">
        <f>INDEX(Market_Daily!$N$6:$N$256,MATCH($B21,Market_Daily!$A$6:$A$256,0))</f>
        <v/>
      </c>
      <c r="N21" s="16">
        <f>INDEX(Market_Daily!$O$6:$O$256,MATCH($B21,Market_Daily!$A$6:$A$256,0))</f>
        <v/>
      </c>
      <c r="O21" s="16">
        <f>INDEX(Market_Daily!$P$6:$P$256,MATCH($B21,Market_Daily!$A$6:$A$256,0))</f>
        <v/>
      </c>
      <c r="P21" s="15">
        <f>INDEX(Market_Daily!$U$6:$U$256,MATCH($B21,Market_Daily!$A$6:$A$256,0))</f>
        <v/>
      </c>
      <c r="Q21" s="8">
        <f>INDEX(Market_Daily!$V$6:$V$256,MATCH($B21,Market_Daily!$A$6:$A$256,0))</f>
        <v/>
      </c>
      <c r="R21" s="8">
        <f>INDEX(Market_Daily!$X$6:$X$256,MATCH($B21,Market_Daily!$A$6:$A$256,0))</f>
        <v/>
      </c>
      <c r="S21" s="8">
        <f>INDEX(Market_Daily!$Y$6:$Y$256,MATCH($B21,Market_Daily!$A$6:$A$256,0))</f>
        <v/>
      </c>
      <c r="T21" s="8">
        <f>INDEX(Market_Daily!$Z$6:$Z$256,MATCH($B21,Market_Daily!$A$6:$A$256,0))</f>
        <v/>
      </c>
      <c r="U21" s="8">
        <f>INDEX(Market_Daily!$AA$6:$AA$256,MATCH($B21,Market_Daily!$A$6:$A$256,0))</f>
        <v/>
      </c>
      <c r="V21" s="8">
        <f>INDEX(Market_Daily!$W$6:$W$256,MATCH($B21,Market_Daily!$A$6:$A$256,0))</f>
        <v/>
      </c>
    </row>
    <row r="22">
      <c r="A22" s="11" t="n">
        <v>44680</v>
      </c>
      <c r="B22" s="11" t="n">
        <v>44680</v>
      </c>
      <c r="C22" s="17" t="b">
        <v>1</v>
      </c>
      <c r="D22" s="16">
        <f>INDEX(Market_Daily!$B$6:$B$256,MATCH($B22,Market_Daily!$A$6:$A$256,0))</f>
        <v/>
      </c>
      <c r="E22" s="16">
        <f>INDEX(Market_Daily!$C$6:$C$256,MATCH($B22,Market_Daily!$A$6:$A$256,0))</f>
        <v/>
      </c>
      <c r="F22" s="16">
        <f>INDEX(Market_Daily!$D$6:$D$256,MATCH($B22,Market_Daily!$A$6:$A$256,0))</f>
        <v/>
      </c>
      <c r="G22" s="16">
        <f>INDEX(Market_Daily!$F$6:$F$256,MATCH($B22,Market_Daily!$A$6:$A$256,0))</f>
        <v/>
      </c>
      <c r="H22" s="8">
        <f>INDEX(Market_Daily!$G$6:$G$256,MATCH($B22,Market_Daily!$A$6:$A$256,0))</f>
        <v/>
      </c>
      <c r="I22" s="15">
        <f>INDEX(Market_Daily!$I$6:$I$256,MATCH($B22,Market_Daily!$A$6:$A$256,0))</f>
        <v/>
      </c>
      <c r="J22" s="15">
        <f>INDEX(Market_Daily!$J$6:$J$256,MATCH($B22,Market_Daily!$A$6:$A$256,0))</f>
        <v/>
      </c>
      <c r="K22" s="16">
        <f>INDEX(Market_Daily!$L$6:$L$256,MATCH($B22,Market_Daily!$A$6:$A$256,0))</f>
        <v/>
      </c>
      <c r="L22" s="16">
        <f>INDEX(Market_Daily!$M$6:$M$256,MATCH($B22,Market_Daily!$A$6:$A$256,0))</f>
        <v/>
      </c>
      <c r="M22" s="16">
        <f>INDEX(Market_Daily!$N$6:$N$256,MATCH($B22,Market_Daily!$A$6:$A$256,0))</f>
        <v/>
      </c>
      <c r="N22" s="16">
        <f>INDEX(Market_Daily!$O$6:$O$256,MATCH($B22,Market_Daily!$A$6:$A$256,0))</f>
        <v/>
      </c>
      <c r="O22" s="16">
        <f>INDEX(Market_Daily!$P$6:$P$256,MATCH($B22,Market_Daily!$A$6:$A$256,0))</f>
        <v/>
      </c>
      <c r="P22" s="15">
        <f>INDEX(Market_Daily!$U$6:$U$256,MATCH($B22,Market_Daily!$A$6:$A$256,0))</f>
        <v/>
      </c>
      <c r="Q22" s="8">
        <f>INDEX(Market_Daily!$V$6:$V$256,MATCH($B22,Market_Daily!$A$6:$A$256,0))</f>
        <v/>
      </c>
      <c r="R22" s="8">
        <f>INDEX(Market_Daily!$X$6:$X$256,MATCH($B22,Market_Daily!$A$6:$A$256,0))</f>
        <v/>
      </c>
      <c r="S22" s="8">
        <f>INDEX(Market_Daily!$Y$6:$Y$256,MATCH($B22,Market_Daily!$A$6:$A$256,0))</f>
        <v/>
      </c>
      <c r="T22" s="8">
        <f>INDEX(Market_Daily!$Z$6:$Z$256,MATCH($B22,Market_Daily!$A$6:$A$256,0))</f>
        <v/>
      </c>
      <c r="U22" s="8">
        <f>INDEX(Market_Daily!$AA$6:$AA$256,MATCH($B22,Market_Daily!$A$6:$A$256,0))</f>
        <v/>
      </c>
      <c r="V22" s="8">
        <f>INDEX(Market_Daily!$W$6:$W$256,MATCH($B22,Market_Daily!$A$6:$A$256,0))</f>
        <v/>
      </c>
    </row>
    <row r="23">
      <c r="A23" s="11" t="n">
        <v>44687</v>
      </c>
      <c r="B23" s="11" t="n">
        <v>44687</v>
      </c>
      <c r="C23" s="17" t="b">
        <v>1</v>
      </c>
      <c r="D23" s="16">
        <f>INDEX(Market_Daily!$B$6:$B$256,MATCH($B23,Market_Daily!$A$6:$A$256,0))</f>
        <v/>
      </c>
      <c r="E23" s="16">
        <f>INDEX(Market_Daily!$C$6:$C$256,MATCH($B23,Market_Daily!$A$6:$A$256,0))</f>
        <v/>
      </c>
      <c r="F23" s="16">
        <f>INDEX(Market_Daily!$D$6:$D$256,MATCH($B23,Market_Daily!$A$6:$A$256,0))</f>
        <v/>
      </c>
      <c r="G23" s="16">
        <f>INDEX(Market_Daily!$F$6:$F$256,MATCH($B23,Market_Daily!$A$6:$A$256,0))</f>
        <v/>
      </c>
      <c r="H23" s="8">
        <f>INDEX(Market_Daily!$G$6:$G$256,MATCH($B23,Market_Daily!$A$6:$A$256,0))</f>
        <v/>
      </c>
      <c r="I23" s="15">
        <f>INDEX(Market_Daily!$I$6:$I$256,MATCH($B23,Market_Daily!$A$6:$A$256,0))</f>
        <v/>
      </c>
      <c r="J23" s="15">
        <f>INDEX(Market_Daily!$J$6:$J$256,MATCH($B23,Market_Daily!$A$6:$A$256,0))</f>
        <v/>
      </c>
      <c r="K23" s="16">
        <f>INDEX(Market_Daily!$L$6:$L$256,MATCH($B23,Market_Daily!$A$6:$A$256,0))</f>
        <v/>
      </c>
      <c r="L23" s="16">
        <f>INDEX(Market_Daily!$M$6:$M$256,MATCH($B23,Market_Daily!$A$6:$A$256,0))</f>
        <v/>
      </c>
      <c r="M23" s="16">
        <f>INDEX(Market_Daily!$N$6:$N$256,MATCH($B23,Market_Daily!$A$6:$A$256,0))</f>
        <v/>
      </c>
      <c r="N23" s="16">
        <f>INDEX(Market_Daily!$O$6:$O$256,MATCH($B23,Market_Daily!$A$6:$A$256,0))</f>
        <v/>
      </c>
      <c r="O23" s="16">
        <f>INDEX(Market_Daily!$P$6:$P$256,MATCH($B23,Market_Daily!$A$6:$A$256,0))</f>
        <v/>
      </c>
      <c r="P23" s="15">
        <f>INDEX(Market_Daily!$U$6:$U$256,MATCH($B23,Market_Daily!$A$6:$A$256,0))</f>
        <v/>
      </c>
      <c r="Q23" s="8">
        <f>INDEX(Market_Daily!$V$6:$V$256,MATCH($B23,Market_Daily!$A$6:$A$256,0))</f>
        <v/>
      </c>
      <c r="R23" s="8">
        <f>INDEX(Market_Daily!$X$6:$X$256,MATCH($B23,Market_Daily!$A$6:$A$256,0))</f>
        <v/>
      </c>
      <c r="S23" s="8">
        <f>INDEX(Market_Daily!$Y$6:$Y$256,MATCH($B23,Market_Daily!$A$6:$A$256,0))</f>
        <v/>
      </c>
      <c r="T23" s="8">
        <f>INDEX(Market_Daily!$Z$6:$Z$256,MATCH($B23,Market_Daily!$A$6:$A$256,0))</f>
        <v/>
      </c>
      <c r="U23" s="8">
        <f>INDEX(Market_Daily!$AA$6:$AA$256,MATCH($B23,Market_Daily!$A$6:$A$256,0))</f>
        <v/>
      </c>
      <c r="V23" s="8">
        <f>INDEX(Market_Daily!$W$6:$W$256,MATCH($B23,Market_Daily!$A$6:$A$256,0))</f>
        <v/>
      </c>
    </row>
    <row r="24">
      <c r="A24" s="11" t="n">
        <v>44694</v>
      </c>
      <c r="B24" s="11" t="n">
        <v>44694</v>
      </c>
      <c r="C24" s="17" t="b">
        <v>1</v>
      </c>
      <c r="D24" s="16">
        <f>INDEX(Market_Daily!$B$6:$B$256,MATCH($B24,Market_Daily!$A$6:$A$256,0))</f>
        <v/>
      </c>
      <c r="E24" s="16">
        <f>INDEX(Market_Daily!$C$6:$C$256,MATCH($B24,Market_Daily!$A$6:$A$256,0))</f>
        <v/>
      </c>
      <c r="F24" s="16">
        <f>INDEX(Market_Daily!$D$6:$D$256,MATCH($B24,Market_Daily!$A$6:$A$256,0))</f>
        <v/>
      </c>
      <c r="G24" s="16">
        <f>INDEX(Market_Daily!$F$6:$F$256,MATCH($B24,Market_Daily!$A$6:$A$256,0))</f>
        <v/>
      </c>
      <c r="H24" s="8">
        <f>INDEX(Market_Daily!$G$6:$G$256,MATCH($B24,Market_Daily!$A$6:$A$256,0))</f>
        <v/>
      </c>
      <c r="I24" s="15">
        <f>INDEX(Market_Daily!$I$6:$I$256,MATCH($B24,Market_Daily!$A$6:$A$256,0))</f>
        <v/>
      </c>
      <c r="J24" s="15">
        <f>INDEX(Market_Daily!$J$6:$J$256,MATCH($B24,Market_Daily!$A$6:$A$256,0))</f>
        <v/>
      </c>
      <c r="K24" s="16">
        <f>INDEX(Market_Daily!$L$6:$L$256,MATCH($B24,Market_Daily!$A$6:$A$256,0))</f>
        <v/>
      </c>
      <c r="L24" s="16">
        <f>INDEX(Market_Daily!$M$6:$M$256,MATCH($B24,Market_Daily!$A$6:$A$256,0))</f>
        <v/>
      </c>
      <c r="M24" s="16">
        <f>INDEX(Market_Daily!$N$6:$N$256,MATCH($B24,Market_Daily!$A$6:$A$256,0))</f>
        <v/>
      </c>
      <c r="N24" s="16">
        <f>INDEX(Market_Daily!$O$6:$O$256,MATCH($B24,Market_Daily!$A$6:$A$256,0))</f>
        <v/>
      </c>
      <c r="O24" s="16">
        <f>INDEX(Market_Daily!$P$6:$P$256,MATCH($B24,Market_Daily!$A$6:$A$256,0))</f>
        <v/>
      </c>
      <c r="P24" s="15">
        <f>INDEX(Market_Daily!$U$6:$U$256,MATCH($B24,Market_Daily!$A$6:$A$256,0))</f>
        <v/>
      </c>
      <c r="Q24" s="8">
        <f>INDEX(Market_Daily!$V$6:$V$256,MATCH($B24,Market_Daily!$A$6:$A$256,0))</f>
        <v/>
      </c>
      <c r="R24" s="8">
        <f>INDEX(Market_Daily!$X$6:$X$256,MATCH($B24,Market_Daily!$A$6:$A$256,0))</f>
        <v/>
      </c>
      <c r="S24" s="8">
        <f>INDEX(Market_Daily!$Y$6:$Y$256,MATCH($B24,Market_Daily!$A$6:$A$256,0))</f>
        <v/>
      </c>
      <c r="T24" s="8">
        <f>INDEX(Market_Daily!$Z$6:$Z$256,MATCH($B24,Market_Daily!$A$6:$A$256,0))</f>
        <v/>
      </c>
      <c r="U24" s="8">
        <f>INDEX(Market_Daily!$AA$6:$AA$256,MATCH($B24,Market_Daily!$A$6:$A$256,0))</f>
        <v/>
      </c>
      <c r="V24" s="8">
        <f>INDEX(Market_Daily!$W$6:$W$256,MATCH($B24,Market_Daily!$A$6:$A$256,0))</f>
        <v/>
      </c>
    </row>
    <row r="25">
      <c r="A25" s="11" t="n">
        <v>44701</v>
      </c>
      <c r="B25" s="11" t="n">
        <v>44701</v>
      </c>
      <c r="C25" s="17" t="b">
        <v>1</v>
      </c>
      <c r="D25" s="16">
        <f>INDEX(Market_Daily!$B$6:$B$256,MATCH($B25,Market_Daily!$A$6:$A$256,0))</f>
        <v/>
      </c>
      <c r="E25" s="16">
        <f>INDEX(Market_Daily!$C$6:$C$256,MATCH($B25,Market_Daily!$A$6:$A$256,0))</f>
        <v/>
      </c>
      <c r="F25" s="16">
        <f>INDEX(Market_Daily!$D$6:$D$256,MATCH($B25,Market_Daily!$A$6:$A$256,0))</f>
        <v/>
      </c>
      <c r="G25" s="16">
        <f>INDEX(Market_Daily!$F$6:$F$256,MATCH($B25,Market_Daily!$A$6:$A$256,0))</f>
        <v/>
      </c>
      <c r="H25" s="8">
        <f>INDEX(Market_Daily!$G$6:$G$256,MATCH($B25,Market_Daily!$A$6:$A$256,0))</f>
        <v/>
      </c>
      <c r="I25" s="15">
        <f>INDEX(Market_Daily!$I$6:$I$256,MATCH($B25,Market_Daily!$A$6:$A$256,0))</f>
        <v/>
      </c>
      <c r="J25" s="15">
        <f>INDEX(Market_Daily!$J$6:$J$256,MATCH($B25,Market_Daily!$A$6:$A$256,0))</f>
        <v/>
      </c>
      <c r="K25" s="16">
        <f>INDEX(Market_Daily!$L$6:$L$256,MATCH($B25,Market_Daily!$A$6:$A$256,0))</f>
        <v/>
      </c>
      <c r="L25" s="16">
        <f>INDEX(Market_Daily!$M$6:$M$256,MATCH($B25,Market_Daily!$A$6:$A$256,0))</f>
        <v/>
      </c>
      <c r="M25" s="16">
        <f>INDEX(Market_Daily!$N$6:$N$256,MATCH($B25,Market_Daily!$A$6:$A$256,0))</f>
        <v/>
      </c>
      <c r="N25" s="16">
        <f>INDEX(Market_Daily!$O$6:$O$256,MATCH($B25,Market_Daily!$A$6:$A$256,0))</f>
        <v/>
      </c>
      <c r="O25" s="16">
        <f>INDEX(Market_Daily!$P$6:$P$256,MATCH($B25,Market_Daily!$A$6:$A$256,0))</f>
        <v/>
      </c>
      <c r="P25" s="15">
        <f>INDEX(Market_Daily!$U$6:$U$256,MATCH($B25,Market_Daily!$A$6:$A$256,0))</f>
        <v/>
      </c>
      <c r="Q25" s="8">
        <f>INDEX(Market_Daily!$V$6:$V$256,MATCH($B25,Market_Daily!$A$6:$A$256,0))</f>
        <v/>
      </c>
      <c r="R25" s="8">
        <f>INDEX(Market_Daily!$X$6:$X$256,MATCH($B25,Market_Daily!$A$6:$A$256,0))</f>
        <v/>
      </c>
      <c r="S25" s="8">
        <f>INDEX(Market_Daily!$Y$6:$Y$256,MATCH($B25,Market_Daily!$A$6:$A$256,0))</f>
        <v/>
      </c>
      <c r="T25" s="8">
        <f>INDEX(Market_Daily!$Z$6:$Z$256,MATCH($B25,Market_Daily!$A$6:$A$256,0))</f>
        <v/>
      </c>
      <c r="U25" s="8">
        <f>INDEX(Market_Daily!$AA$6:$AA$256,MATCH($B25,Market_Daily!$A$6:$A$256,0))</f>
        <v/>
      </c>
      <c r="V25" s="8">
        <f>INDEX(Market_Daily!$W$6:$W$256,MATCH($B25,Market_Daily!$A$6:$A$256,0))</f>
        <v/>
      </c>
    </row>
    <row r="26">
      <c r="A26" s="11" t="n">
        <v>44708</v>
      </c>
      <c r="B26" s="11" t="n">
        <v>44708</v>
      </c>
      <c r="C26" s="17" t="b">
        <v>1</v>
      </c>
      <c r="D26" s="16">
        <f>INDEX(Market_Daily!$B$6:$B$256,MATCH($B26,Market_Daily!$A$6:$A$256,0))</f>
        <v/>
      </c>
      <c r="E26" s="16">
        <f>INDEX(Market_Daily!$C$6:$C$256,MATCH($B26,Market_Daily!$A$6:$A$256,0))</f>
        <v/>
      </c>
      <c r="F26" s="16">
        <f>INDEX(Market_Daily!$D$6:$D$256,MATCH($B26,Market_Daily!$A$6:$A$256,0))</f>
        <v/>
      </c>
      <c r="G26" s="16">
        <f>INDEX(Market_Daily!$F$6:$F$256,MATCH($B26,Market_Daily!$A$6:$A$256,0))</f>
        <v/>
      </c>
      <c r="H26" s="8">
        <f>INDEX(Market_Daily!$G$6:$G$256,MATCH($B26,Market_Daily!$A$6:$A$256,0))</f>
        <v/>
      </c>
      <c r="I26" s="15">
        <f>INDEX(Market_Daily!$I$6:$I$256,MATCH($B26,Market_Daily!$A$6:$A$256,0))</f>
        <v/>
      </c>
      <c r="J26" s="15">
        <f>INDEX(Market_Daily!$J$6:$J$256,MATCH($B26,Market_Daily!$A$6:$A$256,0))</f>
        <v/>
      </c>
      <c r="K26" s="16">
        <f>INDEX(Market_Daily!$L$6:$L$256,MATCH($B26,Market_Daily!$A$6:$A$256,0))</f>
        <v/>
      </c>
      <c r="L26" s="16">
        <f>INDEX(Market_Daily!$M$6:$M$256,MATCH($B26,Market_Daily!$A$6:$A$256,0))</f>
        <v/>
      </c>
      <c r="M26" s="16">
        <f>INDEX(Market_Daily!$N$6:$N$256,MATCH($B26,Market_Daily!$A$6:$A$256,0))</f>
        <v/>
      </c>
      <c r="N26" s="16">
        <f>INDEX(Market_Daily!$O$6:$O$256,MATCH($B26,Market_Daily!$A$6:$A$256,0))</f>
        <v/>
      </c>
      <c r="O26" s="16">
        <f>INDEX(Market_Daily!$P$6:$P$256,MATCH($B26,Market_Daily!$A$6:$A$256,0))</f>
        <v/>
      </c>
      <c r="P26" s="15">
        <f>INDEX(Market_Daily!$U$6:$U$256,MATCH($B26,Market_Daily!$A$6:$A$256,0))</f>
        <v/>
      </c>
      <c r="Q26" s="8">
        <f>INDEX(Market_Daily!$V$6:$V$256,MATCH($B26,Market_Daily!$A$6:$A$256,0))</f>
        <v/>
      </c>
      <c r="R26" s="8">
        <f>INDEX(Market_Daily!$X$6:$X$256,MATCH($B26,Market_Daily!$A$6:$A$256,0))</f>
        <v/>
      </c>
      <c r="S26" s="8">
        <f>INDEX(Market_Daily!$Y$6:$Y$256,MATCH($B26,Market_Daily!$A$6:$A$256,0))</f>
        <v/>
      </c>
      <c r="T26" s="8">
        <f>INDEX(Market_Daily!$Z$6:$Z$256,MATCH($B26,Market_Daily!$A$6:$A$256,0))</f>
        <v/>
      </c>
      <c r="U26" s="8">
        <f>INDEX(Market_Daily!$AA$6:$AA$256,MATCH($B26,Market_Daily!$A$6:$A$256,0))</f>
        <v/>
      </c>
      <c r="V26" s="8">
        <f>INDEX(Market_Daily!$W$6:$W$256,MATCH($B26,Market_Daily!$A$6:$A$256,0))</f>
        <v/>
      </c>
    </row>
    <row r="27">
      <c r="A27" s="11" t="n">
        <v>44715</v>
      </c>
      <c r="B27" s="11" t="n">
        <v>44713</v>
      </c>
      <c r="C27" s="17" t="b">
        <v>1</v>
      </c>
      <c r="D27" s="16">
        <f>INDEX(Market_Daily!$B$6:$B$256,MATCH($B27,Market_Daily!$A$6:$A$256,0))</f>
        <v/>
      </c>
      <c r="E27" s="16">
        <f>INDEX(Market_Daily!$C$6:$C$256,MATCH($B27,Market_Daily!$A$6:$A$256,0))</f>
        <v/>
      </c>
      <c r="F27" s="16">
        <f>INDEX(Market_Daily!$D$6:$D$256,MATCH($B27,Market_Daily!$A$6:$A$256,0))</f>
        <v/>
      </c>
      <c r="G27" s="16">
        <f>INDEX(Market_Daily!$F$6:$F$256,MATCH($B27,Market_Daily!$A$6:$A$256,0))</f>
        <v/>
      </c>
      <c r="H27" s="8">
        <f>INDEX(Market_Daily!$G$6:$G$256,MATCH($B27,Market_Daily!$A$6:$A$256,0))</f>
        <v/>
      </c>
      <c r="I27" s="15">
        <f>INDEX(Market_Daily!$I$6:$I$256,MATCH($B27,Market_Daily!$A$6:$A$256,0))</f>
        <v/>
      </c>
      <c r="J27" s="15">
        <f>INDEX(Market_Daily!$J$6:$J$256,MATCH($B27,Market_Daily!$A$6:$A$256,0))</f>
        <v/>
      </c>
      <c r="K27" s="16">
        <f>INDEX(Market_Daily!$L$6:$L$256,MATCH($B27,Market_Daily!$A$6:$A$256,0))</f>
        <v/>
      </c>
      <c r="L27" s="16">
        <f>INDEX(Market_Daily!$M$6:$M$256,MATCH($B27,Market_Daily!$A$6:$A$256,0))</f>
        <v/>
      </c>
      <c r="M27" s="16">
        <f>INDEX(Market_Daily!$N$6:$N$256,MATCH($B27,Market_Daily!$A$6:$A$256,0))</f>
        <v/>
      </c>
      <c r="N27" s="16">
        <f>INDEX(Market_Daily!$O$6:$O$256,MATCH($B27,Market_Daily!$A$6:$A$256,0))</f>
        <v/>
      </c>
      <c r="O27" s="16">
        <f>INDEX(Market_Daily!$P$6:$P$256,MATCH($B27,Market_Daily!$A$6:$A$256,0))</f>
        <v/>
      </c>
      <c r="P27" s="15">
        <f>INDEX(Market_Daily!$U$6:$U$256,MATCH($B27,Market_Daily!$A$6:$A$256,0))</f>
        <v/>
      </c>
      <c r="Q27" s="8">
        <f>INDEX(Market_Daily!$V$6:$V$256,MATCH($B27,Market_Daily!$A$6:$A$256,0))</f>
        <v/>
      </c>
      <c r="R27" s="8">
        <f>INDEX(Market_Daily!$X$6:$X$256,MATCH($B27,Market_Daily!$A$6:$A$256,0))</f>
        <v/>
      </c>
      <c r="S27" s="8">
        <f>INDEX(Market_Daily!$Y$6:$Y$256,MATCH($B27,Market_Daily!$A$6:$A$256,0))</f>
        <v/>
      </c>
      <c r="T27" s="8">
        <f>INDEX(Market_Daily!$Z$6:$Z$256,MATCH($B27,Market_Daily!$A$6:$A$256,0))</f>
        <v/>
      </c>
      <c r="U27" s="8">
        <f>INDEX(Market_Daily!$AA$6:$AA$256,MATCH($B27,Market_Daily!$A$6:$A$256,0))</f>
        <v/>
      </c>
      <c r="V27" s="8">
        <f>INDEX(Market_Daily!$W$6:$W$256,MATCH($B27,Market_Daily!$A$6:$A$256,0))</f>
        <v/>
      </c>
    </row>
    <row r="28">
      <c r="A28" s="11" t="n">
        <v>44722</v>
      </c>
      <c r="B28" s="11" t="n">
        <v>44722</v>
      </c>
      <c r="C28" s="17" t="b">
        <v>1</v>
      </c>
      <c r="D28" s="16">
        <f>INDEX(Market_Daily!$B$6:$B$256,MATCH($B28,Market_Daily!$A$6:$A$256,0))</f>
        <v/>
      </c>
      <c r="E28" s="16">
        <f>INDEX(Market_Daily!$C$6:$C$256,MATCH($B28,Market_Daily!$A$6:$A$256,0))</f>
        <v/>
      </c>
      <c r="F28" s="16">
        <f>INDEX(Market_Daily!$D$6:$D$256,MATCH($B28,Market_Daily!$A$6:$A$256,0))</f>
        <v/>
      </c>
      <c r="G28" s="16">
        <f>INDEX(Market_Daily!$F$6:$F$256,MATCH($B28,Market_Daily!$A$6:$A$256,0))</f>
        <v/>
      </c>
      <c r="H28" s="8">
        <f>INDEX(Market_Daily!$G$6:$G$256,MATCH($B28,Market_Daily!$A$6:$A$256,0))</f>
        <v/>
      </c>
      <c r="I28" s="15">
        <f>INDEX(Market_Daily!$I$6:$I$256,MATCH($B28,Market_Daily!$A$6:$A$256,0))</f>
        <v/>
      </c>
      <c r="J28" s="15">
        <f>INDEX(Market_Daily!$J$6:$J$256,MATCH($B28,Market_Daily!$A$6:$A$256,0))</f>
        <v/>
      </c>
      <c r="K28" s="16">
        <f>INDEX(Market_Daily!$L$6:$L$256,MATCH($B28,Market_Daily!$A$6:$A$256,0))</f>
        <v/>
      </c>
      <c r="L28" s="16">
        <f>INDEX(Market_Daily!$M$6:$M$256,MATCH($B28,Market_Daily!$A$6:$A$256,0))</f>
        <v/>
      </c>
      <c r="M28" s="16">
        <f>INDEX(Market_Daily!$N$6:$N$256,MATCH($B28,Market_Daily!$A$6:$A$256,0))</f>
        <v/>
      </c>
      <c r="N28" s="16">
        <f>INDEX(Market_Daily!$O$6:$O$256,MATCH($B28,Market_Daily!$A$6:$A$256,0))</f>
        <v/>
      </c>
      <c r="O28" s="16">
        <f>INDEX(Market_Daily!$P$6:$P$256,MATCH($B28,Market_Daily!$A$6:$A$256,0))</f>
        <v/>
      </c>
      <c r="P28" s="15">
        <f>INDEX(Market_Daily!$U$6:$U$256,MATCH($B28,Market_Daily!$A$6:$A$256,0))</f>
        <v/>
      </c>
      <c r="Q28" s="8">
        <f>INDEX(Market_Daily!$V$6:$V$256,MATCH($B28,Market_Daily!$A$6:$A$256,0))</f>
        <v/>
      </c>
      <c r="R28" s="8">
        <f>INDEX(Market_Daily!$X$6:$X$256,MATCH($B28,Market_Daily!$A$6:$A$256,0))</f>
        <v/>
      </c>
      <c r="S28" s="8">
        <f>INDEX(Market_Daily!$Y$6:$Y$256,MATCH($B28,Market_Daily!$A$6:$A$256,0))</f>
        <v/>
      </c>
      <c r="T28" s="8">
        <f>INDEX(Market_Daily!$Z$6:$Z$256,MATCH($B28,Market_Daily!$A$6:$A$256,0))</f>
        <v/>
      </c>
      <c r="U28" s="8">
        <f>INDEX(Market_Daily!$AA$6:$AA$256,MATCH($B28,Market_Daily!$A$6:$A$256,0))</f>
        <v/>
      </c>
      <c r="V28" s="8">
        <f>INDEX(Market_Daily!$W$6:$W$256,MATCH($B28,Market_Daily!$A$6:$A$256,0))</f>
        <v/>
      </c>
    </row>
    <row r="29">
      <c r="A29" s="11" t="n">
        <v>44729</v>
      </c>
      <c r="B29" s="11" t="n">
        <v>44729</v>
      </c>
      <c r="C29" s="17" t="b">
        <v>1</v>
      </c>
      <c r="D29" s="16">
        <f>INDEX(Market_Daily!$B$6:$B$256,MATCH($B29,Market_Daily!$A$6:$A$256,0))</f>
        <v/>
      </c>
      <c r="E29" s="16">
        <f>INDEX(Market_Daily!$C$6:$C$256,MATCH($B29,Market_Daily!$A$6:$A$256,0))</f>
        <v/>
      </c>
      <c r="F29" s="16">
        <f>INDEX(Market_Daily!$D$6:$D$256,MATCH($B29,Market_Daily!$A$6:$A$256,0))</f>
        <v/>
      </c>
      <c r="G29" s="16">
        <f>INDEX(Market_Daily!$F$6:$F$256,MATCH($B29,Market_Daily!$A$6:$A$256,0))</f>
        <v/>
      </c>
      <c r="H29" s="8">
        <f>INDEX(Market_Daily!$G$6:$G$256,MATCH($B29,Market_Daily!$A$6:$A$256,0))</f>
        <v/>
      </c>
      <c r="I29" s="15">
        <f>INDEX(Market_Daily!$I$6:$I$256,MATCH($B29,Market_Daily!$A$6:$A$256,0))</f>
        <v/>
      </c>
      <c r="J29" s="15">
        <f>INDEX(Market_Daily!$J$6:$J$256,MATCH($B29,Market_Daily!$A$6:$A$256,0))</f>
        <v/>
      </c>
      <c r="K29" s="16">
        <f>INDEX(Market_Daily!$L$6:$L$256,MATCH($B29,Market_Daily!$A$6:$A$256,0))</f>
        <v/>
      </c>
      <c r="L29" s="16">
        <f>INDEX(Market_Daily!$M$6:$M$256,MATCH($B29,Market_Daily!$A$6:$A$256,0))</f>
        <v/>
      </c>
      <c r="M29" s="16">
        <f>INDEX(Market_Daily!$N$6:$N$256,MATCH($B29,Market_Daily!$A$6:$A$256,0))</f>
        <v/>
      </c>
      <c r="N29" s="16">
        <f>INDEX(Market_Daily!$O$6:$O$256,MATCH($B29,Market_Daily!$A$6:$A$256,0))</f>
        <v/>
      </c>
      <c r="O29" s="16">
        <f>INDEX(Market_Daily!$P$6:$P$256,MATCH($B29,Market_Daily!$A$6:$A$256,0))</f>
        <v/>
      </c>
      <c r="P29" s="15">
        <f>INDEX(Market_Daily!$U$6:$U$256,MATCH($B29,Market_Daily!$A$6:$A$256,0))</f>
        <v/>
      </c>
      <c r="Q29" s="8">
        <f>INDEX(Market_Daily!$V$6:$V$256,MATCH($B29,Market_Daily!$A$6:$A$256,0))</f>
        <v/>
      </c>
      <c r="R29" s="8">
        <f>INDEX(Market_Daily!$X$6:$X$256,MATCH($B29,Market_Daily!$A$6:$A$256,0))</f>
        <v/>
      </c>
      <c r="S29" s="8">
        <f>INDEX(Market_Daily!$Y$6:$Y$256,MATCH($B29,Market_Daily!$A$6:$A$256,0))</f>
        <v/>
      </c>
      <c r="T29" s="8">
        <f>INDEX(Market_Daily!$Z$6:$Z$256,MATCH($B29,Market_Daily!$A$6:$A$256,0))</f>
        <v/>
      </c>
      <c r="U29" s="8">
        <f>INDEX(Market_Daily!$AA$6:$AA$256,MATCH($B29,Market_Daily!$A$6:$A$256,0))</f>
        <v/>
      </c>
      <c r="V29" s="8">
        <f>INDEX(Market_Daily!$W$6:$W$256,MATCH($B29,Market_Daily!$A$6:$A$256,0))</f>
        <v/>
      </c>
    </row>
    <row r="30">
      <c r="A30" s="11" t="n">
        <v>44736</v>
      </c>
      <c r="B30" s="11" t="n">
        <v>44736</v>
      </c>
      <c r="C30" s="17" t="b">
        <v>1</v>
      </c>
      <c r="D30" s="16">
        <f>INDEX(Market_Daily!$B$6:$B$256,MATCH($B30,Market_Daily!$A$6:$A$256,0))</f>
        <v/>
      </c>
      <c r="E30" s="16">
        <f>INDEX(Market_Daily!$C$6:$C$256,MATCH($B30,Market_Daily!$A$6:$A$256,0))</f>
        <v/>
      </c>
      <c r="F30" s="16">
        <f>INDEX(Market_Daily!$D$6:$D$256,MATCH($B30,Market_Daily!$A$6:$A$256,0))</f>
        <v/>
      </c>
      <c r="G30" s="16">
        <f>INDEX(Market_Daily!$F$6:$F$256,MATCH($B30,Market_Daily!$A$6:$A$256,0))</f>
        <v/>
      </c>
      <c r="H30" s="8">
        <f>INDEX(Market_Daily!$G$6:$G$256,MATCH($B30,Market_Daily!$A$6:$A$256,0))</f>
        <v/>
      </c>
      <c r="I30" s="15">
        <f>INDEX(Market_Daily!$I$6:$I$256,MATCH($B30,Market_Daily!$A$6:$A$256,0))</f>
        <v/>
      </c>
      <c r="J30" s="15">
        <f>INDEX(Market_Daily!$J$6:$J$256,MATCH($B30,Market_Daily!$A$6:$A$256,0))</f>
        <v/>
      </c>
      <c r="K30" s="16">
        <f>INDEX(Market_Daily!$L$6:$L$256,MATCH($B30,Market_Daily!$A$6:$A$256,0))</f>
        <v/>
      </c>
      <c r="L30" s="16">
        <f>INDEX(Market_Daily!$M$6:$M$256,MATCH($B30,Market_Daily!$A$6:$A$256,0))</f>
        <v/>
      </c>
      <c r="M30" s="16">
        <f>INDEX(Market_Daily!$N$6:$N$256,MATCH($B30,Market_Daily!$A$6:$A$256,0))</f>
        <v/>
      </c>
      <c r="N30" s="16">
        <f>INDEX(Market_Daily!$O$6:$O$256,MATCH($B30,Market_Daily!$A$6:$A$256,0))</f>
        <v/>
      </c>
      <c r="O30" s="16">
        <f>INDEX(Market_Daily!$P$6:$P$256,MATCH($B30,Market_Daily!$A$6:$A$256,0))</f>
        <v/>
      </c>
      <c r="P30" s="15">
        <f>INDEX(Market_Daily!$U$6:$U$256,MATCH($B30,Market_Daily!$A$6:$A$256,0))</f>
        <v/>
      </c>
      <c r="Q30" s="8">
        <f>INDEX(Market_Daily!$V$6:$V$256,MATCH($B30,Market_Daily!$A$6:$A$256,0))</f>
        <v/>
      </c>
      <c r="R30" s="8">
        <f>INDEX(Market_Daily!$X$6:$X$256,MATCH($B30,Market_Daily!$A$6:$A$256,0))</f>
        <v/>
      </c>
      <c r="S30" s="8">
        <f>INDEX(Market_Daily!$Y$6:$Y$256,MATCH($B30,Market_Daily!$A$6:$A$256,0))</f>
        <v/>
      </c>
      <c r="T30" s="8">
        <f>INDEX(Market_Daily!$Z$6:$Z$256,MATCH($B30,Market_Daily!$A$6:$A$256,0))</f>
        <v/>
      </c>
      <c r="U30" s="8">
        <f>INDEX(Market_Daily!$AA$6:$AA$256,MATCH($B30,Market_Daily!$A$6:$A$256,0))</f>
        <v/>
      </c>
      <c r="V30" s="8">
        <f>INDEX(Market_Daily!$W$6:$W$256,MATCH($B30,Market_Daily!$A$6:$A$256,0))</f>
        <v/>
      </c>
    </row>
    <row r="31">
      <c r="A31" s="11" t="n">
        <v>44743</v>
      </c>
      <c r="B31" s="11" t="n">
        <v>44743</v>
      </c>
      <c r="C31" s="17" t="b">
        <v>1</v>
      </c>
      <c r="D31" s="16">
        <f>INDEX(Market_Daily!$B$6:$B$256,MATCH($B31,Market_Daily!$A$6:$A$256,0))</f>
        <v/>
      </c>
      <c r="E31" s="16">
        <f>INDEX(Market_Daily!$C$6:$C$256,MATCH($B31,Market_Daily!$A$6:$A$256,0))</f>
        <v/>
      </c>
      <c r="F31" s="16">
        <f>INDEX(Market_Daily!$D$6:$D$256,MATCH($B31,Market_Daily!$A$6:$A$256,0))</f>
        <v/>
      </c>
      <c r="G31" s="16">
        <f>INDEX(Market_Daily!$F$6:$F$256,MATCH($B31,Market_Daily!$A$6:$A$256,0))</f>
        <v/>
      </c>
      <c r="H31" s="8">
        <f>INDEX(Market_Daily!$G$6:$G$256,MATCH($B31,Market_Daily!$A$6:$A$256,0))</f>
        <v/>
      </c>
      <c r="I31" s="15">
        <f>INDEX(Market_Daily!$I$6:$I$256,MATCH($B31,Market_Daily!$A$6:$A$256,0))</f>
        <v/>
      </c>
      <c r="J31" s="15">
        <f>INDEX(Market_Daily!$J$6:$J$256,MATCH($B31,Market_Daily!$A$6:$A$256,0))</f>
        <v/>
      </c>
      <c r="K31" s="16">
        <f>INDEX(Market_Daily!$L$6:$L$256,MATCH($B31,Market_Daily!$A$6:$A$256,0))</f>
        <v/>
      </c>
      <c r="L31" s="16">
        <f>INDEX(Market_Daily!$M$6:$M$256,MATCH($B31,Market_Daily!$A$6:$A$256,0))</f>
        <v/>
      </c>
      <c r="M31" s="16">
        <f>INDEX(Market_Daily!$N$6:$N$256,MATCH($B31,Market_Daily!$A$6:$A$256,0))</f>
        <v/>
      </c>
      <c r="N31" s="16">
        <f>INDEX(Market_Daily!$O$6:$O$256,MATCH($B31,Market_Daily!$A$6:$A$256,0))</f>
        <v/>
      </c>
      <c r="O31" s="16">
        <f>INDEX(Market_Daily!$P$6:$P$256,MATCH($B31,Market_Daily!$A$6:$A$256,0))</f>
        <v/>
      </c>
      <c r="P31" s="15">
        <f>INDEX(Market_Daily!$U$6:$U$256,MATCH($B31,Market_Daily!$A$6:$A$256,0))</f>
        <v/>
      </c>
      <c r="Q31" s="8">
        <f>INDEX(Market_Daily!$V$6:$V$256,MATCH($B31,Market_Daily!$A$6:$A$256,0))</f>
        <v/>
      </c>
      <c r="R31" s="8">
        <f>INDEX(Market_Daily!$X$6:$X$256,MATCH($B31,Market_Daily!$A$6:$A$256,0))</f>
        <v/>
      </c>
      <c r="S31" s="8">
        <f>INDEX(Market_Daily!$Y$6:$Y$256,MATCH($B31,Market_Daily!$A$6:$A$256,0))</f>
        <v/>
      </c>
      <c r="T31" s="8">
        <f>INDEX(Market_Daily!$Z$6:$Z$256,MATCH($B31,Market_Daily!$A$6:$A$256,0))</f>
        <v/>
      </c>
      <c r="U31" s="8">
        <f>INDEX(Market_Daily!$AA$6:$AA$256,MATCH($B31,Market_Daily!$A$6:$A$256,0))</f>
        <v/>
      </c>
      <c r="V31" s="8">
        <f>INDEX(Market_Daily!$W$6:$W$256,MATCH($B31,Market_Daily!$A$6:$A$256,0))</f>
        <v/>
      </c>
    </row>
    <row r="32">
      <c r="A32" s="11" t="n">
        <v>44750</v>
      </c>
      <c r="B32" s="11" t="n">
        <v>44750</v>
      </c>
      <c r="C32" s="17" t="b">
        <v>1</v>
      </c>
      <c r="D32" s="16">
        <f>INDEX(Market_Daily!$B$6:$B$256,MATCH($B32,Market_Daily!$A$6:$A$256,0))</f>
        <v/>
      </c>
      <c r="E32" s="16">
        <f>INDEX(Market_Daily!$C$6:$C$256,MATCH($B32,Market_Daily!$A$6:$A$256,0))</f>
        <v/>
      </c>
      <c r="F32" s="16">
        <f>INDEX(Market_Daily!$D$6:$D$256,MATCH($B32,Market_Daily!$A$6:$A$256,0))</f>
        <v/>
      </c>
      <c r="G32" s="16">
        <f>INDEX(Market_Daily!$F$6:$F$256,MATCH($B32,Market_Daily!$A$6:$A$256,0))</f>
        <v/>
      </c>
      <c r="H32" s="8">
        <f>INDEX(Market_Daily!$G$6:$G$256,MATCH($B32,Market_Daily!$A$6:$A$256,0))</f>
        <v/>
      </c>
      <c r="I32" s="15">
        <f>INDEX(Market_Daily!$I$6:$I$256,MATCH($B32,Market_Daily!$A$6:$A$256,0))</f>
        <v/>
      </c>
      <c r="J32" s="15">
        <f>INDEX(Market_Daily!$J$6:$J$256,MATCH($B32,Market_Daily!$A$6:$A$256,0))</f>
        <v/>
      </c>
      <c r="K32" s="16">
        <f>INDEX(Market_Daily!$L$6:$L$256,MATCH($B32,Market_Daily!$A$6:$A$256,0))</f>
        <v/>
      </c>
      <c r="L32" s="16">
        <f>INDEX(Market_Daily!$M$6:$M$256,MATCH($B32,Market_Daily!$A$6:$A$256,0))</f>
        <v/>
      </c>
      <c r="M32" s="16">
        <f>INDEX(Market_Daily!$N$6:$N$256,MATCH($B32,Market_Daily!$A$6:$A$256,0))</f>
        <v/>
      </c>
      <c r="N32" s="16">
        <f>INDEX(Market_Daily!$O$6:$O$256,MATCH($B32,Market_Daily!$A$6:$A$256,0))</f>
        <v/>
      </c>
      <c r="O32" s="16">
        <f>INDEX(Market_Daily!$P$6:$P$256,MATCH($B32,Market_Daily!$A$6:$A$256,0))</f>
        <v/>
      </c>
      <c r="P32" s="15">
        <f>INDEX(Market_Daily!$U$6:$U$256,MATCH($B32,Market_Daily!$A$6:$A$256,0))</f>
        <v/>
      </c>
      <c r="Q32" s="8">
        <f>INDEX(Market_Daily!$V$6:$V$256,MATCH($B32,Market_Daily!$A$6:$A$256,0))</f>
        <v/>
      </c>
      <c r="R32" s="8">
        <f>INDEX(Market_Daily!$X$6:$X$256,MATCH($B32,Market_Daily!$A$6:$A$256,0))</f>
        <v/>
      </c>
      <c r="S32" s="8">
        <f>INDEX(Market_Daily!$Y$6:$Y$256,MATCH($B32,Market_Daily!$A$6:$A$256,0))</f>
        <v/>
      </c>
      <c r="T32" s="8">
        <f>INDEX(Market_Daily!$Z$6:$Z$256,MATCH($B32,Market_Daily!$A$6:$A$256,0))</f>
        <v/>
      </c>
      <c r="U32" s="8">
        <f>INDEX(Market_Daily!$AA$6:$AA$256,MATCH($B32,Market_Daily!$A$6:$A$256,0))</f>
        <v/>
      </c>
      <c r="V32" s="8">
        <f>INDEX(Market_Daily!$W$6:$W$256,MATCH($B32,Market_Daily!$A$6:$A$256,0))</f>
        <v/>
      </c>
    </row>
    <row r="33">
      <c r="A33" s="11" t="n">
        <v>44757</v>
      </c>
      <c r="B33" s="11" t="n">
        <v>44757</v>
      </c>
      <c r="C33" s="17" t="b">
        <v>1</v>
      </c>
      <c r="D33" s="16">
        <f>INDEX(Market_Daily!$B$6:$B$256,MATCH($B33,Market_Daily!$A$6:$A$256,0))</f>
        <v/>
      </c>
      <c r="E33" s="16">
        <f>INDEX(Market_Daily!$C$6:$C$256,MATCH($B33,Market_Daily!$A$6:$A$256,0))</f>
        <v/>
      </c>
      <c r="F33" s="16">
        <f>INDEX(Market_Daily!$D$6:$D$256,MATCH($B33,Market_Daily!$A$6:$A$256,0))</f>
        <v/>
      </c>
      <c r="G33" s="16">
        <f>INDEX(Market_Daily!$F$6:$F$256,MATCH($B33,Market_Daily!$A$6:$A$256,0))</f>
        <v/>
      </c>
      <c r="H33" s="8">
        <f>INDEX(Market_Daily!$G$6:$G$256,MATCH($B33,Market_Daily!$A$6:$A$256,0))</f>
        <v/>
      </c>
      <c r="I33" s="15">
        <f>INDEX(Market_Daily!$I$6:$I$256,MATCH($B33,Market_Daily!$A$6:$A$256,0))</f>
        <v/>
      </c>
      <c r="J33" s="15">
        <f>INDEX(Market_Daily!$J$6:$J$256,MATCH($B33,Market_Daily!$A$6:$A$256,0))</f>
        <v/>
      </c>
      <c r="K33" s="16">
        <f>INDEX(Market_Daily!$L$6:$L$256,MATCH($B33,Market_Daily!$A$6:$A$256,0))</f>
        <v/>
      </c>
      <c r="L33" s="16">
        <f>INDEX(Market_Daily!$M$6:$M$256,MATCH($B33,Market_Daily!$A$6:$A$256,0))</f>
        <v/>
      </c>
      <c r="M33" s="16">
        <f>INDEX(Market_Daily!$N$6:$N$256,MATCH($B33,Market_Daily!$A$6:$A$256,0))</f>
        <v/>
      </c>
      <c r="N33" s="16">
        <f>INDEX(Market_Daily!$O$6:$O$256,MATCH($B33,Market_Daily!$A$6:$A$256,0))</f>
        <v/>
      </c>
      <c r="O33" s="16">
        <f>INDEX(Market_Daily!$P$6:$P$256,MATCH($B33,Market_Daily!$A$6:$A$256,0))</f>
        <v/>
      </c>
      <c r="P33" s="15">
        <f>INDEX(Market_Daily!$U$6:$U$256,MATCH($B33,Market_Daily!$A$6:$A$256,0))</f>
        <v/>
      </c>
      <c r="Q33" s="8">
        <f>INDEX(Market_Daily!$V$6:$V$256,MATCH($B33,Market_Daily!$A$6:$A$256,0))</f>
        <v/>
      </c>
      <c r="R33" s="8">
        <f>INDEX(Market_Daily!$X$6:$X$256,MATCH($B33,Market_Daily!$A$6:$A$256,0))</f>
        <v/>
      </c>
      <c r="S33" s="8">
        <f>INDEX(Market_Daily!$Y$6:$Y$256,MATCH($B33,Market_Daily!$A$6:$A$256,0))</f>
        <v/>
      </c>
      <c r="T33" s="8">
        <f>INDEX(Market_Daily!$Z$6:$Z$256,MATCH($B33,Market_Daily!$A$6:$A$256,0))</f>
        <v/>
      </c>
      <c r="U33" s="8">
        <f>INDEX(Market_Daily!$AA$6:$AA$256,MATCH($B33,Market_Daily!$A$6:$A$256,0))</f>
        <v/>
      </c>
      <c r="V33" s="8">
        <f>INDEX(Market_Daily!$W$6:$W$256,MATCH($B33,Market_Daily!$A$6:$A$256,0))</f>
        <v/>
      </c>
    </row>
    <row r="34">
      <c r="A34" s="11" t="n">
        <v>44764</v>
      </c>
      <c r="B34" s="11" t="n">
        <v>44764</v>
      </c>
      <c r="C34" s="17" t="b">
        <v>1</v>
      </c>
      <c r="D34" s="16">
        <f>INDEX(Market_Daily!$B$6:$B$256,MATCH($B34,Market_Daily!$A$6:$A$256,0))</f>
        <v/>
      </c>
      <c r="E34" s="16">
        <f>INDEX(Market_Daily!$C$6:$C$256,MATCH($B34,Market_Daily!$A$6:$A$256,0))</f>
        <v/>
      </c>
      <c r="F34" s="16">
        <f>INDEX(Market_Daily!$D$6:$D$256,MATCH($B34,Market_Daily!$A$6:$A$256,0))</f>
        <v/>
      </c>
      <c r="G34" s="16">
        <f>INDEX(Market_Daily!$F$6:$F$256,MATCH($B34,Market_Daily!$A$6:$A$256,0))</f>
        <v/>
      </c>
      <c r="H34" s="8">
        <f>INDEX(Market_Daily!$G$6:$G$256,MATCH($B34,Market_Daily!$A$6:$A$256,0))</f>
        <v/>
      </c>
      <c r="I34" s="15">
        <f>INDEX(Market_Daily!$I$6:$I$256,MATCH($B34,Market_Daily!$A$6:$A$256,0))</f>
        <v/>
      </c>
      <c r="J34" s="15">
        <f>INDEX(Market_Daily!$J$6:$J$256,MATCH($B34,Market_Daily!$A$6:$A$256,0))</f>
        <v/>
      </c>
      <c r="K34" s="16">
        <f>INDEX(Market_Daily!$L$6:$L$256,MATCH($B34,Market_Daily!$A$6:$A$256,0))</f>
        <v/>
      </c>
      <c r="L34" s="16">
        <f>INDEX(Market_Daily!$M$6:$M$256,MATCH($B34,Market_Daily!$A$6:$A$256,0))</f>
        <v/>
      </c>
      <c r="M34" s="16">
        <f>INDEX(Market_Daily!$N$6:$N$256,MATCH($B34,Market_Daily!$A$6:$A$256,0))</f>
        <v/>
      </c>
      <c r="N34" s="16">
        <f>INDEX(Market_Daily!$O$6:$O$256,MATCH($B34,Market_Daily!$A$6:$A$256,0))</f>
        <v/>
      </c>
      <c r="O34" s="16">
        <f>INDEX(Market_Daily!$P$6:$P$256,MATCH($B34,Market_Daily!$A$6:$A$256,0))</f>
        <v/>
      </c>
      <c r="P34" s="15">
        <f>INDEX(Market_Daily!$U$6:$U$256,MATCH($B34,Market_Daily!$A$6:$A$256,0))</f>
        <v/>
      </c>
      <c r="Q34" s="8">
        <f>INDEX(Market_Daily!$V$6:$V$256,MATCH($B34,Market_Daily!$A$6:$A$256,0))</f>
        <v/>
      </c>
      <c r="R34" s="8">
        <f>INDEX(Market_Daily!$X$6:$X$256,MATCH($B34,Market_Daily!$A$6:$A$256,0))</f>
        <v/>
      </c>
      <c r="S34" s="8">
        <f>INDEX(Market_Daily!$Y$6:$Y$256,MATCH($B34,Market_Daily!$A$6:$A$256,0))</f>
        <v/>
      </c>
      <c r="T34" s="8">
        <f>INDEX(Market_Daily!$Z$6:$Z$256,MATCH($B34,Market_Daily!$A$6:$A$256,0))</f>
        <v/>
      </c>
      <c r="U34" s="8">
        <f>INDEX(Market_Daily!$AA$6:$AA$256,MATCH($B34,Market_Daily!$A$6:$A$256,0))</f>
        <v/>
      </c>
      <c r="V34" s="8">
        <f>INDEX(Market_Daily!$W$6:$W$256,MATCH($B34,Market_Daily!$A$6:$A$256,0))</f>
        <v/>
      </c>
    </row>
    <row r="35">
      <c r="A35" s="11" t="n">
        <v>44771</v>
      </c>
      <c r="B35" s="11" t="n">
        <v>44771</v>
      </c>
      <c r="C35" s="17" t="b">
        <v>1</v>
      </c>
      <c r="D35" s="16">
        <f>INDEX(Market_Daily!$B$6:$B$256,MATCH($B35,Market_Daily!$A$6:$A$256,0))</f>
        <v/>
      </c>
      <c r="E35" s="16">
        <f>INDEX(Market_Daily!$C$6:$C$256,MATCH($B35,Market_Daily!$A$6:$A$256,0))</f>
        <v/>
      </c>
      <c r="F35" s="16">
        <f>INDEX(Market_Daily!$D$6:$D$256,MATCH($B35,Market_Daily!$A$6:$A$256,0))</f>
        <v/>
      </c>
      <c r="G35" s="16">
        <f>INDEX(Market_Daily!$F$6:$F$256,MATCH($B35,Market_Daily!$A$6:$A$256,0))</f>
        <v/>
      </c>
      <c r="H35" s="8">
        <f>INDEX(Market_Daily!$G$6:$G$256,MATCH($B35,Market_Daily!$A$6:$A$256,0))</f>
        <v/>
      </c>
      <c r="I35" s="15">
        <f>INDEX(Market_Daily!$I$6:$I$256,MATCH($B35,Market_Daily!$A$6:$A$256,0))</f>
        <v/>
      </c>
      <c r="J35" s="15">
        <f>INDEX(Market_Daily!$J$6:$J$256,MATCH($B35,Market_Daily!$A$6:$A$256,0))</f>
        <v/>
      </c>
      <c r="K35" s="16">
        <f>INDEX(Market_Daily!$L$6:$L$256,MATCH($B35,Market_Daily!$A$6:$A$256,0))</f>
        <v/>
      </c>
      <c r="L35" s="16">
        <f>INDEX(Market_Daily!$M$6:$M$256,MATCH($B35,Market_Daily!$A$6:$A$256,0))</f>
        <v/>
      </c>
      <c r="M35" s="16">
        <f>INDEX(Market_Daily!$N$6:$N$256,MATCH($B35,Market_Daily!$A$6:$A$256,0))</f>
        <v/>
      </c>
      <c r="N35" s="16">
        <f>INDEX(Market_Daily!$O$6:$O$256,MATCH($B35,Market_Daily!$A$6:$A$256,0))</f>
        <v/>
      </c>
      <c r="O35" s="16">
        <f>INDEX(Market_Daily!$P$6:$P$256,MATCH($B35,Market_Daily!$A$6:$A$256,0))</f>
        <v/>
      </c>
      <c r="P35" s="15">
        <f>INDEX(Market_Daily!$U$6:$U$256,MATCH($B35,Market_Daily!$A$6:$A$256,0))</f>
        <v/>
      </c>
      <c r="Q35" s="8">
        <f>INDEX(Market_Daily!$V$6:$V$256,MATCH($B35,Market_Daily!$A$6:$A$256,0))</f>
        <v/>
      </c>
      <c r="R35" s="8">
        <f>INDEX(Market_Daily!$X$6:$X$256,MATCH($B35,Market_Daily!$A$6:$A$256,0))</f>
        <v/>
      </c>
      <c r="S35" s="8">
        <f>INDEX(Market_Daily!$Y$6:$Y$256,MATCH($B35,Market_Daily!$A$6:$A$256,0))</f>
        <v/>
      </c>
      <c r="T35" s="8">
        <f>INDEX(Market_Daily!$Z$6:$Z$256,MATCH($B35,Market_Daily!$A$6:$A$256,0))</f>
        <v/>
      </c>
      <c r="U35" s="8">
        <f>INDEX(Market_Daily!$AA$6:$AA$256,MATCH($B35,Market_Daily!$A$6:$A$256,0))</f>
        <v/>
      </c>
      <c r="V35" s="8">
        <f>INDEX(Market_Daily!$W$6:$W$256,MATCH($B35,Market_Daily!$A$6:$A$256,0))</f>
        <v/>
      </c>
    </row>
    <row r="36">
      <c r="A36" s="11" t="n">
        <v>44778</v>
      </c>
      <c r="B36" s="11" t="n">
        <v>44778</v>
      </c>
      <c r="C36" s="17" t="b">
        <v>1</v>
      </c>
      <c r="D36" s="16">
        <f>INDEX(Market_Daily!$B$6:$B$256,MATCH($B36,Market_Daily!$A$6:$A$256,0))</f>
        <v/>
      </c>
      <c r="E36" s="16">
        <f>INDEX(Market_Daily!$C$6:$C$256,MATCH($B36,Market_Daily!$A$6:$A$256,0))</f>
        <v/>
      </c>
      <c r="F36" s="16">
        <f>INDEX(Market_Daily!$D$6:$D$256,MATCH($B36,Market_Daily!$A$6:$A$256,0))</f>
        <v/>
      </c>
      <c r="G36" s="16">
        <f>INDEX(Market_Daily!$F$6:$F$256,MATCH($B36,Market_Daily!$A$6:$A$256,0))</f>
        <v/>
      </c>
      <c r="H36" s="8">
        <f>INDEX(Market_Daily!$G$6:$G$256,MATCH($B36,Market_Daily!$A$6:$A$256,0))</f>
        <v/>
      </c>
      <c r="I36" s="15">
        <f>INDEX(Market_Daily!$I$6:$I$256,MATCH($B36,Market_Daily!$A$6:$A$256,0))</f>
        <v/>
      </c>
      <c r="J36" s="15">
        <f>INDEX(Market_Daily!$J$6:$J$256,MATCH($B36,Market_Daily!$A$6:$A$256,0))</f>
        <v/>
      </c>
      <c r="K36" s="16">
        <f>INDEX(Market_Daily!$L$6:$L$256,MATCH($B36,Market_Daily!$A$6:$A$256,0))</f>
        <v/>
      </c>
      <c r="L36" s="16">
        <f>INDEX(Market_Daily!$M$6:$M$256,MATCH($B36,Market_Daily!$A$6:$A$256,0))</f>
        <v/>
      </c>
      <c r="M36" s="16">
        <f>INDEX(Market_Daily!$N$6:$N$256,MATCH($B36,Market_Daily!$A$6:$A$256,0))</f>
        <v/>
      </c>
      <c r="N36" s="16">
        <f>INDEX(Market_Daily!$O$6:$O$256,MATCH($B36,Market_Daily!$A$6:$A$256,0))</f>
        <v/>
      </c>
      <c r="O36" s="16">
        <f>INDEX(Market_Daily!$P$6:$P$256,MATCH($B36,Market_Daily!$A$6:$A$256,0))</f>
        <v/>
      </c>
      <c r="P36" s="15">
        <f>INDEX(Market_Daily!$U$6:$U$256,MATCH($B36,Market_Daily!$A$6:$A$256,0))</f>
        <v/>
      </c>
      <c r="Q36" s="8">
        <f>INDEX(Market_Daily!$V$6:$V$256,MATCH($B36,Market_Daily!$A$6:$A$256,0))</f>
        <v/>
      </c>
      <c r="R36" s="8">
        <f>INDEX(Market_Daily!$X$6:$X$256,MATCH($B36,Market_Daily!$A$6:$A$256,0))</f>
        <v/>
      </c>
      <c r="S36" s="8">
        <f>INDEX(Market_Daily!$Y$6:$Y$256,MATCH($B36,Market_Daily!$A$6:$A$256,0))</f>
        <v/>
      </c>
      <c r="T36" s="8">
        <f>INDEX(Market_Daily!$Z$6:$Z$256,MATCH($B36,Market_Daily!$A$6:$A$256,0))</f>
        <v/>
      </c>
      <c r="U36" s="8">
        <f>INDEX(Market_Daily!$AA$6:$AA$256,MATCH($B36,Market_Daily!$A$6:$A$256,0))</f>
        <v/>
      </c>
      <c r="V36" s="8">
        <f>INDEX(Market_Daily!$W$6:$W$256,MATCH($B36,Market_Daily!$A$6:$A$256,0))</f>
        <v/>
      </c>
    </row>
    <row r="37">
      <c r="A37" s="11" t="n">
        <v>44785</v>
      </c>
      <c r="B37" s="11" t="n">
        <v>44785</v>
      </c>
      <c r="C37" s="17" t="b">
        <v>1</v>
      </c>
      <c r="D37" s="16">
        <f>INDEX(Market_Daily!$B$6:$B$256,MATCH($B37,Market_Daily!$A$6:$A$256,0))</f>
        <v/>
      </c>
      <c r="E37" s="16">
        <f>INDEX(Market_Daily!$C$6:$C$256,MATCH($B37,Market_Daily!$A$6:$A$256,0))</f>
        <v/>
      </c>
      <c r="F37" s="16">
        <f>INDEX(Market_Daily!$D$6:$D$256,MATCH($B37,Market_Daily!$A$6:$A$256,0))</f>
        <v/>
      </c>
      <c r="G37" s="16">
        <f>INDEX(Market_Daily!$F$6:$F$256,MATCH($B37,Market_Daily!$A$6:$A$256,0))</f>
        <v/>
      </c>
      <c r="H37" s="8">
        <f>INDEX(Market_Daily!$G$6:$G$256,MATCH($B37,Market_Daily!$A$6:$A$256,0))</f>
        <v/>
      </c>
      <c r="I37" s="15">
        <f>INDEX(Market_Daily!$I$6:$I$256,MATCH($B37,Market_Daily!$A$6:$A$256,0))</f>
        <v/>
      </c>
      <c r="J37" s="15">
        <f>INDEX(Market_Daily!$J$6:$J$256,MATCH($B37,Market_Daily!$A$6:$A$256,0))</f>
        <v/>
      </c>
      <c r="K37" s="16">
        <f>INDEX(Market_Daily!$L$6:$L$256,MATCH($B37,Market_Daily!$A$6:$A$256,0))</f>
        <v/>
      </c>
      <c r="L37" s="16">
        <f>INDEX(Market_Daily!$M$6:$M$256,MATCH($B37,Market_Daily!$A$6:$A$256,0))</f>
        <v/>
      </c>
      <c r="M37" s="16">
        <f>INDEX(Market_Daily!$N$6:$N$256,MATCH($B37,Market_Daily!$A$6:$A$256,0))</f>
        <v/>
      </c>
      <c r="N37" s="16">
        <f>INDEX(Market_Daily!$O$6:$O$256,MATCH($B37,Market_Daily!$A$6:$A$256,0))</f>
        <v/>
      </c>
      <c r="O37" s="16">
        <f>INDEX(Market_Daily!$P$6:$P$256,MATCH($B37,Market_Daily!$A$6:$A$256,0))</f>
        <v/>
      </c>
      <c r="P37" s="15">
        <f>INDEX(Market_Daily!$U$6:$U$256,MATCH($B37,Market_Daily!$A$6:$A$256,0))</f>
        <v/>
      </c>
      <c r="Q37" s="8">
        <f>INDEX(Market_Daily!$V$6:$V$256,MATCH($B37,Market_Daily!$A$6:$A$256,0))</f>
        <v/>
      </c>
      <c r="R37" s="8">
        <f>INDEX(Market_Daily!$X$6:$X$256,MATCH($B37,Market_Daily!$A$6:$A$256,0))</f>
        <v/>
      </c>
      <c r="S37" s="8">
        <f>INDEX(Market_Daily!$Y$6:$Y$256,MATCH($B37,Market_Daily!$A$6:$A$256,0))</f>
        <v/>
      </c>
      <c r="T37" s="8">
        <f>INDEX(Market_Daily!$Z$6:$Z$256,MATCH($B37,Market_Daily!$A$6:$A$256,0))</f>
        <v/>
      </c>
      <c r="U37" s="8">
        <f>INDEX(Market_Daily!$AA$6:$AA$256,MATCH($B37,Market_Daily!$A$6:$A$256,0))</f>
        <v/>
      </c>
      <c r="V37" s="8">
        <f>INDEX(Market_Daily!$W$6:$W$256,MATCH($B37,Market_Daily!$A$6:$A$256,0))</f>
        <v/>
      </c>
    </row>
    <row r="38">
      <c r="A38" s="11" t="n">
        <v>44792</v>
      </c>
      <c r="B38" s="11" t="n">
        <v>44792</v>
      </c>
      <c r="C38" s="17" t="b">
        <v>1</v>
      </c>
      <c r="D38" s="16">
        <f>INDEX(Market_Daily!$B$6:$B$256,MATCH($B38,Market_Daily!$A$6:$A$256,0))</f>
        <v/>
      </c>
      <c r="E38" s="16">
        <f>INDEX(Market_Daily!$C$6:$C$256,MATCH($B38,Market_Daily!$A$6:$A$256,0))</f>
        <v/>
      </c>
      <c r="F38" s="16">
        <f>INDEX(Market_Daily!$D$6:$D$256,MATCH($B38,Market_Daily!$A$6:$A$256,0))</f>
        <v/>
      </c>
      <c r="G38" s="16">
        <f>INDEX(Market_Daily!$F$6:$F$256,MATCH($B38,Market_Daily!$A$6:$A$256,0))</f>
        <v/>
      </c>
      <c r="H38" s="8">
        <f>INDEX(Market_Daily!$G$6:$G$256,MATCH($B38,Market_Daily!$A$6:$A$256,0))</f>
        <v/>
      </c>
      <c r="I38" s="15">
        <f>INDEX(Market_Daily!$I$6:$I$256,MATCH($B38,Market_Daily!$A$6:$A$256,0))</f>
        <v/>
      </c>
      <c r="J38" s="15">
        <f>INDEX(Market_Daily!$J$6:$J$256,MATCH($B38,Market_Daily!$A$6:$A$256,0))</f>
        <v/>
      </c>
      <c r="K38" s="16">
        <f>INDEX(Market_Daily!$L$6:$L$256,MATCH($B38,Market_Daily!$A$6:$A$256,0))</f>
        <v/>
      </c>
      <c r="L38" s="16">
        <f>INDEX(Market_Daily!$M$6:$M$256,MATCH($B38,Market_Daily!$A$6:$A$256,0))</f>
        <v/>
      </c>
      <c r="M38" s="16">
        <f>INDEX(Market_Daily!$N$6:$N$256,MATCH($B38,Market_Daily!$A$6:$A$256,0))</f>
        <v/>
      </c>
      <c r="N38" s="16">
        <f>INDEX(Market_Daily!$O$6:$O$256,MATCH($B38,Market_Daily!$A$6:$A$256,0))</f>
        <v/>
      </c>
      <c r="O38" s="16">
        <f>INDEX(Market_Daily!$P$6:$P$256,MATCH($B38,Market_Daily!$A$6:$A$256,0))</f>
        <v/>
      </c>
      <c r="P38" s="15">
        <f>INDEX(Market_Daily!$U$6:$U$256,MATCH($B38,Market_Daily!$A$6:$A$256,0))</f>
        <v/>
      </c>
      <c r="Q38" s="8">
        <f>INDEX(Market_Daily!$V$6:$V$256,MATCH($B38,Market_Daily!$A$6:$A$256,0))</f>
        <v/>
      </c>
      <c r="R38" s="8">
        <f>INDEX(Market_Daily!$X$6:$X$256,MATCH($B38,Market_Daily!$A$6:$A$256,0))</f>
        <v/>
      </c>
      <c r="S38" s="8">
        <f>INDEX(Market_Daily!$Y$6:$Y$256,MATCH($B38,Market_Daily!$A$6:$A$256,0))</f>
        <v/>
      </c>
      <c r="T38" s="8">
        <f>INDEX(Market_Daily!$Z$6:$Z$256,MATCH($B38,Market_Daily!$A$6:$A$256,0))</f>
        <v/>
      </c>
      <c r="U38" s="8">
        <f>INDEX(Market_Daily!$AA$6:$AA$256,MATCH($B38,Market_Daily!$A$6:$A$256,0))</f>
        <v/>
      </c>
      <c r="V38" s="8">
        <f>INDEX(Market_Daily!$W$6:$W$256,MATCH($B38,Market_Daily!$A$6:$A$256,0))</f>
        <v/>
      </c>
    </row>
    <row r="39">
      <c r="A39" s="11" t="n">
        <v>44799</v>
      </c>
      <c r="B39" s="11" t="n">
        <v>44799</v>
      </c>
      <c r="C39" s="17" t="b">
        <v>1</v>
      </c>
      <c r="D39" s="16">
        <f>INDEX(Market_Daily!$B$6:$B$256,MATCH($B39,Market_Daily!$A$6:$A$256,0))</f>
        <v/>
      </c>
      <c r="E39" s="16">
        <f>INDEX(Market_Daily!$C$6:$C$256,MATCH($B39,Market_Daily!$A$6:$A$256,0))</f>
        <v/>
      </c>
      <c r="F39" s="16">
        <f>INDEX(Market_Daily!$D$6:$D$256,MATCH($B39,Market_Daily!$A$6:$A$256,0))</f>
        <v/>
      </c>
      <c r="G39" s="16">
        <f>INDEX(Market_Daily!$F$6:$F$256,MATCH($B39,Market_Daily!$A$6:$A$256,0))</f>
        <v/>
      </c>
      <c r="H39" s="8">
        <f>INDEX(Market_Daily!$G$6:$G$256,MATCH($B39,Market_Daily!$A$6:$A$256,0))</f>
        <v/>
      </c>
      <c r="I39" s="15">
        <f>INDEX(Market_Daily!$I$6:$I$256,MATCH($B39,Market_Daily!$A$6:$A$256,0))</f>
        <v/>
      </c>
      <c r="J39" s="15">
        <f>INDEX(Market_Daily!$J$6:$J$256,MATCH($B39,Market_Daily!$A$6:$A$256,0))</f>
        <v/>
      </c>
      <c r="K39" s="16">
        <f>INDEX(Market_Daily!$L$6:$L$256,MATCH($B39,Market_Daily!$A$6:$A$256,0))</f>
        <v/>
      </c>
      <c r="L39" s="16">
        <f>INDEX(Market_Daily!$M$6:$M$256,MATCH($B39,Market_Daily!$A$6:$A$256,0))</f>
        <v/>
      </c>
      <c r="M39" s="16">
        <f>INDEX(Market_Daily!$N$6:$N$256,MATCH($B39,Market_Daily!$A$6:$A$256,0))</f>
        <v/>
      </c>
      <c r="N39" s="16">
        <f>INDEX(Market_Daily!$O$6:$O$256,MATCH($B39,Market_Daily!$A$6:$A$256,0))</f>
        <v/>
      </c>
      <c r="O39" s="16">
        <f>INDEX(Market_Daily!$P$6:$P$256,MATCH($B39,Market_Daily!$A$6:$A$256,0))</f>
        <v/>
      </c>
      <c r="P39" s="15">
        <f>INDEX(Market_Daily!$U$6:$U$256,MATCH($B39,Market_Daily!$A$6:$A$256,0))</f>
        <v/>
      </c>
      <c r="Q39" s="8">
        <f>INDEX(Market_Daily!$V$6:$V$256,MATCH($B39,Market_Daily!$A$6:$A$256,0))</f>
        <v/>
      </c>
      <c r="R39" s="8">
        <f>INDEX(Market_Daily!$X$6:$X$256,MATCH($B39,Market_Daily!$A$6:$A$256,0))</f>
        <v/>
      </c>
      <c r="S39" s="8">
        <f>INDEX(Market_Daily!$Y$6:$Y$256,MATCH($B39,Market_Daily!$A$6:$A$256,0))</f>
        <v/>
      </c>
      <c r="T39" s="8">
        <f>INDEX(Market_Daily!$Z$6:$Z$256,MATCH($B39,Market_Daily!$A$6:$A$256,0))</f>
        <v/>
      </c>
      <c r="U39" s="8">
        <f>INDEX(Market_Daily!$AA$6:$AA$256,MATCH($B39,Market_Daily!$A$6:$A$256,0))</f>
        <v/>
      </c>
      <c r="V39" s="8">
        <f>INDEX(Market_Daily!$W$6:$W$256,MATCH($B39,Market_Daily!$A$6:$A$256,0))</f>
        <v/>
      </c>
    </row>
    <row r="40">
      <c r="A40" s="11" t="n">
        <v>44806</v>
      </c>
      <c r="B40" s="11" t="n">
        <v>44806</v>
      </c>
      <c r="C40" s="17" t="b">
        <v>1</v>
      </c>
      <c r="D40" s="16">
        <f>INDEX(Market_Daily!$B$6:$B$256,MATCH($B40,Market_Daily!$A$6:$A$256,0))</f>
        <v/>
      </c>
      <c r="E40" s="16">
        <f>INDEX(Market_Daily!$C$6:$C$256,MATCH($B40,Market_Daily!$A$6:$A$256,0))</f>
        <v/>
      </c>
      <c r="F40" s="16">
        <f>INDEX(Market_Daily!$D$6:$D$256,MATCH($B40,Market_Daily!$A$6:$A$256,0))</f>
        <v/>
      </c>
      <c r="G40" s="16">
        <f>INDEX(Market_Daily!$F$6:$F$256,MATCH($B40,Market_Daily!$A$6:$A$256,0))</f>
        <v/>
      </c>
      <c r="H40" s="8">
        <f>INDEX(Market_Daily!$G$6:$G$256,MATCH($B40,Market_Daily!$A$6:$A$256,0))</f>
        <v/>
      </c>
      <c r="I40" s="15">
        <f>INDEX(Market_Daily!$I$6:$I$256,MATCH($B40,Market_Daily!$A$6:$A$256,0))</f>
        <v/>
      </c>
      <c r="J40" s="15">
        <f>INDEX(Market_Daily!$J$6:$J$256,MATCH($B40,Market_Daily!$A$6:$A$256,0))</f>
        <v/>
      </c>
      <c r="K40" s="16">
        <f>INDEX(Market_Daily!$L$6:$L$256,MATCH($B40,Market_Daily!$A$6:$A$256,0))</f>
        <v/>
      </c>
      <c r="L40" s="16">
        <f>INDEX(Market_Daily!$M$6:$M$256,MATCH($B40,Market_Daily!$A$6:$A$256,0))</f>
        <v/>
      </c>
      <c r="M40" s="16">
        <f>INDEX(Market_Daily!$N$6:$N$256,MATCH($B40,Market_Daily!$A$6:$A$256,0))</f>
        <v/>
      </c>
      <c r="N40" s="16">
        <f>INDEX(Market_Daily!$O$6:$O$256,MATCH($B40,Market_Daily!$A$6:$A$256,0))</f>
        <v/>
      </c>
      <c r="O40" s="16">
        <f>INDEX(Market_Daily!$P$6:$P$256,MATCH($B40,Market_Daily!$A$6:$A$256,0))</f>
        <v/>
      </c>
      <c r="P40" s="15">
        <f>INDEX(Market_Daily!$U$6:$U$256,MATCH($B40,Market_Daily!$A$6:$A$256,0))</f>
        <v/>
      </c>
      <c r="Q40" s="8">
        <f>INDEX(Market_Daily!$V$6:$V$256,MATCH($B40,Market_Daily!$A$6:$A$256,0))</f>
        <v/>
      </c>
      <c r="R40" s="8">
        <f>INDEX(Market_Daily!$X$6:$X$256,MATCH($B40,Market_Daily!$A$6:$A$256,0))</f>
        <v/>
      </c>
      <c r="S40" s="8">
        <f>INDEX(Market_Daily!$Y$6:$Y$256,MATCH($B40,Market_Daily!$A$6:$A$256,0))</f>
        <v/>
      </c>
      <c r="T40" s="8">
        <f>INDEX(Market_Daily!$Z$6:$Z$256,MATCH($B40,Market_Daily!$A$6:$A$256,0))</f>
        <v/>
      </c>
      <c r="U40" s="8">
        <f>INDEX(Market_Daily!$AA$6:$AA$256,MATCH($B40,Market_Daily!$A$6:$A$256,0))</f>
        <v/>
      </c>
      <c r="V40" s="8">
        <f>INDEX(Market_Daily!$W$6:$W$256,MATCH($B40,Market_Daily!$A$6:$A$256,0))</f>
        <v/>
      </c>
    </row>
    <row r="41">
      <c r="A41" s="11" t="n">
        <v>44813</v>
      </c>
      <c r="B41" s="11" t="n">
        <v>44813</v>
      </c>
      <c r="C41" s="17" t="b">
        <v>0</v>
      </c>
      <c r="D41" s="16">
        <f>INDEX(Market_Daily!$B$6:$B$256,MATCH($B41,Market_Daily!$A$6:$A$256,0))</f>
        <v/>
      </c>
      <c r="E41" s="16">
        <f>INDEX(Market_Daily!$C$6:$C$256,MATCH($B41,Market_Daily!$A$6:$A$256,0))</f>
        <v/>
      </c>
      <c r="F41" s="16">
        <f>INDEX(Market_Daily!$D$6:$D$256,MATCH($B41,Market_Daily!$A$6:$A$256,0))</f>
        <v/>
      </c>
      <c r="G41" s="16">
        <f>INDEX(Market_Daily!$F$6:$F$256,MATCH($B41,Market_Daily!$A$6:$A$256,0))</f>
        <v/>
      </c>
      <c r="H41" s="8">
        <f>INDEX(Market_Daily!$G$6:$G$256,MATCH($B41,Market_Daily!$A$6:$A$256,0))</f>
        <v/>
      </c>
      <c r="I41" s="15">
        <f>INDEX(Market_Daily!$I$6:$I$256,MATCH($B41,Market_Daily!$A$6:$A$256,0))</f>
        <v/>
      </c>
      <c r="J41" s="15">
        <f>INDEX(Market_Daily!$J$6:$J$256,MATCH($B41,Market_Daily!$A$6:$A$256,0))</f>
        <v/>
      </c>
      <c r="K41" s="16">
        <f>INDEX(Market_Daily!$L$6:$L$256,MATCH($B41,Market_Daily!$A$6:$A$256,0))</f>
        <v/>
      </c>
      <c r="L41" s="16">
        <f>INDEX(Market_Daily!$M$6:$M$256,MATCH($B41,Market_Daily!$A$6:$A$256,0))</f>
        <v/>
      </c>
      <c r="M41" s="16">
        <f>INDEX(Market_Daily!$N$6:$N$256,MATCH($B41,Market_Daily!$A$6:$A$256,0))</f>
        <v/>
      </c>
      <c r="N41" s="16">
        <f>INDEX(Market_Daily!$O$6:$O$256,MATCH($B41,Market_Daily!$A$6:$A$256,0))</f>
        <v/>
      </c>
      <c r="O41" s="16">
        <f>INDEX(Market_Daily!$P$6:$P$256,MATCH($B41,Market_Daily!$A$6:$A$256,0))</f>
        <v/>
      </c>
      <c r="P41" s="15">
        <f>INDEX(Market_Daily!$U$6:$U$256,MATCH($B41,Market_Daily!$A$6:$A$256,0))</f>
        <v/>
      </c>
      <c r="Q41" s="8">
        <f>INDEX(Market_Daily!$V$6:$V$256,MATCH($B41,Market_Daily!$A$6:$A$256,0))</f>
        <v/>
      </c>
      <c r="R41" s="8">
        <f>INDEX(Market_Daily!$X$6:$X$256,MATCH($B41,Market_Daily!$A$6:$A$256,0))</f>
        <v/>
      </c>
      <c r="S41" s="8">
        <f>INDEX(Market_Daily!$Y$6:$Y$256,MATCH($B41,Market_Daily!$A$6:$A$256,0))</f>
        <v/>
      </c>
      <c r="T41" s="8">
        <f>INDEX(Market_Daily!$Z$6:$Z$256,MATCH($B41,Market_Daily!$A$6:$A$256,0))</f>
        <v/>
      </c>
      <c r="U41" s="8">
        <f>INDEX(Market_Daily!$AA$6:$AA$256,MATCH($B41,Market_Daily!$A$6:$A$256,0))</f>
        <v/>
      </c>
      <c r="V41" s="8">
        <f>INDEX(Market_Daily!$W$6:$W$256,MATCH($B41,Market_Daily!$A$6:$A$256,0))</f>
        <v/>
      </c>
    </row>
    <row r="42">
      <c r="A42" s="11" t="n">
        <v>44820</v>
      </c>
      <c r="B42" s="11" t="n">
        <v>44820</v>
      </c>
      <c r="C42" s="17" t="b">
        <v>0</v>
      </c>
      <c r="D42" s="16">
        <f>INDEX(Market_Daily!$B$6:$B$256,MATCH($B42,Market_Daily!$A$6:$A$256,0))</f>
        <v/>
      </c>
      <c r="E42" s="16">
        <f>INDEX(Market_Daily!$C$6:$C$256,MATCH($B42,Market_Daily!$A$6:$A$256,0))</f>
        <v/>
      </c>
      <c r="F42" s="16">
        <f>INDEX(Market_Daily!$D$6:$D$256,MATCH($B42,Market_Daily!$A$6:$A$256,0))</f>
        <v/>
      </c>
      <c r="G42" s="16">
        <f>INDEX(Market_Daily!$F$6:$F$256,MATCH($B42,Market_Daily!$A$6:$A$256,0))</f>
        <v/>
      </c>
      <c r="H42" s="8">
        <f>INDEX(Market_Daily!$G$6:$G$256,MATCH($B42,Market_Daily!$A$6:$A$256,0))</f>
        <v/>
      </c>
      <c r="I42" s="15">
        <f>INDEX(Market_Daily!$I$6:$I$256,MATCH($B42,Market_Daily!$A$6:$A$256,0))</f>
        <v/>
      </c>
      <c r="J42" s="15">
        <f>INDEX(Market_Daily!$J$6:$J$256,MATCH($B42,Market_Daily!$A$6:$A$256,0))</f>
        <v/>
      </c>
      <c r="K42" s="16">
        <f>INDEX(Market_Daily!$L$6:$L$256,MATCH($B42,Market_Daily!$A$6:$A$256,0))</f>
        <v/>
      </c>
      <c r="L42" s="16">
        <f>INDEX(Market_Daily!$M$6:$M$256,MATCH($B42,Market_Daily!$A$6:$A$256,0))</f>
        <v/>
      </c>
      <c r="M42" s="16">
        <f>INDEX(Market_Daily!$N$6:$N$256,MATCH($B42,Market_Daily!$A$6:$A$256,0))</f>
        <v/>
      </c>
      <c r="N42" s="16">
        <f>INDEX(Market_Daily!$O$6:$O$256,MATCH($B42,Market_Daily!$A$6:$A$256,0))</f>
        <v/>
      </c>
      <c r="O42" s="16">
        <f>INDEX(Market_Daily!$P$6:$P$256,MATCH($B42,Market_Daily!$A$6:$A$256,0))</f>
        <v/>
      </c>
      <c r="P42" s="15">
        <f>INDEX(Market_Daily!$U$6:$U$256,MATCH($B42,Market_Daily!$A$6:$A$256,0))</f>
        <v/>
      </c>
      <c r="Q42" s="8">
        <f>INDEX(Market_Daily!$V$6:$V$256,MATCH($B42,Market_Daily!$A$6:$A$256,0))</f>
        <v/>
      </c>
      <c r="R42" s="8">
        <f>INDEX(Market_Daily!$X$6:$X$256,MATCH($B42,Market_Daily!$A$6:$A$256,0))</f>
        <v/>
      </c>
      <c r="S42" s="8">
        <f>INDEX(Market_Daily!$Y$6:$Y$256,MATCH($B42,Market_Daily!$A$6:$A$256,0))</f>
        <v/>
      </c>
      <c r="T42" s="8">
        <f>INDEX(Market_Daily!$Z$6:$Z$256,MATCH($B42,Market_Daily!$A$6:$A$256,0))</f>
        <v/>
      </c>
      <c r="U42" s="8">
        <f>INDEX(Market_Daily!$AA$6:$AA$256,MATCH($B42,Market_Daily!$A$6:$A$256,0))</f>
        <v/>
      </c>
      <c r="V42" s="8">
        <f>INDEX(Market_Daily!$W$6:$W$256,MATCH($B42,Market_Daily!$A$6:$A$256,0))</f>
        <v/>
      </c>
    </row>
    <row r="43">
      <c r="A43" s="11" t="n">
        <v>44827</v>
      </c>
      <c r="B43" s="11" t="n">
        <v>44827</v>
      </c>
      <c r="C43" s="17" t="b">
        <v>0</v>
      </c>
      <c r="D43" s="16">
        <f>INDEX(Market_Daily!$B$6:$B$256,MATCH($B43,Market_Daily!$A$6:$A$256,0))</f>
        <v/>
      </c>
      <c r="E43" s="16">
        <f>INDEX(Market_Daily!$C$6:$C$256,MATCH($B43,Market_Daily!$A$6:$A$256,0))</f>
        <v/>
      </c>
      <c r="F43" s="16">
        <f>INDEX(Market_Daily!$D$6:$D$256,MATCH($B43,Market_Daily!$A$6:$A$256,0))</f>
        <v/>
      </c>
      <c r="G43" s="16">
        <f>INDEX(Market_Daily!$F$6:$F$256,MATCH($B43,Market_Daily!$A$6:$A$256,0))</f>
        <v/>
      </c>
      <c r="H43" s="8">
        <f>INDEX(Market_Daily!$G$6:$G$256,MATCH($B43,Market_Daily!$A$6:$A$256,0))</f>
        <v/>
      </c>
      <c r="I43" s="15">
        <f>INDEX(Market_Daily!$I$6:$I$256,MATCH($B43,Market_Daily!$A$6:$A$256,0))</f>
        <v/>
      </c>
      <c r="J43" s="15">
        <f>INDEX(Market_Daily!$J$6:$J$256,MATCH($B43,Market_Daily!$A$6:$A$256,0))</f>
        <v/>
      </c>
      <c r="K43" s="16">
        <f>INDEX(Market_Daily!$L$6:$L$256,MATCH($B43,Market_Daily!$A$6:$A$256,0))</f>
        <v/>
      </c>
      <c r="L43" s="16">
        <f>INDEX(Market_Daily!$M$6:$M$256,MATCH($B43,Market_Daily!$A$6:$A$256,0))</f>
        <v/>
      </c>
      <c r="M43" s="16">
        <f>INDEX(Market_Daily!$N$6:$N$256,MATCH($B43,Market_Daily!$A$6:$A$256,0))</f>
        <v/>
      </c>
      <c r="N43" s="16">
        <f>INDEX(Market_Daily!$O$6:$O$256,MATCH($B43,Market_Daily!$A$6:$A$256,0))</f>
        <v/>
      </c>
      <c r="O43" s="16">
        <f>INDEX(Market_Daily!$P$6:$P$256,MATCH($B43,Market_Daily!$A$6:$A$256,0))</f>
        <v/>
      </c>
      <c r="P43" s="15">
        <f>INDEX(Market_Daily!$U$6:$U$256,MATCH($B43,Market_Daily!$A$6:$A$256,0))</f>
        <v/>
      </c>
      <c r="Q43" s="8">
        <f>INDEX(Market_Daily!$V$6:$V$256,MATCH($B43,Market_Daily!$A$6:$A$256,0))</f>
        <v/>
      </c>
      <c r="R43" s="8">
        <f>INDEX(Market_Daily!$X$6:$X$256,MATCH($B43,Market_Daily!$A$6:$A$256,0))</f>
        <v/>
      </c>
      <c r="S43" s="8">
        <f>INDEX(Market_Daily!$Y$6:$Y$256,MATCH($B43,Market_Daily!$A$6:$A$256,0))</f>
        <v/>
      </c>
      <c r="T43" s="8">
        <f>INDEX(Market_Daily!$Z$6:$Z$256,MATCH($B43,Market_Daily!$A$6:$A$256,0))</f>
        <v/>
      </c>
      <c r="U43" s="8">
        <f>INDEX(Market_Daily!$AA$6:$AA$256,MATCH($B43,Market_Daily!$A$6:$A$256,0))</f>
        <v/>
      </c>
      <c r="V43" s="8">
        <f>INDEX(Market_Daily!$W$6:$W$256,MATCH($B43,Market_Daily!$A$6:$A$256,0))</f>
        <v/>
      </c>
    </row>
    <row r="44">
      <c r="A44" s="11" t="n">
        <v>44834</v>
      </c>
      <c r="B44" s="11" t="n">
        <v>44834</v>
      </c>
      <c r="C44" s="17" t="b">
        <v>0</v>
      </c>
      <c r="D44" s="16">
        <f>INDEX(Market_Daily!$B$6:$B$256,MATCH($B44,Market_Daily!$A$6:$A$256,0))</f>
        <v/>
      </c>
      <c r="E44" s="16">
        <f>INDEX(Market_Daily!$C$6:$C$256,MATCH($B44,Market_Daily!$A$6:$A$256,0))</f>
        <v/>
      </c>
      <c r="F44" s="16">
        <f>INDEX(Market_Daily!$D$6:$D$256,MATCH($B44,Market_Daily!$A$6:$A$256,0))</f>
        <v/>
      </c>
      <c r="G44" s="16">
        <f>INDEX(Market_Daily!$F$6:$F$256,MATCH($B44,Market_Daily!$A$6:$A$256,0))</f>
        <v/>
      </c>
      <c r="H44" s="8">
        <f>INDEX(Market_Daily!$G$6:$G$256,MATCH($B44,Market_Daily!$A$6:$A$256,0))</f>
        <v/>
      </c>
      <c r="I44" s="15">
        <f>INDEX(Market_Daily!$I$6:$I$256,MATCH($B44,Market_Daily!$A$6:$A$256,0))</f>
        <v/>
      </c>
      <c r="J44" s="15">
        <f>INDEX(Market_Daily!$J$6:$J$256,MATCH($B44,Market_Daily!$A$6:$A$256,0))</f>
        <v/>
      </c>
      <c r="K44" s="16">
        <f>INDEX(Market_Daily!$L$6:$L$256,MATCH($B44,Market_Daily!$A$6:$A$256,0))</f>
        <v/>
      </c>
      <c r="L44" s="16">
        <f>INDEX(Market_Daily!$M$6:$M$256,MATCH($B44,Market_Daily!$A$6:$A$256,0))</f>
        <v/>
      </c>
      <c r="M44" s="16">
        <f>INDEX(Market_Daily!$N$6:$N$256,MATCH($B44,Market_Daily!$A$6:$A$256,0))</f>
        <v/>
      </c>
      <c r="N44" s="16">
        <f>INDEX(Market_Daily!$O$6:$O$256,MATCH($B44,Market_Daily!$A$6:$A$256,0))</f>
        <v/>
      </c>
      <c r="O44" s="16">
        <f>INDEX(Market_Daily!$P$6:$P$256,MATCH($B44,Market_Daily!$A$6:$A$256,0))</f>
        <v/>
      </c>
      <c r="P44" s="15">
        <f>INDEX(Market_Daily!$U$6:$U$256,MATCH($B44,Market_Daily!$A$6:$A$256,0))</f>
        <v/>
      </c>
      <c r="Q44" s="8">
        <f>INDEX(Market_Daily!$V$6:$V$256,MATCH($B44,Market_Daily!$A$6:$A$256,0))</f>
        <v/>
      </c>
      <c r="R44" s="8">
        <f>INDEX(Market_Daily!$X$6:$X$256,MATCH($B44,Market_Daily!$A$6:$A$256,0))</f>
        <v/>
      </c>
      <c r="S44" s="8">
        <f>INDEX(Market_Daily!$Y$6:$Y$256,MATCH($B44,Market_Daily!$A$6:$A$256,0))</f>
        <v/>
      </c>
      <c r="T44" s="8">
        <f>INDEX(Market_Daily!$Z$6:$Z$256,MATCH($B44,Market_Daily!$A$6:$A$256,0))</f>
        <v/>
      </c>
      <c r="U44" s="8">
        <f>INDEX(Market_Daily!$AA$6:$AA$256,MATCH($B44,Market_Daily!$A$6:$A$256,0))</f>
        <v/>
      </c>
      <c r="V44" s="8">
        <f>INDEX(Market_Daily!$W$6:$W$256,MATCH($B44,Market_Daily!$A$6:$A$256,0))</f>
        <v/>
      </c>
    </row>
    <row r="45">
      <c r="A45" s="11" t="n">
        <v>44841</v>
      </c>
      <c r="B45" s="11" t="n">
        <v>44841</v>
      </c>
      <c r="C45" s="17" t="b">
        <v>0</v>
      </c>
      <c r="D45" s="16">
        <f>INDEX(Market_Daily!$B$6:$B$256,MATCH($B45,Market_Daily!$A$6:$A$256,0))</f>
        <v/>
      </c>
      <c r="E45" s="16">
        <f>INDEX(Market_Daily!$C$6:$C$256,MATCH($B45,Market_Daily!$A$6:$A$256,0))</f>
        <v/>
      </c>
      <c r="F45" s="16">
        <f>INDEX(Market_Daily!$D$6:$D$256,MATCH($B45,Market_Daily!$A$6:$A$256,0))</f>
        <v/>
      </c>
      <c r="G45" s="16">
        <f>INDEX(Market_Daily!$F$6:$F$256,MATCH($B45,Market_Daily!$A$6:$A$256,0))</f>
        <v/>
      </c>
      <c r="H45" s="8">
        <f>INDEX(Market_Daily!$G$6:$G$256,MATCH($B45,Market_Daily!$A$6:$A$256,0))</f>
        <v/>
      </c>
      <c r="I45" s="15">
        <f>INDEX(Market_Daily!$I$6:$I$256,MATCH($B45,Market_Daily!$A$6:$A$256,0))</f>
        <v/>
      </c>
      <c r="J45" s="15">
        <f>INDEX(Market_Daily!$J$6:$J$256,MATCH($B45,Market_Daily!$A$6:$A$256,0))</f>
        <v/>
      </c>
      <c r="K45" s="16">
        <f>INDEX(Market_Daily!$L$6:$L$256,MATCH($B45,Market_Daily!$A$6:$A$256,0))</f>
        <v/>
      </c>
      <c r="L45" s="16">
        <f>INDEX(Market_Daily!$M$6:$M$256,MATCH($B45,Market_Daily!$A$6:$A$256,0))</f>
        <v/>
      </c>
      <c r="M45" s="16">
        <f>INDEX(Market_Daily!$N$6:$N$256,MATCH($B45,Market_Daily!$A$6:$A$256,0))</f>
        <v/>
      </c>
      <c r="N45" s="16">
        <f>INDEX(Market_Daily!$O$6:$O$256,MATCH($B45,Market_Daily!$A$6:$A$256,0))</f>
        <v/>
      </c>
      <c r="O45" s="16">
        <f>INDEX(Market_Daily!$P$6:$P$256,MATCH($B45,Market_Daily!$A$6:$A$256,0))</f>
        <v/>
      </c>
      <c r="P45" s="15">
        <f>INDEX(Market_Daily!$U$6:$U$256,MATCH($B45,Market_Daily!$A$6:$A$256,0))</f>
        <v/>
      </c>
      <c r="Q45" s="8">
        <f>INDEX(Market_Daily!$V$6:$V$256,MATCH($B45,Market_Daily!$A$6:$A$256,0))</f>
        <v/>
      </c>
      <c r="R45" s="8">
        <f>INDEX(Market_Daily!$X$6:$X$256,MATCH($B45,Market_Daily!$A$6:$A$256,0))</f>
        <v/>
      </c>
      <c r="S45" s="8">
        <f>INDEX(Market_Daily!$Y$6:$Y$256,MATCH($B45,Market_Daily!$A$6:$A$256,0))</f>
        <v/>
      </c>
      <c r="T45" s="8">
        <f>INDEX(Market_Daily!$Z$6:$Z$256,MATCH($B45,Market_Daily!$A$6:$A$256,0))</f>
        <v/>
      </c>
      <c r="U45" s="8">
        <f>INDEX(Market_Daily!$AA$6:$AA$256,MATCH($B45,Market_Daily!$A$6:$A$256,0))</f>
        <v/>
      </c>
      <c r="V45" s="8">
        <f>INDEX(Market_Daily!$W$6:$W$256,MATCH($B45,Market_Daily!$A$6:$A$256,0))</f>
        <v/>
      </c>
    </row>
    <row r="46">
      <c r="A46" s="11" t="n">
        <v>44848</v>
      </c>
      <c r="B46" s="11" t="n">
        <v>44848</v>
      </c>
      <c r="C46" s="17" t="b">
        <v>0</v>
      </c>
      <c r="D46" s="16">
        <f>INDEX(Market_Daily!$B$6:$B$256,MATCH($B46,Market_Daily!$A$6:$A$256,0))</f>
        <v/>
      </c>
      <c r="E46" s="16">
        <f>INDEX(Market_Daily!$C$6:$C$256,MATCH($B46,Market_Daily!$A$6:$A$256,0))</f>
        <v/>
      </c>
      <c r="F46" s="16">
        <f>INDEX(Market_Daily!$D$6:$D$256,MATCH($B46,Market_Daily!$A$6:$A$256,0))</f>
        <v/>
      </c>
      <c r="G46" s="16">
        <f>INDEX(Market_Daily!$F$6:$F$256,MATCH($B46,Market_Daily!$A$6:$A$256,0))</f>
        <v/>
      </c>
      <c r="H46" s="8">
        <f>INDEX(Market_Daily!$G$6:$G$256,MATCH($B46,Market_Daily!$A$6:$A$256,0))</f>
        <v/>
      </c>
      <c r="I46" s="15">
        <f>INDEX(Market_Daily!$I$6:$I$256,MATCH($B46,Market_Daily!$A$6:$A$256,0))</f>
        <v/>
      </c>
      <c r="J46" s="15">
        <f>INDEX(Market_Daily!$J$6:$J$256,MATCH($B46,Market_Daily!$A$6:$A$256,0))</f>
        <v/>
      </c>
      <c r="K46" s="16">
        <f>INDEX(Market_Daily!$L$6:$L$256,MATCH($B46,Market_Daily!$A$6:$A$256,0))</f>
        <v/>
      </c>
      <c r="L46" s="16">
        <f>INDEX(Market_Daily!$M$6:$M$256,MATCH($B46,Market_Daily!$A$6:$A$256,0))</f>
        <v/>
      </c>
      <c r="M46" s="16">
        <f>INDEX(Market_Daily!$N$6:$N$256,MATCH($B46,Market_Daily!$A$6:$A$256,0))</f>
        <v/>
      </c>
      <c r="N46" s="16">
        <f>INDEX(Market_Daily!$O$6:$O$256,MATCH($B46,Market_Daily!$A$6:$A$256,0))</f>
        <v/>
      </c>
      <c r="O46" s="16">
        <f>INDEX(Market_Daily!$P$6:$P$256,MATCH($B46,Market_Daily!$A$6:$A$256,0))</f>
        <v/>
      </c>
      <c r="P46" s="15">
        <f>INDEX(Market_Daily!$U$6:$U$256,MATCH($B46,Market_Daily!$A$6:$A$256,0))</f>
        <v/>
      </c>
      <c r="Q46" s="8">
        <f>INDEX(Market_Daily!$V$6:$V$256,MATCH($B46,Market_Daily!$A$6:$A$256,0))</f>
        <v/>
      </c>
      <c r="R46" s="8">
        <f>INDEX(Market_Daily!$X$6:$X$256,MATCH($B46,Market_Daily!$A$6:$A$256,0))</f>
        <v/>
      </c>
      <c r="S46" s="8">
        <f>INDEX(Market_Daily!$Y$6:$Y$256,MATCH($B46,Market_Daily!$A$6:$A$256,0))</f>
        <v/>
      </c>
      <c r="T46" s="8">
        <f>INDEX(Market_Daily!$Z$6:$Z$256,MATCH($B46,Market_Daily!$A$6:$A$256,0))</f>
        <v/>
      </c>
      <c r="U46" s="8">
        <f>INDEX(Market_Daily!$AA$6:$AA$256,MATCH($B46,Market_Daily!$A$6:$A$256,0))</f>
        <v/>
      </c>
      <c r="V46" s="8">
        <f>INDEX(Market_Daily!$W$6:$W$256,MATCH($B46,Market_Daily!$A$6:$A$256,0))</f>
        <v/>
      </c>
    </row>
    <row r="47">
      <c r="A47" s="11" t="n">
        <v>44855</v>
      </c>
      <c r="B47" s="11" t="n">
        <v>44855</v>
      </c>
      <c r="C47" s="17" t="b">
        <v>0</v>
      </c>
      <c r="D47" s="16">
        <f>INDEX(Market_Daily!$B$6:$B$256,MATCH($B47,Market_Daily!$A$6:$A$256,0))</f>
        <v/>
      </c>
      <c r="E47" s="16">
        <f>INDEX(Market_Daily!$C$6:$C$256,MATCH($B47,Market_Daily!$A$6:$A$256,0))</f>
        <v/>
      </c>
      <c r="F47" s="16">
        <f>INDEX(Market_Daily!$D$6:$D$256,MATCH($B47,Market_Daily!$A$6:$A$256,0))</f>
        <v/>
      </c>
      <c r="G47" s="16">
        <f>INDEX(Market_Daily!$F$6:$F$256,MATCH($B47,Market_Daily!$A$6:$A$256,0))</f>
        <v/>
      </c>
      <c r="H47" s="8">
        <f>INDEX(Market_Daily!$G$6:$G$256,MATCH($B47,Market_Daily!$A$6:$A$256,0))</f>
        <v/>
      </c>
      <c r="I47" s="15">
        <f>INDEX(Market_Daily!$I$6:$I$256,MATCH($B47,Market_Daily!$A$6:$A$256,0))</f>
        <v/>
      </c>
      <c r="J47" s="15">
        <f>INDEX(Market_Daily!$J$6:$J$256,MATCH($B47,Market_Daily!$A$6:$A$256,0))</f>
        <v/>
      </c>
      <c r="K47" s="16">
        <f>INDEX(Market_Daily!$L$6:$L$256,MATCH($B47,Market_Daily!$A$6:$A$256,0))</f>
        <v/>
      </c>
      <c r="L47" s="16">
        <f>INDEX(Market_Daily!$M$6:$M$256,MATCH($B47,Market_Daily!$A$6:$A$256,0))</f>
        <v/>
      </c>
      <c r="M47" s="16">
        <f>INDEX(Market_Daily!$N$6:$N$256,MATCH($B47,Market_Daily!$A$6:$A$256,0))</f>
        <v/>
      </c>
      <c r="N47" s="16">
        <f>INDEX(Market_Daily!$O$6:$O$256,MATCH($B47,Market_Daily!$A$6:$A$256,0))</f>
        <v/>
      </c>
      <c r="O47" s="16">
        <f>INDEX(Market_Daily!$P$6:$P$256,MATCH($B47,Market_Daily!$A$6:$A$256,0))</f>
        <v/>
      </c>
      <c r="P47" s="15">
        <f>INDEX(Market_Daily!$U$6:$U$256,MATCH($B47,Market_Daily!$A$6:$A$256,0))</f>
        <v/>
      </c>
      <c r="Q47" s="8">
        <f>INDEX(Market_Daily!$V$6:$V$256,MATCH($B47,Market_Daily!$A$6:$A$256,0))</f>
        <v/>
      </c>
      <c r="R47" s="8">
        <f>INDEX(Market_Daily!$X$6:$X$256,MATCH($B47,Market_Daily!$A$6:$A$256,0))</f>
        <v/>
      </c>
      <c r="S47" s="8">
        <f>INDEX(Market_Daily!$Y$6:$Y$256,MATCH($B47,Market_Daily!$A$6:$A$256,0))</f>
        <v/>
      </c>
      <c r="T47" s="8">
        <f>INDEX(Market_Daily!$Z$6:$Z$256,MATCH($B47,Market_Daily!$A$6:$A$256,0))</f>
        <v/>
      </c>
      <c r="U47" s="8">
        <f>INDEX(Market_Daily!$AA$6:$AA$256,MATCH($B47,Market_Daily!$A$6:$A$256,0))</f>
        <v/>
      </c>
      <c r="V47" s="8">
        <f>INDEX(Market_Daily!$W$6:$W$256,MATCH($B47,Market_Daily!$A$6:$A$256,0))</f>
        <v/>
      </c>
    </row>
    <row r="48">
      <c r="A48" s="11" t="n">
        <v>44862</v>
      </c>
      <c r="B48" s="11" t="n">
        <v>44862</v>
      </c>
      <c r="C48" s="17" t="b">
        <v>0</v>
      </c>
      <c r="D48" s="16">
        <f>INDEX(Market_Daily!$B$6:$B$256,MATCH($B48,Market_Daily!$A$6:$A$256,0))</f>
        <v/>
      </c>
      <c r="E48" s="16">
        <f>INDEX(Market_Daily!$C$6:$C$256,MATCH($B48,Market_Daily!$A$6:$A$256,0))</f>
        <v/>
      </c>
      <c r="F48" s="16">
        <f>INDEX(Market_Daily!$D$6:$D$256,MATCH($B48,Market_Daily!$A$6:$A$256,0))</f>
        <v/>
      </c>
      <c r="G48" s="16">
        <f>INDEX(Market_Daily!$F$6:$F$256,MATCH($B48,Market_Daily!$A$6:$A$256,0))</f>
        <v/>
      </c>
      <c r="H48" s="8">
        <f>INDEX(Market_Daily!$G$6:$G$256,MATCH($B48,Market_Daily!$A$6:$A$256,0))</f>
        <v/>
      </c>
      <c r="I48" s="15">
        <f>INDEX(Market_Daily!$I$6:$I$256,MATCH($B48,Market_Daily!$A$6:$A$256,0))</f>
        <v/>
      </c>
      <c r="J48" s="15">
        <f>INDEX(Market_Daily!$J$6:$J$256,MATCH($B48,Market_Daily!$A$6:$A$256,0))</f>
        <v/>
      </c>
      <c r="K48" s="16">
        <f>INDEX(Market_Daily!$L$6:$L$256,MATCH($B48,Market_Daily!$A$6:$A$256,0))</f>
        <v/>
      </c>
      <c r="L48" s="16">
        <f>INDEX(Market_Daily!$M$6:$M$256,MATCH($B48,Market_Daily!$A$6:$A$256,0))</f>
        <v/>
      </c>
      <c r="M48" s="16">
        <f>INDEX(Market_Daily!$N$6:$N$256,MATCH($B48,Market_Daily!$A$6:$A$256,0))</f>
        <v/>
      </c>
      <c r="N48" s="16">
        <f>INDEX(Market_Daily!$O$6:$O$256,MATCH($B48,Market_Daily!$A$6:$A$256,0))</f>
        <v/>
      </c>
      <c r="O48" s="16">
        <f>INDEX(Market_Daily!$P$6:$P$256,MATCH($B48,Market_Daily!$A$6:$A$256,0))</f>
        <v/>
      </c>
      <c r="P48" s="15">
        <f>INDEX(Market_Daily!$U$6:$U$256,MATCH($B48,Market_Daily!$A$6:$A$256,0))</f>
        <v/>
      </c>
      <c r="Q48" s="8">
        <f>INDEX(Market_Daily!$V$6:$V$256,MATCH($B48,Market_Daily!$A$6:$A$256,0))</f>
        <v/>
      </c>
      <c r="R48" s="8">
        <f>INDEX(Market_Daily!$X$6:$X$256,MATCH($B48,Market_Daily!$A$6:$A$256,0))</f>
        <v/>
      </c>
      <c r="S48" s="8">
        <f>INDEX(Market_Daily!$Y$6:$Y$256,MATCH($B48,Market_Daily!$A$6:$A$256,0))</f>
        <v/>
      </c>
      <c r="T48" s="8">
        <f>INDEX(Market_Daily!$Z$6:$Z$256,MATCH($B48,Market_Daily!$A$6:$A$256,0))</f>
        <v/>
      </c>
      <c r="U48" s="8">
        <f>INDEX(Market_Daily!$AA$6:$AA$256,MATCH($B48,Market_Daily!$A$6:$A$256,0))</f>
        <v/>
      </c>
      <c r="V48" s="8">
        <f>INDEX(Market_Daily!$W$6:$W$256,MATCH($B48,Market_Daily!$A$6:$A$256,0))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263"/>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3" customWidth="1" min="3" max="3"/>
    <col width="11" customWidth="1" min="4" max="4"/>
    <col width="10" customWidth="1" min="5" max="5"/>
    <col width="14.6" customWidth="1" min="6" max="6"/>
    <col width="16.7" customWidth="1" min="7" max="7"/>
    <col width="9" customWidth="1" min="8" max="8"/>
    <col width="14.6" customWidth="1" min="9" max="9"/>
    <col width="24.05" customWidth="1" min="10" max="10"/>
    <col width="16.7" customWidth="1" min="11" max="11"/>
    <col width="20.9" customWidth="1" min="12" max="12"/>
    <col width="14.6" customWidth="1" min="13" max="13"/>
    <col width="19.85" customWidth="1" min="14" max="14"/>
    <col width="16.7" customWidth="1" min="15" max="15"/>
    <col width="14.6" customWidth="1" min="16" max="16"/>
    <col width="23" customWidth="1" min="17" max="17"/>
    <col width="9" customWidth="1" min="18" max="18"/>
    <col width="10.4" customWidth="1" min="19" max="19"/>
    <col width="10.4" customWidth="1" min="20" max="20"/>
    <col width="26" customWidth="1" min="21" max="21"/>
    <col width="26" customWidth="1" min="22" max="22"/>
    <col width="26" customWidth="1" min="23" max="23"/>
    <col width="24.05" customWidth="1" min="24" max="24"/>
    <col width="14.6" customWidth="1" min="25" max="25"/>
    <col width="14.6" customWidth="1" min="26" max="26"/>
    <col width="15.65" customWidth="1" min="27" max="27"/>
    <col width="20.9" customWidth="1" min="28" max="28"/>
    <col width="18.8" customWidth="1" min="29" max="29"/>
    <col width="14.6" customWidth="1" min="30" max="30"/>
    <col width="19.85" customWidth="1" min="31" max="31"/>
    <col width="11.45" customWidth="1" min="32" max="32"/>
    <col width="15.65" customWidth="1" min="33" max="33"/>
    <col width="15.65" customWidth="1" min="34" max="34"/>
    <col width="11.45" customWidth="1" min="35" max="35"/>
    <col width="17.75" customWidth="1" min="36" max="36"/>
    <col width="11.45" customWidth="1" min="37" max="37"/>
    <col width="18.8" customWidth="1" min="38" max="38"/>
    <col width="13.55" customWidth="1" min="39" max="39"/>
    <col width="11.45" customWidth="1" min="40" max="40"/>
    <col width="11.45" customWidth="1" min="41" max="41"/>
    <col width="12.5" customWidth="1" min="42" max="42"/>
    <col width="12.5" customWidth="1" min="43" max="43"/>
    <col width="15.65" customWidth="1" min="44" max="44"/>
    <col width="20.9" customWidth="1" min="45" max="45"/>
    <col width="14.6" customWidth="1" min="46" max="46"/>
    <col width="15.65" customWidth="1" min="47" max="47"/>
    <col width="14.6" customWidth="1" min="48" max="48"/>
    <col width="17.75" customWidth="1" min="49" max="49"/>
    <col width="18.8" customWidth="1" min="50" max="50"/>
    <col width="15.65" customWidth="1" min="51" max="51"/>
    <col width="15.65" customWidth="1" min="52" max="52"/>
    <col width="13.55" customWidth="1" min="53" max="53"/>
    <col width="18.8" customWidth="1" min="54" max="54"/>
    <col width="23" customWidth="1" min="55" max="55"/>
    <col width="24.05" customWidth="1" min="56" max="56"/>
    <col width="24.05" customWidth="1" min="57" max="57"/>
    <col width="11.45" customWidth="1" min="58" max="58"/>
    <col width="14.6" customWidth="1" min="59" max="59"/>
    <col width="14.6" customWidth="1" min="60" max="60"/>
    <col width="16.7" customWidth="1" min="61" max="61"/>
    <col width="18.8" customWidth="1" min="62" max="62"/>
  </cols>
  <sheetData>
    <row r="1">
      <c r="A1" s="1" t="inlineStr">
        <is>
          <t>ACADEMIC SIMULATION — not actual trades</t>
        </is>
      </c>
    </row>
    <row r="2">
      <c r="A2" s="2" t="inlineStr">
        <is>
          <t>Parity — CONTRACTS §5 per MT of scrap, every line item a live formula</t>
        </is>
      </c>
    </row>
    <row r="3">
      <c r="A3" s="3" t="inlineStr">
        <is>
          <t>Rows: 43 W-FRI weeks × 3 grades × 2 lanes. Inputs come from the Inputs sheet (named ranges and key look-ups) and Market_Weekly. Goods are paid at usdinr_fwd_1m (register key parity_goods_fx_basis); the customs notified rate sets the duty base only.</t>
        </is>
      </c>
    </row>
    <row r="5" ht="30" customHeight="1">
      <c r="A5" s="5" t="inlineStr">
        <is>
          <t>week_end</t>
        </is>
      </c>
      <c r="B5" s="5" t="inlineStr">
        <is>
          <t>value_date</t>
        </is>
      </c>
      <c r="C5" s="5" t="inlineStr">
        <is>
          <t>grade</t>
        </is>
      </c>
      <c r="D5" s="5" t="inlineStr">
        <is>
          <t>lane</t>
        </is>
      </c>
      <c r="E5" s="5" t="inlineStr">
        <is>
          <t>in_window</t>
        </is>
      </c>
      <c r="F5" s="5" t="inlineStr">
        <is>
          <t>lme_3m_usd_t</t>
        </is>
      </c>
      <c r="G5" s="5" t="inlineStr">
        <is>
          <t>lme_cash_usd_t</t>
        </is>
      </c>
      <c r="H5" s="5" t="inlineStr">
        <is>
          <t>usdinr</t>
        </is>
      </c>
      <c r="I5" s="5" t="inlineStr">
        <is>
          <t>usdinr_goods</t>
        </is>
      </c>
      <c r="J5" s="5" t="inlineStr">
        <is>
          <t>customs_usdinr_import</t>
        </is>
      </c>
      <c r="K5" s="5" t="inlineStr">
        <is>
          <t>customs_fx_src</t>
        </is>
      </c>
      <c r="L5" s="5" t="inlineStr">
        <is>
          <t>freight_base_usd_t</t>
        </is>
      </c>
      <c r="M5" s="5" t="inlineStr">
        <is>
          <t>mcx_contract</t>
        </is>
      </c>
      <c r="N5" s="5" t="inlineStr">
        <is>
          <t>mcx_anchor_inr_kg</t>
        </is>
      </c>
      <c r="O5" s="5" t="inlineStr">
        <is>
          <t>wc_rate_inr_pa</t>
        </is>
      </c>
      <c r="P5" s="5" t="inlineStr">
        <is>
          <t>grade_factor</t>
        </is>
      </c>
      <c r="Q5" s="5" t="inlineStr">
        <is>
          <t>grade_factor_mix_pit</t>
        </is>
      </c>
      <c r="R5" s="5" t="inlineStr">
        <is>
          <t>box</t>
        </is>
      </c>
      <c r="S5" s="5" t="inlineStr">
        <is>
          <t>port_key</t>
        </is>
      </c>
      <c r="T5" s="5" t="inlineStr">
        <is>
          <t>lane_key</t>
        </is>
      </c>
      <c r="U5" s="5" t="inlineStr">
        <is>
          <t>container_payload_base_mt</t>
        </is>
      </c>
      <c r="V5" s="5" t="inlineStr">
        <is>
          <t>container_payload_grade_mt</t>
        </is>
      </c>
      <c r="W5" s="5" t="inlineStr">
        <is>
          <t>container_payload_20ft_grade_mt</t>
        </is>
      </c>
      <c r="X5" s="5" t="inlineStr">
        <is>
          <t>port_cf_charges_inr_t</t>
        </is>
      </c>
      <c r="Y5" s="5" t="inlineStr">
        <is>
          <t>psic_applies</t>
        </is>
      </c>
      <c r="Z5" s="5" t="inlineStr">
        <is>
          <t>finance_days</t>
        </is>
      </c>
      <c r="AA5" s="5" t="inlineStr">
        <is>
          <t>moisture_frac</t>
        </is>
      </c>
      <c r="AB5" s="5" t="inlineStr">
        <is>
          <t>contamination_frac</t>
        </is>
      </c>
      <c r="AC5" s="5" t="inlineStr">
        <is>
          <t>metal_yield_frac</t>
        </is>
      </c>
      <c r="AD5" s="5" t="inlineStr">
        <is>
          <t>heavies_frac</t>
        </is>
      </c>
      <c r="AE5" s="5" t="inlineStr">
        <is>
          <t>grade_factor_diff</t>
        </is>
      </c>
      <c r="AF5" s="5" t="inlineStr">
        <is>
          <t>cfr_usd_t</t>
        </is>
      </c>
      <c r="AG5" s="5" t="inlineStr">
        <is>
          <t>payload_scale</t>
        </is>
      </c>
      <c r="AH5" s="5" t="inlineStr">
        <is>
          <t>freight_usd_t</t>
        </is>
      </c>
      <c r="AI5" s="5" t="inlineStr">
        <is>
          <t>fob_usd_t</t>
        </is>
      </c>
      <c r="AJ5" s="5" t="inlineStr">
        <is>
          <t>insurance_usd_t</t>
        </is>
      </c>
      <c r="AK5" s="5" t="inlineStr">
        <is>
          <t>cif_usd_t</t>
        </is>
      </c>
      <c r="AL5" s="5" t="inlineStr">
        <is>
          <t>av_customs_inr_t</t>
        </is>
      </c>
      <c r="AM5" s="5" t="inlineStr">
        <is>
          <t>goods_inr_t</t>
        </is>
      </c>
      <c r="AN5" s="5" t="inlineStr">
        <is>
          <t>bcd_inr_t</t>
        </is>
      </c>
      <c r="AO5" s="5" t="inlineStr">
        <is>
          <t>sws_inr_t</t>
        </is>
      </c>
      <c r="AP5" s="5" t="inlineStr">
        <is>
          <t>igst_inr_t</t>
        </is>
      </c>
      <c r="AQ5" s="5" t="inlineStr">
        <is>
          <t>port_inr_t</t>
        </is>
      </c>
      <c r="AR5" s="5" t="inlineStr">
        <is>
          <t>finance_inr_t</t>
        </is>
      </c>
      <c r="AS5" s="5" t="inlineStr">
        <is>
          <t>igst_finance_inr_t</t>
        </is>
      </c>
      <c r="AT5" s="5" t="inlineStr">
        <is>
          <t>landed_inr_t</t>
        </is>
      </c>
      <c r="AU5" s="5" t="inlineStr">
        <is>
          <t>recovery_frac</t>
        </is>
      </c>
      <c r="AV5" s="5" t="inlineStr">
        <is>
          <t>anchor_inr_t</t>
        </is>
      </c>
      <c r="AW5" s="5" t="inlineStr">
        <is>
          <t>byproduct_inr_t</t>
        </is>
      </c>
      <c r="AX5" s="5" t="inlineStr">
        <is>
          <t>conversion_inr_t</t>
        </is>
      </c>
      <c r="AY5" s="5" t="inlineStr">
        <is>
          <t>net_arb_inr_t</t>
        </is>
      </c>
      <c r="AZ5" s="5" t="inlineStr">
        <is>
          <t>net_arb_usd_t</t>
        </is>
      </c>
      <c r="BA5" s="5" t="inlineStr">
        <is>
          <t>window_open</t>
        </is>
      </c>
      <c r="BB5" s="5" t="inlineStr">
        <is>
          <t>grade_factor_pit</t>
        </is>
      </c>
      <c r="BC5" s="5" t="inlineStr">
        <is>
          <t>landed_ex_port_inr_t</t>
        </is>
      </c>
      <c r="BD5" s="5" t="inlineStr">
        <is>
          <t>net_arb_pit_mix_inr_t</t>
        </is>
      </c>
      <c r="BE5" s="5" t="inlineStr">
        <is>
          <t>net_arb_conv18k_inr_t</t>
        </is>
      </c>
      <c r="BF5" s="5" t="inlineStr">
        <is>
          <t>open_base</t>
        </is>
      </c>
      <c r="BG5" s="5" t="inlineStr">
        <is>
          <t>open_pit_mix</t>
        </is>
      </c>
      <c r="BH5" s="5" t="inlineStr">
        <is>
          <t>open_conv18k</t>
        </is>
      </c>
      <c r="BI5" s="5" t="inlineStr">
        <is>
          <t>trade_eligible</t>
        </is>
      </c>
      <c r="BJ5" s="5" t="inlineStr">
        <is>
          <t>trade_eligible_n</t>
        </is>
      </c>
    </row>
    <row r="6">
      <c r="A6" s="11" t="n">
        <v>44568</v>
      </c>
      <c r="B6" s="11" t="n">
        <v>44568</v>
      </c>
      <c r="C6" s="7" t="inlineStr">
        <is>
          <t>zorba</t>
        </is>
      </c>
      <c r="D6" s="7" t="inlineStr">
        <is>
          <t>JEA_NSA</t>
        </is>
      </c>
      <c r="E6" s="17" t="b">
        <v>0</v>
      </c>
      <c r="F6" s="16">
        <f>INDEX(Market_Weekly!$E$6:$E$48,MATCH($A6,Market_Weekly!$A$6:$A$48,0))</f>
        <v/>
      </c>
      <c r="G6" s="16">
        <f>INDEX(Market_Weekly!$D$6:$D$48,MATCH($A6,Market_Weekly!$A$6:$A$48,0))</f>
        <v/>
      </c>
      <c r="H6" s="16">
        <f>INDEX(Market_Weekly!$G$6:$G$48,MATCH($A6,Market_Weekly!$A$6:$A$48,0))</f>
        <v/>
      </c>
      <c r="I6" s="8">
        <f>INDEX(Market_Weekly!$H$6:$H$48,MATCH($A6,Market_Weekly!$A$6:$A$48,0))</f>
        <v/>
      </c>
      <c r="J6" s="8">
        <f>INDEX(Market_Weekly!$Q$6:$Q$48,MATCH($A6,Market_Weekly!$A$6:$A$48,0))</f>
        <v/>
      </c>
      <c r="K6" s="8">
        <f>INDEX(Market_Weekly!$V$6:$V$48,MATCH($A6,Market_Weekly!$A$6:$A$48,0))</f>
        <v/>
      </c>
      <c r="L6" s="16">
        <f>IF($D6="JEA_NSA",INDEX(Market_Weekly!$N$6:$N$48,MATCH($A6,Market_Weekly!$A$6:$A$48,0)),INDEX(Market_Weekly!$O$6:$O$48,MATCH($A6,Market_Weekly!$A$6:$A$48,0)))</f>
        <v/>
      </c>
      <c r="M6" s="8">
        <f>IF($D6="JEA_NSA","M1","M2")</f>
        <v/>
      </c>
      <c r="N6" s="16">
        <f>IF($D6="JEA_NSA",INDEX(Market_Weekly!$L$6:$L$48,MATCH($A6,Market_Weekly!$A$6:$A$48,0)),INDEX(Market_Weekly!$M$6:$M$48,MATCH($A6,Market_Weekly!$A$6:$A$48,0)))</f>
        <v/>
      </c>
      <c r="O6" s="15">
        <f>INDEX(Market_Weekly!$P$6:$P$48,MATCH($A6,Market_Weekly!$A$6:$A$48,0))</f>
        <v/>
      </c>
      <c r="P6" s="8">
        <f>INDEX(Market_Weekly!$R$6:$T$48,MATCH($A6,Market_Weekly!$A$6:$A$48,0),MATCH("grade_factor_"&amp;$C6,Market_Weekly!$R$5:$T$5,0))</f>
        <v/>
      </c>
      <c r="Q6" s="8">
        <f>INDEX(Market_Weekly!$U$6:$U$48,MATCH($A6,Market_Weekly!$A$6:$A$48,0))</f>
        <v/>
      </c>
      <c r="R6" s="8">
        <f>IF($D6="JEA_NSA","20ft","40ft")</f>
        <v/>
      </c>
      <c r="S6" s="8">
        <f>IF($D6="JEA_NSA","nsa","mun")</f>
        <v/>
      </c>
      <c r="T6" s="8">
        <f>IF($D6="JEA_NSA","jea_nsa","usec_mun")</f>
        <v/>
      </c>
      <c r="U6" s="16">
        <f>INDEX(param_values,MATCH("container_payload_mt_"&amp;$R6,param_keys,0))</f>
        <v/>
      </c>
      <c r="V6" s="16">
        <f>INDEX(param_values,MATCH("container_payload_mt_"&amp;$R6&amp;"_"&amp;$C6,param_keys,0))</f>
        <v/>
      </c>
      <c r="W6" s="16">
        <f>INDEX(param_values,MATCH("container_payload_mt_20ft_"&amp;$C6,param_keys,0))</f>
        <v/>
      </c>
      <c r="X6" s="18">
        <f>INDEX(param_values,MATCH("port_cf_charges_inr_t_"&amp;$S6,param_keys,0))</f>
        <v/>
      </c>
      <c r="Y6" s="8">
        <f>INDEX(param_values,MATCH(IF($D6="JEA_NSA","psic_required_uae_origin","psic_required_safe_origin_designated_port"),param_keys,0))</f>
        <v/>
      </c>
      <c r="Z6" s="19">
        <f>INDEX(param_values,MATCH("finance_days_"&amp;$T6,param_keys,0))</f>
        <v/>
      </c>
      <c r="AA6" s="15">
        <f>INDEX(param_values,MATCH("moisture_frac_"&amp;$C6,param_keys,0))</f>
        <v/>
      </c>
      <c r="AB6" s="15">
        <f>INDEX(param_values,MATCH("contamination_frac_"&amp;$C6,param_keys,0))</f>
        <v/>
      </c>
      <c r="AC6" s="15">
        <f>INDEX(param_values,MATCH("metal_yield_frac_"&amp;$C6,param_keys,0))</f>
        <v/>
      </c>
      <c r="AD6" s="15">
        <f>INDEX(param_values,MATCH("heavies_frac_"&amp;$C6,param_keys,0))</f>
        <v/>
      </c>
      <c r="AE6" s="8">
        <f>INDEX(param_values,MATCH("grade_factor_diff_"&amp;$C6,param_keys,0))</f>
        <v/>
      </c>
      <c r="AF6" s="16">
        <f>$F6*$P6</f>
        <v/>
      </c>
      <c r="AG6" s="8">
        <f>$U6/$V6</f>
        <v/>
      </c>
      <c r="AH6" s="16">
        <f>$L6*$AG6</f>
        <v/>
      </c>
      <c r="AI6" s="16">
        <f>$AF6-$AH6</f>
        <v/>
      </c>
      <c r="AJ6" s="16">
        <f>insurance_rate*insured_value_uplift*$AF6</f>
        <v/>
      </c>
      <c r="AK6" s="16">
        <f>$AF6+$AJ6</f>
        <v/>
      </c>
      <c r="AL6" s="18">
        <f>$AK6*$J6</f>
        <v/>
      </c>
      <c r="AM6" s="18">
        <f>$AK6*$I6</f>
        <v/>
      </c>
      <c r="AN6" s="18">
        <f>$AL6*bcd_scrap_hs7602</f>
        <v/>
      </c>
      <c r="AO6" s="18">
        <f>$AN6*sws_rate_on_bcd</f>
        <v/>
      </c>
      <c r="AP6" s="18">
        <f>($AL6+$AN6+$AO6)*igst_rate_hs7602</f>
        <v/>
      </c>
      <c r="AQ6" s="18">
        <f>$X6*$AG6+IF($Y6,psic_cost_usd_per_box*$H6/$W6,0)</f>
        <v/>
      </c>
      <c r="AR6" s="18">
        <f>($AM6+$AN6+$AO6)*$Z6/day_count_inr*$O6</f>
        <v/>
      </c>
      <c r="AS6" s="18">
        <f>$AP6*igst_credit_lag_days/day_count_inr*$O6</f>
        <v/>
      </c>
      <c r="AT6" s="18">
        <f>$AM6+$AN6+$AO6+$AQ6+$AR6+$AS6+IF(igst_itc_available,0,$AP6)</f>
        <v/>
      </c>
      <c r="AU6" s="15">
        <f>(1-$AA6)*(1-$AB6)*$AC6</f>
        <v/>
      </c>
      <c r="AV6" s="18">
        <f>$N6*kg_per_mt+domestic_anchor_premium_inr_t</f>
        <v/>
      </c>
      <c r="AW6" s="18">
        <f>(1-$AA6)*$AD6*heavies_net_value_frac_of_lme_al*$F6*$H6</f>
        <v/>
      </c>
      <c r="AX6" s="18">
        <f>conversion_cost_inr_t*$AU6</f>
        <v/>
      </c>
      <c r="AY6" s="18">
        <f>$AV6*$AU6+$AW6-$AT6-$AX6</f>
        <v/>
      </c>
      <c r="AZ6" s="16">
        <f>$AY6/$H6</f>
        <v/>
      </c>
      <c r="BA6" s="8">
        <f>$AY6&gt;margin_threshold_inr_t</f>
        <v/>
      </c>
      <c r="BB6" s="8">
        <f>$Q6+$AE6</f>
        <v/>
      </c>
      <c r="BC6" s="18">
        <f>$AT6-$AQ6</f>
        <v/>
      </c>
      <c r="BD6" s="18">
        <f>$AY6-$BC6*($BB6/$P6-1)</f>
        <v/>
      </c>
      <c r="BE6" s="18">
        <f>$AY6-(conv_step_5a-conversion_cost_inr_t)*$AU6</f>
        <v/>
      </c>
      <c r="BF6" s="8">
        <f>$BA6</f>
        <v/>
      </c>
      <c r="BG6" s="8">
        <f>$BD6&gt;margin_threshold_inr_t</f>
        <v/>
      </c>
      <c r="BH6" s="8">
        <f>$BE6&gt;margin_threshold_inr_t</f>
        <v/>
      </c>
      <c r="BI6" s="8">
        <f>AND($BF6,$BG6,$BH6)</f>
        <v/>
      </c>
      <c r="BJ6" s="8">
        <f>IF($BI6,1,0)</f>
        <v/>
      </c>
    </row>
    <row r="7">
      <c r="A7" s="11" t="n">
        <v>44568</v>
      </c>
      <c r="B7" s="11" t="n">
        <v>44568</v>
      </c>
      <c r="C7" s="7" t="inlineStr">
        <is>
          <t>zorba</t>
        </is>
      </c>
      <c r="D7" s="7" t="inlineStr">
        <is>
          <t>USEC_MUN</t>
        </is>
      </c>
      <c r="E7" s="17" t="b">
        <v>0</v>
      </c>
      <c r="F7" s="16">
        <f>INDEX(Market_Weekly!$E$6:$E$48,MATCH($A7,Market_Weekly!$A$6:$A$48,0))</f>
        <v/>
      </c>
      <c r="G7" s="16">
        <f>INDEX(Market_Weekly!$D$6:$D$48,MATCH($A7,Market_Weekly!$A$6:$A$48,0))</f>
        <v/>
      </c>
      <c r="H7" s="16">
        <f>INDEX(Market_Weekly!$G$6:$G$48,MATCH($A7,Market_Weekly!$A$6:$A$48,0))</f>
        <v/>
      </c>
      <c r="I7" s="8">
        <f>INDEX(Market_Weekly!$H$6:$H$48,MATCH($A7,Market_Weekly!$A$6:$A$48,0))</f>
        <v/>
      </c>
      <c r="J7" s="8">
        <f>INDEX(Market_Weekly!$Q$6:$Q$48,MATCH($A7,Market_Weekly!$A$6:$A$48,0))</f>
        <v/>
      </c>
      <c r="K7" s="8">
        <f>INDEX(Market_Weekly!$V$6:$V$48,MATCH($A7,Market_Weekly!$A$6:$A$48,0))</f>
        <v/>
      </c>
      <c r="L7" s="16">
        <f>IF($D7="JEA_NSA",INDEX(Market_Weekly!$N$6:$N$48,MATCH($A7,Market_Weekly!$A$6:$A$48,0)),INDEX(Market_Weekly!$O$6:$O$48,MATCH($A7,Market_Weekly!$A$6:$A$48,0)))</f>
        <v/>
      </c>
      <c r="M7" s="8">
        <f>IF($D7="JEA_NSA","M1","M2")</f>
        <v/>
      </c>
      <c r="N7" s="16">
        <f>IF($D7="JEA_NSA",INDEX(Market_Weekly!$L$6:$L$48,MATCH($A7,Market_Weekly!$A$6:$A$48,0)),INDEX(Market_Weekly!$M$6:$M$48,MATCH($A7,Market_Weekly!$A$6:$A$48,0)))</f>
        <v/>
      </c>
      <c r="O7" s="15">
        <f>INDEX(Market_Weekly!$P$6:$P$48,MATCH($A7,Market_Weekly!$A$6:$A$48,0))</f>
        <v/>
      </c>
      <c r="P7" s="8">
        <f>INDEX(Market_Weekly!$R$6:$T$48,MATCH($A7,Market_Weekly!$A$6:$A$48,0),MATCH("grade_factor_"&amp;$C7,Market_Weekly!$R$5:$T$5,0))</f>
        <v/>
      </c>
      <c r="Q7" s="8">
        <f>INDEX(Market_Weekly!$U$6:$U$48,MATCH($A7,Market_Weekly!$A$6:$A$48,0))</f>
        <v/>
      </c>
      <c r="R7" s="8">
        <f>IF($D7="JEA_NSA","20ft","40ft")</f>
        <v/>
      </c>
      <c r="S7" s="8">
        <f>IF($D7="JEA_NSA","nsa","mun")</f>
        <v/>
      </c>
      <c r="T7" s="8">
        <f>IF($D7="JEA_NSA","jea_nsa","usec_mun")</f>
        <v/>
      </c>
      <c r="U7" s="16">
        <f>INDEX(param_values,MATCH("container_payload_mt_"&amp;$R7,param_keys,0))</f>
        <v/>
      </c>
      <c r="V7" s="16">
        <f>INDEX(param_values,MATCH("container_payload_mt_"&amp;$R7&amp;"_"&amp;$C7,param_keys,0))</f>
        <v/>
      </c>
      <c r="W7" s="16">
        <f>INDEX(param_values,MATCH("container_payload_mt_20ft_"&amp;$C7,param_keys,0))</f>
        <v/>
      </c>
      <c r="X7" s="18">
        <f>INDEX(param_values,MATCH("port_cf_charges_inr_t_"&amp;$S7,param_keys,0))</f>
        <v/>
      </c>
      <c r="Y7" s="8">
        <f>INDEX(param_values,MATCH(IF($D7="JEA_NSA","psic_required_uae_origin","psic_required_safe_origin_designated_port"),param_keys,0))</f>
        <v/>
      </c>
      <c r="Z7" s="19">
        <f>INDEX(param_values,MATCH("finance_days_"&amp;$T7,param_keys,0))</f>
        <v/>
      </c>
      <c r="AA7" s="15">
        <f>INDEX(param_values,MATCH("moisture_frac_"&amp;$C7,param_keys,0))</f>
        <v/>
      </c>
      <c r="AB7" s="15">
        <f>INDEX(param_values,MATCH("contamination_frac_"&amp;$C7,param_keys,0))</f>
        <v/>
      </c>
      <c r="AC7" s="15">
        <f>INDEX(param_values,MATCH("metal_yield_frac_"&amp;$C7,param_keys,0))</f>
        <v/>
      </c>
      <c r="AD7" s="15">
        <f>INDEX(param_values,MATCH("heavies_frac_"&amp;$C7,param_keys,0))</f>
        <v/>
      </c>
      <c r="AE7" s="8">
        <f>INDEX(param_values,MATCH("grade_factor_diff_"&amp;$C7,param_keys,0))</f>
        <v/>
      </c>
      <c r="AF7" s="16">
        <f>$F7*$P7</f>
        <v/>
      </c>
      <c r="AG7" s="8">
        <f>$U7/$V7</f>
        <v/>
      </c>
      <c r="AH7" s="16">
        <f>$L7*$AG7</f>
        <v/>
      </c>
      <c r="AI7" s="16">
        <f>$AF7-$AH7</f>
        <v/>
      </c>
      <c r="AJ7" s="16">
        <f>insurance_rate*insured_value_uplift*$AF7</f>
        <v/>
      </c>
      <c r="AK7" s="16">
        <f>$AF7+$AJ7</f>
        <v/>
      </c>
      <c r="AL7" s="18">
        <f>$AK7*$J7</f>
        <v/>
      </c>
      <c r="AM7" s="18">
        <f>$AK7*$I7</f>
        <v/>
      </c>
      <c r="AN7" s="18">
        <f>$AL7*bcd_scrap_hs7602</f>
        <v/>
      </c>
      <c r="AO7" s="18">
        <f>$AN7*sws_rate_on_bcd</f>
        <v/>
      </c>
      <c r="AP7" s="18">
        <f>($AL7+$AN7+$AO7)*igst_rate_hs7602</f>
        <v/>
      </c>
      <c r="AQ7" s="18">
        <f>$X7*$AG7+IF($Y7,psic_cost_usd_per_box*$H7/$W7,0)</f>
        <v/>
      </c>
      <c r="AR7" s="18">
        <f>($AM7+$AN7+$AO7)*$Z7/day_count_inr*$O7</f>
        <v/>
      </c>
      <c r="AS7" s="18">
        <f>$AP7*igst_credit_lag_days/day_count_inr*$O7</f>
        <v/>
      </c>
      <c r="AT7" s="18">
        <f>$AM7+$AN7+$AO7+$AQ7+$AR7+$AS7+IF(igst_itc_available,0,$AP7)</f>
        <v/>
      </c>
      <c r="AU7" s="15">
        <f>(1-$AA7)*(1-$AB7)*$AC7</f>
        <v/>
      </c>
      <c r="AV7" s="18">
        <f>$N7*kg_per_mt+domestic_anchor_premium_inr_t</f>
        <v/>
      </c>
      <c r="AW7" s="18">
        <f>(1-$AA7)*$AD7*heavies_net_value_frac_of_lme_al*$F7*$H7</f>
        <v/>
      </c>
      <c r="AX7" s="18">
        <f>conversion_cost_inr_t*$AU7</f>
        <v/>
      </c>
      <c r="AY7" s="18">
        <f>$AV7*$AU7+$AW7-$AT7-$AX7</f>
        <v/>
      </c>
      <c r="AZ7" s="16">
        <f>$AY7/$H7</f>
        <v/>
      </c>
      <c r="BA7" s="8">
        <f>$AY7&gt;margin_threshold_inr_t</f>
        <v/>
      </c>
      <c r="BB7" s="8">
        <f>$Q7+$AE7</f>
        <v/>
      </c>
      <c r="BC7" s="18">
        <f>$AT7-$AQ7</f>
        <v/>
      </c>
      <c r="BD7" s="18">
        <f>$AY7-$BC7*($BB7/$P7-1)</f>
        <v/>
      </c>
      <c r="BE7" s="18">
        <f>$AY7-(conv_step_5a-conversion_cost_inr_t)*$AU7</f>
        <v/>
      </c>
      <c r="BF7" s="8">
        <f>$BA7</f>
        <v/>
      </c>
      <c r="BG7" s="8">
        <f>$BD7&gt;margin_threshold_inr_t</f>
        <v/>
      </c>
      <c r="BH7" s="8">
        <f>$BE7&gt;margin_threshold_inr_t</f>
        <v/>
      </c>
      <c r="BI7" s="8">
        <f>AND($BF7,$BG7,$BH7)</f>
        <v/>
      </c>
      <c r="BJ7" s="8">
        <f>IF($BI7,1,0)</f>
        <v/>
      </c>
    </row>
    <row r="8">
      <c r="A8" s="11" t="n">
        <v>44568</v>
      </c>
      <c r="B8" s="11" t="n">
        <v>44568</v>
      </c>
      <c r="C8" s="7" t="inlineStr">
        <is>
          <t>taint_tabor</t>
        </is>
      </c>
      <c r="D8" s="7" t="inlineStr">
        <is>
          <t>JEA_NSA</t>
        </is>
      </c>
      <c r="E8" s="17" t="b">
        <v>0</v>
      </c>
      <c r="F8" s="16">
        <f>INDEX(Market_Weekly!$E$6:$E$48,MATCH($A8,Market_Weekly!$A$6:$A$48,0))</f>
        <v/>
      </c>
      <c r="G8" s="16">
        <f>INDEX(Market_Weekly!$D$6:$D$48,MATCH($A8,Market_Weekly!$A$6:$A$48,0))</f>
        <v/>
      </c>
      <c r="H8" s="16">
        <f>INDEX(Market_Weekly!$G$6:$G$48,MATCH($A8,Market_Weekly!$A$6:$A$48,0))</f>
        <v/>
      </c>
      <c r="I8" s="8">
        <f>INDEX(Market_Weekly!$H$6:$H$48,MATCH($A8,Market_Weekly!$A$6:$A$48,0))</f>
        <v/>
      </c>
      <c r="J8" s="8">
        <f>INDEX(Market_Weekly!$Q$6:$Q$48,MATCH($A8,Market_Weekly!$A$6:$A$48,0))</f>
        <v/>
      </c>
      <c r="K8" s="8">
        <f>INDEX(Market_Weekly!$V$6:$V$48,MATCH($A8,Market_Weekly!$A$6:$A$48,0))</f>
        <v/>
      </c>
      <c r="L8" s="16">
        <f>IF($D8="JEA_NSA",INDEX(Market_Weekly!$N$6:$N$48,MATCH($A8,Market_Weekly!$A$6:$A$48,0)),INDEX(Market_Weekly!$O$6:$O$48,MATCH($A8,Market_Weekly!$A$6:$A$48,0)))</f>
        <v/>
      </c>
      <c r="M8" s="8">
        <f>IF($D8="JEA_NSA","M1","M2")</f>
        <v/>
      </c>
      <c r="N8" s="16">
        <f>IF($D8="JEA_NSA",INDEX(Market_Weekly!$L$6:$L$48,MATCH($A8,Market_Weekly!$A$6:$A$48,0)),INDEX(Market_Weekly!$M$6:$M$48,MATCH($A8,Market_Weekly!$A$6:$A$48,0)))</f>
        <v/>
      </c>
      <c r="O8" s="15">
        <f>INDEX(Market_Weekly!$P$6:$P$48,MATCH($A8,Market_Weekly!$A$6:$A$48,0))</f>
        <v/>
      </c>
      <c r="P8" s="8">
        <f>INDEX(Market_Weekly!$R$6:$T$48,MATCH($A8,Market_Weekly!$A$6:$A$48,0),MATCH("grade_factor_"&amp;$C8,Market_Weekly!$R$5:$T$5,0))</f>
        <v/>
      </c>
      <c r="Q8" s="8">
        <f>INDEX(Market_Weekly!$U$6:$U$48,MATCH($A8,Market_Weekly!$A$6:$A$48,0))</f>
        <v/>
      </c>
      <c r="R8" s="8">
        <f>IF($D8="JEA_NSA","20ft","40ft")</f>
        <v/>
      </c>
      <c r="S8" s="8">
        <f>IF($D8="JEA_NSA","nsa","mun")</f>
        <v/>
      </c>
      <c r="T8" s="8">
        <f>IF($D8="JEA_NSA","jea_nsa","usec_mun")</f>
        <v/>
      </c>
      <c r="U8" s="16">
        <f>INDEX(param_values,MATCH("container_payload_mt_"&amp;$R8,param_keys,0))</f>
        <v/>
      </c>
      <c r="V8" s="16">
        <f>INDEX(param_values,MATCH("container_payload_mt_"&amp;$R8&amp;"_"&amp;$C8,param_keys,0))</f>
        <v/>
      </c>
      <c r="W8" s="16">
        <f>INDEX(param_values,MATCH("container_payload_mt_20ft_"&amp;$C8,param_keys,0))</f>
        <v/>
      </c>
      <c r="X8" s="18">
        <f>INDEX(param_values,MATCH("port_cf_charges_inr_t_"&amp;$S8,param_keys,0))</f>
        <v/>
      </c>
      <c r="Y8" s="8">
        <f>INDEX(param_values,MATCH(IF($D8="JEA_NSA","psic_required_uae_origin","psic_required_safe_origin_designated_port"),param_keys,0))</f>
        <v/>
      </c>
      <c r="Z8" s="19">
        <f>INDEX(param_values,MATCH("finance_days_"&amp;$T8,param_keys,0))</f>
        <v/>
      </c>
      <c r="AA8" s="15">
        <f>INDEX(param_values,MATCH("moisture_frac_"&amp;$C8,param_keys,0))</f>
        <v/>
      </c>
      <c r="AB8" s="15">
        <f>INDEX(param_values,MATCH("contamination_frac_"&amp;$C8,param_keys,0))</f>
        <v/>
      </c>
      <c r="AC8" s="15">
        <f>INDEX(param_values,MATCH("metal_yield_frac_"&amp;$C8,param_keys,0))</f>
        <v/>
      </c>
      <c r="AD8" s="15">
        <f>INDEX(param_values,MATCH("heavies_frac_"&amp;$C8,param_keys,0))</f>
        <v/>
      </c>
      <c r="AE8" s="8">
        <f>INDEX(param_values,MATCH("grade_factor_diff_"&amp;$C8,param_keys,0))</f>
        <v/>
      </c>
      <c r="AF8" s="16">
        <f>$F8*$P8</f>
        <v/>
      </c>
      <c r="AG8" s="8">
        <f>$U8/$V8</f>
        <v/>
      </c>
      <c r="AH8" s="16">
        <f>$L8*$AG8</f>
        <v/>
      </c>
      <c r="AI8" s="16">
        <f>$AF8-$AH8</f>
        <v/>
      </c>
      <c r="AJ8" s="16">
        <f>insurance_rate*insured_value_uplift*$AF8</f>
        <v/>
      </c>
      <c r="AK8" s="16">
        <f>$AF8+$AJ8</f>
        <v/>
      </c>
      <c r="AL8" s="18">
        <f>$AK8*$J8</f>
        <v/>
      </c>
      <c r="AM8" s="18">
        <f>$AK8*$I8</f>
        <v/>
      </c>
      <c r="AN8" s="18">
        <f>$AL8*bcd_scrap_hs7602</f>
        <v/>
      </c>
      <c r="AO8" s="18">
        <f>$AN8*sws_rate_on_bcd</f>
        <v/>
      </c>
      <c r="AP8" s="18">
        <f>($AL8+$AN8+$AO8)*igst_rate_hs7602</f>
        <v/>
      </c>
      <c r="AQ8" s="18">
        <f>$X8*$AG8+IF($Y8,psic_cost_usd_per_box*$H8/$W8,0)</f>
        <v/>
      </c>
      <c r="AR8" s="18">
        <f>($AM8+$AN8+$AO8)*$Z8/day_count_inr*$O8</f>
        <v/>
      </c>
      <c r="AS8" s="18">
        <f>$AP8*igst_credit_lag_days/day_count_inr*$O8</f>
        <v/>
      </c>
      <c r="AT8" s="18">
        <f>$AM8+$AN8+$AO8+$AQ8+$AR8+$AS8+IF(igst_itc_available,0,$AP8)</f>
        <v/>
      </c>
      <c r="AU8" s="15">
        <f>(1-$AA8)*(1-$AB8)*$AC8</f>
        <v/>
      </c>
      <c r="AV8" s="18">
        <f>$N8*kg_per_mt+domestic_anchor_premium_inr_t</f>
        <v/>
      </c>
      <c r="AW8" s="18">
        <f>(1-$AA8)*$AD8*heavies_net_value_frac_of_lme_al*$F8*$H8</f>
        <v/>
      </c>
      <c r="AX8" s="18">
        <f>conversion_cost_inr_t*$AU8</f>
        <v/>
      </c>
      <c r="AY8" s="18">
        <f>$AV8*$AU8+$AW8-$AT8-$AX8</f>
        <v/>
      </c>
      <c r="AZ8" s="16">
        <f>$AY8/$H8</f>
        <v/>
      </c>
      <c r="BA8" s="8">
        <f>$AY8&gt;margin_threshold_inr_t</f>
        <v/>
      </c>
      <c r="BB8" s="8">
        <f>$Q8+$AE8</f>
        <v/>
      </c>
      <c r="BC8" s="18">
        <f>$AT8-$AQ8</f>
        <v/>
      </c>
      <c r="BD8" s="18">
        <f>$AY8-$BC8*($BB8/$P8-1)</f>
        <v/>
      </c>
      <c r="BE8" s="18">
        <f>$AY8-(conv_step_5a-conversion_cost_inr_t)*$AU8</f>
        <v/>
      </c>
      <c r="BF8" s="8">
        <f>$BA8</f>
        <v/>
      </c>
      <c r="BG8" s="8">
        <f>$BD8&gt;margin_threshold_inr_t</f>
        <v/>
      </c>
      <c r="BH8" s="8">
        <f>$BE8&gt;margin_threshold_inr_t</f>
        <v/>
      </c>
      <c r="BI8" s="8">
        <f>AND($BF8,$BG8,$BH8)</f>
        <v/>
      </c>
      <c r="BJ8" s="8">
        <f>IF($BI8,1,0)</f>
        <v/>
      </c>
    </row>
    <row r="9">
      <c r="A9" s="11" t="n">
        <v>44568</v>
      </c>
      <c r="B9" s="11" t="n">
        <v>44568</v>
      </c>
      <c r="C9" s="7" t="inlineStr">
        <is>
          <t>taint_tabor</t>
        </is>
      </c>
      <c r="D9" s="7" t="inlineStr">
        <is>
          <t>USEC_MUN</t>
        </is>
      </c>
      <c r="E9" s="17" t="b">
        <v>0</v>
      </c>
      <c r="F9" s="16">
        <f>INDEX(Market_Weekly!$E$6:$E$48,MATCH($A9,Market_Weekly!$A$6:$A$48,0))</f>
        <v/>
      </c>
      <c r="G9" s="16">
        <f>INDEX(Market_Weekly!$D$6:$D$48,MATCH($A9,Market_Weekly!$A$6:$A$48,0))</f>
        <v/>
      </c>
      <c r="H9" s="16">
        <f>INDEX(Market_Weekly!$G$6:$G$48,MATCH($A9,Market_Weekly!$A$6:$A$48,0))</f>
        <v/>
      </c>
      <c r="I9" s="8">
        <f>INDEX(Market_Weekly!$H$6:$H$48,MATCH($A9,Market_Weekly!$A$6:$A$48,0))</f>
        <v/>
      </c>
      <c r="J9" s="8">
        <f>INDEX(Market_Weekly!$Q$6:$Q$48,MATCH($A9,Market_Weekly!$A$6:$A$48,0))</f>
        <v/>
      </c>
      <c r="K9" s="8">
        <f>INDEX(Market_Weekly!$V$6:$V$48,MATCH($A9,Market_Weekly!$A$6:$A$48,0))</f>
        <v/>
      </c>
      <c r="L9" s="16">
        <f>IF($D9="JEA_NSA",INDEX(Market_Weekly!$N$6:$N$48,MATCH($A9,Market_Weekly!$A$6:$A$48,0)),INDEX(Market_Weekly!$O$6:$O$48,MATCH($A9,Market_Weekly!$A$6:$A$48,0)))</f>
        <v/>
      </c>
      <c r="M9" s="8">
        <f>IF($D9="JEA_NSA","M1","M2")</f>
        <v/>
      </c>
      <c r="N9" s="16">
        <f>IF($D9="JEA_NSA",INDEX(Market_Weekly!$L$6:$L$48,MATCH($A9,Market_Weekly!$A$6:$A$48,0)),INDEX(Market_Weekly!$M$6:$M$48,MATCH($A9,Market_Weekly!$A$6:$A$48,0)))</f>
        <v/>
      </c>
      <c r="O9" s="15">
        <f>INDEX(Market_Weekly!$P$6:$P$48,MATCH($A9,Market_Weekly!$A$6:$A$48,0))</f>
        <v/>
      </c>
      <c r="P9" s="8">
        <f>INDEX(Market_Weekly!$R$6:$T$48,MATCH($A9,Market_Weekly!$A$6:$A$48,0),MATCH("grade_factor_"&amp;$C9,Market_Weekly!$R$5:$T$5,0))</f>
        <v/>
      </c>
      <c r="Q9" s="8">
        <f>INDEX(Market_Weekly!$U$6:$U$48,MATCH($A9,Market_Weekly!$A$6:$A$48,0))</f>
        <v/>
      </c>
      <c r="R9" s="8">
        <f>IF($D9="JEA_NSA","20ft","40ft")</f>
        <v/>
      </c>
      <c r="S9" s="8">
        <f>IF($D9="JEA_NSA","nsa","mun")</f>
        <v/>
      </c>
      <c r="T9" s="8">
        <f>IF($D9="JEA_NSA","jea_nsa","usec_mun")</f>
        <v/>
      </c>
      <c r="U9" s="16">
        <f>INDEX(param_values,MATCH("container_payload_mt_"&amp;$R9,param_keys,0))</f>
        <v/>
      </c>
      <c r="V9" s="16">
        <f>INDEX(param_values,MATCH("container_payload_mt_"&amp;$R9&amp;"_"&amp;$C9,param_keys,0))</f>
        <v/>
      </c>
      <c r="W9" s="16">
        <f>INDEX(param_values,MATCH("container_payload_mt_20ft_"&amp;$C9,param_keys,0))</f>
        <v/>
      </c>
      <c r="X9" s="18">
        <f>INDEX(param_values,MATCH("port_cf_charges_inr_t_"&amp;$S9,param_keys,0))</f>
        <v/>
      </c>
      <c r="Y9" s="8">
        <f>INDEX(param_values,MATCH(IF($D9="JEA_NSA","psic_required_uae_origin","psic_required_safe_origin_designated_port"),param_keys,0))</f>
        <v/>
      </c>
      <c r="Z9" s="19">
        <f>INDEX(param_values,MATCH("finance_days_"&amp;$T9,param_keys,0))</f>
        <v/>
      </c>
      <c r="AA9" s="15">
        <f>INDEX(param_values,MATCH("moisture_frac_"&amp;$C9,param_keys,0))</f>
        <v/>
      </c>
      <c r="AB9" s="15">
        <f>INDEX(param_values,MATCH("contamination_frac_"&amp;$C9,param_keys,0))</f>
        <v/>
      </c>
      <c r="AC9" s="15">
        <f>INDEX(param_values,MATCH("metal_yield_frac_"&amp;$C9,param_keys,0))</f>
        <v/>
      </c>
      <c r="AD9" s="15">
        <f>INDEX(param_values,MATCH("heavies_frac_"&amp;$C9,param_keys,0))</f>
        <v/>
      </c>
      <c r="AE9" s="8">
        <f>INDEX(param_values,MATCH("grade_factor_diff_"&amp;$C9,param_keys,0))</f>
        <v/>
      </c>
      <c r="AF9" s="16">
        <f>$F9*$P9</f>
        <v/>
      </c>
      <c r="AG9" s="8">
        <f>$U9/$V9</f>
        <v/>
      </c>
      <c r="AH9" s="16">
        <f>$L9*$AG9</f>
        <v/>
      </c>
      <c r="AI9" s="16">
        <f>$AF9-$AH9</f>
        <v/>
      </c>
      <c r="AJ9" s="16">
        <f>insurance_rate*insured_value_uplift*$AF9</f>
        <v/>
      </c>
      <c r="AK9" s="16">
        <f>$AF9+$AJ9</f>
        <v/>
      </c>
      <c r="AL9" s="18">
        <f>$AK9*$J9</f>
        <v/>
      </c>
      <c r="AM9" s="18">
        <f>$AK9*$I9</f>
        <v/>
      </c>
      <c r="AN9" s="18">
        <f>$AL9*bcd_scrap_hs7602</f>
        <v/>
      </c>
      <c r="AO9" s="18">
        <f>$AN9*sws_rate_on_bcd</f>
        <v/>
      </c>
      <c r="AP9" s="18">
        <f>($AL9+$AN9+$AO9)*igst_rate_hs7602</f>
        <v/>
      </c>
      <c r="AQ9" s="18">
        <f>$X9*$AG9+IF($Y9,psic_cost_usd_per_box*$H9/$W9,0)</f>
        <v/>
      </c>
      <c r="AR9" s="18">
        <f>($AM9+$AN9+$AO9)*$Z9/day_count_inr*$O9</f>
        <v/>
      </c>
      <c r="AS9" s="18">
        <f>$AP9*igst_credit_lag_days/day_count_inr*$O9</f>
        <v/>
      </c>
      <c r="AT9" s="18">
        <f>$AM9+$AN9+$AO9+$AQ9+$AR9+$AS9+IF(igst_itc_available,0,$AP9)</f>
        <v/>
      </c>
      <c r="AU9" s="15">
        <f>(1-$AA9)*(1-$AB9)*$AC9</f>
        <v/>
      </c>
      <c r="AV9" s="18">
        <f>$N9*kg_per_mt+domestic_anchor_premium_inr_t</f>
        <v/>
      </c>
      <c r="AW9" s="18">
        <f>(1-$AA9)*$AD9*heavies_net_value_frac_of_lme_al*$F9*$H9</f>
        <v/>
      </c>
      <c r="AX9" s="18">
        <f>conversion_cost_inr_t*$AU9</f>
        <v/>
      </c>
      <c r="AY9" s="18">
        <f>$AV9*$AU9+$AW9-$AT9-$AX9</f>
        <v/>
      </c>
      <c r="AZ9" s="16">
        <f>$AY9/$H9</f>
        <v/>
      </c>
      <c r="BA9" s="8">
        <f>$AY9&gt;margin_threshold_inr_t</f>
        <v/>
      </c>
      <c r="BB9" s="8">
        <f>$Q9+$AE9</f>
        <v/>
      </c>
      <c r="BC9" s="18">
        <f>$AT9-$AQ9</f>
        <v/>
      </c>
      <c r="BD9" s="18">
        <f>$AY9-$BC9*($BB9/$P9-1)</f>
        <v/>
      </c>
      <c r="BE9" s="18">
        <f>$AY9-(conv_step_5a-conversion_cost_inr_t)*$AU9</f>
        <v/>
      </c>
      <c r="BF9" s="8">
        <f>$BA9</f>
        <v/>
      </c>
      <c r="BG9" s="8">
        <f>$BD9&gt;margin_threshold_inr_t</f>
        <v/>
      </c>
      <c r="BH9" s="8">
        <f>$BE9&gt;margin_threshold_inr_t</f>
        <v/>
      </c>
      <c r="BI9" s="8">
        <f>AND($BF9,$BG9,$BH9)</f>
        <v/>
      </c>
      <c r="BJ9" s="8">
        <f>IF($BI9,1,0)</f>
        <v/>
      </c>
    </row>
    <row r="10">
      <c r="A10" s="11" t="n">
        <v>44568</v>
      </c>
      <c r="B10" s="11" t="n">
        <v>44568</v>
      </c>
      <c r="C10" s="7" t="inlineStr">
        <is>
          <t>tense</t>
        </is>
      </c>
      <c r="D10" s="7" t="inlineStr">
        <is>
          <t>JEA_NSA</t>
        </is>
      </c>
      <c r="E10" s="17" t="b">
        <v>0</v>
      </c>
      <c r="F10" s="16">
        <f>INDEX(Market_Weekly!$E$6:$E$48,MATCH($A10,Market_Weekly!$A$6:$A$48,0))</f>
        <v/>
      </c>
      <c r="G10" s="16">
        <f>INDEX(Market_Weekly!$D$6:$D$48,MATCH($A10,Market_Weekly!$A$6:$A$48,0))</f>
        <v/>
      </c>
      <c r="H10" s="16">
        <f>INDEX(Market_Weekly!$G$6:$G$48,MATCH($A10,Market_Weekly!$A$6:$A$48,0))</f>
        <v/>
      </c>
      <c r="I10" s="8">
        <f>INDEX(Market_Weekly!$H$6:$H$48,MATCH($A10,Market_Weekly!$A$6:$A$48,0))</f>
        <v/>
      </c>
      <c r="J10" s="8">
        <f>INDEX(Market_Weekly!$Q$6:$Q$48,MATCH($A10,Market_Weekly!$A$6:$A$48,0))</f>
        <v/>
      </c>
      <c r="K10" s="8">
        <f>INDEX(Market_Weekly!$V$6:$V$48,MATCH($A10,Market_Weekly!$A$6:$A$48,0))</f>
        <v/>
      </c>
      <c r="L10" s="16">
        <f>IF($D10="JEA_NSA",INDEX(Market_Weekly!$N$6:$N$48,MATCH($A10,Market_Weekly!$A$6:$A$48,0)),INDEX(Market_Weekly!$O$6:$O$48,MATCH($A10,Market_Weekly!$A$6:$A$48,0)))</f>
        <v/>
      </c>
      <c r="M10" s="8">
        <f>IF($D10="JEA_NSA","M1","M2")</f>
        <v/>
      </c>
      <c r="N10" s="16">
        <f>IF($D10="JEA_NSA",INDEX(Market_Weekly!$L$6:$L$48,MATCH($A10,Market_Weekly!$A$6:$A$48,0)),INDEX(Market_Weekly!$M$6:$M$48,MATCH($A10,Market_Weekly!$A$6:$A$48,0)))</f>
        <v/>
      </c>
      <c r="O10" s="15">
        <f>INDEX(Market_Weekly!$P$6:$P$48,MATCH($A10,Market_Weekly!$A$6:$A$48,0))</f>
        <v/>
      </c>
      <c r="P10" s="8">
        <f>INDEX(Market_Weekly!$R$6:$T$48,MATCH($A10,Market_Weekly!$A$6:$A$48,0),MATCH("grade_factor_"&amp;$C10,Market_Weekly!$R$5:$T$5,0))</f>
        <v/>
      </c>
      <c r="Q10" s="8">
        <f>INDEX(Market_Weekly!$U$6:$U$48,MATCH($A10,Market_Weekly!$A$6:$A$48,0))</f>
        <v/>
      </c>
      <c r="R10" s="8">
        <f>IF($D10="JEA_NSA","20ft","40ft")</f>
        <v/>
      </c>
      <c r="S10" s="8">
        <f>IF($D10="JEA_NSA","nsa","mun")</f>
        <v/>
      </c>
      <c r="T10" s="8">
        <f>IF($D10="JEA_NSA","jea_nsa","usec_mun")</f>
        <v/>
      </c>
      <c r="U10" s="16">
        <f>INDEX(param_values,MATCH("container_payload_mt_"&amp;$R10,param_keys,0))</f>
        <v/>
      </c>
      <c r="V10" s="16">
        <f>INDEX(param_values,MATCH("container_payload_mt_"&amp;$R10&amp;"_"&amp;$C10,param_keys,0))</f>
        <v/>
      </c>
      <c r="W10" s="16">
        <f>INDEX(param_values,MATCH("container_payload_mt_20ft_"&amp;$C10,param_keys,0))</f>
        <v/>
      </c>
      <c r="X10" s="18">
        <f>INDEX(param_values,MATCH("port_cf_charges_inr_t_"&amp;$S10,param_keys,0))</f>
        <v/>
      </c>
      <c r="Y10" s="8">
        <f>INDEX(param_values,MATCH(IF($D10="JEA_NSA","psic_required_uae_origin","psic_required_safe_origin_designated_port"),param_keys,0))</f>
        <v/>
      </c>
      <c r="Z10" s="19">
        <f>INDEX(param_values,MATCH("finance_days_"&amp;$T10,param_keys,0))</f>
        <v/>
      </c>
      <c r="AA10" s="15">
        <f>INDEX(param_values,MATCH("moisture_frac_"&amp;$C10,param_keys,0))</f>
        <v/>
      </c>
      <c r="AB10" s="15">
        <f>INDEX(param_values,MATCH("contamination_frac_"&amp;$C10,param_keys,0))</f>
        <v/>
      </c>
      <c r="AC10" s="15">
        <f>INDEX(param_values,MATCH("metal_yield_frac_"&amp;$C10,param_keys,0))</f>
        <v/>
      </c>
      <c r="AD10" s="15">
        <f>INDEX(param_values,MATCH("heavies_frac_"&amp;$C10,param_keys,0))</f>
        <v/>
      </c>
      <c r="AE10" s="8">
        <f>INDEX(param_values,MATCH("grade_factor_diff_"&amp;$C10,param_keys,0))</f>
        <v/>
      </c>
      <c r="AF10" s="16">
        <f>$F10*$P10</f>
        <v/>
      </c>
      <c r="AG10" s="8">
        <f>$U10/$V10</f>
        <v/>
      </c>
      <c r="AH10" s="16">
        <f>$L10*$AG10</f>
        <v/>
      </c>
      <c r="AI10" s="16">
        <f>$AF10-$AH10</f>
        <v/>
      </c>
      <c r="AJ10" s="16">
        <f>insurance_rate*insured_value_uplift*$AF10</f>
        <v/>
      </c>
      <c r="AK10" s="16">
        <f>$AF10+$AJ10</f>
        <v/>
      </c>
      <c r="AL10" s="18">
        <f>$AK10*$J10</f>
        <v/>
      </c>
      <c r="AM10" s="18">
        <f>$AK10*$I10</f>
        <v/>
      </c>
      <c r="AN10" s="18">
        <f>$AL10*bcd_scrap_hs7602</f>
        <v/>
      </c>
      <c r="AO10" s="18">
        <f>$AN10*sws_rate_on_bcd</f>
        <v/>
      </c>
      <c r="AP10" s="18">
        <f>($AL10+$AN10+$AO10)*igst_rate_hs7602</f>
        <v/>
      </c>
      <c r="AQ10" s="18">
        <f>$X10*$AG10+IF($Y10,psic_cost_usd_per_box*$H10/$W10,0)</f>
        <v/>
      </c>
      <c r="AR10" s="18">
        <f>($AM10+$AN10+$AO10)*$Z10/day_count_inr*$O10</f>
        <v/>
      </c>
      <c r="AS10" s="18">
        <f>$AP10*igst_credit_lag_days/day_count_inr*$O10</f>
        <v/>
      </c>
      <c r="AT10" s="18">
        <f>$AM10+$AN10+$AO10+$AQ10+$AR10+$AS10+IF(igst_itc_available,0,$AP10)</f>
        <v/>
      </c>
      <c r="AU10" s="15">
        <f>(1-$AA10)*(1-$AB10)*$AC10</f>
        <v/>
      </c>
      <c r="AV10" s="18">
        <f>$N10*kg_per_mt+domestic_anchor_premium_inr_t</f>
        <v/>
      </c>
      <c r="AW10" s="18">
        <f>(1-$AA10)*$AD10*heavies_net_value_frac_of_lme_al*$F10*$H10</f>
        <v/>
      </c>
      <c r="AX10" s="18">
        <f>conversion_cost_inr_t*$AU10</f>
        <v/>
      </c>
      <c r="AY10" s="18">
        <f>$AV10*$AU10+$AW10-$AT10-$AX10</f>
        <v/>
      </c>
      <c r="AZ10" s="16">
        <f>$AY10/$H10</f>
        <v/>
      </c>
      <c r="BA10" s="8">
        <f>$AY10&gt;margin_threshold_inr_t</f>
        <v/>
      </c>
      <c r="BB10" s="8">
        <f>$Q10+$AE10</f>
        <v/>
      </c>
      <c r="BC10" s="18">
        <f>$AT10-$AQ10</f>
        <v/>
      </c>
      <c r="BD10" s="18">
        <f>$AY10-$BC10*($BB10/$P10-1)</f>
        <v/>
      </c>
      <c r="BE10" s="18">
        <f>$AY10-(conv_step_5a-conversion_cost_inr_t)*$AU10</f>
        <v/>
      </c>
      <c r="BF10" s="8">
        <f>$BA10</f>
        <v/>
      </c>
      <c r="BG10" s="8">
        <f>$BD10&gt;margin_threshold_inr_t</f>
        <v/>
      </c>
      <c r="BH10" s="8">
        <f>$BE10&gt;margin_threshold_inr_t</f>
        <v/>
      </c>
      <c r="BI10" s="8">
        <f>AND($BF10,$BG10,$BH10)</f>
        <v/>
      </c>
      <c r="BJ10" s="8">
        <f>IF($BI10,1,0)</f>
        <v/>
      </c>
    </row>
    <row r="11">
      <c r="A11" s="11" t="n">
        <v>44568</v>
      </c>
      <c r="B11" s="11" t="n">
        <v>44568</v>
      </c>
      <c r="C11" s="7" t="inlineStr">
        <is>
          <t>tense</t>
        </is>
      </c>
      <c r="D11" s="7" t="inlineStr">
        <is>
          <t>USEC_MUN</t>
        </is>
      </c>
      <c r="E11" s="17" t="b">
        <v>0</v>
      </c>
      <c r="F11" s="16">
        <f>INDEX(Market_Weekly!$E$6:$E$48,MATCH($A11,Market_Weekly!$A$6:$A$48,0))</f>
        <v/>
      </c>
      <c r="G11" s="16">
        <f>INDEX(Market_Weekly!$D$6:$D$48,MATCH($A11,Market_Weekly!$A$6:$A$48,0))</f>
        <v/>
      </c>
      <c r="H11" s="16">
        <f>INDEX(Market_Weekly!$G$6:$G$48,MATCH($A11,Market_Weekly!$A$6:$A$48,0))</f>
        <v/>
      </c>
      <c r="I11" s="8">
        <f>INDEX(Market_Weekly!$H$6:$H$48,MATCH($A11,Market_Weekly!$A$6:$A$48,0))</f>
        <v/>
      </c>
      <c r="J11" s="8">
        <f>INDEX(Market_Weekly!$Q$6:$Q$48,MATCH($A11,Market_Weekly!$A$6:$A$48,0))</f>
        <v/>
      </c>
      <c r="K11" s="8">
        <f>INDEX(Market_Weekly!$V$6:$V$48,MATCH($A11,Market_Weekly!$A$6:$A$48,0))</f>
        <v/>
      </c>
      <c r="L11" s="16">
        <f>IF($D11="JEA_NSA",INDEX(Market_Weekly!$N$6:$N$48,MATCH($A11,Market_Weekly!$A$6:$A$48,0)),INDEX(Market_Weekly!$O$6:$O$48,MATCH($A11,Market_Weekly!$A$6:$A$48,0)))</f>
        <v/>
      </c>
      <c r="M11" s="8">
        <f>IF($D11="JEA_NSA","M1","M2")</f>
        <v/>
      </c>
      <c r="N11" s="16">
        <f>IF($D11="JEA_NSA",INDEX(Market_Weekly!$L$6:$L$48,MATCH($A11,Market_Weekly!$A$6:$A$48,0)),INDEX(Market_Weekly!$M$6:$M$48,MATCH($A11,Market_Weekly!$A$6:$A$48,0)))</f>
        <v/>
      </c>
      <c r="O11" s="15">
        <f>INDEX(Market_Weekly!$P$6:$P$48,MATCH($A11,Market_Weekly!$A$6:$A$48,0))</f>
        <v/>
      </c>
      <c r="P11" s="8">
        <f>INDEX(Market_Weekly!$R$6:$T$48,MATCH($A11,Market_Weekly!$A$6:$A$48,0),MATCH("grade_factor_"&amp;$C11,Market_Weekly!$R$5:$T$5,0))</f>
        <v/>
      </c>
      <c r="Q11" s="8">
        <f>INDEX(Market_Weekly!$U$6:$U$48,MATCH($A11,Market_Weekly!$A$6:$A$48,0))</f>
        <v/>
      </c>
      <c r="R11" s="8">
        <f>IF($D11="JEA_NSA","20ft","40ft")</f>
        <v/>
      </c>
      <c r="S11" s="8">
        <f>IF($D11="JEA_NSA","nsa","mun")</f>
        <v/>
      </c>
      <c r="T11" s="8">
        <f>IF($D11="JEA_NSA","jea_nsa","usec_mun")</f>
        <v/>
      </c>
      <c r="U11" s="16">
        <f>INDEX(param_values,MATCH("container_payload_mt_"&amp;$R11,param_keys,0))</f>
        <v/>
      </c>
      <c r="V11" s="16">
        <f>INDEX(param_values,MATCH("container_payload_mt_"&amp;$R11&amp;"_"&amp;$C11,param_keys,0))</f>
        <v/>
      </c>
      <c r="W11" s="16">
        <f>INDEX(param_values,MATCH("container_payload_mt_20ft_"&amp;$C11,param_keys,0))</f>
        <v/>
      </c>
      <c r="X11" s="18">
        <f>INDEX(param_values,MATCH("port_cf_charges_inr_t_"&amp;$S11,param_keys,0))</f>
        <v/>
      </c>
      <c r="Y11" s="8">
        <f>INDEX(param_values,MATCH(IF($D11="JEA_NSA","psic_required_uae_origin","psic_required_safe_origin_designated_port"),param_keys,0))</f>
        <v/>
      </c>
      <c r="Z11" s="19">
        <f>INDEX(param_values,MATCH("finance_days_"&amp;$T11,param_keys,0))</f>
        <v/>
      </c>
      <c r="AA11" s="15">
        <f>INDEX(param_values,MATCH("moisture_frac_"&amp;$C11,param_keys,0))</f>
        <v/>
      </c>
      <c r="AB11" s="15">
        <f>INDEX(param_values,MATCH("contamination_frac_"&amp;$C11,param_keys,0))</f>
        <v/>
      </c>
      <c r="AC11" s="15">
        <f>INDEX(param_values,MATCH("metal_yield_frac_"&amp;$C11,param_keys,0))</f>
        <v/>
      </c>
      <c r="AD11" s="15">
        <f>INDEX(param_values,MATCH("heavies_frac_"&amp;$C11,param_keys,0))</f>
        <v/>
      </c>
      <c r="AE11" s="8">
        <f>INDEX(param_values,MATCH("grade_factor_diff_"&amp;$C11,param_keys,0))</f>
        <v/>
      </c>
      <c r="AF11" s="16">
        <f>$F11*$P11</f>
        <v/>
      </c>
      <c r="AG11" s="8">
        <f>$U11/$V11</f>
        <v/>
      </c>
      <c r="AH11" s="16">
        <f>$L11*$AG11</f>
        <v/>
      </c>
      <c r="AI11" s="16">
        <f>$AF11-$AH11</f>
        <v/>
      </c>
      <c r="AJ11" s="16">
        <f>insurance_rate*insured_value_uplift*$AF11</f>
        <v/>
      </c>
      <c r="AK11" s="16">
        <f>$AF11+$AJ11</f>
        <v/>
      </c>
      <c r="AL11" s="18">
        <f>$AK11*$J11</f>
        <v/>
      </c>
      <c r="AM11" s="18">
        <f>$AK11*$I11</f>
        <v/>
      </c>
      <c r="AN11" s="18">
        <f>$AL11*bcd_scrap_hs7602</f>
        <v/>
      </c>
      <c r="AO11" s="18">
        <f>$AN11*sws_rate_on_bcd</f>
        <v/>
      </c>
      <c r="AP11" s="18">
        <f>($AL11+$AN11+$AO11)*igst_rate_hs7602</f>
        <v/>
      </c>
      <c r="AQ11" s="18">
        <f>$X11*$AG11+IF($Y11,psic_cost_usd_per_box*$H11/$W11,0)</f>
        <v/>
      </c>
      <c r="AR11" s="18">
        <f>($AM11+$AN11+$AO11)*$Z11/day_count_inr*$O11</f>
        <v/>
      </c>
      <c r="AS11" s="18">
        <f>$AP11*igst_credit_lag_days/day_count_inr*$O11</f>
        <v/>
      </c>
      <c r="AT11" s="18">
        <f>$AM11+$AN11+$AO11+$AQ11+$AR11+$AS11+IF(igst_itc_available,0,$AP11)</f>
        <v/>
      </c>
      <c r="AU11" s="15">
        <f>(1-$AA11)*(1-$AB11)*$AC11</f>
        <v/>
      </c>
      <c r="AV11" s="18">
        <f>$N11*kg_per_mt+domestic_anchor_premium_inr_t</f>
        <v/>
      </c>
      <c r="AW11" s="18">
        <f>(1-$AA11)*$AD11*heavies_net_value_frac_of_lme_al*$F11*$H11</f>
        <v/>
      </c>
      <c r="AX11" s="18">
        <f>conversion_cost_inr_t*$AU11</f>
        <v/>
      </c>
      <c r="AY11" s="18">
        <f>$AV11*$AU11+$AW11-$AT11-$AX11</f>
        <v/>
      </c>
      <c r="AZ11" s="16">
        <f>$AY11/$H11</f>
        <v/>
      </c>
      <c r="BA11" s="8">
        <f>$AY11&gt;margin_threshold_inr_t</f>
        <v/>
      </c>
      <c r="BB11" s="8">
        <f>$Q11+$AE11</f>
        <v/>
      </c>
      <c r="BC11" s="18">
        <f>$AT11-$AQ11</f>
        <v/>
      </c>
      <c r="BD11" s="18">
        <f>$AY11-$BC11*($BB11/$P11-1)</f>
        <v/>
      </c>
      <c r="BE11" s="18">
        <f>$AY11-(conv_step_5a-conversion_cost_inr_t)*$AU11</f>
        <v/>
      </c>
      <c r="BF11" s="8">
        <f>$BA11</f>
        <v/>
      </c>
      <c r="BG11" s="8">
        <f>$BD11&gt;margin_threshold_inr_t</f>
        <v/>
      </c>
      <c r="BH11" s="8">
        <f>$BE11&gt;margin_threshold_inr_t</f>
        <v/>
      </c>
      <c r="BI11" s="8">
        <f>AND($BF11,$BG11,$BH11)</f>
        <v/>
      </c>
      <c r="BJ11" s="8">
        <f>IF($BI11,1,0)</f>
        <v/>
      </c>
    </row>
    <row r="12">
      <c r="A12" s="11" t="n">
        <v>44575</v>
      </c>
      <c r="B12" s="11" t="n">
        <v>44575</v>
      </c>
      <c r="C12" s="7" t="inlineStr">
        <is>
          <t>zorba</t>
        </is>
      </c>
      <c r="D12" s="7" t="inlineStr">
        <is>
          <t>JEA_NSA</t>
        </is>
      </c>
      <c r="E12" s="17" t="b">
        <v>0</v>
      </c>
      <c r="F12" s="16">
        <f>INDEX(Market_Weekly!$E$6:$E$48,MATCH($A12,Market_Weekly!$A$6:$A$48,0))</f>
        <v/>
      </c>
      <c r="G12" s="16">
        <f>INDEX(Market_Weekly!$D$6:$D$48,MATCH($A12,Market_Weekly!$A$6:$A$48,0))</f>
        <v/>
      </c>
      <c r="H12" s="16">
        <f>INDEX(Market_Weekly!$G$6:$G$48,MATCH($A12,Market_Weekly!$A$6:$A$48,0))</f>
        <v/>
      </c>
      <c r="I12" s="8">
        <f>INDEX(Market_Weekly!$H$6:$H$48,MATCH($A12,Market_Weekly!$A$6:$A$48,0))</f>
        <v/>
      </c>
      <c r="J12" s="8">
        <f>INDEX(Market_Weekly!$Q$6:$Q$48,MATCH($A12,Market_Weekly!$A$6:$A$48,0))</f>
        <v/>
      </c>
      <c r="K12" s="8">
        <f>INDEX(Market_Weekly!$V$6:$V$48,MATCH($A12,Market_Weekly!$A$6:$A$48,0))</f>
        <v/>
      </c>
      <c r="L12" s="16">
        <f>IF($D12="JEA_NSA",INDEX(Market_Weekly!$N$6:$N$48,MATCH($A12,Market_Weekly!$A$6:$A$48,0)),INDEX(Market_Weekly!$O$6:$O$48,MATCH($A12,Market_Weekly!$A$6:$A$48,0)))</f>
        <v/>
      </c>
      <c r="M12" s="8">
        <f>IF($D12="JEA_NSA","M1","M2")</f>
        <v/>
      </c>
      <c r="N12" s="16">
        <f>IF($D12="JEA_NSA",INDEX(Market_Weekly!$L$6:$L$48,MATCH($A12,Market_Weekly!$A$6:$A$48,0)),INDEX(Market_Weekly!$M$6:$M$48,MATCH($A12,Market_Weekly!$A$6:$A$48,0)))</f>
        <v/>
      </c>
      <c r="O12" s="15">
        <f>INDEX(Market_Weekly!$P$6:$P$48,MATCH($A12,Market_Weekly!$A$6:$A$48,0))</f>
        <v/>
      </c>
      <c r="P12" s="8">
        <f>INDEX(Market_Weekly!$R$6:$T$48,MATCH($A12,Market_Weekly!$A$6:$A$48,0),MATCH("grade_factor_"&amp;$C12,Market_Weekly!$R$5:$T$5,0))</f>
        <v/>
      </c>
      <c r="Q12" s="8">
        <f>INDEX(Market_Weekly!$U$6:$U$48,MATCH($A12,Market_Weekly!$A$6:$A$48,0))</f>
        <v/>
      </c>
      <c r="R12" s="8">
        <f>IF($D12="JEA_NSA","20ft","40ft")</f>
        <v/>
      </c>
      <c r="S12" s="8">
        <f>IF($D12="JEA_NSA","nsa","mun")</f>
        <v/>
      </c>
      <c r="T12" s="8">
        <f>IF($D12="JEA_NSA","jea_nsa","usec_mun")</f>
        <v/>
      </c>
      <c r="U12" s="16">
        <f>INDEX(param_values,MATCH("container_payload_mt_"&amp;$R12,param_keys,0))</f>
        <v/>
      </c>
      <c r="V12" s="16">
        <f>INDEX(param_values,MATCH("container_payload_mt_"&amp;$R12&amp;"_"&amp;$C12,param_keys,0))</f>
        <v/>
      </c>
      <c r="W12" s="16">
        <f>INDEX(param_values,MATCH("container_payload_mt_20ft_"&amp;$C12,param_keys,0))</f>
        <v/>
      </c>
      <c r="X12" s="18">
        <f>INDEX(param_values,MATCH("port_cf_charges_inr_t_"&amp;$S12,param_keys,0))</f>
        <v/>
      </c>
      <c r="Y12" s="8">
        <f>INDEX(param_values,MATCH(IF($D12="JEA_NSA","psic_required_uae_origin","psic_required_safe_origin_designated_port"),param_keys,0))</f>
        <v/>
      </c>
      <c r="Z12" s="19">
        <f>INDEX(param_values,MATCH("finance_days_"&amp;$T12,param_keys,0))</f>
        <v/>
      </c>
      <c r="AA12" s="15">
        <f>INDEX(param_values,MATCH("moisture_frac_"&amp;$C12,param_keys,0))</f>
        <v/>
      </c>
      <c r="AB12" s="15">
        <f>INDEX(param_values,MATCH("contamination_frac_"&amp;$C12,param_keys,0))</f>
        <v/>
      </c>
      <c r="AC12" s="15">
        <f>INDEX(param_values,MATCH("metal_yield_frac_"&amp;$C12,param_keys,0))</f>
        <v/>
      </c>
      <c r="AD12" s="15">
        <f>INDEX(param_values,MATCH("heavies_frac_"&amp;$C12,param_keys,0))</f>
        <v/>
      </c>
      <c r="AE12" s="8">
        <f>INDEX(param_values,MATCH("grade_factor_diff_"&amp;$C12,param_keys,0))</f>
        <v/>
      </c>
      <c r="AF12" s="16">
        <f>$F12*$P12</f>
        <v/>
      </c>
      <c r="AG12" s="8">
        <f>$U12/$V12</f>
        <v/>
      </c>
      <c r="AH12" s="16">
        <f>$L12*$AG12</f>
        <v/>
      </c>
      <c r="AI12" s="16">
        <f>$AF12-$AH12</f>
        <v/>
      </c>
      <c r="AJ12" s="16">
        <f>insurance_rate*insured_value_uplift*$AF12</f>
        <v/>
      </c>
      <c r="AK12" s="16">
        <f>$AF12+$AJ12</f>
        <v/>
      </c>
      <c r="AL12" s="18">
        <f>$AK12*$J12</f>
        <v/>
      </c>
      <c r="AM12" s="18">
        <f>$AK12*$I12</f>
        <v/>
      </c>
      <c r="AN12" s="18">
        <f>$AL12*bcd_scrap_hs7602</f>
        <v/>
      </c>
      <c r="AO12" s="18">
        <f>$AN12*sws_rate_on_bcd</f>
        <v/>
      </c>
      <c r="AP12" s="18">
        <f>($AL12+$AN12+$AO12)*igst_rate_hs7602</f>
        <v/>
      </c>
      <c r="AQ12" s="18">
        <f>$X12*$AG12+IF($Y12,psic_cost_usd_per_box*$H12/$W12,0)</f>
        <v/>
      </c>
      <c r="AR12" s="18">
        <f>($AM12+$AN12+$AO12)*$Z12/day_count_inr*$O12</f>
        <v/>
      </c>
      <c r="AS12" s="18">
        <f>$AP12*igst_credit_lag_days/day_count_inr*$O12</f>
        <v/>
      </c>
      <c r="AT12" s="18">
        <f>$AM12+$AN12+$AO12+$AQ12+$AR12+$AS12+IF(igst_itc_available,0,$AP12)</f>
        <v/>
      </c>
      <c r="AU12" s="15">
        <f>(1-$AA12)*(1-$AB12)*$AC12</f>
        <v/>
      </c>
      <c r="AV12" s="18">
        <f>$N12*kg_per_mt+domestic_anchor_premium_inr_t</f>
        <v/>
      </c>
      <c r="AW12" s="18">
        <f>(1-$AA12)*$AD12*heavies_net_value_frac_of_lme_al*$F12*$H12</f>
        <v/>
      </c>
      <c r="AX12" s="18">
        <f>conversion_cost_inr_t*$AU12</f>
        <v/>
      </c>
      <c r="AY12" s="18">
        <f>$AV12*$AU12+$AW12-$AT12-$AX12</f>
        <v/>
      </c>
      <c r="AZ12" s="16">
        <f>$AY12/$H12</f>
        <v/>
      </c>
      <c r="BA12" s="8">
        <f>$AY12&gt;margin_threshold_inr_t</f>
        <v/>
      </c>
      <c r="BB12" s="8">
        <f>$Q12+$AE12</f>
        <v/>
      </c>
      <c r="BC12" s="18">
        <f>$AT12-$AQ12</f>
        <v/>
      </c>
      <c r="BD12" s="18">
        <f>$AY12-$BC12*($BB12/$P12-1)</f>
        <v/>
      </c>
      <c r="BE12" s="18">
        <f>$AY12-(conv_step_5a-conversion_cost_inr_t)*$AU12</f>
        <v/>
      </c>
      <c r="BF12" s="8">
        <f>$BA12</f>
        <v/>
      </c>
      <c r="BG12" s="8">
        <f>$BD12&gt;margin_threshold_inr_t</f>
        <v/>
      </c>
      <c r="BH12" s="8">
        <f>$BE12&gt;margin_threshold_inr_t</f>
        <v/>
      </c>
      <c r="BI12" s="8">
        <f>AND($BF12,$BG12,$BH12)</f>
        <v/>
      </c>
      <c r="BJ12" s="8">
        <f>IF($BI12,1,0)</f>
        <v/>
      </c>
    </row>
    <row r="13">
      <c r="A13" s="11" t="n">
        <v>44575</v>
      </c>
      <c r="B13" s="11" t="n">
        <v>44575</v>
      </c>
      <c r="C13" s="7" t="inlineStr">
        <is>
          <t>zorba</t>
        </is>
      </c>
      <c r="D13" s="7" t="inlineStr">
        <is>
          <t>USEC_MUN</t>
        </is>
      </c>
      <c r="E13" s="17" t="b">
        <v>0</v>
      </c>
      <c r="F13" s="16">
        <f>INDEX(Market_Weekly!$E$6:$E$48,MATCH($A13,Market_Weekly!$A$6:$A$48,0))</f>
        <v/>
      </c>
      <c r="G13" s="16">
        <f>INDEX(Market_Weekly!$D$6:$D$48,MATCH($A13,Market_Weekly!$A$6:$A$48,0))</f>
        <v/>
      </c>
      <c r="H13" s="16">
        <f>INDEX(Market_Weekly!$G$6:$G$48,MATCH($A13,Market_Weekly!$A$6:$A$48,0))</f>
        <v/>
      </c>
      <c r="I13" s="8">
        <f>INDEX(Market_Weekly!$H$6:$H$48,MATCH($A13,Market_Weekly!$A$6:$A$48,0))</f>
        <v/>
      </c>
      <c r="J13" s="8">
        <f>INDEX(Market_Weekly!$Q$6:$Q$48,MATCH($A13,Market_Weekly!$A$6:$A$48,0))</f>
        <v/>
      </c>
      <c r="K13" s="8">
        <f>INDEX(Market_Weekly!$V$6:$V$48,MATCH($A13,Market_Weekly!$A$6:$A$48,0))</f>
        <v/>
      </c>
      <c r="L13" s="16">
        <f>IF($D13="JEA_NSA",INDEX(Market_Weekly!$N$6:$N$48,MATCH($A13,Market_Weekly!$A$6:$A$48,0)),INDEX(Market_Weekly!$O$6:$O$48,MATCH($A13,Market_Weekly!$A$6:$A$48,0)))</f>
        <v/>
      </c>
      <c r="M13" s="8">
        <f>IF($D13="JEA_NSA","M1","M2")</f>
        <v/>
      </c>
      <c r="N13" s="16">
        <f>IF($D13="JEA_NSA",INDEX(Market_Weekly!$L$6:$L$48,MATCH($A13,Market_Weekly!$A$6:$A$48,0)),INDEX(Market_Weekly!$M$6:$M$48,MATCH($A13,Market_Weekly!$A$6:$A$48,0)))</f>
        <v/>
      </c>
      <c r="O13" s="15">
        <f>INDEX(Market_Weekly!$P$6:$P$48,MATCH($A13,Market_Weekly!$A$6:$A$48,0))</f>
        <v/>
      </c>
      <c r="P13" s="8">
        <f>INDEX(Market_Weekly!$R$6:$T$48,MATCH($A13,Market_Weekly!$A$6:$A$48,0),MATCH("grade_factor_"&amp;$C13,Market_Weekly!$R$5:$T$5,0))</f>
        <v/>
      </c>
      <c r="Q13" s="8">
        <f>INDEX(Market_Weekly!$U$6:$U$48,MATCH($A13,Market_Weekly!$A$6:$A$48,0))</f>
        <v/>
      </c>
      <c r="R13" s="8">
        <f>IF($D13="JEA_NSA","20ft","40ft")</f>
        <v/>
      </c>
      <c r="S13" s="8">
        <f>IF($D13="JEA_NSA","nsa","mun")</f>
        <v/>
      </c>
      <c r="T13" s="8">
        <f>IF($D13="JEA_NSA","jea_nsa","usec_mun")</f>
        <v/>
      </c>
      <c r="U13" s="16">
        <f>INDEX(param_values,MATCH("container_payload_mt_"&amp;$R13,param_keys,0))</f>
        <v/>
      </c>
      <c r="V13" s="16">
        <f>INDEX(param_values,MATCH("container_payload_mt_"&amp;$R13&amp;"_"&amp;$C13,param_keys,0))</f>
        <v/>
      </c>
      <c r="W13" s="16">
        <f>INDEX(param_values,MATCH("container_payload_mt_20ft_"&amp;$C13,param_keys,0))</f>
        <v/>
      </c>
      <c r="X13" s="18">
        <f>INDEX(param_values,MATCH("port_cf_charges_inr_t_"&amp;$S13,param_keys,0))</f>
        <v/>
      </c>
      <c r="Y13" s="8">
        <f>INDEX(param_values,MATCH(IF($D13="JEA_NSA","psic_required_uae_origin","psic_required_safe_origin_designated_port"),param_keys,0))</f>
        <v/>
      </c>
      <c r="Z13" s="19">
        <f>INDEX(param_values,MATCH("finance_days_"&amp;$T13,param_keys,0))</f>
        <v/>
      </c>
      <c r="AA13" s="15">
        <f>INDEX(param_values,MATCH("moisture_frac_"&amp;$C13,param_keys,0))</f>
        <v/>
      </c>
      <c r="AB13" s="15">
        <f>INDEX(param_values,MATCH("contamination_frac_"&amp;$C13,param_keys,0))</f>
        <v/>
      </c>
      <c r="AC13" s="15">
        <f>INDEX(param_values,MATCH("metal_yield_frac_"&amp;$C13,param_keys,0))</f>
        <v/>
      </c>
      <c r="AD13" s="15">
        <f>INDEX(param_values,MATCH("heavies_frac_"&amp;$C13,param_keys,0))</f>
        <v/>
      </c>
      <c r="AE13" s="8">
        <f>INDEX(param_values,MATCH("grade_factor_diff_"&amp;$C13,param_keys,0))</f>
        <v/>
      </c>
      <c r="AF13" s="16">
        <f>$F13*$P13</f>
        <v/>
      </c>
      <c r="AG13" s="8">
        <f>$U13/$V13</f>
        <v/>
      </c>
      <c r="AH13" s="16">
        <f>$L13*$AG13</f>
        <v/>
      </c>
      <c r="AI13" s="16">
        <f>$AF13-$AH13</f>
        <v/>
      </c>
      <c r="AJ13" s="16">
        <f>insurance_rate*insured_value_uplift*$AF13</f>
        <v/>
      </c>
      <c r="AK13" s="16">
        <f>$AF13+$AJ13</f>
        <v/>
      </c>
      <c r="AL13" s="18">
        <f>$AK13*$J13</f>
        <v/>
      </c>
      <c r="AM13" s="18">
        <f>$AK13*$I13</f>
        <v/>
      </c>
      <c r="AN13" s="18">
        <f>$AL13*bcd_scrap_hs7602</f>
        <v/>
      </c>
      <c r="AO13" s="18">
        <f>$AN13*sws_rate_on_bcd</f>
        <v/>
      </c>
      <c r="AP13" s="18">
        <f>($AL13+$AN13+$AO13)*igst_rate_hs7602</f>
        <v/>
      </c>
      <c r="AQ13" s="18">
        <f>$X13*$AG13+IF($Y13,psic_cost_usd_per_box*$H13/$W13,0)</f>
        <v/>
      </c>
      <c r="AR13" s="18">
        <f>($AM13+$AN13+$AO13)*$Z13/day_count_inr*$O13</f>
        <v/>
      </c>
      <c r="AS13" s="18">
        <f>$AP13*igst_credit_lag_days/day_count_inr*$O13</f>
        <v/>
      </c>
      <c r="AT13" s="18">
        <f>$AM13+$AN13+$AO13+$AQ13+$AR13+$AS13+IF(igst_itc_available,0,$AP13)</f>
        <v/>
      </c>
      <c r="AU13" s="15">
        <f>(1-$AA13)*(1-$AB13)*$AC13</f>
        <v/>
      </c>
      <c r="AV13" s="18">
        <f>$N13*kg_per_mt+domestic_anchor_premium_inr_t</f>
        <v/>
      </c>
      <c r="AW13" s="18">
        <f>(1-$AA13)*$AD13*heavies_net_value_frac_of_lme_al*$F13*$H13</f>
        <v/>
      </c>
      <c r="AX13" s="18">
        <f>conversion_cost_inr_t*$AU13</f>
        <v/>
      </c>
      <c r="AY13" s="18">
        <f>$AV13*$AU13+$AW13-$AT13-$AX13</f>
        <v/>
      </c>
      <c r="AZ13" s="16">
        <f>$AY13/$H13</f>
        <v/>
      </c>
      <c r="BA13" s="8">
        <f>$AY13&gt;margin_threshold_inr_t</f>
        <v/>
      </c>
      <c r="BB13" s="8">
        <f>$Q13+$AE13</f>
        <v/>
      </c>
      <c r="BC13" s="18">
        <f>$AT13-$AQ13</f>
        <v/>
      </c>
      <c r="BD13" s="18">
        <f>$AY13-$BC13*($BB13/$P13-1)</f>
        <v/>
      </c>
      <c r="BE13" s="18">
        <f>$AY13-(conv_step_5a-conversion_cost_inr_t)*$AU13</f>
        <v/>
      </c>
      <c r="BF13" s="8">
        <f>$BA13</f>
        <v/>
      </c>
      <c r="BG13" s="8">
        <f>$BD13&gt;margin_threshold_inr_t</f>
        <v/>
      </c>
      <c r="BH13" s="8">
        <f>$BE13&gt;margin_threshold_inr_t</f>
        <v/>
      </c>
      <c r="BI13" s="8">
        <f>AND($BF13,$BG13,$BH13)</f>
        <v/>
      </c>
      <c r="BJ13" s="8">
        <f>IF($BI13,1,0)</f>
        <v/>
      </c>
    </row>
    <row r="14">
      <c r="A14" s="11" t="n">
        <v>44575</v>
      </c>
      <c r="B14" s="11" t="n">
        <v>44575</v>
      </c>
      <c r="C14" s="7" t="inlineStr">
        <is>
          <t>taint_tabor</t>
        </is>
      </c>
      <c r="D14" s="7" t="inlineStr">
        <is>
          <t>JEA_NSA</t>
        </is>
      </c>
      <c r="E14" s="17" t="b">
        <v>0</v>
      </c>
      <c r="F14" s="16">
        <f>INDEX(Market_Weekly!$E$6:$E$48,MATCH($A14,Market_Weekly!$A$6:$A$48,0))</f>
        <v/>
      </c>
      <c r="G14" s="16">
        <f>INDEX(Market_Weekly!$D$6:$D$48,MATCH($A14,Market_Weekly!$A$6:$A$48,0))</f>
        <v/>
      </c>
      <c r="H14" s="16">
        <f>INDEX(Market_Weekly!$G$6:$G$48,MATCH($A14,Market_Weekly!$A$6:$A$48,0))</f>
        <v/>
      </c>
      <c r="I14" s="8">
        <f>INDEX(Market_Weekly!$H$6:$H$48,MATCH($A14,Market_Weekly!$A$6:$A$48,0))</f>
        <v/>
      </c>
      <c r="J14" s="8">
        <f>INDEX(Market_Weekly!$Q$6:$Q$48,MATCH($A14,Market_Weekly!$A$6:$A$48,0))</f>
        <v/>
      </c>
      <c r="K14" s="8">
        <f>INDEX(Market_Weekly!$V$6:$V$48,MATCH($A14,Market_Weekly!$A$6:$A$48,0))</f>
        <v/>
      </c>
      <c r="L14" s="16">
        <f>IF($D14="JEA_NSA",INDEX(Market_Weekly!$N$6:$N$48,MATCH($A14,Market_Weekly!$A$6:$A$48,0)),INDEX(Market_Weekly!$O$6:$O$48,MATCH($A14,Market_Weekly!$A$6:$A$48,0)))</f>
        <v/>
      </c>
      <c r="M14" s="8">
        <f>IF($D14="JEA_NSA","M1","M2")</f>
        <v/>
      </c>
      <c r="N14" s="16">
        <f>IF($D14="JEA_NSA",INDEX(Market_Weekly!$L$6:$L$48,MATCH($A14,Market_Weekly!$A$6:$A$48,0)),INDEX(Market_Weekly!$M$6:$M$48,MATCH($A14,Market_Weekly!$A$6:$A$48,0)))</f>
        <v/>
      </c>
      <c r="O14" s="15">
        <f>INDEX(Market_Weekly!$P$6:$P$48,MATCH($A14,Market_Weekly!$A$6:$A$48,0))</f>
        <v/>
      </c>
      <c r="P14" s="8">
        <f>INDEX(Market_Weekly!$R$6:$T$48,MATCH($A14,Market_Weekly!$A$6:$A$48,0),MATCH("grade_factor_"&amp;$C14,Market_Weekly!$R$5:$T$5,0))</f>
        <v/>
      </c>
      <c r="Q14" s="8">
        <f>INDEX(Market_Weekly!$U$6:$U$48,MATCH($A14,Market_Weekly!$A$6:$A$48,0))</f>
        <v/>
      </c>
      <c r="R14" s="8">
        <f>IF($D14="JEA_NSA","20ft","40ft")</f>
        <v/>
      </c>
      <c r="S14" s="8">
        <f>IF($D14="JEA_NSA","nsa","mun")</f>
        <v/>
      </c>
      <c r="T14" s="8">
        <f>IF($D14="JEA_NSA","jea_nsa","usec_mun")</f>
        <v/>
      </c>
      <c r="U14" s="16">
        <f>INDEX(param_values,MATCH("container_payload_mt_"&amp;$R14,param_keys,0))</f>
        <v/>
      </c>
      <c r="V14" s="16">
        <f>INDEX(param_values,MATCH("container_payload_mt_"&amp;$R14&amp;"_"&amp;$C14,param_keys,0))</f>
        <v/>
      </c>
      <c r="W14" s="16">
        <f>INDEX(param_values,MATCH("container_payload_mt_20ft_"&amp;$C14,param_keys,0))</f>
        <v/>
      </c>
      <c r="X14" s="18">
        <f>INDEX(param_values,MATCH("port_cf_charges_inr_t_"&amp;$S14,param_keys,0))</f>
        <v/>
      </c>
      <c r="Y14" s="8">
        <f>INDEX(param_values,MATCH(IF($D14="JEA_NSA","psic_required_uae_origin","psic_required_safe_origin_designated_port"),param_keys,0))</f>
        <v/>
      </c>
      <c r="Z14" s="19">
        <f>INDEX(param_values,MATCH("finance_days_"&amp;$T14,param_keys,0))</f>
        <v/>
      </c>
      <c r="AA14" s="15">
        <f>INDEX(param_values,MATCH("moisture_frac_"&amp;$C14,param_keys,0))</f>
        <v/>
      </c>
      <c r="AB14" s="15">
        <f>INDEX(param_values,MATCH("contamination_frac_"&amp;$C14,param_keys,0))</f>
        <v/>
      </c>
      <c r="AC14" s="15">
        <f>INDEX(param_values,MATCH("metal_yield_frac_"&amp;$C14,param_keys,0))</f>
        <v/>
      </c>
      <c r="AD14" s="15">
        <f>INDEX(param_values,MATCH("heavies_frac_"&amp;$C14,param_keys,0))</f>
        <v/>
      </c>
      <c r="AE14" s="8">
        <f>INDEX(param_values,MATCH("grade_factor_diff_"&amp;$C14,param_keys,0))</f>
        <v/>
      </c>
      <c r="AF14" s="16">
        <f>$F14*$P14</f>
        <v/>
      </c>
      <c r="AG14" s="8">
        <f>$U14/$V14</f>
        <v/>
      </c>
      <c r="AH14" s="16">
        <f>$L14*$AG14</f>
        <v/>
      </c>
      <c r="AI14" s="16">
        <f>$AF14-$AH14</f>
        <v/>
      </c>
      <c r="AJ14" s="16">
        <f>insurance_rate*insured_value_uplift*$AF14</f>
        <v/>
      </c>
      <c r="AK14" s="16">
        <f>$AF14+$AJ14</f>
        <v/>
      </c>
      <c r="AL14" s="18">
        <f>$AK14*$J14</f>
        <v/>
      </c>
      <c r="AM14" s="18">
        <f>$AK14*$I14</f>
        <v/>
      </c>
      <c r="AN14" s="18">
        <f>$AL14*bcd_scrap_hs7602</f>
        <v/>
      </c>
      <c r="AO14" s="18">
        <f>$AN14*sws_rate_on_bcd</f>
        <v/>
      </c>
      <c r="AP14" s="18">
        <f>($AL14+$AN14+$AO14)*igst_rate_hs7602</f>
        <v/>
      </c>
      <c r="AQ14" s="18">
        <f>$X14*$AG14+IF($Y14,psic_cost_usd_per_box*$H14/$W14,0)</f>
        <v/>
      </c>
      <c r="AR14" s="18">
        <f>($AM14+$AN14+$AO14)*$Z14/day_count_inr*$O14</f>
        <v/>
      </c>
      <c r="AS14" s="18">
        <f>$AP14*igst_credit_lag_days/day_count_inr*$O14</f>
        <v/>
      </c>
      <c r="AT14" s="18">
        <f>$AM14+$AN14+$AO14+$AQ14+$AR14+$AS14+IF(igst_itc_available,0,$AP14)</f>
        <v/>
      </c>
      <c r="AU14" s="15">
        <f>(1-$AA14)*(1-$AB14)*$AC14</f>
        <v/>
      </c>
      <c r="AV14" s="18">
        <f>$N14*kg_per_mt+domestic_anchor_premium_inr_t</f>
        <v/>
      </c>
      <c r="AW14" s="18">
        <f>(1-$AA14)*$AD14*heavies_net_value_frac_of_lme_al*$F14*$H14</f>
        <v/>
      </c>
      <c r="AX14" s="18">
        <f>conversion_cost_inr_t*$AU14</f>
        <v/>
      </c>
      <c r="AY14" s="18">
        <f>$AV14*$AU14+$AW14-$AT14-$AX14</f>
        <v/>
      </c>
      <c r="AZ14" s="16">
        <f>$AY14/$H14</f>
        <v/>
      </c>
      <c r="BA14" s="8">
        <f>$AY14&gt;margin_threshold_inr_t</f>
        <v/>
      </c>
      <c r="BB14" s="8">
        <f>$Q14+$AE14</f>
        <v/>
      </c>
      <c r="BC14" s="18">
        <f>$AT14-$AQ14</f>
        <v/>
      </c>
      <c r="BD14" s="18">
        <f>$AY14-$BC14*($BB14/$P14-1)</f>
        <v/>
      </c>
      <c r="BE14" s="18">
        <f>$AY14-(conv_step_5a-conversion_cost_inr_t)*$AU14</f>
        <v/>
      </c>
      <c r="BF14" s="8">
        <f>$BA14</f>
        <v/>
      </c>
      <c r="BG14" s="8">
        <f>$BD14&gt;margin_threshold_inr_t</f>
        <v/>
      </c>
      <c r="BH14" s="8">
        <f>$BE14&gt;margin_threshold_inr_t</f>
        <v/>
      </c>
      <c r="BI14" s="8">
        <f>AND($BF14,$BG14,$BH14)</f>
        <v/>
      </c>
      <c r="BJ14" s="8">
        <f>IF($BI14,1,0)</f>
        <v/>
      </c>
    </row>
    <row r="15">
      <c r="A15" s="11" t="n">
        <v>44575</v>
      </c>
      <c r="B15" s="11" t="n">
        <v>44575</v>
      </c>
      <c r="C15" s="7" t="inlineStr">
        <is>
          <t>taint_tabor</t>
        </is>
      </c>
      <c r="D15" s="7" t="inlineStr">
        <is>
          <t>USEC_MUN</t>
        </is>
      </c>
      <c r="E15" s="17" t="b">
        <v>0</v>
      </c>
      <c r="F15" s="16">
        <f>INDEX(Market_Weekly!$E$6:$E$48,MATCH($A15,Market_Weekly!$A$6:$A$48,0))</f>
        <v/>
      </c>
      <c r="G15" s="16">
        <f>INDEX(Market_Weekly!$D$6:$D$48,MATCH($A15,Market_Weekly!$A$6:$A$48,0))</f>
        <v/>
      </c>
      <c r="H15" s="16">
        <f>INDEX(Market_Weekly!$G$6:$G$48,MATCH($A15,Market_Weekly!$A$6:$A$48,0))</f>
        <v/>
      </c>
      <c r="I15" s="8">
        <f>INDEX(Market_Weekly!$H$6:$H$48,MATCH($A15,Market_Weekly!$A$6:$A$48,0))</f>
        <v/>
      </c>
      <c r="J15" s="8">
        <f>INDEX(Market_Weekly!$Q$6:$Q$48,MATCH($A15,Market_Weekly!$A$6:$A$48,0))</f>
        <v/>
      </c>
      <c r="K15" s="8">
        <f>INDEX(Market_Weekly!$V$6:$V$48,MATCH($A15,Market_Weekly!$A$6:$A$48,0))</f>
        <v/>
      </c>
      <c r="L15" s="16">
        <f>IF($D15="JEA_NSA",INDEX(Market_Weekly!$N$6:$N$48,MATCH($A15,Market_Weekly!$A$6:$A$48,0)),INDEX(Market_Weekly!$O$6:$O$48,MATCH($A15,Market_Weekly!$A$6:$A$48,0)))</f>
        <v/>
      </c>
      <c r="M15" s="8">
        <f>IF($D15="JEA_NSA","M1","M2")</f>
        <v/>
      </c>
      <c r="N15" s="16">
        <f>IF($D15="JEA_NSA",INDEX(Market_Weekly!$L$6:$L$48,MATCH($A15,Market_Weekly!$A$6:$A$48,0)),INDEX(Market_Weekly!$M$6:$M$48,MATCH($A15,Market_Weekly!$A$6:$A$48,0)))</f>
        <v/>
      </c>
      <c r="O15" s="15">
        <f>INDEX(Market_Weekly!$P$6:$P$48,MATCH($A15,Market_Weekly!$A$6:$A$48,0))</f>
        <v/>
      </c>
      <c r="P15" s="8">
        <f>INDEX(Market_Weekly!$R$6:$T$48,MATCH($A15,Market_Weekly!$A$6:$A$48,0),MATCH("grade_factor_"&amp;$C15,Market_Weekly!$R$5:$T$5,0))</f>
        <v/>
      </c>
      <c r="Q15" s="8">
        <f>INDEX(Market_Weekly!$U$6:$U$48,MATCH($A15,Market_Weekly!$A$6:$A$48,0))</f>
        <v/>
      </c>
      <c r="R15" s="8">
        <f>IF($D15="JEA_NSA","20ft","40ft")</f>
        <v/>
      </c>
      <c r="S15" s="8">
        <f>IF($D15="JEA_NSA","nsa","mun")</f>
        <v/>
      </c>
      <c r="T15" s="8">
        <f>IF($D15="JEA_NSA","jea_nsa","usec_mun")</f>
        <v/>
      </c>
      <c r="U15" s="16">
        <f>INDEX(param_values,MATCH("container_payload_mt_"&amp;$R15,param_keys,0))</f>
        <v/>
      </c>
      <c r="V15" s="16">
        <f>INDEX(param_values,MATCH("container_payload_mt_"&amp;$R15&amp;"_"&amp;$C15,param_keys,0))</f>
        <v/>
      </c>
      <c r="W15" s="16">
        <f>INDEX(param_values,MATCH("container_payload_mt_20ft_"&amp;$C15,param_keys,0))</f>
        <v/>
      </c>
      <c r="X15" s="18">
        <f>INDEX(param_values,MATCH("port_cf_charges_inr_t_"&amp;$S15,param_keys,0))</f>
        <v/>
      </c>
      <c r="Y15" s="8">
        <f>INDEX(param_values,MATCH(IF($D15="JEA_NSA","psic_required_uae_origin","psic_required_safe_origin_designated_port"),param_keys,0))</f>
        <v/>
      </c>
      <c r="Z15" s="19">
        <f>INDEX(param_values,MATCH("finance_days_"&amp;$T15,param_keys,0))</f>
        <v/>
      </c>
      <c r="AA15" s="15">
        <f>INDEX(param_values,MATCH("moisture_frac_"&amp;$C15,param_keys,0))</f>
        <v/>
      </c>
      <c r="AB15" s="15">
        <f>INDEX(param_values,MATCH("contamination_frac_"&amp;$C15,param_keys,0))</f>
        <v/>
      </c>
      <c r="AC15" s="15">
        <f>INDEX(param_values,MATCH("metal_yield_frac_"&amp;$C15,param_keys,0))</f>
        <v/>
      </c>
      <c r="AD15" s="15">
        <f>INDEX(param_values,MATCH("heavies_frac_"&amp;$C15,param_keys,0))</f>
        <v/>
      </c>
      <c r="AE15" s="8">
        <f>INDEX(param_values,MATCH("grade_factor_diff_"&amp;$C15,param_keys,0))</f>
        <v/>
      </c>
      <c r="AF15" s="16">
        <f>$F15*$P15</f>
        <v/>
      </c>
      <c r="AG15" s="8">
        <f>$U15/$V15</f>
        <v/>
      </c>
      <c r="AH15" s="16">
        <f>$L15*$AG15</f>
        <v/>
      </c>
      <c r="AI15" s="16">
        <f>$AF15-$AH15</f>
        <v/>
      </c>
      <c r="AJ15" s="16">
        <f>insurance_rate*insured_value_uplift*$AF15</f>
        <v/>
      </c>
      <c r="AK15" s="16">
        <f>$AF15+$AJ15</f>
        <v/>
      </c>
      <c r="AL15" s="18">
        <f>$AK15*$J15</f>
        <v/>
      </c>
      <c r="AM15" s="18">
        <f>$AK15*$I15</f>
        <v/>
      </c>
      <c r="AN15" s="18">
        <f>$AL15*bcd_scrap_hs7602</f>
        <v/>
      </c>
      <c r="AO15" s="18">
        <f>$AN15*sws_rate_on_bcd</f>
        <v/>
      </c>
      <c r="AP15" s="18">
        <f>($AL15+$AN15+$AO15)*igst_rate_hs7602</f>
        <v/>
      </c>
      <c r="AQ15" s="18">
        <f>$X15*$AG15+IF($Y15,psic_cost_usd_per_box*$H15/$W15,0)</f>
        <v/>
      </c>
      <c r="AR15" s="18">
        <f>($AM15+$AN15+$AO15)*$Z15/day_count_inr*$O15</f>
        <v/>
      </c>
      <c r="AS15" s="18">
        <f>$AP15*igst_credit_lag_days/day_count_inr*$O15</f>
        <v/>
      </c>
      <c r="AT15" s="18">
        <f>$AM15+$AN15+$AO15+$AQ15+$AR15+$AS15+IF(igst_itc_available,0,$AP15)</f>
        <v/>
      </c>
      <c r="AU15" s="15">
        <f>(1-$AA15)*(1-$AB15)*$AC15</f>
        <v/>
      </c>
      <c r="AV15" s="18">
        <f>$N15*kg_per_mt+domestic_anchor_premium_inr_t</f>
        <v/>
      </c>
      <c r="AW15" s="18">
        <f>(1-$AA15)*$AD15*heavies_net_value_frac_of_lme_al*$F15*$H15</f>
        <v/>
      </c>
      <c r="AX15" s="18">
        <f>conversion_cost_inr_t*$AU15</f>
        <v/>
      </c>
      <c r="AY15" s="18">
        <f>$AV15*$AU15+$AW15-$AT15-$AX15</f>
        <v/>
      </c>
      <c r="AZ15" s="16">
        <f>$AY15/$H15</f>
        <v/>
      </c>
      <c r="BA15" s="8">
        <f>$AY15&gt;margin_threshold_inr_t</f>
        <v/>
      </c>
      <c r="BB15" s="8">
        <f>$Q15+$AE15</f>
        <v/>
      </c>
      <c r="BC15" s="18">
        <f>$AT15-$AQ15</f>
        <v/>
      </c>
      <c r="BD15" s="18">
        <f>$AY15-$BC15*($BB15/$P15-1)</f>
        <v/>
      </c>
      <c r="BE15" s="18">
        <f>$AY15-(conv_step_5a-conversion_cost_inr_t)*$AU15</f>
        <v/>
      </c>
      <c r="BF15" s="8">
        <f>$BA15</f>
        <v/>
      </c>
      <c r="BG15" s="8">
        <f>$BD15&gt;margin_threshold_inr_t</f>
        <v/>
      </c>
      <c r="BH15" s="8">
        <f>$BE15&gt;margin_threshold_inr_t</f>
        <v/>
      </c>
      <c r="BI15" s="8">
        <f>AND($BF15,$BG15,$BH15)</f>
        <v/>
      </c>
      <c r="BJ15" s="8">
        <f>IF($BI15,1,0)</f>
        <v/>
      </c>
    </row>
    <row r="16">
      <c r="A16" s="11" t="n">
        <v>44575</v>
      </c>
      <c r="B16" s="11" t="n">
        <v>44575</v>
      </c>
      <c r="C16" s="7" t="inlineStr">
        <is>
          <t>tense</t>
        </is>
      </c>
      <c r="D16" s="7" t="inlineStr">
        <is>
          <t>JEA_NSA</t>
        </is>
      </c>
      <c r="E16" s="17" t="b">
        <v>0</v>
      </c>
      <c r="F16" s="16">
        <f>INDEX(Market_Weekly!$E$6:$E$48,MATCH($A16,Market_Weekly!$A$6:$A$48,0))</f>
        <v/>
      </c>
      <c r="G16" s="16">
        <f>INDEX(Market_Weekly!$D$6:$D$48,MATCH($A16,Market_Weekly!$A$6:$A$48,0))</f>
        <v/>
      </c>
      <c r="H16" s="16">
        <f>INDEX(Market_Weekly!$G$6:$G$48,MATCH($A16,Market_Weekly!$A$6:$A$48,0))</f>
        <v/>
      </c>
      <c r="I16" s="8">
        <f>INDEX(Market_Weekly!$H$6:$H$48,MATCH($A16,Market_Weekly!$A$6:$A$48,0))</f>
        <v/>
      </c>
      <c r="J16" s="8">
        <f>INDEX(Market_Weekly!$Q$6:$Q$48,MATCH($A16,Market_Weekly!$A$6:$A$48,0))</f>
        <v/>
      </c>
      <c r="K16" s="8">
        <f>INDEX(Market_Weekly!$V$6:$V$48,MATCH($A16,Market_Weekly!$A$6:$A$48,0))</f>
        <v/>
      </c>
      <c r="L16" s="16">
        <f>IF($D16="JEA_NSA",INDEX(Market_Weekly!$N$6:$N$48,MATCH($A16,Market_Weekly!$A$6:$A$48,0)),INDEX(Market_Weekly!$O$6:$O$48,MATCH($A16,Market_Weekly!$A$6:$A$48,0)))</f>
        <v/>
      </c>
      <c r="M16" s="8">
        <f>IF($D16="JEA_NSA","M1","M2")</f>
        <v/>
      </c>
      <c r="N16" s="16">
        <f>IF($D16="JEA_NSA",INDEX(Market_Weekly!$L$6:$L$48,MATCH($A16,Market_Weekly!$A$6:$A$48,0)),INDEX(Market_Weekly!$M$6:$M$48,MATCH($A16,Market_Weekly!$A$6:$A$48,0)))</f>
        <v/>
      </c>
      <c r="O16" s="15">
        <f>INDEX(Market_Weekly!$P$6:$P$48,MATCH($A16,Market_Weekly!$A$6:$A$48,0))</f>
        <v/>
      </c>
      <c r="P16" s="8">
        <f>INDEX(Market_Weekly!$R$6:$T$48,MATCH($A16,Market_Weekly!$A$6:$A$48,0),MATCH("grade_factor_"&amp;$C16,Market_Weekly!$R$5:$T$5,0))</f>
        <v/>
      </c>
      <c r="Q16" s="8">
        <f>INDEX(Market_Weekly!$U$6:$U$48,MATCH($A16,Market_Weekly!$A$6:$A$48,0))</f>
        <v/>
      </c>
      <c r="R16" s="8">
        <f>IF($D16="JEA_NSA","20ft","40ft")</f>
        <v/>
      </c>
      <c r="S16" s="8">
        <f>IF($D16="JEA_NSA","nsa","mun")</f>
        <v/>
      </c>
      <c r="T16" s="8">
        <f>IF($D16="JEA_NSA","jea_nsa","usec_mun")</f>
        <v/>
      </c>
      <c r="U16" s="16">
        <f>INDEX(param_values,MATCH("container_payload_mt_"&amp;$R16,param_keys,0))</f>
        <v/>
      </c>
      <c r="V16" s="16">
        <f>INDEX(param_values,MATCH("container_payload_mt_"&amp;$R16&amp;"_"&amp;$C16,param_keys,0))</f>
        <v/>
      </c>
      <c r="W16" s="16">
        <f>INDEX(param_values,MATCH("container_payload_mt_20ft_"&amp;$C16,param_keys,0))</f>
        <v/>
      </c>
      <c r="X16" s="18">
        <f>INDEX(param_values,MATCH("port_cf_charges_inr_t_"&amp;$S16,param_keys,0))</f>
        <v/>
      </c>
      <c r="Y16" s="8">
        <f>INDEX(param_values,MATCH(IF($D16="JEA_NSA","psic_required_uae_origin","psic_required_safe_origin_designated_port"),param_keys,0))</f>
        <v/>
      </c>
      <c r="Z16" s="19">
        <f>INDEX(param_values,MATCH("finance_days_"&amp;$T16,param_keys,0))</f>
        <v/>
      </c>
      <c r="AA16" s="15">
        <f>INDEX(param_values,MATCH("moisture_frac_"&amp;$C16,param_keys,0))</f>
        <v/>
      </c>
      <c r="AB16" s="15">
        <f>INDEX(param_values,MATCH("contamination_frac_"&amp;$C16,param_keys,0))</f>
        <v/>
      </c>
      <c r="AC16" s="15">
        <f>INDEX(param_values,MATCH("metal_yield_frac_"&amp;$C16,param_keys,0))</f>
        <v/>
      </c>
      <c r="AD16" s="15">
        <f>INDEX(param_values,MATCH("heavies_frac_"&amp;$C16,param_keys,0))</f>
        <v/>
      </c>
      <c r="AE16" s="8">
        <f>INDEX(param_values,MATCH("grade_factor_diff_"&amp;$C16,param_keys,0))</f>
        <v/>
      </c>
      <c r="AF16" s="16">
        <f>$F16*$P16</f>
        <v/>
      </c>
      <c r="AG16" s="8">
        <f>$U16/$V16</f>
        <v/>
      </c>
      <c r="AH16" s="16">
        <f>$L16*$AG16</f>
        <v/>
      </c>
      <c r="AI16" s="16">
        <f>$AF16-$AH16</f>
        <v/>
      </c>
      <c r="AJ16" s="16">
        <f>insurance_rate*insured_value_uplift*$AF16</f>
        <v/>
      </c>
      <c r="AK16" s="16">
        <f>$AF16+$AJ16</f>
        <v/>
      </c>
      <c r="AL16" s="18">
        <f>$AK16*$J16</f>
        <v/>
      </c>
      <c r="AM16" s="18">
        <f>$AK16*$I16</f>
        <v/>
      </c>
      <c r="AN16" s="18">
        <f>$AL16*bcd_scrap_hs7602</f>
        <v/>
      </c>
      <c r="AO16" s="18">
        <f>$AN16*sws_rate_on_bcd</f>
        <v/>
      </c>
      <c r="AP16" s="18">
        <f>($AL16+$AN16+$AO16)*igst_rate_hs7602</f>
        <v/>
      </c>
      <c r="AQ16" s="18">
        <f>$X16*$AG16+IF($Y16,psic_cost_usd_per_box*$H16/$W16,0)</f>
        <v/>
      </c>
      <c r="AR16" s="18">
        <f>($AM16+$AN16+$AO16)*$Z16/day_count_inr*$O16</f>
        <v/>
      </c>
      <c r="AS16" s="18">
        <f>$AP16*igst_credit_lag_days/day_count_inr*$O16</f>
        <v/>
      </c>
      <c r="AT16" s="18">
        <f>$AM16+$AN16+$AO16+$AQ16+$AR16+$AS16+IF(igst_itc_available,0,$AP16)</f>
        <v/>
      </c>
      <c r="AU16" s="15">
        <f>(1-$AA16)*(1-$AB16)*$AC16</f>
        <v/>
      </c>
      <c r="AV16" s="18">
        <f>$N16*kg_per_mt+domestic_anchor_premium_inr_t</f>
        <v/>
      </c>
      <c r="AW16" s="18">
        <f>(1-$AA16)*$AD16*heavies_net_value_frac_of_lme_al*$F16*$H16</f>
        <v/>
      </c>
      <c r="AX16" s="18">
        <f>conversion_cost_inr_t*$AU16</f>
        <v/>
      </c>
      <c r="AY16" s="18">
        <f>$AV16*$AU16+$AW16-$AT16-$AX16</f>
        <v/>
      </c>
      <c r="AZ16" s="16">
        <f>$AY16/$H16</f>
        <v/>
      </c>
      <c r="BA16" s="8">
        <f>$AY16&gt;margin_threshold_inr_t</f>
        <v/>
      </c>
      <c r="BB16" s="8">
        <f>$Q16+$AE16</f>
        <v/>
      </c>
      <c r="BC16" s="18">
        <f>$AT16-$AQ16</f>
        <v/>
      </c>
      <c r="BD16" s="18">
        <f>$AY16-$BC16*($BB16/$P16-1)</f>
        <v/>
      </c>
      <c r="BE16" s="18">
        <f>$AY16-(conv_step_5a-conversion_cost_inr_t)*$AU16</f>
        <v/>
      </c>
      <c r="BF16" s="8">
        <f>$BA16</f>
        <v/>
      </c>
      <c r="BG16" s="8">
        <f>$BD16&gt;margin_threshold_inr_t</f>
        <v/>
      </c>
      <c r="BH16" s="8">
        <f>$BE16&gt;margin_threshold_inr_t</f>
        <v/>
      </c>
      <c r="BI16" s="8">
        <f>AND($BF16,$BG16,$BH16)</f>
        <v/>
      </c>
      <c r="BJ16" s="8">
        <f>IF($BI16,1,0)</f>
        <v/>
      </c>
    </row>
    <row r="17">
      <c r="A17" s="11" t="n">
        <v>44575</v>
      </c>
      <c r="B17" s="11" t="n">
        <v>44575</v>
      </c>
      <c r="C17" s="7" t="inlineStr">
        <is>
          <t>tense</t>
        </is>
      </c>
      <c r="D17" s="7" t="inlineStr">
        <is>
          <t>USEC_MUN</t>
        </is>
      </c>
      <c r="E17" s="17" t="b">
        <v>0</v>
      </c>
      <c r="F17" s="16">
        <f>INDEX(Market_Weekly!$E$6:$E$48,MATCH($A17,Market_Weekly!$A$6:$A$48,0))</f>
        <v/>
      </c>
      <c r="G17" s="16">
        <f>INDEX(Market_Weekly!$D$6:$D$48,MATCH($A17,Market_Weekly!$A$6:$A$48,0))</f>
        <v/>
      </c>
      <c r="H17" s="16">
        <f>INDEX(Market_Weekly!$G$6:$G$48,MATCH($A17,Market_Weekly!$A$6:$A$48,0))</f>
        <v/>
      </c>
      <c r="I17" s="8">
        <f>INDEX(Market_Weekly!$H$6:$H$48,MATCH($A17,Market_Weekly!$A$6:$A$48,0))</f>
        <v/>
      </c>
      <c r="J17" s="8">
        <f>INDEX(Market_Weekly!$Q$6:$Q$48,MATCH($A17,Market_Weekly!$A$6:$A$48,0))</f>
        <v/>
      </c>
      <c r="K17" s="8">
        <f>INDEX(Market_Weekly!$V$6:$V$48,MATCH($A17,Market_Weekly!$A$6:$A$48,0))</f>
        <v/>
      </c>
      <c r="L17" s="16">
        <f>IF($D17="JEA_NSA",INDEX(Market_Weekly!$N$6:$N$48,MATCH($A17,Market_Weekly!$A$6:$A$48,0)),INDEX(Market_Weekly!$O$6:$O$48,MATCH($A17,Market_Weekly!$A$6:$A$48,0)))</f>
        <v/>
      </c>
      <c r="M17" s="8">
        <f>IF($D17="JEA_NSA","M1","M2")</f>
        <v/>
      </c>
      <c r="N17" s="16">
        <f>IF($D17="JEA_NSA",INDEX(Market_Weekly!$L$6:$L$48,MATCH($A17,Market_Weekly!$A$6:$A$48,0)),INDEX(Market_Weekly!$M$6:$M$48,MATCH($A17,Market_Weekly!$A$6:$A$48,0)))</f>
        <v/>
      </c>
      <c r="O17" s="15">
        <f>INDEX(Market_Weekly!$P$6:$P$48,MATCH($A17,Market_Weekly!$A$6:$A$48,0))</f>
        <v/>
      </c>
      <c r="P17" s="8">
        <f>INDEX(Market_Weekly!$R$6:$T$48,MATCH($A17,Market_Weekly!$A$6:$A$48,0),MATCH("grade_factor_"&amp;$C17,Market_Weekly!$R$5:$T$5,0))</f>
        <v/>
      </c>
      <c r="Q17" s="8">
        <f>INDEX(Market_Weekly!$U$6:$U$48,MATCH($A17,Market_Weekly!$A$6:$A$48,0))</f>
        <v/>
      </c>
      <c r="R17" s="8">
        <f>IF($D17="JEA_NSA","20ft","40ft")</f>
        <v/>
      </c>
      <c r="S17" s="8">
        <f>IF($D17="JEA_NSA","nsa","mun")</f>
        <v/>
      </c>
      <c r="T17" s="8">
        <f>IF($D17="JEA_NSA","jea_nsa","usec_mun")</f>
        <v/>
      </c>
      <c r="U17" s="16">
        <f>INDEX(param_values,MATCH("container_payload_mt_"&amp;$R17,param_keys,0))</f>
        <v/>
      </c>
      <c r="V17" s="16">
        <f>INDEX(param_values,MATCH("container_payload_mt_"&amp;$R17&amp;"_"&amp;$C17,param_keys,0))</f>
        <v/>
      </c>
      <c r="W17" s="16">
        <f>INDEX(param_values,MATCH("container_payload_mt_20ft_"&amp;$C17,param_keys,0))</f>
        <v/>
      </c>
      <c r="X17" s="18">
        <f>INDEX(param_values,MATCH("port_cf_charges_inr_t_"&amp;$S17,param_keys,0))</f>
        <v/>
      </c>
      <c r="Y17" s="8">
        <f>INDEX(param_values,MATCH(IF($D17="JEA_NSA","psic_required_uae_origin","psic_required_safe_origin_designated_port"),param_keys,0))</f>
        <v/>
      </c>
      <c r="Z17" s="19">
        <f>INDEX(param_values,MATCH("finance_days_"&amp;$T17,param_keys,0))</f>
        <v/>
      </c>
      <c r="AA17" s="15">
        <f>INDEX(param_values,MATCH("moisture_frac_"&amp;$C17,param_keys,0))</f>
        <v/>
      </c>
      <c r="AB17" s="15">
        <f>INDEX(param_values,MATCH("contamination_frac_"&amp;$C17,param_keys,0))</f>
        <v/>
      </c>
      <c r="AC17" s="15">
        <f>INDEX(param_values,MATCH("metal_yield_frac_"&amp;$C17,param_keys,0))</f>
        <v/>
      </c>
      <c r="AD17" s="15">
        <f>INDEX(param_values,MATCH("heavies_frac_"&amp;$C17,param_keys,0))</f>
        <v/>
      </c>
      <c r="AE17" s="8">
        <f>INDEX(param_values,MATCH("grade_factor_diff_"&amp;$C17,param_keys,0))</f>
        <v/>
      </c>
      <c r="AF17" s="16">
        <f>$F17*$P17</f>
        <v/>
      </c>
      <c r="AG17" s="8">
        <f>$U17/$V17</f>
        <v/>
      </c>
      <c r="AH17" s="16">
        <f>$L17*$AG17</f>
        <v/>
      </c>
      <c r="AI17" s="16">
        <f>$AF17-$AH17</f>
        <v/>
      </c>
      <c r="AJ17" s="16">
        <f>insurance_rate*insured_value_uplift*$AF17</f>
        <v/>
      </c>
      <c r="AK17" s="16">
        <f>$AF17+$AJ17</f>
        <v/>
      </c>
      <c r="AL17" s="18">
        <f>$AK17*$J17</f>
        <v/>
      </c>
      <c r="AM17" s="18">
        <f>$AK17*$I17</f>
        <v/>
      </c>
      <c r="AN17" s="18">
        <f>$AL17*bcd_scrap_hs7602</f>
        <v/>
      </c>
      <c r="AO17" s="18">
        <f>$AN17*sws_rate_on_bcd</f>
        <v/>
      </c>
      <c r="AP17" s="18">
        <f>($AL17+$AN17+$AO17)*igst_rate_hs7602</f>
        <v/>
      </c>
      <c r="AQ17" s="18">
        <f>$X17*$AG17+IF($Y17,psic_cost_usd_per_box*$H17/$W17,0)</f>
        <v/>
      </c>
      <c r="AR17" s="18">
        <f>($AM17+$AN17+$AO17)*$Z17/day_count_inr*$O17</f>
        <v/>
      </c>
      <c r="AS17" s="18">
        <f>$AP17*igst_credit_lag_days/day_count_inr*$O17</f>
        <v/>
      </c>
      <c r="AT17" s="18">
        <f>$AM17+$AN17+$AO17+$AQ17+$AR17+$AS17+IF(igst_itc_available,0,$AP17)</f>
        <v/>
      </c>
      <c r="AU17" s="15">
        <f>(1-$AA17)*(1-$AB17)*$AC17</f>
        <v/>
      </c>
      <c r="AV17" s="18">
        <f>$N17*kg_per_mt+domestic_anchor_premium_inr_t</f>
        <v/>
      </c>
      <c r="AW17" s="18">
        <f>(1-$AA17)*$AD17*heavies_net_value_frac_of_lme_al*$F17*$H17</f>
        <v/>
      </c>
      <c r="AX17" s="18">
        <f>conversion_cost_inr_t*$AU17</f>
        <v/>
      </c>
      <c r="AY17" s="18">
        <f>$AV17*$AU17+$AW17-$AT17-$AX17</f>
        <v/>
      </c>
      <c r="AZ17" s="16">
        <f>$AY17/$H17</f>
        <v/>
      </c>
      <c r="BA17" s="8">
        <f>$AY17&gt;margin_threshold_inr_t</f>
        <v/>
      </c>
      <c r="BB17" s="8">
        <f>$Q17+$AE17</f>
        <v/>
      </c>
      <c r="BC17" s="18">
        <f>$AT17-$AQ17</f>
        <v/>
      </c>
      <c r="BD17" s="18">
        <f>$AY17-$BC17*($BB17/$P17-1)</f>
        <v/>
      </c>
      <c r="BE17" s="18">
        <f>$AY17-(conv_step_5a-conversion_cost_inr_t)*$AU17</f>
        <v/>
      </c>
      <c r="BF17" s="8">
        <f>$BA17</f>
        <v/>
      </c>
      <c r="BG17" s="8">
        <f>$BD17&gt;margin_threshold_inr_t</f>
        <v/>
      </c>
      <c r="BH17" s="8">
        <f>$BE17&gt;margin_threshold_inr_t</f>
        <v/>
      </c>
      <c r="BI17" s="8">
        <f>AND($BF17,$BG17,$BH17)</f>
        <v/>
      </c>
      <c r="BJ17" s="8">
        <f>IF($BI17,1,0)</f>
        <v/>
      </c>
    </row>
    <row r="18">
      <c r="A18" s="11" t="n">
        <v>44582</v>
      </c>
      <c r="B18" s="11" t="n">
        <v>44582</v>
      </c>
      <c r="C18" s="7" t="inlineStr">
        <is>
          <t>zorba</t>
        </is>
      </c>
      <c r="D18" s="7" t="inlineStr">
        <is>
          <t>JEA_NSA</t>
        </is>
      </c>
      <c r="E18" s="17" t="b">
        <v>0</v>
      </c>
      <c r="F18" s="16">
        <f>INDEX(Market_Weekly!$E$6:$E$48,MATCH($A18,Market_Weekly!$A$6:$A$48,0))</f>
        <v/>
      </c>
      <c r="G18" s="16">
        <f>INDEX(Market_Weekly!$D$6:$D$48,MATCH($A18,Market_Weekly!$A$6:$A$48,0))</f>
        <v/>
      </c>
      <c r="H18" s="16">
        <f>INDEX(Market_Weekly!$G$6:$G$48,MATCH($A18,Market_Weekly!$A$6:$A$48,0))</f>
        <v/>
      </c>
      <c r="I18" s="8">
        <f>INDEX(Market_Weekly!$H$6:$H$48,MATCH($A18,Market_Weekly!$A$6:$A$48,0))</f>
        <v/>
      </c>
      <c r="J18" s="8">
        <f>INDEX(Market_Weekly!$Q$6:$Q$48,MATCH($A18,Market_Weekly!$A$6:$A$48,0))</f>
        <v/>
      </c>
      <c r="K18" s="8">
        <f>INDEX(Market_Weekly!$V$6:$V$48,MATCH($A18,Market_Weekly!$A$6:$A$48,0))</f>
        <v/>
      </c>
      <c r="L18" s="16">
        <f>IF($D18="JEA_NSA",INDEX(Market_Weekly!$N$6:$N$48,MATCH($A18,Market_Weekly!$A$6:$A$48,0)),INDEX(Market_Weekly!$O$6:$O$48,MATCH($A18,Market_Weekly!$A$6:$A$48,0)))</f>
        <v/>
      </c>
      <c r="M18" s="8">
        <f>IF($D18="JEA_NSA","M1","M2")</f>
        <v/>
      </c>
      <c r="N18" s="16">
        <f>IF($D18="JEA_NSA",INDEX(Market_Weekly!$L$6:$L$48,MATCH($A18,Market_Weekly!$A$6:$A$48,0)),INDEX(Market_Weekly!$M$6:$M$48,MATCH($A18,Market_Weekly!$A$6:$A$48,0)))</f>
        <v/>
      </c>
      <c r="O18" s="15">
        <f>INDEX(Market_Weekly!$P$6:$P$48,MATCH($A18,Market_Weekly!$A$6:$A$48,0))</f>
        <v/>
      </c>
      <c r="P18" s="8">
        <f>INDEX(Market_Weekly!$R$6:$T$48,MATCH($A18,Market_Weekly!$A$6:$A$48,0),MATCH("grade_factor_"&amp;$C18,Market_Weekly!$R$5:$T$5,0))</f>
        <v/>
      </c>
      <c r="Q18" s="8">
        <f>INDEX(Market_Weekly!$U$6:$U$48,MATCH($A18,Market_Weekly!$A$6:$A$48,0))</f>
        <v/>
      </c>
      <c r="R18" s="8">
        <f>IF($D18="JEA_NSA","20ft","40ft")</f>
        <v/>
      </c>
      <c r="S18" s="8">
        <f>IF($D18="JEA_NSA","nsa","mun")</f>
        <v/>
      </c>
      <c r="T18" s="8">
        <f>IF($D18="JEA_NSA","jea_nsa","usec_mun")</f>
        <v/>
      </c>
      <c r="U18" s="16">
        <f>INDEX(param_values,MATCH("container_payload_mt_"&amp;$R18,param_keys,0))</f>
        <v/>
      </c>
      <c r="V18" s="16">
        <f>INDEX(param_values,MATCH("container_payload_mt_"&amp;$R18&amp;"_"&amp;$C18,param_keys,0))</f>
        <v/>
      </c>
      <c r="W18" s="16">
        <f>INDEX(param_values,MATCH("container_payload_mt_20ft_"&amp;$C18,param_keys,0))</f>
        <v/>
      </c>
      <c r="X18" s="18">
        <f>INDEX(param_values,MATCH("port_cf_charges_inr_t_"&amp;$S18,param_keys,0))</f>
        <v/>
      </c>
      <c r="Y18" s="8">
        <f>INDEX(param_values,MATCH(IF($D18="JEA_NSA","psic_required_uae_origin","psic_required_safe_origin_designated_port"),param_keys,0))</f>
        <v/>
      </c>
      <c r="Z18" s="19">
        <f>INDEX(param_values,MATCH("finance_days_"&amp;$T18,param_keys,0))</f>
        <v/>
      </c>
      <c r="AA18" s="15">
        <f>INDEX(param_values,MATCH("moisture_frac_"&amp;$C18,param_keys,0))</f>
        <v/>
      </c>
      <c r="AB18" s="15">
        <f>INDEX(param_values,MATCH("contamination_frac_"&amp;$C18,param_keys,0))</f>
        <v/>
      </c>
      <c r="AC18" s="15">
        <f>INDEX(param_values,MATCH("metal_yield_frac_"&amp;$C18,param_keys,0))</f>
        <v/>
      </c>
      <c r="AD18" s="15">
        <f>INDEX(param_values,MATCH("heavies_frac_"&amp;$C18,param_keys,0))</f>
        <v/>
      </c>
      <c r="AE18" s="8">
        <f>INDEX(param_values,MATCH("grade_factor_diff_"&amp;$C18,param_keys,0))</f>
        <v/>
      </c>
      <c r="AF18" s="16">
        <f>$F18*$P18</f>
        <v/>
      </c>
      <c r="AG18" s="8">
        <f>$U18/$V18</f>
        <v/>
      </c>
      <c r="AH18" s="16">
        <f>$L18*$AG18</f>
        <v/>
      </c>
      <c r="AI18" s="16">
        <f>$AF18-$AH18</f>
        <v/>
      </c>
      <c r="AJ18" s="16">
        <f>insurance_rate*insured_value_uplift*$AF18</f>
        <v/>
      </c>
      <c r="AK18" s="16">
        <f>$AF18+$AJ18</f>
        <v/>
      </c>
      <c r="AL18" s="18">
        <f>$AK18*$J18</f>
        <v/>
      </c>
      <c r="AM18" s="18">
        <f>$AK18*$I18</f>
        <v/>
      </c>
      <c r="AN18" s="18">
        <f>$AL18*bcd_scrap_hs7602</f>
        <v/>
      </c>
      <c r="AO18" s="18">
        <f>$AN18*sws_rate_on_bcd</f>
        <v/>
      </c>
      <c r="AP18" s="18">
        <f>($AL18+$AN18+$AO18)*igst_rate_hs7602</f>
        <v/>
      </c>
      <c r="AQ18" s="18">
        <f>$X18*$AG18+IF($Y18,psic_cost_usd_per_box*$H18/$W18,0)</f>
        <v/>
      </c>
      <c r="AR18" s="18">
        <f>($AM18+$AN18+$AO18)*$Z18/day_count_inr*$O18</f>
        <v/>
      </c>
      <c r="AS18" s="18">
        <f>$AP18*igst_credit_lag_days/day_count_inr*$O18</f>
        <v/>
      </c>
      <c r="AT18" s="18">
        <f>$AM18+$AN18+$AO18+$AQ18+$AR18+$AS18+IF(igst_itc_available,0,$AP18)</f>
        <v/>
      </c>
      <c r="AU18" s="15">
        <f>(1-$AA18)*(1-$AB18)*$AC18</f>
        <v/>
      </c>
      <c r="AV18" s="18">
        <f>$N18*kg_per_mt+domestic_anchor_premium_inr_t</f>
        <v/>
      </c>
      <c r="AW18" s="18">
        <f>(1-$AA18)*$AD18*heavies_net_value_frac_of_lme_al*$F18*$H18</f>
        <v/>
      </c>
      <c r="AX18" s="18">
        <f>conversion_cost_inr_t*$AU18</f>
        <v/>
      </c>
      <c r="AY18" s="18">
        <f>$AV18*$AU18+$AW18-$AT18-$AX18</f>
        <v/>
      </c>
      <c r="AZ18" s="16">
        <f>$AY18/$H18</f>
        <v/>
      </c>
      <c r="BA18" s="8">
        <f>$AY18&gt;margin_threshold_inr_t</f>
        <v/>
      </c>
      <c r="BB18" s="8">
        <f>$Q18+$AE18</f>
        <v/>
      </c>
      <c r="BC18" s="18">
        <f>$AT18-$AQ18</f>
        <v/>
      </c>
      <c r="BD18" s="18">
        <f>$AY18-$BC18*($BB18/$P18-1)</f>
        <v/>
      </c>
      <c r="BE18" s="18">
        <f>$AY18-(conv_step_5a-conversion_cost_inr_t)*$AU18</f>
        <v/>
      </c>
      <c r="BF18" s="8">
        <f>$BA18</f>
        <v/>
      </c>
      <c r="BG18" s="8">
        <f>$BD18&gt;margin_threshold_inr_t</f>
        <v/>
      </c>
      <c r="BH18" s="8">
        <f>$BE18&gt;margin_threshold_inr_t</f>
        <v/>
      </c>
      <c r="BI18" s="8">
        <f>AND($BF18,$BG18,$BH18)</f>
        <v/>
      </c>
      <c r="BJ18" s="8">
        <f>IF($BI18,1,0)</f>
        <v/>
      </c>
    </row>
    <row r="19">
      <c r="A19" s="11" t="n">
        <v>44582</v>
      </c>
      <c r="B19" s="11" t="n">
        <v>44582</v>
      </c>
      <c r="C19" s="7" t="inlineStr">
        <is>
          <t>zorba</t>
        </is>
      </c>
      <c r="D19" s="7" t="inlineStr">
        <is>
          <t>USEC_MUN</t>
        </is>
      </c>
      <c r="E19" s="17" t="b">
        <v>0</v>
      </c>
      <c r="F19" s="16">
        <f>INDEX(Market_Weekly!$E$6:$E$48,MATCH($A19,Market_Weekly!$A$6:$A$48,0))</f>
        <v/>
      </c>
      <c r="G19" s="16">
        <f>INDEX(Market_Weekly!$D$6:$D$48,MATCH($A19,Market_Weekly!$A$6:$A$48,0))</f>
        <v/>
      </c>
      <c r="H19" s="16">
        <f>INDEX(Market_Weekly!$G$6:$G$48,MATCH($A19,Market_Weekly!$A$6:$A$48,0))</f>
        <v/>
      </c>
      <c r="I19" s="8">
        <f>INDEX(Market_Weekly!$H$6:$H$48,MATCH($A19,Market_Weekly!$A$6:$A$48,0))</f>
        <v/>
      </c>
      <c r="J19" s="8">
        <f>INDEX(Market_Weekly!$Q$6:$Q$48,MATCH($A19,Market_Weekly!$A$6:$A$48,0))</f>
        <v/>
      </c>
      <c r="K19" s="8">
        <f>INDEX(Market_Weekly!$V$6:$V$48,MATCH($A19,Market_Weekly!$A$6:$A$48,0))</f>
        <v/>
      </c>
      <c r="L19" s="16">
        <f>IF($D19="JEA_NSA",INDEX(Market_Weekly!$N$6:$N$48,MATCH($A19,Market_Weekly!$A$6:$A$48,0)),INDEX(Market_Weekly!$O$6:$O$48,MATCH($A19,Market_Weekly!$A$6:$A$48,0)))</f>
        <v/>
      </c>
      <c r="M19" s="8">
        <f>IF($D19="JEA_NSA","M1","M2")</f>
        <v/>
      </c>
      <c r="N19" s="16">
        <f>IF($D19="JEA_NSA",INDEX(Market_Weekly!$L$6:$L$48,MATCH($A19,Market_Weekly!$A$6:$A$48,0)),INDEX(Market_Weekly!$M$6:$M$48,MATCH($A19,Market_Weekly!$A$6:$A$48,0)))</f>
        <v/>
      </c>
      <c r="O19" s="15">
        <f>INDEX(Market_Weekly!$P$6:$P$48,MATCH($A19,Market_Weekly!$A$6:$A$48,0))</f>
        <v/>
      </c>
      <c r="P19" s="8">
        <f>INDEX(Market_Weekly!$R$6:$T$48,MATCH($A19,Market_Weekly!$A$6:$A$48,0),MATCH("grade_factor_"&amp;$C19,Market_Weekly!$R$5:$T$5,0))</f>
        <v/>
      </c>
      <c r="Q19" s="8">
        <f>INDEX(Market_Weekly!$U$6:$U$48,MATCH($A19,Market_Weekly!$A$6:$A$48,0))</f>
        <v/>
      </c>
      <c r="R19" s="8">
        <f>IF($D19="JEA_NSA","20ft","40ft")</f>
        <v/>
      </c>
      <c r="S19" s="8">
        <f>IF($D19="JEA_NSA","nsa","mun")</f>
        <v/>
      </c>
      <c r="T19" s="8">
        <f>IF($D19="JEA_NSA","jea_nsa","usec_mun")</f>
        <v/>
      </c>
      <c r="U19" s="16">
        <f>INDEX(param_values,MATCH("container_payload_mt_"&amp;$R19,param_keys,0))</f>
        <v/>
      </c>
      <c r="V19" s="16">
        <f>INDEX(param_values,MATCH("container_payload_mt_"&amp;$R19&amp;"_"&amp;$C19,param_keys,0))</f>
        <v/>
      </c>
      <c r="W19" s="16">
        <f>INDEX(param_values,MATCH("container_payload_mt_20ft_"&amp;$C19,param_keys,0))</f>
        <v/>
      </c>
      <c r="X19" s="18">
        <f>INDEX(param_values,MATCH("port_cf_charges_inr_t_"&amp;$S19,param_keys,0))</f>
        <v/>
      </c>
      <c r="Y19" s="8">
        <f>INDEX(param_values,MATCH(IF($D19="JEA_NSA","psic_required_uae_origin","psic_required_safe_origin_designated_port"),param_keys,0))</f>
        <v/>
      </c>
      <c r="Z19" s="19">
        <f>INDEX(param_values,MATCH("finance_days_"&amp;$T19,param_keys,0))</f>
        <v/>
      </c>
      <c r="AA19" s="15">
        <f>INDEX(param_values,MATCH("moisture_frac_"&amp;$C19,param_keys,0))</f>
        <v/>
      </c>
      <c r="AB19" s="15">
        <f>INDEX(param_values,MATCH("contamination_frac_"&amp;$C19,param_keys,0))</f>
        <v/>
      </c>
      <c r="AC19" s="15">
        <f>INDEX(param_values,MATCH("metal_yield_frac_"&amp;$C19,param_keys,0))</f>
        <v/>
      </c>
      <c r="AD19" s="15">
        <f>INDEX(param_values,MATCH("heavies_frac_"&amp;$C19,param_keys,0))</f>
        <v/>
      </c>
      <c r="AE19" s="8">
        <f>INDEX(param_values,MATCH("grade_factor_diff_"&amp;$C19,param_keys,0))</f>
        <v/>
      </c>
      <c r="AF19" s="16">
        <f>$F19*$P19</f>
        <v/>
      </c>
      <c r="AG19" s="8">
        <f>$U19/$V19</f>
        <v/>
      </c>
      <c r="AH19" s="16">
        <f>$L19*$AG19</f>
        <v/>
      </c>
      <c r="AI19" s="16">
        <f>$AF19-$AH19</f>
        <v/>
      </c>
      <c r="AJ19" s="16">
        <f>insurance_rate*insured_value_uplift*$AF19</f>
        <v/>
      </c>
      <c r="AK19" s="16">
        <f>$AF19+$AJ19</f>
        <v/>
      </c>
      <c r="AL19" s="18">
        <f>$AK19*$J19</f>
        <v/>
      </c>
      <c r="AM19" s="18">
        <f>$AK19*$I19</f>
        <v/>
      </c>
      <c r="AN19" s="18">
        <f>$AL19*bcd_scrap_hs7602</f>
        <v/>
      </c>
      <c r="AO19" s="18">
        <f>$AN19*sws_rate_on_bcd</f>
        <v/>
      </c>
      <c r="AP19" s="18">
        <f>($AL19+$AN19+$AO19)*igst_rate_hs7602</f>
        <v/>
      </c>
      <c r="AQ19" s="18">
        <f>$X19*$AG19+IF($Y19,psic_cost_usd_per_box*$H19/$W19,0)</f>
        <v/>
      </c>
      <c r="AR19" s="18">
        <f>($AM19+$AN19+$AO19)*$Z19/day_count_inr*$O19</f>
        <v/>
      </c>
      <c r="AS19" s="18">
        <f>$AP19*igst_credit_lag_days/day_count_inr*$O19</f>
        <v/>
      </c>
      <c r="AT19" s="18">
        <f>$AM19+$AN19+$AO19+$AQ19+$AR19+$AS19+IF(igst_itc_available,0,$AP19)</f>
        <v/>
      </c>
      <c r="AU19" s="15">
        <f>(1-$AA19)*(1-$AB19)*$AC19</f>
        <v/>
      </c>
      <c r="AV19" s="18">
        <f>$N19*kg_per_mt+domestic_anchor_premium_inr_t</f>
        <v/>
      </c>
      <c r="AW19" s="18">
        <f>(1-$AA19)*$AD19*heavies_net_value_frac_of_lme_al*$F19*$H19</f>
        <v/>
      </c>
      <c r="AX19" s="18">
        <f>conversion_cost_inr_t*$AU19</f>
        <v/>
      </c>
      <c r="AY19" s="18">
        <f>$AV19*$AU19+$AW19-$AT19-$AX19</f>
        <v/>
      </c>
      <c r="AZ19" s="16">
        <f>$AY19/$H19</f>
        <v/>
      </c>
      <c r="BA19" s="8">
        <f>$AY19&gt;margin_threshold_inr_t</f>
        <v/>
      </c>
      <c r="BB19" s="8">
        <f>$Q19+$AE19</f>
        <v/>
      </c>
      <c r="BC19" s="18">
        <f>$AT19-$AQ19</f>
        <v/>
      </c>
      <c r="BD19" s="18">
        <f>$AY19-$BC19*($BB19/$P19-1)</f>
        <v/>
      </c>
      <c r="BE19" s="18">
        <f>$AY19-(conv_step_5a-conversion_cost_inr_t)*$AU19</f>
        <v/>
      </c>
      <c r="BF19" s="8">
        <f>$BA19</f>
        <v/>
      </c>
      <c r="BG19" s="8">
        <f>$BD19&gt;margin_threshold_inr_t</f>
        <v/>
      </c>
      <c r="BH19" s="8">
        <f>$BE19&gt;margin_threshold_inr_t</f>
        <v/>
      </c>
      <c r="BI19" s="8">
        <f>AND($BF19,$BG19,$BH19)</f>
        <v/>
      </c>
      <c r="BJ19" s="8">
        <f>IF($BI19,1,0)</f>
        <v/>
      </c>
    </row>
    <row r="20">
      <c r="A20" s="11" t="n">
        <v>44582</v>
      </c>
      <c r="B20" s="11" t="n">
        <v>44582</v>
      </c>
      <c r="C20" s="7" t="inlineStr">
        <is>
          <t>taint_tabor</t>
        </is>
      </c>
      <c r="D20" s="7" t="inlineStr">
        <is>
          <t>JEA_NSA</t>
        </is>
      </c>
      <c r="E20" s="17" t="b">
        <v>0</v>
      </c>
      <c r="F20" s="16">
        <f>INDEX(Market_Weekly!$E$6:$E$48,MATCH($A20,Market_Weekly!$A$6:$A$48,0))</f>
        <v/>
      </c>
      <c r="G20" s="16">
        <f>INDEX(Market_Weekly!$D$6:$D$48,MATCH($A20,Market_Weekly!$A$6:$A$48,0))</f>
        <v/>
      </c>
      <c r="H20" s="16">
        <f>INDEX(Market_Weekly!$G$6:$G$48,MATCH($A20,Market_Weekly!$A$6:$A$48,0))</f>
        <v/>
      </c>
      <c r="I20" s="8">
        <f>INDEX(Market_Weekly!$H$6:$H$48,MATCH($A20,Market_Weekly!$A$6:$A$48,0))</f>
        <v/>
      </c>
      <c r="J20" s="8">
        <f>INDEX(Market_Weekly!$Q$6:$Q$48,MATCH($A20,Market_Weekly!$A$6:$A$48,0))</f>
        <v/>
      </c>
      <c r="K20" s="8">
        <f>INDEX(Market_Weekly!$V$6:$V$48,MATCH($A20,Market_Weekly!$A$6:$A$48,0))</f>
        <v/>
      </c>
      <c r="L20" s="16">
        <f>IF($D20="JEA_NSA",INDEX(Market_Weekly!$N$6:$N$48,MATCH($A20,Market_Weekly!$A$6:$A$48,0)),INDEX(Market_Weekly!$O$6:$O$48,MATCH($A20,Market_Weekly!$A$6:$A$48,0)))</f>
        <v/>
      </c>
      <c r="M20" s="8">
        <f>IF($D20="JEA_NSA","M1","M2")</f>
        <v/>
      </c>
      <c r="N20" s="16">
        <f>IF($D20="JEA_NSA",INDEX(Market_Weekly!$L$6:$L$48,MATCH($A20,Market_Weekly!$A$6:$A$48,0)),INDEX(Market_Weekly!$M$6:$M$48,MATCH($A20,Market_Weekly!$A$6:$A$48,0)))</f>
        <v/>
      </c>
      <c r="O20" s="15">
        <f>INDEX(Market_Weekly!$P$6:$P$48,MATCH($A20,Market_Weekly!$A$6:$A$48,0))</f>
        <v/>
      </c>
      <c r="P20" s="8">
        <f>INDEX(Market_Weekly!$R$6:$T$48,MATCH($A20,Market_Weekly!$A$6:$A$48,0),MATCH("grade_factor_"&amp;$C20,Market_Weekly!$R$5:$T$5,0))</f>
        <v/>
      </c>
      <c r="Q20" s="8">
        <f>INDEX(Market_Weekly!$U$6:$U$48,MATCH($A20,Market_Weekly!$A$6:$A$48,0))</f>
        <v/>
      </c>
      <c r="R20" s="8">
        <f>IF($D20="JEA_NSA","20ft","40ft")</f>
        <v/>
      </c>
      <c r="S20" s="8">
        <f>IF($D20="JEA_NSA","nsa","mun")</f>
        <v/>
      </c>
      <c r="T20" s="8">
        <f>IF($D20="JEA_NSA","jea_nsa","usec_mun")</f>
        <v/>
      </c>
      <c r="U20" s="16">
        <f>INDEX(param_values,MATCH("container_payload_mt_"&amp;$R20,param_keys,0))</f>
        <v/>
      </c>
      <c r="V20" s="16">
        <f>INDEX(param_values,MATCH("container_payload_mt_"&amp;$R20&amp;"_"&amp;$C20,param_keys,0))</f>
        <v/>
      </c>
      <c r="W20" s="16">
        <f>INDEX(param_values,MATCH("container_payload_mt_20ft_"&amp;$C20,param_keys,0))</f>
        <v/>
      </c>
      <c r="X20" s="18">
        <f>INDEX(param_values,MATCH("port_cf_charges_inr_t_"&amp;$S20,param_keys,0))</f>
        <v/>
      </c>
      <c r="Y20" s="8">
        <f>INDEX(param_values,MATCH(IF($D20="JEA_NSA","psic_required_uae_origin","psic_required_safe_origin_designated_port"),param_keys,0))</f>
        <v/>
      </c>
      <c r="Z20" s="19">
        <f>INDEX(param_values,MATCH("finance_days_"&amp;$T20,param_keys,0))</f>
        <v/>
      </c>
      <c r="AA20" s="15">
        <f>INDEX(param_values,MATCH("moisture_frac_"&amp;$C20,param_keys,0))</f>
        <v/>
      </c>
      <c r="AB20" s="15">
        <f>INDEX(param_values,MATCH("contamination_frac_"&amp;$C20,param_keys,0))</f>
        <v/>
      </c>
      <c r="AC20" s="15">
        <f>INDEX(param_values,MATCH("metal_yield_frac_"&amp;$C20,param_keys,0))</f>
        <v/>
      </c>
      <c r="AD20" s="15">
        <f>INDEX(param_values,MATCH("heavies_frac_"&amp;$C20,param_keys,0))</f>
        <v/>
      </c>
      <c r="AE20" s="8">
        <f>INDEX(param_values,MATCH("grade_factor_diff_"&amp;$C20,param_keys,0))</f>
        <v/>
      </c>
      <c r="AF20" s="16">
        <f>$F20*$P20</f>
        <v/>
      </c>
      <c r="AG20" s="8">
        <f>$U20/$V20</f>
        <v/>
      </c>
      <c r="AH20" s="16">
        <f>$L20*$AG20</f>
        <v/>
      </c>
      <c r="AI20" s="16">
        <f>$AF20-$AH20</f>
        <v/>
      </c>
      <c r="AJ20" s="16">
        <f>insurance_rate*insured_value_uplift*$AF20</f>
        <v/>
      </c>
      <c r="AK20" s="16">
        <f>$AF20+$AJ20</f>
        <v/>
      </c>
      <c r="AL20" s="18">
        <f>$AK20*$J20</f>
        <v/>
      </c>
      <c r="AM20" s="18">
        <f>$AK20*$I20</f>
        <v/>
      </c>
      <c r="AN20" s="18">
        <f>$AL20*bcd_scrap_hs7602</f>
        <v/>
      </c>
      <c r="AO20" s="18">
        <f>$AN20*sws_rate_on_bcd</f>
        <v/>
      </c>
      <c r="AP20" s="18">
        <f>($AL20+$AN20+$AO20)*igst_rate_hs7602</f>
        <v/>
      </c>
      <c r="AQ20" s="18">
        <f>$X20*$AG20+IF($Y20,psic_cost_usd_per_box*$H20/$W20,0)</f>
        <v/>
      </c>
      <c r="AR20" s="18">
        <f>($AM20+$AN20+$AO20)*$Z20/day_count_inr*$O20</f>
        <v/>
      </c>
      <c r="AS20" s="18">
        <f>$AP20*igst_credit_lag_days/day_count_inr*$O20</f>
        <v/>
      </c>
      <c r="AT20" s="18">
        <f>$AM20+$AN20+$AO20+$AQ20+$AR20+$AS20+IF(igst_itc_available,0,$AP20)</f>
        <v/>
      </c>
      <c r="AU20" s="15">
        <f>(1-$AA20)*(1-$AB20)*$AC20</f>
        <v/>
      </c>
      <c r="AV20" s="18">
        <f>$N20*kg_per_mt+domestic_anchor_premium_inr_t</f>
        <v/>
      </c>
      <c r="AW20" s="18">
        <f>(1-$AA20)*$AD20*heavies_net_value_frac_of_lme_al*$F20*$H20</f>
        <v/>
      </c>
      <c r="AX20" s="18">
        <f>conversion_cost_inr_t*$AU20</f>
        <v/>
      </c>
      <c r="AY20" s="18">
        <f>$AV20*$AU20+$AW20-$AT20-$AX20</f>
        <v/>
      </c>
      <c r="AZ20" s="16">
        <f>$AY20/$H20</f>
        <v/>
      </c>
      <c r="BA20" s="8">
        <f>$AY20&gt;margin_threshold_inr_t</f>
        <v/>
      </c>
      <c r="BB20" s="8">
        <f>$Q20+$AE20</f>
        <v/>
      </c>
      <c r="BC20" s="18">
        <f>$AT20-$AQ20</f>
        <v/>
      </c>
      <c r="BD20" s="18">
        <f>$AY20-$BC20*($BB20/$P20-1)</f>
        <v/>
      </c>
      <c r="BE20" s="18">
        <f>$AY20-(conv_step_5a-conversion_cost_inr_t)*$AU20</f>
        <v/>
      </c>
      <c r="BF20" s="8">
        <f>$BA20</f>
        <v/>
      </c>
      <c r="BG20" s="8">
        <f>$BD20&gt;margin_threshold_inr_t</f>
        <v/>
      </c>
      <c r="BH20" s="8">
        <f>$BE20&gt;margin_threshold_inr_t</f>
        <v/>
      </c>
      <c r="BI20" s="8">
        <f>AND($BF20,$BG20,$BH20)</f>
        <v/>
      </c>
      <c r="BJ20" s="8">
        <f>IF($BI20,1,0)</f>
        <v/>
      </c>
    </row>
    <row r="21">
      <c r="A21" s="11" t="n">
        <v>44582</v>
      </c>
      <c r="B21" s="11" t="n">
        <v>44582</v>
      </c>
      <c r="C21" s="7" t="inlineStr">
        <is>
          <t>taint_tabor</t>
        </is>
      </c>
      <c r="D21" s="7" t="inlineStr">
        <is>
          <t>USEC_MUN</t>
        </is>
      </c>
      <c r="E21" s="17" t="b">
        <v>0</v>
      </c>
      <c r="F21" s="16">
        <f>INDEX(Market_Weekly!$E$6:$E$48,MATCH($A21,Market_Weekly!$A$6:$A$48,0))</f>
        <v/>
      </c>
      <c r="G21" s="16">
        <f>INDEX(Market_Weekly!$D$6:$D$48,MATCH($A21,Market_Weekly!$A$6:$A$48,0))</f>
        <v/>
      </c>
      <c r="H21" s="16">
        <f>INDEX(Market_Weekly!$G$6:$G$48,MATCH($A21,Market_Weekly!$A$6:$A$48,0))</f>
        <v/>
      </c>
      <c r="I21" s="8">
        <f>INDEX(Market_Weekly!$H$6:$H$48,MATCH($A21,Market_Weekly!$A$6:$A$48,0))</f>
        <v/>
      </c>
      <c r="J21" s="8">
        <f>INDEX(Market_Weekly!$Q$6:$Q$48,MATCH($A21,Market_Weekly!$A$6:$A$48,0))</f>
        <v/>
      </c>
      <c r="K21" s="8">
        <f>INDEX(Market_Weekly!$V$6:$V$48,MATCH($A21,Market_Weekly!$A$6:$A$48,0))</f>
        <v/>
      </c>
      <c r="L21" s="16">
        <f>IF($D21="JEA_NSA",INDEX(Market_Weekly!$N$6:$N$48,MATCH($A21,Market_Weekly!$A$6:$A$48,0)),INDEX(Market_Weekly!$O$6:$O$48,MATCH($A21,Market_Weekly!$A$6:$A$48,0)))</f>
        <v/>
      </c>
      <c r="M21" s="8">
        <f>IF($D21="JEA_NSA","M1","M2")</f>
        <v/>
      </c>
      <c r="N21" s="16">
        <f>IF($D21="JEA_NSA",INDEX(Market_Weekly!$L$6:$L$48,MATCH($A21,Market_Weekly!$A$6:$A$48,0)),INDEX(Market_Weekly!$M$6:$M$48,MATCH($A21,Market_Weekly!$A$6:$A$48,0)))</f>
        <v/>
      </c>
      <c r="O21" s="15">
        <f>INDEX(Market_Weekly!$P$6:$P$48,MATCH($A21,Market_Weekly!$A$6:$A$48,0))</f>
        <v/>
      </c>
      <c r="P21" s="8">
        <f>INDEX(Market_Weekly!$R$6:$T$48,MATCH($A21,Market_Weekly!$A$6:$A$48,0),MATCH("grade_factor_"&amp;$C21,Market_Weekly!$R$5:$T$5,0))</f>
        <v/>
      </c>
      <c r="Q21" s="8">
        <f>INDEX(Market_Weekly!$U$6:$U$48,MATCH($A21,Market_Weekly!$A$6:$A$48,0))</f>
        <v/>
      </c>
      <c r="R21" s="8">
        <f>IF($D21="JEA_NSA","20ft","40ft")</f>
        <v/>
      </c>
      <c r="S21" s="8">
        <f>IF($D21="JEA_NSA","nsa","mun")</f>
        <v/>
      </c>
      <c r="T21" s="8">
        <f>IF($D21="JEA_NSA","jea_nsa","usec_mun")</f>
        <v/>
      </c>
      <c r="U21" s="16">
        <f>INDEX(param_values,MATCH("container_payload_mt_"&amp;$R21,param_keys,0))</f>
        <v/>
      </c>
      <c r="V21" s="16">
        <f>INDEX(param_values,MATCH("container_payload_mt_"&amp;$R21&amp;"_"&amp;$C21,param_keys,0))</f>
        <v/>
      </c>
      <c r="W21" s="16">
        <f>INDEX(param_values,MATCH("container_payload_mt_20ft_"&amp;$C21,param_keys,0))</f>
        <v/>
      </c>
      <c r="X21" s="18">
        <f>INDEX(param_values,MATCH("port_cf_charges_inr_t_"&amp;$S21,param_keys,0))</f>
        <v/>
      </c>
      <c r="Y21" s="8">
        <f>INDEX(param_values,MATCH(IF($D21="JEA_NSA","psic_required_uae_origin","psic_required_safe_origin_designated_port"),param_keys,0))</f>
        <v/>
      </c>
      <c r="Z21" s="19">
        <f>INDEX(param_values,MATCH("finance_days_"&amp;$T21,param_keys,0))</f>
        <v/>
      </c>
      <c r="AA21" s="15">
        <f>INDEX(param_values,MATCH("moisture_frac_"&amp;$C21,param_keys,0))</f>
        <v/>
      </c>
      <c r="AB21" s="15">
        <f>INDEX(param_values,MATCH("contamination_frac_"&amp;$C21,param_keys,0))</f>
        <v/>
      </c>
      <c r="AC21" s="15">
        <f>INDEX(param_values,MATCH("metal_yield_frac_"&amp;$C21,param_keys,0))</f>
        <v/>
      </c>
      <c r="AD21" s="15">
        <f>INDEX(param_values,MATCH("heavies_frac_"&amp;$C21,param_keys,0))</f>
        <v/>
      </c>
      <c r="AE21" s="8">
        <f>INDEX(param_values,MATCH("grade_factor_diff_"&amp;$C21,param_keys,0))</f>
        <v/>
      </c>
      <c r="AF21" s="16">
        <f>$F21*$P21</f>
        <v/>
      </c>
      <c r="AG21" s="8">
        <f>$U21/$V21</f>
        <v/>
      </c>
      <c r="AH21" s="16">
        <f>$L21*$AG21</f>
        <v/>
      </c>
      <c r="AI21" s="16">
        <f>$AF21-$AH21</f>
        <v/>
      </c>
      <c r="AJ21" s="16">
        <f>insurance_rate*insured_value_uplift*$AF21</f>
        <v/>
      </c>
      <c r="AK21" s="16">
        <f>$AF21+$AJ21</f>
        <v/>
      </c>
      <c r="AL21" s="18">
        <f>$AK21*$J21</f>
        <v/>
      </c>
      <c r="AM21" s="18">
        <f>$AK21*$I21</f>
        <v/>
      </c>
      <c r="AN21" s="18">
        <f>$AL21*bcd_scrap_hs7602</f>
        <v/>
      </c>
      <c r="AO21" s="18">
        <f>$AN21*sws_rate_on_bcd</f>
        <v/>
      </c>
      <c r="AP21" s="18">
        <f>($AL21+$AN21+$AO21)*igst_rate_hs7602</f>
        <v/>
      </c>
      <c r="AQ21" s="18">
        <f>$X21*$AG21+IF($Y21,psic_cost_usd_per_box*$H21/$W21,0)</f>
        <v/>
      </c>
      <c r="AR21" s="18">
        <f>($AM21+$AN21+$AO21)*$Z21/day_count_inr*$O21</f>
        <v/>
      </c>
      <c r="AS21" s="18">
        <f>$AP21*igst_credit_lag_days/day_count_inr*$O21</f>
        <v/>
      </c>
      <c r="AT21" s="18">
        <f>$AM21+$AN21+$AO21+$AQ21+$AR21+$AS21+IF(igst_itc_available,0,$AP21)</f>
        <v/>
      </c>
      <c r="AU21" s="15">
        <f>(1-$AA21)*(1-$AB21)*$AC21</f>
        <v/>
      </c>
      <c r="AV21" s="18">
        <f>$N21*kg_per_mt+domestic_anchor_premium_inr_t</f>
        <v/>
      </c>
      <c r="AW21" s="18">
        <f>(1-$AA21)*$AD21*heavies_net_value_frac_of_lme_al*$F21*$H21</f>
        <v/>
      </c>
      <c r="AX21" s="18">
        <f>conversion_cost_inr_t*$AU21</f>
        <v/>
      </c>
      <c r="AY21" s="18">
        <f>$AV21*$AU21+$AW21-$AT21-$AX21</f>
        <v/>
      </c>
      <c r="AZ21" s="16">
        <f>$AY21/$H21</f>
        <v/>
      </c>
      <c r="BA21" s="8">
        <f>$AY21&gt;margin_threshold_inr_t</f>
        <v/>
      </c>
      <c r="BB21" s="8">
        <f>$Q21+$AE21</f>
        <v/>
      </c>
      <c r="BC21" s="18">
        <f>$AT21-$AQ21</f>
        <v/>
      </c>
      <c r="BD21" s="18">
        <f>$AY21-$BC21*($BB21/$P21-1)</f>
        <v/>
      </c>
      <c r="BE21" s="18">
        <f>$AY21-(conv_step_5a-conversion_cost_inr_t)*$AU21</f>
        <v/>
      </c>
      <c r="BF21" s="8">
        <f>$BA21</f>
        <v/>
      </c>
      <c r="BG21" s="8">
        <f>$BD21&gt;margin_threshold_inr_t</f>
        <v/>
      </c>
      <c r="BH21" s="8">
        <f>$BE21&gt;margin_threshold_inr_t</f>
        <v/>
      </c>
      <c r="BI21" s="8">
        <f>AND($BF21,$BG21,$BH21)</f>
        <v/>
      </c>
      <c r="BJ21" s="8">
        <f>IF($BI21,1,0)</f>
        <v/>
      </c>
    </row>
    <row r="22">
      <c r="A22" s="11" t="n">
        <v>44582</v>
      </c>
      <c r="B22" s="11" t="n">
        <v>44582</v>
      </c>
      <c r="C22" s="7" t="inlineStr">
        <is>
          <t>tense</t>
        </is>
      </c>
      <c r="D22" s="7" t="inlineStr">
        <is>
          <t>JEA_NSA</t>
        </is>
      </c>
      <c r="E22" s="17" t="b">
        <v>0</v>
      </c>
      <c r="F22" s="16">
        <f>INDEX(Market_Weekly!$E$6:$E$48,MATCH($A22,Market_Weekly!$A$6:$A$48,0))</f>
        <v/>
      </c>
      <c r="G22" s="16">
        <f>INDEX(Market_Weekly!$D$6:$D$48,MATCH($A22,Market_Weekly!$A$6:$A$48,0))</f>
        <v/>
      </c>
      <c r="H22" s="16">
        <f>INDEX(Market_Weekly!$G$6:$G$48,MATCH($A22,Market_Weekly!$A$6:$A$48,0))</f>
        <v/>
      </c>
      <c r="I22" s="8">
        <f>INDEX(Market_Weekly!$H$6:$H$48,MATCH($A22,Market_Weekly!$A$6:$A$48,0))</f>
        <v/>
      </c>
      <c r="J22" s="8">
        <f>INDEX(Market_Weekly!$Q$6:$Q$48,MATCH($A22,Market_Weekly!$A$6:$A$48,0))</f>
        <v/>
      </c>
      <c r="K22" s="8">
        <f>INDEX(Market_Weekly!$V$6:$V$48,MATCH($A22,Market_Weekly!$A$6:$A$48,0))</f>
        <v/>
      </c>
      <c r="L22" s="16">
        <f>IF($D22="JEA_NSA",INDEX(Market_Weekly!$N$6:$N$48,MATCH($A22,Market_Weekly!$A$6:$A$48,0)),INDEX(Market_Weekly!$O$6:$O$48,MATCH($A22,Market_Weekly!$A$6:$A$48,0)))</f>
        <v/>
      </c>
      <c r="M22" s="8">
        <f>IF($D22="JEA_NSA","M1","M2")</f>
        <v/>
      </c>
      <c r="N22" s="16">
        <f>IF($D22="JEA_NSA",INDEX(Market_Weekly!$L$6:$L$48,MATCH($A22,Market_Weekly!$A$6:$A$48,0)),INDEX(Market_Weekly!$M$6:$M$48,MATCH($A22,Market_Weekly!$A$6:$A$48,0)))</f>
        <v/>
      </c>
      <c r="O22" s="15">
        <f>INDEX(Market_Weekly!$P$6:$P$48,MATCH($A22,Market_Weekly!$A$6:$A$48,0))</f>
        <v/>
      </c>
      <c r="P22" s="8">
        <f>INDEX(Market_Weekly!$R$6:$T$48,MATCH($A22,Market_Weekly!$A$6:$A$48,0),MATCH("grade_factor_"&amp;$C22,Market_Weekly!$R$5:$T$5,0))</f>
        <v/>
      </c>
      <c r="Q22" s="8">
        <f>INDEX(Market_Weekly!$U$6:$U$48,MATCH($A22,Market_Weekly!$A$6:$A$48,0))</f>
        <v/>
      </c>
      <c r="R22" s="8">
        <f>IF($D22="JEA_NSA","20ft","40ft")</f>
        <v/>
      </c>
      <c r="S22" s="8">
        <f>IF($D22="JEA_NSA","nsa","mun")</f>
        <v/>
      </c>
      <c r="T22" s="8">
        <f>IF($D22="JEA_NSA","jea_nsa","usec_mun")</f>
        <v/>
      </c>
      <c r="U22" s="16">
        <f>INDEX(param_values,MATCH("container_payload_mt_"&amp;$R22,param_keys,0))</f>
        <v/>
      </c>
      <c r="V22" s="16">
        <f>INDEX(param_values,MATCH("container_payload_mt_"&amp;$R22&amp;"_"&amp;$C22,param_keys,0))</f>
        <v/>
      </c>
      <c r="W22" s="16">
        <f>INDEX(param_values,MATCH("container_payload_mt_20ft_"&amp;$C22,param_keys,0))</f>
        <v/>
      </c>
      <c r="X22" s="18">
        <f>INDEX(param_values,MATCH("port_cf_charges_inr_t_"&amp;$S22,param_keys,0))</f>
        <v/>
      </c>
      <c r="Y22" s="8">
        <f>INDEX(param_values,MATCH(IF($D22="JEA_NSA","psic_required_uae_origin","psic_required_safe_origin_designated_port"),param_keys,0))</f>
        <v/>
      </c>
      <c r="Z22" s="19">
        <f>INDEX(param_values,MATCH("finance_days_"&amp;$T22,param_keys,0))</f>
        <v/>
      </c>
      <c r="AA22" s="15">
        <f>INDEX(param_values,MATCH("moisture_frac_"&amp;$C22,param_keys,0))</f>
        <v/>
      </c>
      <c r="AB22" s="15">
        <f>INDEX(param_values,MATCH("contamination_frac_"&amp;$C22,param_keys,0))</f>
        <v/>
      </c>
      <c r="AC22" s="15">
        <f>INDEX(param_values,MATCH("metal_yield_frac_"&amp;$C22,param_keys,0))</f>
        <v/>
      </c>
      <c r="AD22" s="15">
        <f>INDEX(param_values,MATCH("heavies_frac_"&amp;$C22,param_keys,0))</f>
        <v/>
      </c>
      <c r="AE22" s="8">
        <f>INDEX(param_values,MATCH("grade_factor_diff_"&amp;$C22,param_keys,0))</f>
        <v/>
      </c>
      <c r="AF22" s="16">
        <f>$F22*$P22</f>
        <v/>
      </c>
      <c r="AG22" s="8">
        <f>$U22/$V22</f>
        <v/>
      </c>
      <c r="AH22" s="16">
        <f>$L22*$AG22</f>
        <v/>
      </c>
      <c r="AI22" s="16">
        <f>$AF22-$AH22</f>
        <v/>
      </c>
      <c r="AJ22" s="16">
        <f>insurance_rate*insured_value_uplift*$AF22</f>
        <v/>
      </c>
      <c r="AK22" s="16">
        <f>$AF22+$AJ22</f>
        <v/>
      </c>
      <c r="AL22" s="18">
        <f>$AK22*$J22</f>
        <v/>
      </c>
      <c r="AM22" s="18">
        <f>$AK22*$I22</f>
        <v/>
      </c>
      <c r="AN22" s="18">
        <f>$AL22*bcd_scrap_hs7602</f>
        <v/>
      </c>
      <c r="AO22" s="18">
        <f>$AN22*sws_rate_on_bcd</f>
        <v/>
      </c>
      <c r="AP22" s="18">
        <f>($AL22+$AN22+$AO22)*igst_rate_hs7602</f>
        <v/>
      </c>
      <c r="AQ22" s="18">
        <f>$X22*$AG22+IF($Y22,psic_cost_usd_per_box*$H22/$W22,0)</f>
        <v/>
      </c>
      <c r="AR22" s="18">
        <f>($AM22+$AN22+$AO22)*$Z22/day_count_inr*$O22</f>
        <v/>
      </c>
      <c r="AS22" s="18">
        <f>$AP22*igst_credit_lag_days/day_count_inr*$O22</f>
        <v/>
      </c>
      <c r="AT22" s="18">
        <f>$AM22+$AN22+$AO22+$AQ22+$AR22+$AS22+IF(igst_itc_available,0,$AP22)</f>
        <v/>
      </c>
      <c r="AU22" s="15">
        <f>(1-$AA22)*(1-$AB22)*$AC22</f>
        <v/>
      </c>
      <c r="AV22" s="18">
        <f>$N22*kg_per_mt+domestic_anchor_premium_inr_t</f>
        <v/>
      </c>
      <c r="AW22" s="18">
        <f>(1-$AA22)*$AD22*heavies_net_value_frac_of_lme_al*$F22*$H22</f>
        <v/>
      </c>
      <c r="AX22" s="18">
        <f>conversion_cost_inr_t*$AU22</f>
        <v/>
      </c>
      <c r="AY22" s="18">
        <f>$AV22*$AU22+$AW22-$AT22-$AX22</f>
        <v/>
      </c>
      <c r="AZ22" s="16">
        <f>$AY22/$H22</f>
        <v/>
      </c>
      <c r="BA22" s="8">
        <f>$AY22&gt;margin_threshold_inr_t</f>
        <v/>
      </c>
      <c r="BB22" s="8">
        <f>$Q22+$AE22</f>
        <v/>
      </c>
      <c r="BC22" s="18">
        <f>$AT22-$AQ22</f>
        <v/>
      </c>
      <c r="BD22" s="18">
        <f>$AY22-$BC22*($BB22/$P22-1)</f>
        <v/>
      </c>
      <c r="BE22" s="18">
        <f>$AY22-(conv_step_5a-conversion_cost_inr_t)*$AU22</f>
        <v/>
      </c>
      <c r="BF22" s="8">
        <f>$BA22</f>
        <v/>
      </c>
      <c r="BG22" s="8">
        <f>$BD22&gt;margin_threshold_inr_t</f>
        <v/>
      </c>
      <c r="BH22" s="8">
        <f>$BE22&gt;margin_threshold_inr_t</f>
        <v/>
      </c>
      <c r="BI22" s="8">
        <f>AND($BF22,$BG22,$BH22)</f>
        <v/>
      </c>
      <c r="BJ22" s="8">
        <f>IF($BI22,1,0)</f>
        <v/>
      </c>
    </row>
    <row r="23">
      <c r="A23" s="11" t="n">
        <v>44582</v>
      </c>
      <c r="B23" s="11" t="n">
        <v>44582</v>
      </c>
      <c r="C23" s="7" t="inlineStr">
        <is>
          <t>tense</t>
        </is>
      </c>
      <c r="D23" s="7" t="inlineStr">
        <is>
          <t>USEC_MUN</t>
        </is>
      </c>
      <c r="E23" s="17" t="b">
        <v>0</v>
      </c>
      <c r="F23" s="16">
        <f>INDEX(Market_Weekly!$E$6:$E$48,MATCH($A23,Market_Weekly!$A$6:$A$48,0))</f>
        <v/>
      </c>
      <c r="G23" s="16">
        <f>INDEX(Market_Weekly!$D$6:$D$48,MATCH($A23,Market_Weekly!$A$6:$A$48,0))</f>
        <v/>
      </c>
      <c r="H23" s="16">
        <f>INDEX(Market_Weekly!$G$6:$G$48,MATCH($A23,Market_Weekly!$A$6:$A$48,0))</f>
        <v/>
      </c>
      <c r="I23" s="8">
        <f>INDEX(Market_Weekly!$H$6:$H$48,MATCH($A23,Market_Weekly!$A$6:$A$48,0))</f>
        <v/>
      </c>
      <c r="J23" s="8">
        <f>INDEX(Market_Weekly!$Q$6:$Q$48,MATCH($A23,Market_Weekly!$A$6:$A$48,0))</f>
        <v/>
      </c>
      <c r="K23" s="8">
        <f>INDEX(Market_Weekly!$V$6:$V$48,MATCH($A23,Market_Weekly!$A$6:$A$48,0))</f>
        <v/>
      </c>
      <c r="L23" s="16">
        <f>IF($D23="JEA_NSA",INDEX(Market_Weekly!$N$6:$N$48,MATCH($A23,Market_Weekly!$A$6:$A$48,0)),INDEX(Market_Weekly!$O$6:$O$48,MATCH($A23,Market_Weekly!$A$6:$A$48,0)))</f>
        <v/>
      </c>
      <c r="M23" s="8">
        <f>IF($D23="JEA_NSA","M1","M2")</f>
        <v/>
      </c>
      <c r="N23" s="16">
        <f>IF($D23="JEA_NSA",INDEX(Market_Weekly!$L$6:$L$48,MATCH($A23,Market_Weekly!$A$6:$A$48,0)),INDEX(Market_Weekly!$M$6:$M$48,MATCH($A23,Market_Weekly!$A$6:$A$48,0)))</f>
        <v/>
      </c>
      <c r="O23" s="15">
        <f>INDEX(Market_Weekly!$P$6:$P$48,MATCH($A23,Market_Weekly!$A$6:$A$48,0))</f>
        <v/>
      </c>
      <c r="P23" s="8">
        <f>INDEX(Market_Weekly!$R$6:$T$48,MATCH($A23,Market_Weekly!$A$6:$A$48,0),MATCH("grade_factor_"&amp;$C23,Market_Weekly!$R$5:$T$5,0))</f>
        <v/>
      </c>
      <c r="Q23" s="8">
        <f>INDEX(Market_Weekly!$U$6:$U$48,MATCH($A23,Market_Weekly!$A$6:$A$48,0))</f>
        <v/>
      </c>
      <c r="R23" s="8">
        <f>IF($D23="JEA_NSA","20ft","40ft")</f>
        <v/>
      </c>
      <c r="S23" s="8">
        <f>IF($D23="JEA_NSA","nsa","mun")</f>
        <v/>
      </c>
      <c r="T23" s="8">
        <f>IF($D23="JEA_NSA","jea_nsa","usec_mun")</f>
        <v/>
      </c>
      <c r="U23" s="16">
        <f>INDEX(param_values,MATCH("container_payload_mt_"&amp;$R23,param_keys,0))</f>
        <v/>
      </c>
      <c r="V23" s="16">
        <f>INDEX(param_values,MATCH("container_payload_mt_"&amp;$R23&amp;"_"&amp;$C23,param_keys,0))</f>
        <v/>
      </c>
      <c r="W23" s="16">
        <f>INDEX(param_values,MATCH("container_payload_mt_20ft_"&amp;$C23,param_keys,0))</f>
        <v/>
      </c>
      <c r="X23" s="18">
        <f>INDEX(param_values,MATCH("port_cf_charges_inr_t_"&amp;$S23,param_keys,0))</f>
        <v/>
      </c>
      <c r="Y23" s="8">
        <f>INDEX(param_values,MATCH(IF($D23="JEA_NSA","psic_required_uae_origin","psic_required_safe_origin_designated_port"),param_keys,0))</f>
        <v/>
      </c>
      <c r="Z23" s="19">
        <f>INDEX(param_values,MATCH("finance_days_"&amp;$T23,param_keys,0))</f>
        <v/>
      </c>
      <c r="AA23" s="15">
        <f>INDEX(param_values,MATCH("moisture_frac_"&amp;$C23,param_keys,0))</f>
        <v/>
      </c>
      <c r="AB23" s="15">
        <f>INDEX(param_values,MATCH("contamination_frac_"&amp;$C23,param_keys,0))</f>
        <v/>
      </c>
      <c r="AC23" s="15">
        <f>INDEX(param_values,MATCH("metal_yield_frac_"&amp;$C23,param_keys,0))</f>
        <v/>
      </c>
      <c r="AD23" s="15">
        <f>INDEX(param_values,MATCH("heavies_frac_"&amp;$C23,param_keys,0))</f>
        <v/>
      </c>
      <c r="AE23" s="8">
        <f>INDEX(param_values,MATCH("grade_factor_diff_"&amp;$C23,param_keys,0))</f>
        <v/>
      </c>
      <c r="AF23" s="16">
        <f>$F23*$P23</f>
        <v/>
      </c>
      <c r="AG23" s="8">
        <f>$U23/$V23</f>
        <v/>
      </c>
      <c r="AH23" s="16">
        <f>$L23*$AG23</f>
        <v/>
      </c>
      <c r="AI23" s="16">
        <f>$AF23-$AH23</f>
        <v/>
      </c>
      <c r="AJ23" s="16">
        <f>insurance_rate*insured_value_uplift*$AF23</f>
        <v/>
      </c>
      <c r="AK23" s="16">
        <f>$AF23+$AJ23</f>
        <v/>
      </c>
      <c r="AL23" s="18">
        <f>$AK23*$J23</f>
        <v/>
      </c>
      <c r="AM23" s="18">
        <f>$AK23*$I23</f>
        <v/>
      </c>
      <c r="AN23" s="18">
        <f>$AL23*bcd_scrap_hs7602</f>
        <v/>
      </c>
      <c r="AO23" s="18">
        <f>$AN23*sws_rate_on_bcd</f>
        <v/>
      </c>
      <c r="AP23" s="18">
        <f>($AL23+$AN23+$AO23)*igst_rate_hs7602</f>
        <v/>
      </c>
      <c r="AQ23" s="18">
        <f>$X23*$AG23+IF($Y23,psic_cost_usd_per_box*$H23/$W23,0)</f>
        <v/>
      </c>
      <c r="AR23" s="18">
        <f>($AM23+$AN23+$AO23)*$Z23/day_count_inr*$O23</f>
        <v/>
      </c>
      <c r="AS23" s="18">
        <f>$AP23*igst_credit_lag_days/day_count_inr*$O23</f>
        <v/>
      </c>
      <c r="AT23" s="18">
        <f>$AM23+$AN23+$AO23+$AQ23+$AR23+$AS23+IF(igst_itc_available,0,$AP23)</f>
        <v/>
      </c>
      <c r="AU23" s="15">
        <f>(1-$AA23)*(1-$AB23)*$AC23</f>
        <v/>
      </c>
      <c r="AV23" s="18">
        <f>$N23*kg_per_mt+domestic_anchor_premium_inr_t</f>
        <v/>
      </c>
      <c r="AW23" s="18">
        <f>(1-$AA23)*$AD23*heavies_net_value_frac_of_lme_al*$F23*$H23</f>
        <v/>
      </c>
      <c r="AX23" s="18">
        <f>conversion_cost_inr_t*$AU23</f>
        <v/>
      </c>
      <c r="AY23" s="18">
        <f>$AV23*$AU23+$AW23-$AT23-$AX23</f>
        <v/>
      </c>
      <c r="AZ23" s="16">
        <f>$AY23/$H23</f>
        <v/>
      </c>
      <c r="BA23" s="8">
        <f>$AY23&gt;margin_threshold_inr_t</f>
        <v/>
      </c>
      <c r="BB23" s="8">
        <f>$Q23+$AE23</f>
        <v/>
      </c>
      <c r="BC23" s="18">
        <f>$AT23-$AQ23</f>
        <v/>
      </c>
      <c r="BD23" s="18">
        <f>$AY23-$BC23*($BB23/$P23-1)</f>
        <v/>
      </c>
      <c r="BE23" s="18">
        <f>$AY23-(conv_step_5a-conversion_cost_inr_t)*$AU23</f>
        <v/>
      </c>
      <c r="BF23" s="8">
        <f>$BA23</f>
        <v/>
      </c>
      <c r="BG23" s="8">
        <f>$BD23&gt;margin_threshold_inr_t</f>
        <v/>
      </c>
      <c r="BH23" s="8">
        <f>$BE23&gt;margin_threshold_inr_t</f>
        <v/>
      </c>
      <c r="BI23" s="8">
        <f>AND($BF23,$BG23,$BH23)</f>
        <v/>
      </c>
      <c r="BJ23" s="8">
        <f>IF($BI23,1,0)</f>
        <v/>
      </c>
    </row>
    <row r="24">
      <c r="A24" s="11" t="n">
        <v>44589</v>
      </c>
      <c r="B24" s="11" t="n">
        <v>44589</v>
      </c>
      <c r="C24" s="7" t="inlineStr">
        <is>
          <t>zorba</t>
        </is>
      </c>
      <c r="D24" s="7" t="inlineStr">
        <is>
          <t>JEA_NSA</t>
        </is>
      </c>
      <c r="E24" s="17" t="b">
        <v>0</v>
      </c>
      <c r="F24" s="16">
        <f>INDEX(Market_Weekly!$E$6:$E$48,MATCH($A24,Market_Weekly!$A$6:$A$48,0))</f>
        <v/>
      </c>
      <c r="G24" s="16">
        <f>INDEX(Market_Weekly!$D$6:$D$48,MATCH($A24,Market_Weekly!$A$6:$A$48,0))</f>
        <v/>
      </c>
      <c r="H24" s="16">
        <f>INDEX(Market_Weekly!$G$6:$G$48,MATCH($A24,Market_Weekly!$A$6:$A$48,0))</f>
        <v/>
      </c>
      <c r="I24" s="8">
        <f>INDEX(Market_Weekly!$H$6:$H$48,MATCH($A24,Market_Weekly!$A$6:$A$48,0))</f>
        <v/>
      </c>
      <c r="J24" s="8">
        <f>INDEX(Market_Weekly!$Q$6:$Q$48,MATCH($A24,Market_Weekly!$A$6:$A$48,0))</f>
        <v/>
      </c>
      <c r="K24" s="8">
        <f>INDEX(Market_Weekly!$V$6:$V$48,MATCH($A24,Market_Weekly!$A$6:$A$48,0))</f>
        <v/>
      </c>
      <c r="L24" s="16">
        <f>IF($D24="JEA_NSA",INDEX(Market_Weekly!$N$6:$N$48,MATCH($A24,Market_Weekly!$A$6:$A$48,0)),INDEX(Market_Weekly!$O$6:$O$48,MATCH($A24,Market_Weekly!$A$6:$A$48,0)))</f>
        <v/>
      </c>
      <c r="M24" s="8">
        <f>IF($D24="JEA_NSA","M1","M2")</f>
        <v/>
      </c>
      <c r="N24" s="16">
        <f>IF($D24="JEA_NSA",INDEX(Market_Weekly!$L$6:$L$48,MATCH($A24,Market_Weekly!$A$6:$A$48,0)),INDEX(Market_Weekly!$M$6:$M$48,MATCH($A24,Market_Weekly!$A$6:$A$48,0)))</f>
        <v/>
      </c>
      <c r="O24" s="15">
        <f>INDEX(Market_Weekly!$P$6:$P$48,MATCH($A24,Market_Weekly!$A$6:$A$48,0))</f>
        <v/>
      </c>
      <c r="P24" s="8">
        <f>INDEX(Market_Weekly!$R$6:$T$48,MATCH($A24,Market_Weekly!$A$6:$A$48,0),MATCH("grade_factor_"&amp;$C24,Market_Weekly!$R$5:$T$5,0))</f>
        <v/>
      </c>
      <c r="Q24" s="8">
        <f>INDEX(Market_Weekly!$U$6:$U$48,MATCH($A24,Market_Weekly!$A$6:$A$48,0))</f>
        <v/>
      </c>
      <c r="R24" s="8">
        <f>IF($D24="JEA_NSA","20ft","40ft")</f>
        <v/>
      </c>
      <c r="S24" s="8">
        <f>IF($D24="JEA_NSA","nsa","mun")</f>
        <v/>
      </c>
      <c r="T24" s="8">
        <f>IF($D24="JEA_NSA","jea_nsa","usec_mun")</f>
        <v/>
      </c>
      <c r="U24" s="16">
        <f>INDEX(param_values,MATCH("container_payload_mt_"&amp;$R24,param_keys,0))</f>
        <v/>
      </c>
      <c r="V24" s="16">
        <f>INDEX(param_values,MATCH("container_payload_mt_"&amp;$R24&amp;"_"&amp;$C24,param_keys,0))</f>
        <v/>
      </c>
      <c r="W24" s="16">
        <f>INDEX(param_values,MATCH("container_payload_mt_20ft_"&amp;$C24,param_keys,0))</f>
        <v/>
      </c>
      <c r="X24" s="18">
        <f>INDEX(param_values,MATCH("port_cf_charges_inr_t_"&amp;$S24,param_keys,0))</f>
        <v/>
      </c>
      <c r="Y24" s="8">
        <f>INDEX(param_values,MATCH(IF($D24="JEA_NSA","psic_required_uae_origin","psic_required_safe_origin_designated_port"),param_keys,0))</f>
        <v/>
      </c>
      <c r="Z24" s="19">
        <f>INDEX(param_values,MATCH("finance_days_"&amp;$T24,param_keys,0))</f>
        <v/>
      </c>
      <c r="AA24" s="15">
        <f>INDEX(param_values,MATCH("moisture_frac_"&amp;$C24,param_keys,0))</f>
        <v/>
      </c>
      <c r="AB24" s="15">
        <f>INDEX(param_values,MATCH("contamination_frac_"&amp;$C24,param_keys,0))</f>
        <v/>
      </c>
      <c r="AC24" s="15">
        <f>INDEX(param_values,MATCH("metal_yield_frac_"&amp;$C24,param_keys,0))</f>
        <v/>
      </c>
      <c r="AD24" s="15">
        <f>INDEX(param_values,MATCH("heavies_frac_"&amp;$C24,param_keys,0))</f>
        <v/>
      </c>
      <c r="AE24" s="8">
        <f>INDEX(param_values,MATCH("grade_factor_diff_"&amp;$C24,param_keys,0))</f>
        <v/>
      </c>
      <c r="AF24" s="16">
        <f>$F24*$P24</f>
        <v/>
      </c>
      <c r="AG24" s="8">
        <f>$U24/$V24</f>
        <v/>
      </c>
      <c r="AH24" s="16">
        <f>$L24*$AG24</f>
        <v/>
      </c>
      <c r="AI24" s="16">
        <f>$AF24-$AH24</f>
        <v/>
      </c>
      <c r="AJ24" s="16">
        <f>insurance_rate*insured_value_uplift*$AF24</f>
        <v/>
      </c>
      <c r="AK24" s="16">
        <f>$AF24+$AJ24</f>
        <v/>
      </c>
      <c r="AL24" s="18">
        <f>$AK24*$J24</f>
        <v/>
      </c>
      <c r="AM24" s="18">
        <f>$AK24*$I24</f>
        <v/>
      </c>
      <c r="AN24" s="18">
        <f>$AL24*bcd_scrap_hs7602</f>
        <v/>
      </c>
      <c r="AO24" s="18">
        <f>$AN24*sws_rate_on_bcd</f>
        <v/>
      </c>
      <c r="AP24" s="18">
        <f>($AL24+$AN24+$AO24)*igst_rate_hs7602</f>
        <v/>
      </c>
      <c r="AQ24" s="18">
        <f>$X24*$AG24+IF($Y24,psic_cost_usd_per_box*$H24/$W24,0)</f>
        <v/>
      </c>
      <c r="AR24" s="18">
        <f>($AM24+$AN24+$AO24)*$Z24/day_count_inr*$O24</f>
        <v/>
      </c>
      <c r="AS24" s="18">
        <f>$AP24*igst_credit_lag_days/day_count_inr*$O24</f>
        <v/>
      </c>
      <c r="AT24" s="18">
        <f>$AM24+$AN24+$AO24+$AQ24+$AR24+$AS24+IF(igst_itc_available,0,$AP24)</f>
        <v/>
      </c>
      <c r="AU24" s="15">
        <f>(1-$AA24)*(1-$AB24)*$AC24</f>
        <v/>
      </c>
      <c r="AV24" s="18">
        <f>$N24*kg_per_mt+domestic_anchor_premium_inr_t</f>
        <v/>
      </c>
      <c r="AW24" s="18">
        <f>(1-$AA24)*$AD24*heavies_net_value_frac_of_lme_al*$F24*$H24</f>
        <v/>
      </c>
      <c r="AX24" s="18">
        <f>conversion_cost_inr_t*$AU24</f>
        <v/>
      </c>
      <c r="AY24" s="18">
        <f>$AV24*$AU24+$AW24-$AT24-$AX24</f>
        <v/>
      </c>
      <c r="AZ24" s="16">
        <f>$AY24/$H24</f>
        <v/>
      </c>
      <c r="BA24" s="8">
        <f>$AY24&gt;margin_threshold_inr_t</f>
        <v/>
      </c>
      <c r="BB24" s="8">
        <f>$Q24+$AE24</f>
        <v/>
      </c>
      <c r="BC24" s="18">
        <f>$AT24-$AQ24</f>
        <v/>
      </c>
      <c r="BD24" s="18">
        <f>$AY24-$BC24*($BB24/$P24-1)</f>
        <v/>
      </c>
      <c r="BE24" s="18">
        <f>$AY24-(conv_step_5a-conversion_cost_inr_t)*$AU24</f>
        <v/>
      </c>
      <c r="BF24" s="8">
        <f>$BA24</f>
        <v/>
      </c>
      <c r="BG24" s="8">
        <f>$BD24&gt;margin_threshold_inr_t</f>
        <v/>
      </c>
      <c r="BH24" s="8">
        <f>$BE24&gt;margin_threshold_inr_t</f>
        <v/>
      </c>
      <c r="BI24" s="8">
        <f>AND($BF24,$BG24,$BH24)</f>
        <v/>
      </c>
      <c r="BJ24" s="8">
        <f>IF($BI24,1,0)</f>
        <v/>
      </c>
    </row>
    <row r="25">
      <c r="A25" s="11" t="n">
        <v>44589</v>
      </c>
      <c r="B25" s="11" t="n">
        <v>44589</v>
      </c>
      <c r="C25" s="7" t="inlineStr">
        <is>
          <t>zorba</t>
        </is>
      </c>
      <c r="D25" s="7" t="inlineStr">
        <is>
          <t>USEC_MUN</t>
        </is>
      </c>
      <c r="E25" s="17" t="b">
        <v>0</v>
      </c>
      <c r="F25" s="16">
        <f>INDEX(Market_Weekly!$E$6:$E$48,MATCH($A25,Market_Weekly!$A$6:$A$48,0))</f>
        <v/>
      </c>
      <c r="G25" s="16">
        <f>INDEX(Market_Weekly!$D$6:$D$48,MATCH($A25,Market_Weekly!$A$6:$A$48,0))</f>
        <v/>
      </c>
      <c r="H25" s="16">
        <f>INDEX(Market_Weekly!$G$6:$G$48,MATCH($A25,Market_Weekly!$A$6:$A$48,0))</f>
        <v/>
      </c>
      <c r="I25" s="8">
        <f>INDEX(Market_Weekly!$H$6:$H$48,MATCH($A25,Market_Weekly!$A$6:$A$48,0))</f>
        <v/>
      </c>
      <c r="J25" s="8">
        <f>INDEX(Market_Weekly!$Q$6:$Q$48,MATCH($A25,Market_Weekly!$A$6:$A$48,0))</f>
        <v/>
      </c>
      <c r="K25" s="8">
        <f>INDEX(Market_Weekly!$V$6:$V$48,MATCH($A25,Market_Weekly!$A$6:$A$48,0))</f>
        <v/>
      </c>
      <c r="L25" s="16">
        <f>IF($D25="JEA_NSA",INDEX(Market_Weekly!$N$6:$N$48,MATCH($A25,Market_Weekly!$A$6:$A$48,0)),INDEX(Market_Weekly!$O$6:$O$48,MATCH($A25,Market_Weekly!$A$6:$A$48,0)))</f>
        <v/>
      </c>
      <c r="M25" s="8">
        <f>IF($D25="JEA_NSA","M1","M2")</f>
        <v/>
      </c>
      <c r="N25" s="16">
        <f>IF($D25="JEA_NSA",INDEX(Market_Weekly!$L$6:$L$48,MATCH($A25,Market_Weekly!$A$6:$A$48,0)),INDEX(Market_Weekly!$M$6:$M$48,MATCH($A25,Market_Weekly!$A$6:$A$48,0)))</f>
        <v/>
      </c>
      <c r="O25" s="15">
        <f>INDEX(Market_Weekly!$P$6:$P$48,MATCH($A25,Market_Weekly!$A$6:$A$48,0))</f>
        <v/>
      </c>
      <c r="P25" s="8">
        <f>INDEX(Market_Weekly!$R$6:$T$48,MATCH($A25,Market_Weekly!$A$6:$A$48,0),MATCH("grade_factor_"&amp;$C25,Market_Weekly!$R$5:$T$5,0))</f>
        <v/>
      </c>
      <c r="Q25" s="8">
        <f>INDEX(Market_Weekly!$U$6:$U$48,MATCH($A25,Market_Weekly!$A$6:$A$48,0))</f>
        <v/>
      </c>
      <c r="R25" s="8">
        <f>IF($D25="JEA_NSA","20ft","40ft")</f>
        <v/>
      </c>
      <c r="S25" s="8">
        <f>IF($D25="JEA_NSA","nsa","mun")</f>
        <v/>
      </c>
      <c r="T25" s="8">
        <f>IF($D25="JEA_NSA","jea_nsa","usec_mun")</f>
        <v/>
      </c>
      <c r="U25" s="16">
        <f>INDEX(param_values,MATCH("container_payload_mt_"&amp;$R25,param_keys,0))</f>
        <v/>
      </c>
      <c r="V25" s="16">
        <f>INDEX(param_values,MATCH("container_payload_mt_"&amp;$R25&amp;"_"&amp;$C25,param_keys,0))</f>
        <v/>
      </c>
      <c r="W25" s="16">
        <f>INDEX(param_values,MATCH("container_payload_mt_20ft_"&amp;$C25,param_keys,0))</f>
        <v/>
      </c>
      <c r="X25" s="18">
        <f>INDEX(param_values,MATCH("port_cf_charges_inr_t_"&amp;$S25,param_keys,0))</f>
        <v/>
      </c>
      <c r="Y25" s="8">
        <f>INDEX(param_values,MATCH(IF($D25="JEA_NSA","psic_required_uae_origin","psic_required_safe_origin_designated_port"),param_keys,0))</f>
        <v/>
      </c>
      <c r="Z25" s="19">
        <f>INDEX(param_values,MATCH("finance_days_"&amp;$T25,param_keys,0))</f>
        <v/>
      </c>
      <c r="AA25" s="15">
        <f>INDEX(param_values,MATCH("moisture_frac_"&amp;$C25,param_keys,0))</f>
        <v/>
      </c>
      <c r="AB25" s="15">
        <f>INDEX(param_values,MATCH("contamination_frac_"&amp;$C25,param_keys,0))</f>
        <v/>
      </c>
      <c r="AC25" s="15">
        <f>INDEX(param_values,MATCH("metal_yield_frac_"&amp;$C25,param_keys,0))</f>
        <v/>
      </c>
      <c r="AD25" s="15">
        <f>INDEX(param_values,MATCH("heavies_frac_"&amp;$C25,param_keys,0))</f>
        <v/>
      </c>
      <c r="AE25" s="8">
        <f>INDEX(param_values,MATCH("grade_factor_diff_"&amp;$C25,param_keys,0))</f>
        <v/>
      </c>
      <c r="AF25" s="16">
        <f>$F25*$P25</f>
        <v/>
      </c>
      <c r="AG25" s="8">
        <f>$U25/$V25</f>
        <v/>
      </c>
      <c r="AH25" s="16">
        <f>$L25*$AG25</f>
        <v/>
      </c>
      <c r="AI25" s="16">
        <f>$AF25-$AH25</f>
        <v/>
      </c>
      <c r="AJ25" s="16">
        <f>insurance_rate*insured_value_uplift*$AF25</f>
        <v/>
      </c>
      <c r="AK25" s="16">
        <f>$AF25+$AJ25</f>
        <v/>
      </c>
      <c r="AL25" s="18">
        <f>$AK25*$J25</f>
        <v/>
      </c>
      <c r="AM25" s="18">
        <f>$AK25*$I25</f>
        <v/>
      </c>
      <c r="AN25" s="18">
        <f>$AL25*bcd_scrap_hs7602</f>
        <v/>
      </c>
      <c r="AO25" s="18">
        <f>$AN25*sws_rate_on_bcd</f>
        <v/>
      </c>
      <c r="AP25" s="18">
        <f>($AL25+$AN25+$AO25)*igst_rate_hs7602</f>
        <v/>
      </c>
      <c r="AQ25" s="18">
        <f>$X25*$AG25+IF($Y25,psic_cost_usd_per_box*$H25/$W25,0)</f>
        <v/>
      </c>
      <c r="AR25" s="18">
        <f>($AM25+$AN25+$AO25)*$Z25/day_count_inr*$O25</f>
        <v/>
      </c>
      <c r="AS25" s="18">
        <f>$AP25*igst_credit_lag_days/day_count_inr*$O25</f>
        <v/>
      </c>
      <c r="AT25" s="18">
        <f>$AM25+$AN25+$AO25+$AQ25+$AR25+$AS25+IF(igst_itc_available,0,$AP25)</f>
        <v/>
      </c>
      <c r="AU25" s="15">
        <f>(1-$AA25)*(1-$AB25)*$AC25</f>
        <v/>
      </c>
      <c r="AV25" s="18">
        <f>$N25*kg_per_mt+domestic_anchor_premium_inr_t</f>
        <v/>
      </c>
      <c r="AW25" s="18">
        <f>(1-$AA25)*$AD25*heavies_net_value_frac_of_lme_al*$F25*$H25</f>
        <v/>
      </c>
      <c r="AX25" s="18">
        <f>conversion_cost_inr_t*$AU25</f>
        <v/>
      </c>
      <c r="AY25" s="18">
        <f>$AV25*$AU25+$AW25-$AT25-$AX25</f>
        <v/>
      </c>
      <c r="AZ25" s="16">
        <f>$AY25/$H25</f>
        <v/>
      </c>
      <c r="BA25" s="8">
        <f>$AY25&gt;margin_threshold_inr_t</f>
        <v/>
      </c>
      <c r="BB25" s="8">
        <f>$Q25+$AE25</f>
        <v/>
      </c>
      <c r="BC25" s="18">
        <f>$AT25-$AQ25</f>
        <v/>
      </c>
      <c r="BD25" s="18">
        <f>$AY25-$BC25*($BB25/$P25-1)</f>
        <v/>
      </c>
      <c r="BE25" s="18">
        <f>$AY25-(conv_step_5a-conversion_cost_inr_t)*$AU25</f>
        <v/>
      </c>
      <c r="BF25" s="8">
        <f>$BA25</f>
        <v/>
      </c>
      <c r="BG25" s="8">
        <f>$BD25&gt;margin_threshold_inr_t</f>
        <v/>
      </c>
      <c r="BH25" s="8">
        <f>$BE25&gt;margin_threshold_inr_t</f>
        <v/>
      </c>
      <c r="BI25" s="8">
        <f>AND($BF25,$BG25,$BH25)</f>
        <v/>
      </c>
      <c r="BJ25" s="8">
        <f>IF($BI25,1,0)</f>
        <v/>
      </c>
    </row>
    <row r="26">
      <c r="A26" s="11" t="n">
        <v>44589</v>
      </c>
      <c r="B26" s="11" t="n">
        <v>44589</v>
      </c>
      <c r="C26" s="7" t="inlineStr">
        <is>
          <t>taint_tabor</t>
        </is>
      </c>
      <c r="D26" s="7" t="inlineStr">
        <is>
          <t>JEA_NSA</t>
        </is>
      </c>
      <c r="E26" s="17" t="b">
        <v>0</v>
      </c>
      <c r="F26" s="16">
        <f>INDEX(Market_Weekly!$E$6:$E$48,MATCH($A26,Market_Weekly!$A$6:$A$48,0))</f>
        <v/>
      </c>
      <c r="G26" s="16">
        <f>INDEX(Market_Weekly!$D$6:$D$48,MATCH($A26,Market_Weekly!$A$6:$A$48,0))</f>
        <v/>
      </c>
      <c r="H26" s="16">
        <f>INDEX(Market_Weekly!$G$6:$G$48,MATCH($A26,Market_Weekly!$A$6:$A$48,0))</f>
        <v/>
      </c>
      <c r="I26" s="8">
        <f>INDEX(Market_Weekly!$H$6:$H$48,MATCH($A26,Market_Weekly!$A$6:$A$48,0))</f>
        <v/>
      </c>
      <c r="J26" s="8">
        <f>INDEX(Market_Weekly!$Q$6:$Q$48,MATCH($A26,Market_Weekly!$A$6:$A$48,0))</f>
        <v/>
      </c>
      <c r="K26" s="8">
        <f>INDEX(Market_Weekly!$V$6:$V$48,MATCH($A26,Market_Weekly!$A$6:$A$48,0))</f>
        <v/>
      </c>
      <c r="L26" s="16">
        <f>IF($D26="JEA_NSA",INDEX(Market_Weekly!$N$6:$N$48,MATCH($A26,Market_Weekly!$A$6:$A$48,0)),INDEX(Market_Weekly!$O$6:$O$48,MATCH($A26,Market_Weekly!$A$6:$A$48,0)))</f>
        <v/>
      </c>
      <c r="M26" s="8">
        <f>IF($D26="JEA_NSA","M1","M2")</f>
        <v/>
      </c>
      <c r="N26" s="16">
        <f>IF($D26="JEA_NSA",INDEX(Market_Weekly!$L$6:$L$48,MATCH($A26,Market_Weekly!$A$6:$A$48,0)),INDEX(Market_Weekly!$M$6:$M$48,MATCH($A26,Market_Weekly!$A$6:$A$48,0)))</f>
        <v/>
      </c>
      <c r="O26" s="15">
        <f>INDEX(Market_Weekly!$P$6:$P$48,MATCH($A26,Market_Weekly!$A$6:$A$48,0))</f>
        <v/>
      </c>
      <c r="P26" s="8">
        <f>INDEX(Market_Weekly!$R$6:$T$48,MATCH($A26,Market_Weekly!$A$6:$A$48,0),MATCH("grade_factor_"&amp;$C26,Market_Weekly!$R$5:$T$5,0))</f>
        <v/>
      </c>
      <c r="Q26" s="8">
        <f>INDEX(Market_Weekly!$U$6:$U$48,MATCH($A26,Market_Weekly!$A$6:$A$48,0))</f>
        <v/>
      </c>
      <c r="R26" s="8">
        <f>IF($D26="JEA_NSA","20ft","40ft")</f>
        <v/>
      </c>
      <c r="S26" s="8">
        <f>IF($D26="JEA_NSA","nsa","mun")</f>
        <v/>
      </c>
      <c r="T26" s="8">
        <f>IF($D26="JEA_NSA","jea_nsa","usec_mun")</f>
        <v/>
      </c>
      <c r="U26" s="16">
        <f>INDEX(param_values,MATCH("container_payload_mt_"&amp;$R26,param_keys,0))</f>
        <v/>
      </c>
      <c r="V26" s="16">
        <f>INDEX(param_values,MATCH("container_payload_mt_"&amp;$R26&amp;"_"&amp;$C26,param_keys,0))</f>
        <v/>
      </c>
      <c r="W26" s="16">
        <f>INDEX(param_values,MATCH("container_payload_mt_20ft_"&amp;$C26,param_keys,0))</f>
        <v/>
      </c>
      <c r="X26" s="18">
        <f>INDEX(param_values,MATCH("port_cf_charges_inr_t_"&amp;$S26,param_keys,0))</f>
        <v/>
      </c>
      <c r="Y26" s="8">
        <f>INDEX(param_values,MATCH(IF($D26="JEA_NSA","psic_required_uae_origin","psic_required_safe_origin_designated_port"),param_keys,0))</f>
        <v/>
      </c>
      <c r="Z26" s="19">
        <f>INDEX(param_values,MATCH("finance_days_"&amp;$T26,param_keys,0))</f>
        <v/>
      </c>
      <c r="AA26" s="15">
        <f>INDEX(param_values,MATCH("moisture_frac_"&amp;$C26,param_keys,0))</f>
        <v/>
      </c>
      <c r="AB26" s="15">
        <f>INDEX(param_values,MATCH("contamination_frac_"&amp;$C26,param_keys,0))</f>
        <v/>
      </c>
      <c r="AC26" s="15">
        <f>INDEX(param_values,MATCH("metal_yield_frac_"&amp;$C26,param_keys,0))</f>
        <v/>
      </c>
      <c r="AD26" s="15">
        <f>INDEX(param_values,MATCH("heavies_frac_"&amp;$C26,param_keys,0))</f>
        <v/>
      </c>
      <c r="AE26" s="8">
        <f>INDEX(param_values,MATCH("grade_factor_diff_"&amp;$C26,param_keys,0))</f>
        <v/>
      </c>
      <c r="AF26" s="16">
        <f>$F26*$P26</f>
        <v/>
      </c>
      <c r="AG26" s="8">
        <f>$U26/$V26</f>
        <v/>
      </c>
      <c r="AH26" s="16">
        <f>$L26*$AG26</f>
        <v/>
      </c>
      <c r="AI26" s="16">
        <f>$AF26-$AH26</f>
        <v/>
      </c>
      <c r="AJ26" s="16">
        <f>insurance_rate*insured_value_uplift*$AF26</f>
        <v/>
      </c>
      <c r="AK26" s="16">
        <f>$AF26+$AJ26</f>
        <v/>
      </c>
      <c r="AL26" s="18">
        <f>$AK26*$J26</f>
        <v/>
      </c>
      <c r="AM26" s="18">
        <f>$AK26*$I26</f>
        <v/>
      </c>
      <c r="AN26" s="18">
        <f>$AL26*bcd_scrap_hs7602</f>
        <v/>
      </c>
      <c r="AO26" s="18">
        <f>$AN26*sws_rate_on_bcd</f>
        <v/>
      </c>
      <c r="AP26" s="18">
        <f>($AL26+$AN26+$AO26)*igst_rate_hs7602</f>
        <v/>
      </c>
      <c r="AQ26" s="18">
        <f>$X26*$AG26+IF($Y26,psic_cost_usd_per_box*$H26/$W26,0)</f>
        <v/>
      </c>
      <c r="AR26" s="18">
        <f>($AM26+$AN26+$AO26)*$Z26/day_count_inr*$O26</f>
        <v/>
      </c>
      <c r="AS26" s="18">
        <f>$AP26*igst_credit_lag_days/day_count_inr*$O26</f>
        <v/>
      </c>
      <c r="AT26" s="18">
        <f>$AM26+$AN26+$AO26+$AQ26+$AR26+$AS26+IF(igst_itc_available,0,$AP26)</f>
        <v/>
      </c>
      <c r="AU26" s="15">
        <f>(1-$AA26)*(1-$AB26)*$AC26</f>
        <v/>
      </c>
      <c r="AV26" s="18">
        <f>$N26*kg_per_mt+domestic_anchor_premium_inr_t</f>
        <v/>
      </c>
      <c r="AW26" s="18">
        <f>(1-$AA26)*$AD26*heavies_net_value_frac_of_lme_al*$F26*$H26</f>
        <v/>
      </c>
      <c r="AX26" s="18">
        <f>conversion_cost_inr_t*$AU26</f>
        <v/>
      </c>
      <c r="AY26" s="18">
        <f>$AV26*$AU26+$AW26-$AT26-$AX26</f>
        <v/>
      </c>
      <c r="AZ26" s="16">
        <f>$AY26/$H26</f>
        <v/>
      </c>
      <c r="BA26" s="8">
        <f>$AY26&gt;margin_threshold_inr_t</f>
        <v/>
      </c>
      <c r="BB26" s="8">
        <f>$Q26+$AE26</f>
        <v/>
      </c>
      <c r="BC26" s="18">
        <f>$AT26-$AQ26</f>
        <v/>
      </c>
      <c r="BD26" s="18">
        <f>$AY26-$BC26*($BB26/$P26-1)</f>
        <v/>
      </c>
      <c r="BE26" s="18">
        <f>$AY26-(conv_step_5a-conversion_cost_inr_t)*$AU26</f>
        <v/>
      </c>
      <c r="BF26" s="8">
        <f>$BA26</f>
        <v/>
      </c>
      <c r="BG26" s="8">
        <f>$BD26&gt;margin_threshold_inr_t</f>
        <v/>
      </c>
      <c r="BH26" s="8">
        <f>$BE26&gt;margin_threshold_inr_t</f>
        <v/>
      </c>
      <c r="BI26" s="8">
        <f>AND($BF26,$BG26,$BH26)</f>
        <v/>
      </c>
      <c r="BJ26" s="8">
        <f>IF($BI26,1,0)</f>
        <v/>
      </c>
    </row>
    <row r="27">
      <c r="A27" s="11" t="n">
        <v>44589</v>
      </c>
      <c r="B27" s="11" t="n">
        <v>44589</v>
      </c>
      <c r="C27" s="7" t="inlineStr">
        <is>
          <t>taint_tabor</t>
        </is>
      </c>
      <c r="D27" s="7" t="inlineStr">
        <is>
          <t>USEC_MUN</t>
        </is>
      </c>
      <c r="E27" s="17" t="b">
        <v>0</v>
      </c>
      <c r="F27" s="16">
        <f>INDEX(Market_Weekly!$E$6:$E$48,MATCH($A27,Market_Weekly!$A$6:$A$48,0))</f>
        <v/>
      </c>
      <c r="G27" s="16">
        <f>INDEX(Market_Weekly!$D$6:$D$48,MATCH($A27,Market_Weekly!$A$6:$A$48,0))</f>
        <v/>
      </c>
      <c r="H27" s="16">
        <f>INDEX(Market_Weekly!$G$6:$G$48,MATCH($A27,Market_Weekly!$A$6:$A$48,0))</f>
        <v/>
      </c>
      <c r="I27" s="8">
        <f>INDEX(Market_Weekly!$H$6:$H$48,MATCH($A27,Market_Weekly!$A$6:$A$48,0))</f>
        <v/>
      </c>
      <c r="J27" s="8">
        <f>INDEX(Market_Weekly!$Q$6:$Q$48,MATCH($A27,Market_Weekly!$A$6:$A$48,0))</f>
        <v/>
      </c>
      <c r="K27" s="8">
        <f>INDEX(Market_Weekly!$V$6:$V$48,MATCH($A27,Market_Weekly!$A$6:$A$48,0))</f>
        <v/>
      </c>
      <c r="L27" s="16">
        <f>IF($D27="JEA_NSA",INDEX(Market_Weekly!$N$6:$N$48,MATCH($A27,Market_Weekly!$A$6:$A$48,0)),INDEX(Market_Weekly!$O$6:$O$48,MATCH($A27,Market_Weekly!$A$6:$A$48,0)))</f>
        <v/>
      </c>
      <c r="M27" s="8">
        <f>IF($D27="JEA_NSA","M1","M2")</f>
        <v/>
      </c>
      <c r="N27" s="16">
        <f>IF($D27="JEA_NSA",INDEX(Market_Weekly!$L$6:$L$48,MATCH($A27,Market_Weekly!$A$6:$A$48,0)),INDEX(Market_Weekly!$M$6:$M$48,MATCH($A27,Market_Weekly!$A$6:$A$48,0)))</f>
        <v/>
      </c>
      <c r="O27" s="15">
        <f>INDEX(Market_Weekly!$P$6:$P$48,MATCH($A27,Market_Weekly!$A$6:$A$48,0))</f>
        <v/>
      </c>
      <c r="P27" s="8">
        <f>INDEX(Market_Weekly!$R$6:$T$48,MATCH($A27,Market_Weekly!$A$6:$A$48,0),MATCH("grade_factor_"&amp;$C27,Market_Weekly!$R$5:$T$5,0))</f>
        <v/>
      </c>
      <c r="Q27" s="8">
        <f>INDEX(Market_Weekly!$U$6:$U$48,MATCH($A27,Market_Weekly!$A$6:$A$48,0))</f>
        <v/>
      </c>
      <c r="R27" s="8">
        <f>IF($D27="JEA_NSA","20ft","40ft")</f>
        <v/>
      </c>
      <c r="S27" s="8">
        <f>IF($D27="JEA_NSA","nsa","mun")</f>
        <v/>
      </c>
      <c r="T27" s="8">
        <f>IF($D27="JEA_NSA","jea_nsa","usec_mun")</f>
        <v/>
      </c>
      <c r="U27" s="16">
        <f>INDEX(param_values,MATCH("container_payload_mt_"&amp;$R27,param_keys,0))</f>
        <v/>
      </c>
      <c r="V27" s="16">
        <f>INDEX(param_values,MATCH("container_payload_mt_"&amp;$R27&amp;"_"&amp;$C27,param_keys,0))</f>
        <v/>
      </c>
      <c r="W27" s="16">
        <f>INDEX(param_values,MATCH("container_payload_mt_20ft_"&amp;$C27,param_keys,0))</f>
        <v/>
      </c>
      <c r="X27" s="18">
        <f>INDEX(param_values,MATCH("port_cf_charges_inr_t_"&amp;$S27,param_keys,0))</f>
        <v/>
      </c>
      <c r="Y27" s="8">
        <f>INDEX(param_values,MATCH(IF($D27="JEA_NSA","psic_required_uae_origin","psic_required_safe_origin_designated_port"),param_keys,0))</f>
        <v/>
      </c>
      <c r="Z27" s="19">
        <f>INDEX(param_values,MATCH("finance_days_"&amp;$T27,param_keys,0))</f>
        <v/>
      </c>
      <c r="AA27" s="15">
        <f>INDEX(param_values,MATCH("moisture_frac_"&amp;$C27,param_keys,0))</f>
        <v/>
      </c>
      <c r="AB27" s="15">
        <f>INDEX(param_values,MATCH("contamination_frac_"&amp;$C27,param_keys,0))</f>
        <v/>
      </c>
      <c r="AC27" s="15">
        <f>INDEX(param_values,MATCH("metal_yield_frac_"&amp;$C27,param_keys,0))</f>
        <v/>
      </c>
      <c r="AD27" s="15">
        <f>INDEX(param_values,MATCH("heavies_frac_"&amp;$C27,param_keys,0))</f>
        <v/>
      </c>
      <c r="AE27" s="8">
        <f>INDEX(param_values,MATCH("grade_factor_diff_"&amp;$C27,param_keys,0))</f>
        <v/>
      </c>
      <c r="AF27" s="16">
        <f>$F27*$P27</f>
        <v/>
      </c>
      <c r="AG27" s="8">
        <f>$U27/$V27</f>
        <v/>
      </c>
      <c r="AH27" s="16">
        <f>$L27*$AG27</f>
        <v/>
      </c>
      <c r="AI27" s="16">
        <f>$AF27-$AH27</f>
        <v/>
      </c>
      <c r="AJ27" s="16">
        <f>insurance_rate*insured_value_uplift*$AF27</f>
        <v/>
      </c>
      <c r="AK27" s="16">
        <f>$AF27+$AJ27</f>
        <v/>
      </c>
      <c r="AL27" s="18">
        <f>$AK27*$J27</f>
        <v/>
      </c>
      <c r="AM27" s="18">
        <f>$AK27*$I27</f>
        <v/>
      </c>
      <c r="AN27" s="18">
        <f>$AL27*bcd_scrap_hs7602</f>
        <v/>
      </c>
      <c r="AO27" s="18">
        <f>$AN27*sws_rate_on_bcd</f>
        <v/>
      </c>
      <c r="AP27" s="18">
        <f>($AL27+$AN27+$AO27)*igst_rate_hs7602</f>
        <v/>
      </c>
      <c r="AQ27" s="18">
        <f>$X27*$AG27+IF($Y27,psic_cost_usd_per_box*$H27/$W27,0)</f>
        <v/>
      </c>
      <c r="AR27" s="18">
        <f>($AM27+$AN27+$AO27)*$Z27/day_count_inr*$O27</f>
        <v/>
      </c>
      <c r="AS27" s="18">
        <f>$AP27*igst_credit_lag_days/day_count_inr*$O27</f>
        <v/>
      </c>
      <c r="AT27" s="18">
        <f>$AM27+$AN27+$AO27+$AQ27+$AR27+$AS27+IF(igst_itc_available,0,$AP27)</f>
        <v/>
      </c>
      <c r="AU27" s="15">
        <f>(1-$AA27)*(1-$AB27)*$AC27</f>
        <v/>
      </c>
      <c r="AV27" s="18">
        <f>$N27*kg_per_mt+domestic_anchor_premium_inr_t</f>
        <v/>
      </c>
      <c r="AW27" s="18">
        <f>(1-$AA27)*$AD27*heavies_net_value_frac_of_lme_al*$F27*$H27</f>
        <v/>
      </c>
      <c r="AX27" s="18">
        <f>conversion_cost_inr_t*$AU27</f>
        <v/>
      </c>
      <c r="AY27" s="18">
        <f>$AV27*$AU27+$AW27-$AT27-$AX27</f>
        <v/>
      </c>
      <c r="AZ27" s="16">
        <f>$AY27/$H27</f>
        <v/>
      </c>
      <c r="BA27" s="8">
        <f>$AY27&gt;margin_threshold_inr_t</f>
        <v/>
      </c>
      <c r="BB27" s="8">
        <f>$Q27+$AE27</f>
        <v/>
      </c>
      <c r="BC27" s="18">
        <f>$AT27-$AQ27</f>
        <v/>
      </c>
      <c r="BD27" s="18">
        <f>$AY27-$BC27*($BB27/$P27-1)</f>
        <v/>
      </c>
      <c r="BE27" s="18">
        <f>$AY27-(conv_step_5a-conversion_cost_inr_t)*$AU27</f>
        <v/>
      </c>
      <c r="BF27" s="8">
        <f>$BA27</f>
        <v/>
      </c>
      <c r="BG27" s="8">
        <f>$BD27&gt;margin_threshold_inr_t</f>
        <v/>
      </c>
      <c r="BH27" s="8">
        <f>$BE27&gt;margin_threshold_inr_t</f>
        <v/>
      </c>
      <c r="BI27" s="8">
        <f>AND($BF27,$BG27,$BH27)</f>
        <v/>
      </c>
      <c r="BJ27" s="8">
        <f>IF($BI27,1,0)</f>
        <v/>
      </c>
    </row>
    <row r="28">
      <c r="A28" s="11" t="n">
        <v>44589</v>
      </c>
      <c r="B28" s="11" t="n">
        <v>44589</v>
      </c>
      <c r="C28" s="7" t="inlineStr">
        <is>
          <t>tense</t>
        </is>
      </c>
      <c r="D28" s="7" t="inlineStr">
        <is>
          <t>JEA_NSA</t>
        </is>
      </c>
      <c r="E28" s="17" t="b">
        <v>0</v>
      </c>
      <c r="F28" s="16">
        <f>INDEX(Market_Weekly!$E$6:$E$48,MATCH($A28,Market_Weekly!$A$6:$A$48,0))</f>
        <v/>
      </c>
      <c r="G28" s="16">
        <f>INDEX(Market_Weekly!$D$6:$D$48,MATCH($A28,Market_Weekly!$A$6:$A$48,0))</f>
        <v/>
      </c>
      <c r="H28" s="16">
        <f>INDEX(Market_Weekly!$G$6:$G$48,MATCH($A28,Market_Weekly!$A$6:$A$48,0))</f>
        <v/>
      </c>
      <c r="I28" s="8">
        <f>INDEX(Market_Weekly!$H$6:$H$48,MATCH($A28,Market_Weekly!$A$6:$A$48,0))</f>
        <v/>
      </c>
      <c r="J28" s="8">
        <f>INDEX(Market_Weekly!$Q$6:$Q$48,MATCH($A28,Market_Weekly!$A$6:$A$48,0))</f>
        <v/>
      </c>
      <c r="K28" s="8">
        <f>INDEX(Market_Weekly!$V$6:$V$48,MATCH($A28,Market_Weekly!$A$6:$A$48,0))</f>
        <v/>
      </c>
      <c r="L28" s="16">
        <f>IF($D28="JEA_NSA",INDEX(Market_Weekly!$N$6:$N$48,MATCH($A28,Market_Weekly!$A$6:$A$48,0)),INDEX(Market_Weekly!$O$6:$O$48,MATCH($A28,Market_Weekly!$A$6:$A$48,0)))</f>
        <v/>
      </c>
      <c r="M28" s="8">
        <f>IF($D28="JEA_NSA","M1","M2")</f>
        <v/>
      </c>
      <c r="N28" s="16">
        <f>IF($D28="JEA_NSA",INDEX(Market_Weekly!$L$6:$L$48,MATCH($A28,Market_Weekly!$A$6:$A$48,0)),INDEX(Market_Weekly!$M$6:$M$48,MATCH($A28,Market_Weekly!$A$6:$A$48,0)))</f>
        <v/>
      </c>
      <c r="O28" s="15">
        <f>INDEX(Market_Weekly!$P$6:$P$48,MATCH($A28,Market_Weekly!$A$6:$A$48,0))</f>
        <v/>
      </c>
      <c r="P28" s="8">
        <f>INDEX(Market_Weekly!$R$6:$T$48,MATCH($A28,Market_Weekly!$A$6:$A$48,0),MATCH("grade_factor_"&amp;$C28,Market_Weekly!$R$5:$T$5,0))</f>
        <v/>
      </c>
      <c r="Q28" s="8">
        <f>INDEX(Market_Weekly!$U$6:$U$48,MATCH($A28,Market_Weekly!$A$6:$A$48,0))</f>
        <v/>
      </c>
      <c r="R28" s="8">
        <f>IF($D28="JEA_NSA","20ft","40ft")</f>
        <v/>
      </c>
      <c r="S28" s="8">
        <f>IF($D28="JEA_NSA","nsa","mun")</f>
        <v/>
      </c>
      <c r="T28" s="8">
        <f>IF($D28="JEA_NSA","jea_nsa","usec_mun")</f>
        <v/>
      </c>
      <c r="U28" s="16">
        <f>INDEX(param_values,MATCH("container_payload_mt_"&amp;$R28,param_keys,0))</f>
        <v/>
      </c>
      <c r="V28" s="16">
        <f>INDEX(param_values,MATCH("container_payload_mt_"&amp;$R28&amp;"_"&amp;$C28,param_keys,0))</f>
        <v/>
      </c>
      <c r="W28" s="16">
        <f>INDEX(param_values,MATCH("container_payload_mt_20ft_"&amp;$C28,param_keys,0))</f>
        <v/>
      </c>
      <c r="X28" s="18">
        <f>INDEX(param_values,MATCH("port_cf_charges_inr_t_"&amp;$S28,param_keys,0))</f>
        <v/>
      </c>
      <c r="Y28" s="8">
        <f>INDEX(param_values,MATCH(IF($D28="JEA_NSA","psic_required_uae_origin","psic_required_safe_origin_designated_port"),param_keys,0))</f>
        <v/>
      </c>
      <c r="Z28" s="19">
        <f>INDEX(param_values,MATCH("finance_days_"&amp;$T28,param_keys,0))</f>
        <v/>
      </c>
      <c r="AA28" s="15">
        <f>INDEX(param_values,MATCH("moisture_frac_"&amp;$C28,param_keys,0))</f>
        <v/>
      </c>
      <c r="AB28" s="15">
        <f>INDEX(param_values,MATCH("contamination_frac_"&amp;$C28,param_keys,0))</f>
        <v/>
      </c>
      <c r="AC28" s="15">
        <f>INDEX(param_values,MATCH("metal_yield_frac_"&amp;$C28,param_keys,0))</f>
        <v/>
      </c>
      <c r="AD28" s="15">
        <f>INDEX(param_values,MATCH("heavies_frac_"&amp;$C28,param_keys,0))</f>
        <v/>
      </c>
      <c r="AE28" s="8">
        <f>INDEX(param_values,MATCH("grade_factor_diff_"&amp;$C28,param_keys,0))</f>
        <v/>
      </c>
      <c r="AF28" s="16">
        <f>$F28*$P28</f>
        <v/>
      </c>
      <c r="AG28" s="8">
        <f>$U28/$V28</f>
        <v/>
      </c>
      <c r="AH28" s="16">
        <f>$L28*$AG28</f>
        <v/>
      </c>
      <c r="AI28" s="16">
        <f>$AF28-$AH28</f>
        <v/>
      </c>
      <c r="AJ28" s="16">
        <f>insurance_rate*insured_value_uplift*$AF28</f>
        <v/>
      </c>
      <c r="AK28" s="16">
        <f>$AF28+$AJ28</f>
        <v/>
      </c>
      <c r="AL28" s="18">
        <f>$AK28*$J28</f>
        <v/>
      </c>
      <c r="AM28" s="18">
        <f>$AK28*$I28</f>
        <v/>
      </c>
      <c r="AN28" s="18">
        <f>$AL28*bcd_scrap_hs7602</f>
        <v/>
      </c>
      <c r="AO28" s="18">
        <f>$AN28*sws_rate_on_bcd</f>
        <v/>
      </c>
      <c r="AP28" s="18">
        <f>($AL28+$AN28+$AO28)*igst_rate_hs7602</f>
        <v/>
      </c>
      <c r="AQ28" s="18">
        <f>$X28*$AG28+IF($Y28,psic_cost_usd_per_box*$H28/$W28,0)</f>
        <v/>
      </c>
      <c r="AR28" s="18">
        <f>($AM28+$AN28+$AO28)*$Z28/day_count_inr*$O28</f>
        <v/>
      </c>
      <c r="AS28" s="18">
        <f>$AP28*igst_credit_lag_days/day_count_inr*$O28</f>
        <v/>
      </c>
      <c r="AT28" s="18">
        <f>$AM28+$AN28+$AO28+$AQ28+$AR28+$AS28+IF(igst_itc_available,0,$AP28)</f>
        <v/>
      </c>
      <c r="AU28" s="15">
        <f>(1-$AA28)*(1-$AB28)*$AC28</f>
        <v/>
      </c>
      <c r="AV28" s="18">
        <f>$N28*kg_per_mt+domestic_anchor_premium_inr_t</f>
        <v/>
      </c>
      <c r="AW28" s="18">
        <f>(1-$AA28)*$AD28*heavies_net_value_frac_of_lme_al*$F28*$H28</f>
        <v/>
      </c>
      <c r="AX28" s="18">
        <f>conversion_cost_inr_t*$AU28</f>
        <v/>
      </c>
      <c r="AY28" s="18">
        <f>$AV28*$AU28+$AW28-$AT28-$AX28</f>
        <v/>
      </c>
      <c r="AZ28" s="16">
        <f>$AY28/$H28</f>
        <v/>
      </c>
      <c r="BA28" s="8">
        <f>$AY28&gt;margin_threshold_inr_t</f>
        <v/>
      </c>
      <c r="BB28" s="8">
        <f>$Q28+$AE28</f>
        <v/>
      </c>
      <c r="BC28" s="18">
        <f>$AT28-$AQ28</f>
        <v/>
      </c>
      <c r="BD28" s="18">
        <f>$AY28-$BC28*($BB28/$P28-1)</f>
        <v/>
      </c>
      <c r="BE28" s="18">
        <f>$AY28-(conv_step_5a-conversion_cost_inr_t)*$AU28</f>
        <v/>
      </c>
      <c r="BF28" s="8">
        <f>$BA28</f>
        <v/>
      </c>
      <c r="BG28" s="8">
        <f>$BD28&gt;margin_threshold_inr_t</f>
        <v/>
      </c>
      <c r="BH28" s="8">
        <f>$BE28&gt;margin_threshold_inr_t</f>
        <v/>
      </c>
      <c r="BI28" s="8">
        <f>AND($BF28,$BG28,$BH28)</f>
        <v/>
      </c>
      <c r="BJ28" s="8">
        <f>IF($BI28,1,0)</f>
        <v/>
      </c>
    </row>
    <row r="29">
      <c r="A29" s="11" t="n">
        <v>44589</v>
      </c>
      <c r="B29" s="11" t="n">
        <v>44589</v>
      </c>
      <c r="C29" s="7" t="inlineStr">
        <is>
          <t>tense</t>
        </is>
      </c>
      <c r="D29" s="7" t="inlineStr">
        <is>
          <t>USEC_MUN</t>
        </is>
      </c>
      <c r="E29" s="17" t="b">
        <v>0</v>
      </c>
      <c r="F29" s="16">
        <f>INDEX(Market_Weekly!$E$6:$E$48,MATCH($A29,Market_Weekly!$A$6:$A$48,0))</f>
        <v/>
      </c>
      <c r="G29" s="16">
        <f>INDEX(Market_Weekly!$D$6:$D$48,MATCH($A29,Market_Weekly!$A$6:$A$48,0))</f>
        <v/>
      </c>
      <c r="H29" s="16">
        <f>INDEX(Market_Weekly!$G$6:$G$48,MATCH($A29,Market_Weekly!$A$6:$A$48,0))</f>
        <v/>
      </c>
      <c r="I29" s="8">
        <f>INDEX(Market_Weekly!$H$6:$H$48,MATCH($A29,Market_Weekly!$A$6:$A$48,0))</f>
        <v/>
      </c>
      <c r="J29" s="8">
        <f>INDEX(Market_Weekly!$Q$6:$Q$48,MATCH($A29,Market_Weekly!$A$6:$A$48,0))</f>
        <v/>
      </c>
      <c r="K29" s="8">
        <f>INDEX(Market_Weekly!$V$6:$V$48,MATCH($A29,Market_Weekly!$A$6:$A$48,0))</f>
        <v/>
      </c>
      <c r="L29" s="16">
        <f>IF($D29="JEA_NSA",INDEX(Market_Weekly!$N$6:$N$48,MATCH($A29,Market_Weekly!$A$6:$A$48,0)),INDEX(Market_Weekly!$O$6:$O$48,MATCH($A29,Market_Weekly!$A$6:$A$48,0)))</f>
        <v/>
      </c>
      <c r="M29" s="8">
        <f>IF($D29="JEA_NSA","M1","M2")</f>
        <v/>
      </c>
      <c r="N29" s="16">
        <f>IF($D29="JEA_NSA",INDEX(Market_Weekly!$L$6:$L$48,MATCH($A29,Market_Weekly!$A$6:$A$48,0)),INDEX(Market_Weekly!$M$6:$M$48,MATCH($A29,Market_Weekly!$A$6:$A$48,0)))</f>
        <v/>
      </c>
      <c r="O29" s="15">
        <f>INDEX(Market_Weekly!$P$6:$P$48,MATCH($A29,Market_Weekly!$A$6:$A$48,0))</f>
        <v/>
      </c>
      <c r="P29" s="8">
        <f>INDEX(Market_Weekly!$R$6:$T$48,MATCH($A29,Market_Weekly!$A$6:$A$48,0),MATCH("grade_factor_"&amp;$C29,Market_Weekly!$R$5:$T$5,0))</f>
        <v/>
      </c>
      <c r="Q29" s="8">
        <f>INDEX(Market_Weekly!$U$6:$U$48,MATCH($A29,Market_Weekly!$A$6:$A$48,0))</f>
        <v/>
      </c>
      <c r="R29" s="8">
        <f>IF($D29="JEA_NSA","20ft","40ft")</f>
        <v/>
      </c>
      <c r="S29" s="8">
        <f>IF($D29="JEA_NSA","nsa","mun")</f>
        <v/>
      </c>
      <c r="T29" s="8">
        <f>IF($D29="JEA_NSA","jea_nsa","usec_mun")</f>
        <v/>
      </c>
      <c r="U29" s="16">
        <f>INDEX(param_values,MATCH("container_payload_mt_"&amp;$R29,param_keys,0))</f>
        <v/>
      </c>
      <c r="V29" s="16">
        <f>INDEX(param_values,MATCH("container_payload_mt_"&amp;$R29&amp;"_"&amp;$C29,param_keys,0))</f>
        <v/>
      </c>
      <c r="W29" s="16">
        <f>INDEX(param_values,MATCH("container_payload_mt_20ft_"&amp;$C29,param_keys,0))</f>
        <v/>
      </c>
      <c r="X29" s="18">
        <f>INDEX(param_values,MATCH("port_cf_charges_inr_t_"&amp;$S29,param_keys,0))</f>
        <v/>
      </c>
      <c r="Y29" s="8">
        <f>INDEX(param_values,MATCH(IF($D29="JEA_NSA","psic_required_uae_origin","psic_required_safe_origin_designated_port"),param_keys,0))</f>
        <v/>
      </c>
      <c r="Z29" s="19">
        <f>INDEX(param_values,MATCH("finance_days_"&amp;$T29,param_keys,0))</f>
        <v/>
      </c>
      <c r="AA29" s="15">
        <f>INDEX(param_values,MATCH("moisture_frac_"&amp;$C29,param_keys,0))</f>
        <v/>
      </c>
      <c r="AB29" s="15">
        <f>INDEX(param_values,MATCH("contamination_frac_"&amp;$C29,param_keys,0))</f>
        <v/>
      </c>
      <c r="AC29" s="15">
        <f>INDEX(param_values,MATCH("metal_yield_frac_"&amp;$C29,param_keys,0))</f>
        <v/>
      </c>
      <c r="AD29" s="15">
        <f>INDEX(param_values,MATCH("heavies_frac_"&amp;$C29,param_keys,0))</f>
        <v/>
      </c>
      <c r="AE29" s="8">
        <f>INDEX(param_values,MATCH("grade_factor_diff_"&amp;$C29,param_keys,0))</f>
        <v/>
      </c>
      <c r="AF29" s="16">
        <f>$F29*$P29</f>
        <v/>
      </c>
      <c r="AG29" s="8">
        <f>$U29/$V29</f>
        <v/>
      </c>
      <c r="AH29" s="16">
        <f>$L29*$AG29</f>
        <v/>
      </c>
      <c r="AI29" s="16">
        <f>$AF29-$AH29</f>
        <v/>
      </c>
      <c r="AJ29" s="16">
        <f>insurance_rate*insured_value_uplift*$AF29</f>
        <v/>
      </c>
      <c r="AK29" s="16">
        <f>$AF29+$AJ29</f>
        <v/>
      </c>
      <c r="AL29" s="18">
        <f>$AK29*$J29</f>
        <v/>
      </c>
      <c r="AM29" s="18">
        <f>$AK29*$I29</f>
        <v/>
      </c>
      <c r="AN29" s="18">
        <f>$AL29*bcd_scrap_hs7602</f>
        <v/>
      </c>
      <c r="AO29" s="18">
        <f>$AN29*sws_rate_on_bcd</f>
        <v/>
      </c>
      <c r="AP29" s="18">
        <f>($AL29+$AN29+$AO29)*igst_rate_hs7602</f>
        <v/>
      </c>
      <c r="AQ29" s="18">
        <f>$X29*$AG29+IF($Y29,psic_cost_usd_per_box*$H29/$W29,0)</f>
        <v/>
      </c>
      <c r="AR29" s="18">
        <f>($AM29+$AN29+$AO29)*$Z29/day_count_inr*$O29</f>
        <v/>
      </c>
      <c r="AS29" s="18">
        <f>$AP29*igst_credit_lag_days/day_count_inr*$O29</f>
        <v/>
      </c>
      <c r="AT29" s="18">
        <f>$AM29+$AN29+$AO29+$AQ29+$AR29+$AS29+IF(igst_itc_available,0,$AP29)</f>
        <v/>
      </c>
      <c r="AU29" s="15">
        <f>(1-$AA29)*(1-$AB29)*$AC29</f>
        <v/>
      </c>
      <c r="AV29" s="18">
        <f>$N29*kg_per_mt+domestic_anchor_premium_inr_t</f>
        <v/>
      </c>
      <c r="AW29" s="18">
        <f>(1-$AA29)*$AD29*heavies_net_value_frac_of_lme_al*$F29*$H29</f>
        <v/>
      </c>
      <c r="AX29" s="18">
        <f>conversion_cost_inr_t*$AU29</f>
        <v/>
      </c>
      <c r="AY29" s="18">
        <f>$AV29*$AU29+$AW29-$AT29-$AX29</f>
        <v/>
      </c>
      <c r="AZ29" s="16">
        <f>$AY29/$H29</f>
        <v/>
      </c>
      <c r="BA29" s="8">
        <f>$AY29&gt;margin_threshold_inr_t</f>
        <v/>
      </c>
      <c r="BB29" s="8">
        <f>$Q29+$AE29</f>
        <v/>
      </c>
      <c r="BC29" s="18">
        <f>$AT29-$AQ29</f>
        <v/>
      </c>
      <c r="BD29" s="18">
        <f>$AY29-$BC29*($BB29/$P29-1)</f>
        <v/>
      </c>
      <c r="BE29" s="18">
        <f>$AY29-(conv_step_5a-conversion_cost_inr_t)*$AU29</f>
        <v/>
      </c>
      <c r="BF29" s="8">
        <f>$BA29</f>
        <v/>
      </c>
      <c r="BG29" s="8">
        <f>$BD29&gt;margin_threshold_inr_t</f>
        <v/>
      </c>
      <c r="BH29" s="8">
        <f>$BE29&gt;margin_threshold_inr_t</f>
        <v/>
      </c>
      <c r="BI29" s="8">
        <f>AND($BF29,$BG29,$BH29)</f>
        <v/>
      </c>
      <c r="BJ29" s="8">
        <f>IF($BI29,1,0)</f>
        <v/>
      </c>
    </row>
    <row r="30">
      <c r="A30" s="11" t="n">
        <v>44596</v>
      </c>
      <c r="B30" s="11" t="n">
        <v>44596</v>
      </c>
      <c r="C30" s="7" t="inlineStr">
        <is>
          <t>zorba</t>
        </is>
      </c>
      <c r="D30" s="7" t="inlineStr">
        <is>
          <t>JEA_NSA</t>
        </is>
      </c>
      <c r="E30" s="17" t="b">
        <v>0</v>
      </c>
      <c r="F30" s="16">
        <f>INDEX(Market_Weekly!$E$6:$E$48,MATCH($A30,Market_Weekly!$A$6:$A$48,0))</f>
        <v/>
      </c>
      <c r="G30" s="16">
        <f>INDEX(Market_Weekly!$D$6:$D$48,MATCH($A30,Market_Weekly!$A$6:$A$48,0))</f>
        <v/>
      </c>
      <c r="H30" s="16">
        <f>INDEX(Market_Weekly!$G$6:$G$48,MATCH($A30,Market_Weekly!$A$6:$A$48,0))</f>
        <v/>
      </c>
      <c r="I30" s="8">
        <f>INDEX(Market_Weekly!$H$6:$H$48,MATCH($A30,Market_Weekly!$A$6:$A$48,0))</f>
        <v/>
      </c>
      <c r="J30" s="8">
        <f>INDEX(Market_Weekly!$Q$6:$Q$48,MATCH($A30,Market_Weekly!$A$6:$A$48,0))</f>
        <v/>
      </c>
      <c r="K30" s="8">
        <f>INDEX(Market_Weekly!$V$6:$V$48,MATCH($A30,Market_Weekly!$A$6:$A$48,0))</f>
        <v/>
      </c>
      <c r="L30" s="16">
        <f>IF($D30="JEA_NSA",INDEX(Market_Weekly!$N$6:$N$48,MATCH($A30,Market_Weekly!$A$6:$A$48,0)),INDEX(Market_Weekly!$O$6:$O$48,MATCH($A30,Market_Weekly!$A$6:$A$48,0)))</f>
        <v/>
      </c>
      <c r="M30" s="8">
        <f>IF($D30="JEA_NSA","M1","M2")</f>
        <v/>
      </c>
      <c r="N30" s="16">
        <f>IF($D30="JEA_NSA",INDEX(Market_Weekly!$L$6:$L$48,MATCH($A30,Market_Weekly!$A$6:$A$48,0)),INDEX(Market_Weekly!$M$6:$M$48,MATCH($A30,Market_Weekly!$A$6:$A$48,0)))</f>
        <v/>
      </c>
      <c r="O30" s="15">
        <f>INDEX(Market_Weekly!$P$6:$P$48,MATCH($A30,Market_Weekly!$A$6:$A$48,0))</f>
        <v/>
      </c>
      <c r="P30" s="8">
        <f>INDEX(Market_Weekly!$R$6:$T$48,MATCH($A30,Market_Weekly!$A$6:$A$48,0),MATCH("grade_factor_"&amp;$C30,Market_Weekly!$R$5:$T$5,0))</f>
        <v/>
      </c>
      <c r="Q30" s="8">
        <f>INDEX(Market_Weekly!$U$6:$U$48,MATCH($A30,Market_Weekly!$A$6:$A$48,0))</f>
        <v/>
      </c>
      <c r="R30" s="8">
        <f>IF($D30="JEA_NSA","20ft","40ft")</f>
        <v/>
      </c>
      <c r="S30" s="8">
        <f>IF($D30="JEA_NSA","nsa","mun")</f>
        <v/>
      </c>
      <c r="T30" s="8">
        <f>IF($D30="JEA_NSA","jea_nsa","usec_mun")</f>
        <v/>
      </c>
      <c r="U30" s="16">
        <f>INDEX(param_values,MATCH("container_payload_mt_"&amp;$R30,param_keys,0))</f>
        <v/>
      </c>
      <c r="V30" s="16">
        <f>INDEX(param_values,MATCH("container_payload_mt_"&amp;$R30&amp;"_"&amp;$C30,param_keys,0))</f>
        <v/>
      </c>
      <c r="W30" s="16">
        <f>INDEX(param_values,MATCH("container_payload_mt_20ft_"&amp;$C30,param_keys,0))</f>
        <v/>
      </c>
      <c r="X30" s="18">
        <f>INDEX(param_values,MATCH("port_cf_charges_inr_t_"&amp;$S30,param_keys,0))</f>
        <v/>
      </c>
      <c r="Y30" s="8">
        <f>INDEX(param_values,MATCH(IF($D30="JEA_NSA","psic_required_uae_origin","psic_required_safe_origin_designated_port"),param_keys,0))</f>
        <v/>
      </c>
      <c r="Z30" s="19">
        <f>INDEX(param_values,MATCH("finance_days_"&amp;$T30,param_keys,0))</f>
        <v/>
      </c>
      <c r="AA30" s="15">
        <f>INDEX(param_values,MATCH("moisture_frac_"&amp;$C30,param_keys,0))</f>
        <v/>
      </c>
      <c r="AB30" s="15">
        <f>INDEX(param_values,MATCH("contamination_frac_"&amp;$C30,param_keys,0))</f>
        <v/>
      </c>
      <c r="AC30" s="15">
        <f>INDEX(param_values,MATCH("metal_yield_frac_"&amp;$C30,param_keys,0))</f>
        <v/>
      </c>
      <c r="AD30" s="15">
        <f>INDEX(param_values,MATCH("heavies_frac_"&amp;$C30,param_keys,0))</f>
        <v/>
      </c>
      <c r="AE30" s="8">
        <f>INDEX(param_values,MATCH("grade_factor_diff_"&amp;$C30,param_keys,0))</f>
        <v/>
      </c>
      <c r="AF30" s="16">
        <f>$F30*$P30</f>
        <v/>
      </c>
      <c r="AG30" s="8">
        <f>$U30/$V30</f>
        <v/>
      </c>
      <c r="AH30" s="16">
        <f>$L30*$AG30</f>
        <v/>
      </c>
      <c r="AI30" s="16">
        <f>$AF30-$AH30</f>
        <v/>
      </c>
      <c r="AJ30" s="16">
        <f>insurance_rate*insured_value_uplift*$AF30</f>
        <v/>
      </c>
      <c r="AK30" s="16">
        <f>$AF30+$AJ30</f>
        <v/>
      </c>
      <c r="AL30" s="18">
        <f>$AK30*$J30</f>
        <v/>
      </c>
      <c r="AM30" s="18">
        <f>$AK30*$I30</f>
        <v/>
      </c>
      <c r="AN30" s="18">
        <f>$AL30*bcd_scrap_hs7602</f>
        <v/>
      </c>
      <c r="AO30" s="18">
        <f>$AN30*sws_rate_on_bcd</f>
        <v/>
      </c>
      <c r="AP30" s="18">
        <f>($AL30+$AN30+$AO30)*igst_rate_hs7602</f>
        <v/>
      </c>
      <c r="AQ30" s="18">
        <f>$X30*$AG30+IF($Y30,psic_cost_usd_per_box*$H30/$W30,0)</f>
        <v/>
      </c>
      <c r="AR30" s="18">
        <f>($AM30+$AN30+$AO30)*$Z30/day_count_inr*$O30</f>
        <v/>
      </c>
      <c r="AS30" s="18">
        <f>$AP30*igst_credit_lag_days/day_count_inr*$O30</f>
        <v/>
      </c>
      <c r="AT30" s="18">
        <f>$AM30+$AN30+$AO30+$AQ30+$AR30+$AS30+IF(igst_itc_available,0,$AP30)</f>
        <v/>
      </c>
      <c r="AU30" s="15">
        <f>(1-$AA30)*(1-$AB30)*$AC30</f>
        <v/>
      </c>
      <c r="AV30" s="18">
        <f>$N30*kg_per_mt+domestic_anchor_premium_inr_t</f>
        <v/>
      </c>
      <c r="AW30" s="18">
        <f>(1-$AA30)*$AD30*heavies_net_value_frac_of_lme_al*$F30*$H30</f>
        <v/>
      </c>
      <c r="AX30" s="18">
        <f>conversion_cost_inr_t*$AU30</f>
        <v/>
      </c>
      <c r="AY30" s="18">
        <f>$AV30*$AU30+$AW30-$AT30-$AX30</f>
        <v/>
      </c>
      <c r="AZ30" s="16">
        <f>$AY30/$H30</f>
        <v/>
      </c>
      <c r="BA30" s="8">
        <f>$AY30&gt;margin_threshold_inr_t</f>
        <v/>
      </c>
      <c r="BB30" s="8">
        <f>$Q30+$AE30</f>
        <v/>
      </c>
      <c r="BC30" s="18">
        <f>$AT30-$AQ30</f>
        <v/>
      </c>
      <c r="BD30" s="18">
        <f>$AY30-$BC30*($BB30/$P30-1)</f>
        <v/>
      </c>
      <c r="BE30" s="18">
        <f>$AY30-(conv_step_5a-conversion_cost_inr_t)*$AU30</f>
        <v/>
      </c>
      <c r="BF30" s="8">
        <f>$BA30</f>
        <v/>
      </c>
      <c r="BG30" s="8">
        <f>$BD30&gt;margin_threshold_inr_t</f>
        <v/>
      </c>
      <c r="BH30" s="8">
        <f>$BE30&gt;margin_threshold_inr_t</f>
        <v/>
      </c>
      <c r="BI30" s="8">
        <f>AND($BF30,$BG30,$BH30)</f>
        <v/>
      </c>
      <c r="BJ30" s="8">
        <f>IF($BI30,1,0)</f>
        <v/>
      </c>
    </row>
    <row r="31">
      <c r="A31" s="11" t="n">
        <v>44596</v>
      </c>
      <c r="B31" s="11" t="n">
        <v>44596</v>
      </c>
      <c r="C31" s="7" t="inlineStr">
        <is>
          <t>zorba</t>
        </is>
      </c>
      <c r="D31" s="7" t="inlineStr">
        <is>
          <t>USEC_MUN</t>
        </is>
      </c>
      <c r="E31" s="17" t="b">
        <v>0</v>
      </c>
      <c r="F31" s="16">
        <f>INDEX(Market_Weekly!$E$6:$E$48,MATCH($A31,Market_Weekly!$A$6:$A$48,0))</f>
        <v/>
      </c>
      <c r="G31" s="16">
        <f>INDEX(Market_Weekly!$D$6:$D$48,MATCH($A31,Market_Weekly!$A$6:$A$48,0))</f>
        <v/>
      </c>
      <c r="H31" s="16">
        <f>INDEX(Market_Weekly!$G$6:$G$48,MATCH($A31,Market_Weekly!$A$6:$A$48,0))</f>
        <v/>
      </c>
      <c r="I31" s="8">
        <f>INDEX(Market_Weekly!$H$6:$H$48,MATCH($A31,Market_Weekly!$A$6:$A$48,0))</f>
        <v/>
      </c>
      <c r="J31" s="8">
        <f>INDEX(Market_Weekly!$Q$6:$Q$48,MATCH($A31,Market_Weekly!$A$6:$A$48,0))</f>
        <v/>
      </c>
      <c r="K31" s="8">
        <f>INDEX(Market_Weekly!$V$6:$V$48,MATCH($A31,Market_Weekly!$A$6:$A$48,0))</f>
        <v/>
      </c>
      <c r="L31" s="16">
        <f>IF($D31="JEA_NSA",INDEX(Market_Weekly!$N$6:$N$48,MATCH($A31,Market_Weekly!$A$6:$A$48,0)),INDEX(Market_Weekly!$O$6:$O$48,MATCH($A31,Market_Weekly!$A$6:$A$48,0)))</f>
        <v/>
      </c>
      <c r="M31" s="8">
        <f>IF($D31="JEA_NSA","M1","M2")</f>
        <v/>
      </c>
      <c r="N31" s="16">
        <f>IF($D31="JEA_NSA",INDEX(Market_Weekly!$L$6:$L$48,MATCH($A31,Market_Weekly!$A$6:$A$48,0)),INDEX(Market_Weekly!$M$6:$M$48,MATCH($A31,Market_Weekly!$A$6:$A$48,0)))</f>
        <v/>
      </c>
      <c r="O31" s="15">
        <f>INDEX(Market_Weekly!$P$6:$P$48,MATCH($A31,Market_Weekly!$A$6:$A$48,0))</f>
        <v/>
      </c>
      <c r="P31" s="8">
        <f>INDEX(Market_Weekly!$R$6:$T$48,MATCH($A31,Market_Weekly!$A$6:$A$48,0),MATCH("grade_factor_"&amp;$C31,Market_Weekly!$R$5:$T$5,0))</f>
        <v/>
      </c>
      <c r="Q31" s="8">
        <f>INDEX(Market_Weekly!$U$6:$U$48,MATCH($A31,Market_Weekly!$A$6:$A$48,0))</f>
        <v/>
      </c>
      <c r="R31" s="8">
        <f>IF($D31="JEA_NSA","20ft","40ft")</f>
        <v/>
      </c>
      <c r="S31" s="8">
        <f>IF($D31="JEA_NSA","nsa","mun")</f>
        <v/>
      </c>
      <c r="T31" s="8">
        <f>IF($D31="JEA_NSA","jea_nsa","usec_mun")</f>
        <v/>
      </c>
      <c r="U31" s="16">
        <f>INDEX(param_values,MATCH("container_payload_mt_"&amp;$R31,param_keys,0))</f>
        <v/>
      </c>
      <c r="V31" s="16">
        <f>INDEX(param_values,MATCH("container_payload_mt_"&amp;$R31&amp;"_"&amp;$C31,param_keys,0))</f>
        <v/>
      </c>
      <c r="W31" s="16">
        <f>INDEX(param_values,MATCH("container_payload_mt_20ft_"&amp;$C31,param_keys,0))</f>
        <v/>
      </c>
      <c r="X31" s="18">
        <f>INDEX(param_values,MATCH("port_cf_charges_inr_t_"&amp;$S31,param_keys,0))</f>
        <v/>
      </c>
      <c r="Y31" s="8">
        <f>INDEX(param_values,MATCH(IF($D31="JEA_NSA","psic_required_uae_origin","psic_required_safe_origin_designated_port"),param_keys,0))</f>
        <v/>
      </c>
      <c r="Z31" s="19">
        <f>INDEX(param_values,MATCH("finance_days_"&amp;$T31,param_keys,0))</f>
        <v/>
      </c>
      <c r="AA31" s="15">
        <f>INDEX(param_values,MATCH("moisture_frac_"&amp;$C31,param_keys,0))</f>
        <v/>
      </c>
      <c r="AB31" s="15">
        <f>INDEX(param_values,MATCH("contamination_frac_"&amp;$C31,param_keys,0))</f>
        <v/>
      </c>
      <c r="AC31" s="15">
        <f>INDEX(param_values,MATCH("metal_yield_frac_"&amp;$C31,param_keys,0))</f>
        <v/>
      </c>
      <c r="AD31" s="15">
        <f>INDEX(param_values,MATCH("heavies_frac_"&amp;$C31,param_keys,0))</f>
        <v/>
      </c>
      <c r="AE31" s="8">
        <f>INDEX(param_values,MATCH("grade_factor_diff_"&amp;$C31,param_keys,0))</f>
        <v/>
      </c>
      <c r="AF31" s="16">
        <f>$F31*$P31</f>
        <v/>
      </c>
      <c r="AG31" s="8">
        <f>$U31/$V31</f>
        <v/>
      </c>
      <c r="AH31" s="16">
        <f>$L31*$AG31</f>
        <v/>
      </c>
      <c r="AI31" s="16">
        <f>$AF31-$AH31</f>
        <v/>
      </c>
      <c r="AJ31" s="16">
        <f>insurance_rate*insured_value_uplift*$AF31</f>
        <v/>
      </c>
      <c r="AK31" s="16">
        <f>$AF31+$AJ31</f>
        <v/>
      </c>
      <c r="AL31" s="18">
        <f>$AK31*$J31</f>
        <v/>
      </c>
      <c r="AM31" s="18">
        <f>$AK31*$I31</f>
        <v/>
      </c>
      <c r="AN31" s="18">
        <f>$AL31*bcd_scrap_hs7602</f>
        <v/>
      </c>
      <c r="AO31" s="18">
        <f>$AN31*sws_rate_on_bcd</f>
        <v/>
      </c>
      <c r="AP31" s="18">
        <f>($AL31+$AN31+$AO31)*igst_rate_hs7602</f>
        <v/>
      </c>
      <c r="AQ31" s="18">
        <f>$X31*$AG31+IF($Y31,psic_cost_usd_per_box*$H31/$W31,0)</f>
        <v/>
      </c>
      <c r="AR31" s="18">
        <f>($AM31+$AN31+$AO31)*$Z31/day_count_inr*$O31</f>
        <v/>
      </c>
      <c r="AS31" s="18">
        <f>$AP31*igst_credit_lag_days/day_count_inr*$O31</f>
        <v/>
      </c>
      <c r="AT31" s="18">
        <f>$AM31+$AN31+$AO31+$AQ31+$AR31+$AS31+IF(igst_itc_available,0,$AP31)</f>
        <v/>
      </c>
      <c r="AU31" s="15">
        <f>(1-$AA31)*(1-$AB31)*$AC31</f>
        <v/>
      </c>
      <c r="AV31" s="18">
        <f>$N31*kg_per_mt+domestic_anchor_premium_inr_t</f>
        <v/>
      </c>
      <c r="AW31" s="18">
        <f>(1-$AA31)*$AD31*heavies_net_value_frac_of_lme_al*$F31*$H31</f>
        <v/>
      </c>
      <c r="AX31" s="18">
        <f>conversion_cost_inr_t*$AU31</f>
        <v/>
      </c>
      <c r="AY31" s="18">
        <f>$AV31*$AU31+$AW31-$AT31-$AX31</f>
        <v/>
      </c>
      <c r="AZ31" s="16">
        <f>$AY31/$H31</f>
        <v/>
      </c>
      <c r="BA31" s="8">
        <f>$AY31&gt;margin_threshold_inr_t</f>
        <v/>
      </c>
      <c r="BB31" s="8">
        <f>$Q31+$AE31</f>
        <v/>
      </c>
      <c r="BC31" s="18">
        <f>$AT31-$AQ31</f>
        <v/>
      </c>
      <c r="BD31" s="18">
        <f>$AY31-$BC31*($BB31/$P31-1)</f>
        <v/>
      </c>
      <c r="BE31" s="18">
        <f>$AY31-(conv_step_5a-conversion_cost_inr_t)*$AU31</f>
        <v/>
      </c>
      <c r="BF31" s="8">
        <f>$BA31</f>
        <v/>
      </c>
      <c r="BG31" s="8">
        <f>$BD31&gt;margin_threshold_inr_t</f>
        <v/>
      </c>
      <c r="BH31" s="8">
        <f>$BE31&gt;margin_threshold_inr_t</f>
        <v/>
      </c>
      <c r="BI31" s="8">
        <f>AND($BF31,$BG31,$BH31)</f>
        <v/>
      </c>
      <c r="BJ31" s="8">
        <f>IF($BI31,1,0)</f>
        <v/>
      </c>
    </row>
    <row r="32">
      <c r="A32" s="11" t="n">
        <v>44596</v>
      </c>
      <c r="B32" s="11" t="n">
        <v>44596</v>
      </c>
      <c r="C32" s="7" t="inlineStr">
        <is>
          <t>taint_tabor</t>
        </is>
      </c>
      <c r="D32" s="7" t="inlineStr">
        <is>
          <t>JEA_NSA</t>
        </is>
      </c>
      <c r="E32" s="17" t="b">
        <v>0</v>
      </c>
      <c r="F32" s="16">
        <f>INDEX(Market_Weekly!$E$6:$E$48,MATCH($A32,Market_Weekly!$A$6:$A$48,0))</f>
        <v/>
      </c>
      <c r="G32" s="16">
        <f>INDEX(Market_Weekly!$D$6:$D$48,MATCH($A32,Market_Weekly!$A$6:$A$48,0))</f>
        <v/>
      </c>
      <c r="H32" s="16">
        <f>INDEX(Market_Weekly!$G$6:$G$48,MATCH($A32,Market_Weekly!$A$6:$A$48,0))</f>
        <v/>
      </c>
      <c r="I32" s="8">
        <f>INDEX(Market_Weekly!$H$6:$H$48,MATCH($A32,Market_Weekly!$A$6:$A$48,0))</f>
        <v/>
      </c>
      <c r="J32" s="8">
        <f>INDEX(Market_Weekly!$Q$6:$Q$48,MATCH($A32,Market_Weekly!$A$6:$A$48,0))</f>
        <v/>
      </c>
      <c r="K32" s="8">
        <f>INDEX(Market_Weekly!$V$6:$V$48,MATCH($A32,Market_Weekly!$A$6:$A$48,0))</f>
        <v/>
      </c>
      <c r="L32" s="16">
        <f>IF($D32="JEA_NSA",INDEX(Market_Weekly!$N$6:$N$48,MATCH($A32,Market_Weekly!$A$6:$A$48,0)),INDEX(Market_Weekly!$O$6:$O$48,MATCH($A32,Market_Weekly!$A$6:$A$48,0)))</f>
        <v/>
      </c>
      <c r="M32" s="8">
        <f>IF($D32="JEA_NSA","M1","M2")</f>
        <v/>
      </c>
      <c r="N32" s="16">
        <f>IF($D32="JEA_NSA",INDEX(Market_Weekly!$L$6:$L$48,MATCH($A32,Market_Weekly!$A$6:$A$48,0)),INDEX(Market_Weekly!$M$6:$M$48,MATCH($A32,Market_Weekly!$A$6:$A$48,0)))</f>
        <v/>
      </c>
      <c r="O32" s="15">
        <f>INDEX(Market_Weekly!$P$6:$P$48,MATCH($A32,Market_Weekly!$A$6:$A$48,0))</f>
        <v/>
      </c>
      <c r="P32" s="8">
        <f>INDEX(Market_Weekly!$R$6:$T$48,MATCH($A32,Market_Weekly!$A$6:$A$48,0),MATCH("grade_factor_"&amp;$C32,Market_Weekly!$R$5:$T$5,0))</f>
        <v/>
      </c>
      <c r="Q32" s="8">
        <f>INDEX(Market_Weekly!$U$6:$U$48,MATCH($A32,Market_Weekly!$A$6:$A$48,0))</f>
        <v/>
      </c>
      <c r="R32" s="8">
        <f>IF($D32="JEA_NSA","20ft","40ft")</f>
        <v/>
      </c>
      <c r="S32" s="8">
        <f>IF($D32="JEA_NSA","nsa","mun")</f>
        <v/>
      </c>
      <c r="T32" s="8">
        <f>IF($D32="JEA_NSA","jea_nsa","usec_mun")</f>
        <v/>
      </c>
      <c r="U32" s="16">
        <f>INDEX(param_values,MATCH("container_payload_mt_"&amp;$R32,param_keys,0))</f>
        <v/>
      </c>
      <c r="V32" s="16">
        <f>INDEX(param_values,MATCH("container_payload_mt_"&amp;$R32&amp;"_"&amp;$C32,param_keys,0))</f>
        <v/>
      </c>
      <c r="W32" s="16">
        <f>INDEX(param_values,MATCH("container_payload_mt_20ft_"&amp;$C32,param_keys,0))</f>
        <v/>
      </c>
      <c r="X32" s="18">
        <f>INDEX(param_values,MATCH("port_cf_charges_inr_t_"&amp;$S32,param_keys,0))</f>
        <v/>
      </c>
      <c r="Y32" s="8">
        <f>INDEX(param_values,MATCH(IF($D32="JEA_NSA","psic_required_uae_origin","psic_required_safe_origin_designated_port"),param_keys,0))</f>
        <v/>
      </c>
      <c r="Z32" s="19">
        <f>INDEX(param_values,MATCH("finance_days_"&amp;$T32,param_keys,0))</f>
        <v/>
      </c>
      <c r="AA32" s="15">
        <f>INDEX(param_values,MATCH("moisture_frac_"&amp;$C32,param_keys,0))</f>
        <v/>
      </c>
      <c r="AB32" s="15">
        <f>INDEX(param_values,MATCH("contamination_frac_"&amp;$C32,param_keys,0))</f>
        <v/>
      </c>
      <c r="AC32" s="15">
        <f>INDEX(param_values,MATCH("metal_yield_frac_"&amp;$C32,param_keys,0))</f>
        <v/>
      </c>
      <c r="AD32" s="15">
        <f>INDEX(param_values,MATCH("heavies_frac_"&amp;$C32,param_keys,0))</f>
        <v/>
      </c>
      <c r="AE32" s="8">
        <f>INDEX(param_values,MATCH("grade_factor_diff_"&amp;$C32,param_keys,0))</f>
        <v/>
      </c>
      <c r="AF32" s="16">
        <f>$F32*$P32</f>
        <v/>
      </c>
      <c r="AG32" s="8">
        <f>$U32/$V32</f>
        <v/>
      </c>
      <c r="AH32" s="16">
        <f>$L32*$AG32</f>
        <v/>
      </c>
      <c r="AI32" s="16">
        <f>$AF32-$AH32</f>
        <v/>
      </c>
      <c r="AJ32" s="16">
        <f>insurance_rate*insured_value_uplift*$AF32</f>
        <v/>
      </c>
      <c r="AK32" s="16">
        <f>$AF32+$AJ32</f>
        <v/>
      </c>
      <c r="AL32" s="18">
        <f>$AK32*$J32</f>
        <v/>
      </c>
      <c r="AM32" s="18">
        <f>$AK32*$I32</f>
        <v/>
      </c>
      <c r="AN32" s="18">
        <f>$AL32*bcd_scrap_hs7602</f>
        <v/>
      </c>
      <c r="AO32" s="18">
        <f>$AN32*sws_rate_on_bcd</f>
        <v/>
      </c>
      <c r="AP32" s="18">
        <f>($AL32+$AN32+$AO32)*igst_rate_hs7602</f>
        <v/>
      </c>
      <c r="AQ32" s="18">
        <f>$X32*$AG32+IF($Y32,psic_cost_usd_per_box*$H32/$W32,0)</f>
        <v/>
      </c>
      <c r="AR32" s="18">
        <f>($AM32+$AN32+$AO32)*$Z32/day_count_inr*$O32</f>
        <v/>
      </c>
      <c r="AS32" s="18">
        <f>$AP32*igst_credit_lag_days/day_count_inr*$O32</f>
        <v/>
      </c>
      <c r="AT32" s="18">
        <f>$AM32+$AN32+$AO32+$AQ32+$AR32+$AS32+IF(igst_itc_available,0,$AP32)</f>
        <v/>
      </c>
      <c r="AU32" s="15">
        <f>(1-$AA32)*(1-$AB32)*$AC32</f>
        <v/>
      </c>
      <c r="AV32" s="18">
        <f>$N32*kg_per_mt+domestic_anchor_premium_inr_t</f>
        <v/>
      </c>
      <c r="AW32" s="18">
        <f>(1-$AA32)*$AD32*heavies_net_value_frac_of_lme_al*$F32*$H32</f>
        <v/>
      </c>
      <c r="AX32" s="18">
        <f>conversion_cost_inr_t*$AU32</f>
        <v/>
      </c>
      <c r="AY32" s="18">
        <f>$AV32*$AU32+$AW32-$AT32-$AX32</f>
        <v/>
      </c>
      <c r="AZ32" s="16">
        <f>$AY32/$H32</f>
        <v/>
      </c>
      <c r="BA32" s="8">
        <f>$AY32&gt;margin_threshold_inr_t</f>
        <v/>
      </c>
      <c r="BB32" s="8">
        <f>$Q32+$AE32</f>
        <v/>
      </c>
      <c r="BC32" s="18">
        <f>$AT32-$AQ32</f>
        <v/>
      </c>
      <c r="BD32" s="18">
        <f>$AY32-$BC32*($BB32/$P32-1)</f>
        <v/>
      </c>
      <c r="BE32" s="18">
        <f>$AY32-(conv_step_5a-conversion_cost_inr_t)*$AU32</f>
        <v/>
      </c>
      <c r="BF32" s="8">
        <f>$BA32</f>
        <v/>
      </c>
      <c r="BG32" s="8">
        <f>$BD32&gt;margin_threshold_inr_t</f>
        <v/>
      </c>
      <c r="BH32" s="8">
        <f>$BE32&gt;margin_threshold_inr_t</f>
        <v/>
      </c>
      <c r="BI32" s="8">
        <f>AND($BF32,$BG32,$BH32)</f>
        <v/>
      </c>
      <c r="BJ32" s="8">
        <f>IF($BI32,1,0)</f>
        <v/>
      </c>
    </row>
    <row r="33">
      <c r="A33" s="11" t="n">
        <v>44596</v>
      </c>
      <c r="B33" s="11" t="n">
        <v>44596</v>
      </c>
      <c r="C33" s="7" t="inlineStr">
        <is>
          <t>taint_tabor</t>
        </is>
      </c>
      <c r="D33" s="7" t="inlineStr">
        <is>
          <t>USEC_MUN</t>
        </is>
      </c>
      <c r="E33" s="17" t="b">
        <v>0</v>
      </c>
      <c r="F33" s="16">
        <f>INDEX(Market_Weekly!$E$6:$E$48,MATCH($A33,Market_Weekly!$A$6:$A$48,0))</f>
        <v/>
      </c>
      <c r="G33" s="16">
        <f>INDEX(Market_Weekly!$D$6:$D$48,MATCH($A33,Market_Weekly!$A$6:$A$48,0))</f>
        <v/>
      </c>
      <c r="H33" s="16">
        <f>INDEX(Market_Weekly!$G$6:$G$48,MATCH($A33,Market_Weekly!$A$6:$A$48,0))</f>
        <v/>
      </c>
      <c r="I33" s="8">
        <f>INDEX(Market_Weekly!$H$6:$H$48,MATCH($A33,Market_Weekly!$A$6:$A$48,0))</f>
        <v/>
      </c>
      <c r="J33" s="8">
        <f>INDEX(Market_Weekly!$Q$6:$Q$48,MATCH($A33,Market_Weekly!$A$6:$A$48,0))</f>
        <v/>
      </c>
      <c r="K33" s="8">
        <f>INDEX(Market_Weekly!$V$6:$V$48,MATCH($A33,Market_Weekly!$A$6:$A$48,0))</f>
        <v/>
      </c>
      <c r="L33" s="16">
        <f>IF($D33="JEA_NSA",INDEX(Market_Weekly!$N$6:$N$48,MATCH($A33,Market_Weekly!$A$6:$A$48,0)),INDEX(Market_Weekly!$O$6:$O$48,MATCH($A33,Market_Weekly!$A$6:$A$48,0)))</f>
        <v/>
      </c>
      <c r="M33" s="8">
        <f>IF($D33="JEA_NSA","M1","M2")</f>
        <v/>
      </c>
      <c r="N33" s="16">
        <f>IF($D33="JEA_NSA",INDEX(Market_Weekly!$L$6:$L$48,MATCH($A33,Market_Weekly!$A$6:$A$48,0)),INDEX(Market_Weekly!$M$6:$M$48,MATCH($A33,Market_Weekly!$A$6:$A$48,0)))</f>
        <v/>
      </c>
      <c r="O33" s="15">
        <f>INDEX(Market_Weekly!$P$6:$P$48,MATCH($A33,Market_Weekly!$A$6:$A$48,0))</f>
        <v/>
      </c>
      <c r="P33" s="8">
        <f>INDEX(Market_Weekly!$R$6:$T$48,MATCH($A33,Market_Weekly!$A$6:$A$48,0),MATCH("grade_factor_"&amp;$C33,Market_Weekly!$R$5:$T$5,0))</f>
        <v/>
      </c>
      <c r="Q33" s="8">
        <f>INDEX(Market_Weekly!$U$6:$U$48,MATCH($A33,Market_Weekly!$A$6:$A$48,0))</f>
        <v/>
      </c>
      <c r="R33" s="8">
        <f>IF($D33="JEA_NSA","20ft","40ft")</f>
        <v/>
      </c>
      <c r="S33" s="8">
        <f>IF($D33="JEA_NSA","nsa","mun")</f>
        <v/>
      </c>
      <c r="T33" s="8">
        <f>IF($D33="JEA_NSA","jea_nsa","usec_mun")</f>
        <v/>
      </c>
      <c r="U33" s="16">
        <f>INDEX(param_values,MATCH("container_payload_mt_"&amp;$R33,param_keys,0))</f>
        <v/>
      </c>
      <c r="V33" s="16">
        <f>INDEX(param_values,MATCH("container_payload_mt_"&amp;$R33&amp;"_"&amp;$C33,param_keys,0))</f>
        <v/>
      </c>
      <c r="W33" s="16">
        <f>INDEX(param_values,MATCH("container_payload_mt_20ft_"&amp;$C33,param_keys,0))</f>
        <v/>
      </c>
      <c r="X33" s="18">
        <f>INDEX(param_values,MATCH("port_cf_charges_inr_t_"&amp;$S33,param_keys,0))</f>
        <v/>
      </c>
      <c r="Y33" s="8">
        <f>INDEX(param_values,MATCH(IF($D33="JEA_NSA","psic_required_uae_origin","psic_required_safe_origin_designated_port"),param_keys,0))</f>
        <v/>
      </c>
      <c r="Z33" s="19">
        <f>INDEX(param_values,MATCH("finance_days_"&amp;$T33,param_keys,0))</f>
        <v/>
      </c>
      <c r="AA33" s="15">
        <f>INDEX(param_values,MATCH("moisture_frac_"&amp;$C33,param_keys,0))</f>
        <v/>
      </c>
      <c r="AB33" s="15">
        <f>INDEX(param_values,MATCH("contamination_frac_"&amp;$C33,param_keys,0))</f>
        <v/>
      </c>
      <c r="AC33" s="15">
        <f>INDEX(param_values,MATCH("metal_yield_frac_"&amp;$C33,param_keys,0))</f>
        <v/>
      </c>
      <c r="AD33" s="15">
        <f>INDEX(param_values,MATCH("heavies_frac_"&amp;$C33,param_keys,0))</f>
        <v/>
      </c>
      <c r="AE33" s="8">
        <f>INDEX(param_values,MATCH("grade_factor_diff_"&amp;$C33,param_keys,0))</f>
        <v/>
      </c>
      <c r="AF33" s="16">
        <f>$F33*$P33</f>
        <v/>
      </c>
      <c r="AG33" s="8">
        <f>$U33/$V33</f>
        <v/>
      </c>
      <c r="AH33" s="16">
        <f>$L33*$AG33</f>
        <v/>
      </c>
      <c r="AI33" s="16">
        <f>$AF33-$AH33</f>
        <v/>
      </c>
      <c r="AJ33" s="16">
        <f>insurance_rate*insured_value_uplift*$AF33</f>
        <v/>
      </c>
      <c r="AK33" s="16">
        <f>$AF33+$AJ33</f>
        <v/>
      </c>
      <c r="AL33" s="18">
        <f>$AK33*$J33</f>
        <v/>
      </c>
      <c r="AM33" s="18">
        <f>$AK33*$I33</f>
        <v/>
      </c>
      <c r="AN33" s="18">
        <f>$AL33*bcd_scrap_hs7602</f>
        <v/>
      </c>
      <c r="AO33" s="18">
        <f>$AN33*sws_rate_on_bcd</f>
        <v/>
      </c>
      <c r="AP33" s="18">
        <f>($AL33+$AN33+$AO33)*igst_rate_hs7602</f>
        <v/>
      </c>
      <c r="AQ33" s="18">
        <f>$X33*$AG33+IF($Y33,psic_cost_usd_per_box*$H33/$W33,0)</f>
        <v/>
      </c>
      <c r="AR33" s="18">
        <f>($AM33+$AN33+$AO33)*$Z33/day_count_inr*$O33</f>
        <v/>
      </c>
      <c r="AS33" s="18">
        <f>$AP33*igst_credit_lag_days/day_count_inr*$O33</f>
        <v/>
      </c>
      <c r="AT33" s="18">
        <f>$AM33+$AN33+$AO33+$AQ33+$AR33+$AS33+IF(igst_itc_available,0,$AP33)</f>
        <v/>
      </c>
      <c r="AU33" s="15">
        <f>(1-$AA33)*(1-$AB33)*$AC33</f>
        <v/>
      </c>
      <c r="AV33" s="18">
        <f>$N33*kg_per_mt+domestic_anchor_premium_inr_t</f>
        <v/>
      </c>
      <c r="AW33" s="18">
        <f>(1-$AA33)*$AD33*heavies_net_value_frac_of_lme_al*$F33*$H33</f>
        <v/>
      </c>
      <c r="AX33" s="18">
        <f>conversion_cost_inr_t*$AU33</f>
        <v/>
      </c>
      <c r="AY33" s="18">
        <f>$AV33*$AU33+$AW33-$AT33-$AX33</f>
        <v/>
      </c>
      <c r="AZ33" s="16">
        <f>$AY33/$H33</f>
        <v/>
      </c>
      <c r="BA33" s="8">
        <f>$AY33&gt;margin_threshold_inr_t</f>
        <v/>
      </c>
      <c r="BB33" s="8">
        <f>$Q33+$AE33</f>
        <v/>
      </c>
      <c r="BC33" s="18">
        <f>$AT33-$AQ33</f>
        <v/>
      </c>
      <c r="BD33" s="18">
        <f>$AY33-$BC33*($BB33/$P33-1)</f>
        <v/>
      </c>
      <c r="BE33" s="18">
        <f>$AY33-(conv_step_5a-conversion_cost_inr_t)*$AU33</f>
        <v/>
      </c>
      <c r="BF33" s="8">
        <f>$BA33</f>
        <v/>
      </c>
      <c r="BG33" s="8">
        <f>$BD33&gt;margin_threshold_inr_t</f>
        <v/>
      </c>
      <c r="BH33" s="8">
        <f>$BE33&gt;margin_threshold_inr_t</f>
        <v/>
      </c>
      <c r="BI33" s="8">
        <f>AND($BF33,$BG33,$BH33)</f>
        <v/>
      </c>
      <c r="BJ33" s="8">
        <f>IF($BI33,1,0)</f>
        <v/>
      </c>
    </row>
    <row r="34">
      <c r="A34" s="11" t="n">
        <v>44596</v>
      </c>
      <c r="B34" s="11" t="n">
        <v>44596</v>
      </c>
      <c r="C34" s="7" t="inlineStr">
        <is>
          <t>tense</t>
        </is>
      </c>
      <c r="D34" s="7" t="inlineStr">
        <is>
          <t>JEA_NSA</t>
        </is>
      </c>
      <c r="E34" s="17" t="b">
        <v>0</v>
      </c>
      <c r="F34" s="16">
        <f>INDEX(Market_Weekly!$E$6:$E$48,MATCH($A34,Market_Weekly!$A$6:$A$48,0))</f>
        <v/>
      </c>
      <c r="G34" s="16">
        <f>INDEX(Market_Weekly!$D$6:$D$48,MATCH($A34,Market_Weekly!$A$6:$A$48,0))</f>
        <v/>
      </c>
      <c r="H34" s="16">
        <f>INDEX(Market_Weekly!$G$6:$G$48,MATCH($A34,Market_Weekly!$A$6:$A$48,0))</f>
        <v/>
      </c>
      <c r="I34" s="8">
        <f>INDEX(Market_Weekly!$H$6:$H$48,MATCH($A34,Market_Weekly!$A$6:$A$48,0))</f>
        <v/>
      </c>
      <c r="J34" s="8">
        <f>INDEX(Market_Weekly!$Q$6:$Q$48,MATCH($A34,Market_Weekly!$A$6:$A$48,0))</f>
        <v/>
      </c>
      <c r="K34" s="8">
        <f>INDEX(Market_Weekly!$V$6:$V$48,MATCH($A34,Market_Weekly!$A$6:$A$48,0))</f>
        <v/>
      </c>
      <c r="L34" s="16">
        <f>IF($D34="JEA_NSA",INDEX(Market_Weekly!$N$6:$N$48,MATCH($A34,Market_Weekly!$A$6:$A$48,0)),INDEX(Market_Weekly!$O$6:$O$48,MATCH($A34,Market_Weekly!$A$6:$A$48,0)))</f>
        <v/>
      </c>
      <c r="M34" s="8">
        <f>IF($D34="JEA_NSA","M1","M2")</f>
        <v/>
      </c>
      <c r="N34" s="16">
        <f>IF($D34="JEA_NSA",INDEX(Market_Weekly!$L$6:$L$48,MATCH($A34,Market_Weekly!$A$6:$A$48,0)),INDEX(Market_Weekly!$M$6:$M$48,MATCH($A34,Market_Weekly!$A$6:$A$48,0)))</f>
        <v/>
      </c>
      <c r="O34" s="15">
        <f>INDEX(Market_Weekly!$P$6:$P$48,MATCH($A34,Market_Weekly!$A$6:$A$48,0))</f>
        <v/>
      </c>
      <c r="P34" s="8">
        <f>INDEX(Market_Weekly!$R$6:$T$48,MATCH($A34,Market_Weekly!$A$6:$A$48,0),MATCH("grade_factor_"&amp;$C34,Market_Weekly!$R$5:$T$5,0))</f>
        <v/>
      </c>
      <c r="Q34" s="8">
        <f>INDEX(Market_Weekly!$U$6:$U$48,MATCH($A34,Market_Weekly!$A$6:$A$48,0))</f>
        <v/>
      </c>
      <c r="R34" s="8">
        <f>IF($D34="JEA_NSA","20ft","40ft")</f>
        <v/>
      </c>
      <c r="S34" s="8">
        <f>IF($D34="JEA_NSA","nsa","mun")</f>
        <v/>
      </c>
      <c r="T34" s="8">
        <f>IF($D34="JEA_NSA","jea_nsa","usec_mun")</f>
        <v/>
      </c>
      <c r="U34" s="16">
        <f>INDEX(param_values,MATCH("container_payload_mt_"&amp;$R34,param_keys,0))</f>
        <v/>
      </c>
      <c r="V34" s="16">
        <f>INDEX(param_values,MATCH("container_payload_mt_"&amp;$R34&amp;"_"&amp;$C34,param_keys,0))</f>
        <v/>
      </c>
      <c r="W34" s="16">
        <f>INDEX(param_values,MATCH("container_payload_mt_20ft_"&amp;$C34,param_keys,0))</f>
        <v/>
      </c>
      <c r="X34" s="18">
        <f>INDEX(param_values,MATCH("port_cf_charges_inr_t_"&amp;$S34,param_keys,0))</f>
        <v/>
      </c>
      <c r="Y34" s="8">
        <f>INDEX(param_values,MATCH(IF($D34="JEA_NSA","psic_required_uae_origin","psic_required_safe_origin_designated_port"),param_keys,0))</f>
        <v/>
      </c>
      <c r="Z34" s="19">
        <f>INDEX(param_values,MATCH("finance_days_"&amp;$T34,param_keys,0))</f>
        <v/>
      </c>
      <c r="AA34" s="15">
        <f>INDEX(param_values,MATCH("moisture_frac_"&amp;$C34,param_keys,0))</f>
        <v/>
      </c>
      <c r="AB34" s="15">
        <f>INDEX(param_values,MATCH("contamination_frac_"&amp;$C34,param_keys,0))</f>
        <v/>
      </c>
      <c r="AC34" s="15">
        <f>INDEX(param_values,MATCH("metal_yield_frac_"&amp;$C34,param_keys,0))</f>
        <v/>
      </c>
      <c r="AD34" s="15">
        <f>INDEX(param_values,MATCH("heavies_frac_"&amp;$C34,param_keys,0))</f>
        <v/>
      </c>
      <c r="AE34" s="8">
        <f>INDEX(param_values,MATCH("grade_factor_diff_"&amp;$C34,param_keys,0))</f>
        <v/>
      </c>
      <c r="AF34" s="16">
        <f>$F34*$P34</f>
        <v/>
      </c>
      <c r="AG34" s="8">
        <f>$U34/$V34</f>
        <v/>
      </c>
      <c r="AH34" s="16">
        <f>$L34*$AG34</f>
        <v/>
      </c>
      <c r="AI34" s="16">
        <f>$AF34-$AH34</f>
        <v/>
      </c>
      <c r="AJ34" s="16">
        <f>insurance_rate*insured_value_uplift*$AF34</f>
        <v/>
      </c>
      <c r="AK34" s="16">
        <f>$AF34+$AJ34</f>
        <v/>
      </c>
      <c r="AL34" s="18">
        <f>$AK34*$J34</f>
        <v/>
      </c>
      <c r="AM34" s="18">
        <f>$AK34*$I34</f>
        <v/>
      </c>
      <c r="AN34" s="18">
        <f>$AL34*bcd_scrap_hs7602</f>
        <v/>
      </c>
      <c r="AO34" s="18">
        <f>$AN34*sws_rate_on_bcd</f>
        <v/>
      </c>
      <c r="AP34" s="18">
        <f>($AL34+$AN34+$AO34)*igst_rate_hs7602</f>
        <v/>
      </c>
      <c r="AQ34" s="18">
        <f>$X34*$AG34+IF($Y34,psic_cost_usd_per_box*$H34/$W34,0)</f>
        <v/>
      </c>
      <c r="AR34" s="18">
        <f>($AM34+$AN34+$AO34)*$Z34/day_count_inr*$O34</f>
        <v/>
      </c>
      <c r="AS34" s="18">
        <f>$AP34*igst_credit_lag_days/day_count_inr*$O34</f>
        <v/>
      </c>
      <c r="AT34" s="18">
        <f>$AM34+$AN34+$AO34+$AQ34+$AR34+$AS34+IF(igst_itc_available,0,$AP34)</f>
        <v/>
      </c>
      <c r="AU34" s="15">
        <f>(1-$AA34)*(1-$AB34)*$AC34</f>
        <v/>
      </c>
      <c r="AV34" s="18">
        <f>$N34*kg_per_mt+domestic_anchor_premium_inr_t</f>
        <v/>
      </c>
      <c r="AW34" s="18">
        <f>(1-$AA34)*$AD34*heavies_net_value_frac_of_lme_al*$F34*$H34</f>
        <v/>
      </c>
      <c r="AX34" s="18">
        <f>conversion_cost_inr_t*$AU34</f>
        <v/>
      </c>
      <c r="AY34" s="18">
        <f>$AV34*$AU34+$AW34-$AT34-$AX34</f>
        <v/>
      </c>
      <c r="AZ34" s="16">
        <f>$AY34/$H34</f>
        <v/>
      </c>
      <c r="BA34" s="8">
        <f>$AY34&gt;margin_threshold_inr_t</f>
        <v/>
      </c>
      <c r="BB34" s="8">
        <f>$Q34+$AE34</f>
        <v/>
      </c>
      <c r="BC34" s="18">
        <f>$AT34-$AQ34</f>
        <v/>
      </c>
      <c r="BD34" s="18">
        <f>$AY34-$BC34*($BB34/$P34-1)</f>
        <v/>
      </c>
      <c r="BE34" s="18">
        <f>$AY34-(conv_step_5a-conversion_cost_inr_t)*$AU34</f>
        <v/>
      </c>
      <c r="BF34" s="8">
        <f>$BA34</f>
        <v/>
      </c>
      <c r="BG34" s="8">
        <f>$BD34&gt;margin_threshold_inr_t</f>
        <v/>
      </c>
      <c r="BH34" s="8">
        <f>$BE34&gt;margin_threshold_inr_t</f>
        <v/>
      </c>
      <c r="BI34" s="8">
        <f>AND($BF34,$BG34,$BH34)</f>
        <v/>
      </c>
      <c r="BJ34" s="8">
        <f>IF($BI34,1,0)</f>
        <v/>
      </c>
    </row>
    <row r="35">
      <c r="A35" s="11" t="n">
        <v>44596</v>
      </c>
      <c r="B35" s="11" t="n">
        <v>44596</v>
      </c>
      <c r="C35" s="7" t="inlineStr">
        <is>
          <t>tense</t>
        </is>
      </c>
      <c r="D35" s="7" t="inlineStr">
        <is>
          <t>USEC_MUN</t>
        </is>
      </c>
      <c r="E35" s="17" t="b">
        <v>0</v>
      </c>
      <c r="F35" s="16">
        <f>INDEX(Market_Weekly!$E$6:$E$48,MATCH($A35,Market_Weekly!$A$6:$A$48,0))</f>
        <v/>
      </c>
      <c r="G35" s="16">
        <f>INDEX(Market_Weekly!$D$6:$D$48,MATCH($A35,Market_Weekly!$A$6:$A$48,0))</f>
        <v/>
      </c>
      <c r="H35" s="16">
        <f>INDEX(Market_Weekly!$G$6:$G$48,MATCH($A35,Market_Weekly!$A$6:$A$48,0))</f>
        <v/>
      </c>
      <c r="I35" s="8">
        <f>INDEX(Market_Weekly!$H$6:$H$48,MATCH($A35,Market_Weekly!$A$6:$A$48,0))</f>
        <v/>
      </c>
      <c r="J35" s="8">
        <f>INDEX(Market_Weekly!$Q$6:$Q$48,MATCH($A35,Market_Weekly!$A$6:$A$48,0))</f>
        <v/>
      </c>
      <c r="K35" s="8">
        <f>INDEX(Market_Weekly!$V$6:$V$48,MATCH($A35,Market_Weekly!$A$6:$A$48,0))</f>
        <v/>
      </c>
      <c r="L35" s="16">
        <f>IF($D35="JEA_NSA",INDEX(Market_Weekly!$N$6:$N$48,MATCH($A35,Market_Weekly!$A$6:$A$48,0)),INDEX(Market_Weekly!$O$6:$O$48,MATCH($A35,Market_Weekly!$A$6:$A$48,0)))</f>
        <v/>
      </c>
      <c r="M35" s="8">
        <f>IF($D35="JEA_NSA","M1","M2")</f>
        <v/>
      </c>
      <c r="N35" s="16">
        <f>IF($D35="JEA_NSA",INDEX(Market_Weekly!$L$6:$L$48,MATCH($A35,Market_Weekly!$A$6:$A$48,0)),INDEX(Market_Weekly!$M$6:$M$48,MATCH($A35,Market_Weekly!$A$6:$A$48,0)))</f>
        <v/>
      </c>
      <c r="O35" s="15">
        <f>INDEX(Market_Weekly!$P$6:$P$48,MATCH($A35,Market_Weekly!$A$6:$A$48,0))</f>
        <v/>
      </c>
      <c r="P35" s="8">
        <f>INDEX(Market_Weekly!$R$6:$T$48,MATCH($A35,Market_Weekly!$A$6:$A$48,0),MATCH("grade_factor_"&amp;$C35,Market_Weekly!$R$5:$T$5,0))</f>
        <v/>
      </c>
      <c r="Q35" s="8">
        <f>INDEX(Market_Weekly!$U$6:$U$48,MATCH($A35,Market_Weekly!$A$6:$A$48,0))</f>
        <v/>
      </c>
      <c r="R35" s="8">
        <f>IF($D35="JEA_NSA","20ft","40ft")</f>
        <v/>
      </c>
      <c r="S35" s="8">
        <f>IF($D35="JEA_NSA","nsa","mun")</f>
        <v/>
      </c>
      <c r="T35" s="8">
        <f>IF($D35="JEA_NSA","jea_nsa","usec_mun")</f>
        <v/>
      </c>
      <c r="U35" s="16">
        <f>INDEX(param_values,MATCH("container_payload_mt_"&amp;$R35,param_keys,0))</f>
        <v/>
      </c>
      <c r="V35" s="16">
        <f>INDEX(param_values,MATCH("container_payload_mt_"&amp;$R35&amp;"_"&amp;$C35,param_keys,0))</f>
        <v/>
      </c>
      <c r="W35" s="16">
        <f>INDEX(param_values,MATCH("container_payload_mt_20ft_"&amp;$C35,param_keys,0))</f>
        <v/>
      </c>
      <c r="X35" s="18">
        <f>INDEX(param_values,MATCH("port_cf_charges_inr_t_"&amp;$S35,param_keys,0))</f>
        <v/>
      </c>
      <c r="Y35" s="8">
        <f>INDEX(param_values,MATCH(IF($D35="JEA_NSA","psic_required_uae_origin","psic_required_safe_origin_designated_port"),param_keys,0))</f>
        <v/>
      </c>
      <c r="Z35" s="19">
        <f>INDEX(param_values,MATCH("finance_days_"&amp;$T35,param_keys,0))</f>
        <v/>
      </c>
      <c r="AA35" s="15">
        <f>INDEX(param_values,MATCH("moisture_frac_"&amp;$C35,param_keys,0))</f>
        <v/>
      </c>
      <c r="AB35" s="15">
        <f>INDEX(param_values,MATCH("contamination_frac_"&amp;$C35,param_keys,0))</f>
        <v/>
      </c>
      <c r="AC35" s="15">
        <f>INDEX(param_values,MATCH("metal_yield_frac_"&amp;$C35,param_keys,0))</f>
        <v/>
      </c>
      <c r="AD35" s="15">
        <f>INDEX(param_values,MATCH("heavies_frac_"&amp;$C35,param_keys,0))</f>
        <v/>
      </c>
      <c r="AE35" s="8">
        <f>INDEX(param_values,MATCH("grade_factor_diff_"&amp;$C35,param_keys,0))</f>
        <v/>
      </c>
      <c r="AF35" s="16">
        <f>$F35*$P35</f>
        <v/>
      </c>
      <c r="AG35" s="8">
        <f>$U35/$V35</f>
        <v/>
      </c>
      <c r="AH35" s="16">
        <f>$L35*$AG35</f>
        <v/>
      </c>
      <c r="AI35" s="16">
        <f>$AF35-$AH35</f>
        <v/>
      </c>
      <c r="AJ35" s="16">
        <f>insurance_rate*insured_value_uplift*$AF35</f>
        <v/>
      </c>
      <c r="AK35" s="16">
        <f>$AF35+$AJ35</f>
        <v/>
      </c>
      <c r="AL35" s="18">
        <f>$AK35*$J35</f>
        <v/>
      </c>
      <c r="AM35" s="18">
        <f>$AK35*$I35</f>
        <v/>
      </c>
      <c r="AN35" s="18">
        <f>$AL35*bcd_scrap_hs7602</f>
        <v/>
      </c>
      <c r="AO35" s="18">
        <f>$AN35*sws_rate_on_bcd</f>
        <v/>
      </c>
      <c r="AP35" s="18">
        <f>($AL35+$AN35+$AO35)*igst_rate_hs7602</f>
        <v/>
      </c>
      <c r="AQ35" s="18">
        <f>$X35*$AG35+IF($Y35,psic_cost_usd_per_box*$H35/$W35,0)</f>
        <v/>
      </c>
      <c r="AR35" s="18">
        <f>($AM35+$AN35+$AO35)*$Z35/day_count_inr*$O35</f>
        <v/>
      </c>
      <c r="AS35" s="18">
        <f>$AP35*igst_credit_lag_days/day_count_inr*$O35</f>
        <v/>
      </c>
      <c r="AT35" s="18">
        <f>$AM35+$AN35+$AO35+$AQ35+$AR35+$AS35+IF(igst_itc_available,0,$AP35)</f>
        <v/>
      </c>
      <c r="AU35" s="15">
        <f>(1-$AA35)*(1-$AB35)*$AC35</f>
        <v/>
      </c>
      <c r="AV35" s="18">
        <f>$N35*kg_per_mt+domestic_anchor_premium_inr_t</f>
        <v/>
      </c>
      <c r="AW35" s="18">
        <f>(1-$AA35)*$AD35*heavies_net_value_frac_of_lme_al*$F35*$H35</f>
        <v/>
      </c>
      <c r="AX35" s="18">
        <f>conversion_cost_inr_t*$AU35</f>
        <v/>
      </c>
      <c r="AY35" s="18">
        <f>$AV35*$AU35+$AW35-$AT35-$AX35</f>
        <v/>
      </c>
      <c r="AZ35" s="16">
        <f>$AY35/$H35</f>
        <v/>
      </c>
      <c r="BA35" s="8">
        <f>$AY35&gt;margin_threshold_inr_t</f>
        <v/>
      </c>
      <c r="BB35" s="8">
        <f>$Q35+$AE35</f>
        <v/>
      </c>
      <c r="BC35" s="18">
        <f>$AT35-$AQ35</f>
        <v/>
      </c>
      <c r="BD35" s="18">
        <f>$AY35-$BC35*($BB35/$P35-1)</f>
        <v/>
      </c>
      <c r="BE35" s="18">
        <f>$AY35-(conv_step_5a-conversion_cost_inr_t)*$AU35</f>
        <v/>
      </c>
      <c r="BF35" s="8">
        <f>$BA35</f>
        <v/>
      </c>
      <c r="BG35" s="8">
        <f>$BD35&gt;margin_threshold_inr_t</f>
        <v/>
      </c>
      <c r="BH35" s="8">
        <f>$BE35&gt;margin_threshold_inr_t</f>
        <v/>
      </c>
      <c r="BI35" s="8">
        <f>AND($BF35,$BG35,$BH35)</f>
        <v/>
      </c>
      <c r="BJ35" s="8">
        <f>IF($BI35,1,0)</f>
        <v/>
      </c>
    </row>
    <row r="36">
      <c r="A36" s="11" t="n">
        <v>44603</v>
      </c>
      <c r="B36" s="11" t="n">
        <v>44603</v>
      </c>
      <c r="C36" s="7" t="inlineStr">
        <is>
          <t>zorba</t>
        </is>
      </c>
      <c r="D36" s="7" t="inlineStr">
        <is>
          <t>JEA_NSA</t>
        </is>
      </c>
      <c r="E36" s="17" t="b">
        <v>0</v>
      </c>
      <c r="F36" s="16">
        <f>INDEX(Market_Weekly!$E$6:$E$48,MATCH($A36,Market_Weekly!$A$6:$A$48,0))</f>
        <v/>
      </c>
      <c r="G36" s="16">
        <f>INDEX(Market_Weekly!$D$6:$D$48,MATCH($A36,Market_Weekly!$A$6:$A$48,0))</f>
        <v/>
      </c>
      <c r="H36" s="16">
        <f>INDEX(Market_Weekly!$G$6:$G$48,MATCH($A36,Market_Weekly!$A$6:$A$48,0))</f>
        <v/>
      </c>
      <c r="I36" s="8">
        <f>INDEX(Market_Weekly!$H$6:$H$48,MATCH($A36,Market_Weekly!$A$6:$A$48,0))</f>
        <v/>
      </c>
      <c r="J36" s="8">
        <f>INDEX(Market_Weekly!$Q$6:$Q$48,MATCH($A36,Market_Weekly!$A$6:$A$48,0))</f>
        <v/>
      </c>
      <c r="K36" s="8">
        <f>INDEX(Market_Weekly!$V$6:$V$48,MATCH($A36,Market_Weekly!$A$6:$A$48,0))</f>
        <v/>
      </c>
      <c r="L36" s="16">
        <f>IF($D36="JEA_NSA",INDEX(Market_Weekly!$N$6:$N$48,MATCH($A36,Market_Weekly!$A$6:$A$48,0)),INDEX(Market_Weekly!$O$6:$O$48,MATCH($A36,Market_Weekly!$A$6:$A$48,0)))</f>
        <v/>
      </c>
      <c r="M36" s="8">
        <f>IF($D36="JEA_NSA","M1","M2")</f>
        <v/>
      </c>
      <c r="N36" s="16">
        <f>IF($D36="JEA_NSA",INDEX(Market_Weekly!$L$6:$L$48,MATCH($A36,Market_Weekly!$A$6:$A$48,0)),INDEX(Market_Weekly!$M$6:$M$48,MATCH($A36,Market_Weekly!$A$6:$A$48,0)))</f>
        <v/>
      </c>
      <c r="O36" s="15">
        <f>INDEX(Market_Weekly!$P$6:$P$48,MATCH($A36,Market_Weekly!$A$6:$A$48,0))</f>
        <v/>
      </c>
      <c r="P36" s="8">
        <f>INDEX(Market_Weekly!$R$6:$T$48,MATCH($A36,Market_Weekly!$A$6:$A$48,0),MATCH("grade_factor_"&amp;$C36,Market_Weekly!$R$5:$T$5,0))</f>
        <v/>
      </c>
      <c r="Q36" s="8">
        <f>INDEX(Market_Weekly!$U$6:$U$48,MATCH($A36,Market_Weekly!$A$6:$A$48,0))</f>
        <v/>
      </c>
      <c r="R36" s="8">
        <f>IF($D36="JEA_NSA","20ft","40ft")</f>
        <v/>
      </c>
      <c r="S36" s="8">
        <f>IF($D36="JEA_NSA","nsa","mun")</f>
        <v/>
      </c>
      <c r="T36" s="8">
        <f>IF($D36="JEA_NSA","jea_nsa","usec_mun")</f>
        <v/>
      </c>
      <c r="U36" s="16">
        <f>INDEX(param_values,MATCH("container_payload_mt_"&amp;$R36,param_keys,0))</f>
        <v/>
      </c>
      <c r="V36" s="16">
        <f>INDEX(param_values,MATCH("container_payload_mt_"&amp;$R36&amp;"_"&amp;$C36,param_keys,0))</f>
        <v/>
      </c>
      <c r="W36" s="16">
        <f>INDEX(param_values,MATCH("container_payload_mt_20ft_"&amp;$C36,param_keys,0))</f>
        <v/>
      </c>
      <c r="X36" s="18">
        <f>INDEX(param_values,MATCH("port_cf_charges_inr_t_"&amp;$S36,param_keys,0))</f>
        <v/>
      </c>
      <c r="Y36" s="8">
        <f>INDEX(param_values,MATCH(IF($D36="JEA_NSA","psic_required_uae_origin","psic_required_safe_origin_designated_port"),param_keys,0))</f>
        <v/>
      </c>
      <c r="Z36" s="19">
        <f>INDEX(param_values,MATCH("finance_days_"&amp;$T36,param_keys,0))</f>
        <v/>
      </c>
      <c r="AA36" s="15">
        <f>INDEX(param_values,MATCH("moisture_frac_"&amp;$C36,param_keys,0))</f>
        <v/>
      </c>
      <c r="AB36" s="15">
        <f>INDEX(param_values,MATCH("contamination_frac_"&amp;$C36,param_keys,0))</f>
        <v/>
      </c>
      <c r="AC36" s="15">
        <f>INDEX(param_values,MATCH("metal_yield_frac_"&amp;$C36,param_keys,0))</f>
        <v/>
      </c>
      <c r="AD36" s="15">
        <f>INDEX(param_values,MATCH("heavies_frac_"&amp;$C36,param_keys,0))</f>
        <v/>
      </c>
      <c r="AE36" s="8">
        <f>INDEX(param_values,MATCH("grade_factor_diff_"&amp;$C36,param_keys,0))</f>
        <v/>
      </c>
      <c r="AF36" s="16">
        <f>$F36*$P36</f>
        <v/>
      </c>
      <c r="AG36" s="8">
        <f>$U36/$V36</f>
        <v/>
      </c>
      <c r="AH36" s="16">
        <f>$L36*$AG36</f>
        <v/>
      </c>
      <c r="AI36" s="16">
        <f>$AF36-$AH36</f>
        <v/>
      </c>
      <c r="AJ36" s="16">
        <f>insurance_rate*insured_value_uplift*$AF36</f>
        <v/>
      </c>
      <c r="AK36" s="16">
        <f>$AF36+$AJ36</f>
        <v/>
      </c>
      <c r="AL36" s="18">
        <f>$AK36*$J36</f>
        <v/>
      </c>
      <c r="AM36" s="18">
        <f>$AK36*$I36</f>
        <v/>
      </c>
      <c r="AN36" s="18">
        <f>$AL36*bcd_scrap_hs7602</f>
        <v/>
      </c>
      <c r="AO36" s="18">
        <f>$AN36*sws_rate_on_bcd</f>
        <v/>
      </c>
      <c r="AP36" s="18">
        <f>($AL36+$AN36+$AO36)*igst_rate_hs7602</f>
        <v/>
      </c>
      <c r="AQ36" s="18">
        <f>$X36*$AG36+IF($Y36,psic_cost_usd_per_box*$H36/$W36,0)</f>
        <v/>
      </c>
      <c r="AR36" s="18">
        <f>($AM36+$AN36+$AO36)*$Z36/day_count_inr*$O36</f>
        <v/>
      </c>
      <c r="AS36" s="18">
        <f>$AP36*igst_credit_lag_days/day_count_inr*$O36</f>
        <v/>
      </c>
      <c r="AT36" s="18">
        <f>$AM36+$AN36+$AO36+$AQ36+$AR36+$AS36+IF(igst_itc_available,0,$AP36)</f>
        <v/>
      </c>
      <c r="AU36" s="15">
        <f>(1-$AA36)*(1-$AB36)*$AC36</f>
        <v/>
      </c>
      <c r="AV36" s="18">
        <f>$N36*kg_per_mt+domestic_anchor_premium_inr_t</f>
        <v/>
      </c>
      <c r="AW36" s="18">
        <f>(1-$AA36)*$AD36*heavies_net_value_frac_of_lme_al*$F36*$H36</f>
        <v/>
      </c>
      <c r="AX36" s="18">
        <f>conversion_cost_inr_t*$AU36</f>
        <v/>
      </c>
      <c r="AY36" s="18">
        <f>$AV36*$AU36+$AW36-$AT36-$AX36</f>
        <v/>
      </c>
      <c r="AZ36" s="16">
        <f>$AY36/$H36</f>
        <v/>
      </c>
      <c r="BA36" s="8">
        <f>$AY36&gt;margin_threshold_inr_t</f>
        <v/>
      </c>
      <c r="BB36" s="8">
        <f>$Q36+$AE36</f>
        <v/>
      </c>
      <c r="BC36" s="18">
        <f>$AT36-$AQ36</f>
        <v/>
      </c>
      <c r="BD36" s="18">
        <f>$AY36-$BC36*($BB36/$P36-1)</f>
        <v/>
      </c>
      <c r="BE36" s="18">
        <f>$AY36-(conv_step_5a-conversion_cost_inr_t)*$AU36</f>
        <v/>
      </c>
      <c r="BF36" s="8">
        <f>$BA36</f>
        <v/>
      </c>
      <c r="BG36" s="8">
        <f>$BD36&gt;margin_threshold_inr_t</f>
        <v/>
      </c>
      <c r="BH36" s="8">
        <f>$BE36&gt;margin_threshold_inr_t</f>
        <v/>
      </c>
      <c r="BI36" s="8">
        <f>AND($BF36,$BG36,$BH36)</f>
        <v/>
      </c>
      <c r="BJ36" s="8">
        <f>IF($BI36,1,0)</f>
        <v/>
      </c>
    </row>
    <row r="37">
      <c r="A37" s="11" t="n">
        <v>44603</v>
      </c>
      <c r="B37" s="11" t="n">
        <v>44603</v>
      </c>
      <c r="C37" s="7" t="inlineStr">
        <is>
          <t>zorba</t>
        </is>
      </c>
      <c r="D37" s="7" t="inlineStr">
        <is>
          <t>USEC_MUN</t>
        </is>
      </c>
      <c r="E37" s="17" t="b">
        <v>0</v>
      </c>
      <c r="F37" s="16">
        <f>INDEX(Market_Weekly!$E$6:$E$48,MATCH($A37,Market_Weekly!$A$6:$A$48,0))</f>
        <v/>
      </c>
      <c r="G37" s="16">
        <f>INDEX(Market_Weekly!$D$6:$D$48,MATCH($A37,Market_Weekly!$A$6:$A$48,0))</f>
        <v/>
      </c>
      <c r="H37" s="16">
        <f>INDEX(Market_Weekly!$G$6:$G$48,MATCH($A37,Market_Weekly!$A$6:$A$48,0))</f>
        <v/>
      </c>
      <c r="I37" s="8">
        <f>INDEX(Market_Weekly!$H$6:$H$48,MATCH($A37,Market_Weekly!$A$6:$A$48,0))</f>
        <v/>
      </c>
      <c r="J37" s="8">
        <f>INDEX(Market_Weekly!$Q$6:$Q$48,MATCH($A37,Market_Weekly!$A$6:$A$48,0))</f>
        <v/>
      </c>
      <c r="K37" s="8">
        <f>INDEX(Market_Weekly!$V$6:$V$48,MATCH($A37,Market_Weekly!$A$6:$A$48,0))</f>
        <v/>
      </c>
      <c r="L37" s="16">
        <f>IF($D37="JEA_NSA",INDEX(Market_Weekly!$N$6:$N$48,MATCH($A37,Market_Weekly!$A$6:$A$48,0)),INDEX(Market_Weekly!$O$6:$O$48,MATCH($A37,Market_Weekly!$A$6:$A$48,0)))</f>
        <v/>
      </c>
      <c r="M37" s="8">
        <f>IF($D37="JEA_NSA","M1","M2")</f>
        <v/>
      </c>
      <c r="N37" s="16">
        <f>IF($D37="JEA_NSA",INDEX(Market_Weekly!$L$6:$L$48,MATCH($A37,Market_Weekly!$A$6:$A$48,0)),INDEX(Market_Weekly!$M$6:$M$48,MATCH($A37,Market_Weekly!$A$6:$A$48,0)))</f>
        <v/>
      </c>
      <c r="O37" s="15">
        <f>INDEX(Market_Weekly!$P$6:$P$48,MATCH($A37,Market_Weekly!$A$6:$A$48,0))</f>
        <v/>
      </c>
      <c r="P37" s="8">
        <f>INDEX(Market_Weekly!$R$6:$T$48,MATCH($A37,Market_Weekly!$A$6:$A$48,0),MATCH("grade_factor_"&amp;$C37,Market_Weekly!$R$5:$T$5,0))</f>
        <v/>
      </c>
      <c r="Q37" s="8">
        <f>INDEX(Market_Weekly!$U$6:$U$48,MATCH($A37,Market_Weekly!$A$6:$A$48,0))</f>
        <v/>
      </c>
      <c r="R37" s="8">
        <f>IF($D37="JEA_NSA","20ft","40ft")</f>
        <v/>
      </c>
      <c r="S37" s="8">
        <f>IF($D37="JEA_NSA","nsa","mun")</f>
        <v/>
      </c>
      <c r="T37" s="8">
        <f>IF($D37="JEA_NSA","jea_nsa","usec_mun")</f>
        <v/>
      </c>
      <c r="U37" s="16">
        <f>INDEX(param_values,MATCH("container_payload_mt_"&amp;$R37,param_keys,0))</f>
        <v/>
      </c>
      <c r="V37" s="16">
        <f>INDEX(param_values,MATCH("container_payload_mt_"&amp;$R37&amp;"_"&amp;$C37,param_keys,0))</f>
        <v/>
      </c>
      <c r="W37" s="16">
        <f>INDEX(param_values,MATCH("container_payload_mt_20ft_"&amp;$C37,param_keys,0))</f>
        <v/>
      </c>
      <c r="X37" s="18">
        <f>INDEX(param_values,MATCH("port_cf_charges_inr_t_"&amp;$S37,param_keys,0))</f>
        <v/>
      </c>
      <c r="Y37" s="8">
        <f>INDEX(param_values,MATCH(IF($D37="JEA_NSA","psic_required_uae_origin","psic_required_safe_origin_designated_port"),param_keys,0))</f>
        <v/>
      </c>
      <c r="Z37" s="19">
        <f>INDEX(param_values,MATCH("finance_days_"&amp;$T37,param_keys,0))</f>
        <v/>
      </c>
      <c r="AA37" s="15">
        <f>INDEX(param_values,MATCH("moisture_frac_"&amp;$C37,param_keys,0))</f>
        <v/>
      </c>
      <c r="AB37" s="15">
        <f>INDEX(param_values,MATCH("contamination_frac_"&amp;$C37,param_keys,0))</f>
        <v/>
      </c>
      <c r="AC37" s="15">
        <f>INDEX(param_values,MATCH("metal_yield_frac_"&amp;$C37,param_keys,0))</f>
        <v/>
      </c>
      <c r="AD37" s="15">
        <f>INDEX(param_values,MATCH("heavies_frac_"&amp;$C37,param_keys,0))</f>
        <v/>
      </c>
      <c r="AE37" s="8">
        <f>INDEX(param_values,MATCH("grade_factor_diff_"&amp;$C37,param_keys,0))</f>
        <v/>
      </c>
      <c r="AF37" s="16">
        <f>$F37*$P37</f>
        <v/>
      </c>
      <c r="AG37" s="8">
        <f>$U37/$V37</f>
        <v/>
      </c>
      <c r="AH37" s="16">
        <f>$L37*$AG37</f>
        <v/>
      </c>
      <c r="AI37" s="16">
        <f>$AF37-$AH37</f>
        <v/>
      </c>
      <c r="AJ37" s="16">
        <f>insurance_rate*insured_value_uplift*$AF37</f>
        <v/>
      </c>
      <c r="AK37" s="16">
        <f>$AF37+$AJ37</f>
        <v/>
      </c>
      <c r="AL37" s="18">
        <f>$AK37*$J37</f>
        <v/>
      </c>
      <c r="AM37" s="18">
        <f>$AK37*$I37</f>
        <v/>
      </c>
      <c r="AN37" s="18">
        <f>$AL37*bcd_scrap_hs7602</f>
        <v/>
      </c>
      <c r="AO37" s="18">
        <f>$AN37*sws_rate_on_bcd</f>
        <v/>
      </c>
      <c r="AP37" s="18">
        <f>($AL37+$AN37+$AO37)*igst_rate_hs7602</f>
        <v/>
      </c>
      <c r="AQ37" s="18">
        <f>$X37*$AG37+IF($Y37,psic_cost_usd_per_box*$H37/$W37,0)</f>
        <v/>
      </c>
      <c r="AR37" s="18">
        <f>($AM37+$AN37+$AO37)*$Z37/day_count_inr*$O37</f>
        <v/>
      </c>
      <c r="AS37" s="18">
        <f>$AP37*igst_credit_lag_days/day_count_inr*$O37</f>
        <v/>
      </c>
      <c r="AT37" s="18">
        <f>$AM37+$AN37+$AO37+$AQ37+$AR37+$AS37+IF(igst_itc_available,0,$AP37)</f>
        <v/>
      </c>
      <c r="AU37" s="15">
        <f>(1-$AA37)*(1-$AB37)*$AC37</f>
        <v/>
      </c>
      <c r="AV37" s="18">
        <f>$N37*kg_per_mt+domestic_anchor_premium_inr_t</f>
        <v/>
      </c>
      <c r="AW37" s="18">
        <f>(1-$AA37)*$AD37*heavies_net_value_frac_of_lme_al*$F37*$H37</f>
        <v/>
      </c>
      <c r="AX37" s="18">
        <f>conversion_cost_inr_t*$AU37</f>
        <v/>
      </c>
      <c r="AY37" s="18">
        <f>$AV37*$AU37+$AW37-$AT37-$AX37</f>
        <v/>
      </c>
      <c r="AZ37" s="16">
        <f>$AY37/$H37</f>
        <v/>
      </c>
      <c r="BA37" s="8">
        <f>$AY37&gt;margin_threshold_inr_t</f>
        <v/>
      </c>
      <c r="BB37" s="8">
        <f>$Q37+$AE37</f>
        <v/>
      </c>
      <c r="BC37" s="18">
        <f>$AT37-$AQ37</f>
        <v/>
      </c>
      <c r="BD37" s="18">
        <f>$AY37-$BC37*($BB37/$P37-1)</f>
        <v/>
      </c>
      <c r="BE37" s="18">
        <f>$AY37-(conv_step_5a-conversion_cost_inr_t)*$AU37</f>
        <v/>
      </c>
      <c r="BF37" s="8">
        <f>$BA37</f>
        <v/>
      </c>
      <c r="BG37" s="8">
        <f>$BD37&gt;margin_threshold_inr_t</f>
        <v/>
      </c>
      <c r="BH37" s="8">
        <f>$BE37&gt;margin_threshold_inr_t</f>
        <v/>
      </c>
      <c r="BI37" s="8">
        <f>AND($BF37,$BG37,$BH37)</f>
        <v/>
      </c>
      <c r="BJ37" s="8">
        <f>IF($BI37,1,0)</f>
        <v/>
      </c>
    </row>
    <row r="38">
      <c r="A38" s="11" t="n">
        <v>44603</v>
      </c>
      <c r="B38" s="11" t="n">
        <v>44603</v>
      </c>
      <c r="C38" s="7" t="inlineStr">
        <is>
          <t>taint_tabor</t>
        </is>
      </c>
      <c r="D38" s="7" t="inlineStr">
        <is>
          <t>JEA_NSA</t>
        </is>
      </c>
      <c r="E38" s="17" t="b">
        <v>0</v>
      </c>
      <c r="F38" s="16">
        <f>INDEX(Market_Weekly!$E$6:$E$48,MATCH($A38,Market_Weekly!$A$6:$A$48,0))</f>
        <v/>
      </c>
      <c r="G38" s="16">
        <f>INDEX(Market_Weekly!$D$6:$D$48,MATCH($A38,Market_Weekly!$A$6:$A$48,0))</f>
        <v/>
      </c>
      <c r="H38" s="16">
        <f>INDEX(Market_Weekly!$G$6:$G$48,MATCH($A38,Market_Weekly!$A$6:$A$48,0))</f>
        <v/>
      </c>
      <c r="I38" s="8">
        <f>INDEX(Market_Weekly!$H$6:$H$48,MATCH($A38,Market_Weekly!$A$6:$A$48,0))</f>
        <v/>
      </c>
      <c r="J38" s="8">
        <f>INDEX(Market_Weekly!$Q$6:$Q$48,MATCH($A38,Market_Weekly!$A$6:$A$48,0))</f>
        <v/>
      </c>
      <c r="K38" s="8">
        <f>INDEX(Market_Weekly!$V$6:$V$48,MATCH($A38,Market_Weekly!$A$6:$A$48,0))</f>
        <v/>
      </c>
      <c r="L38" s="16">
        <f>IF($D38="JEA_NSA",INDEX(Market_Weekly!$N$6:$N$48,MATCH($A38,Market_Weekly!$A$6:$A$48,0)),INDEX(Market_Weekly!$O$6:$O$48,MATCH($A38,Market_Weekly!$A$6:$A$48,0)))</f>
        <v/>
      </c>
      <c r="M38" s="8">
        <f>IF($D38="JEA_NSA","M1","M2")</f>
        <v/>
      </c>
      <c r="N38" s="16">
        <f>IF($D38="JEA_NSA",INDEX(Market_Weekly!$L$6:$L$48,MATCH($A38,Market_Weekly!$A$6:$A$48,0)),INDEX(Market_Weekly!$M$6:$M$48,MATCH($A38,Market_Weekly!$A$6:$A$48,0)))</f>
        <v/>
      </c>
      <c r="O38" s="15">
        <f>INDEX(Market_Weekly!$P$6:$P$48,MATCH($A38,Market_Weekly!$A$6:$A$48,0))</f>
        <v/>
      </c>
      <c r="P38" s="8">
        <f>INDEX(Market_Weekly!$R$6:$T$48,MATCH($A38,Market_Weekly!$A$6:$A$48,0),MATCH("grade_factor_"&amp;$C38,Market_Weekly!$R$5:$T$5,0))</f>
        <v/>
      </c>
      <c r="Q38" s="8">
        <f>INDEX(Market_Weekly!$U$6:$U$48,MATCH($A38,Market_Weekly!$A$6:$A$48,0))</f>
        <v/>
      </c>
      <c r="R38" s="8">
        <f>IF($D38="JEA_NSA","20ft","40ft")</f>
        <v/>
      </c>
      <c r="S38" s="8">
        <f>IF($D38="JEA_NSA","nsa","mun")</f>
        <v/>
      </c>
      <c r="T38" s="8">
        <f>IF($D38="JEA_NSA","jea_nsa","usec_mun")</f>
        <v/>
      </c>
      <c r="U38" s="16">
        <f>INDEX(param_values,MATCH("container_payload_mt_"&amp;$R38,param_keys,0))</f>
        <v/>
      </c>
      <c r="V38" s="16">
        <f>INDEX(param_values,MATCH("container_payload_mt_"&amp;$R38&amp;"_"&amp;$C38,param_keys,0))</f>
        <v/>
      </c>
      <c r="W38" s="16">
        <f>INDEX(param_values,MATCH("container_payload_mt_20ft_"&amp;$C38,param_keys,0))</f>
        <v/>
      </c>
      <c r="X38" s="18">
        <f>INDEX(param_values,MATCH("port_cf_charges_inr_t_"&amp;$S38,param_keys,0))</f>
        <v/>
      </c>
      <c r="Y38" s="8">
        <f>INDEX(param_values,MATCH(IF($D38="JEA_NSA","psic_required_uae_origin","psic_required_safe_origin_designated_port"),param_keys,0))</f>
        <v/>
      </c>
      <c r="Z38" s="19">
        <f>INDEX(param_values,MATCH("finance_days_"&amp;$T38,param_keys,0))</f>
        <v/>
      </c>
      <c r="AA38" s="15">
        <f>INDEX(param_values,MATCH("moisture_frac_"&amp;$C38,param_keys,0))</f>
        <v/>
      </c>
      <c r="AB38" s="15">
        <f>INDEX(param_values,MATCH("contamination_frac_"&amp;$C38,param_keys,0))</f>
        <v/>
      </c>
      <c r="AC38" s="15">
        <f>INDEX(param_values,MATCH("metal_yield_frac_"&amp;$C38,param_keys,0))</f>
        <v/>
      </c>
      <c r="AD38" s="15">
        <f>INDEX(param_values,MATCH("heavies_frac_"&amp;$C38,param_keys,0))</f>
        <v/>
      </c>
      <c r="AE38" s="8">
        <f>INDEX(param_values,MATCH("grade_factor_diff_"&amp;$C38,param_keys,0))</f>
        <v/>
      </c>
      <c r="AF38" s="16">
        <f>$F38*$P38</f>
        <v/>
      </c>
      <c r="AG38" s="8">
        <f>$U38/$V38</f>
        <v/>
      </c>
      <c r="AH38" s="16">
        <f>$L38*$AG38</f>
        <v/>
      </c>
      <c r="AI38" s="16">
        <f>$AF38-$AH38</f>
        <v/>
      </c>
      <c r="AJ38" s="16">
        <f>insurance_rate*insured_value_uplift*$AF38</f>
        <v/>
      </c>
      <c r="AK38" s="16">
        <f>$AF38+$AJ38</f>
        <v/>
      </c>
      <c r="AL38" s="18">
        <f>$AK38*$J38</f>
        <v/>
      </c>
      <c r="AM38" s="18">
        <f>$AK38*$I38</f>
        <v/>
      </c>
      <c r="AN38" s="18">
        <f>$AL38*bcd_scrap_hs7602</f>
        <v/>
      </c>
      <c r="AO38" s="18">
        <f>$AN38*sws_rate_on_bcd</f>
        <v/>
      </c>
      <c r="AP38" s="18">
        <f>($AL38+$AN38+$AO38)*igst_rate_hs7602</f>
        <v/>
      </c>
      <c r="AQ38" s="18">
        <f>$X38*$AG38+IF($Y38,psic_cost_usd_per_box*$H38/$W38,0)</f>
        <v/>
      </c>
      <c r="AR38" s="18">
        <f>($AM38+$AN38+$AO38)*$Z38/day_count_inr*$O38</f>
        <v/>
      </c>
      <c r="AS38" s="18">
        <f>$AP38*igst_credit_lag_days/day_count_inr*$O38</f>
        <v/>
      </c>
      <c r="AT38" s="18">
        <f>$AM38+$AN38+$AO38+$AQ38+$AR38+$AS38+IF(igst_itc_available,0,$AP38)</f>
        <v/>
      </c>
      <c r="AU38" s="15">
        <f>(1-$AA38)*(1-$AB38)*$AC38</f>
        <v/>
      </c>
      <c r="AV38" s="18">
        <f>$N38*kg_per_mt+domestic_anchor_premium_inr_t</f>
        <v/>
      </c>
      <c r="AW38" s="18">
        <f>(1-$AA38)*$AD38*heavies_net_value_frac_of_lme_al*$F38*$H38</f>
        <v/>
      </c>
      <c r="AX38" s="18">
        <f>conversion_cost_inr_t*$AU38</f>
        <v/>
      </c>
      <c r="AY38" s="18">
        <f>$AV38*$AU38+$AW38-$AT38-$AX38</f>
        <v/>
      </c>
      <c r="AZ38" s="16">
        <f>$AY38/$H38</f>
        <v/>
      </c>
      <c r="BA38" s="8">
        <f>$AY38&gt;margin_threshold_inr_t</f>
        <v/>
      </c>
      <c r="BB38" s="8">
        <f>$Q38+$AE38</f>
        <v/>
      </c>
      <c r="BC38" s="18">
        <f>$AT38-$AQ38</f>
        <v/>
      </c>
      <c r="BD38" s="18">
        <f>$AY38-$BC38*($BB38/$P38-1)</f>
        <v/>
      </c>
      <c r="BE38" s="18">
        <f>$AY38-(conv_step_5a-conversion_cost_inr_t)*$AU38</f>
        <v/>
      </c>
      <c r="BF38" s="8">
        <f>$BA38</f>
        <v/>
      </c>
      <c r="BG38" s="8">
        <f>$BD38&gt;margin_threshold_inr_t</f>
        <v/>
      </c>
      <c r="BH38" s="8">
        <f>$BE38&gt;margin_threshold_inr_t</f>
        <v/>
      </c>
      <c r="BI38" s="8">
        <f>AND($BF38,$BG38,$BH38)</f>
        <v/>
      </c>
      <c r="BJ38" s="8">
        <f>IF($BI38,1,0)</f>
        <v/>
      </c>
    </row>
    <row r="39">
      <c r="A39" s="11" t="n">
        <v>44603</v>
      </c>
      <c r="B39" s="11" t="n">
        <v>44603</v>
      </c>
      <c r="C39" s="7" t="inlineStr">
        <is>
          <t>taint_tabor</t>
        </is>
      </c>
      <c r="D39" s="7" t="inlineStr">
        <is>
          <t>USEC_MUN</t>
        </is>
      </c>
      <c r="E39" s="17" t="b">
        <v>0</v>
      </c>
      <c r="F39" s="16">
        <f>INDEX(Market_Weekly!$E$6:$E$48,MATCH($A39,Market_Weekly!$A$6:$A$48,0))</f>
        <v/>
      </c>
      <c r="G39" s="16">
        <f>INDEX(Market_Weekly!$D$6:$D$48,MATCH($A39,Market_Weekly!$A$6:$A$48,0))</f>
        <v/>
      </c>
      <c r="H39" s="16">
        <f>INDEX(Market_Weekly!$G$6:$G$48,MATCH($A39,Market_Weekly!$A$6:$A$48,0))</f>
        <v/>
      </c>
      <c r="I39" s="8">
        <f>INDEX(Market_Weekly!$H$6:$H$48,MATCH($A39,Market_Weekly!$A$6:$A$48,0))</f>
        <v/>
      </c>
      <c r="J39" s="8">
        <f>INDEX(Market_Weekly!$Q$6:$Q$48,MATCH($A39,Market_Weekly!$A$6:$A$48,0))</f>
        <v/>
      </c>
      <c r="K39" s="8">
        <f>INDEX(Market_Weekly!$V$6:$V$48,MATCH($A39,Market_Weekly!$A$6:$A$48,0))</f>
        <v/>
      </c>
      <c r="L39" s="16">
        <f>IF($D39="JEA_NSA",INDEX(Market_Weekly!$N$6:$N$48,MATCH($A39,Market_Weekly!$A$6:$A$48,0)),INDEX(Market_Weekly!$O$6:$O$48,MATCH($A39,Market_Weekly!$A$6:$A$48,0)))</f>
        <v/>
      </c>
      <c r="M39" s="8">
        <f>IF($D39="JEA_NSA","M1","M2")</f>
        <v/>
      </c>
      <c r="N39" s="16">
        <f>IF($D39="JEA_NSA",INDEX(Market_Weekly!$L$6:$L$48,MATCH($A39,Market_Weekly!$A$6:$A$48,0)),INDEX(Market_Weekly!$M$6:$M$48,MATCH($A39,Market_Weekly!$A$6:$A$48,0)))</f>
        <v/>
      </c>
      <c r="O39" s="15">
        <f>INDEX(Market_Weekly!$P$6:$P$48,MATCH($A39,Market_Weekly!$A$6:$A$48,0))</f>
        <v/>
      </c>
      <c r="P39" s="8">
        <f>INDEX(Market_Weekly!$R$6:$T$48,MATCH($A39,Market_Weekly!$A$6:$A$48,0),MATCH("grade_factor_"&amp;$C39,Market_Weekly!$R$5:$T$5,0))</f>
        <v/>
      </c>
      <c r="Q39" s="8">
        <f>INDEX(Market_Weekly!$U$6:$U$48,MATCH($A39,Market_Weekly!$A$6:$A$48,0))</f>
        <v/>
      </c>
      <c r="R39" s="8">
        <f>IF($D39="JEA_NSA","20ft","40ft")</f>
        <v/>
      </c>
      <c r="S39" s="8">
        <f>IF($D39="JEA_NSA","nsa","mun")</f>
        <v/>
      </c>
      <c r="T39" s="8">
        <f>IF($D39="JEA_NSA","jea_nsa","usec_mun")</f>
        <v/>
      </c>
      <c r="U39" s="16">
        <f>INDEX(param_values,MATCH("container_payload_mt_"&amp;$R39,param_keys,0))</f>
        <v/>
      </c>
      <c r="V39" s="16">
        <f>INDEX(param_values,MATCH("container_payload_mt_"&amp;$R39&amp;"_"&amp;$C39,param_keys,0))</f>
        <v/>
      </c>
      <c r="W39" s="16">
        <f>INDEX(param_values,MATCH("container_payload_mt_20ft_"&amp;$C39,param_keys,0))</f>
        <v/>
      </c>
      <c r="X39" s="18">
        <f>INDEX(param_values,MATCH("port_cf_charges_inr_t_"&amp;$S39,param_keys,0))</f>
        <v/>
      </c>
      <c r="Y39" s="8">
        <f>INDEX(param_values,MATCH(IF($D39="JEA_NSA","psic_required_uae_origin","psic_required_safe_origin_designated_port"),param_keys,0))</f>
        <v/>
      </c>
      <c r="Z39" s="19">
        <f>INDEX(param_values,MATCH("finance_days_"&amp;$T39,param_keys,0))</f>
        <v/>
      </c>
      <c r="AA39" s="15">
        <f>INDEX(param_values,MATCH("moisture_frac_"&amp;$C39,param_keys,0))</f>
        <v/>
      </c>
      <c r="AB39" s="15">
        <f>INDEX(param_values,MATCH("contamination_frac_"&amp;$C39,param_keys,0))</f>
        <v/>
      </c>
      <c r="AC39" s="15">
        <f>INDEX(param_values,MATCH("metal_yield_frac_"&amp;$C39,param_keys,0))</f>
        <v/>
      </c>
      <c r="AD39" s="15">
        <f>INDEX(param_values,MATCH("heavies_frac_"&amp;$C39,param_keys,0))</f>
        <v/>
      </c>
      <c r="AE39" s="8">
        <f>INDEX(param_values,MATCH("grade_factor_diff_"&amp;$C39,param_keys,0))</f>
        <v/>
      </c>
      <c r="AF39" s="16">
        <f>$F39*$P39</f>
        <v/>
      </c>
      <c r="AG39" s="8">
        <f>$U39/$V39</f>
        <v/>
      </c>
      <c r="AH39" s="16">
        <f>$L39*$AG39</f>
        <v/>
      </c>
      <c r="AI39" s="16">
        <f>$AF39-$AH39</f>
        <v/>
      </c>
      <c r="AJ39" s="16">
        <f>insurance_rate*insured_value_uplift*$AF39</f>
        <v/>
      </c>
      <c r="AK39" s="16">
        <f>$AF39+$AJ39</f>
        <v/>
      </c>
      <c r="AL39" s="18">
        <f>$AK39*$J39</f>
        <v/>
      </c>
      <c r="AM39" s="18">
        <f>$AK39*$I39</f>
        <v/>
      </c>
      <c r="AN39" s="18">
        <f>$AL39*bcd_scrap_hs7602</f>
        <v/>
      </c>
      <c r="AO39" s="18">
        <f>$AN39*sws_rate_on_bcd</f>
        <v/>
      </c>
      <c r="AP39" s="18">
        <f>($AL39+$AN39+$AO39)*igst_rate_hs7602</f>
        <v/>
      </c>
      <c r="AQ39" s="18">
        <f>$X39*$AG39+IF($Y39,psic_cost_usd_per_box*$H39/$W39,0)</f>
        <v/>
      </c>
      <c r="AR39" s="18">
        <f>($AM39+$AN39+$AO39)*$Z39/day_count_inr*$O39</f>
        <v/>
      </c>
      <c r="AS39" s="18">
        <f>$AP39*igst_credit_lag_days/day_count_inr*$O39</f>
        <v/>
      </c>
      <c r="AT39" s="18">
        <f>$AM39+$AN39+$AO39+$AQ39+$AR39+$AS39+IF(igst_itc_available,0,$AP39)</f>
        <v/>
      </c>
      <c r="AU39" s="15">
        <f>(1-$AA39)*(1-$AB39)*$AC39</f>
        <v/>
      </c>
      <c r="AV39" s="18">
        <f>$N39*kg_per_mt+domestic_anchor_premium_inr_t</f>
        <v/>
      </c>
      <c r="AW39" s="18">
        <f>(1-$AA39)*$AD39*heavies_net_value_frac_of_lme_al*$F39*$H39</f>
        <v/>
      </c>
      <c r="AX39" s="18">
        <f>conversion_cost_inr_t*$AU39</f>
        <v/>
      </c>
      <c r="AY39" s="18">
        <f>$AV39*$AU39+$AW39-$AT39-$AX39</f>
        <v/>
      </c>
      <c r="AZ39" s="16">
        <f>$AY39/$H39</f>
        <v/>
      </c>
      <c r="BA39" s="8">
        <f>$AY39&gt;margin_threshold_inr_t</f>
        <v/>
      </c>
      <c r="BB39" s="8">
        <f>$Q39+$AE39</f>
        <v/>
      </c>
      <c r="BC39" s="18">
        <f>$AT39-$AQ39</f>
        <v/>
      </c>
      <c r="BD39" s="18">
        <f>$AY39-$BC39*($BB39/$P39-1)</f>
        <v/>
      </c>
      <c r="BE39" s="18">
        <f>$AY39-(conv_step_5a-conversion_cost_inr_t)*$AU39</f>
        <v/>
      </c>
      <c r="BF39" s="8">
        <f>$BA39</f>
        <v/>
      </c>
      <c r="BG39" s="8">
        <f>$BD39&gt;margin_threshold_inr_t</f>
        <v/>
      </c>
      <c r="BH39" s="8">
        <f>$BE39&gt;margin_threshold_inr_t</f>
        <v/>
      </c>
      <c r="BI39" s="8">
        <f>AND($BF39,$BG39,$BH39)</f>
        <v/>
      </c>
      <c r="BJ39" s="8">
        <f>IF($BI39,1,0)</f>
        <v/>
      </c>
    </row>
    <row r="40">
      <c r="A40" s="11" t="n">
        <v>44603</v>
      </c>
      <c r="B40" s="11" t="n">
        <v>44603</v>
      </c>
      <c r="C40" s="7" t="inlineStr">
        <is>
          <t>tense</t>
        </is>
      </c>
      <c r="D40" s="7" t="inlineStr">
        <is>
          <t>JEA_NSA</t>
        </is>
      </c>
      <c r="E40" s="17" t="b">
        <v>0</v>
      </c>
      <c r="F40" s="16">
        <f>INDEX(Market_Weekly!$E$6:$E$48,MATCH($A40,Market_Weekly!$A$6:$A$48,0))</f>
        <v/>
      </c>
      <c r="G40" s="16">
        <f>INDEX(Market_Weekly!$D$6:$D$48,MATCH($A40,Market_Weekly!$A$6:$A$48,0))</f>
        <v/>
      </c>
      <c r="H40" s="16">
        <f>INDEX(Market_Weekly!$G$6:$G$48,MATCH($A40,Market_Weekly!$A$6:$A$48,0))</f>
        <v/>
      </c>
      <c r="I40" s="8">
        <f>INDEX(Market_Weekly!$H$6:$H$48,MATCH($A40,Market_Weekly!$A$6:$A$48,0))</f>
        <v/>
      </c>
      <c r="J40" s="8">
        <f>INDEX(Market_Weekly!$Q$6:$Q$48,MATCH($A40,Market_Weekly!$A$6:$A$48,0))</f>
        <v/>
      </c>
      <c r="K40" s="8">
        <f>INDEX(Market_Weekly!$V$6:$V$48,MATCH($A40,Market_Weekly!$A$6:$A$48,0))</f>
        <v/>
      </c>
      <c r="L40" s="16">
        <f>IF($D40="JEA_NSA",INDEX(Market_Weekly!$N$6:$N$48,MATCH($A40,Market_Weekly!$A$6:$A$48,0)),INDEX(Market_Weekly!$O$6:$O$48,MATCH($A40,Market_Weekly!$A$6:$A$48,0)))</f>
        <v/>
      </c>
      <c r="M40" s="8">
        <f>IF($D40="JEA_NSA","M1","M2")</f>
        <v/>
      </c>
      <c r="N40" s="16">
        <f>IF($D40="JEA_NSA",INDEX(Market_Weekly!$L$6:$L$48,MATCH($A40,Market_Weekly!$A$6:$A$48,0)),INDEX(Market_Weekly!$M$6:$M$48,MATCH($A40,Market_Weekly!$A$6:$A$48,0)))</f>
        <v/>
      </c>
      <c r="O40" s="15">
        <f>INDEX(Market_Weekly!$P$6:$P$48,MATCH($A40,Market_Weekly!$A$6:$A$48,0))</f>
        <v/>
      </c>
      <c r="P40" s="8">
        <f>INDEX(Market_Weekly!$R$6:$T$48,MATCH($A40,Market_Weekly!$A$6:$A$48,0),MATCH("grade_factor_"&amp;$C40,Market_Weekly!$R$5:$T$5,0))</f>
        <v/>
      </c>
      <c r="Q40" s="8">
        <f>INDEX(Market_Weekly!$U$6:$U$48,MATCH($A40,Market_Weekly!$A$6:$A$48,0))</f>
        <v/>
      </c>
      <c r="R40" s="8">
        <f>IF($D40="JEA_NSA","20ft","40ft")</f>
        <v/>
      </c>
      <c r="S40" s="8">
        <f>IF($D40="JEA_NSA","nsa","mun")</f>
        <v/>
      </c>
      <c r="T40" s="8">
        <f>IF($D40="JEA_NSA","jea_nsa","usec_mun")</f>
        <v/>
      </c>
      <c r="U40" s="16">
        <f>INDEX(param_values,MATCH("container_payload_mt_"&amp;$R40,param_keys,0))</f>
        <v/>
      </c>
      <c r="V40" s="16">
        <f>INDEX(param_values,MATCH("container_payload_mt_"&amp;$R40&amp;"_"&amp;$C40,param_keys,0))</f>
        <v/>
      </c>
      <c r="W40" s="16">
        <f>INDEX(param_values,MATCH("container_payload_mt_20ft_"&amp;$C40,param_keys,0))</f>
        <v/>
      </c>
      <c r="X40" s="18">
        <f>INDEX(param_values,MATCH("port_cf_charges_inr_t_"&amp;$S40,param_keys,0))</f>
        <v/>
      </c>
      <c r="Y40" s="8">
        <f>INDEX(param_values,MATCH(IF($D40="JEA_NSA","psic_required_uae_origin","psic_required_safe_origin_designated_port"),param_keys,0))</f>
        <v/>
      </c>
      <c r="Z40" s="19">
        <f>INDEX(param_values,MATCH("finance_days_"&amp;$T40,param_keys,0))</f>
        <v/>
      </c>
      <c r="AA40" s="15">
        <f>INDEX(param_values,MATCH("moisture_frac_"&amp;$C40,param_keys,0))</f>
        <v/>
      </c>
      <c r="AB40" s="15">
        <f>INDEX(param_values,MATCH("contamination_frac_"&amp;$C40,param_keys,0))</f>
        <v/>
      </c>
      <c r="AC40" s="15">
        <f>INDEX(param_values,MATCH("metal_yield_frac_"&amp;$C40,param_keys,0))</f>
        <v/>
      </c>
      <c r="AD40" s="15">
        <f>INDEX(param_values,MATCH("heavies_frac_"&amp;$C40,param_keys,0))</f>
        <v/>
      </c>
      <c r="AE40" s="8">
        <f>INDEX(param_values,MATCH("grade_factor_diff_"&amp;$C40,param_keys,0))</f>
        <v/>
      </c>
      <c r="AF40" s="16">
        <f>$F40*$P40</f>
        <v/>
      </c>
      <c r="AG40" s="8">
        <f>$U40/$V40</f>
        <v/>
      </c>
      <c r="AH40" s="16">
        <f>$L40*$AG40</f>
        <v/>
      </c>
      <c r="AI40" s="16">
        <f>$AF40-$AH40</f>
        <v/>
      </c>
      <c r="AJ40" s="16">
        <f>insurance_rate*insured_value_uplift*$AF40</f>
        <v/>
      </c>
      <c r="AK40" s="16">
        <f>$AF40+$AJ40</f>
        <v/>
      </c>
      <c r="AL40" s="18">
        <f>$AK40*$J40</f>
        <v/>
      </c>
      <c r="AM40" s="18">
        <f>$AK40*$I40</f>
        <v/>
      </c>
      <c r="AN40" s="18">
        <f>$AL40*bcd_scrap_hs7602</f>
        <v/>
      </c>
      <c r="AO40" s="18">
        <f>$AN40*sws_rate_on_bcd</f>
        <v/>
      </c>
      <c r="AP40" s="18">
        <f>($AL40+$AN40+$AO40)*igst_rate_hs7602</f>
        <v/>
      </c>
      <c r="AQ40" s="18">
        <f>$X40*$AG40+IF($Y40,psic_cost_usd_per_box*$H40/$W40,0)</f>
        <v/>
      </c>
      <c r="AR40" s="18">
        <f>($AM40+$AN40+$AO40)*$Z40/day_count_inr*$O40</f>
        <v/>
      </c>
      <c r="AS40" s="18">
        <f>$AP40*igst_credit_lag_days/day_count_inr*$O40</f>
        <v/>
      </c>
      <c r="AT40" s="18">
        <f>$AM40+$AN40+$AO40+$AQ40+$AR40+$AS40+IF(igst_itc_available,0,$AP40)</f>
        <v/>
      </c>
      <c r="AU40" s="15">
        <f>(1-$AA40)*(1-$AB40)*$AC40</f>
        <v/>
      </c>
      <c r="AV40" s="18">
        <f>$N40*kg_per_mt+domestic_anchor_premium_inr_t</f>
        <v/>
      </c>
      <c r="AW40" s="18">
        <f>(1-$AA40)*$AD40*heavies_net_value_frac_of_lme_al*$F40*$H40</f>
        <v/>
      </c>
      <c r="AX40" s="18">
        <f>conversion_cost_inr_t*$AU40</f>
        <v/>
      </c>
      <c r="AY40" s="18">
        <f>$AV40*$AU40+$AW40-$AT40-$AX40</f>
        <v/>
      </c>
      <c r="AZ40" s="16">
        <f>$AY40/$H40</f>
        <v/>
      </c>
      <c r="BA40" s="8">
        <f>$AY40&gt;margin_threshold_inr_t</f>
        <v/>
      </c>
      <c r="BB40" s="8">
        <f>$Q40+$AE40</f>
        <v/>
      </c>
      <c r="BC40" s="18">
        <f>$AT40-$AQ40</f>
        <v/>
      </c>
      <c r="BD40" s="18">
        <f>$AY40-$BC40*($BB40/$P40-1)</f>
        <v/>
      </c>
      <c r="BE40" s="18">
        <f>$AY40-(conv_step_5a-conversion_cost_inr_t)*$AU40</f>
        <v/>
      </c>
      <c r="BF40" s="8">
        <f>$BA40</f>
        <v/>
      </c>
      <c r="BG40" s="8">
        <f>$BD40&gt;margin_threshold_inr_t</f>
        <v/>
      </c>
      <c r="BH40" s="8">
        <f>$BE40&gt;margin_threshold_inr_t</f>
        <v/>
      </c>
      <c r="BI40" s="8">
        <f>AND($BF40,$BG40,$BH40)</f>
        <v/>
      </c>
      <c r="BJ40" s="8">
        <f>IF($BI40,1,0)</f>
        <v/>
      </c>
    </row>
    <row r="41">
      <c r="A41" s="11" t="n">
        <v>44603</v>
      </c>
      <c r="B41" s="11" t="n">
        <v>44603</v>
      </c>
      <c r="C41" s="7" t="inlineStr">
        <is>
          <t>tense</t>
        </is>
      </c>
      <c r="D41" s="7" t="inlineStr">
        <is>
          <t>USEC_MUN</t>
        </is>
      </c>
      <c r="E41" s="17" t="b">
        <v>0</v>
      </c>
      <c r="F41" s="16">
        <f>INDEX(Market_Weekly!$E$6:$E$48,MATCH($A41,Market_Weekly!$A$6:$A$48,0))</f>
        <v/>
      </c>
      <c r="G41" s="16">
        <f>INDEX(Market_Weekly!$D$6:$D$48,MATCH($A41,Market_Weekly!$A$6:$A$48,0))</f>
        <v/>
      </c>
      <c r="H41" s="16">
        <f>INDEX(Market_Weekly!$G$6:$G$48,MATCH($A41,Market_Weekly!$A$6:$A$48,0))</f>
        <v/>
      </c>
      <c r="I41" s="8">
        <f>INDEX(Market_Weekly!$H$6:$H$48,MATCH($A41,Market_Weekly!$A$6:$A$48,0))</f>
        <v/>
      </c>
      <c r="J41" s="8">
        <f>INDEX(Market_Weekly!$Q$6:$Q$48,MATCH($A41,Market_Weekly!$A$6:$A$48,0))</f>
        <v/>
      </c>
      <c r="K41" s="8">
        <f>INDEX(Market_Weekly!$V$6:$V$48,MATCH($A41,Market_Weekly!$A$6:$A$48,0))</f>
        <v/>
      </c>
      <c r="L41" s="16">
        <f>IF($D41="JEA_NSA",INDEX(Market_Weekly!$N$6:$N$48,MATCH($A41,Market_Weekly!$A$6:$A$48,0)),INDEX(Market_Weekly!$O$6:$O$48,MATCH($A41,Market_Weekly!$A$6:$A$48,0)))</f>
        <v/>
      </c>
      <c r="M41" s="8">
        <f>IF($D41="JEA_NSA","M1","M2")</f>
        <v/>
      </c>
      <c r="N41" s="16">
        <f>IF($D41="JEA_NSA",INDEX(Market_Weekly!$L$6:$L$48,MATCH($A41,Market_Weekly!$A$6:$A$48,0)),INDEX(Market_Weekly!$M$6:$M$48,MATCH($A41,Market_Weekly!$A$6:$A$48,0)))</f>
        <v/>
      </c>
      <c r="O41" s="15">
        <f>INDEX(Market_Weekly!$P$6:$P$48,MATCH($A41,Market_Weekly!$A$6:$A$48,0))</f>
        <v/>
      </c>
      <c r="P41" s="8">
        <f>INDEX(Market_Weekly!$R$6:$T$48,MATCH($A41,Market_Weekly!$A$6:$A$48,0),MATCH("grade_factor_"&amp;$C41,Market_Weekly!$R$5:$T$5,0))</f>
        <v/>
      </c>
      <c r="Q41" s="8">
        <f>INDEX(Market_Weekly!$U$6:$U$48,MATCH($A41,Market_Weekly!$A$6:$A$48,0))</f>
        <v/>
      </c>
      <c r="R41" s="8">
        <f>IF($D41="JEA_NSA","20ft","40ft")</f>
        <v/>
      </c>
      <c r="S41" s="8">
        <f>IF($D41="JEA_NSA","nsa","mun")</f>
        <v/>
      </c>
      <c r="T41" s="8">
        <f>IF($D41="JEA_NSA","jea_nsa","usec_mun")</f>
        <v/>
      </c>
      <c r="U41" s="16">
        <f>INDEX(param_values,MATCH("container_payload_mt_"&amp;$R41,param_keys,0))</f>
        <v/>
      </c>
      <c r="V41" s="16">
        <f>INDEX(param_values,MATCH("container_payload_mt_"&amp;$R41&amp;"_"&amp;$C41,param_keys,0))</f>
        <v/>
      </c>
      <c r="W41" s="16">
        <f>INDEX(param_values,MATCH("container_payload_mt_20ft_"&amp;$C41,param_keys,0))</f>
        <v/>
      </c>
      <c r="X41" s="18">
        <f>INDEX(param_values,MATCH("port_cf_charges_inr_t_"&amp;$S41,param_keys,0))</f>
        <v/>
      </c>
      <c r="Y41" s="8">
        <f>INDEX(param_values,MATCH(IF($D41="JEA_NSA","psic_required_uae_origin","psic_required_safe_origin_designated_port"),param_keys,0))</f>
        <v/>
      </c>
      <c r="Z41" s="19">
        <f>INDEX(param_values,MATCH("finance_days_"&amp;$T41,param_keys,0))</f>
        <v/>
      </c>
      <c r="AA41" s="15">
        <f>INDEX(param_values,MATCH("moisture_frac_"&amp;$C41,param_keys,0))</f>
        <v/>
      </c>
      <c r="AB41" s="15">
        <f>INDEX(param_values,MATCH("contamination_frac_"&amp;$C41,param_keys,0))</f>
        <v/>
      </c>
      <c r="AC41" s="15">
        <f>INDEX(param_values,MATCH("metal_yield_frac_"&amp;$C41,param_keys,0))</f>
        <v/>
      </c>
      <c r="AD41" s="15">
        <f>INDEX(param_values,MATCH("heavies_frac_"&amp;$C41,param_keys,0))</f>
        <v/>
      </c>
      <c r="AE41" s="8">
        <f>INDEX(param_values,MATCH("grade_factor_diff_"&amp;$C41,param_keys,0))</f>
        <v/>
      </c>
      <c r="AF41" s="16">
        <f>$F41*$P41</f>
        <v/>
      </c>
      <c r="AG41" s="8">
        <f>$U41/$V41</f>
        <v/>
      </c>
      <c r="AH41" s="16">
        <f>$L41*$AG41</f>
        <v/>
      </c>
      <c r="AI41" s="16">
        <f>$AF41-$AH41</f>
        <v/>
      </c>
      <c r="AJ41" s="16">
        <f>insurance_rate*insured_value_uplift*$AF41</f>
        <v/>
      </c>
      <c r="AK41" s="16">
        <f>$AF41+$AJ41</f>
        <v/>
      </c>
      <c r="AL41" s="18">
        <f>$AK41*$J41</f>
        <v/>
      </c>
      <c r="AM41" s="18">
        <f>$AK41*$I41</f>
        <v/>
      </c>
      <c r="AN41" s="18">
        <f>$AL41*bcd_scrap_hs7602</f>
        <v/>
      </c>
      <c r="AO41" s="18">
        <f>$AN41*sws_rate_on_bcd</f>
        <v/>
      </c>
      <c r="AP41" s="18">
        <f>($AL41+$AN41+$AO41)*igst_rate_hs7602</f>
        <v/>
      </c>
      <c r="AQ41" s="18">
        <f>$X41*$AG41+IF($Y41,psic_cost_usd_per_box*$H41/$W41,0)</f>
        <v/>
      </c>
      <c r="AR41" s="18">
        <f>($AM41+$AN41+$AO41)*$Z41/day_count_inr*$O41</f>
        <v/>
      </c>
      <c r="AS41" s="18">
        <f>$AP41*igst_credit_lag_days/day_count_inr*$O41</f>
        <v/>
      </c>
      <c r="AT41" s="18">
        <f>$AM41+$AN41+$AO41+$AQ41+$AR41+$AS41+IF(igst_itc_available,0,$AP41)</f>
        <v/>
      </c>
      <c r="AU41" s="15">
        <f>(1-$AA41)*(1-$AB41)*$AC41</f>
        <v/>
      </c>
      <c r="AV41" s="18">
        <f>$N41*kg_per_mt+domestic_anchor_premium_inr_t</f>
        <v/>
      </c>
      <c r="AW41" s="18">
        <f>(1-$AA41)*$AD41*heavies_net_value_frac_of_lme_al*$F41*$H41</f>
        <v/>
      </c>
      <c r="AX41" s="18">
        <f>conversion_cost_inr_t*$AU41</f>
        <v/>
      </c>
      <c r="AY41" s="18">
        <f>$AV41*$AU41+$AW41-$AT41-$AX41</f>
        <v/>
      </c>
      <c r="AZ41" s="16">
        <f>$AY41/$H41</f>
        <v/>
      </c>
      <c r="BA41" s="8">
        <f>$AY41&gt;margin_threshold_inr_t</f>
        <v/>
      </c>
      <c r="BB41" s="8">
        <f>$Q41+$AE41</f>
        <v/>
      </c>
      <c r="BC41" s="18">
        <f>$AT41-$AQ41</f>
        <v/>
      </c>
      <c r="BD41" s="18">
        <f>$AY41-$BC41*($BB41/$P41-1)</f>
        <v/>
      </c>
      <c r="BE41" s="18">
        <f>$AY41-(conv_step_5a-conversion_cost_inr_t)*$AU41</f>
        <v/>
      </c>
      <c r="BF41" s="8">
        <f>$BA41</f>
        <v/>
      </c>
      <c r="BG41" s="8">
        <f>$BD41&gt;margin_threshold_inr_t</f>
        <v/>
      </c>
      <c r="BH41" s="8">
        <f>$BE41&gt;margin_threshold_inr_t</f>
        <v/>
      </c>
      <c r="BI41" s="8">
        <f>AND($BF41,$BG41,$BH41)</f>
        <v/>
      </c>
      <c r="BJ41" s="8">
        <f>IF($BI41,1,0)</f>
        <v/>
      </c>
    </row>
    <row r="42">
      <c r="A42" s="11" t="n">
        <v>44610</v>
      </c>
      <c r="B42" s="11" t="n">
        <v>44610</v>
      </c>
      <c r="C42" s="7" t="inlineStr">
        <is>
          <t>zorba</t>
        </is>
      </c>
      <c r="D42" s="7" t="inlineStr">
        <is>
          <t>JEA_NSA</t>
        </is>
      </c>
      <c r="E42" s="17" t="b">
        <v>0</v>
      </c>
      <c r="F42" s="16">
        <f>INDEX(Market_Weekly!$E$6:$E$48,MATCH($A42,Market_Weekly!$A$6:$A$48,0))</f>
        <v/>
      </c>
      <c r="G42" s="16">
        <f>INDEX(Market_Weekly!$D$6:$D$48,MATCH($A42,Market_Weekly!$A$6:$A$48,0))</f>
        <v/>
      </c>
      <c r="H42" s="16">
        <f>INDEX(Market_Weekly!$G$6:$G$48,MATCH($A42,Market_Weekly!$A$6:$A$48,0))</f>
        <v/>
      </c>
      <c r="I42" s="8">
        <f>INDEX(Market_Weekly!$H$6:$H$48,MATCH($A42,Market_Weekly!$A$6:$A$48,0))</f>
        <v/>
      </c>
      <c r="J42" s="8">
        <f>INDEX(Market_Weekly!$Q$6:$Q$48,MATCH($A42,Market_Weekly!$A$6:$A$48,0))</f>
        <v/>
      </c>
      <c r="K42" s="8">
        <f>INDEX(Market_Weekly!$V$6:$V$48,MATCH($A42,Market_Weekly!$A$6:$A$48,0))</f>
        <v/>
      </c>
      <c r="L42" s="16">
        <f>IF($D42="JEA_NSA",INDEX(Market_Weekly!$N$6:$N$48,MATCH($A42,Market_Weekly!$A$6:$A$48,0)),INDEX(Market_Weekly!$O$6:$O$48,MATCH($A42,Market_Weekly!$A$6:$A$48,0)))</f>
        <v/>
      </c>
      <c r="M42" s="8">
        <f>IF($D42="JEA_NSA","M1","M2")</f>
        <v/>
      </c>
      <c r="N42" s="16">
        <f>IF($D42="JEA_NSA",INDEX(Market_Weekly!$L$6:$L$48,MATCH($A42,Market_Weekly!$A$6:$A$48,0)),INDEX(Market_Weekly!$M$6:$M$48,MATCH($A42,Market_Weekly!$A$6:$A$48,0)))</f>
        <v/>
      </c>
      <c r="O42" s="15">
        <f>INDEX(Market_Weekly!$P$6:$P$48,MATCH($A42,Market_Weekly!$A$6:$A$48,0))</f>
        <v/>
      </c>
      <c r="P42" s="8">
        <f>INDEX(Market_Weekly!$R$6:$T$48,MATCH($A42,Market_Weekly!$A$6:$A$48,0),MATCH("grade_factor_"&amp;$C42,Market_Weekly!$R$5:$T$5,0))</f>
        <v/>
      </c>
      <c r="Q42" s="8">
        <f>INDEX(Market_Weekly!$U$6:$U$48,MATCH($A42,Market_Weekly!$A$6:$A$48,0))</f>
        <v/>
      </c>
      <c r="R42" s="8">
        <f>IF($D42="JEA_NSA","20ft","40ft")</f>
        <v/>
      </c>
      <c r="S42" s="8">
        <f>IF($D42="JEA_NSA","nsa","mun")</f>
        <v/>
      </c>
      <c r="T42" s="8">
        <f>IF($D42="JEA_NSA","jea_nsa","usec_mun")</f>
        <v/>
      </c>
      <c r="U42" s="16">
        <f>INDEX(param_values,MATCH("container_payload_mt_"&amp;$R42,param_keys,0))</f>
        <v/>
      </c>
      <c r="V42" s="16">
        <f>INDEX(param_values,MATCH("container_payload_mt_"&amp;$R42&amp;"_"&amp;$C42,param_keys,0))</f>
        <v/>
      </c>
      <c r="W42" s="16">
        <f>INDEX(param_values,MATCH("container_payload_mt_20ft_"&amp;$C42,param_keys,0))</f>
        <v/>
      </c>
      <c r="X42" s="18">
        <f>INDEX(param_values,MATCH("port_cf_charges_inr_t_"&amp;$S42,param_keys,0))</f>
        <v/>
      </c>
      <c r="Y42" s="8">
        <f>INDEX(param_values,MATCH(IF($D42="JEA_NSA","psic_required_uae_origin","psic_required_safe_origin_designated_port"),param_keys,0))</f>
        <v/>
      </c>
      <c r="Z42" s="19">
        <f>INDEX(param_values,MATCH("finance_days_"&amp;$T42,param_keys,0))</f>
        <v/>
      </c>
      <c r="AA42" s="15">
        <f>INDEX(param_values,MATCH("moisture_frac_"&amp;$C42,param_keys,0))</f>
        <v/>
      </c>
      <c r="AB42" s="15">
        <f>INDEX(param_values,MATCH("contamination_frac_"&amp;$C42,param_keys,0))</f>
        <v/>
      </c>
      <c r="AC42" s="15">
        <f>INDEX(param_values,MATCH("metal_yield_frac_"&amp;$C42,param_keys,0))</f>
        <v/>
      </c>
      <c r="AD42" s="15">
        <f>INDEX(param_values,MATCH("heavies_frac_"&amp;$C42,param_keys,0))</f>
        <v/>
      </c>
      <c r="AE42" s="8">
        <f>INDEX(param_values,MATCH("grade_factor_diff_"&amp;$C42,param_keys,0))</f>
        <v/>
      </c>
      <c r="AF42" s="16">
        <f>$F42*$P42</f>
        <v/>
      </c>
      <c r="AG42" s="8">
        <f>$U42/$V42</f>
        <v/>
      </c>
      <c r="AH42" s="16">
        <f>$L42*$AG42</f>
        <v/>
      </c>
      <c r="AI42" s="16">
        <f>$AF42-$AH42</f>
        <v/>
      </c>
      <c r="AJ42" s="16">
        <f>insurance_rate*insured_value_uplift*$AF42</f>
        <v/>
      </c>
      <c r="AK42" s="16">
        <f>$AF42+$AJ42</f>
        <v/>
      </c>
      <c r="AL42" s="18">
        <f>$AK42*$J42</f>
        <v/>
      </c>
      <c r="AM42" s="18">
        <f>$AK42*$I42</f>
        <v/>
      </c>
      <c r="AN42" s="18">
        <f>$AL42*bcd_scrap_hs7602</f>
        <v/>
      </c>
      <c r="AO42" s="18">
        <f>$AN42*sws_rate_on_bcd</f>
        <v/>
      </c>
      <c r="AP42" s="18">
        <f>($AL42+$AN42+$AO42)*igst_rate_hs7602</f>
        <v/>
      </c>
      <c r="AQ42" s="18">
        <f>$X42*$AG42+IF($Y42,psic_cost_usd_per_box*$H42/$W42,0)</f>
        <v/>
      </c>
      <c r="AR42" s="18">
        <f>($AM42+$AN42+$AO42)*$Z42/day_count_inr*$O42</f>
        <v/>
      </c>
      <c r="AS42" s="18">
        <f>$AP42*igst_credit_lag_days/day_count_inr*$O42</f>
        <v/>
      </c>
      <c r="AT42" s="18">
        <f>$AM42+$AN42+$AO42+$AQ42+$AR42+$AS42+IF(igst_itc_available,0,$AP42)</f>
        <v/>
      </c>
      <c r="AU42" s="15">
        <f>(1-$AA42)*(1-$AB42)*$AC42</f>
        <v/>
      </c>
      <c r="AV42" s="18">
        <f>$N42*kg_per_mt+domestic_anchor_premium_inr_t</f>
        <v/>
      </c>
      <c r="AW42" s="18">
        <f>(1-$AA42)*$AD42*heavies_net_value_frac_of_lme_al*$F42*$H42</f>
        <v/>
      </c>
      <c r="AX42" s="18">
        <f>conversion_cost_inr_t*$AU42</f>
        <v/>
      </c>
      <c r="AY42" s="18">
        <f>$AV42*$AU42+$AW42-$AT42-$AX42</f>
        <v/>
      </c>
      <c r="AZ42" s="16">
        <f>$AY42/$H42</f>
        <v/>
      </c>
      <c r="BA42" s="8">
        <f>$AY42&gt;margin_threshold_inr_t</f>
        <v/>
      </c>
      <c r="BB42" s="8">
        <f>$Q42+$AE42</f>
        <v/>
      </c>
      <c r="BC42" s="18">
        <f>$AT42-$AQ42</f>
        <v/>
      </c>
      <c r="BD42" s="18">
        <f>$AY42-$BC42*($BB42/$P42-1)</f>
        <v/>
      </c>
      <c r="BE42" s="18">
        <f>$AY42-(conv_step_5a-conversion_cost_inr_t)*$AU42</f>
        <v/>
      </c>
      <c r="BF42" s="8">
        <f>$BA42</f>
        <v/>
      </c>
      <c r="BG42" s="8">
        <f>$BD42&gt;margin_threshold_inr_t</f>
        <v/>
      </c>
      <c r="BH42" s="8">
        <f>$BE42&gt;margin_threshold_inr_t</f>
        <v/>
      </c>
      <c r="BI42" s="8">
        <f>AND($BF42,$BG42,$BH42)</f>
        <v/>
      </c>
      <c r="BJ42" s="8">
        <f>IF($BI42,1,0)</f>
        <v/>
      </c>
    </row>
    <row r="43">
      <c r="A43" s="11" t="n">
        <v>44610</v>
      </c>
      <c r="B43" s="11" t="n">
        <v>44610</v>
      </c>
      <c r="C43" s="7" t="inlineStr">
        <is>
          <t>zorba</t>
        </is>
      </c>
      <c r="D43" s="7" t="inlineStr">
        <is>
          <t>USEC_MUN</t>
        </is>
      </c>
      <c r="E43" s="17" t="b">
        <v>0</v>
      </c>
      <c r="F43" s="16">
        <f>INDEX(Market_Weekly!$E$6:$E$48,MATCH($A43,Market_Weekly!$A$6:$A$48,0))</f>
        <v/>
      </c>
      <c r="G43" s="16">
        <f>INDEX(Market_Weekly!$D$6:$D$48,MATCH($A43,Market_Weekly!$A$6:$A$48,0))</f>
        <v/>
      </c>
      <c r="H43" s="16">
        <f>INDEX(Market_Weekly!$G$6:$G$48,MATCH($A43,Market_Weekly!$A$6:$A$48,0))</f>
        <v/>
      </c>
      <c r="I43" s="8">
        <f>INDEX(Market_Weekly!$H$6:$H$48,MATCH($A43,Market_Weekly!$A$6:$A$48,0))</f>
        <v/>
      </c>
      <c r="J43" s="8">
        <f>INDEX(Market_Weekly!$Q$6:$Q$48,MATCH($A43,Market_Weekly!$A$6:$A$48,0))</f>
        <v/>
      </c>
      <c r="K43" s="8">
        <f>INDEX(Market_Weekly!$V$6:$V$48,MATCH($A43,Market_Weekly!$A$6:$A$48,0))</f>
        <v/>
      </c>
      <c r="L43" s="16">
        <f>IF($D43="JEA_NSA",INDEX(Market_Weekly!$N$6:$N$48,MATCH($A43,Market_Weekly!$A$6:$A$48,0)),INDEX(Market_Weekly!$O$6:$O$48,MATCH($A43,Market_Weekly!$A$6:$A$48,0)))</f>
        <v/>
      </c>
      <c r="M43" s="8">
        <f>IF($D43="JEA_NSA","M1","M2")</f>
        <v/>
      </c>
      <c r="N43" s="16">
        <f>IF($D43="JEA_NSA",INDEX(Market_Weekly!$L$6:$L$48,MATCH($A43,Market_Weekly!$A$6:$A$48,0)),INDEX(Market_Weekly!$M$6:$M$48,MATCH($A43,Market_Weekly!$A$6:$A$48,0)))</f>
        <v/>
      </c>
      <c r="O43" s="15">
        <f>INDEX(Market_Weekly!$P$6:$P$48,MATCH($A43,Market_Weekly!$A$6:$A$48,0))</f>
        <v/>
      </c>
      <c r="P43" s="8">
        <f>INDEX(Market_Weekly!$R$6:$T$48,MATCH($A43,Market_Weekly!$A$6:$A$48,0),MATCH("grade_factor_"&amp;$C43,Market_Weekly!$R$5:$T$5,0))</f>
        <v/>
      </c>
      <c r="Q43" s="8">
        <f>INDEX(Market_Weekly!$U$6:$U$48,MATCH($A43,Market_Weekly!$A$6:$A$48,0))</f>
        <v/>
      </c>
      <c r="R43" s="8">
        <f>IF($D43="JEA_NSA","20ft","40ft")</f>
        <v/>
      </c>
      <c r="S43" s="8">
        <f>IF($D43="JEA_NSA","nsa","mun")</f>
        <v/>
      </c>
      <c r="T43" s="8">
        <f>IF($D43="JEA_NSA","jea_nsa","usec_mun")</f>
        <v/>
      </c>
      <c r="U43" s="16">
        <f>INDEX(param_values,MATCH("container_payload_mt_"&amp;$R43,param_keys,0))</f>
        <v/>
      </c>
      <c r="V43" s="16">
        <f>INDEX(param_values,MATCH("container_payload_mt_"&amp;$R43&amp;"_"&amp;$C43,param_keys,0))</f>
        <v/>
      </c>
      <c r="W43" s="16">
        <f>INDEX(param_values,MATCH("container_payload_mt_20ft_"&amp;$C43,param_keys,0))</f>
        <v/>
      </c>
      <c r="X43" s="18">
        <f>INDEX(param_values,MATCH("port_cf_charges_inr_t_"&amp;$S43,param_keys,0))</f>
        <v/>
      </c>
      <c r="Y43" s="8">
        <f>INDEX(param_values,MATCH(IF($D43="JEA_NSA","psic_required_uae_origin","psic_required_safe_origin_designated_port"),param_keys,0))</f>
        <v/>
      </c>
      <c r="Z43" s="19">
        <f>INDEX(param_values,MATCH("finance_days_"&amp;$T43,param_keys,0))</f>
        <v/>
      </c>
      <c r="AA43" s="15">
        <f>INDEX(param_values,MATCH("moisture_frac_"&amp;$C43,param_keys,0))</f>
        <v/>
      </c>
      <c r="AB43" s="15">
        <f>INDEX(param_values,MATCH("contamination_frac_"&amp;$C43,param_keys,0))</f>
        <v/>
      </c>
      <c r="AC43" s="15">
        <f>INDEX(param_values,MATCH("metal_yield_frac_"&amp;$C43,param_keys,0))</f>
        <v/>
      </c>
      <c r="AD43" s="15">
        <f>INDEX(param_values,MATCH("heavies_frac_"&amp;$C43,param_keys,0))</f>
        <v/>
      </c>
      <c r="AE43" s="8">
        <f>INDEX(param_values,MATCH("grade_factor_diff_"&amp;$C43,param_keys,0))</f>
        <v/>
      </c>
      <c r="AF43" s="16">
        <f>$F43*$P43</f>
        <v/>
      </c>
      <c r="AG43" s="8">
        <f>$U43/$V43</f>
        <v/>
      </c>
      <c r="AH43" s="16">
        <f>$L43*$AG43</f>
        <v/>
      </c>
      <c r="AI43" s="16">
        <f>$AF43-$AH43</f>
        <v/>
      </c>
      <c r="AJ43" s="16">
        <f>insurance_rate*insured_value_uplift*$AF43</f>
        <v/>
      </c>
      <c r="AK43" s="16">
        <f>$AF43+$AJ43</f>
        <v/>
      </c>
      <c r="AL43" s="18">
        <f>$AK43*$J43</f>
        <v/>
      </c>
      <c r="AM43" s="18">
        <f>$AK43*$I43</f>
        <v/>
      </c>
      <c r="AN43" s="18">
        <f>$AL43*bcd_scrap_hs7602</f>
        <v/>
      </c>
      <c r="AO43" s="18">
        <f>$AN43*sws_rate_on_bcd</f>
        <v/>
      </c>
      <c r="AP43" s="18">
        <f>($AL43+$AN43+$AO43)*igst_rate_hs7602</f>
        <v/>
      </c>
      <c r="AQ43" s="18">
        <f>$X43*$AG43+IF($Y43,psic_cost_usd_per_box*$H43/$W43,0)</f>
        <v/>
      </c>
      <c r="AR43" s="18">
        <f>($AM43+$AN43+$AO43)*$Z43/day_count_inr*$O43</f>
        <v/>
      </c>
      <c r="AS43" s="18">
        <f>$AP43*igst_credit_lag_days/day_count_inr*$O43</f>
        <v/>
      </c>
      <c r="AT43" s="18">
        <f>$AM43+$AN43+$AO43+$AQ43+$AR43+$AS43+IF(igst_itc_available,0,$AP43)</f>
        <v/>
      </c>
      <c r="AU43" s="15">
        <f>(1-$AA43)*(1-$AB43)*$AC43</f>
        <v/>
      </c>
      <c r="AV43" s="18">
        <f>$N43*kg_per_mt+domestic_anchor_premium_inr_t</f>
        <v/>
      </c>
      <c r="AW43" s="18">
        <f>(1-$AA43)*$AD43*heavies_net_value_frac_of_lme_al*$F43*$H43</f>
        <v/>
      </c>
      <c r="AX43" s="18">
        <f>conversion_cost_inr_t*$AU43</f>
        <v/>
      </c>
      <c r="AY43" s="18">
        <f>$AV43*$AU43+$AW43-$AT43-$AX43</f>
        <v/>
      </c>
      <c r="AZ43" s="16">
        <f>$AY43/$H43</f>
        <v/>
      </c>
      <c r="BA43" s="8">
        <f>$AY43&gt;margin_threshold_inr_t</f>
        <v/>
      </c>
      <c r="BB43" s="8">
        <f>$Q43+$AE43</f>
        <v/>
      </c>
      <c r="BC43" s="18">
        <f>$AT43-$AQ43</f>
        <v/>
      </c>
      <c r="BD43" s="18">
        <f>$AY43-$BC43*($BB43/$P43-1)</f>
        <v/>
      </c>
      <c r="BE43" s="18">
        <f>$AY43-(conv_step_5a-conversion_cost_inr_t)*$AU43</f>
        <v/>
      </c>
      <c r="BF43" s="8">
        <f>$BA43</f>
        <v/>
      </c>
      <c r="BG43" s="8">
        <f>$BD43&gt;margin_threshold_inr_t</f>
        <v/>
      </c>
      <c r="BH43" s="8">
        <f>$BE43&gt;margin_threshold_inr_t</f>
        <v/>
      </c>
      <c r="BI43" s="8">
        <f>AND($BF43,$BG43,$BH43)</f>
        <v/>
      </c>
      <c r="BJ43" s="8">
        <f>IF($BI43,1,0)</f>
        <v/>
      </c>
    </row>
    <row r="44">
      <c r="A44" s="11" t="n">
        <v>44610</v>
      </c>
      <c r="B44" s="11" t="n">
        <v>44610</v>
      </c>
      <c r="C44" s="7" t="inlineStr">
        <is>
          <t>taint_tabor</t>
        </is>
      </c>
      <c r="D44" s="7" t="inlineStr">
        <is>
          <t>JEA_NSA</t>
        </is>
      </c>
      <c r="E44" s="17" t="b">
        <v>0</v>
      </c>
      <c r="F44" s="16">
        <f>INDEX(Market_Weekly!$E$6:$E$48,MATCH($A44,Market_Weekly!$A$6:$A$48,0))</f>
        <v/>
      </c>
      <c r="G44" s="16">
        <f>INDEX(Market_Weekly!$D$6:$D$48,MATCH($A44,Market_Weekly!$A$6:$A$48,0))</f>
        <v/>
      </c>
      <c r="H44" s="16">
        <f>INDEX(Market_Weekly!$G$6:$G$48,MATCH($A44,Market_Weekly!$A$6:$A$48,0))</f>
        <v/>
      </c>
      <c r="I44" s="8">
        <f>INDEX(Market_Weekly!$H$6:$H$48,MATCH($A44,Market_Weekly!$A$6:$A$48,0))</f>
        <v/>
      </c>
      <c r="J44" s="8">
        <f>INDEX(Market_Weekly!$Q$6:$Q$48,MATCH($A44,Market_Weekly!$A$6:$A$48,0))</f>
        <v/>
      </c>
      <c r="K44" s="8">
        <f>INDEX(Market_Weekly!$V$6:$V$48,MATCH($A44,Market_Weekly!$A$6:$A$48,0))</f>
        <v/>
      </c>
      <c r="L44" s="16">
        <f>IF($D44="JEA_NSA",INDEX(Market_Weekly!$N$6:$N$48,MATCH($A44,Market_Weekly!$A$6:$A$48,0)),INDEX(Market_Weekly!$O$6:$O$48,MATCH($A44,Market_Weekly!$A$6:$A$48,0)))</f>
        <v/>
      </c>
      <c r="M44" s="8">
        <f>IF($D44="JEA_NSA","M1","M2")</f>
        <v/>
      </c>
      <c r="N44" s="16">
        <f>IF($D44="JEA_NSA",INDEX(Market_Weekly!$L$6:$L$48,MATCH($A44,Market_Weekly!$A$6:$A$48,0)),INDEX(Market_Weekly!$M$6:$M$48,MATCH($A44,Market_Weekly!$A$6:$A$48,0)))</f>
        <v/>
      </c>
      <c r="O44" s="15">
        <f>INDEX(Market_Weekly!$P$6:$P$48,MATCH($A44,Market_Weekly!$A$6:$A$48,0))</f>
        <v/>
      </c>
      <c r="P44" s="8">
        <f>INDEX(Market_Weekly!$R$6:$T$48,MATCH($A44,Market_Weekly!$A$6:$A$48,0),MATCH("grade_factor_"&amp;$C44,Market_Weekly!$R$5:$T$5,0))</f>
        <v/>
      </c>
      <c r="Q44" s="8">
        <f>INDEX(Market_Weekly!$U$6:$U$48,MATCH($A44,Market_Weekly!$A$6:$A$48,0))</f>
        <v/>
      </c>
      <c r="R44" s="8">
        <f>IF($D44="JEA_NSA","20ft","40ft")</f>
        <v/>
      </c>
      <c r="S44" s="8">
        <f>IF($D44="JEA_NSA","nsa","mun")</f>
        <v/>
      </c>
      <c r="T44" s="8">
        <f>IF($D44="JEA_NSA","jea_nsa","usec_mun")</f>
        <v/>
      </c>
      <c r="U44" s="16">
        <f>INDEX(param_values,MATCH("container_payload_mt_"&amp;$R44,param_keys,0))</f>
        <v/>
      </c>
      <c r="V44" s="16">
        <f>INDEX(param_values,MATCH("container_payload_mt_"&amp;$R44&amp;"_"&amp;$C44,param_keys,0))</f>
        <v/>
      </c>
      <c r="W44" s="16">
        <f>INDEX(param_values,MATCH("container_payload_mt_20ft_"&amp;$C44,param_keys,0))</f>
        <v/>
      </c>
      <c r="X44" s="18">
        <f>INDEX(param_values,MATCH("port_cf_charges_inr_t_"&amp;$S44,param_keys,0))</f>
        <v/>
      </c>
      <c r="Y44" s="8">
        <f>INDEX(param_values,MATCH(IF($D44="JEA_NSA","psic_required_uae_origin","psic_required_safe_origin_designated_port"),param_keys,0))</f>
        <v/>
      </c>
      <c r="Z44" s="19">
        <f>INDEX(param_values,MATCH("finance_days_"&amp;$T44,param_keys,0))</f>
        <v/>
      </c>
      <c r="AA44" s="15">
        <f>INDEX(param_values,MATCH("moisture_frac_"&amp;$C44,param_keys,0))</f>
        <v/>
      </c>
      <c r="AB44" s="15">
        <f>INDEX(param_values,MATCH("contamination_frac_"&amp;$C44,param_keys,0))</f>
        <v/>
      </c>
      <c r="AC44" s="15">
        <f>INDEX(param_values,MATCH("metal_yield_frac_"&amp;$C44,param_keys,0))</f>
        <v/>
      </c>
      <c r="AD44" s="15">
        <f>INDEX(param_values,MATCH("heavies_frac_"&amp;$C44,param_keys,0))</f>
        <v/>
      </c>
      <c r="AE44" s="8">
        <f>INDEX(param_values,MATCH("grade_factor_diff_"&amp;$C44,param_keys,0))</f>
        <v/>
      </c>
      <c r="AF44" s="16">
        <f>$F44*$P44</f>
        <v/>
      </c>
      <c r="AG44" s="8">
        <f>$U44/$V44</f>
        <v/>
      </c>
      <c r="AH44" s="16">
        <f>$L44*$AG44</f>
        <v/>
      </c>
      <c r="AI44" s="16">
        <f>$AF44-$AH44</f>
        <v/>
      </c>
      <c r="AJ44" s="16">
        <f>insurance_rate*insured_value_uplift*$AF44</f>
        <v/>
      </c>
      <c r="AK44" s="16">
        <f>$AF44+$AJ44</f>
        <v/>
      </c>
      <c r="AL44" s="18">
        <f>$AK44*$J44</f>
        <v/>
      </c>
      <c r="AM44" s="18">
        <f>$AK44*$I44</f>
        <v/>
      </c>
      <c r="AN44" s="18">
        <f>$AL44*bcd_scrap_hs7602</f>
        <v/>
      </c>
      <c r="AO44" s="18">
        <f>$AN44*sws_rate_on_bcd</f>
        <v/>
      </c>
      <c r="AP44" s="18">
        <f>($AL44+$AN44+$AO44)*igst_rate_hs7602</f>
        <v/>
      </c>
      <c r="AQ44" s="18">
        <f>$X44*$AG44+IF($Y44,psic_cost_usd_per_box*$H44/$W44,0)</f>
        <v/>
      </c>
      <c r="AR44" s="18">
        <f>($AM44+$AN44+$AO44)*$Z44/day_count_inr*$O44</f>
        <v/>
      </c>
      <c r="AS44" s="18">
        <f>$AP44*igst_credit_lag_days/day_count_inr*$O44</f>
        <v/>
      </c>
      <c r="AT44" s="18">
        <f>$AM44+$AN44+$AO44+$AQ44+$AR44+$AS44+IF(igst_itc_available,0,$AP44)</f>
        <v/>
      </c>
      <c r="AU44" s="15">
        <f>(1-$AA44)*(1-$AB44)*$AC44</f>
        <v/>
      </c>
      <c r="AV44" s="18">
        <f>$N44*kg_per_mt+domestic_anchor_premium_inr_t</f>
        <v/>
      </c>
      <c r="AW44" s="18">
        <f>(1-$AA44)*$AD44*heavies_net_value_frac_of_lme_al*$F44*$H44</f>
        <v/>
      </c>
      <c r="AX44" s="18">
        <f>conversion_cost_inr_t*$AU44</f>
        <v/>
      </c>
      <c r="AY44" s="18">
        <f>$AV44*$AU44+$AW44-$AT44-$AX44</f>
        <v/>
      </c>
      <c r="AZ44" s="16">
        <f>$AY44/$H44</f>
        <v/>
      </c>
      <c r="BA44" s="8">
        <f>$AY44&gt;margin_threshold_inr_t</f>
        <v/>
      </c>
      <c r="BB44" s="8">
        <f>$Q44+$AE44</f>
        <v/>
      </c>
      <c r="BC44" s="18">
        <f>$AT44-$AQ44</f>
        <v/>
      </c>
      <c r="BD44" s="18">
        <f>$AY44-$BC44*($BB44/$P44-1)</f>
        <v/>
      </c>
      <c r="BE44" s="18">
        <f>$AY44-(conv_step_5a-conversion_cost_inr_t)*$AU44</f>
        <v/>
      </c>
      <c r="BF44" s="8">
        <f>$BA44</f>
        <v/>
      </c>
      <c r="BG44" s="8">
        <f>$BD44&gt;margin_threshold_inr_t</f>
        <v/>
      </c>
      <c r="BH44" s="8">
        <f>$BE44&gt;margin_threshold_inr_t</f>
        <v/>
      </c>
      <c r="BI44" s="8">
        <f>AND($BF44,$BG44,$BH44)</f>
        <v/>
      </c>
      <c r="BJ44" s="8">
        <f>IF($BI44,1,0)</f>
        <v/>
      </c>
    </row>
    <row r="45">
      <c r="A45" s="11" t="n">
        <v>44610</v>
      </c>
      <c r="B45" s="11" t="n">
        <v>44610</v>
      </c>
      <c r="C45" s="7" t="inlineStr">
        <is>
          <t>taint_tabor</t>
        </is>
      </c>
      <c r="D45" s="7" t="inlineStr">
        <is>
          <t>USEC_MUN</t>
        </is>
      </c>
      <c r="E45" s="17" t="b">
        <v>0</v>
      </c>
      <c r="F45" s="16">
        <f>INDEX(Market_Weekly!$E$6:$E$48,MATCH($A45,Market_Weekly!$A$6:$A$48,0))</f>
        <v/>
      </c>
      <c r="G45" s="16">
        <f>INDEX(Market_Weekly!$D$6:$D$48,MATCH($A45,Market_Weekly!$A$6:$A$48,0))</f>
        <v/>
      </c>
      <c r="H45" s="16">
        <f>INDEX(Market_Weekly!$G$6:$G$48,MATCH($A45,Market_Weekly!$A$6:$A$48,0))</f>
        <v/>
      </c>
      <c r="I45" s="8">
        <f>INDEX(Market_Weekly!$H$6:$H$48,MATCH($A45,Market_Weekly!$A$6:$A$48,0))</f>
        <v/>
      </c>
      <c r="J45" s="8">
        <f>INDEX(Market_Weekly!$Q$6:$Q$48,MATCH($A45,Market_Weekly!$A$6:$A$48,0))</f>
        <v/>
      </c>
      <c r="K45" s="8">
        <f>INDEX(Market_Weekly!$V$6:$V$48,MATCH($A45,Market_Weekly!$A$6:$A$48,0))</f>
        <v/>
      </c>
      <c r="L45" s="16">
        <f>IF($D45="JEA_NSA",INDEX(Market_Weekly!$N$6:$N$48,MATCH($A45,Market_Weekly!$A$6:$A$48,0)),INDEX(Market_Weekly!$O$6:$O$48,MATCH($A45,Market_Weekly!$A$6:$A$48,0)))</f>
        <v/>
      </c>
      <c r="M45" s="8">
        <f>IF($D45="JEA_NSA","M1","M2")</f>
        <v/>
      </c>
      <c r="N45" s="16">
        <f>IF($D45="JEA_NSA",INDEX(Market_Weekly!$L$6:$L$48,MATCH($A45,Market_Weekly!$A$6:$A$48,0)),INDEX(Market_Weekly!$M$6:$M$48,MATCH($A45,Market_Weekly!$A$6:$A$48,0)))</f>
        <v/>
      </c>
      <c r="O45" s="15">
        <f>INDEX(Market_Weekly!$P$6:$P$48,MATCH($A45,Market_Weekly!$A$6:$A$48,0))</f>
        <v/>
      </c>
      <c r="P45" s="8">
        <f>INDEX(Market_Weekly!$R$6:$T$48,MATCH($A45,Market_Weekly!$A$6:$A$48,0),MATCH("grade_factor_"&amp;$C45,Market_Weekly!$R$5:$T$5,0))</f>
        <v/>
      </c>
      <c r="Q45" s="8">
        <f>INDEX(Market_Weekly!$U$6:$U$48,MATCH($A45,Market_Weekly!$A$6:$A$48,0))</f>
        <v/>
      </c>
      <c r="R45" s="8">
        <f>IF($D45="JEA_NSA","20ft","40ft")</f>
        <v/>
      </c>
      <c r="S45" s="8">
        <f>IF($D45="JEA_NSA","nsa","mun")</f>
        <v/>
      </c>
      <c r="T45" s="8">
        <f>IF($D45="JEA_NSA","jea_nsa","usec_mun")</f>
        <v/>
      </c>
      <c r="U45" s="16">
        <f>INDEX(param_values,MATCH("container_payload_mt_"&amp;$R45,param_keys,0))</f>
        <v/>
      </c>
      <c r="V45" s="16">
        <f>INDEX(param_values,MATCH("container_payload_mt_"&amp;$R45&amp;"_"&amp;$C45,param_keys,0))</f>
        <v/>
      </c>
      <c r="W45" s="16">
        <f>INDEX(param_values,MATCH("container_payload_mt_20ft_"&amp;$C45,param_keys,0))</f>
        <v/>
      </c>
      <c r="X45" s="18">
        <f>INDEX(param_values,MATCH("port_cf_charges_inr_t_"&amp;$S45,param_keys,0))</f>
        <v/>
      </c>
      <c r="Y45" s="8">
        <f>INDEX(param_values,MATCH(IF($D45="JEA_NSA","psic_required_uae_origin","psic_required_safe_origin_designated_port"),param_keys,0))</f>
        <v/>
      </c>
      <c r="Z45" s="19">
        <f>INDEX(param_values,MATCH("finance_days_"&amp;$T45,param_keys,0))</f>
        <v/>
      </c>
      <c r="AA45" s="15">
        <f>INDEX(param_values,MATCH("moisture_frac_"&amp;$C45,param_keys,0))</f>
        <v/>
      </c>
      <c r="AB45" s="15">
        <f>INDEX(param_values,MATCH("contamination_frac_"&amp;$C45,param_keys,0))</f>
        <v/>
      </c>
      <c r="AC45" s="15">
        <f>INDEX(param_values,MATCH("metal_yield_frac_"&amp;$C45,param_keys,0))</f>
        <v/>
      </c>
      <c r="AD45" s="15">
        <f>INDEX(param_values,MATCH("heavies_frac_"&amp;$C45,param_keys,0))</f>
        <v/>
      </c>
      <c r="AE45" s="8">
        <f>INDEX(param_values,MATCH("grade_factor_diff_"&amp;$C45,param_keys,0))</f>
        <v/>
      </c>
      <c r="AF45" s="16">
        <f>$F45*$P45</f>
        <v/>
      </c>
      <c r="AG45" s="8">
        <f>$U45/$V45</f>
        <v/>
      </c>
      <c r="AH45" s="16">
        <f>$L45*$AG45</f>
        <v/>
      </c>
      <c r="AI45" s="16">
        <f>$AF45-$AH45</f>
        <v/>
      </c>
      <c r="AJ45" s="16">
        <f>insurance_rate*insured_value_uplift*$AF45</f>
        <v/>
      </c>
      <c r="AK45" s="16">
        <f>$AF45+$AJ45</f>
        <v/>
      </c>
      <c r="AL45" s="18">
        <f>$AK45*$J45</f>
        <v/>
      </c>
      <c r="AM45" s="18">
        <f>$AK45*$I45</f>
        <v/>
      </c>
      <c r="AN45" s="18">
        <f>$AL45*bcd_scrap_hs7602</f>
        <v/>
      </c>
      <c r="AO45" s="18">
        <f>$AN45*sws_rate_on_bcd</f>
        <v/>
      </c>
      <c r="AP45" s="18">
        <f>($AL45+$AN45+$AO45)*igst_rate_hs7602</f>
        <v/>
      </c>
      <c r="AQ45" s="18">
        <f>$X45*$AG45+IF($Y45,psic_cost_usd_per_box*$H45/$W45,0)</f>
        <v/>
      </c>
      <c r="AR45" s="18">
        <f>($AM45+$AN45+$AO45)*$Z45/day_count_inr*$O45</f>
        <v/>
      </c>
      <c r="AS45" s="18">
        <f>$AP45*igst_credit_lag_days/day_count_inr*$O45</f>
        <v/>
      </c>
      <c r="AT45" s="18">
        <f>$AM45+$AN45+$AO45+$AQ45+$AR45+$AS45+IF(igst_itc_available,0,$AP45)</f>
        <v/>
      </c>
      <c r="AU45" s="15">
        <f>(1-$AA45)*(1-$AB45)*$AC45</f>
        <v/>
      </c>
      <c r="AV45" s="18">
        <f>$N45*kg_per_mt+domestic_anchor_premium_inr_t</f>
        <v/>
      </c>
      <c r="AW45" s="18">
        <f>(1-$AA45)*$AD45*heavies_net_value_frac_of_lme_al*$F45*$H45</f>
        <v/>
      </c>
      <c r="AX45" s="18">
        <f>conversion_cost_inr_t*$AU45</f>
        <v/>
      </c>
      <c r="AY45" s="18">
        <f>$AV45*$AU45+$AW45-$AT45-$AX45</f>
        <v/>
      </c>
      <c r="AZ45" s="16">
        <f>$AY45/$H45</f>
        <v/>
      </c>
      <c r="BA45" s="8">
        <f>$AY45&gt;margin_threshold_inr_t</f>
        <v/>
      </c>
      <c r="BB45" s="8">
        <f>$Q45+$AE45</f>
        <v/>
      </c>
      <c r="BC45" s="18">
        <f>$AT45-$AQ45</f>
        <v/>
      </c>
      <c r="BD45" s="18">
        <f>$AY45-$BC45*($BB45/$P45-1)</f>
        <v/>
      </c>
      <c r="BE45" s="18">
        <f>$AY45-(conv_step_5a-conversion_cost_inr_t)*$AU45</f>
        <v/>
      </c>
      <c r="BF45" s="8">
        <f>$BA45</f>
        <v/>
      </c>
      <c r="BG45" s="8">
        <f>$BD45&gt;margin_threshold_inr_t</f>
        <v/>
      </c>
      <c r="BH45" s="8">
        <f>$BE45&gt;margin_threshold_inr_t</f>
        <v/>
      </c>
      <c r="BI45" s="8">
        <f>AND($BF45,$BG45,$BH45)</f>
        <v/>
      </c>
      <c r="BJ45" s="8">
        <f>IF($BI45,1,0)</f>
        <v/>
      </c>
    </row>
    <row r="46">
      <c r="A46" s="11" t="n">
        <v>44610</v>
      </c>
      <c r="B46" s="11" t="n">
        <v>44610</v>
      </c>
      <c r="C46" s="7" t="inlineStr">
        <is>
          <t>tense</t>
        </is>
      </c>
      <c r="D46" s="7" t="inlineStr">
        <is>
          <t>JEA_NSA</t>
        </is>
      </c>
      <c r="E46" s="17" t="b">
        <v>0</v>
      </c>
      <c r="F46" s="16">
        <f>INDEX(Market_Weekly!$E$6:$E$48,MATCH($A46,Market_Weekly!$A$6:$A$48,0))</f>
        <v/>
      </c>
      <c r="G46" s="16">
        <f>INDEX(Market_Weekly!$D$6:$D$48,MATCH($A46,Market_Weekly!$A$6:$A$48,0))</f>
        <v/>
      </c>
      <c r="H46" s="16">
        <f>INDEX(Market_Weekly!$G$6:$G$48,MATCH($A46,Market_Weekly!$A$6:$A$48,0))</f>
        <v/>
      </c>
      <c r="I46" s="8">
        <f>INDEX(Market_Weekly!$H$6:$H$48,MATCH($A46,Market_Weekly!$A$6:$A$48,0))</f>
        <v/>
      </c>
      <c r="J46" s="8">
        <f>INDEX(Market_Weekly!$Q$6:$Q$48,MATCH($A46,Market_Weekly!$A$6:$A$48,0))</f>
        <v/>
      </c>
      <c r="K46" s="8">
        <f>INDEX(Market_Weekly!$V$6:$V$48,MATCH($A46,Market_Weekly!$A$6:$A$48,0))</f>
        <v/>
      </c>
      <c r="L46" s="16">
        <f>IF($D46="JEA_NSA",INDEX(Market_Weekly!$N$6:$N$48,MATCH($A46,Market_Weekly!$A$6:$A$48,0)),INDEX(Market_Weekly!$O$6:$O$48,MATCH($A46,Market_Weekly!$A$6:$A$48,0)))</f>
        <v/>
      </c>
      <c r="M46" s="8">
        <f>IF($D46="JEA_NSA","M1","M2")</f>
        <v/>
      </c>
      <c r="N46" s="16">
        <f>IF($D46="JEA_NSA",INDEX(Market_Weekly!$L$6:$L$48,MATCH($A46,Market_Weekly!$A$6:$A$48,0)),INDEX(Market_Weekly!$M$6:$M$48,MATCH($A46,Market_Weekly!$A$6:$A$48,0)))</f>
        <v/>
      </c>
      <c r="O46" s="15">
        <f>INDEX(Market_Weekly!$P$6:$P$48,MATCH($A46,Market_Weekly!$A$6:$A$48,0))</f>
        <v/>
      </c>
      <c r="P46" s="8">
        <f>INDEX(Market_Weekly!$R$6:$T$48,MATCH($A46,Market_Weekly!$A$6:$A$48,0),MATCH("grade_factor_"&amp;$C46,Market_Weekly!$R$5:$T$5,0))</f>
        <v/>
      </c>
      <c r="Q46" s="8">
        <f>INDEX(Market_Weekly!$U$6:$U$48,MATCH($A46,Market_Weekly!$A$6:$A$48,0))</f>
        <v/>
      </c>
      <c r="R46" s="8">
        <f>IF($D46="JEA_NSA","20ft","40ft")</f>
        <v/>
      </c>
      <c r="S46" s="8">
        <f>IF($D46="JEA_NSA","nsa","mun")</f>
        <v/>
      </c>
      <c r="T46" s="8">
        <f>IF($D46="JEA_NSA","jea_nsa","usec_mun")</f>
        <v/>
      </c>
      <c r="U46" s="16">
        <f>INDEX(param_values,MATCH("container_payload_mt_"&amp;$R46,param_keys,0))</f>
        <v/>
      </c>
      <c r="V46" s="16">
        <f>INDEX(param_values,MATCH("container_payload_mt_"&amp;$R46&amp;"_"&amp;$C46,param_keys,0))</f>
        <v/>
      </c>
      <c r="W46" s="16">
        <f>INDEX(param_values,MATCH("container_payload_mt_20ft_"&amp;$C46,param_keys,0))</f>
        <v/>
      </c>
      <c r="X46" s="18">
        <f>INDEX(param_values,MATCH("port_cf_charges_inr_t_"&amp;$S46,param_keys,0))</f>
        <v/>
      </c>
      <c r="Y46" s="8">
        <f>INDEX(param_values,MATCH(IF($D46="JEA_NSA","psic_required_uae_origin","psic_required_safe_origin_designated_port"),param_keys,0))</f>
        <v/>
      </c>
      <c r="Z46" s="19">
        <f>INDEX(param_values,MATCH("finance_days_"&amp;$T46,param_keys,0))</f>
        <v/>
      </c>
      <c r="AA46" s="15">
        <f>INDEX(param_values,MATCH("moisture_frac_"&amp;$C46,param_keys,0))</f>
        <v/>
      </c>
      <c r="AB46" s="15">
        <f>INDEX(param_values,MATCH("contamination_frac_"&amp;$C46,param_keys,0))</f>
        <v/>
      </c>
      <c r="AC46" s="15">
        <f>INDEX(param_values,MATCH("metal_yield_frac_"&amp;$C46,param_keys,0))</f>
        <v/>
      </c>
      <c r="AD46" s="15">
        <f>INDEX(param_values,MATCH("heavies_frac_"&amp;$C46,param_keys,0))</f>
        <v/>
      </c>
      <c r="AE46" s="8">
        <f>INDEX(param_values,MATCH("grade_factor_diff_"&amp;$C46,param_keys,0))</f>
        <v/>
      </c>
      <c r="AF46" s="16">
        <f>$F46*$P46</f>
        <v/>
      </c>
      <c r="AG46" s="8">
        <f>$U46/$V46</f>
        <v/>
      </c>
      <c r="AH46" s="16">
        <f>$L46*$AG46</f>
        <v/>
      </c>
      <c r="AI46" s="16">
        <f>$AF46-$AH46</f>
        <v/>
      </c>
      <c r="AJ46" s="16">
        <f>insurance_rate*insured_value_uplift*$AF46</f>
        <v/>
      </c>
      <c r="AK46" s="16">
        <f>$AF46+$AJ46</f>
        <v/>
      </c>
      <c r="AL46" s="18">
        <f>$AK46*$J46</f>
        <v/>
      </c>
      <c r="AM46" s="18">
        <f>$AK46*$I46</f>
        <v/>
      </c>
      <c r="AN46" s="18">
        <f>$AL46*bcd_scrap_hs7602</f>
        <v/>
      </c>
      <c r="AO46" s="18">
        <f>$AN46*sws_rate_on_bcd</f>
        <v/>
      </c>
      <c r="AP46" s="18">
        <f>($AL46+$AN46+$AO46)*igst_rate_hs7602</f>
        <v/>
      </c>
      <c r="AQ46" s="18">
        <f>$X46*$AG46+IF($Y46,psic_cost_usd_per_box*$H46/$W46,0)</f>
        <v/>
      </c>
      <c r="AR46" s="18">
        <f>($AM46+$AN46+$AO46)*$Z46/day_count_inr*$O46</f>
        <v/>
      </c>
      <c r="AS46" s="18">
        <f>$AP46*igst_credit_lag_days/day_count_inr*$O46</f>
        <v/>
      </c>
      <c r="AT46" s="18">
        <f>$AM46+$AN46+$AO46+$AQ46+$AR46+$AS46+IF(igst_itc_available,0,$AP46)</f>
        <v/>
      </c>
      <c r="AU46" s="15">
        <f>(1-$AA46)*(1-$AB46)*$AC46</f>
        <v/>
      </c>
      <c r="AV46" s="18">
        <f>$N46*kg_per_mt+domestic_anchor_premium_inr_t</f>
        <v/>
      </c>
      <c r="AW46" s="18">
        <f>(1-$AA46)*$AD46*heavies_net_value_frac_of_lme_al*$F46*$H46</f>
        <v/>
      </c>
      <c r="AX46" s="18">
        <f>conversion_cost_inr_t*$AU46</f>
        <v/>
      </c>
      <c r="AY46" s="18">
        <f>$AV46*$AU46+$AW46-$AT46-$AX46</f>
        <v/>
      </c>
      <c r="AZ46" s="16">
        <f>$AY46/$H46</f>
        <v/>
      </c>
      <c r="BA46" s="8">
        <f>$AY46&gt;margin_threshold_inr_t</f>
        <v/>
      </c>
      <c r="BB46" s="8">
        <f>$Q46+$AE46</f>
        <v/>
      </c>
      <c r="BC46" s="18">
        <f>$AT46-$AQ46</f>
        <v/>
      </c>
      <c r="BD46" s="18">
        <f>$AY46-$BC46*($BB46/$P46-1)</f>
        <v/>
      </c>
      <c r="BE46" s="18">
        <f>$AY46-(conv_step_5a-conversion_cost_inr_t)*$AU46</f>
        <v/>
      </c>
      <c r="BF46" s="8">
        <f>$BA46</f>
        <v/>
      </c>
      <c r="BG46" s="8">
        <f>$BD46&gt;margin_threshold_inr_t</f>
        <v/>
      </c>
      <c r="BH46" s="8">
        <f>$BE46&gt;margin_threshold_inr_t</f>
        <v/>
      </c>
      <c r="BI46" s="8">
        <f>AND($BF46,$BG46,$BH46)</f>
        <v/>
      </c>
      <c r="BJ46" s="8">
        <f>IF($BI46,1,0)</f>
        <v/>
      </c>
    </row>
    <row r="47">
      <c r="A47" s="11" t="n">
        <v>44610</v>
      </c>
      <c r="B47" s="11" t="n">
        <v>44610</v>
      </c>
      <c r="C47" s="7" t="inlineStr">
        <is>
          <t>tense</t>
        </is>
      </c>
      <c r="D47" s="7" t="inlineStr">
        <is>
          <t>USEC_MUN</t>
        </is>
      </c>
      <c r="E47" s="17" t="b">
        <v>0</v>
      </c>
      <c r="F47" s="16">
        <f>INDEX(Market_Weekly!$E$6:$E$48,MATCH($A47,Market_Weekly!$A$6:$A$48,0))</f>
        <v/>
      </c>
      <c r="G47" s="16">
        <f>INDEX(Market_Weekly!$D$6:$D$48,MATCH($A47,Market_Weekly!$A$6:$A$48,0))</f>
        <v/>
      </c>
      <c r="H47" s="16">
        <f>INDEX(Market_Weekly!$G$6:$G$48,MATCH($A47,Market_Weekly!$A$6:$A$48,0))</f>
        <v/>
      </c>
      <c r="I47" s="8">
        <f>INDEX(Market_Weekly!$H$6:$H$48,MATCH($A47,Market_Weekly!$A$6:$A$48,0))</f>
        <v/>
      </c>
      <c r="J47" s="8">
        <f>INDEX(Market_Weekly!$Q$6:$Q$48,MATCH($A47,Market_Weekly!$A$6:$A$48,0))</f>
        <v/>
      </c>
      <c r="K47" s="8">
        <f>INDEX(Market_Weekly!$V$6:$V$48,MATCH($A47,Market_Weekly!$A$6:$A$48,0))</f>
        <v/>
      </c>
      <c r="L47" s="16">
        <f>IF($D47="JEA_NSA",INDEX(Market_Weekly!$N$6:$N$48,MATCH($A47,Market_Weekly!$A$6:$A$48,0)),INDEX(Market_Weekly!$O$6:$O$48,MATCH($A47,Market_Weekly!$A$6:$A$48,0)))</f>
        <v/>
      </c>
      <c r="M47" s="8">
        <f>IF($D47="JEA_NSA","M1","M2")</f>
        <v/>
      </c>
      <c r="N47" s="16">
        <f>IF($D47="JEA_NSA",INDEX(Market_Weekly!$L$6:$L$48,MATCH($A47,Market_Weekly!$A$6:$A$48,0)),INDEX(Market_Weekly!$M$6:$M$48,MATCH($A47,Market_Weekly!$A$6:$A$48,0)))</f>
        <v/>
      </c>
      <c r="O47" s="15">
        <f>INDEX(Market_Weekly!$P$6:$P$48,MATCH($A47,Market_Weekly!$A$6:$A$48,0))</f>
        <v/>
      </c>
      <c r="P47" s="8">
        <f>INDEX(Market_Weekly!$R$6:$T$48,MATCH($A47,Market_Weekly!$A$6:$A$48,0),MATCH("grade_factor_"&amp;$C47,Market_Weekly!$R$5:$T$5,0))</f>
        <v/>
      </c>
      <c r="Q47" s="8">
        <f>INDEX(Market_Weekly!$U$6:$U$48,MATCH($A47,Market_Weekly!$A$6:$A$48,0))</f>
        <v/>
      </c>
      <c r="R47" s="8">
        <f>IF($D47="JEA_NSA","20ft","40ft")</f>
        <v/>
      </c>
      <c r="S47" s="8">
        <f>IF($D47="JEA_NSA","nsa","mun")</f>
        <v/>
      </c>
      <c r="T47" s="8">
        <f>IF($D47="JEA_NSA","jea_nsa","usec_mun")</f>
        <v/>
      </c>
      <c r="U47" s="16">
        <f>INDEX(param_values,MATCH("container_payload_mt_"&amp;$R47,param_keys,0))</f>
        <v/>
      </c>
      <c r="V47" s="16">
        <f>INDEX(param_values,MATCH("container_payload_mt_"&amp;$R47&amp;"_"&amp;$C47,param_keys,0))</f>
        <v/>
      </c>
      <c r="W47" s="16">
        <f>INDEX(param_values,MATCH("container_payload_mt_20ft_"&amp;$C47,param_keys,0))</f>
        <v/>
      </c>
      <c r="X47" s="18">
        <f>INDEX(param_values,MATCH("port_cf_charges_inr_t_"&amp;$S47,param_keys,0))</f>
        <v/>
      </c>
      <c r="Y47" s="8">
        <f>INDEX(param_values,MATCH(IF($D47="JEA_NSA","psic_required_uae_origin","psic_required_safe_origin_designated_port"),param_keys,0))</f>
        <v/>
      </c>
      <c r="Z47" s="19">
        <f>INDEX(param_values,MATCH("finance_days_"&amp;$T47,param_keys,0))</f>
        <v/>
      </c>
      <c r="AA47" s="15">
        <f>INDEX(param_values,MATCH("moisture_frac_"&amp;$C47,param_keys,0))</f>
        <v/>
      </c>
      <c r="AB47" s="15">
        <f>INDEX(param_values,MATCH("contamination_frac_"&amp;$C47,param_keys,0))</f>
        <v/>
      </c>
      <c r="AC47" s="15">
        <f>INDEX(param_values,MATCH("metal_yield_frac_"&amp;$C47,param_keys,0))</f>
        <v/>
      </c>
      <c r="AD47" s="15">
        <f>INDEX(param_values,MATCH("heavies_frac_"&amp;$C47,param_keys,0))</f>
        <v/>
      </c>
      <c r="AE47" s="8">
        <f>INDEX(param_values,MATCH("grade_factor_diff_"&amp;$C47,param_keys,0))</f>
        <v/>
      </c>
      <c r="AF47" s="16">
        <f>$F47*$P47</f>
        <v/>
      </c>
      <c r="AG47" s="8">
        <f>$U47/$V47</f>
        <v/>
      </c>
      <c r="AH47" s="16">
        <f>$L47*$AG47</f>
        <v/>
      </c>
      <c r="AI47" s="16">
        <f>$AF47-$AH47</f>
        <v/>
      </c>
      <c r="AJ47" s="16">
        <f>insurance_rate*insured_value_uplift*$AF47</f>
        <v/>
      </c>
      <c r="AK47" s="16">
        <f>$AF47+$AJ47</f>
        <v/>
      </c>
      <c r="AL47" s="18">
        <f>$AK47*$J47</f>
        <v/>
      </c>
      <c r="AM47" s="18">
        <f>$AK47*$I47</f>
        <v/>
      </c>
      <c r="AN47" s="18">
        <f>$AL47*bcd_scrap_hs7602</f>
        <v/>
      </c>
      <c r="AO47" s="18">
        <f>$AN47*sws_rate_on_bcd</f>
        <v/>
      </c>
      <c r="AP47" s="18">
        <f>($AL47+$AN47+$AO47)*igst_rate_hs7602</f>
        <v/>
      </c>
      <c r="AQ47" s="18">
        <f>$X47*$AG47+IF($Y47,psic_cost_usd_per_box*$H47/$W47,0)</f>
        <v/>
      </c>
      <c r="AR47" s="18">
        <f>($AM47+$AN47+$AO47)*$Z47/day_count_inr*$O47</f>
        <v/>
      </c>
      <c r="AS47" s="18">
        <f>$AP47*igst_credit_lag_days/day_count_inr*$O47</f>
        <v/>
      </c>
      <c r="AT47" s="18">
        <f>$AM47+$AN47+$AO47+$AQ47+$AR47+$AS47+IF(igst_itc_available,0,$AP47)</f>
        <v/>
      </c>
      <c r="AU47" s="15">
        <f>(1-$AA47)*(1-$AB47)*$AC47</f>
        <v/>
      </c>
      <c r="AV47" s="18">
        <f>$N47*kg_per_mt+domestic_anchor_premium_inr_t</f>
        <v/>
      </c>
      <c r="AW47" s="18">
        <f>(1-$AA47)*$AD47*heavies_net_value_frac_of_lme_al*$F47*$H47</f>
        <v/>
      </c>
      <c r="AX47" s="18">
        <f>conversion_cost_inr_t*$AU47</f>
        <v/>
      </c>
      <c r="AY47" s="18">
        <f>$AV47*$AU47+$AW47-$AT47-$AX47</f>
        <v/>
      </c>
      <c r="AZ47" s="16">
        <f>$AY47/$H47</f>
        <v/>
      </c>
      <c r="BA47" s="8">
        <f>$AY47&gt;margin_threshold_inr_t</f>
        <v/>
      </c>
      <c r="BB47" s="8">
        <f>$Q47+$AE47</f>
        <v/>
      </c>
      <c r="BC47" s="18">
        <f>$AT47-$AQ47</f>
        <v/>
      </c>
      <c r="BD47" s="18">
        <f>$AY47-$BC47*($BB47/$P47-1)</f>
        <v/>
      </c>
      <c r="BE47" s="18">
        <f>$AY47-(conv_step_5a-conversion_cost_inr_t)*$AU47</f>
        <v/>
      </c>
      <c r="BF47" s="8">
        <f>$BA47</f>
        <v/>
      </c>
      <c r="BG47" s="8">
        <f>$BD47&gt;margin_threshold_inr_t</f>
        <v/>
      </c>
      <c r="BH47" s="8">
        <f>$BE47&gt;margin_threshold_inr_t</f>
        <v/>
      </c>
      <c r="BI47" s="8">
        <f>AND($BF47,$BG47,$BH47)</f>
        <v/>
      </c>
      <c r="BJ47" s="8">
        <f>IF($BI47,1,0)</f>
        <v/>
      </c>
    </row>
    <row r="48">
      <c r="A48" s="11" t="n">
        <v>44617</v>
      </c>
      <c r="B48" s="11" t="n">
        <v>44617</v>
      </c>
      <c r="C48" s="7" t="inlineStr">
        <is>
          <t>zorba</t>
        </is>
      </c>
      <c r="D48" s="7" t="inlineStr">
        <is>
          <t>JEA_NSA</t>
        </is>
      </c>
      <c r="E48" s="17" t="b">
        <v>0</v>
      </c>
      <c r="F48" s="16">
        <f>INDEX(Market_Weekly!$E$6:$E$48,MATCH($A48,Market_Weekly!$A$6:$A$48,0))</f>
        <v/>
      </c>
      <c r="G48" s="16">
        <f>INDEX(Market_Weekly!$D$6:$D$48,MATCH($A48,Market_Weekly!$A$6:$A$48,0))</f>
        <v/>
      </c>
      <c r="H48" s="16">
        <f>INDEX(Market_Weekly!$G$6:$G$48,MATCH($A48,Market_Weekly!$A$6:$A$48,0))</f>
        <v/>
      </c>
      <c r="I48" s="8">
        <f>INDEX(Market_Weekly!$H$6:$H$48,MATCH($A48,Market_Weekly!$A$6:$A$48,0))</f>
        <v/>
      </c>
      <c r="J48" s="8">
        <f>INDEX(Market_Weekly!$Q$6:$Q$48,MATCH($A48,Market_Weekly!$A$6:$A$48,0))</f>
        <v/>
      </c>
      <c r="K48" s="8">
        <f>INDEX(Market_Weekly!$V$6:$V$48,MATCH($A48,Market_Weekly!$A$6:$A$48,0))</f>
        <v/>
      </c>
      <c r="L48" s="16">
        <f>IF($D48="JEA_NSA",INDEX(Market_Weekly!$N$6:$N$48,MATCH($A48,Market_Weekly!$A$6:$A$48,0)),INDEX(Market_Weekly!$O$6:$O$48,MATCH($A48,Market_Weekly!$A$6:$A$48,0)))</f>
        <v/>
      </c>
      <c r="M48" s="8">
        <f>IF($D48="JEA_NSA","M1","M2")</f>
        <v/>
      </c>
      <c r="N48" s="16">
        <f>IF($D48="JEA_NSA",INDEX(Market_Weekly!$L$6:$L$48,MATCH($A48,Market_Weekly!$A$6:$A$48,0)),INDEX(Market_Weekly!$M$6:$M$48,MATCH($A48,Market_Weekly!$A$6:$A$48,0)))</f>
        <v/>
      </c>
      <c r="O48" s="15">
        <f>INDEX(Market_Weekly!$P$6:$P$48,MATCH($A48,Market_Weekly!$A$6:$A$48,0))</f>
        <v/>
      </c>
      <c r="P48" s="8">
        <f>INDEX(Market_Weekly!$R$6:$T$48,MATCH($A48,Market_Weekly!$A$6:$A$48,0),MATCH("grade_factor_"&amp;$C48,Market_Weekly!$R$5:$T$5,0))</f>
        <v/>
      </c>
      <c r="Q48" s="8">
        <f>INDEX(Market_Weekly!$U$6:$U$48,MATCH($A48,Market_Weekly!$A$6:$A$48,0))</f>
        <v/>
      </c>
      <c r="R48" s="8">
        <f>IF($D48="JEA_NSA","20ft","40ft")</f>
        <v/>
      </c>
      <c r="S48" s="8">
        <f>IF($D48="JEA_NSA","nsa","mun")</f>
        <v/>
      </c>
      <c r="T48" s="8">
        <f>IF($D48="JEA_NSA","jea_nsa","usec_mun")</f>
        <v/>
      </c>
      <c r="U48" s="16">
        <f>INDEX(param_values,MATCH("container_payload_mt_"&amp;$R48,param_keys,0))</f>
        <v/>
      </c>
      <c r="V48" s="16">
        <f>INDEX(param_values,MATCH("container_payload_mt_"&amp;$R48&amp;"_"&amp;$C48,param_keys,0))</f>
        <v/>
      </c>
      <c r="W48" s="16">
        <f>INDEX(param_values,MATCH("container_payload_mt_20ft_"&amp;$C48,param_keys,0))</f>
        <v/>
      </c>
      <c r="X48" s="18">
        <f>INDEX(param_values,MATCH("port_cf_charges_inr_t_"&amp;$S48,param_keys,0))</f>
        <v/>
      </c>
      <c r="Y48" s="8">
        <f>INDEX(param_values,MATCH(IF($D48="JEA_NSA","psic_required_uae_origin","psic_required_safe_origin_designated_port"),param_keys,0))</f>
        <v/>
      </c>
      <c r="Z48" s="19">
        <f>INDEX(param_values,MATCH("finance_days_"&amp;$T48,param_keys,0))</f>
        <v/>
      </c>
      <c r="AA48" s="15">
        <f>INDEX(param_values,MATCH("moisture_frac_"&amp;$C48,param_keys,0))</f>
        <v/>
      </c>
      <c r="AB48" s="15">
        <f>INDEX(param_values,MATCH("contamination_frac_"&amp;$C48,param_keys,0))</f>
        <v/>
      </c>
      <c r="AC48" s="15">
        <f>INDEX(param_values,MATCH("metal_yield_frac_"&amp;$C48,param_keys,0))</f>
        <v/>
      </c>
      <c r="AD48" s="15">
        <f>INDEX(param_values,MATCH("heavies_frac_"&amp;$C48,param_keys,0))</f>
        <v/>
      </c>
      <c r="AE48" s="8">
        <f>INDEX(param_values,MATCH("grade_factor_diff_"&amp;$C48,param_keys,0))</f>
        <v/>
      </c>
      <c r="AF48" s="16">
        <f>$F48*$P48</f>
        <v/>
      </c>
      <c r="AG48" s="8">
        <f>$U48/$V48</f>
        <v/>
      </c>
      <c r="AH48" s="16">
        <f>$L48*$AG48</f>
        <v/>
      </c>
      <c r="AI48" s="16">
        <f>$AF48-$AH48</f>
        <v/>
      </c>
      <c r="AJ48" s="16">
        <f>insurance_rate*insured_value_uplift*$AF48</f>
        <v/>
      </c>
      <c r="AK48" s="16">
        <f>$AF48+$AJ48</f>
        <v/>
      </c>
      <c r="AL48" s="18">
        <f>$AK48*$J48</f>
        <v/>
      </c>
      <c r="AM48" s="18">
        <f>$AK48*$I48</f>
        <v/>
      </c>
      <c r="AN48" s="18">
        <f>$AL48*bcd_scrap_hs7602</f>
        <v/>
      </c>
      <c r="AO48" s="18">
        <f>$AN48*sws_rate_on_bcd</f>
        <v/>
      </c>
      <c r="AP48" s="18">
        <f>($AL48+$AN48+$AO48)*igst_rate_hs7602</f>
        <v/>
      </c>
      <c r="AQ48" s="18">
        <f>$X48*$AG48+IF($Y48,psic_cost_usd_per_box*$H48/$W48,0)</f>
        <v/>
      </c>
      <c r="AR48" s="18">
        <f>($AM48+$AN48+$AO48)*$Z48/day_count_inr*$O48</f>
        <v/>
      </c>
      <c r="AS48" s="18">
        <f>$AP48*igst_credit_lag_days/day_count_inr*$O48</f>
        <v/>
      </c>
      <c r="AT48" s="18">
        <f>$AM48+$AN48+$AO48+$AQ48+$AR48+$AS48+IF(igst_itc_available,0,$AP48)</f>
        <v/>
      </c>
      <c r="AU48" s="15">
        <f>(1-$AA48)*(1-$AB48)*$AC48</f>
        <v/>
      </c>
      <c r="AV48" s="18">
        <f>$N48*kg_per_mt+domestic_anchor_premium_inr_t</f>
        <v/>
      </c>
      <c r="AW48" s="18">
        <f>(1-$AA48)*$AD48*heavies_net_value_frac_of_lme_al*$F48*$H48</f>
        <v/>
      </c>
      <c r="AX48" s="18">
        <f>conversion_cost_inr_t*$AU48</f>
        <v/>
      </c>
      <c r="AY48" s="18">
        <f>$AV48*$AU48+$AW48-$AT48-$AX48</f>
        <v/>
      </c>
      <c r="AZ48" s="16">
        <f>$AY48/$H48</f>
        <v/>
      </c>
      <c r="BA48" s="8">
        <f>$AY48&gt;margin_threshold_inr_t</f>
        <v/>
      </c>
      <c r="BB48" s="8">
        <f>$Q48+$AE48</f>
        <v/>
      </c>
      <c r="BC48" s="18">
        <f>$AT48-$AQ48</f>
        <v/>
      </c>
      <c r="BD48" s="18">
        <f>$AY48-$BC48*($BB48/$P48-1)</f>
        <v/>
      </c>
      <c r="BE48" s="18">
        <f>$AY48-(conv_step_5a-conversion_cost_inr_t)*$AU48</f>
        <v/>
      </c>
      <c r="BF48" s="8">
        <f>$BA48</f>
        <v/>
      </c>
      <c r="BG48" s="8">
        <f>$BD48&gt;margin_threshold_inr_t</f>
        <v/>
      </c>
      <c r="BH48" s="8">
        <f>$BE48&gt;margin_threshold_inr_t</f>
        <v/>
      </c>
      <c r="BI48" s="8">
        <f>AND($BF48,$BG48,$BH48)</f>
        <v/>
      </c>
      <c r="BJ48" s="8">
        <f>IF($BI48,1,0)</f>
        <v/>
      </c>
    </row>
    <row r="49">
      <c r="A49" s="11" t="n">
        <v>44617</v>
      </c>
      <c r="B49" s="11" t="n">
        <v>44617</v>
      </c>
      <c r="C49" s="7" t="inlineStr">
        <is>
          <t>zorba</t>
        </is>
      </c>
      <c r="D49" s="7" t="inlineStr">
        <is>
          <t>USEC_MUN</t>
        </is>
      </c>
      <c r="E49" s="17" t="b">
        <v>0</v>
      </c>
      <c r="F49" s="16">
        <f>INDEX(Market_Weekly!$E$6:$E$48,MATCH($A49,Market_Weekly!$A$6:$A$48,0))</f>
        <v/>
      </c>
      <c r="G49" s="16">
        <f>INDEX(Market_Weekly!$D$6:$D$48,MATCH($A49,Market_Weekly!$A$6:$A$48,0))</f>
        <v/>
      </c>
      <c r="H49" s="16">
        <f>INDEX(Market_Weekly!$G$6:$G$48,MATCH($A49,Market_Weekly!$A$6:$A$48,0))</f>
        <v/>
      </c>
      <c r="I49" s="8">
        <f>INDEX(Market_Weekly!$H$6:$H$48,MATCH($A49,Market_Weekly!$A$6:$A$48,0))</f>
        <v/>
      </c>
      <c r="J49" s="8">
        <f>INDEX(Market_Weekly!$Q$6:$Q$48,MATCH($A49,Market_Weekly!$A$6:$A$48,0))</f>
        <v/>
      </c>
      <c r="K49" s="8">
        <f>INDEX(Market_Weekly!$V$6:$V$48,MATCH($A49,Market_Weekly!$A$6:$A$48,0))</f>
        <v/>
      </c>
      <c r="L49" s="16">
        <f>IF($D49="JEA_NSA",INDEX(Market_Weekly!$N$6:$N$48,MATCH($A49,Market_Weekly!$A$6:$A$48,0)),INDEX(Market_Weekly!$O$6:$O$48,MATCH($A49,Market_Weekly!$A$6:$A$48,0)))</f>
        <v/>
      </c>
      <c r="M49" s="8">
        <f>IF($D49="JEA_NSA","M1","M2")</f>
        <v/>
      </c>
      <c r="N49" s="16">
        <f>IF($D49="JEA_NSA",INDEX(Market_Weekly!$L$6:$L$48,MATCH($A49,Market_Weekly!$A$6:$A$48,0)),INDEX(Market_Weekly!$M$6:$M$48,MATCH($A49,Market_Weekly!$A$6:$A$48,0)))</f>
        <v/>
      </c>
      <c r="O49" s="15">
        <f>INDEX(Market_Weekly!$P$6:$P$48,MATCH($A49,Market_Weekly!$A$6:$A$48,0))</f>
        <v/>
      </c>
      <c r="P49" s="8">
        <f>INDEX(Market_Weekly!$R$6:$T$48,MATCH($A49,Market_Weekly!$A$6:$A$48,0),MATCH("grade_factor_"&amp;$C49,Market_Weekly!$R$5:$T$5,0))</f>
        <v/>
      </c>
      <c r="Q49" s="8">
        <f>INDEX(Market_Weekly!$U$6:$U$48,MATCH($A49,Market_Weekly!$A$6:$A$48,0))</f>
        <v/>
      </c>
      <c r="R49" s="8">
        <f>IF($D49="JEA_NSA","20ft","40ft")</f>
        <v/>
      </c>
      <c r="S49" s="8">
        <f>IF($D49="JEA_NSA","nsa","mun")</f>
        <v/>
      </c>
      <c r="T49" s="8">
        <f>IF($D49="JEA_NSA","jea_nsa","usec_mun")</f>
        <v/>
      </c>
      <c r="U49" s="16">
        <f>INDEX(param_values,MATCH("container_payload_mt_"&amp;$R49,param_keys,0))</f>
        <v/>
      </c>
      <c r="V49" s="16">
        <f>INDEX(param_values,MATCH("container_payload_mt_"&amp;$R49&amp;"_"&amp;$C49,param_keys,0))</f>
        <v/>
      </c>
      <c r="W49" s="16">
        <f>INDEX(param_values,MATCH("container_payload_mt_20ft_"&amp;$C49,param_keys,0))</f>
        <v/>
      </c>
      <c r="X49" s="18">
        <f>INDEX(param_values,MATCH("port_cf_charges_inr_t_"&amp;$S49,param_keys,0))</f>
        <v/>
      </c>
      <c r="Y49" s="8">
        <f>INDEX(param_values,MATCH(IF($D49="JEA_NSA","psic_required_uae_origin","psic_required_safe_origin_designated_port"),param_keys,0))</f>
        <v/>
      </c>
      <c r="Z49" s="19">
        <f>INDEX(param_values,MATCH("finance_days_"&amp;$T49,param_keys,0))</f>
        <v/>
      </c>
      <c r="AA49" s="15">
        <f>INDEX(param_values,MATCH("moisture_frac_"&amp;$C49,param_keys,0))</f>
        <v/>
      </c>
      <c r="AB49" s="15">
        <f>INDEX(param_values,MATCH("contamination_frac_"&amp;$C49,param_keys,0))</f>
        <v/>
      </c>
      <c r="AC49" s="15">
        <f>INDEX(param_values,MATCH("metal_yield_frac_"&amp;$C49,param_keys,0))</f>
        <v/>
      </c>
      <c r="AD49" s="15">
        <f>INDEX(param_values,MATCH("heavies_frac_"&amp;$C49,param_keys,0))</f>
        <v/>
      </c>
      <c r="AE49" s="8">
        <f>INDEX(param_values,MATCH("grade_factor_diff_"&amp;$C49,param_keys,0))</f>
        <v/>
      </c>
      <c r="AF49" s="16">
        <f>$F49*$P49</f>
        <v/>
      </c>
      <c r="AG49" s="8">
        <f>$U49/$V49</f>
        <v/>
      </c>
      <c r="AH49" s="16">
        <f>$L49*$AG49</f>
        <v/>
      </c>
      <c r="AI49" s="16">
        <f>$AF49-$AH49</f>
        <v/>
      </c>
      <c r="AJ49" s="16">
        <f>insurance_rate*insured_value_uplift*$AF49</f>
        <v/>
      </c>
      <c r="AK49" s="16">
        <f>$AF49+$AJ49</f>
        <v/>
      </c>
      <c r="AL49" s="18">
        <f>$AK49*$J49</f>
        <v/>
      </c>
      <c r="AM49" s="18">
        <f>$AK49*$I49</f>
        <v/>
      </c>
      <c r="AN49" s="18">
        <f>$AL49*bcd_scrap_hs7602</f>
        <v/>
      </c>
      <c r="AO49" s="18">
        <f>$AN49*sws_rate_on_bcd</f>
        <v/>
      </c>
      <c r="AP49" s="18">
        <f>($AL49+$AN49+$AO49)*igst_rate_hs7602</f>
        <v/>
      </c>
      <c r="AQ49" s="18">
        <f>$X49*$AG49+IF($Y49,psic_cost_usd_per_box*$H49/$W49,0)</f>
        <v/>
      </c>
      <c r="AR49" s="18">
        <f>($AM49+$AN49+$AO49)*$Z49/day_count_inr*$O49</f>
        <v/>
      </c>
      <c r="AS49" s="18">
        <f>$AP49*igst_credit_lag_days/day_count_inr*$O49</f>
        <v/>
      </c>
      <c r="AT49" s="18">
        <f>$AM49+$AN49+$AO49+$AQ49+$AR49+$AS49+IF(igst_itc_available,0,$AP49)</f>
        <v/>
      </c>
      <c r="AU49" s="15">
        <f>(1-$AA49)*(1-$AB49)*$AC49</f>
        <v/>
      </c>
      <c r="AV49" s="18">
        <f>$N49*kg_per_mt+domestic_anchor_premium_inr_t</f>
        <v/>
      </c>
      <c r="AW49" s="18">
        <f>(1-$AA49)*$AD49*heavies_net_value_frac_of_lme_al*$F49*$H49</f>
        <v/>
      </c>
      <c r="AX49" s="18">
        <f>conversion_cost_inr_t*$AU49</f>
        <v/>
      </c>
      <c r="AY49" s="18">
        <f>$AV49*$AU49+$AW49-$AT49-$AX49</f>
        <v/>
      </c>
      <c r="AZ49" s="16">
        <f>$AY49/$H49</f>
        <v/>
      </c>
      <c r="BA49" s="8">
        <f>$AY49&gt;margin_threshold_inr_t</f>
        <v/>
      </c>
      <c r="BB49" s="8">
        <f>$Q49+$AE49</f>
        <v/>
      </c>
      <c r="BC49" s="18">
        <f>$AT49-$AQ49</f>
        <v/>
      </c>
      <c r="BD49" s="18">
        <f>$AY49-$BC49*($BB49/$P49-1)</f>
        <v/>
      </c>
      <c r="BE49" s="18">
        <f>$AY49-(conv_step_5a-conversion_cost_inr_t)*$AU49</f>
        <v/>
      </c>
      <c r="BF49" s="8">
        <f>$BA49</f>
        <v/>
      </c>
      <c r="BG49" s="8">
        <f>$BD49&gt;margin_threshold_inr_t</f>
        <v/>
      </c>
      <c r="BH49" s="8">
        <f>$BE49&gt;margin_threshold_inr_t</f>
        <v/>
      </c>
      <c r="BI49" s="8">
        <f>AND($BF49,$BG49,$BH49)</f>
        <v/>
      </c>
      <c r="BJ49" s="8">
        <f>IF($BI49,1,0)</f>
        <v/>
      </c>
    </row>
    <row r="50">
      <c r="A50" s="11" t="n">
        <v>44617</v>
      </c>
      <c r="B50" s="11" t="n">
        <v>44617</v>
      </c>
      <c r="C50" s="7" t="inlineStr">
        <is>
          <t>taint_tabor</t>
        </is>
      </c>
      <c r="D50" s="7" t="inlineStr">
        <is>
          <t>JEA_NSA</t>
        </is>
      </c>
      <c r="E50" s="17" t="b">
        <v>0</v>
      </c>
      <c r="F50" s="16">
        <f>INDEX(Market_Weekly!$E$6:$E$48,MATCH($A50,Market_Weekly!$A$6:$A$48,0))</f>
        <v/>
      </c>
      <c r="G50" s="16">
        <f>INDEX(Market_Weekly!$D$6:$D$48,MATCH($A50,Market_Weekly!$A$6:$A$48,0))</f>
        <v/>
      </c>
      <c r="H50" s="16">
        <f>INDEX(Market_Weekly!$G$6:$G$48,MATCH($A50,Market_Weekly!$A$6:$A$48,0))</f>
        <v/>
      </c>
      <c r="I50" s="8">
        <f>INDEX(Market_Weekly!$H$6:$H$48,MATCH($A50,Market_Weekly!$A$6:$A$48,0))</f>
        <v/>
      </c>
      <c r="J50" s="8">
        <f>INDEX(Market_Weekly!$Q$6:$Q$48,MATCH($A50,Market_Weekly!$A$6:$A$48,0))</f>
        <v/>
      </c>
      <c r="K50" s="8">
        <f>INDEX(Market_Weekly!$V$6:$V$48,MATCH($A50,Market_Weekly!$A$6:$A$48,0))</f>
        <v/>
      </c>
      <c r="L50" s="16">
        <f>IF($D50="JEA_NSA",INDEX(Market_Weekly!$N$6:$N$48,MATCH($A50,Market_Weekly!$A$6:$A$48,0)),INDEX(Market_Weekly!$O$6:$O$48,MATCH($A50,Market_Weekly!$A$6:$A$48,0)))</f>
        <v/>
      </c>
      <c r="M50" s="8">
        <f>IF($D50="JEA_NSA","M1","M2")</f>
        <v/>
      </c>
      <c r="N50" s="16">
        <f>IF($D50="JEA_NSA",INDEX(Market_Weekly!$L$6:$L$48,MATCH($A50,Market_Weekly!$A$6:$A$48,0)),INDEX(Market_Weekly!$M$6:$M$48,MATCH($A50,Market_Weekly!$A$6:$A$48,0)))</f>
        <v/>
      </c>
      <c r="O50" s="15">
        <f>INDEX(Market_Weekly!$P$6:$P$48,MATCH($A50,Market_Weekly!$A$6:$A$48,0))</f>
        <v/>
      </c>
      <c r="P50" s="8">
        <f>INDEX(Market_Weekly!$R$6:$T$48,MATCH($A50,Market_Weekly!$A$6:$A$48,0),MATCH("grade_factor_"&amp;$C50,Market_Weekly!$R$5:$T$5,0))</f>
        <v/>
      </c>
      <c r="Q50" s="8">
        <f>INDEX(Market_Weekly!$U$6:$U$48,MATCH($A50,Market_Weekly!$A$6:$A$48,0))</f>
        <v/>
      </c>
      <c r="R50" s="8">
        <f>IF($D50="JEA_NSA","20ft","40ft")</f>
        <v/>
      </c>
      <c r="S50" s="8">
        <f>IF($D50="JEA_NSA","nsa","mun")</f>
        <v/>
      </c>
      <c r="T50" s="8">
        <f>IF($D50="JEA_NSA","jea_nsa","usec_mun")</f>
        <v/>
      </c>
      <c r="U50" s="16">
        <f>INDEX(param_values,MATCH("container_payload_mt_"&amp;$R50,param_keys,0))</f>
        <v/>
      </c>
      <c r="V50" s="16">
        <f>INDEX(param_values,MATCH("container_payload_mt_"&amp;$R50&amp;"_"&amp;$C50,param_keys,0))</f>
        <v/>
      </c>
      <c r="W50" s="16">
        <f>INDEX(param_values,MATCH("container_payload_mt_20ft_"&amp;$C50,param_keys,0))</f>
        <v/>
      </c>
      <c r="X50" s="18">
        <f>INDEX(param_values,MATCH("port_cf_charges_inr_t_"&amp;$S50,param_keys,0))</f>
        <v/>
      </c>
      <c r="Y50" s="8">
        <f>INDEX(param_values,MATCH(IF($D50="JEA_NSA","psic_required_uae_origin","psic_required_safe_origin_designated_port"),param_keys,0))</f>
        <v/>
      </c>
      <c r="Z50" s="19">
        <f>INDEX(param_values,MATCH("finance_days_"&amp;$T50,param_keys,0))</f>
        <v/>
      </c>
      <c r="AA50" s="15">
        <f>INDEX(param_values,MATCH("moisture_frac_"&amp;$C50,param_keys,0))</f>
        <v/>
      </c>
      <c r="AB50" s="15">
        <f>INDEX(param_values,MATCH("contamination_frac_"&amp;$C50,param_keys,0))</f>
        <v/>
      </c>
      <c r="AC50" s="15">
        <f>INDEX(param_values,MATCH("metal_yield_frac_"&amp;$C50,param_keys,0))</f>
        <v/>
      </c>
      <c r="AD50" s="15">
        <f>INDEX(param_values,MATCH("heavies_frac_"&amp;$C50,param_keys,0))</f>
        <v/>
      </c>
      <c r="AE50" s="8">
        <f>INDEX(param_values,MATCH("grade_factor_diff_"&amp;$C50,param_keys,0))</f>
        <v/>
      </c>
      <c r="AF50" s="16">
        <f>$F50*$P50</f>
        <v/>
      </c>
      <c r="AG50" s="8">
        <f>$U50/$V50</f>
        <v/>
      </c>
      <c r="AH50" s="16">
        <f>$L50*$AG50</f>
        <v/>
      </c>
      <c r="AI50" s="16">
        <f>$AF50-$AH50</f>
        <v/>
      </c>
      <c r="AJ50" s="16">
        <f>insurance_rate*insured_value_uplift*$AF50</f>
        <v/>
      </c>
      <c r="AK50" s="16">
        <f>$AF50+$AJ50</f>
        <v/>
      </c>
      <c r="AL50" s="18">
        <f>$AK50*$J50</f>
        <v/>
      </c>
      <c r="AM50" s="18">
        <f>$AK50*$I50</f>
        <v/>
      </c>
      <c r="AN50" s="18">
        <f>$AL50*bcd_scrap_hs7602</f>
        <v/>
      </c>
      <c r="AO50" s="18">
        <f>$AN50*sws_rate_on_bcd</f>
        <v/>
      </c>
      <c r="AP50" s="18">
        <f>($AL50+$AN50+$AO50)*igst_rate_hs7602</f>
        <v/>
      </c>
      <c r="AQ50" s="18">
        <f>$X50*$AG50+IF($Y50,psic_cost_usd_per_box*$H50/$W50,0)</f>
        <v/>
      </c>
      <c r="AR50" s="18">
        <f>($AM50+$AN50+$AO50)*$Z50/day_count_inr*$O50</f>
        <v/>
      </c>
      <c r="AS50" s="18">
        <f>$AP50*igst_credit_lag_days/day_count_inr*$O50</f>
        <v/>
      </c>
      <c r="AT50" s="18">
        <f>$AM50+$AN50+$AO50+$AQ50+$AR50+$AS50+IF(igst_itc_available,0,$AP50)</f>
        <v/>
      </c>
      <c r="AU50" s="15">
        <f>(1-$AA50)*(1-$AB50)*$AC50</f>
        <v/>
      </c>
      <c r="AV50" s="18">
        <f>$N50*kg_per_mt+domestic_anchor_premium_inr_t</f>
        <v/>
      </c>
      <c r="AW50" s="18">
        <f>(1-$AA50)*$AD50*heavies_net_value_frac_of_lme_al*$F50*$H50</f>
        <v/>
      </c>
      <c r="AX50" s="18">
        <f>conversion_cost_inr_t*$AU50</f>
        <v/>
      </c>
      <c r="AY50" s="18">
        <f>$AV50*$AU50+$AW50-$AT50-$AX50</f>
        <v/>
      </c>
      <c r="AZ50" s="16">
        <f>$AY50/$H50</f>
        <v/>
      </c>
      <c r="BA50" s="8">
        <f>$AY50&gt;margin_threshold_inr_t</f>
        <v/>
      </c>
      <c r="BB50" s="8">
        <f>$Q50+$AE50</f>
        <v/>
      </c>
      <c r="BC50" s="18">
        <f>$AT50-$AQ50</f>
        <v/>
      </c>
      <c r="BD50" s="18">
        <f>$AY50-$BC50*($BB50/$P50-1)</f>
        <v/>
      </c>
      <c r="BE50" s="18">
        <f>$AY50-(conv_step_5a-conversion_cost_inr_t)*$AU50</f>
        <v/>
      </c>
      <c r="BF50" s="8">
        <f>$BA50</f>
        <v/>
      </c>
      <c r="BG50" s="8">
        <f>$BD50&gt;margin_threshold_inr_t</f>
        <v/>
      </c>
      <c r="BH50" s="8">
        <f>$BE50&gt;margin_threshold_inr_t</f>
        <v/>
      </c>
      <c r="BI50" s="8">
        <f>AND($BF50,$BG50,$BH50)</f>
        <v/>
      </c>
      <c r="BJ50" s="8">
        <f>IF($BI50,1,0)</f>
        <v/>
      </c>
    </row>
    <row r="51">
      <c r="A51" s="11" t="n">
        <v>44617</v>
      </c>
      <c r="B51" s="11" t="n">
        <v>44617</v>
      </c>
      <c r="C51" s="7" t="inlineStr">
        <is>
          <t>taint_tabor</t>
        </is>
      </c>
      <c r="D51" s="7" t="inlineStr">
        <is>
          <t>USEC_MUN</t>
        </is>
      </c>
      <c r="E51" s="17" t="b">
        <v>0</v>
      </c>
      <c r="F51" s="16">
        <f>INDEX(Market_Weekly!$E$6:$E$48,MATCH($A51,Market_Weekly!$A$6:$A$48,0))</f>
        <v/>
      </c>
      <c r="G51" s="16">
        <f>INDEX(Market_Weekly!$D$6:$D$48,MATCH($A51,Market_Weekly!$A$6:$A$48,0))</f>
        <v/>
      </c>
      <c r="H51" s="16">
        <f>INDEX(Market_Weekly!$G$6:$G$48,MATCH($A51,Market_Weekly!$A$6:$A$48,0))</f>
        <v/>
      </c>
      <c r="I51" s="8">
        <f>INDEX(Market_Weekly!$H$6:$H$48,MATCH($A51,Market_Weekly!$A$6:$A$48,0))</f>
        <v/>
      </c>
      <c r="J51" s="8">
        <f>INDEX(Market_Weekly!$Q$6:$Q$48,MATCH($A51,Market_Weekly!$A$6:$A$48,0))</f>
        <v/>
      </c>
      <c r="K51" s="8">
        <f>INDEX(Market_Weekly!$V$6:$V$48,MATCH($A51,Market_Weekly!$A$6:$A$48,0))</f>
        <v/>
      </c>
      <c r="L51" s="16">
        <f>IF($D51="JEA_NSA",INDEX(Market_Weekly!$N$6:$N$48,MATCH($A51,Market_Weekly!$A$6:$A$48,0)),INDEX(Market_Weekly!$O$6:$O$48,MATCH($A51,Market_Weekly!$A$6:$A$48,0)))</f>
        <v/>
      </c>
      <c r="M51" s="8">
        <f>IF($D51="JEA_NSA","M1","M2")</f>
        <v/>
      </c>
      <c r="N51" s="16">
        <f>IF($D51="JEA_NSA",INDEX(Market_Weekly!$L$6:$L$48,MATCH($A51,Market_Weekly!$A$6:$A$48,0)),INDEX(Market_Weekly!$M$6:$M$48,MATCH($A51,Market_Weekly!$A$6:$A$48,0)))</f>
        <v/>
      </c>
      <c r="O51" s="15">
        <f>INDEX(Market_Weekly!$P$6:$P$48,MATCH($A51,Market_Weekly!$A$6:$A$48,0))</f>
        <v/>
      </c>
      <c r="P51" s="8">
        <f>INDEX(Market_Weekly!$R$6:$T$48,MATCH($A51,Market_Weekly!$A$6:$A$48,0),MATCH("grade_factor_"&amp;$C51,Market_Weekly!$R$5:$T$5,0))</f>
        <v/>
      </c>
      <c r="Q51" s="8">
        <f>INDEX(Market_Weekly!$U$6:$U$48,MATCH($A51,Market_Weekly!$A$6:$A$48,0))</f>
        <v/>
      </c>
      <c r="R51" s="8">
        <f>IF($D51="JEA_NSA","20ft","40ft")</f>
        <v/>
      </c>
      <c r="S51" s="8">
        <f>IF($D51="JEA_NSA","nsa","mun")</f>
        <v/>
      </c>
      <c r="T51" s="8">
        <f>IF($D51="JEA_NSA","jea_nsa","usec_mun")</f>
        <v/>
      </c>
      <c r="U51" s="16">
        <f>INDEX(param_values,MATCH("container_payload_mt_"&amp;$R51,param_keys,0))</f>
        <v/>
      </c>
      <c r="V51" s="16">
        <f>INDEX(param_values,MATCH("container_payload_mt_"&amp;$R51&amp;"_"&amp;$C51,param_keys,0))</f>
        <v/>
      </c>
      <c r="W51" s="16">
        <f>INDEX(param_values,MATCH("container_payload_mt_20ft_"&amp;$C51,param_keys,0))</f>
        <v/>
      </c>
      <c r="X51" s="18">
        <f>INDEX(param_values,MATCH("port_cf_charges_inr_t_"&amp;$S51,param_keys,0))</f>
        <v/>
      </c>
      <c r="Y51" s="8">
        <f>INDEX(param_values,MATCH(IF($D51="JEA_NSA","psic_required_uae_origin","psic_required_safe_origin_designated_port"),param_keys,0))</f>
        <v/>
      </c>
      <c r="Z51" s="19">
        <f>INDEX(param_values,MATCH("finance_days_"&amp;$T51,param_keys,0))</f>
        <v/>
      </c>
      <c r="AA51" s="15">
        <f>INDEX(param_values,MATCH("moisture_frac_"&amp;$C51,param_keys,0))</f>
        <v/>
      </c>
      <c r="AB51" s="15">
        <f>INDEX(param_values,MATCH("contamination_frac_"&amp;$C51,param_keys,0))</f>
        <v/>
      </c>
      <c r="AC51" s="15">
        <f>INDEX(param_values,MATCH("metal_yield_frac_"&amp;$C51,param_keys,0))</f>
        <v/>
      </c>
      <c r="AD51" s="15">
        <f>INDEX(param_values,MATCH("heavies_frac_"&amp;$C51,param_keys,0))</f>
        <v/>
      </c>
      <c r="AE51" s="8">
        <f>INDEX(param_values,MATCH("grade_factor_diff_"&amp;$C51,param_keys,0))</f>
        <v/>
      </c>
      <c r="AF51" s="16">
        <f>$F51*$P51</f>
        <v/>
      </c>
      <c r="AG51" s="8">
        <f>$U51/$V51</f>
        <v/>
      </c>
      <c r="AH51" s="16">
        <f>$L51*$AG51</f>
        <v/>
      </c>
      <c r="AI51" s="16">
        <f>$AF51-$AH51</f>
        <v/>
      </c>
      <c r="AJ51" s="16">
        <f>insurance_rate*insured_value_uplift*$AF51</f>
        <v/>
      </c>
      <c r="AK51" s="16">
        <f>$AF51+$AJ51</f>
        <v/>
      </c>
      <c r="AL51" s="18">
        <f>$AK51*$J51</f>
        <v/>
      </c>
      <c r="AM51" s="18">
        <f>$AK51*$I51</f>
        <v/>
      </c>
      <c r="AN51" s="18">
        <f>$AL51*bcd_scrap_hs7602</f>
        <v/>
      </c>
      <c r="AO51" s="18">
        <f>$AN51*sws_rate_on_bcd</f>
        <v/>
      </c>
      <c r="AP51" s="18">
        <f>($AL51+$AN51+$AO51)*igst_rate_hs7602</f>
        <v/>
      </c>
      <c r="AQ51" s="18">
        <f>$X51*$AG51+IF($Y51,psic_cost_usd_per_box*$H51/$W51,0)</f>
        <v/>
      </c>
      <c r="AR51" s="18">
        <f>($AM51+$AN51+$AO51)*$Z51/day_count_inr*$O51</f>
        <v/>
      </c>
      <c r="AS51" s="18">
        <f>$AP51*igst_credit_lag_days/day_count_inr*$O51</f>
        <v/>
      </c>
      <c r="AT51" s="18">
        <f>$AM51+$AN51+$AO51+$AQ51+$AR51+$AS51+IF(igst_itc_available,0,$AP51)</f>
        <v/>
      </c>
      <c r="AU51" s="15">
        <f>(1-$AA51)*(1-$AB51)*$AC51</f>
        <v/>
      </c>
      <c r="AV51" s="18">
        <f>$N51*kg_per_mt+domestic_anchor_premium_inr_t</f>
        <v/>
      </c>
      <c r="AW51" s="18">
        <f>(1-$AA51)*$AD51*heavies_net_value_frac_of_lme_al*$F51*$H51</f>
        <v/>
      </c>
      <c r="AX51" s="18">
        <f>conversion_cost_inr_t*$AU51</f>
        <v/>
      </c>
      <c r="AY51" s="18">
        <f>$AV51*$AU51+$AW51-$AT51-$AX51</f>
        <v/>
      </c>
      <c r="AZ51" s="16">
        <f>$AY51/$H51</f>
        <v/>
      </c>
      <c r="BA51" s="8">
        <f>$AY51&gt;margin_threshold_inr_t</f>
        <v/>
      </c>
      <c r="BB51" s="8">
        <f>$Q51+$AE51</f>
        <v/>
      </c>
      <c r="BC51" s="18">
        <f>$AT51-$AQ51</f>
        <v/>
      </c>
      <c r="BD51" s="18">
        <f>$AY51-$BC51*($BB51/$P51-1)</f>
        <v/>
      </c>
      <c r="BE51" s="18">
        <f>$AY51-(conv_step_5a-conversion_cost_inr_t)*$AU51</f>
        <v/>
      </c>
      <c r="BF51" s="8">
        <f>$BA51</f>
        <v/>
      </c>
      <c r="BG51" s="8">
        <f>$BD51&gt;margin_threshold_inr_t</f>
        <v/>
      </c>
      <c r="BH51" s="8">
        <f>$BE51&gt;margin_threshold_inr_t</f>
        <v/>
      </c>
      <c r="BI51" s="8">
        <f>AND($BF51,$BG51,$BH51)</f>
        <v/>
      </c>
      <c r="BJ51" s="8">
        <f>IF($BI51,1,0)</f>
        <v/>
      </c>
    </row>
    <row r="52">
      <c r="A52" s="11" t="n">
        <v>44617</v>
      </c>
      <c r="B52" s="11" t="n">
        <v>44617</v>
      </c>
      <c r="C52" s="7" t="inlineStr">
        <is>
          <t>tense</t>
        </is>
      </c>
      <c r="D52" s="7" t="inlineStr">
        <is>
          <t>JEA_NSA</t>
        </is>
      </c>
      <c r="E52" s="17" t="b">
        <v>0</v>
      </c>
      <c r="F52" s="16">
        <f>INDEX(Market_Weekly!$E$6:$E$48,MATCH($A52,Market_Weekly!$A$6:$A$48,0))</f>
        <v/>
      </c>
      <c r="G52" s="16">
        <f>INDEX(Market_Weekly!$D$6:$D$48,MATCH($A52,Market_Weekly!$A$6:$A$48,0))</f>
        <v/>
      </c>
      <c r="H52" s="16">
        <f>INDEX(Market_Weekly!$G$6:$G$48,MATCH($A52,Market_Weekly!$A$6:$A$48,0))</f>
        <v/>
      </c>
      <c r="I52" s="8">
        <f>INDEX(Market_Weekly!$H$6:$H$48,MATCH($A52,Market_Weekly!$A$6:$A$48,0))</f>
        <v/>
      </c>
      <c r="J52" s="8">
        <f>INDEX(Market_Weekly!$Q$6:$Q$48,MATCH($A52,Market_Weekly!$A$6:$A$48,0))</f>
        <v/>
      </c>
      <c r="K52" s="8">
        <f>INDEX(Market_Weekly!$V$6:$V$48,MATCH($A52,Market_Weekly!$A$6:$A$48,0))</f>
        <v/>
      </c>
      <c r="L52" s="16">
        <f>IF($D52="JEA_NSA",INDEX(Market_Weekly!$N$6:$N$48,MATCH($A52,Market_Weekly!$A$6:$A$48,0)),INDEX(Market_Weekly!$O$6:$O$48,MATCH($A52,Market_Weekly!$A$6:$A$48,0)))</f>
        <v/>
      </c>
      <c r="M52" s="8">
        <f>IF($D52="JEA_NSA","M1","M2")</f>
        <v/>
      </c>
      <c r="N52" s="16">
        <f>IF($D52="JEA_NSA",INDEX(Market_Weekly!$L$6:$L$48,MATCH($A52,Market_Weekly!$A$6:$A$48,0)),INDEX(Market_Weekly!$M$6:$M$48,MATCH($A52,Market_Weekly!$A$6:$A$48,0)))</f>
        <v/>
      </c>
      <c r="O52" s="15">
        <f>INDEX(Market_Weekly!$P$6:$P$48,MATCH($A52,Market_Weekly!$A$6:$A$48,0))</f>
        <v/>
      </c>
      <c r="P52" s="8">
        <f>INDEX(Market_Weekly!$R$6:$T$48,MATCH($A52,Market_Weekly!$A$6:$A$48,0),MATCH("grade_factor_"&amp;$C52,Market_Weekly!$R$5:$T$5,0))</f>
        <v/>
      </c>
      <c r="Q52" s="8">
        <f>INDEX(Market_Weekly!$U$6:$U$48,MATCH($A52,Market_Weekly!$A$6:$A$48,0))</f>
        <v/>
      </c>
      <c r="R52" s="8">
        <f>IF($D52="JEA_NSA","20ft","40ft")</f>
        <v/>
      </c>
      <c r="S52" s="8">
        <f>IF($D52="JEA_NSA","nsa","mun")</f>
        <v/>
      </c>
      <c r="T52" s="8">
        <f>IF($D52="JEA_NSA","jea_nsa","usec_mun")</f>
        <v/>
      </c>
      <c r="U52" s="16">
        <f>INDEX(param_values,MATCH("container_payload_mt_"&amp;$R52,param_keys,0))</f>
        <v/>
      </c>
      <c r="V52" s="16">
        <f>INDEX(param_values,MATCH("container_payload_mt_"&amp;$R52&amp;"_"&amp;$C52,param_keys,0))</f>
        <v/>
      </c>
      <c r="W52" s="16">
        <f>INDEX(param_values,MATCH("container_payload_mt_20ft_"&amp;$C52,param_keys,0))</f>
        <v/>
      </c>
      <c r="X52" s="18">
        <f>INDEX(param_values,MATCH("port_cf_charges_inr_t_"&amp;$S52,param_keys,0))</f>
        <v/>
      </c>
      <c r="Y52" s="8">
        <f>INDEX(param_values,MATCH(IF($D52="JEA_NSA","psic_required_uae_origin","psic_required_safe_origin_designated_port"),param_keys,0))</f>
        <v/>
      </c>
      <c r="Z52" s="19">
        <f>INDEX(param_values,MATCH("finance_days_"&amp;$T52,param_keys,0))</f>
        <v/>
      </c>
      <c r="AA52" s="15">
        <f>INDEX(param_values,MATCH("moisture_frac_"&amp;$C52,param_keys,0))</f>
        <v/>
      </c>
      <c r="AB52" s="15">
        <f>INDEX(param_values,MATCH("contamination_frac_"&amp;$C52,param_keys,0))</f>
        <v/>
      </c>
      <c r="AC52" s="15">
        <f>INDEX(param_values,MATCH("metal_yield_frac_"&amp;$C52,param_keys,0))</f>
        <v/>
      </c>
      <c r="AD52" s="15">
        <f>INDEX(param_values,MATCH("heavies_frac_"&amp;$C52,param_keys,0))</f>
        <v/>
      </c>
      <c r="AE52" s="8">
        <f>INDEX(param_values,MATCH("grade_factor_diff_"&amp;$C52,param_keys,0))</f>
        <v/>
      </c>
      <c r="AF52" s="16">
        <f>$F52*$P52</f>
        <v/>
      </c>
      <c r="AG52" s="8">
        <f>$U52/$V52</f>
        <v/>
      </c>
      <c r="AH52" s="16">
        <f>$L52*$AG52</f>
        <v/>
      </c>
      <c r="AI52" s="16">
        <f>$AF52-$AH52</f>
        <v/>
      </c>
      <c r="AJ52" s="16">
        <f>insurance_rate*insured_value_uplift*$AF52</f>
        <v/>
      </c>
      <c r="AK52" s="16">
        <f>$AF52+$AJ52</f>
        <v/>
      </c>
      <c r="AL52" s="18">
        <f>$AK52*$J52</f>
        <v/>
      </c>
      <c r="AM52" s="18">
        <f>$AK52*$I52</f>
        <v/>
      </c>
      <c r="AN52" s="18">
        <f>$AL52*bcd_scrap_hs7602</f>
        <v/>
      </c>
      <c r="AO52" s="18">
        <f>$AN52*sws_rate_on_bcd</f>
        <v/>
      </c>
      <c r="AP52" s="18">
        <f>($AL52+$AN52+$AO52)*igst_rate_hs7602</f>
        <v/>
      </c>
      <c r="AQ52" s="18">
        <f>$X52*$AG52+IF($Y52,psic_cost_usd_per_box*$H52/$W52,0)</f>
        <v/>
      </c>
      <c r="AR52" s="18">
        <f>($AM52+$AN52+$AO52)*$Z52/day_count_inr*$O52</f>
        <v/>
      </c>
      <c r="AS52" s="18">
        <f>$AP52*igst_credit_lag_days/day_count_inr*$O52</f>
        <v/>
      </c>
      <c r="AT52" s="18">
        <f>$AM52+$AN52+$AO52+$AQ52+$AR52+$AS52+IF(igst_itc_available,0,$AP52)</f>
        <v/>
      </c>
      <c r="AU52" s="15">
        <f>(1-$AA52)*(1-$AB52)*$AC52</f>
        <v/>
      </c>
      <c r="AV52" s="18">
        <f>$N52*kg_per_mt+domestic_anchor_premium_inr_t</f>
        <v/>
      </c>
      <c r="AW52" s="18">
        <f>(1-$AA52)*$AD52*heavies_net_value_frac_of_lme_al*$F52*$H52</f>
        <v/>
      </c>
      <c r="AX52" s="18">
        <f>conversion_cost_inr_t*$AU52</f>
        <v/>
      </c>
      <c r="AY52" s="18">
        <f>$AV52*$AU52+$AW52-$AT52-$AX52</f>
        <v/>
      </c>
      <c r="AZ52" s="16">
        <f>$AY52/$H52</f>
        <v/>
      </c>
      <c r="BA52" s="8">
        <f>$AY52&gt;margin_threshold_inr_t</f>
        <v/>
      </c>
      <c r="BB52" s="8">
        <f>$Q52+$AE52</f>
        <v/>
      </c>
      <c r="BC52" s="18">
        <f>$AT52-$AQ52</f>
        <v/>
      </c>
      <c r="BD52" s="18">
        <f>$AY52-$BC52*($BB52/$P52-1)</f>
        <v/>
      </c>
      <c r="BE52" s="18">
        <f>$AY52-(conv_step_5a-conversion_cost_inr_t)*$AU52</f>
        <v/>
      </c>
      <c r="BF52" s="8">
        <f>$BA52</f>
        <v/>
      </c>
      <c r="BG52" s="8">
        <f>$BD52&gt;margin_threshold_inr_t</f>
        <v/>
      </c>
      <c r="BH52" s="8">
        <f>$BE52&gt;margin_threshold_inr_t</f>
        <v/>
      </c>
      <c r="BI52" s="8">
        <f>AND($BF52,$BG52,$BH52)</f>
        <v/>
      </c>
      <c r="BJ52" s="8">
        <f>IF($BI52,1,0)</f>
        <v/>
      </c>
    </row>
    <row r="53">
      <c r="A53" s="11" t="n">
        <v>44617</v>
      </c>
      <c r="B53" s="11" t="n">
        <v>44617</v>
      </c>
      <c r="C53" s="7" t="inlineStr">
        <is>
          <t>tense</t>
        </is>
      </c>
      <c r="D53" s="7" t="inlineStr">
        <is>
          <t>USEC_MUN</t>
        </is>
      </c>
      <c r="E53" s="17" t="b">
        <v>0</v>
      </c>
      <c r="F53" s="16">
        <f>INDEX(Market_Weekly!$E$6:$E$48,MATCH($A53,Market_Weekly!$A$6:$A$48,0))</f>
        <v/>
      </c>
      <c r="G53" s="16">
        <f>INDEX(Market_Weekly!$D$6:$D$48,MATCH($A53,Market_Weekly!$A$6:$A$48,0))</f>
        <v/>
      </c>
      <c r="H53" s="16">
        <f>INDEX(Market_Weekly!$G$6:$G$48,MATCH($A53,Market_Weekly!$A$6:$A$48,0))</f>
        <v/>
      </c>
      <c r="I53" s="8">
        <f>INDEX(Market_Weekly!$H$6:$H$48,MATCH($A53,Market_Weekly!$A$6:$A$48,0))</f>
        <v/>
      </c>
      <c r="J53" s="8">
        <f>INDEX(Market_Weekly!$Q$6:$Q$48,MATCH($A53,Market_Weekly!$A$6:$A$48,0))</f>
        <v/>
      </c>
      <c r="K53" s="8">
        <f>INDEX(Market_Weekly!$V$6:$V$48,MATCH($A53,Market_Weekly!$A$6:$A$48,0))</f>
        <v/>
      </c>
      <c r="L53" s="16">
        <f>IF($D53="JEA_NSA",INDEX(Market_Weekly!$N$6:$N$48,MATCH($A53,Market_Weekly!$A$6:$A$48,0)),INDEX(Market_Weekly!$O$6:$O$48,MATCH($A53,Market_Weekly!$A$6:$A$48,0)))</f>
        <v/>
      </c>
      <c r="M53" s="8">
        <f>IF($D53="JEA_NSA","M1","M2")</f>
        <v/>
      </c>
      <c r="N53" s="16">
        <f>IF($D53="JEA_NSA",INDEX(Market_Weekly!$L$6:$L$48,MATCH($A53,Market_Weekly!$A$6:$A$48,0)),INDEX(Market_Weekly!$M$6:$M$48,MATCH($A53,Market_Weekly!$A$6:$A$48,0)))</f>
        <v/>
      </c>
      <c r="O53" s="15">
        <f>INDEX(Market_Weekly!$P$6:$P$48,MATCH($A53,Market_Weekly!$A$6:$A$48,0))</f>
        <v/>
      </c>
      <c r="P53" s="8">
        <f>INDEX(Market_Weekly!$R$6:$T$48,MATCH($A53,Market_Weekly!$A$6:$A$48,0),MATCH("grade_factor_"&amp;$C53,Market_Weekly!$R$5:$T$5,0))</f>
        <v/>
      </c>
      <c r="Q53" s="8">
        <f>INDEX(Market_Weekly!$U$6:$U$48,MATCH($A53,Market_Weekly!$A$6:$A$48,0))</f>
        <v/>
      </c>
      <c r="R53" s="8">
        <f>IF($D53="JEA_NSA","20ft","40ft")</f>
        <v/>
      </c>
      <c r="S53" s="8">
        <f>IF($D53="JEA_NSA","nsa","mun")</f>
        <v/>
      </c>
      <c r="T53" s="8">
        <f>IF($D53="JEA_NSA","jea_nsa","usec_mun")</f>
        <v/>
      </c>
      <c r="U53" s="16">
        <f>INDEX(param_values,MATCH("container_payload_mt_"&amp;$R53,param_keys,0))</f>
        <v/>
      </c>
      <c r="V53" s="16">
        <f>INDEX(param_values,MATCH("container_payload_mt_"&amp;$R53&amp;"_"&amp;$C53,param_keys,0))</f>
        <v/>
      </c>
      <c r="W53" s="16">
        <f>INDEX(param_values,MATCH("container_payload_mt_20ft_"&amp;$C53,param_keys,0))</f>
        <v/>
      </c>
      <c r="X53" s="18">
        <f>INDEX(param_values,MATCH("port_cf_charges_inr_t_"&amp;$S53,param_keys,0))</f>
        <v/>
      </c>
      <c r="Y53" s="8">
        <f>INDEX(param_values,MATCH(IF($D53="JEA_NSA","psic_required_uae_origin","psic_required_safe_origin_designated_port"),param_keys,0))</f>
        <v/>
      </c>
      <c r="Z53" s="19">
        <f>INDEX(param_values,MATCH("finance_days_"&amp;$T53,param_keys,0))</f>
        <v/>
      </c>
      <c r="AA53" s="15">
        <f>INDEX(param_values,MATCH("moisture_frac_"&amp;$C53,param_keys,0))</f>
        <v/>
      </c>
      <c r="AB53" s="15">
        <f>INDEX(param_values,MATCH("contamination_frac_"&amp;$C53,param_keys,0))</f>
        <v/>
      </c>
      <c r="AC53" s="15">
        <f>INDEX(param_values,MATCH("metal_yield_frac_"&amp;$C53,param_keys,0))</f>
        <v/>
      </c>
      <c r="AD53" s="15">
        <f>INDEX(param_values,MATCH("heavies_frac_"&amp;$C53,param_keys,0))</f>
        <v/>
      </c>
      <c r="AE53" s="8">
        <f>INDEX(param_values,MATCH("grade_factor_diff_"&amp;$C53,param_keys,0))</f>
        <v/>
      </c>
      <c r="AF53" s="16">
        <f>$F53*$P53</f>
        <v/>
      </c>
      <c r="AG53" s="8">
        <f>$U53/$V53</f>
        <v/>
      </c>
      <c r="AH53" s="16">
        <f>$L53*$AG53</f>
        <v/>
      </c>
      <c r="AI53" s="16">
        <f>$AF53-$AH53</f>
        <v/>
      </c>
      <c r="AJ53" s="16">
        <f>insurance_rate*insured_value_uplift*$AF53</f>
        <v/>
      </c>
      <c r="AK53" s="16">
        <f>$AF53+$AJ53</f>
        <v/>
      </c>
      <c r="AL53" s="18">
        <f>$AK53*$J53</f>
        <v/>
      </c>
      <c r="AM53" s="18">
        <f>$AK53*$I53</f>
        <v/>
      </c>
      <c r="AN53" s="18">
        <f>$AL53*bcd_scrap_hs7602</f>
        <v/>
      </c>
      <c r="AO53" s="18">
        <f>$AN53*sws_rate_on_bcd</f>
        <v/>
      </c>
      <c r="AP53" s="18">
        <f>($AL53+$AN53+$AO53)*igst_rate_hs7602</f>
        <v/>
      </c>
      <c r="AQ53" s="18">
        <f>$X53*$AG53+IF($Y53,psic_cost_usd_per_box*$H53/$W53,0)</f>
        <v/>
      </c>
      <c r="AR53" s="18">
        <f>($AM53+$AN53+$AO53)*$Z53/day_count_inr*$O53</f>
        <v/>
      </c>
      <c r="AS53" s="18">
        <f>$AP53*igst_credit_lag_days/day_count_inr*$O53</f>
        <v/>
      </c>
      <c r="AT53" s="18">
        <f>$AM53+$AN53+$AO53+$AQ53+$AR53+$AS53+IF(igst_itc_available,0,$AP53)</f>
        <v/>
      </c>
      <c r="AU53" s="15">
        <f>(1-$AA53)*(1-$AB53)*$AC53</f>
        <v/>
      </c>
      <c r="AV53" s="18">
        <f>$N53*kg_per_mt+domestic_anchor_premium_inr_t</f>
        <v/>
      </c>
      <c r="AW53" s="18">
        <f>(1-$AA53)*$AD53*heavies_net_value_frac_of_lme_al*$F53*$H53</f>
        <v/>
      </c>
      <c r="AX53" s="18">
        <f>conversion_cost_inr_t*$AU53</f>
        <v/>
      </c>
      <c r="AY53" s="18">
        <f>$AV53*$AU53+$AW53-$AT53-$AX53</f>
        <v/>
      </c>
      <c r="AZ53" s="16">
        <f>$AY53/$H53</f>
        <v/>
      </c>
      <c r="BA53" s="8">
        <f>$AY53&gt;margin_threshold_inr_t</f>
        <v/>
      </c>
      <c r="BB53" s="8">
        <f>$Q53+$AE53</f>
        <v/>
      </c>
      <c r="BC53" s="18">
        <f>$AT53-$AQ53</f>
        <v/>
      </c>
      <c r="BD53" s="18">
        <f>$AY53-$BC53*($BB53/$P53-1)</f>
        <v/>
      </c>
      <c r="BE53" s="18">
        <f>$AY53-(conv_step_5a-conversion_cost_inr_t)*$AU53</f>
        <v/>
      </c>
      <c r="BF53" s="8">
        <f>$BA53</f>
        <v/>
      </c>
      <c r="BG53" s="8">
        <f>$BD53&gt;margin_threshold_inr_t</f>
        <v/>
      </c>
      <c r="BH53" s="8">
        <f>$BE53&gt;margin_threshold_inr_t</f>
        <v/>
      </c>
      <c r="BI53" s="8">
        <f>AND($BF53,$BG53,$BH53)</f>
        <v/>
      </c>
      <c r="BJ53" s="8">
        <f>IF($BI53,1,0)</f>
        <v/>
      </c>
    </row>
    <row r="54">
      <c r="A54" s="11" t="n">
        <v>44624</v>
      </c>
      <c r="B54" s="11" t="n">
        <v>44624</v>
      </c>
      <c r="C54" s="7" t="inlineStr">
        <is>
          <t>zorba</t>
        </is>
      </c>
      <c r="D54" s="7" t="inlineStr">
        <is>
          <t>JEA_NSA</t>
        </is>
      </c>
      <c r="E54" s="17" t="b">
        <v>1</v>
      </c>
      <c r="F54" s="16">
        <f>INDEX(Market_Weekly!$E$6:$E$48,MATCH($A54,Market_Weekly!$A$6:$A$48,0))</f>
        <v/>
      </c>
      <c r="G54" s="16">
        <f>INDEX(Market_Weekly!$D$6:$D$48,MATCH($A54,Market_Weekly!$A$6:$A$48,0))</f>
        <v/>
      </c>
      <c r="H54" s="16">
        <f>INDEX(Market_Weekly!$G$6:$G$48,MATCH($A54,Market_Weekly!$A$6:$A$48,0))</f>
        <v/>
      </c>
      <c r="I54" s="8">
        <f>INDEX(Market_Weekly!$H$6:$H$48,MATCH($A54,Market_Weekly!$A$6:$A$48,0))</f>
        <v/>
      </c>
      <c r="J54" s="8">
        <f>INDEX(Market_Weekly!$Q$6:$Q$48,MATCH($A54,Market_Weekly!$A$6:$A$48,0))</f>
        <v/>
      </c>
      <c r="K54" s="8">
        <f>INDEX(Market_Weekly!$V$6:$V$48,MATCH($A54,Market_Weekly!$A$6:$A$48,0))</f>
        <v/>
      </c>
      <c r="L54" s="16">
        <f>IF($D54="JEA_NSA",INDEX(Market_Weekly!$N$6:$N$48,MATCH($A54,Market_Weekly!$A$6:$A$48,0)),INDEX(Market_Weekly!$O$6:$O$48,MATCH($A54,Market_Weekly!$A$6:$A$48,0)))</f>
        <v/>
      </c>
      <c r="M54" s="8">
        <f>IF($D54="JEA_NSA","M1","M2")</f>
        <v/>
      </c>
      <c r="N54" s="16">
        <f>IF($D54="JEA_NSA",INDEX(Market_Weekly!$L$6:$L$48,MATCH($A54,Market_Weekly!$A$6:$A$48,0)),INDEX(Market_Weekly!$M$6:$M$48,MATCH($A54,Market_Weekly!$A$6:$A$48,0)))</f>
        <v/>
      </c>
      <c r="O54" s="15">
        <f>INDEX(Market_Weekly!$P$6:$P$48,MATCH($A54,Market_Weekly!$A$6:$A$48,0))</f>
        <v/>
      </c>
      <c r="P54" s="8">
        <f>INDEX(Market_Weekly!$R$6:$T$48,MATCH($A54,Market_Weekly!$A$6:$A$48,0),MATCH("grade_factor_"&amp;$C54,Market_Weekly!$R$5:$T$5,0))</f>
        <v/>
      </c>
      <c r="Q54" s="8">
        <f>INDEX(Market_Weekly!$U$6:$U$48,MATCH($A54,Market_Weekly!$A$6:$A$48,0))</f>
        <v/>
      </c>
      <c r="R54" s="8">
        <f>IF($D54="JEA_NSA","20ft","40ft")</f>
        <v/>
      </c>
      <c r="S54" s="8">
        <f>IF($D54="JEA_NSA","nsa","mun")</f>
        <v/>
      </c>
      <c r="T54" s="8">
        <f>IF($D54="JEA_NSA","jea_nsa","usec_mun")</f>
        <v/>
      </c>
      <c r="U54" s="16">
        <f>INDEX(param_values,MATCH("container_payload_mt_"&amp;$R54,param_keys,0))</f>
        <v/>
      </c>
      <c r="V54" s="16">
        <f>INDEX(param_values,MATCH("container_payload_mt_"&amp;$R54&amp;"_"&amp;$C54,param_keys,0))</f>
        <v/>
      </c>
      <c r="W54" s="16">
        <f>INDEX(param_values,MATCH("container_payload_mt_20ft_"&amp;$C54,param_keys,0))</f>
        <v/>
      </c>
      <c r="X54" s="18">
        <f>INDEX(param_values,MATCH("port_cf_charges_inr_t_"&amp;$S54,param_keys,0))</f>
        <v/>
      </c>
      <c r="Y54" s="8">
        <f>INDEX(param_values,MATCH(IF($D54="JEA_NSA","psic_required_uae_origin","psic_required_safe_origin_designated_port"),param_keys,0))</f>
        <v/>
      </c>
      <c r="Z54" s="19">
        <f>INDEX(param_values,MATCH("finance_days_"&amp;$T54,param_keys,0))</f>
        <v/>
      </c>
      <c r="AA54" s="15">
        <f>INDEX(param_values,MATCH("moisture_frac_"&amp;$C54,param_keys,0))</f>
        <v/>
      </c>
      <c r="AB54" s="15">
        <f>INDEX(param_values,MATCH("contamination_frac_"&amp;$C54,param_keys,0))</f>
        <v/>
      </c>
      <c r="AC54" s="15">
        <f>INDEX(param_values,MATCH("metal_yield_frac_"&amp;$C54,param_keys,0))</f>
        <v/>
      </c>
      <c r="AD54" s="15">
        <f>INDEX(param_values,MATCH("heavies_frac_"&amp;$C54,param_keys,0))</f>
        <v/>
      </c>
      <c r="AE54" s="8">
        <f>INDEX(param_values,MATCH("grade_factor_diff_"&amp;$C54,param_keys,0))</f>
        <v/>
      </c>
      <c r="AF54" s="16">
        <f>$F54*$P54</f>
        <v/>
      </c>
      <c r="AG54" s="8">
        <f>$U54/$V54</f>
        <v/>
      </c>
      <c r="AH54" s="16">
        <f>$L54*$AG54</f>
        <v/>
      </c>
      <c r="AI54" s="16">
        <f>$AF54-$AH54</f>
        <v/>
      </c>
      <c r="AJ54" s="16">
        <f>insurance_rate*insured_value_uplift*$AF54</f>
        <v/>
      </c>
      <c r="AK54" s="16">
        <f>$AF54+$AJ54</f>
        <v/>
      </c>
      <c r="AL54" s="18">
        <f>$AK54*$J54</f>
        <v/>
      </c>
      <c r="AM54" s="18">
        <f>$AK54*$I54</f>
        <v/>
      </c>
      <c r="AN54" s="18">
        <f>$AL54*bcd_scrap_hs7602</f>
        <v/>
      </c>
      <c r="AO54" s="18">
        <f>$AN54*sws_rate_on_bcd</f>
        <v/>
      </c>
      <c r="AP54" s="18">
        <f>($AL54+$AN54+$AO54)*igst_rate_hs7602</f>
        <v/>
      </c>
      <c r="AQ54" s="18">
        <f>$X54*$AG54+IF($Y54,psic_cost_usd_per_box*$H54/$W54,0)</f>
        <v/>
      </c>
      <c r="AR54" s="18">
        <f>($AM54+$AN54+$AO54)*$Z54/day_count_inr*$O54</f>
        <v/>
      </c>
      <c r="AS54" s="18">
        <f>$AP54*igst_credit_lag_days/day_count_inr*$O54</f>
        <v/>
      </c>
      <c r="AT54" s="18">
        <f>$AM54+$AN54+$AO54+$AQ54+$AR54+$AS54+IF(igst_itc_available,0,$AP54)</f>
        <v/>
      </c>
      <c r="AU54" s="15">
        <f>(1-$AA54)*(1-$AB54)*$AC54</f>
        <v/>
      </c>
      <c r="AV54" s="18">
        <f>$N54*kg_per_mt+domestic_anchor_premium_inr_t</f>
        <v/>
      </c>
      <c r="AW54" s="18">
        <f>(1-$AA54)*$AD54*heavies_net_value_frac_of_lme_al*$F54*$H54</f>
        <v/>
      </c>
      <c r="AX54" s="18">
        <f>conversion_cost_inr_t*$AU54</f>
        <v/>
      </c>
      <c r="AY54" s="18">
        <f>$AV54*$AU54+$AW54-$AT54-$AX54</f>
        <v/>
      </c>
      <c r="AZ54" s="16">
        <f>$AY54/$H54</f>
        <v/>
      </c>
      <c r="BA54" s="8">
        <f>$AY54&gt;margin_threshold_inr_t</f>
        <v/>
      </c>
      <c r="BB54" s="8">
        <f>$Q54+$AE54</f>
        <v/>
      </c>
      <c r="BC54" s="18">
        <f>$AT54-$AQ54</f>
        <v/>
      </c>
      <c r="BD54" s="18">
        <f>$AY54-$BC54*($BB54/$P54-1)</f>
        <v/>
      </c>
      <c r="BE54" s="18">
        <f>$AY54-(conv_step_5a-conversion_cost_inr_t)*$AU54</f>
        <v/>
      </c>
      <c r="BF54" s="8">
        <f>$BA54</f>
        <v/>
      </c>
      <c r="BG54" s="8">
        <f>$BD54&gt;margin_threshold_inr_t</f>
        <v/>
      </c>
      <c r="BH54" s="8">
        <f>$BE54&gt;margin_threshold_inr_t</f>
        <v/>
      </c>
      <c r="BI54" s="8">
        <f>AND($BF54,$BG54,$BH54)</f>
        <v/>
      </c>
      <c r="BJ54" s="8">
        <f>IF($BI54,1,0)</f>
        <v/>
      </c>
    </row>
    <row r="55">
      <c r="A55" s="11" t="n">
        <v>44624</v>
      </c>
      <c r="B55" s="11" t="n">
        <v>44624</v>
      </c>
      <c r="C55" s="7" t="inlineStr">
        <is>
          <t>zorba</t>
        </is>
      </c>
      <c r="D55" s="7" t="inlineStr">
        <is>
          <t>USEC_MUN</t>
        </is>
      </c>
      <c r="E55" s="17" t="b">
        <v>1</v>
      </c>
      <c r="F55" s="16">
        <f>INDEX(Market_Weekly!$E$6:$E$48,MATCH($A55,Market_Weekly!$A$6:$A$48,0))</f>
        <v/>
      </c>
      <c r="G55" s="16">
        <f>INDEX(Market_Weekly!$D$6:$D$48,MATCH($A55,Market_Weekly!$A$6:$A$48,0))</f>
        <v/>
      </c>
      <c r="H55" s="16">
        <f>INDEX(Market_Weekly!$G$6:$G$48,MATCH($A55,Market_Weekly!$A$6:$A$48,0))</f>
        <v/>
      </c>
      <c r="I55" s="8">
        <f>INDEX(Market_Weekly!$H$6:$H$48,MATCH($A55,Market_Weekly!$A$6:$A$48,0))</f>
        <v/>
      </c>
      <c r="J55" s="8">
        <f>INDEX(Market_Weekly!$Q$6:$Q$48,MATCH($A55,Market_Weekly!$A$6:$A$48,0))</f>
        <v/>
      </c>
      <c r="K55" s="8">
        <f>INDEX(Market_Weekly!$V$6:$V$48,MATCH($A55,Market_Weekly!$A$6:$A$48,0))</f>
        <v/>
      </c>
      <c r="L55" s="16">
        <f>IF($D55="JEA_NSA",INDEX(Market_Weekly!$N$6:$N$48,MATCH($A55,Market_Weekly!$A$6:$A$48,0)),INDEX(Market_Weekly!$O$6:$O$48,MATCH($A55,Market_Weekly!$A$6:$A$48,0)))</f>
        <v/>
      </c>
      <c r="M55" s="8">
        <f>IF($D55="JEA_NSA","M1","M2")</f>
        <v/>
      </c>
      <c r="N55" s="16">
        <f>IF($D55="JEA_NSA",INDEX(Market_Weekly!$L$6:$L$48,MATCH($A55,Market_Weekly!$A$6:$A$48,0)),INDEX(Market_Weekly!$M$6:$M$48,MATCH($A55,Market_Weekly!$A$6:$A$48,0)))</f>
        <v/>
      </c>
      <c r="O55" s="15">
        <f>INDEX(Market_Weekly!$P$6:$P$48,MATCH($A55,Market_Weekly!$A$6:$A$48,0))</f>
        <v/>
      </c>
      <c r="P55" s="8">
        <f>INDEX(Market_Weekly!$R$6:$T$48,MATCH($A55,Market_Weekly!$A$6:$A$48,0),MATCH("grade_factor_"&amp;$C55,Market_Weekly!$R$5:$T$5,0))</f>
        <v/>
      </c>
      <c r="Q55" s="8">
        <f>INDEX(Market_Weekly!$U$6:$U$48,MATCH($A55,Market_Weekly!$A$6:$A$48,0))</f>
        <v/>
      </c>
      <c r="R55" s="8">
        <f>IF($D55="JEA_NSA","20ft","40ft")</f>
        <v/>
      </c>
      <c r="S55" s="8">
        <f>IF($D55="JEA_NSA","nsa","mun")</f>
        <v/>
      </c>
      <c r="T55" s="8">
        <f>IF($D55="JEA_NSA","jea_nsa","usec_mun")</f>
        <v/>
      </c>
      <c r="U55" s="16">
        <f>INDEX(param_values,MATCH("container_payload_mt_"&amp;$R55,param_keys,0))</f>
        <v/>
      </c>
      <c r="V55" s="16">
        <f>INDEX(param_values,MATCH("container_payload_mt_"&amp;$R55&amp;"_"&amp;$C55,param_keys,0))</f>
        <v/>
      </c>
      <c r="W55" s="16">
        <f>INDEX(param_values,MATCH("container_payload_mt_20ft_"&amp;$C55,param_keys,0))</f>
        <v/>
      </c>
      <c r="X55" s="18">
        <f>INDEX(param_values,MATCH("port_cf_charges_inr_t_"&amp;$S55,param_keys,0))</f>
        <v/>
      </c>
      <c r="Y55" s="8">
        <f>INDEX(param_values,MATCH(IF($D55="JEA_NSA","psic_required_uae_origin","psic_required_safe_origin_designated_port"),param_keys,0))</f>
        <v/>
      </c>
      <c r="Z55" s="19">
        <f>INDEX(param_values,MATCH("finance_days_"&amp;$T55,param_keys,0))</f>
        <v/>
      </c>
      <c r="AA55" s="15">
        <f>INDEX(param_values,MATCH("moisture_frac_"&amp;$C55,param_keys,0))</f>
        <v/>
      </c>
      <c r="AB55" s="15">
        <f>INDEX(param_values,MATCH("contamination_frac_"&amp;$C55,param_keys,0))</f>
        <v/>
      </c>
      <c r="AC55" s="15">
        <f>INDEX(param_values,MATCH("metal_yield_frac_"&amp;$C55,param_keys,0))</f>
        <v/>
      </c>
      <c r="AD55" s="15">
        <f>INDEX(param_values,MATCH("heavies_frac_"&amp;$C55,param_keys,0))</f>
        <v/>
      </c>
      <c r="AE55" s="8">
        <f>INDEX(param_values,MATCH("grade_factor_diff_"&amp;$C55,param_keys,0))</f>
        <v/>
      </c>
      <c r="AF55" s="16">
        <f>$F55*$P55</f>
        <v/>
      </c>
      <c r="AG55" s="8">
        <f>$U55/$V55</f>
        <v/>
      </c>
      <c r="AH55" s="16">
        <f>$L55*$AG55</f>
        <v/>
      </c>
      <c r="AI55" s="16">
        <f>$AF55-$AH55</f>
        <v/>
      </c>
      <c r="AJ55" s="16">
        <f>insurance_rate*insured_value_uplift*$AF55</f>
        <v/>
      </c>
      <c r="AK55" s="16">
        <f>$AF55+$AJ55</f>
        <v/>
      </c>
      <c r="AL55" s="18">
        <f>$AK55*$J55</f>
        <v/>
      </c>
      <c r="AM55" s="18">
        <f>$AK55*$I55</f>
        <v/>
      </c>
      <c r="AN55" s="18">
        <f>$AL55*bcd_scrap_hs7602</f>
        <v/>
      </c>
      <c r="AO55" s="18">
        <f>$AN55*sws_rate_on_bcd</f>
        <v/>
      </c>
      <c r="AP55" s="18">
        <f>($AL55+$AN55+$AO55)*igst_rate_hs7602</f>
        <v/>
      </c>
      <c r="AQ55" s="18">
        <f>$X55*$AG55+IF($Y55,psic_cost_usd_per_box*$H55/$W55,0)</f>
        <v/>
      </c>
      <c r="AR55" s="18">
        <f>($AM55+$AN55+$AO55)*$Z55/day_count_inr*$O55</f>
        <v/>
      </c>
      <c r="AS55" s="18">
        <f>$AP55*igst_credit_lag_days/day_count_inr*$O55</f>
        <v/>
      </c>
      <c r="AT55" s="18">
        <f>$AM55+$AN55+$AO55+$AQ55+$AR55+$AS55+IF(igst_itc_available,0,$AP55)</f>
        <v/>
      </c>
      <c r="AU55" s="15">
        <f>(1-$AA55)*(1-$AB55)*$AC55</f>
        <v/>
      </c>
      <c r="AV55" s="18">
        <f>$N55*kg_per_mt+domestic_anchor_premium_inr_t</f>
        <v/>
      </c>
      <c r="AW55" s="18">
        <f>(1-$AA55)*$AD55*heavies_net_value_frac_of_lme_al*$F55*$H55</f>
        <v/>
      </c>
      <c r="AX55" s="18">
        <f>conversion_cost_inr_t*$AU55</f>
        <v/>
      </c>
      <c r="AY55" s="18">
        <f>$AV55*$AU55+$AW55-$AT55-$AX55</f>
        <v/>
      </c>
      <c r="AZ55" s="16">
        <f>$AY55/$H55</f>
        <v/>
      </c>
      <c r="BA55" s="8">
        <f>$AY55&gt;margin_threshold_inr_t</f>
        <v/>
      </c>
      <c r="BB55" s="8">
        <f>$Q55+$AE55</f>
        <v/>
      </c>
      <c r="BC55" s="18">
        <f>$AT55-$AQ55</f>
        <v/>
      </c>
      <c r="BD55" s="18">
        <f>$AY55-$BC55*($BB55/$P55-1)</f>
        <v/>
      </c>
      <c r="BE55" s="18">
        <f>$AY55-(conv_step_5a-conversion_cost_inr_t)*$AU55</f>
        <v/>
      </c>
      <c r="BF55" s="8">
        <f>$BA55</f>
        <v/>
      </c>
      <c r="BG55" s="8">
        <f>$BD55&gt;margin_threshold_inr_t</f>
        <v/>
      </c>
      <c r="BH55" s="8">
        <f>$BE55&gt;margin_threshold_inr_t</f>
        <v/>
      </c>
      <c r="BI55" s="8">
        <f>AND($BF55,$BG55,$BH55)</f>
        <v/>
      </c>
      <c r="BJ55" s="8">
        <f>IF($BI55,1,0)</f>
        <v/>
      </c>
    </row>
    <row r="56">
      <c r="A56" s="11" t="n">
        <v>44624</v>
      </c>
      <c r="B56" s="11" t="n">
        <v>44624</v>
      </c>
      <c r="C56" s="7" t="inlineStr">
        <is>
          <t>taint_tabor</t>
        </is>
      </c>
      <c r="D56" s="7" t="inlineStr">
        <is>
          <t>JEA_NSA</t>
        </is>
      </c>
      <c r="E56" s="17" t="b">
        <v>1</v>
      </c>
      <c r="F56" s="16">
        <f>INDEX(Market_Weekly!$E$6:$E$48,MATCH($A56,Market_Weekly!$A$6:$A$48,0))</f>
        <v/>
      </c>
      <c r="G56" s="16">
        <f>INDEX(Market_Weekly!$D$6:$D$48,MATCH($A56,Market_Weekly!$A$6:$A$48,0))</f>
        <v/>
      </c>
      <c r="H56" s="16">
        <f>INDEX(Market_Weekly!$G$6:$G$48,MATCH($A56,Market_Weekly!$A$6:$A$48,0))</f>
        <v/>
      </c>
      <c r="I56" s="8">
        <f>INDEX(Market_Weekly!$H$6:$H$48,MATCH($A56,Market_Weekly!$A$6:$A$48,0))</f>
        <v/>
      </c>
      <c r="J56" s="8">
        <f>INDEX(Market_Weekly!$Q$6:$Q$48,MATCH($A56,Market_Weekly!$A$6:$A$48,0))</f>
        <v/>
      </c>
      <c r="K56" s="8">
        <f>INDEX(Market_Weekly!$V$6:$V$48,MATCH($A56,Market_Weekly!$A$6:$A$48,0))</f>
        <v/>
      </c>
      <c r="L56" s="16">
        <f>IF($D56="JEA_NSA",INDEX(Market_Weekly!$N$6:$N$48,MATCH($A56,Market_Weekly!$A$6:$A$48,0)),INDEX(Market_Weekly!$O$6:$O$48,MATCH($A56,Market_Weekly!$A$6:$A$48,0)))</f>
        <v/>
      </c>
      <c r="M56" s="8">
        <f>IF($D56="JEA_NSA","M1","M2")</f>
        <v/>
      </c>
      <c r="N56" s="16">
        <f>IF($D56="JEA_NSA",INDEX(Market_Weekly!$L$6:$L$48,MATCH($A56,Market_Weekly!$A$6:$A$48,0)),INDEX(Market_Weekly!$M$6:$M$48,MATCH($A56,Market_Weekly!$A$6:$A$48,0)))</f>
        <v/>
      </c>
      <c r="O56" s="15">
        <f>INDEX(Market_Weekly!$P$6:$P$48,MATCH($A56,Market_Weekly!$A$6:$A$48,0))</f>
        <v/>
      </c>
      <c r="P56" s="8">
        <f>INDEX(Market_Weekly!$R$6:$T$48,MATCH($A56,Market_Weekly!$A$6:$A$48,0),MATCH("grade_factor_"&amp;$C56,Market_Weekly!$R$5:$T$5,0))</f>
        <v/>
      </c>
      <c r="Q56" s="8">
        <f>INDEX(Market_Weekly!$U$6:$U$48,MATCH($A56,Market_Weekly!$A$6:$A$48,0))</f>
        <v/>
      </c>
      <c r="R56" s="8">
        <f>IF($D56="JEA_NSA","20ft","40ft")</f>
        <v/>
      </c>
      <c r="S56" s="8">
        <f>IF($D56="JEA_NSA","nsa","mun")</f>
        <v/>
      </c>
      <c r="T56" s="8">
        <f>IF($D56="JEA_NSA","jea_nsa","usec_mun")</f>
        <v/>
      </c>
      <c r="U56" s="16">
        <f>INDEX(param_values,MATCH("container_payload_mt_"&amp;$R56,param_keys,0))</f>
        <v/>
      </c>
      <c r="V56" s="16">
        <f>INDEX(param_values,MATCH("container_payload_mt_"&amp;$R56&amp;"_"&amp;$C56,param_keys,0))</f>
        <v/>
      </c>
      <c r="W56" s="16">
        <f>INDEX(param_values,MATCH("container_payload_mt_20ft_"&amp;$C56,param_keys,0))</f>
        <v/>
      </c>
      <c r="X56" s="18">
        <f>INDEX(param_values,MATCH("port_cf_charges_inr_t_"&amp;$S56,param_keys,0))</f>
        <v/>
      </c>
      <c r="Y56" s="8">
        <f>INDEX(param_values,MATCH(IF($D56="JEA_NSA","psic_required_uae_origin","psic_required_safe_origin_designated_port"),param_keys,0))</f>
        <v/>
      </c>
      <c r="Z56" s="19">
        <f>INDEX(param_values,MATCH("finance_days_"&amp;$T56,param_keys,0))</f>
        <v/>
      </c>
      <c r="AA56" s="15">
        <f>INDEX(param_values,MATCH("moisture_frac_"&amp;$C56,param_keys,0))</f>
        <v/>
      </c>
      <c r="AB56" s="15">
        <f>INDEX(param_values,MATCH("contamination_frac_"&amp;$C56,param_keys,0))</f>
        <v/>
      </c>
      <c r="AC56" s="15">
        <f>INDEX(param_values,MATCH("metal_yield_frac_"&amp;$C56,param_keys,0))</f>
        <v/>
      </c>
      <c r="AD56" s="15">
        <f>INDEX(param_values,MATCH("heavies_frac_"&amp;$C56,param_keys,0))</f>
        <v/>
      </c>
      <c r="AE56" s="8">
        <f>INDEX(param_values,MATCH("grade_factor_diff_"&amp;$C56,param_keys,0))</f>
        <v/>
      </c>
      <c r="AF56" s="16">
        <f>$F56*$P56</f>
        <v/>
      </c>
      <c r="AG56" s="8">
        <f>$U56/$V56</f>
        <v/>
      </c>
      <c r="AH56" s="16">
        <f>$L56*$AG56</f>
        <v/>
      </c>
      <c r="AI56" s="16">
        <f>$AF56-$AH56</f>
        <v/>
      </c>
      <c r="AJ56" s="16">
        <f>insurance_rate*insured_value_uplift*$AF56</f>
        <v/>
      </c>
      <c r="AK56" s="16">
        <f>$AF56+$AJ56</f>
        <v/>
      </c>
      <c r="AL56" s="18">
        <f>$AK56*$J56</f>
        <v/>
      </c>
      <c r="AM56" s="18">
        <f>$AK56*$I56</f>
        <v/>
      </c>
      <c r="AN56" s="18">
        <f>$AL56*bcd_scrap_hs7602</f>
        <v/>
      </c>
      <c r="AO56" s="18">
        <f>$AN56*sws_rate_on_bcd</f>
        <v/>
      </c>
      <c r="AP56" s="18">
        <f>($AL56+$AN56+$AO56)*igst_rate_hs7602</f>
        <v/>
      </c>
      <c r="AQ56" s="18">
        <f>$X56*$AG56+IF($Y56,psic_cost_usd_per_box*$H56/$W56,0)</f>
        <v/>
      </c>
      <c r="AR56" s="18">
        <f>($AM56+$AN56+$AO56)*$Z56/day_count_inr*$O56</f>
        <v/>
      </c>
      <c r="AS56" s="18">
        <f>$AP56*igst_credit_lag_days/day_count_inr*$O56</f>
        <v/>
      </c>
      <c r="AT56" s="18">
        <f>$AM56+$AN56+$AO56+$AQ56+$AR56+$AS56+IF(igst_itc_available,0,$AP56)</f>
        <v/>
      </c>
      <c r="AU56" s="15">
        <f>(1-$AA56)*(1-$AB56)*$AC56</f>
        <v/>
      </c>
      <c r="AV56" s="18">
        <f>$N56*kg_per_mt+domestic_anchor_premium_inr_t</f>
        <v/>
      </c>
      <c r="AW56" s="18">
        <f>(1-$AA56)*$AD56*heavies_net_value_frac_of_lme_al*$F56*$H56</f>
        <v/>
      </c>
      <c r="AX56" s="18">
        <f>conversion_cost_inr_t*$AU56</f>
        <v/>
      </c>
      <c r="AY56" s="18">
        <f>$AV56*$AU56+$AW56-$AT56-$AX56</f>
        <v/>
      </c>
      <c r="AZ56" s="16">
        <f>$AY56/$H56</f>
        <v/>
      </c>
      <c r="BA56" s="8">
        <f>$AY56&gt;margin_threshold_inr_t</f>
        <v/>
      </c>
      <c r="BB56" s="8">
        <f>$Q56+$AE56</f>
        <v/>
      </c>
      <c r="BC56" s="18">
        <f>$AT56-$AQ56</f>
        <v/>
      </c>
      <c r="BD56" s="18">
        <f>$AY56-$BC56*($BB56/$P56-1)</f>
        <v/>
      </c>
      <c r="BE56" s="18">
        <f>$AY56-(conv_step_5a-conversion_cost_inr_t)*$AU56</f>
        <v/>
      </c>
      <c r="BF56" s="8">
        <f>$BA56</f>
        <v/>
      </c>
      <c r="BG56" s="8">
        <f>$BD56&gt;margin_threshold_inr_t</f>
        <v/>
      </c>
      <c r="BH56" s="8">
        <f>$BE56&gt;margin_threshold_inr_t</f>
        <v/>
      </c>
      <c r="BI56" s="8">
        <f>AND($BF56,$BG56,$BH56)</f>
        <v/>
      </c>
      <c r="BJ56" s="8">
        <f>IF($BI56,1,0)</f>
        <v/>
      </c>
    </row>
    <row r="57">
      <c r="A57" s="11" t="n">
        <v>44624</v>
      </c>
      <c r="B57" s="11" t="n">
        <v>44624</v>
      </c>
      <c r="C57" s="7" t="inlineStr">
        <is>
          <t>taint_tabor</t>
        </is>
      </c>
      <c r="D57" s="7" t="inlineStr">
        <is>
          <t>USEC_MUN</t>
        </is>
      </c>
      <c r="E57" s="17" t="b">
        <v>1</v>
      </c>
      <c r="F57" s="16">
        <f>INDEX(Market_Weekly!$E$6:$E$48,MATCH($A57,Market_Weekly!$A$6:$A$48,0))</f>
        <v/>
      </c>
      <c r="G57" s="16">
        <f>INDEX(Market_Weekly!$D$6:$D$48,MATCH($A57,Market_Weekly!$A$6:$A$48,0))</f>
        <v/>
      </c>
      <c r="H57" s="16">
        <f>INDEX(Market_Weekly!$G$6:$G$48,MATCH($A57,Market_Weekly!$A$6:$A$48,0))</f>
        <v/>
      </c>
      <c r="I57" s="8">
        <f>INDEX(Market_Weekly!$H$6:$H$48,MATCH($A57,Market_Weekly!$A$6:$A$48,0))</f>
        <v/>
      </c>
      <c r="J57" s="8">
        <f>INDEX(Market_Weekly!$Q$6:$Q$48,MATCH($A57,Market_Weekly!$A$6:$A$48,0))</f>
        <v/>
      </c>
      <c r="K57" s="8">
        <f>INDEX(Market_Weekly!$V$6:$V$48,MATCH($A57,Market_Weekly!$A$6:$A$48,0))</f>
        <v/>
      </c>
      <c r="L57" s="16">
        <f>IF($D57="JEA_NSA",INDEX(Market_Weekly!$N$6:$N$48,MATCH($A57,Market_Weekly!$A$6:$A$48,0)),INDEX(Market_Weekly!$O$6:$O$48,MATCH($A57,Market_Weekly!$A$6:$A$48,0)))</f>
        <v/>
      </c>
      <c r="M57" s="8">
        <f>IF($D57="JEA_NSA","M1","M2")</f>
        <v/>
      </c>
      <c r="N57" s="16">
        <f>IF($D57="JEA_NSA",INDEX(Market_Weekly!$L$6:$L$48,MATCH($A57,Market_Weekly!$A$6:$A$48,0)),INDEX(Market_Weekly!$M$6:$M$48,MATCH($A57,Market_Weekly!$A$6:$A$48,0)))</f>
        <v/>
      </c>
      <c r="O57" s="15">
        <f>INDEX(Market_Weekly!$P$6:$P$48,MATCH($A57,Market_Weekly!$A$6:$A$48,0))</f>
        <v/>
      </c>
      <c r="P57" s="8">
        <f>INDEX(Market_Weekly!$R$6:$T$48,MATCH($A57,Market_Weekly!$A$6:$A$48,0),MATCH("grade_factor_"&amp;$C57,Market_Weekly!$R$5:$T$5,0))</f>
        <v/>
      </c>
      <c r="Q57" s="8">
        <f>INDEX(Market_Weekly!$U$6:$U$48,MATCH($A57,Market_Weekly!$A$6:$A$48,0))</f>
        <v/>
      </c>
      <c r="R57" s="8">
        <f>IF($D57="JEA_NSA","20ft","40ft")</f>
        <v/>
      </c>
      <c r="S57" s="8">
        <f>IF($D57="JEA_NSA","nsa","mun")</f>
        <v/>
      </c>
      <c r="T57" s="8">
        <f>IF($D57="JEA_NSA","jea_nsa","usec_mun")</f>
        <v/>
      </c>
      <c r="U57" s="16">
        <f>INDEX(param_values,MATCH("container_payload_mt_"&amp;$R57,param_keys,0))</f>
        <v/>
      </c>
      <c r="V57" s="16">
        <f>INDEX(param_values,MATCH("container_payload_mt_"&amp;$R57&amp;"_"&amp;$C57,param_keys,0))</f>
        <v/>
      </c>
      <c r="W57" s="16">
        <f>INDEX(param_values,MATCH("container_payload_mt_20ft_"&amp;$C57,param_keys,0))</f>
        <v/>
      </c>
      <c r="X57" s="18">
        <f>INDEX(param_values,MATCH("port_cf_charges_inr_t_"&amp;$S57,param_keys,0))</f>
        <v/>
      </c>
      <c r="Y57" s="8">
        <f>INDEX(param_values,MATCH(IF($D57="JEA_NSA","psic_required_uae_origin","psic_required_safe_origin_designated_port"),param_keys,0))</f>
        <v/>
      </c>
      <c r="Z57" s="19">
        <f>INDEX(param_values,MATCH("finance_days_"&amp;$T57,param_keys,0))</f>
        <v/>
      </c>
      <c r="AA57" s="15">
        <f>INDEX(param_values,MATCH("moisture_frac_"&amp;$C57,param_keys,0))</f>
        <v/>
      </c>
      <c r="AB57" s="15">
        <f>INDEX(param_values,MATCH("contamination_frac_"&amp;$C57,param_keys,0))</f>
        <v/>
      </c>
      <c r="AC57" s="15">
        <f>INDEX(param_values,MATCH("metal_yield_frac_"&amp;$C57,param_keys,0))</f>
        <v/>
      </c>
      <c r="AD57" s="15">
        <f>INDEX(param_values,MATCH("heavies_frac_"&amp;$C57,param_keys,0))</f>
        <v/>
      </c>
      <c r="AE57" s="8">
        <f>INDEX(param_values,MATCH("grade_factor_diff_"&amp;$C57,param_keys,0))</f>
        <v/>
      </c>
      <c r="AF57" s="16">
        <f>$F57*$P57</f>
        <v/>
      </c>
      <c r="AG57" s="8">
        <f>$U57/$V57</f>
        <v/>
      </c>
      <c r="AH57" s="16">
        <f>$L57*$AG57</f>
        <v/>
      </c>
      <c r="AI57" s="16">
        <f>$AF57-$AH57</f>
        <v/>
      </c>
      <c r="AJ57" s="16">
        <f>insurance_rate*insured_value_uplift*$AF57</f>
        <v/>
      </c>
      <c r="AK57" s="16">
        <f>$AF57+$AJ57</f>
        <v/>
      </c>
      <c r="AL57" s="18">
        <f>$AK57*$J57</f>
        <v/>
      </c>
      <c r="AM57" s="18">
        <f>$AK57*$I57</f>
        <v/>
      </c>
      <c r="AN57" s="18">
        <f>$AL57*bcd_scrap_hs7602</f>
        <v/>
      </c>
      <c r="AO57" s="18">
        <f>$AN57*sws_rate_on_bcd</f>
        <v/>
      </c>
      <c r="AP57" s="18">
        <f>($AL57+$AN57+$AO57)*igst_rate_hs7602</f>
        <v/>
      </c>
      <c r="AQ57" s="18">
        <f>$X57*$AG57+IF($Y57,psic_cost_usd_per_box*$H57/$W57,0)</f>
        <v/>
      </c>
      <c r="AR57" s="18">
        <f>($AM57+$AN57+$AO57)*$Z57/day_count_inr*$O57</f>
        <v/>
      </c>
      <c r="AS57" s="18">
        <f>$AP57*igst_credit_lag_days/day_count_inr*$O57</f>
        <v/>
      </c>
      <c r="AT57" s="18">
        <f>$AM57+$AN57+$AO57+$AQ57+$AR57+$AS57+IF(igst_itc_available,0,$AP57)</f>
        <v/>
      </c>
      <c r="AU57" s="15">
        <f>(1-$AA57)*(1-$AB57)*$AC57</f>
        <v/>
      </c>
      <c r="AV57" s="18">
        <f>$N57*kg_per_mt+domestic_anchor_premium_inr_t</f>
        <v/>
      </c>
      <c r="AW57" s="18">
        <f>(1-$AA57)*$AD57*heavies_net_value_frac_of_lme_al*$F57*$H57</f>
        <v/>
      </c>
      <c r="AX57" s="18">
        <f>conversion_cost_inr_t*$AU57</f>
        <v/>
      </c>
      <c r="AY57" s="18">
        <f>$AV57*$AU57+$AW57-$AT57-$AX57</f>
        <v/>
      </c>
      <c r="AZ57" s="16">
        <f>$AY57/$H57</f>
        <v/>
      </c>
      <c r="BA57" s="8">
        <f>$AY57&gt;margin_threshold_inr_t</f>
        <v/>
      </c>
      <c r="BB57" s="8">
        <f>$Q57+$AE57</f>
        <v/>
      </c>
      <c r="BC57" s="18">
        <f>$AT57-$AQ57</f>
        <v/>
      </c>
      <c r="BD57" s="18">
        <f>$AY57-$BC57*($BB57/$P57-1)</f>
        <v/>
      </c>
      <c r="BE57" s="18">
        <f>$AY57-(conv_step_5a-conversion_cost_inr_t)*$AU57</f>
        <v/>
      </c>
      <c r="BF57" s="8">
        <f>$BA57</f>
        <v/>
      </c>
      <c r="BG57" s="8">
        <f>$BD57&gt;margin_threshold_inr_t</f>
        <v/>
      </c>
      <c r="BH57" s="8">
        <f>$BE57&gt;margin_threshold_inr_t</f>
        <v/>
      </c>
      <c r="BI57" s="8">
        <f>AND($BF57,$BG57,$BH57)</f>
        <v/>
      </c>
      <c r="BJ57" s="8">
        <f>IF($BI57,1,0)</f>
        <v/>
      </c>
    </row>
    <row r="58">
      <c r="A58" s="11" t="n">
        <v>44624</v>
      </c>
      <c r="B58" s="11" t="n">
        <v>44624</v>
      </c>
      <c r="C58" s="7" t="inlineStr">
        <is>
          <t>tense</t>
        </is>
      </c>
      <c r="D58" s="7" t="inlineStr">
        <is>
          <t>JEA_NSA</t>
        </is>
      </c>
      <c r="E58" s="17" t="b">
        <v>1</v>
      </c>
      <c r="F58" s="16">
        <f>INDEX(Market_Weekly!$E$6:$E$48,MATCH($A58,Market_Weekly!$A$6:$A$48,0))</f>
        <v/>
      </c>
      <c r="G58" s="16">
        <f>INDEX(Market_Weekly!$D$6:$D$48,MATCH($A58,Market_Weekly!$A$6:$A$48,0))</f>
        <v/>
      </c>
      <c r="H58" s="16">
        <f>INDEX(Market_Weekly!$G$6:$G$48,MATCH($A58,Market_Weekly!$A$6:$A$48,0))</f>
        <v/>
      </c>
      <c r="I58" s="8">
        <f>INDEX(Market_Weekly!$H$6:$H$48,MATCH($A58,Market_Weekly!$A$6:$A$48,0))</f>
        <v/>
      </c>
      <c r="J58" s="8">
        <f>INDEX(Market_Weekly!$Q$6:$Q$48,MATCH($A58,Market_Weekly!$A$6:$A$48,0))</f>
        <v/>
      </c>
      <c r="K58" s="8">
        <f>INDEX(Market_Weekly!$V$6:$V$48,MATCH($A58,Market_Weekly!$A$6:$A$48,0))</f>
        <v/>
      </c>
      <c r="L58" s="16">
        <f>IF($D58="JEA_NSA",INDEX(Market_Weekly!$N$6:$N$48,MATCH($A58,Market_Weekly!$A$6:$A$48,0)),INDEX(Market_Weekly!$O$6:$O$48,MATCH($A58,Market_Weekly!$A$6:$A$48,0)))</f>
        <v/>
      </c>
      <c r="M58" s="8">
        <f>IF($D58="JEA_NSA","M1","M2")</f>
        <v/>
      </c>
      <c r="N58" s="16">
        <f>IF($D58="JEA_NSA",INDEX(Market_Weekly!$L$6:$L$48,MATCH($A58,Market_Weekly!$A$6:$A$48,0)),INDEX(Market_Weekly!$M$6:$M$48,MATCH($A58,Market_Weekly!$A$6:$A$48,0)))</f>
        <v/>
      </c>
      <c r="O58" s="15">
        <f>INDEX(Market_Weekly!$P$6:$P$48,MATCH($A58,Market_Weekly!$A$6:$A$48,0))</f>
        <v/>
      </c>
      <c r="P58" s="8">
        <f>INDEX(Market_Weekly!$R$6:$T$48,MATCH($A58,Market_Weekly!$A$6:$A$48,0),MATCH("grade_factor_"&amp;$C58,Market_Weekly!$R$5:$T$5,0))</f>
        <v/>
      </c>
      <c r="Q58" s="8">
        <f>INDEX(Market_Weekly!$U$6:$U$48,MATCH($A58,Market_Weekly!$A$6:$A$48,0))</f>
        <v/>
      </c>
      <c r="R58" s="8">
        <f>IF($D58="JEA_NSA","20ft","40ft")</f>
        <v/>
      </c>
      <c r="S58" s="8">
        <f>IF($D58="JEA_NSA","nsa","mun")</f>
        <v/>
      </c>
      <c r="T58" s="8">
        <f>IF($D58="JEA_NSA","jea_nsa","usec_mun")</f>
        <v/>
      </c>
      <c r="U58" s="16">
        <f>INDEX(param_values,MATCH("container_payload_mt_"&amp;$R58,param_keys,0))</f>
        <v/>
      </c>
      <c r="V58" s="16">
        <f>INDEX(param_values,MATCH("container_payload_mt_"&amp;$R58&amp;"_"&amp;$C58,param_keys,0))</f>
        <v/>
      </c>
      <c r="W58" s="16">
        <f>INDEX(param_values,MATCH("container_payload_mt_20ft_"&amp;$C58,param_keys,0))</f>
        <v/>
      </c>
      <c r="X58" s="18">
        <f>INDEX(param_values,MATCH("port_cf_charges_inr_t_"&amp;$S58,param_keys,0))</f>
        <v/>
      </c>
      <c r="Y58" s="8">
        <f>INDEX(param_values,MATCH(IF($D58="JEA_NSA","psic_required_uae_origin","psic_required_safe_origin_designated_port"),param_keys,0))</f>
        <v/>
      </c>
      <c r="Z58" s="19">
        <f>INDEX(param_values,MATCH("finance_days_"&amp;$T58,param_keys,0))</f>
        <v/>
      </c>
      <c r="AA58" s="15">
        <f>INDEX(param_values,MATCH("moisture_frac_"&amp;$C58,param_keys,0))</f>
        <v/>
      </c>
      <c r="AB58" s="15">
        <f>INDEX(param_values,MATCH("contamination_frac_"&amp;$C58,param_keys,0))</f>
        <v/>
      </c>
      <c r="AC58" s="15">
        <f>INDEX(param_values,MATCH("metal_yield_frac_"&amp;$C58,param_keys,0))</f>
        <v/>
      </c>
      <c r="AD58" s="15">
        <f>INDEX(param_values,MATCH("heavies_frac_"&amp;$C58,param_keys,0))</f>
        <v/>
      </c>
      <c r="AE58" s="8">
        <f>INDEX(param_values,MATCH("grade_factor_diff_"&amp;$C58,param_keys,0))</f>
        <v/>
      </c>
      <c r="AF58" s="16">
        <f>$F58*$P58</f>
        <v/>
      </c>
      <c r="AG58" s="8">
        <f>$U58/$V58</f>
        <v/>
      </c>
      <c r="AH58" s="16">
        <f>$L58*$AG58</f>
        <v/>
      </c>
      <c r="AI58" s="16">
        <f>$AF58-$AH58</f>
        <v/>
      </c>
      <c r="AJ58" s="16">
        <f>insurance_rate*insured_value_uplift*$AF58</f>
        <v/>
      </c>
      <c r="AK58" s="16">
        <f>$AF58+$AJ58</f>
        <v/>
      </c>
      <c r="AL58" s="18">
        <f>$AK58*$J58</f>
        <v/>
      </c>
      <c r="AM58" s="18">
        <f>$AK58*$I58</f>
        <v/>
      </c>
      <c r="AN58" s="18">
        <f>$AL58*bcd_scrap_hs7602</f>
        <v/>
      </c>
      <c r="AO58" s="18">
        <f>$AN58*sws_rate_on_bcd</f>
        <v/>
      </c>
      <c r="AP58" s="18">
        <f>($AL58+$AN58+$AO58)*igst_rate_hs7602</f>
        <v/>
      </c>
      <c r="AQ58" s="18">
        <f>$X58*$AG58+IF($Y58,psic_cost_usd_per_box*$H58/$W58,0)</f>
        <v/>
      </c>
      <c r="AR58" s="18">
        <f>($AM58+$AN58+$AO58)*$Z58/day_count_inr*$O58</f>
        <v/>
      </c>
      <c r="AS58" s="18">
        <f>$AP58*igst_credit_lag_days/day_count_inr*$O58</f>
        <v/>
      </c>
      <c r="AT58" s="18">
        <f>$AM58+$AN58+$AO58+$AQ58+$AR58+$AS58+IF(igst_itc_available,0,$AP58)</f>
        <v/>
      </c>
      <c r="AU58" s="15">
        <f>(1-$AA58)*(1-$AB58)*$AC58</f>
        <v/>
      </c>
      <c r="AV58" s="18">
        <f>$N58*kg_per_mt+domestic_anchor_premium_inr_t</f>
        <v/>
      </c>
      <c r="AW58" s="18">
        <f>(1-$AA58)*$AD58*heavies_net_value_frac_of_lme_al*$F58*$H58</f>
        <v/>
      </c>
      <c r="AX58" s="18">
        <f>conversion_cost_inr_t*$AU58</f>
        <v/>
      </c>
      <c r="AY58" s="18">
        <f>$AV58*$AU58+$AW58-$AT58-$AX58</f>
        <v/>
      </c>
      <c r="AZ58" s="16">
        <f>$AY58/$H58</f>
        <v/>
      </c>
      <c r="BA58" s="8">
        <f>$AY58&gt;margin_threshold_inr_t</f>
        <v/>
      </c>
      <c r="BB58" s="8">
        <f>$Q58+$AE58</f>
        <v/>
      </c>
      <c r="BC58" s="18">
        <f>$AT58-$AQ58</f>
        <v/>
      </c>
      <c r="BD58" s="18">
        <f>$AY58-$BC58*($BB58/$P58-1)</f>
        <v/>
      </c>
      <c r="BE58" s="18">
        <f>$AY58-(conv_step_5a-conversion_cost_inr_t)*$AU58</f>
        <v/>
      </c>
      <c r="BF58" s="8">
        <f>$BA58</f>
        <v/>
      </c>
      <c r="BG58" s="8">
        <f>$BD58&gt;margin_threshold_inr_t</f>
        <v/>
      </c>
      <c r="BH58" s="8">
        <f>$BE58&gt;margin_threshold_inr_t</f>
        <v/>
      </c>
      <c r="BI58" s="8">
        <f>AND($BF58,$BG58,$BH58)</f>
        <v/>
      </c>
      <c r="BJ58" s="8">
        <f>IF($BI58,1,0)</f>
        <v/>
      </c>
    </row>
    <row r="59">
      <c r="A59" s="11" t="n">
        <v>44624</v>
      </c>
      <c r="B59" s="11" t="n">
        <v>44624</v>
      </c>
      <c r="C59" s="7" t="inlineStr">
        <is>
          <t>tense</t>
        </is>
      </c>
      <c r="D59" s="7" t="inlineStr">
        <is>
          <t>USEC_MUN</t>
        </is>
      </c>
      <c r="E59" s="17" t="b">
        <v>1</v>
      </c>
      <c r="F59" s="16">
        <f>INDEX(Market_Weekly!$E$6:$E$48,MATCH($A59,Market_Weekly!$A$6:$A$48,0))</f>
        <v/>
      </c>
      <c r="G59" s="16">
        <f>INDEX(Market_Weekly!$D$6:$D$48,MATCH($A59,Market_Weekly!$A$6:$A$48,0))</f>
        <v/>
      </c>
      <c r="H59" s="16">
        <f>INDEX(Market_Weekly!$G$6:$G$48,MATCH($A59,Market_Weekly!$A$6:$A$48,0))</f>
        <v/>
      </c>
      <c r="I59" s="8">
        <f>INDEX(Market_Weekly!$H$6:$H$48,MATCH($A59,Market_Weekly!$A$6:$A$48,0))</f>
        <v/>
      </c>
      <c r="J59" s="8">
        <f>INDEX(Market_Weekly!$Q$6:$Q$48,MATCH($A59,Market_Weekly!$A$6:$A$48,0))</f>
        <v/>
      </c>
      <c r="K59" s="8">
        <f>INDEX(Market_Weekly!$V$6:$V$48,MATCH($A59,Market_Weekly!$A$6:$A$48,0))</f>
        <v/>
      </c>
      <c r="L59" s="16">
        <f>IF($D59="JEA_NSA",INDEX(Market_Weekly!$N$6:$N$48,MATCH($A59,Market_Weekly!$A$6:$A$48,0)),INDEX(Market_Weekly!$O$6:$O$48,MATCH($A59,Market_Weekly!$A$6:$A$48,0)))</f>
        <v/>
      </c>
      <c r="M59" s="8">
        <f>IF($D59="JEA_NSA","M1","M2")</f>
        <v/>
      </c>
      <c r="N59" s="16">
        <f>IF($D59="JEA_NSA",INDEX(Market_Weekly!$L$6:$L$48,MATCH($A59,Market_Weekly!$A$6:$A$48,0)),INDEX(Market_Weekly!$M$6:$M$48,MATCH($A59,Market_Weekly!$A$6:$A$48,0)))</f>
        <v/>
      </c>
      <c r="O59" s="15">
        <f>INDEX(Market_Weekly!$P$6:$P$48,MATCH($A59,Market_Weekly!$A$6:$A$48,0))</f>
        <v/>
      </c>
      <c r="P59" s="8">
        <f>INDEX(Market_Weekly!$R$6:$T$48,MATCH($A59,Market_Weekly!$A$6:$A$48,0),MATCH("grade_factor_"&amp;$C59,Market_Weekly!$R$5:$T$5,0))</f>
        <v/>
      </c>
      <c r="Q59" s="8">
        <f>INDEX(Market_Weekly!$U$6:$U$48,MATCH($A59,Market_Weekly!$A$6:$A$48,0))</f>
        <v/>
      </c>
      <c r="R59" s="8">
        <f>IF($D59="JEA_NSA","20ft","40ft")</f>
        <v/>
      </c>
      <c r="S59" s="8">
        <f>IF($D59="JEA_NSA","nsa","mun")</f>
        <v/>
      </c>
      <c r="T59" s="8">
        <f>IF($D59="JEA_NSA","jea_nsa","usec_mun")</f>
        <v/>
      </c>
      <c r="U59" s="16">
        <f>INDEX(param_values,MATCH("container_payload_mt_"&amp;$R59,param_keys,0))</f>
        <v/>
      </c>
      <c r="V59" s="16">
        <f>INDEX(param_values,MATCH("container_payload_mt_"&amp;$R59&amp;"_"&amp;$C59,param_keys,0))</f>
        <v/>
      </c>
      <c r="W59" s="16">
        <f>INDEX(param_values,MATCH("container_payload_mt_20ft_"&amp;$C59,param_keys,0))</f>
        <v/>
      </c>
      <c r="X59" s="18">
        <f>INDEX(param_values,MATCH("port_cf_charges_inr_t_"&amp;$S59,param_keys,0))</f>
        <v/>
      </c>
      <c r="Y59" s="8">
        <f>INDEX(param_values,MATCH(IF($D59="JEA_NSA","psic_required_uae_origin","psic_required_safe_origin_designated_port"),param_keys,0))</f>
        <v/>
      </c>
      <c r="Z59" s="19">
        <f>INDEX(param_values,MATCH("finance_days_"&amp;$T59,param_keys,0))</f>
        <v/>
      </c>
      <c r="AA59" s="15">
        <f>INDEX(param_values,MATCH("moisture_frac_"&amp;$C59,param_keys,0))</f>
        <v/>
      </c>
      <c r="AB59" s="15">
        <f>INDEX(param_values,MATCH("contamination_frac_"&amp;$C59,param_keys,0))</f>
        <v/>
      </c>
      <c r="AC59" s="15">
        <f>INDEX(param_values,MATCH("metal_yield_frac_"&amp;$C59,param_keys,0))</f>
        <v/>
      </c>
      <c r="AD59" s="15">
        <f>INDEX(param_values,MATCH("heavies_frac_"&amp;$C59,param_keys,0))</f>
        <v/>
      </c>
      <c r="AE59" s="8">
        <f>INDEX(param_values,MATCH("grade_factor_diff_"&amp;$C59,param_keys,0))</f>
        <v/>
      </c>
      <c r="AF59" s="16">
        <f>$F59*$P59</f>
        <v/>
      </c>
      <c r="AG59" s="8">
        <f>$U59/$V59</f>
        <v/>
      </c>
      <c r="AH59" s="16">
        <f>$L59*$AG59</f>
        <v/>
      </c>
      <c r="AI59" s="16">
        <f>$AF59-$AH59</f>
        <v/>
      </c>
      <c r="AJ59" s="16">
        <f>insurance_rate*insured_value_uplift*$AF59</f>
        <v/>
      </c>
      <c r="AK59" s="16">
        <f>$AF59+$AJ59</f>
        <v/>
      </c>
      <c r="AL59" s="18">
        <f>$AK59*$J59</f>
        <v/>
      </c>
      <c r="AM59" s="18">
        <f>$AK59*$I59</f>
        <v/>
      </c>
      <c r="AN59" s="18">
        <f>$AL59*bcd_scrap_hs7602</f>
        <v/>
      </c>
      <c r="AO59" s="18">
        <f>$AN59*sws_rate_on_bcd</f>
        <v/>
      </c>
      <c r="AP59" s="18">
        <f>($AL59+$AN59+$AO59)*igst_rate_hs7602</f>
        <v/>
      </c>
      <c r="AQ59" s="18">
        <f>$X59*$AG59+IF($Y59,psic_cost_usd_per_box*$H59/$W59,0)</f>
        <v/>
      </c>
      <c r="AR59" s="18">
        <f>($AM59+$AN59+$AO59)*$Z59/day_count_inr*$O59</f>
        <v/>
      </c>
      <c r="AS59" s="18">
        <f>$AP59*igst_credit_lag_days/day_count_inr*$O59</f>
        <v/>
      </c>
      <c r="AT59" s="18">
        <f>$AM59+$AN59+$AO59+$AQ59+$AR59+$AS59+IF(igst_itc_available,0,$AP59)</f>
        <v/>
      </c>
      <c r="AU59" s="15">
        <f>(1-$AA59)*(1-$AB59)*$AC59</f>
        <v/>
      </c>
      <c r="AV59" s="18">
        <f>$N59*kg_per_mt+domestic_anchor_premium_inr_t</f>
        <v/>
      </c>
      <c r="AW59" s="18">
        <f>(1-$AA59)*$AD59*heavies_net_value_frac_of_lme_al*$F59*$H59</f>
        <v/>
      </c>
      <c r="AX59" s="18">
        <f>conversion_cost_inr_t*$AU59</f>
        <v/>
      </c>
      <c r="AY59" s="18">
        <f>$AV59*$AU59+$AW59-$AT59-$AX59</f>
        <v/>
      </c>
      <c r="AZ59" s="16">
        <f>$AY59/$H59</f>
        <v/>
      </c>
      <c r="BA59" s="8">
        <f>$AY59&gt;margin_threshold_inr_t</f>
        <v/>
      </c>
      <c r="BB59" s="8">
        <f>$Q59+$AE59</f>
        <v/>
      </c>
      <c r="BC59" s="18">
        <f>$AT59-$AQ59</f>
        <v/>
      </c>
      <c r="BD59" s="18">
        <f>$AY59-$BC59*($BB59/$P59-1)</f>
        <v/>
      </c>
      <c r="BE59" s="18">
        <f>$AY59-(conv_step_5a-conversion_cost_inr_t)*$AU59</f>
        <v/>
      </c>
      <c r="BF59" s="8">
        <f>$BA59</f>
        <v/>
      </c>
      <c r="BG59" s="8">
        <f>$BD59&gt;margin_threshold_inr_t</f>
        <v/>
      </c>
      <c r="BH59" s="8">
        <f>$BE59&gt;margin_threshold_inr_t</f>
        <v/>
      </c>
      <c r="BI59" s="8">
        <f>AND($BF59,$BG59,$BH59)</f>
        <v/>
      </c>
      <c r="BJ59" s="8">
        <f>IF($BI59,1,0)</f>
        <v/>
      </c>
    </row>
    <row r="60">
      <c r="A60" s="11" t="n">
        <v>44631</v>
      </c>
      <c r="B60" s="11" t="n">
        <v>44631</v>
      </c>
      <c r="C60" s="7" t="inlineStr">
        <is>
          <t>zorba</t>
        </is>
      </c>
      <c r="D60" s="7" t="inlineStr">
        <is>
          <t>JEA_NSA</t>
        </is>
      </c>
      <c r="E60" s="17" t="b">
        <v>1</v>
      </c>
      <c r="F60" s="16">
        <f>INDEX(Market_Weekly!$E$6:$E$48,MATCH($A60,Market_Weekly!$A$6:$A$48,0))</f>
        <v/>
      </c>
      <c r="G60" s="16">
        <f>INDEX(Market_Weekly!$D$6:$D$48,MATCH($A60,Market_Weekly!$A$6:$A$48,0))</f>
        <v/>
      </c>
      <c r="H60" s="16">
        <f>INDEX(Market_Weekly!$G$6:$G$48,MATCH($A60,Market_Weekly!$A$6:$A$48,0))</f>
        <v/>
      </c>
      <c r="I60" s="8">
        <f>INDEX(Market_Weekly!$H$6:$H$48,MATCH($A60,Market_Weekly!$A$6:$A$48,0))</f>
        <v/>
      </c>
      <c r="J60" s="8">
        <f>INDEX(Market_Weekly!$Q$6:$Q$48,MATCH($A60,Market_Weekly!$A$6:$A$48,0))</f>
        <v/>
      </c>
      <c r="K60" s="8">
        <f>INDEX(Market_Weekly!$V$6:$V$48,MATCH($A60,Market_Weekly!$A$6:$A$48,0))</f>
        <v/>
      </c>
      <c r="L60" s="16">
        <f>IF($D60="JEA_NSA",INDEX(Market_Weekly!$N$6:$N$48,MATCH($A60,Market_Weekly!$A$6:$A$48,0)),INDEX(Market_Weekly!$O$6:$O$48,MATCH($A60,Market_Weekly!$A$6:$A$48,0)))</f>
        <v/>
      </c>
      <c r="M60" s="8">
        <f>IF($D60="JEA_NSA","M1","M2")</f>
        <v/>
      </c>
      <c r="N60" s="16">
        <f>IF($D60="JEA_NSA",INDEX(Market_Weekly!$L$6:$L$48,MATCH($A60,Market_Weekly!$A$6:$A$48,0)),INDEX(Market_Weekly!$M$6:$M$48,MATCH($A60,Market_Weekly!$A$6:$A$48,0)))</f>
        <v/>
      </c>
      <c r="O60" s="15">
        <f>INDEX(Market_Weekly!$P$6:$P$48,MATCH($A60,Market_Weekly!$A$6:$A$48,0))</f>
        <v/>
      </c>
      <c r="P60" s="8">
        <f>INDEX(Market_Weekly!$R$6:$T$48,MATCH($A60,Market_Weekly!$A$6:$A$48,0),MATCH("grade_factor_"&amp;$C60,Market_Weekly!$R$5:$T$5,0))</f>
        <v/>
      </c>
      <c r="Q60" s="8">
        <f>INDEX(Market_Weekly!$U$6:$U$48,MATCH($A60,Market_Weekly!$A$6:$A$48,0))</f>
        <v/>
      </c>
      <c r="R60" s="8">
        <f>IF($D60="JEA_NSA","20ft","40ft")</f>
        <v/>
      </c>
      <c r="S60" s="8">
        <f>IF($D60="JEA_NSA","nsa","mun")</f>
        <v/>
      </c>
      <c r="T60" s="8">
        <f>IF($D60="JEA_NSA","jea_nsa","usec_mun")</f>
        <v/>
      </c>
      <c r="U60" s="16">
        <f>INDEX(param_values,MATCH("container_payload_mt_"&amp;$R60,param_keys,0))</f>
        <v/>
      </c>
      <c r="V60" s="16">
        <f>INDEX(param_values,MATCH("container_payload_mt_"&amp;$R60&amp;"_"&amp;$C60,param_keys,0))</f>
        <v/>
      </c>
      <c r="W60" s="16">
        <f>INDEX(param_values,MATCH("container_payload_mt_20ft_"&amp;$C60,param_keys,0))</f>
        <v/>
      </c>
      <c r="X60" s="18">
        <f>INDEX(param_values,MATCH("port_cf_charges_inr_t_"&amp;$S60,param_keys,0))</f>
        <v/>
      </c>
      <c r="Y60" s="8">
        <f>INDEX(param_values,MATCH(IF($D60="JEA_NSA","psic_required_uae_origin","psic_required_safe_origin_designated_port"),param_keys,0))</f>
        <v/>
      </c>
      <c r="Z60" s="19">
        <f>INDEX(param_values,MATCH("finance_days_"&amp;$T60,param_keys,0))</f>
        <v/>
      </c>
      <c r="AA60" s="15">
        <f>INDEX(param_values,MATCH("moisture_frac_"&amp;$C60,param_keys,0))</f>
        <v/>
      </c>
      <c r="AB60" s="15">
        <f>INDEX(param_values,MATCH("contamination_frac_"&amp;$C60,param_keys,0))</f>
        <v/>
      </c>
      <c r="AC60" s="15">
        <f>INDEX(param_values,MATCH("metal_yield_frac_"&amp;$C60,param_keys,0))</f>
        <v/>
      </c>
      <c r="AD60" s="15">
        <f>INDEX(param_values,MATCH("heavies_frac_"&amp;$C60,param_keys,0))</f>
        <v/>
      </c>
      <c r="AE60" s="8">
        <f>INDEX(param_values,MATCH("grade_factor_diff_"&amp;$C60,param_keys,0))</f>
        <v/>
      </c>
      <c r="AF60" s="16">
        <f>$F60*$P60</f>
        <v/>
      </c>
      <c r="AG60" s="8">
        <f>$U60/$V60</f>
        <v/>
      </c>
      <c r="AH60" s="16">
        <f>$L60*$AG60</f>
        <v/>
      </c>
      <c r="AI60" s="16">
        <f>$AF60-$AH60</f>
        <v/>
      </c>
      <c r="AJ60" s="16">
        <f>insurance_rate*insured_value_uplift*$AF60</f>
        <v/>
      </c>
      <c r="AK60" s="16">
        <f>$AF60+$AJ60</f>
        <v/>
      </c>
      <c r="AL60" s="18">
        <f>$AK60*$J60</f>
        <v/>
      </c>
      <c r="AM60" s="18">
        <f>$AK60*$I60</f>
        <v/>
      </c>
      <c r="AN60" s="18">
        <f>$AL60*bcd_scrap_hs7602</f>
        <v/>
      </c>
      <c r="AO60" s="18">
        <f>$AN60*sws_rate_on_bcd</f>
        <v/>
      </c>
      <c r="AP60" s="18">
        <f>($AL60+$AN60+$AO60)*igst_rate_hs7602</f>
        <v/>
      </c>
      <c r="AQ60" s="18">
        <f>$X60*$AG60+IF($Y60,psic_cost_usd_per_box*$H60/$W60,0)</f>
        <v/>
      </c>
      <c r="AR60" s="18">
        <f>($AM60+$AN60+$AO60)*$Z60/day_count_inr*$O60</f>
        <v/>
      </c>
      <c r="AS60" s="18">
        <f>$AP60*igst_credit_lag_days/day_count_inr*$O60</f>
        <v/>
      </c>
      <c r="AT60" s="18">
        <f>$AM60+$AN60+$AO60+$AQ60+$AR60+$AS60+IF(igst_itc_available,0,$AP60)</f>
        <v/>
      </c>
      <c r="AU60" s="15">
        <f>(1-$AA60)*(1-$AB60)*$AC60</f>
        <v/>
      </c>
      <c r="AV60" s="18">
        <f>$N60*kg_per_mt+domestic_anchor_premium_inr_t</f>
        <v/>
      </c>
      <c r="AW60" s="18">
        <f>(1-$AA60)*$AD60*heavies_net_value_frac_of_lme_al*$F60*$H60</f>
        <v/>
      </c>
      <c r="AX60" s="18">
        <f>conversion_cost_inr_t*$AU60</f>
        <v/>
      </c>
      <c r="AY60" s="18">
        <f>$AV60*$AU60+$AW60-$AT60-$AX60</f>
        <v/>
      </c>
      <c r="AZ60" s="16">
        <f>$AY60/$H60</f>
        <v/>
      </c>
      <c r="BA60" s="8">
        <f>$AY60&gt;margin_threshold_inr_t</f>
        <v/>
      </c>
      <c r="BB60" s="8">
        <f>$Q60+$AE60</f>
        <v/>
      </c>
      <c r="BC60" s="18">
        <f>$AT60-$AQ60</f>
        <v/>
      </c>
      <c r="BD60" s="18">
        <f>$AY60-$BC60*($BB60/$P60-1)</f>
        <v/>
      </c>
      <c r="BE60" s="18">
        <f>$AY60-(conv_step_5a-conversion_cost_inr_t)*$AU60</f>
        <v/>
      </c>
      <c r="BF60" s="8">
        <f>$BA60</f>
        <v/>
      </c>
      <c r="BG60" s="8">
        <f>$BD60&gt;margin_threshold_inr_t</f>
        <v/>
      </c>
      <c r="BH60" s="8">
        <f>$BE60&gt;margin_threshold_inr_t</f>
        <v/>
      </c>
      <c r="BI60" s="8">
        <f>AND($BF60,$BG60,$BH60)</f>
        <v/>
      </c>
      <c r="BJ60" s="8">
        <f>IF($BI60,1,0)</f>
        <v/>
      </c>
    </row>
    <row r="61">
      <c r="A61" s="11" t="n">
        <v>44631</v>
      </c>
      <c r="B61" s="11" t="n">
        <v>44631</v>
      </c>
      <c r="C61" s="7" t="inlineStr">
        <is>
          <t>zorba</t>
        </is>
      </c>
      <c r="D61" s="7" t="inlineStr">
        <is>
          <t>USEC_MUN</t>
        </is>
      </c>
      <c r="E61" s="17" t="b">
        <v>1</v>
      </c>
      <c r="F61" s="16">
        <f>INDEX(Market_Weekly!$E$6:$E$48,MATCH($A61,Market_Weekly!$A$6:$A$48,0))</f>
        <v/>
      </c>
      <c r="G61" s="16">
        <f>INDEX(Market_Weekly!$D$6:$D$48,MATCH($A61,Market_Weekly!$A$6:$A$48,0))</f>
        <v/>
      </c>
      <c r="H61" s="16">
        <f>INDEX(Market_Weekly!$G$6:$G$48,MATCH($A61,Market_Weekly!$A$6:$A$48,0))</f>
        <v/>
      </c>
      <c r="I61" s="8">
        <f>INDEX(Market_Weekly!$H$6:$H$48,MATCH($A61,Market_Weekly!$A$6:$A$48,0))</f>
        <v/>
      </c>
      <c r="J61" s="8">
        <f>INDEX(Market_Weekly!$Q$6:$Q$48,MATCH($A61,Market_Weekly!$A$6:$A$48,0))</f>
        <v/>
      </c>
      <c r="K61" s="8">
        <f>INDEX(Market_Weekly!$V$6:$V$48,MATCH($A61,Market_Weekly!$A$6:$A$48,0))</f>
        <v/>
      </c>
      <c r="L61" s="16">
        <f>IF($D61="JEA_NSA",INDEX(Market_Weekly!$N$6:$N$48,MATCH($A61,Market_Weekly!$A$6:$A$48,0)),INDEX(Market_Weekly!$O$6:$O$48,MATCH($A61,Market_Weekly!$A$6:$A$48,0)))</f>
        <v/>
      </c>
      <c r="M61" s="8">
        <f>IF($D61="JEA_NSA","M1","M2")</f>
        <v/>
      </c>
      <c r="N61" s="16">
        <f>IF($D61="JEA_NSA",INDEX(Market_Weekly!$L$6:$L$48,MATCH($A61,Market_Weekly!$A$6:$A$48,0)),INDEX(Market_Weekly!$M$6:$M$48,MATCH($A61,Market_Weekly!$A$6:$A$48,0)))</f>
        <v/>
      </c>
      <c r="O61" s="15">
        <f>INDEX(Market_Weekly!$P$6:$P$48,MATCH($A61,Market_Weekly!$A$6:$A$48,0))</f>
        <v/>
      </c>
      <c r="P61" s="8">
        <f>INDEX(Market_Weekly!$R$6:$T$48,MATCH($A61,Market_Weekly!$A$6:$A$48,0),MATCH("grade_factor_"&amp;$C61,Market_Weekly!$R$5:$T$5,0))</f>
        <v/>
      </c>
      <c r="Q61" s="8">
        <f>INDEX(Market_Weekly!$U$6:$U$48,MATCH($A61,Market_Weekly!$A$6:$A$48,0))</f>
        <v/>
      </c>
      <c r="R61" s="8">
        <f>IF($D61="JEA_NSA","20ft","40ft")</f>
        <v/>
      </c>
      <c r="S61" s="8">
        <f>IF($D61="JEA_NSA","nsa","mun")</f>
        <v/>
      </c>
      <c r="T61" s="8">
        <f>IF($D61="JEA_NSA","jea_nsa","usec_mun")</f>
        <v/>
      </c>
      <c r="U61" s="16">
        <f>INDEX(param_values,MATCH("container_payload_mt_"&amp;$R61,param_keys,0))</f>
        <v/>
      </c>
      <c r="V61" s="16">
        <f>INDEX(param_values,MATCH("container_payload_mt_"&amp;$R61&amp;"_"&amp;$C61,param_keys,0))</f>
        <v/>
      </c>
      <c r="W61" s="16">
        <f>INDEX(param_values,MATCH("container_payload_mt_20ft_"&amp;$C61,param_keys,0))</f>
        <v/>
      </c>
      <c r="X61" s="18">
        <f>INDEX(param_values,MATCH("port_cf_charges_inr_t_"&amp;$S61,param_keys,0))</f>
        <v/>
      </c>
      <c r="Y61" s="8">
        <f>INDEX(param_values,MATCH(IF($D61="JEA_NSA","psic_required_uae_origin","psic_required_safe_origin_designated_port"),param_keys,0))</f>
        <v/>
      </c>
      <c r="Z61" s="19">
        <f>INDEX(param_values,MATCH("finance_days_"&amp;$T61,param_keys,0))</f>
        <v/>
      </c>
      <c r="AA61" s="15">
        <f>INDEX(param_values,MATCH("moisture_frac_"&amp;$C61,param_keys,0))</f>
        <v/>
      </c>
      <c r="AB61" s="15">
        <f>INDEX(param_values,MATCH("contamination_frac_"&amp;$C61,param_keys,0))</f>
        <v/>
      </c>
      <c r="AC61" s="15">
        <f>INDEX(param_values,MATCH("metal_yield_frac_"&amp;$C61,param_keys,0))</f>
        <v/>
      </c>
      <c r="AD61" s="15">
        <f>INDEX(param_values,MATCH("heavies_frac_"&amp;$C61,param_keys,0))</f>
        <v/>
      </c>
      <c r="AE61" s="8">
        <f>INDEX(param_values,MATCH("grade_factor_diff_"&amp;$C61,param_keys,0))</f>
        <v/>
      </c>
      <c r="AF61" s="16">
        <f>$F61*$P61</f>
        <v/>
      </c>
      <c r="AG61" s="8">
        <f>$U61/$V61</f>
        <v/>
      </c>
      <c r="AH61" s="16">
        <f>$L61*$AG61</f>
        <v/>
      </c>
      <c r="AI61" s="16">
        <f>$AF61-$AH61</f>
        <v/>
      </c>
      <c r="AJ61" s="16">
        <f>insurance_rate*insured_value_uplift*$AF61</f>
        <v/>
      </c>
      <c r="AK61" s="16">
        <f>$AF61+$AJ61</f>
        <v/>
      </c>
      <c r="AL61" s="18">
        <f>$AK61*$J61</f>
        <v/>
      </c>
      <c r="AM61" s="18">
        <f>$AK61*$I61</f>
        <v/>
      </c>
      <c r="AN61" s="18">
        <f>$AL61*bcd_scrap_hs7602</f>
        <v/>
      </c>
      <c r="AO61" s="18">
        <f>$AN61*sws_rate_on_bcd</f>
        <v/>
      </c>
      <c r="AP61" s="18">
        <f>($AL61+$AN61+$AO61)*igst_rate_hs7602</f>
        <v/>
      </c>
      <c r="AQ61" s="18">
        <f>$X61*$AG61+IF($Y61,psic_cost_usd_per_box*$H61/$W61,0)</f>
        <v/>
      </c>
      <c r="AR61" s="18">
        <f>($AM61+$AN61+$AO61)*$Z61/day_count_inr*$O61</f>
        <v/>
      </c>
      <c r="AS61" s="18">
        <f>$AP61*igst_credit_lag_days/day_count_inr*$O61</f>
        <v/>
      </c>
      <c r="AT61" s="18">
        <f>$AM61+$AN61+$AO61+$AQ61+$AR61+$AS61+IF(igst_itc_available,0,$AP61)</f>
        <v/>
      </c>
      <c r="AU61" s="15">
        <f>(1-$AA61)*(1-$AB61)*$AC61</f>
        <v/>
      </c>
      <c r="AV61" s="18">
        <f>$N61*kg_per_mt+domestic_anchor_premium_inr_t</f>
        <v/>
      </c>
      <c r="AW61" s="18">
        <f>(1-$AA61)*$AD61*heavies_net_value_frac_of_lme_al*$F61*$H61</f>
        <v/>
      </c>
      <c r="AX61" s="18">
        <f>conversion_cost_inr_t*$AU61</f>
        <v/>
      </c>
      <c r="AY61" s="18">
        <f>$AV61*$AU61+$AW61-$AT61-$AX61</f>
        <v/>
      </c>
      <c r="AZ61" s="16">
        <f>$AY61/$H61</f>
        <v/>
      </c>
      <c r="BA61" s="8">
        <f>$AY61&gt;margin_threshold_inr_t</f>
        <v/>
      </c>
      <c r="BB61" s="8">
        <f>$Q61+$AE61</f>
        <v/>
      </c>
      <c r="BC61" s="18">
        <f>$AT61-$AQ61</f>
        <v/>
      </c>
      <c r="BD61" s="18">
        <f>$AY61-$BC61*($BB61/$P61-1)</f>
        <v/>
      </c>
      <c r="BE61" s="18">
        <f>$AY61-(conv_step_5a-conversion_cost_inr_t)*$AU61</f>
        <v/>
      </c>
      <c r="BF61" s="8">
        <f>$BA61</f>
        <v/>
      </c>
      <c r="BG61" s="8">
        <f>$BD61&gt;margin_threshold_inr_t</f>
        <v/>
      </c>
      <c r="BH61" s="8">
        <f>$BE61&gt;margin_threshold_inr_t</f>
        <v/>
      </c>
      <c r="BI61" s="8">
        <f>AND($BF61,$BG61,$BH61)</f>
        <v/>
      </c>
      <c r="BJ61" s="8">
        <f>IF($BI61,1,0)</f>
        <v/>
      </c>
    </row>
    <row r="62">
      <c r="A62" s="11" t="n">
        <v>44631</v>
      </c>
      <c r="B62" s="11" t="n">
        <v>44631</v>
      </c>
      <c r="C62" s="7" t="inlineStr">
        <is>
          <t>taint_tabor</t>
        </is>
      </c>
      <c r="D62" s="7" t="inlineStr">
        <is>
          <t>JEA_NSA</t>
        </is>
      </c>
      <c r="E62" s="17" t="b">
        <v>1</v>
      </c>
      <c r="F62" s="16">
        <f>INDEX(Market_Weekly!$E$6:$E$48,MATCH($A62,Market_Weekly!$A$6:$A$48,0))</f>
        <v/>
      </c>
      <c r="G62" s="16">
        <f>INDEX(Market_Weekly!$D$6:$D$48,MATCH($A62,Market_Weekly!$A$6:$A$48,0))</f>
        <v/>
      </c>
      <c r="H62" s="16">
        <f>INDEX(Market_Weekly!$G$6:$G$48,MATCH($A62,Market_Weekly!$A$6:$A$48,0))</f>
        <v/>
      </c>
      <c r="I62" s="8">
        <f>INDEX(Market_Weekly!$H$6:$H$48,MATCH($A62,Market_Weekly!$A$6:$A$48,0))</f>
        <v/>
      </c>
      <c r="J62" s="8">
        <f>INDEX(Market_Weekly!$Q$6:$Q$48,MATCH($A62,Market_Weekly!$A$6:$A$48,0))</f>
        <v/>
      </c>
      <c r="K62" s="8">
        <f>INDEX(Market_Weekly!$V$6:$V$48,MATCH($A62,Market_Weekly!$A$6:$A$48,0))</f>
        <v/>
      </c>
      <c r="L62" s="16">
        <f>IF($D62="JEA_NSA",INDEX(Market_Weekly!$N$6:$N$48,MATCH($A62,Market_Weekly!$A$6:$A$48,0)),INDEX(Market_Weekly!$O$6:$O$48,MATCH($A62,Market_Weekly!$A$6:$A$48,0)))</f>
        <v/>
      </c>
      <c r="M62" s="8">
        <f>IF($D62="JEA_NSA","M1","M2")</f>
        <v/>
      </c>
      <c r="N62" s="16">
        <f>IF($D62="JEA_NSA",INDEX(Market_Weekly!$L$6:$L$48,MATCH($A62,Market_Weekly!$A$6:$A$48,0)),INDEX(Market_Weekly!$M$6:$M$48,MATCH($A62,Market_Weekly!$A$6:$A$48,0)))</f>
        <v/>
      </c>
      <c r="O62" s="15">
        <f>INDEX(Market_Weekly!$P$6:$P$48,MATCH($A62,Market_Weekly!$A$6:$A$48,0))</f>
        <v/>
      </c>
      <c r="P62" s="8">
        <f>INDEX(Market_Weekly!$R$6:$T$48,MATCH($A62,Market_Weekly!$A$6:$A$48,0),MATCH("grade_factor_"&amp;$C62,Market_Weekly!$R$5:$T$5,0))</f>
        <v/>
      </c>
      <c r="Q62" s="8">
        <f>INDEX(Market_Weekly!$U$6:$U$48,MATCH($A62,Market_Weekly!$A$6:$A$48,0))</f>
        <v/>
      </c>
      <c r="R62" s="8">
        <f>IF($D62="JEA_NSA","20ft","40ft")</f>
        <v/>
      </c>
      <c r="S62" s="8">
        <f>IF($D62="JEA_NSA","nsa","mun")</f>
        <v/>
      </c>
      <c r="T62" s="8">
        <f>IF($D62="JEA_NSA","jea_nsa","usec_mun")</f>
        <v/>
      </c>
      <c r="U62" s="16">
        <f>INDEX(param_values,MATCH("container_payload_mt_"&amp;$R62,param_keys,0))</f>
        <v/>
      </c>
      <c r="V62" s="16">
        <f>INDEX(param_values,MATCH("container_payload_mt_"&amp;$R62&amp;"_"&amp;$C62,param_keys,0))</f>
        <v/>
      </c>
      <c r="W62" s="16">
        <f>INDEX(param_values,MATCH("container_payload_mt_20ft_"&amp;$C62,param_keys,0))</f>
        <v/>
      </c>
      <c r="X62" s="18">
        <f>INDEX(param_values,MATCH("port_cf_charges_inr_t_"&amp;$S62,param_keys,0))</f>
        <v/>
      </c>
      <c r="Y62" s="8">
        <f>INDEX(param_values,MATCH(IF($D62="JEA_NSA","psic_required_uae_origin","psic_required_safe_origin_designated_port"),param_keys,0))</f>
        <v/>
      </c>
      <c r="Z62" s="19">
        <f>INDEX(param_values,MATCH("finance_days_"&amp;$T62,param_keys,0))</f>
        <v/>
      </c>
      <c r="AA62" s="15">
        <f>INDEX(param_values,MATCH("moisture_frac_"&amp;$C62,param_keys,0))</f>
        <v/>
      </c>
      <c r="AB62" s="15">
        <f>INDEX(param_values,MATCH("contamination_frac_"&amp;$C62,param_keys,0))</f>
        <v/>
      </c>
      <c r="AC62" s="15">
        <f>INDEX(param_values,MATCH("metal_yield_frac_"&amp;$C62,param_keys,0))</f>
        <v/>
      </c>
      <c r="AD62" s="15">
        <f>INDEX(param_values,MATCH("heavies_frac_"&amp;$C62,param_keys,0))</f>
        <v/>
      </c>
      <c r="AE62" s="8">
        <f>INDEX(param_values,MATCH("grade_factor_diff_"&amp;$C62,param_keys,0))</f>
        <v/>
      </c>
      <c r="AF62" s="16">
        <f>$F62*$P62</f>
        <v/>
      </c>
      <c r="AG62" s="8">
        <f>$U62/$V62</f>
        <v/>
      </c>
      <c r="AH62" s="16">
        <f>$L62*$AG62</f>
        <v/>
      </c>
      <c r="AI62" s="16">
        <f>$AF62-$AH62</f>
        <v/>
      </c>
      <c r="AJ62" s="16">
        <f>insurance_rate*insured_value_uplift*$AF62</f>
        <v/>
      </c>
      <c r="AK62" s="16">
        <f>$AF62+$AJ62</f>
        <v/>
      </c>
      <c r="AL62" s="18">
        <f>$AK62*$J62</f>
        <v/>
      </c>
      <c r="AM62" s="18">
        <f>$AK62*$I62</f>
        <v/>
      </c>
      <c r="AN62" s="18">
        <f>$AL62*bcd_scrap_hs7602</f>
        <v/>
      </c>
      <c r="AO62" s="18">
        <f>$AN62*sws_rate_on_bcd</f>
        <v/>
      </c>
      <c r="AP62" s="18">
        <f>($AL62+$AN62+$AO62)*igst_rate_hs7602</f>
        <v/>
      </c>
      <c r="AQ62" s="18">
        <f>$X62*$AG62+IF($Y62,psic_cost_usd_per_box*$H62/$W62,0)</f>
        <v/>
      </c>
      <c r="AR62" s="18">
        <f>($AM62+$AN62+$AO62)*$Z62/day_count_inr*$O62</f>
        <v/>
      </c>
      <c r="AS62" s="18">
        <f>$AP62*igst_credit_lag_days/day_count_inr*$O62</f>
        <v/>
      </c>
      <c r="AT62" s="18">
        <f>$AM62+$AN62+$AO62+$AQ62+$AR62+$AS62+IF(igst_itc_available,0,$AP62)</f>
        <v/>
      </c>
      <c r="AU62" s="15">
        <f>(1-$AA62)*(1-$AB62)*$AC62</f>
        <v/>
      </c>
      <c r="AV62" s="18">
        <f>$N62*kg_per_mt+domestic_anchor_premium_inr_t</f>
        <v/>
      </c>
      <c r="AW62" s="18">
        <f>(1-$AA62)*$AD62*heavies_net_value_frac_of_lme_al*$F62*$H62</f>
        <v/>
      </c>
      <c r="AX62" s="18">
        <f>conversion_cost_inr_t*$AU62</f>
        <v/>
      </c>
      <c r="AY62" s="18">
        <f>$AV62*$AU62+$AW62-$AT62-$AX62</f>
        <v/>
      </c>
      <c r="AZ62" s="16">
        <f>$AY62/$H62</f>
        <v/>
      </c>
      <c r="BA62" s="8">
        <f>$AY62&gt;margin_threshold_inr_t</f>
        <v/>
      </c>
      <c r="BB62" s="8">
        <f>$Q62+$AE62</f>
        <v/>
      </c>
      <c r="BC62" s="18">
        <f>$AT62-$AQ62</f>
        <v/>
      </c>
      <c r="BD62" s="18">
        <f>$AY62-$BC62*($BB62/$P62-1)</f>
        <v/>
      </c>
      <c r="BE62" s="18">
        <f>$AY62-(conv_step_5a-conversion_cost_inr_t)*$AU62</f>
        <v/>
      </c>
      <c r="BF62" s="8">
        <f>$BA62</f>
        <v/>
      </c>
      <c r="BG62" s="8">
        <f>$BD62&gt;margin_threshold_inr_t</f>
        <v/>
      </c>
      <c r="BH62" s="8">
        <f>$BE62&gt;margin_threshold_inr_t</f>
        <v/>
      </c>
      <c r="BI62" s="8">
        <f>AND($BF62,$BG62,$BH62)</f>
        <v/>
      </c>
      <c r="BJ62" s="8">
        <f>IF($BI62,1,0)</f>
        <v/>
      </c>
    </row>
    <row r="63">
      <c r="A63" s="11" t="n">
        <v>44631</v>
      </c>
      <c r="B63" s="11" t="n">
        <v>44631</v>
      </c>
      <c r="C63" s="7" t="inlineStr">
        <is>
          <t>taint_tabor</t>
        </is>
      </c>
      <c r="D63" s="7" t="inlineStr">
        <is>
          <t>USEC_MUN</t>
        </is>
      </c>
      <c r="E63" s="17" t="b">
        <v>1</v>
      </c>
      <c r="F63" s="16">
        <f>INDEX(Market_Weekly!$E$6:$E$48,MATCH($A63,Market_Weekly!$A$6:$A$48,0))</f>
        <v/>
      </c>
      <c r="G63" s="16">
        <f>INDEX(Market_Weekly!$D$6:$D$48,MATCH($A63,Market_Weekly!$A$6:$A$48,0))</f>
        <v/>
      </c>
      <c r="H63" s="16">
        <f>INDEX(Market_Weekly!$G$6:$G$48,MATCH($A63,Market_Weekly!$A$6:$A$48,0))</f>
        <v/>
      </c>
      <c r="I63" s="8">
        <f>INDEX(Market_Weekly!$H$6:$H$48,MATCH($A63,Market_Weekly!$A$6:$A$48,0))</f>
        <v/>
      </c>
      <c r="J63" s="8">
        <f>INDEX(Market_Weekly!$Q$6:$Q$48,MATCH($A63,Market_Weekly!$A$6:$A$48,0))</f>
        <v/>
      </c>
      <c r="K63" s="8">
        <f>INDEX(Market_Weekly!$V$6:$V$48,MATCH($A63,Market_Weekly!$A$6:$A$48,0))</f>
        <v/>
      </c>
      <c r="L63" s="16">
        <f>IF($D63="JEA_NSA",INDEX(Market_Weekly!$N$6:$N$48,MATCH($A63,Market_Weekly!$A$6:$A$48,0)),INDEX(Market_Weekly!$O$6:$O$48,MATCH($A63,Market_Weekly!$A$6:$A$48,0)))</f>
        <v/>
      </c>
      <c r="M63" s="8">
        <f>IF($D63="JEA_NSA","M1","M2")</f>
        <v/>
      </c>
      <c r="N63" s="16">
        <f>IF($D63="JEA_NSA",INDEX(Market_Weekly!$L$6:$L$48,MATCH($A63,Market_Weekly!$A$6:$A$48,0)),INDEX(Market_Weekly!$M$6:$M$48,MATCH($A63,Market_Weekly!$A$6:$A$48,0)))</f>
        <v/>
      </c>
      <c r="O63" s="15">
        <f>INDEX(Market_Weekly!$P$6:$P$48,MATCH($A63,Market_Weekly!$A$6:$A$48,0))</f>
        <v/>
      </c>
      <c r="P63" s="8">
        <f>INDEX(Market_Weekly!$R$6:$T$48,MATCH($A63,Market_Weekly!$A$6:$A$48,0),MATCH("grade_factor_"&amp;$C63,Market_Weekly!$R$5:$T$5,0))</f>
        <v/>
      </c>
      <c r="Q63" s="8">
        <f>INDEX(Market_Weekly!$U$6:$U$48,MATCH($A63,Market_Weekly!$A$6:$A$48,0))</f>
        <v/>
      </c>
      <c r="R63" s="8">
        <f>IF($D63="JEA_NSA","20ft","40ft")</f>
        <v/>
      </c>
      <c r="S63" s="8">
        <f>IF($D63="JEA_NSA","nsa","mun")</f>
        <v/>
      </c>
      <c r="T63" s="8">
        <f>IF($D63="JEA_NSA","jea_nsa","usec_mun")</f>
        <v/>
      </c>
      <c r="U63" s="16">
        <f>INDEX(param_values,MATCH("container_payload_mt_"&amp;$R63,param_keys,0))</f>
        <v/>
      </c>
      <c r="V63" s="16">
        <f>INDEX(param_values,MATCH("container_payload_mt_"&amp;$R63&amp;"_"&amp;$C63,param_keys,0))</f>
        <v/>
      </c>
      <c r="W63" s="16">
        <f>INDEX(param_values,MATCH("container_payload_mt_20ft_"&amp;$C63,param_keys,0))</f>
        <v/>
      </c>
      <c r="X63" s="18">
        <f>INDEX(param_values,MATCH("port_cf_charges_inr_t_"&amp;$S63,param_keys,0))</f>
        <v/>
      </c>
      <c r="Y63" s="8">
        <f>INDEX(param_values,MATCH(IF($D63="JEA_NSA","psic_required_uae_origin","psic_required_safe_origin_designated_port"),param_keys,0))</f>
        <v/>
      </c>
      <c r="Z63" s="19">
        <f>INDEX(param_values,MATCH("finance_days_"&amp;$T63,param_keys,0))</f>
        <v/>
      </c>
      <c r="AA63" s="15">
        <f>INDEX(param_values,MATCH("moisture_frac_"&amp;$C63,param_keys,0))</f>
        <v/>
      </c>
      <c r="AB63" s="15">
        <f>INDEX(param_values,MATCH("contamination_frac_"&amp;$C63,param_keys,0))</f>
        <v/>
      </c>
      <c r="AC63" s="15">
        <f>INDEX(param_values,MATCH("metal_yield_frac_"&amp;$C63,param_keys,0))</f>
        <v/>
      </c>
      <c r="AD63" s="15">
        <f>INDEX(param_values,MATCH("heavies_frac_"&amp;$C63,param_keys,0))</f>
        <v/>
      </c>
      <c r="AE63" s="8">
        <f>INDEX(param_values,MATCH("grade_factor_diff_"&amp;$C63,param_keys,0))</f>
        <v/>
      </c>
      <c r="AF63" s="16">
        <f>$F63*$P63</f>
        <v/>
      </c>
      <c r="AG63" s="8">
        <f>$U63/$V63</f>
        <v/>
      </c>
      <c r="AH63" s="16">
        <f>$L63*$AG63</f>
        <v/>
      </c>
      <c r="AI63" s="16">
        <f>$AF63-$AH63</f>
        <v/>
      </c>
      <c r="AJ63" s="16">
        <f>insurance_rate*insured_value_uplift*$AF63</f>
        <v/>
      </c>
      <c r="AK63" s="16">
        <f>$AF63+$AJ63</f>
        <v/>
      </c>
      <c r="AL63" s="18">
        <f>$AK63*$J63</f>
        <v/>
      </c>
      <c r="AM63" s="18">
        <f>$AK63*$I63</f>
        <v/>
      </c>
      <c r="AN63" s="18">
        <f>$AL63*bcd_scrap_hs7602</f>
        <v/>
      </c>
      <c r="AO63" s="18">
        <f>$AN63*sws_rate_on_bcd</f>
        <v/>
      </c>
      <c r="AP63" s="18">
        <f>($AL63+$AN63+$AO63)*igst_rate_hs7602</f>
        <v/>
      </c>
      <c r="AQ63" s="18">
        <f>$X63*$AG63+IF($Y63,psic_cost_usd_per_box*$H63/$W63,0)</f>
        <v/>
      </c>
      <c r="AR63" s="18">
        <f>($AM63+$AN63+$AO63)*$Z63/day_count_inr*$O63</f>
        <v/>
      </c>
      <c r="AS63" s="18">
        <f>$AP63*igst_credit_lag_days/day_count_inr*$O63</f>
        <v/>
      </c>
      <c r="AT63" s="18">
        <f>$AM63+$AN63+$AO63+$AQ63+$AR63+$AS63+IF(igst_itc_available,0,$AP63)</f>
        <v/>
      </c>
      <c r="AU63" s="15">
        <f>(1-$AA63)*(1-$AB63)*$AC63</f>
        <v/>
      </c>
      <c r="AV63" s="18">
        <f>$N63*kg_per_mt+domestic_anchor_premium_inr_t</f>
        <v/>
      </c>
      <c r="AW63" s="18">
        <f>(1-$AA63)*$AD63*heavies_net_value_frac_of_lme_al*$F63*$H63</f>
        <v/>
      </c>
      <c r="AX63" s="18">
        <f>conversion_cost_inr_t*$AU63</f>
        <v/>
      </c>
      <c r="AY63" s="18">
        <f>$AV63*$AU63+$AW63-$AT63-$AX63</f>
        <v/>
      </c>
      <c r="AZ63" s="16">
        <f>$AY63/$H63</f>
        <v/>
      </c>
      <c r="BA63" s="8">
        <f>$AY63&gt;margin_threshold_inr_t</f>
        <v/>
      </c>
      <c r="BB63" s="8">
        <f>$Q63+$AE63</f>
        <v/>
      </c>
      <c r="BC63" s="18">
        <f>$AT63-$AQ63</f>
        <v/>
      </c>
      <c r="BD63" s="18">
        <f>$AY63-$BC63*($BB63/$P63-1)</f>
        <v/>
      </c>
      <c r="BE63" s="18">
        <f>$AY63-(conv_step_5a-conversion_cost_inr_t)*$AU63</f>
        <v/>
      </c>
      <c r="BF63" s="8">
        <f>$BA63</f>
        <v/>
      </c>
      <c r="BG63" s="8">
        <f>$BD63&gt;margin_threshold_inr_t</f>
        <v/>
      </c>
      <c r="BH63" s="8">
        <f>$BE63&gt;margin_threshold_inr_t</f>
        <v/>
      </c>
      <c r="BI63" s="8">
        <f>AND($BF63,$BG63,$BH63)</f>
        <v/>
      </c>
      <c r="BJ63" s="8">
        <f>IF($BI63,1,0)</f>
        <v/>
      </c>
    </row>
    <row r="64">
      <c r="A64" s="11" t="n">
        <v>44631</v>
      </c>
      <c r="B64" s="11" t="n">
        <v>44631</v>
      </c>
      <c r="C64" s="7" t="inlineStr">
        <is>
          <t>tense</t>
        </is>
      </c>
      <c r="D64" s="7" t="inlineStr">
        <is>
          <t>JEA_NSA</t>
        </is>
      </c>
      <c r="E64" s="17" t="b">
        <v>1</v>
      </c>
      <c r="F64" s="16">
        <f>INDEX(Market_Weekly!$E$6:$E$48,MATCH($A64,Market_Weekly!$A$6:$A$48,0))</f>
        <v/>
      </c>
      <c r="G64" s="16">
        <f>INDEX(Market_Weekly!$D$6:$D$48,MATCH($A64,Market_Weekly!$A$6:$A$48,0))</f>
        <v/>
      </c>
      <c r="H64" s="16">
        <f>INDEX(Market_Weekly!$G$6:$G$48,MATCH($A64,Market_Weekly!$A$6:$A$48,0))</f>
        <v/>
      </c>
      <c r="I64" s="8">
        <f>INDEX(Market_Weekly!$H$6:$H$48,MATCH($A64,Market_Weekly!$A$6:$A$48,0))</f>
        <v/>
      </c>
      <c r="J64" s="8">
        <f>INDEX(Market_Weekly!$Q$6:$Q$48,MATCH($A64,Market_Weekly!$A$6:$A$48,0))</f>
        <v/>
      </c>
      <c r="K64" s="8">
        <f>INDEX(Market_Weekly!$V$6:$V$48,MATCH($A64,Market_Weekly!$A$6:$A$48,0))</f>
        <v/>
      </c>
      <c r="L64" s="16">
        <f>IF($D64="JEA_NSA",INDEX(Market_Weekly!$N$6:$N$48,MATCH($A64,Market_Weekly!$A$6:$A$48,0)),INDEX(Market_Weekly!$O$6:$O$48,MATCH($A64,Market_Weekly!$A$6:$A$48,0)))</f>
        <v/>
      </c>
      <c r="M64" s="8">
        <f>IF($D64="JEA_NSA","M1","M2")</f>
        <v/>
      </c>
      <c r="N64" s="16">
        <f>IF($D64="JEA_NSA",INDEX(Market_Weekly!$L$6:$L$48,MATCH($A64,Market_Weekly!$A$6:$A$48,0)),INDEX(Market_Weekly!$M$6:$M$48,MATCH($A64,Market_Weekly!$A$6:$A$48,0)))</f>
        <v/>
      </c>
      <c r="O64" s="15">
        <f>INDEX(Market_Weekly!$P$6:$P$48,MATCH($A64,Market_Weekly!$A$6:$A$48,0))</f>
        <v/>
      </c>
      <c r="P64" s="8">
        <f>INDEX(Market_Weekly!$R$6:$T$48,MATCH($A64,Market_Weekly!$A$6:$A$48,0),MATCH("grade_factor_"&amp;$C64,Market_Weekly!$R$5:$T$5,0))</f>
        <v/>
      </c>
      <c r="Q64" s="8">
        <f>INDEX(Market_Weekly!$U$6:$U$48,MATCH($A64,Market_Weekly!$A$6:$A$48,0))</f>
        <v/>
      </c>
      <c r="R64" s="8">
        <f>IF($D64="JEA_NSA","20ft","40ft")</f>
        <v/>
      </c>
      <c r="S64" s="8">
        <f>IF($D64="JEA_NSA","nsa","mun")</f>
        <v/>
      </c>
      <c r="T64" s="8">
        <f>IF($D64="JEA_NSA","jea_nsa","usec_mun")</f>
        <v/>
      </c>
      <c r="U64" s="16">
        <f>INDEX(param_values,MATCH("container_payload_mt_"&amp;$R64,param_keys,0))</f>
        <v/>
      </c>
      <c r="V64" s="16">
        <f>INDEX(param_values,MATCH("container_payload_mt_"&amp;$R64&amp;"_"&amp;$C64,param_keys,0))</f>
        <v/>
      </c>
      <c r="W64" s="16">
        <f>INDEX(param_values,MATCH("container_payload_mt_20ft_"&amp;$C64,param_keys,0))</f>
        <v/>
      </c>
      <c r="X64" s="18">
        <f>INDEX(param_values,MATCH("port_cf_charges_inr_t_"&amp;$S64,param_keys,0))</f>
        <v/>
      </c>
      <c r="Y64" s="8">
        <f>INDEX(param_values,MATCH(IF($D64="JEA_NSA","psic_required_uae_origin","psic_required_safe_origin_designated_port"),param_keys,0))</f>
        <v/>
      </c>
      <c r="Z64" s="19">
        <f>INDEX(param_values,MATCH("finance_days_"&amp;$T64,param_keys,0))</f>
        <v/>
      </c>
      <c r="AA64" s="15">
        <f>INDEX(param_values,MATCH("moisture_frac_"&amp;$C64,param_keys,0))</f>
        <v/>
      </c>
      <c r="AB64" s="15">
        <f>INDEX(param_values,MATCH("contamination_frac_"&amp;$C64,param_keys,0))</f>
        <v/>
      </c>
      <c r="AC64" s="15">
        <f>INDEX(param_values,MATCH("metal_yield_frac_"&amp;$C64,param_keys,0))</f>
        <v/>
      </c>
      <c r="AD64" s="15">
        <f>INDEX(param_values,MATCH("heavies_frac_"&amp;$C64,param_keys,0))</f>
        <v/>
      </c>
      <c r="AE64" s="8">
        <f>INDEX(param_values,MATCH("grade_factor_diff_"&amp;$C64,param_keys,0))</f>
        <v/>
      </c>
      <c r="AF64" s="16">
        <f>$F64*$P64</f>
        <v/>
      </c>
      <c r="AG64" s="8">
        <f>$U64/$V64</f>
        <v/>
      </c>
      <c r="AH64" s="16">
        <f>$L64*$AG64</f>
        <v/>
      </c>
      <c r="AI64" s="16">
        <f>$AF64-$AH64</f>
        <v/>
      </c>
      <c r="AJ64" s="16">
        <f>insurance_rate*insured_value_uplift*$AF64</f>
        <v/>
      </c>
      <c r="AK64" s="16">
        <f>$AF64+$AJ64</f>
        <v/>
      </c>
      <c r="AL64" s="18">
        <f>$AK64*$J64</f>
        <v/>
      </c>
      <c r="AM64" s="18">
        <f>$AK64*$I64</f>
        <v/>
      </c>
      <c r="AN64" s="18">
        <f>$AL64*bcd_scrap_hs7602</f>
        <v/>
      </c>
      <c r="AO64" s="18">
        <f>$AN64*sws_rate_on_bcd</f>
        <v/>
      </c>
      <c r="AP64" s="18">
        <f>($AL64+$AN64+$AO64)*igst_rate_hs7602</f>
        <v/>
      </c>
      <c r="AQ64" s="18">
        <f>$X64*$AG64+IF($Y64,psic_cost_usd_per_box*$H64/$W64,0)</f>
        <v/>
      </c>
      <c r="AR64" s="18">
        <f>($AM64+$AN64+$AO64)*$Z64/day_count_inr*$O64</f>
        <v/>
      </c>
      <c r="AS64" s="18">
        <f>$AP64*igst_credit_lag_days/day_count_inr*$O64</f>
        <v/>
      </c>
      <c r="AT64" s="18">
        <f>$AM64+$AN64+$AO64+$AQ64+$AR64+$AS64+IF(igst_itc_available,0,$AP64)</f>
        <v/>
      </c>
      <c r="AU64" s="15">
        <f>(1-$AA64)*(1-$AB64)*$AC64</f>
        <v/>
      </c>
      <c r="AV64" s="18">
        <f>$N64*kg_per_mt+domestic_anchor_premium_inr_t</f>
        <v/>
      </c>
      <c r="AW64" s="18">
        <f>(1-$AA64)*$AD64*heavies_net_value_frac_of_lme_al*$F64*$H64</f>
        <v/>
      </c>
      <c r="AX64" s="18">
        <f>conversion_cost_inr_t*$AU64</f>
        <v/>
      </c>
      <c r="AY64" s="18">
        <f>$AV64*$AU64+$AW64-$AT64-$AX64</f>
        <v/>
      </c>
      <c r="AZ64" s="16">
        <f>$AY64/$H64</f>
        <v/>
      </c>
      <c r="BA64" s="8">
        <f>$AY64&gt;margin_threshold_inr_t</f>
        <v/>
      </c>
      <c r="BB64" s="8">
        <f>$Q64+$AE64</f>
        <v/>
      </c>
      <c r="BC64" s="18">
        <f>$AT64-$AQ64</f>
        <v/>
      </c>
      <c r="BD64" s="18">
        <f>$AY64-$BC64*($BB64/$P64-1)</f>
        <v/>
      </c>
      <c r="BE64" s="18">
        <f>$AY64-(conv_step_5a-conversion_cost_inr_t)*$AU64</f>
        <v/>
      </c>
      <c r="BF64" s="8">
        <f>$BA64</f>
        <v/>
      </c>
      <c r="BG64" s="8">
        <f>$BD64&gt;margin_threshold_inr_t</f>
        <v/>
      </c>
      <c r="BH64" s="8">
        <f>$BE64&gt;margin_threshold_inr_t</f>
        <v/>
      </c>
      <c r="BI64" s="8">
        <f>AND($BF64,$BG64,$BH64)</f>
        <v/>
      </c>
      <c r="BJ64" s="8">
        <f>IF($BI64,1,0)</f>
        <v/>
      </c>
    </row>
    <row r="65">
      <c r="A65" s="11" t="n">
        <v>44631</v>
      </c>
      <c r="B65" s="11" t="n">
        <v>44631</v>
      </c>
      <c r="C65" s="7" t="inlineStr">
        <is>
          <t>tense</t>
        </is>
      </c>
      <c r="D65" s="7" t="inlineStr">
        <is>
          <t>USEC_MUN</t>
        </is>
      </c>
      <c r="E65" s="17" t="b">
        <v>1</v>
      </c>
      <c r="F65" s="16">
        <f>INDEX(Market_Weekly!$E$6:$E$48,MATCH($A65,Market_Weekly!$A$6:$A$48,0))</f>
        <v/>
      </c>
      <c r="G65" s="16">
        <f>INDEX(Market_Weekly!$D$6:$D$48,MATCH($A65,Market_Weekly!$A$6:$A$48,0))</f>
        <v/>
      </c>
      <c r="H65" s="16">
        <f>INDEX(Market_Weekly!$G$6:$G$48,MATCH($A65,Market_Weekly!$A$6:$A$48,0))</f>
        <v/>
      </c>
      <c r="I65" s="8">
        <f>INDEX(Market_Weekly!$H$6:$H$48,MATCH($A65,Market_Weekly!$A$6:$A$48,0))</f>
        <v/>
      </c>
      <c r="J65" s="8">
        <f>INDEX(Market_Weekly!$Q$6:$Q$48,MATCH($A65,Market_Weekly!$A$6:$A$48,0))</f>
        <v/>
      </c>
      <c r="K65" s="8">
        <f>INDEX(Market_Weekly!$V$6:$V$48,MATCH($A65,Market_Weekly!$A$6:$A$48,0))</f>
        <v/>
      </c>
      <c r="L65" s="16">
        <f>IF($D65="JEA_NSA",INDEX(Market_Weekly!$N$6:$N$48,MATCH($A65,Market_Weekly!$A$6:$A$48,0)),INDEX(Market_Weekly!$O$6:$O$48,MATCH($A65,Market_Weekly!$A$6:$A$48,0)))</f>
        <v/>
      </c>
      <c r="M65" s="8">
        <f>IF($D65="JEA_NSA","M1","M2")</f>
        <v/>
      </c>
      <c r="N65" s="16">
        <f>IF($D65="JEA_NSA",INDEX(Market_Weekly!$L$6:$L$48,MATCH($A65,Market_Weekly!$A$6:$A$48,0)),INDEX(Market_Weekly!$M$6:$M$48,MATCH($A65,Market_Weekly!$A$6:$A$48,0)))</f>
        <v/>
      </c>
      <c r="O65" s="15">
        <f>INDEX(Market_Weekly!$P$6:$P$48,MATCH($A65,Market_Weekly!$A$6:$A$48,0))</f>
        <v/>
      </c>
      <c r="P65" s="8">
        <f>INDEX(Market_Weekly!$R$6:$T$48,MATCH($A65,Market_Weekly!$A$6:$A$48,0),MATCH("grade_factor_"&amp;$C65,Market_Weekly!$R$5:$T$5,0))</f>
        <v/>
      </c>
      <c r="Q65" s="8">
        <f>INDEX(Market_Weekly!$U$6:$U$48,MATCH($A65,Market_Weekly!$A$6:$A$48,0))</f>
        <v/>
      </c>
      <c r="R65" s="8">
        <f>IF($D65="JEA_NSA","20ft","40ft")</f>
        <v/>
      </c>
      <c r="S65" s="8">
        <f>IF($D65="JEA_NSA","nsa","mun")</f>
        <v/>
      </c>
      <c r="T65" s="8">
        <f>IF($D65="JEA_NSA","jea_nsa","usec_mun")</f>
        <v/>
      </c>
      <c r="U65" s="16">
        <f>INDEX(param_values,MATCH("container_payload_mt_"&amp;$R65,param_keys,0))</f>
        <v/>
      </c>
      <c r="V65" s="16">
        <f>INDEX(param_values,MATCH("container_payload_mt_"&amp;$R65&amp;"_"&amp;$C65,param_keys,0))</f>
        <v/>
      </c>
      <c r="W65" s="16">
        <f>INDEX(param_values,MATCH("container_payload_mt_20ft_"&amp;$C65,param_keys,0))</f>
        <v/>
      </c>
      <c r="X65" s="18">
        <f>INDEX(param_values,MATCH("port_cf_charges_inr_t_"&amp;$S65,param_keys,0))</f>
        <v/>
      </c>
      <c r="Y65" s="8">
        <f>INDEX(param_values,MATCH(IF($D65="JEA_NSA","psic_required_uae_origin","psic_required_safe_origin_designated_port"),param_keys,0))</f>
        <v/>
      </c>
      <c r="Z65" s="19">
        <f>INDEX(param_values,MATCH("finance_days_"&amp;$T65,param_keys,0))</f>
        <v/>
      </c>
      <c r="AA65" s="15">
        <f>INDEX(param_values,MATCH("moisture_frac_"&amp;$C65,param_keys,0))</f>
        <v/>
      </c>
      <c r="AB65" s="15">
        <f>INDEX(param_values,MATCH("contamination_frac_"&amp;$C65,param_keys,0))</f>
        <v/>
      </c>
      <c r="AC65" s="15">
        <f>INDEX(param_values,MATCH("metal_yield_frac_"&amp;$C65,param_keys,0))</f>
        <v/>
      </c>
      <c r="AD65" s="15">
        <f>INDEX(param_values,MATCH("heavies_frac_"&amp;$C65,param_keys,0))</f>
        <v/>
      </c>
      <c r="AE65" s="8">
        <f>INDEX(param_values,MATCH("grade_factor_diff_"&amp;$C65,param_keys,0))</f>
        <v/>
      </c>
      <c r="AF65" s="16">
        <f>$F65*$P65</f>
        <v/>
      </c>
      <c r="AG65" s="8">
        <f>$U65/$V65</f>
        <v/>
      </c>
      <c r="AH65" s="16">
        <f>$L65*$AG65</f>
        <v/>
      </c>
      <c r="AI65" s="16">
        <f>$AF65-$AH65</f>
        <v/>
      </c>
      <c r="AJ65" s="16">
        <f>insurance_rate*insured_value_uplift*$AF65</f>
        <v/>
      </c>
      <c r="AK65" s="16">
        <f>$AF65+$AJ65</f>
        <v/>
      </c>
      <c r="AL65" s="18">
        <f>$AK65*$J65</f>
        <v/>
      </c>
      <c r="AM65" s="18">
        <f>$AK65*$I65</f>
        <v/>
      </c>
      <c r="AN65" s="18">
        <f>$AL65*bcd_scrap_hs7602</f>
        <v/>
      </c>
      <c r="AO65" s="18">
        <f>$AN65*sws_rate_on_bcd</f>
        <v/>
      </c>
      <c r="AP65" s="18">
        <f>($AL65+$AN65+$AO65)*igst_rate_hs7602</f>
        <v/>
      </c>
      <c r="AQ65" s="18">
        <f>$X65*$AG65+IF($Y65,psic_cost_usd_per_box*$H65/$W65,0)</f>
        <v/>
      </c>
      <c r="AR65" s="18">
        <f>($AM65+$AN65+$AO65)*$Z65/day_count_inr*$O65</f>
        <v/>
      </c>
      <c r="AS65" s="18">
        <f>$AP65*igst_credit_lag_days/day_count_inr*$O65</f>
        <v/>
      </c>
      <c r="AT65" s="18">
        <f>$AM65+$AN65+$AO65+$AQ65+$AR65+$AS65+IF(igst_itc_available,0,$AP65)</f>
        <v/>
      </c>
      <c r="AU65" s="15">
        <f>(1-$AA65)*(1-$AB65)*$AC65</f>
        <v/>
      </c>
      <c r="AV65" s="18">
        <f>$N65*kg_per_mt+domestic_anchor_premium_inr_t</f>
        <v/>
      </c>
      <c r="AW65" s="18">
        <f>(1-$AA65)*$AD65*heavies_net_value_frac_of_lme_al*$F65*$H65</f>
        <v/>
      </c>
      <c r="AX65" s="18">
        <f>conversion_cost_inr_t*$AU65</f>
        <v/>
      </c>
      <c r="AY65" s="18">
        <f>$AV65*$AU65+$AW65-$AT65-$AX65</f>
        <v/>
      </c>
      <c r="AZ65" s="16">
        <f>$AY65/$H65</f>
        <v/>
      </c>
      <c r="BA65" s="8">
        <f>$AY65&gt;margin_threshold_inr_t</f>
        <v/>
      </c>
      <c r="BB65" s="8">
        <f>$Q65+$AE65</f>
        <v/>
      </c>
      <c r="BC65" s="18">
        <f>$AT65-$AQ65</f>
        <v/>
      </c>
      <c r="BD65" s="18">
        <f>$AY65-$BC65*($BB65/$P65-1)</f>
        <v/>
      </c>
      <c r="BE65" s="18">
        <f>$AY65-(conv_step_5a-conversion_cost_inr_t)*$AU65</f>
        <v/>
      </c>
      <c r="BF65" s="8">
        <f>$BA65</f>
        <v/>
      </c>
      <c r="BG65" s="8">
        <f>$BD65&gt;margin_threshold_inr_t</f>
        <v/>
      </c>
      <c r="BH65" s="8">
        <f>$BE65&gt;margin_threshold_inr_t</f>
        <v/>
      </c>
      <c r="BI65" s="8">
        <f>AND($BF65,$BG65,$BH65)</f>
        <v/>
      </c>
      <c r="BJ65" s="8">
        <f>IF($BI65,1,0)</f>
        <v/>
      </c>
    </row>
    <row r="66">
      <c r="A66" s="11" t="n">
        <v>44638</v>
      </c>
      <c r="B66" s="11" t="n">
        <v>44638</v>
      </c>
      <c r="C66" s="7" t="inlineStr">
        <is>
          <t>zorba</t>
        </is>
      </c>
      <c r="D66" s="7" t="inlineStr">
        <is>
          <t>JEA_NSA</t>
        </is>
      </c>
      <c r="E66" s="17" t="b">
        <v>1</v>
      </c>
      <c r="F66" s="16">
        <f>INDEX(Market_Weekly!$E$6:$E$48,MATCH($A66,Market_Weekly!$A$6:$A$48,0))</f>
        <v/>
      </c>
      <c r="G66" s="16">
        <f>INDEX(Market_Weekly!$D$6:$D$48,MATCH($A66,Market_Weekly!$A$6:$A$48,0))</f>
        <v/>
      </c>
      <c r="H66" s="16">
        <f>INDEX(Market_Weekly!$G$6:$G$48,MATCH($A66,Market_Weekly!$A$6:$A$48,0))</f>
        <v/>
      </c>
      <c r="I66" s="8">
        <f>INDEX(Market_Weekly!$H$6:$H$48,MATCH($A66,Market_Weekly!$A$6:$A$48,0))</f>
        <v/>
      </c>
      <c r="J66" s="8">
        <f>INDEX(Market_Weekly!$Q$6:$Q$48,MATCH($A66,Market_Weekly!$A$6:$A$48,0))</f>
        <v/>
      </c>
      <c r="K66" s="8">
        <f>INDEX(Market_Weekly!$V$6:$V$48,MATCH($A66,Market_Weekly!$A$6:$A$48,0))</f>
        <v/>
      </c>
      <c r="L66" s="16">
        <f>IF($D66="JEA_NSA",INDEX(Market_Weekly!$N$6:$N$48,MATCH($A66,Market_Weekly!$A$6:$A$48,0)),INDEX(Market_Weekly!$O$6:$O$48,MATCH($A66,Market_Weekly!$A$6:$A$48,0)))</f>
        <v/>
      </c>
      <c r="M66" s="8">
        <f>IF($D66="JEA_NSA","M1","M2")</f>
        <v/>
      </c>
      <c r="N66" s="16">
        <f>IF($D66="JEA_NSA",INDEX(Market_Weekly!$L$6:$L$48,MATCH($A66,Market_Weekly!$A$6:$A$48,0)),INDEX(Market_Weekly!$M$6:$M$48,MATCH($A66,Market_Weekly!$A$6:$A$48,0)))</f>
        <v/>
      </c>
      <c r="O66" s="15">
        <f>INDEX(Market_Weekly!$P$6:$P$48,MATCH($A66,Market_Weekly!$A$6:$A$48,0))</f>
        <v/>
      </c>
      <c r="P66" s="8">
        <f>INDEX(Market_Weekly!$R$6:$T$48,MATCH($A66,Market_Weekly!$A$6:$A$48,0),MATCH("grade_factor_"&amp;$C66,Market_Weekly!$R$5:$T$5,0))</f>
        <v/>
      </c>
      <c r="Q66" s="8">
        <f>INDEX(Market_Weekly!$U$6:$U$48,MATCH($A66,Market_Weekly!$A$6:$A$48,0))</f>
        <v/>
      </c>
      <c r="R66" s="8">
        <f>IF($D66="JEA_NSA","20ft","40ft")</f>
        <v/>
      </c>
      <c r="S66" s="8">
        <f>IF($D66="JEA_NSA","nsa","mun")</f>
        <v/>
      </c>
      <c r="T66" s="8">
        <f>IF($D66="JEA_NSA","jea_nsa","usec_mun")</f>
        <v/>
      </c>
      <c r="U66" s="16">
        <f>INDEX(param_values,MATCH("container_payload_mt_"&amp;$R66,param_keys,0))</f>
        <v/>
      </c>
      <c r="V66" s="16">
        <f>INDEX(param_values,MATCH("container_payload_mt_"&amp;$R66&amp;"_"&amp;$C66,param_keys,0))</f>
        <v/>
      </c>
      <c r="W66" s="16">
        <f>INDEX(param_values,MATCH("container_payload_mt_20ft_"&amp;$C66,param_keys,0))</f>
        <v/>
      </c>
      <c r="X66" s="18">
        <f>INDEX(param_values,MATCH("port_cf_charges_inr_t_"&amp;$S66,param_keys,0))</f>
        <v/>
      </c>
      <c r="Y66" s="8">
        <f>INDEX(param_values,MATCH(IF($D66="JEA_NSA","psic_required_uae_origin","psic_required_safe_origin_designated_port"),param_keys,0))</f>
        <v/>
      </c>
      <c r="Z66" s="19">
        <f>INDEX(param_values,MATCH("finance_days_"&amp;$T66,param_keys,0))</f>
        <v/>
      </c>
      <c r="AA66" s="15">
        <f>INDEX(param_values,MATCH("moisture_frac_"&amp;$C66,param_keys,0))</f>
        <v/>
      </c>
      <c r="AB66" s="15">
        <f>INDEX(param_values,MATCH("contamination_frac_"&amp;$C66,param_keys,0))</f>
        <v/>
      </c>
      <c r="AC66" s="15">
        <f>INDEX(param_values,MATCH("metal_yield_frac_"&amp;$C66,param_keys,0))</f>
        <v/>
      </c>
      <c r="AD66" s="15">
        <f>INDEX(param_values,MATCH("heavies_frac_"&amp;$C66,param_keys,0))</f>
        <v/>
      </c>
      <c r="AE66" s="8">
        <f>INDEX(param_values,MATCH("grade_factor_diff_"&amp;$C66,param_keys,0))</f>
        <v/>
      </c>
      <c r="AF66" s="16">
        <f>$F66*$P66</f>
        <v/>
      </c>
      <c r="AG66" s="8">
        <f>$U66/$V66</f>
        <v/>
      </c>
      <c r="AH66" s="16">
        <f>$L66*$AG66</f>
        <v/>
      </c>
      <c r="AI66" s="16">
        <f>$AF66-$AH66</f>
        <v/>
      </c>
      <c r="AJ66" s="16">
        <f>insurance_rate*insured_value_uplift*$AF66</f>
        <v/>
      </c>
      <c r="AK66" s="16">
        <f>$AF66+$AJ66</f>
        <v/>
      </c>
      <c r="AL66" s="18">
        <f>$AK66*$J66</f>
        <v/>
      </c>
      <c r="AM66" s="18">
        <f>$AK66*$I66</f>
        <v/>
      </c>
      <c r="AN66" s="18">
        <f>$AL66*bcd_scrap_hs7602</f>
        <v/>
      </c>
      <c r="AO66" s="18">
        <f>$AN66*sws_rate_on_bcd</f>
        <v/>
      </c>
      <c r="AP66" s="18">
        <f>($AL66+$AN66+$AO66)*igst_rate_hs7602</f>
        <v/>
      </c>
      <c r="AQ66" s="18">
        <f>$X66*$AG66+IF($Y66,psic_cost_usd_per_box*$H66/$W66,0)</f>
        <v/>
      </c>
      <c r="AR66" s="18">
        <f>($AM66+$AN66+$AO66)*$Z66/day_count_inr*$O66</f>
        <v/>
      </c>
      <c r="AS66" s="18">
        <f>$AP66*igst_credit_lag_days/day_count_inr*$O66</f>
        <v/>
      </c>
      <c r="AT66" s="18">
        <f>$AM66+$AN66+$AO66+$AQ66+$AR66+$AS66+IF(igst_itc_available,0,$AP66)</f>
        <v/>
      </c>
      <c r="AU66" s="15">
        <f>(1-$AA66)*(1-$AB66)*$AC66</f>
        <v/>
      </c>
      <c r="AV66" s="18">
        <f>$N66*kg_per_mt+domestic_anchor_premium_inr_t</f>
        <v/>
      </c>
      <c r="AW66" s="18">
        <f>(1-$AA66)*$AD66*heavies_net_value_frac_of_lme_al*$F66*$H66</f>
        <v/>
      </c>
      <c r="AX66" s="18">
        <f>conversion_cost_inr_t*$AU66</f>
        <v/>
      </c>
      <c r="AY66" s="18">
        <f>$AV66*$AU66+$AW66-$AT66-$AX66</f>
        <v/>
      </c>
      <c r="AZ66" s="16">
        <f>$AY66/$H66</f>
        <v/>
      </c>
      <c r="BA66" s="8">
        <f>$AY66&gt;margin_threshold_inr_t</f>
        <v/>
      </c>
      <c r="BB66" s="8">
        <f>$Q66+$AE66</f>
        <v/>
      </c>
      <c r="BC66" s="18">
        <f>$AT66-$AQ66</f>
        <v/>
      </c>
      <c r="BD66" s="18">
        <f>$AY66-$BC66*($BB66/$P66-1)</f>
        <v/>
      </c>
      <c r="BE66" s="18">
        <f>$AY66-(conv_step_5a-conversion_cost_inr_t)*$AU66</f>
        <v/>
      </c>
      <c r="BF66" s="8">
        <f>$BA66</f>
        <v/>
      </c>
      <c r="BG66" s="8">
        <f>$BD66&gt;margin_threshold_inr_t</f>
        <v/>
      </c>
      <c r="BH66" s="8">
        <f>$BE66&gt;margin_threshold_inr_t</f>
        <v/>
      </c>
      <c r="BI66" s="8">
        <f>AND($BF66,$BG66,$BH66)</f>
        <v/>
      </c>
      <c r="BJ66" s="8">
        <f>IF($BI66,1,0)</f>
        <v/>
      </c>
    </row>
    <row r="67">
      <c r="A67" s="11" t="n">
        <v>44638</v>
      </c>
      <c r="B67" s="11" t="n">
        <v>44638</v>
      </c>
      <c r="C67" s="7" t="inlineStr">
        <is>
          <t>zorba</t>
        </is>
      </c>
      <c r="D67" s="7" t="inlineStr">
        <is>
          <t>USEC_MUN</t>
        </is>
      </c>
      <c r="E67" s="17" t="b">
        <v>1</v>
      </c>
      <c r="F67" s="16">
        <f>INDEX(Market_Weekly!$E$6:$E$48,MATCH($A67,Market_Weekly!$A$6:$A$48,0))</f>
        <v/>
      </c>
      <c r="G67" s="16">
        <f>INDEX(Market_Weekly!$D$6:$D$48,MATCH($A67,Market_Weekly!$A$6:$A$48,0))</f>
        <v/>
      </c>
      <c r="H67" s="16">
        <f>INDEX(Market_Weekly!$G$6:$G$48,MATCH($A67,Market_Weekly!$A$6:$A$48,0))</f>
        <v/>
      </c>
      <c r="I67" s="8">
        <f>INDEX(Market_Weekly!$H$6:$H$48,MATCH($A67,Market_Weekly!$A$6:$A$48,0))</f>
        <v/>
      </c>
      <c r="J67" s="8">
        <f>INDEX(Market_Weekly!$Q$6:$Q$48,MATCH($A67,Market_Weekly!$A$6:$A$48,0))</f>
        <v/>
      </c>
      <c r="K67" s="8">
        <f>INDEX(Market_Weekly!$V$6:$V$48,MATCH($A67,Market_Weekly!$A$6:$A$48,0))</f>
        <v/>
      </c>
      <c r="L67" s="16">
        <f>IF($D67="JEA_NSA",INDEX(Market_Weekly!$N$6:$N$48,MATCH($A67,Market_Weekly!$A$6:$A$48,0)),INDEX(Market_Weekly!$O$6:$O$48,MATCH($A67,Market_Weekly!$A$6:$A$48,0)))</f>
        <v/>
      </c>
      <c r="M67" s="8">
        <f>IF($D67="JEA_NSA","M1","M2")</f>
        <v/>
      </c>
      <c r="N67" s="16">
        <f>IF($D67="JEA_NSA",INDEX(Market_Weekly!$L$6:$L$48,MATCH($A67,Market_Weekly!$A$6:$A$48,0)),INDEX(Market_Weekly!$M$6:$M$48,MATCH($A67,Market_Weekly!$A$6:$A$48,0)))</f>
        <v/>
      </c>
      <c r="O67" s="15">
        <f>INDEX(Market_Weekly!$P$6:$P$48,MATCH($A67,Market_Weekly!$A$6:$A$48,0))</f>
        <v/>
      </c>
      <c r="P67" s="8">
        <f>INDEX(Market_Weekly!$R$6:$T$48,MATCH($A67,Market_Weekly!$A$6:$A$48,0),MATCH("grade_factor_"&amp;$C67,Market_Weekly!$R$5:$T$5,0))</f>
        <v/>
      </c>
      <c r="Q67" s="8">
        <f>INDEX(Market_Weekly!$U$6:$U$48,MATCH($A67,Market_Weekly!$A$6:$A$48,0))</f>
        <v/>
      </c>
      <c r="R67" s="8">
        <f>IF($D67="JEA_NSA","20ft","40ft")</f>
        <v/>
      </c>
      <c r="S67" s="8">
        <f>IF($D67="JEA_NSA","nsa","mun")</f>
        <v/>
      </c>
      <c r="T67" s="8">
        <f>IF($D67="JEA_NSA","jea_nsa","usec_mun")</f>
        <v/>
      </c>
      <c r="U67" s="16">
        <f>INDEX(param_values,MATCH("container_payload_mt_"&amp;$R67,param_keys,0))</f>
        <v/>
      </c>
      <c r="V67" s="16">
        <f>INDEX(param_values,MATCH("container_payload_mt_"&amp;$R67&amp;"_"&amp;$C67,param_keys,0))</f>
        <v/>
      </c>
      <c r="W67" s="16">
        <f>INDEX(param_values,MATCH("container_payload_mt_20ft_"&amp;$C67,param_keys,0))</f>
        <v/>
      </c>
      <c r="X67" s="18">
        <f>INDEX(param_values,MATCH("port_cf_charges_inr_t_"&amp;$S67,param_keys,0))</f>
        <v/>
      </c>
      <c r="Y67" s="8">
        <f>INDEX(param_values,MATCH(IF($D67="JEA_NSA","psic_required_uae_origin","psic_required_safe_origin_designated_port"),param_keys,0))</f>
        <v/>
      </c>
      <c r="Z67" s="19">
        <f>INDEX(param_values,MATCH("finance_days_"&amp;$T67,param_keys,0))</f>
        <v/>
      </c>
      <c r="AA67" s="15">
        <f>INDEX(param_values,MATCH("moisture_frac_"&amp;$C67,param_keys,0))</f>
        <v/>
      </c>
      <c r="AB67" s="15">
        <f>INDEX(param_values,MATCH("contamination_frac_"&amp;$C67,param_keys,0))</f>
        <v/>
      </c>
      <c r="AC67" s="15">
        <f>INDEX(param_values,MATCH("metal_yield_frac_"&amp;$C67,param_keys,0))</f>
        <v/>
      </c>
      <c r="AD67" s="15">
        <f>INDEX(param_values,MATCH("heavies_frac_"&amp;$C67,param_keys,0))</f>
        <v/>
      </c>
      <c r="AE67" s="8">
        <f>INDEX(param_values,MATCH("grade_factor_diff_"&amp;$C67,param_keys,0))</f>
        <v/>
      </c>
      <c r="AF67" s="16">
        <f>$F67*$P67</f>
        <v/>
      </c>
      <c r="AG67" s="8">
        <f>$U67/$V67</f>
        <v/>
      </c>
      <c r="AH67" s="16">
        <f>$L67*$AG67</f>
        <v/>
      </c>
      <c r="AI67" s="16">
        <f>$AF67-$AH67</f>
        <v/>
      </c>
      <c r="AJ67" s="16">
        <f>insurance_rate*insured_value_uplift*$AF67</f>
        <v/>
      </c>
      <c r="AK67" s="16">
        <f>$AF67+$AJ67</f>
        <v/>
      </c>
      <c r="AL67" s="18">
        <f>$AK67*$J67</f>
        <v/>
      </c>
      <c r="AM67" s="18">
        <f>$AK67*$I67</f>
        <v/>
      </c>
      <c r="AN67" s="18">
        <f>$AL67*bcd_scrap_hs7602</f>
        <v/>
      </c>
      <c r="AO67" s="18">
        <f>$AN67*sws_rate_on_bcd</f>
        <v/>
      </c>
      <c r="AP67" s="18">
        <f>($AL67+$AN67+$AO67)*igst_rate_hs7602</f>
        <v/>
      </c>
      <c r="AQ67" s="18">
        <f>$X67*$AG67+IF($Y67,psic_cost_usd_per_box*$H67/$W67,0)</f>
        <v/>
      </c>
      <c r="AR67" s="18">
        <f>($AM67+$AN67+$AO67)*$Z67/day_count_inr*$O67</f>
        <v/>
      </c>
      <c r="AS67" s="18">
        <f>$AP67*igst_credit_lag_days/day_count_inr*$O67</f>
        <v/>
      </c>
      <c r="AT67" s="18">
        <f>$AM67+$AN67+$AO67+$AQ67+$AR67+$AS67+IF(igst_itc_available,0,$AP67)</f>
        <v/>
      </c>
      <c r="AU67" s="15">
        <f>(1-$AA67)*(1-$AB67)*$AC67</f>
        <v/>
      </c>
      <c r="AV67" s="18">
        <f>$N67*kg_per_mt+domestic_anchor_premium_inr_t</f>
        <v/>
      </c>
      <c r="AW67" s="18">
        <f>(1-$AA67)*$AD67*heavies_net_value_frac_of_lme_al*$F67*$H67</f>
        <v/>
      </c>
      <c r="AX67" s="18">
        <f>conversion_cost_inr_t*$AU67</f>
        <v/>
      </c>
      <c r="AY67" s="18">
        <f>$AV67*$AU67+$AW67-$AT67-$AX67</f>
        <v/>
      </c>
      <c r="AZ67" s="16">
        <f>$AY67/$H67</f>
        <v/>
      </c>
      <c r="BA67" s="8">
        <f>$AY67&gt;margin_threshold_inr_t</f>
        <v/>
      </c>
      <c r="BB67" s="8">
        <f>$Q67+$AE67</f>
        <v/>
      </c>
      <c r="BC67" s="18">
        <f>$AT67-$AQ67</f>
        <v/>
      </c>
      <c r="BD67" s="18">
        <f>$AY67-$BC67*($BB67/$P67-1)</f>
        <v/>
      </c>
      <c r="BE67" s="18">
        <f>$AY67-(conv_step_5a-conversion_cost_inr_t)*$AU67</f>
        <v/>
      </c>
      <c r="BF67" s="8">
        <f>$BA67</f>
        <v/>
      </c>
      <c r="BG67" s="8">
        <f>$BD67&gt;margin_threshold_inr_t</f>
        <v/>
      </c>
      <c r="BH67" s="8">
        <f>$BE67&gt;margin_threshold_inr_t</f>
        <v/>
      </c>
      <c r="BI67" s="8">
        <f>AND($BF67,$BG67,$BH67)</f>
        <v/>
      </c>
      <c r="BJ67" s="8">
        <f>IF($BI67,1,0)</f>
        <v/>
      </c>
    </row>
    <row r="68">
      <c r="A68" s="11" t="n">
        <v>44638</v>
      </c>
      <c r="B68" s="11" t="n">
        <v>44638</v>
      </c>
      <c r="C68" s="7" t="inlineStr">
        <is>
          <t>taint_tabor</t>
        </is>
      </c>
      <c r="D68" s="7" t="inlineStr">
        <is>
          <t>JEA_NSA</t>
        </is>
      </c>
      <c r="E68" s="17" t="b">
        <v>1</v>
      </c>
      <c r="F68" s="16">
        <f>INDEX(Market_Weekly!$E$6:$E$48,MATCH($A68,Market_Weekly!$A$6:$A$48,0))</f>
        <v/>
      </c>
      <c r="G68" s="16">
        <f>INDEX(Market_Weekly!$D$6:$D$48,MATCH($A68,Market_Weekly!$A$6:$A$48,0))</f>
        <v/>
      </c>
      <c r="H68" s="16">
        <f>INDEX(Market_Weekly!$G$6:$G$48,MATCH($A68,Market_Weekly!$A$6:$A$48,0))</f>
        <v/>
      </c>
      <c r="I68" s="8">
        <f>INDEX(Market_Weekly!$H$6:$H$48,MATCH($A68,Market_Weekly!$A$6:$A$48,0))</f>
        <v/>
      </c>
      <c r="J68" s="8">
        <f>INDEX(Market_Weekly!$Q$6:$Q$48,MATCH($A68,Market_Weekly!$A$6:$A$48,0))</f>
        <v/>
      </c>
      <c r="K68" s="8">
        <f>INDEX(Market_Weekly!$V$6:$V$48,MATCH($A68,Market_Weekly!$A$6:$A$48,0))</f>
        <v/>
      </c>
      <c r="L68" s="16">
        <f>IF($D68="JEA_NSA",INDEX(Market_Weekly!$N$6:$N$48,MATCH($A68,Market_Weekly!$A$6:$A$48,0)),INDEX(Market_Weekly!$O$6:$O$48,MATCH($A68,Market_Weekly!$A$6:$A$48,0)))</f>
        <v/>
      </c>
      <c r="M68" s="8">
        <f>IF($D68="JEA_NSA","M1","M2")</f>
        <v/>
      </c>
      <c r="N68" s="16">
        <f>IF($D68="JEA_NSA",INDEX(Market_Weekly!$L$6:$L$48,MATCH($A68,Market_Weekly!$A$6:$A$48,0)),INDEX(Market_Weekly!$M$6:$M$48,MATCH($A68,Market_Weekly!$A$6:$A$48,0)))</f>
        <v/>
      </c>
      <c r="O68" s="15">
        <f>INDEX(Market_Weekly!$P$6:$P$48,MATCH($A68,Market_Weekly!$A$6:$A$48,0))</f>
        <v/>
      </c>
      <c r="P68" s="8">
        <f>INDEX(Market_Weekly!$R$6:$T$48,MATCH($A68,Market_Weekly!$A$6:$A$48,0),MATCH("grade_factor_"&amp;$C68,Market_Weekly!$R$5:$T$5,0))</f>
        <v/>
      </c>
      <c r="Q68" s="8">
        <f>INDEX(Market_Weekly!$U$6:$U$48,MATCH($A68,Market_Weekly!$A$6:$A$48,0))</f>
        <v/>
      </c>
      <c r="R68" s="8">
        <f>IF($D68="JEA_NSA","20ft","40ft")</f>
        <v/>
      </c>
      <c r="S68" s="8">
        <f>IF($D68="JEA_NSA","nsa","mun")</f>
        <v/>
      </c>
      <c r="T68" s="8">
        <f>IF($D68="JEA_NSA","jea_nsa","usec_mun")</f>
        <v/>
      </c>
      <c r="U68" s="16">
        <f>INDEX(param_values,MATCH("container_payload_mt_"&amp;$R68,param_keys,0))</f>
        <v/>
      </c>
      <c r="V68" s="16">
        <f>INDEX(param_values,MATCH("container_payload_mt_"&amp;$R68&amp;"_"&amp;$C68,param_keys,0))</f>
        <v/>
      </c>
      <c r="W68" s="16">
        <f>INDEX(param_values,MATCH("container_payload_mt_20ft_"&amp;$C68,param_keys,0))</f>
        <v/>
      </c>
      <c r="X68" s="18">
        <f>INDEX(param_values,MATCH("port_cf_charges_inr_t_"&amp;$S68,param_keys,0))</f>
        <v/>
      </c>
      <c r="Y68" s="8">
        <f>INDEX(param_values,MATCH(IF($D68="JEA_NSA","psic_required_uae_origin","psic_required_safe_origin_designated_port"),param_keys,0))</f>
        <v/>
      </c>
      <c r="Z68" s="19">
        <f>INDEX(param_values,MATCH("finance_days_"&amp;$T68,param_keys,0))</f>
        <v/>
      </c>
      <c r="AA68" s="15">
        <f>INDEX(param_values,MATCH("moisture_frac_"&amp;$C68,param_keys,0))</f>
        <v/>
      </c>
      <c r="AB68" s="15">
        <f>INDEX(param_values,MATCH("contamination_frac_"&amp;$C68,param_keys,0))</f>
        <v/>
      </c>
      <c r="AC68" s="15">
        <f>INDEX(param_values,MATCH("metal_yield_frac_"&amp;$C68,param_keys,0))</f>
        <v/>
      </c>
      <c r="AD68" s="15">
        <f>INDEX(param_values,MATCH("heavies_frac_"&amp;$C68,param_keys,0))</f>
        <v/>
      </c>
      <c r="AE68" s="8">
        <f>INDEX(param_values,MATCH("grade_factor_diff_"&amp;$C68,param_keys,0))</f>
        <v/>
      </c>
      <c r="AF68" s="16">
        <f>$F68*$P68</f>
        <v/>
      </c>
      <c r="AG68" s="8">
        <f>$U68/$V68</f>
        <v/>
      </c>
      <c r="AH68" s="16">
        <f>$L68*$AG68</f>
        <v/>
      </c>
      <c r="AI68" s="16">
        <f>$AF68-$AH68</f>
        <v/>
      </c>
      <c r="AJ68" s="16">
        <f>insurance_rate*insured_value_uplift*$AF68</f>
        <v/>
      </c>
      <c r="AK68" s="16">
        <f>$AF68+$AJ68</f>
        <v/>
      </c>
      <c r="AL68" s="18">
        <f>$AK68*$J68</f>
        <v/>
      </c>
      <c r="AM68" s="18">
        <f>$AK68*$I68</f>
        <v/>
      </c>
      <c r="AN68" s="18">
        <f>$AL68*bcd_scrap_hs7602</f>
        <v/>
      </c>
      <c r="AO68" s="18">
        <f>$AN68*sws_rate_on_bcd</f>
        <v/>
      </c>
      <c r="AP68" s="18">
        <f>($AL68+$AN68+$AO68)*igst_rate_hs7602</f>
        <v/>
      </c>
      <c r="AQ68" s="18">
        <f>$X68*$AG68+IF($Y68,psic_cost_usd_per_box*$H68/$W68,0)</f>
        <v/>
      </c>
      <c r="AR68" s="18">
        <f>($AM68+$AN68+$AO68)*$Z68/day_count_inr*$O68</f>
        <v/>
      </c>
      <c r="AS68" s="18">
        <f>$AP68*igst_credit_lag_days/day_count_inr*$O68</f>
        <v/>
      </c>
      <c r="AT68" s="18">
        <f>$AM68+$AN68+$AO68+$AQ68+$AR68+$AS68+IF(igst_itc_available,0,$AP68)</f>
        <v/>
      </c>
      <c r="AU68" s="15">
        <f>(1-$AA68)*(1-$AB68)*$AC68</f>
        <v/>
      </c>
      <c r="AV68" s="18">
        <f>$N68*kg_per_mt+domestic_anchor_premium_inr_t</f>
        <v/>
      </c>
      <c r="AW68" s="18">
        <f>(1-$AA68)*$AD68*heavies_net_value_frac_of_lme_al*$F68*$H68</f>
        <v/>
      </c>
      <c r="AX68" s="18">
        <f>conversion_cost_inr_t*$AU68</f>
        <v/>
      </c>
      <c r="AY68" s="18">
        <f>$AV68*$AU68+$AW68-$AT68-$AX68</f>
        <v/>
      </c>
      <c r="AZ68" s="16">
        <f>$AY68/$H68</f>
        <v/>
      </c>
      <c r="BA68" s="8">
        <f>$AY68&gt;margin_threshold_inr_t</f>
        <v/>
      </c>
      <c r="BB68" s="8">
        <f>$Q68+$AE68</f>
        <v/>
      </c>
      <c r="BC68" s="18">
        <f>$AT68-$AQ68</f>
        <v/>
      </c>
      <c r="BD68" s="18">
        <f>$AY68-$BC68*($BB68/$P68-1)</f>
        <v/>
      </c>
      <c r="BE68" s="18">
        <f>$AY68-(conv_step_5a-conversion_cost_inr_t)*$AU68</f>
        <v/>
      </c>
      <c r="BF68" s="8">
        <f>$BA68</f>
        <v/>
      </c>
      <c r="BG68" s="8">
        <f>$BD68&gt;margin_threshold_inr_t</f>
        <v/>
      </c>
      <c r="BH68" s="8">
        <f>$BE68&gt;margin_threshold_inr_t</f>
        <v/>
      </c>
      <c r="BI68" s="8">
        <f>AND($BF68,$BG68,$BH68)</f>
        <v/>
      </c>
      <c r="BJ68" s="8">
        <f>IF($BI68,1,0)</f>
        <v/>
      </c>
    </row>
    <row r="69">
      <c r="A69" s="11" t="n">
        <v>44638</v>
      </c>
      <c r="B69" s="11" t="n">
        <v>44638</v>
      </c>
      <c r="C69" s="7" t="inlineStr">
        <is>
          <t>taint_tabor</t>
        </is>
      </c>
      <c r="D69" s="7" t="inlineStr">
        <is>
          <t>USEC_MUN</t>
        </is>
      </c>
      <c r="E69" s="17" t="b">
        <v>1</v>
      </c>
      <c r="F69" s="16">
        <f>INDEX(Market_Weekly!$E$6:$E$48,MATCH($A69,Market_Weekly!$A$6:$A$48,0))</f>
        <v/>
      </c>
      <c r="G69" s="16">
        <f>INDEX(Market_Weekly!$D$6:$D$48,MATCH($A69,Market_Weekly!$A$6:$A$48,0))</f>
        <v/>
      </c>
      <c r="H69" s="16">
        <f>INDEX(Market_Weekly!$G$6:$G$48,MATCH($A69,Market_Weekly!$A$6:$A$48,0))</f>
        <v/>
      </c>
      <c r="I69" s="8">
        <f>INDEX(Market_Weekly!$H$6:$H$48,MATCH($A69,Market_Weekly!$A$6:$A$48,0))</f>
        <v/>
      </c>
      <c r="J69" s="8">
        <f>INDEX(Market_Weekly!$Q$6:$Q$48,MATCH($A69,Market_Weekly!$A$6:$A$48,0))</f>
        <v/>
      </c>
      <c r="K69" s="8">
        <f>INDEX(Market_Weekly!$V$6:$V$48,MATCH($A69,Market_Weekly!$A$6:$A$48,0))</f>
        <v/>
      </c>
      <c r="L69" s="16">
        <f>IF($D69="JEA_NSA",INDEX(Market_Weekly!$N$6:$N$48,MATCH($A69,Market_Weekly!$A$6:$A$48,0)),INDEX(Market_Weekly!$O$6:$O$48,MATCH($A69,Market_Weekly!$A$6:$A$48,0)))</f>
        <v/>
      </c>
      <c r="M69" s="8">
        <f>IF($D69="JEA_NSA","M1","M2")</f>
        <v/>
      </c>
      <c r="N69" s="16">
        <f>IF($D69="JEA_NSA",INDEX(Market_Weekly!$L$6:$L$48,MATCH($A69,Market_Weekly!$A$6:$A$48,0)),INDEX(Market_Weekly!$M$6:$M$48,MATCH($A69,Market_Weekly!$A$6:$A$48,0)))</f>
        <v/>
      </c>
      <c r="O69" s="15">
        <f>INDEX(Market_Weekly!$P$6:$P$48,MATCH($A69,Market_Weekly!$A$6:$A$48,0))</f>
        <v/>
      </c>
      <c r="P69" s="8">
        <f>INDEX(Market_Weekly!$R$6:$T$48,MATCH($A69,Market_Weekly!$A$6:$A$48,0),MATCH("grade_factor_"&amp;$C69,Market_Weekly!$R$5:$T$5,0))</f>
        <v/>
      </c>
      <c r="Q69" s="8">
        <f>INDEX(Market_Weekly!$U$6:$U$48,MATCH($A69,Market_Weekly!$A$6:$A$48,0))</f>
        <v/>
      </c>
      <c r="R69" s="8">
        <f>IF($D69="JEA_NSA","20ft","40ft")</f>
        <v/>
      </c>
      <c r="S69" s="8">
        <f>IF($D69="JEA_NSA","nsa","mun")</f>
        <v/>
      </c>
      <c r="T69" s="8">
        <f>IF($D69="JEA_NSA","jea_nsa","usec_mun")</f>
        <v/>
      </c>
      <c r="U69" s="16">
        <f>INDEX(param_values,MATCH("container_payload_mt_"&amp;$R69,param_keys,0))</f>
        <v/>
      </c>
      <c r="V69" s="16">
        <f>INDEX(param_values,MATCH("container_payload_mt_"&amp;$R69&amp;"_"&amp;$C69,param_keys,0))</f>
        <v/>
      </c>
      <c r="W69" s="16">
        <f>INDEX(param_values,MATCH("container_payload_mt_20ft_"&amp;$C69,param_keys,0))</f>
        <v/>
      </c>
      <c r="X69" s="18">
        <f>INDEX(param_values,MATCH("port_cf_charges_inr_t_"&amp;$S69,param_keys,0))</f>
        <v/>
      </c>
      <c r="Y69" s="8">
        <f>INDEX(param_values,MATCH(IF($D69="JEA_NSA","psic_required_uae_origin","psic_required_safe_origin_designated_port"),param_keys,0))</f>
        <v/>
      </c>
      <c r="Z69" s="19">
        <f>INDEX(param_values,MATCH("finance_days_"&amp;$T69,param_keys,0))</f>
        <v/>
      </c>
      <c r="AA69" s="15">
        <f>INDEX(param_values,MATCH("moisture_frac_"&amp;$C69,param_keys,0))</f>
        <v/>
      </c>
      <c r="AB69" s="15">
        <f>INDEX(param_values,MATCH("contamination_frac_"&amp;$C69,param_keys,0))</f>
        <v/>
      </c>
      <c r="AC69" s="15">
        <f>INDEX(param_values,MATCH("metal_yield_frac_"&amp;$C69,param_keys,0))</f>
        <v/>
      </c>
      <c r="AD69" s="15">
        <f>INDEX(param_values,MATCH("heavies_frac_"&amp;$C69,param_keys,0))</f>
        <v/>
      </c>
      <c r="AE69" s="8">
        <f>INDEX(param_values,MATCH("grade_factor_diff_"&amp;$C69,param_keys,0))</f>
        <v/>
      </c>
      <c r="AF69" s="16">
        <f>$F69*$P69</f>
        <v/>
      </c>
      <c r="AG69" s="8">
        <f>$U69/$V69</f>
        <v/>
      </c>
      <c r="AH69" s="16">
        <f>$L69*$AG69</f>
        <v/>
      </c>
      <c r="AI69" s="16">
        <f>$AF69-$AH69</f>
        <v/>
      </c>
      <c r="AJ69" s="16">
        <f>insurance_rate*insured_value_uplift*$AF69</f>
        <v/>
      </c>
      <c r="AK69" s="16">
        <f>$AF69+$AJ69</f>
        <v/>
      </c>
      <c r="AL69" s="18">
        <f>$AK69*$J69</f>
        <v/>
      </c>
      <c r="AM69" s="18">
        <f>$AK69*$I69</f>
        <v/>
      </c>
      <c r="AN69" s="18">
        <f>$AL69*bcd_scrap_hs7602</f>
        <v/>
      </c>
      <c r="AO69" s="18">
        <f>$AN69*sws_rate_on_bcd</f>
        <v/>
      </c>
      <c r="AP69" s="18">
        <f>($AL69+$AN69+$AO69)*igst_rate_hs7602</f>
        <v/>
      </c>
      <c r="AQ69" s="18">
        <f>$X69*$AG69+IF($Y69,psic_cost_usd_per_box*$H69/$W69,0)</f>
        <v/>
      </c>
      <c r="AR69" s="18">
        <f>($AM69+$AN69+$AO69)*$Z69/day_count_inr*$O69</f>
        <v/>
      </c>
      <c r="AS69" s="18">
        <f>$AP69*igst_credit_lag_days/day_count_inr*$O69</f>
        <v/>
      </c>
      <c r="AT69" s="18">
        <f>$AM69+$AN69+$AO69+$AQ69+$AR69+$AS69+IF(igst_itc_available,0,$AP69)</f>
        <v/>
      </c>
      <c r="AU69" s="15">
        <f>(1-$AA69)*(1-$AB69)*$AC69</f>
        <v/>
      </c>
      <c r="AV69" s="18">
        <f>$N69*kg_per_mt+domestic_anchor_premium_inr_t</f>
        <v/>
      </c>
      <c r="AW69" s="18">
        <f>(1-$AA69)*$AD69*heavies_net_value_frac_of_lme_al*$F69*$H69</f>
        <v/>
      </c>
      <c r="AX69" s="18">
        <f>conversion_cost_inr_t*$AU69</f>
        <v/>
      </c>
      <c r="AY69" s="18">
        <f>$AV69*$AU69+$AW69-$AT69-$AX69</f>
        <v/>
      </c>
      <c r="AZ69" s="16">
        <f>$AY69/$H69</f>
        <v/>
      </c>
      <c r="BA69" s="8">
        <f>$AY69&gt;margin_threshold_inr_t</f>
        <v/>
      </c>
      <c r="BB69" s="8">
        <f>$Q69+$AE69</f>
        <v/>
      </c>
      <c r="BC69" s="18">
        <f>$AT69-$AQ69</f>
        <v/>
      </c>
      <c r="BD69" s="18">
        <f>$AY69-$BC69*($BB69/$P69-1)</f>
        <v/>
      </c>
      <c r="BE69" s="18">
        <f>$AY69-(conv_step_5a-conversion_cost_inr_t)*$AU69</f>
        <v/>
      </c>
      <c r="BF69" s="8">
        <f>$BA69</f>
        <v/>
      </c>
      <c r="BG69" s="8">
        <f>$BD69&gt;margin_threshold_inr_t</f>
        <v/>
      </c>
      <c r="BH69" s="8">
        <f>$BE69&gt;margin_threshold_inr_t</f>
        <v/>
      </c>
      <c r="BI69" s="8">
        <f>AND($BF69,$BG69,$BH69)</f>
        <v/>
      </c>
      <c r="BJ69" s="8">
        <f>IF($BI69,1,0)</f>
        <v/>
      </c>
    </row>
    <row r="70">
      <c r="A70" s="11" t="n">
        <v>44638</v>
      </c>
      <c r="B70" s="11" t="n">
        <v>44638</v>
      </c>
      <c r="C70" s="7" t="inlineStr">
        <is>
          <t>tense</t>
        </is>
      </c>
      <c r="D70" s="7" t="inlineStr">
        <is>
          <t>JEA_NSA</t>
        </is>
      </c>
      <c r="E70" s="17" t="b">
        <v>1</v>
      </c>
      <c r="F70" s="16">
        <f>INDEX(Market_Weekly!$E$6:$E$48,MATCH($A70,Market_Weekly!$A$6:$A$48,0))</f>
        <v/>
      </c>
      <c r="G70" s="16">
        <f>INDEX(Market_Weekly!$D$6:$D$48,MATCH($A70,Market_Weekly!$A$6:$A$48,0))</f>
        <v/>
      </c>
      <c r="H70" s="16">
        <f>INDEX(Market_Weekly!$G$6:$G$48,MATCH($A70,Market_Weekly!$A$6:$A$48,0))</f>
        <v/>
      </c>
      <c r="I70" s="8">
        <f>INDEX(Market_Weekly!$H$6:$H$48,MATCH($A70,Market_Weekly!$A$6:$A$48,0))</f>
        <v/>
      </c>
      <c r="J70" s="8">
        <f>INDEX(Market_Weekly!$Q$6:$Q$48,MATCH($A70,Market_Weekly!$A$6:$A$48,0))</f>
        <v/>
      </c>
      <c r="K70" s="8">
        <f>INDEX(Market_Weekly!$V$6:$V$48,MATCH($A70,Market_Weekly!$A$6:$A$48,0))</f>
        <v/>
      </c>
      <c r="L70" s="16">
        <f>IF($D70="JEA_NSA",INDEX(Market_Weekly!$N$6:$N$48,MATCH($A70,Market_Weekly!$A$6:$A$48,0)),INDEX(Market_Weekly!$O$6:$O$48,MATCH($A70,Market_Weekly!$A$6:$A$48,0)))</f>
        <v/>
      </c>
      <c r="M70" s="8">
        <f>IF($D70="JEA_NSA","M1","M2")</f>
        <v/>
      </c>
      <c r="N70" s="16">
        <f>IF($D70="JEA_NSA",INDEX(Market_Weekly!$L$6:$L$48,MATCH($A70,Market_Weekly!$A$6:$A$48,0)),INDEX(Market_Weekly!$M$6:$M$48,MATCH($A70,Market_Weekly!$A$6:$A$48,0)))</f>
        <v/>
      </c>
      <c r="O70" s="15">
        <f>INDEX(Market_Weekly!$P$6:$P$48,MATCH($A70,Market_Weekly!$A$6:$A$48,0))</f>
        <v/>
      </c>
      <c r="P70" s="8">
        <f>INDEX(Market_Weekly!$R$6:$T$48,MATCH($A70,Market_Weekly!$A$6:$A$48,0),MATCH("grade_factor_"&amp;$C70,Market_Weekly!$R$5:$T$5,0))</f>
        <v/>
      </c>
      <c r="Q70" s="8">
        <f>INDEX(Market_Weekly!$U$6:$U$48,MATCH($A70,Market_Weekly!$A$6:$A$48,0))</f>
        <v/>
      </c>
      <c r="R70" s="8">
        <f>IF($D70="JEA_NSA","20ft","40ft")</f>
        <v/>
      </c>
      <c r="S70" s="8">
        <f>IF($D70="JEA_NSA","nsa","mun")</f>
        <v/>
      </c>
      <c r="T70" s="8">
        <f>IF($D70="JEA_NSA","jea_nsa","usec_mun")</f>
        <v/>
      </c>
      <c r="U70" s="16">
        <f>INDEX(param_values,MATCH("container_payload_mt_"&amp;$R70,param_keys,0))</f>
        <v/>
      </c>
      <c r="V70" s="16">
        <f>INDEX(param_values,MATCH("container_payload_mt_"&amp;$R70&amp;"_"&amp;$C70,param_keys,0))</f>
        <v/>
      </c>
      <c r="W70" s="16">
        <f>INDEX(param_values,MATCH("container_payload_mt_20ft_"&amp;$C70,param_keys,0))</f>
        <v/>
      </c>
      <c r="X70" s="18">
        <f>INDEX(param_values,MATCH("port_cf_charges_inr_t_"&amp;$S70,param_keys,0))</f>
        <v/>
      </c>
      <c r="Y70" s="8">
        <f>INDEX(param_values,MATCH(IF($D70="JEA_NSA","psic_required_uae_origin","psic_required_safe_origin_designated_port"),param_keys,0))</f>
        <v/>
      </c>
      <c r="Z70" s="19">
        <f>INDEX(param_values,MATCH("finance_days_"&amp;$T70,param_keys,0))</f>
        <v/>
      </c>
      <c r="AA70" s="15">
        <f>INDEX(param_values,MATCH("moisture_frac_"&amp;$C70,param_keys,0))</f>
        <v/>
      </c>
      <c r="AB70" s="15">
        <f>INDEX(param_values,MATCH("contamination_frac_"&amp;$C70,param_keys,0))</f>
        <v/>
      </c>
      <c r="AC70" s="15">
        <f>INDEX(param_values,MATCH("metal_yield_frac_"&amp;$C70,param_keys,0))</f>
        <v/>
      </c>
      <c r="AD70" s="15">
        <f>INDEX(param_values,MATCH("heavies_frac_"&amp;$C70,param_keys,0))</f>
        <v/>
      </c>
      <c r="AE70" s="8">
        <f>INDEX(param_values,MATCH("grade_factor_diff_"&amp;$C70,param_keys,0))</f>
        <v/>
      </c>
      <c r="AF70" s="16">
        <f>$F70*$P70</f>
        <v/>
      </c>
      <c r="AG70" s="8">
        <f>$U70/$V70</f>
        <v/>
      </c>
      <c r="AH70" s="16">
        <f>$L70*$AG70</f>
        <v/>
      </c>
      <c r="AI70" s="16">
        <f>$AF70-$AH70</f>
        <v/>
      </c>
      <c r="AJ70" s="16">
        <f>insurance_rate*insured_value_uplift*$AF70</f>
        <v/>
      </c>
      <c r="AK70" s="16">
        <f>$AF70+$AJ70</f>
        <v/>
      </c>
      <c r="AL70" s="18">
        <f>$AK70*$J70</f>
        <v/>
      </c>
      <c r="AM70" s="18">
        <f>$AK70*$I70</f>
        <v/>
      </c>
      <c r="AN70" s="18">
        <f>$AL70*bcd_scrap_hs7602</f>
        <v/>
      </c>
      <c r="AO70" s="18">
        <f>$AN70*sws_rate_on_bcd</f>
        <v/>
      </c>
      <c r="AP70" s="18">
        <f>($AL70+$AN70+$AO70)*igst_rate_hs7602</f>
        <v/>
      </c>
      <c r="AQ70" s="18">
        <f>$X70*$AG70+IF($Y70,psic_cost_usd_per_box*$H70/$W70,0)</f>
        <v/>
      </c>
      <c r="AR70" s="18">
        <f>($AM70+$AN70+$AO70)*$Z70/day_count_inr*$O70</f>
        <v/>
      </c>
      <c r="AS70" s="18">
        <f>$AP70*igst_credit_lag_days/day_count_inr*$O70</f>
        <v/>
      </c>
      <c r="AT70" s="18">
        <f>$AM70+$AN70+$AO70+$AQ70+$AR70+$AS70+IF(igst_itc_available,0,$AP70)</f>
        <v/>
      </c>
      <c r="AU70" s="15">
        <f>(1-$AA70)*(1-$AB70)*$AC70</f>
        <v/>
      </c>
      <c r="AV70" s="18">
        <f>$N70*kg_per_mt+domestic_anchor_premium_inr_t</f>
        <v/>
      </c>
      <c r="AW70" s="18">
        <f>(1-$AA70)*$AD70*heavies_net_value_frac_of_lme_al*$F70*$H70</f>
        <v/>
      </c>
      <c r="AX70" s="18">
        <f>conversion_cost_inr_t*$AU70</f>
        <v/>
      </c>
      <c r="AY70" s="18">
        <f>$AV70*$AU70+$AW70-$AT70-$AX70</f>
        <v/>
      </c>
      <c r="AZ70" s="16">
        <f>$AY70/$H70</f>
        <v/>
      </c>
      <c r="BA70" s="8">
        <f>$AY70&gt;margin_threshold_inr_t</f>
        <v/>
      </c>
      <c r="BB70" s="8">
        <f>$Q70+$AE70</f>
        <v/>
      </c>
      <c r="BC70" s="18">
        <f>$AT70-$AQ70</f>
        <v/>
      </c>
      <c r="BD70" s="18">
        <f>$AY70-$BC70*($BB70/$P70-1)</f>
        <v/>
      </c>
      <c r="BE70" s="18">
        <f>$AY70-(conv_step_5a-conversion_cost_inr_t)*$AU70</f>
        <v/>
      </c>
      <c r="BF70" s="8">
        <f>$BA70</f>
        <v/>
      </c>
      <c r="BG70" s="8">
        <f>$BD70&gt;margin_threshold_inr_t</f>
        <v/>
      </c>
      <c r="BH70" s="8">
        <f>$BE70&gt;margin_threshold_inr_t</f>
        <v/>
      </c>
      <c r="BI70" s="8">
        <f>AND($BF70,$BG70,$BH70)</f>
        <v/>
      </c>
      <c r="BJ70" s="8">
        <f>IF($BI70,1,0)</f>
        <v/>
      </c>
    </row>
    <row r="71">
      <c r="A71" s="11" t="n">
        <v>44638</v>
      </c>
      <c r="B71" s="11" t="n">
        <v>44638</v>
      </c>
      <c r="C71" s="7" t="inlineStr">
        <is>
          <t>tense</t>
        </is>
      </c>
      <c r="D71" s="7" t="inlineStr">
        <is>
          <t>USEC_MUN</t>
        </is>
      </c>
      <c r="E71" s="17" t="b">
        <v>1</v>
      </c>
      <c r="F71" s="16">
        <f>INDEX(Market_Weekly!$E$6:$E$48,MATCH($A71,Market_Weekly!$A$6:$A$48,0))</f>
        <v/>
      </c>
      <c r="G71" s="16">
        <f>INDEX(Market_Weekly!$D$6:$D$48,MATCH($A71,Market_Weekly!$A$6:$A$48,0))</f>
        <v/>
      </c>
      <c r="H71" s="16">
        <f>INDEX(Market_Weekly!$G$6:$G$48,MATCH($A71,Market_Weekly!$A$6:$A$48,0))</f>
        <v/>
      </c>
      <c r="I71" s="8">
        <f>INDEX(Market_Weekly!$H$6:$H$48,MATCH($A71,Market_Weekly!$A$6:$A$48,0))</f>
        <v/>
      </c>
      <c r="J71" s="8">
        <f>INDEX(Market_Weekly!$Q$6:$Q$48,MATCH($A71,Market_Weekly!$A$6:$A$48,0))</f>
        <v/>
      </c>
      <c r="K71" s="8">
        <f>INDEX(Market_Weekly!$V$6:$V$48,MATCH($A71,Market_Weekly!$A$6:$A$48,0))</f>
        <v/>
      </c>
      <c r="L71" s="16">
        <f>IF($D71="JEA_NSA",INDEX(Market_Weekly!$N$6:$N$48,MATCH($A71,Market_Weekly!$A$6:$A$48,0)),INDEX(Market_Weekly!$O$6:$O$48,MATCH($A71,Market_Weekly!$A$6:$A$48,0)))</f>
        <v/>
      </c>
      <c r="M71" s="8">
        <f>IF($D71="JEA_NSA","M1","M2")</f>
        <v/>
      </c>
      <c r="N71" s="16">
        <f>IF($D71="JEA_NSA",INDEX(Market_Weekly!$L$6:$L$48,MATCH($A71,Market_Weekly!$A$6:$A$48,0)),INDEX(Market_Weekly!$M$6:$M$48,MATCH($A71,Market_Weekly!$A$6:$A$48,0)))</f>
        <v/>
      </c>
      <c r="O71" s="15">
        <f>INDEX(Market_Weekly!$P$6:$P$48,MATCH($A71,Market_Weekly!$A$6:$A$48,0))</f>
        <v/>
      </c>
      <c r="P71" s="8">
        <f>INDEX(Market_Weekly!$R$6:$T$48,MATCH($A71,Market_Weekly!$A$6:$A$48,0),MATCH("grade_factor_"&amp;$C71,Market_Weekly!$R$5:$T$5,0))</f>
        <v/>
      </c>
      <c r="Q71" s="8">
        <f>INDEX(Market_Weekly!$U$6:$U$48,MATCH($A71,Market_Weekly!$A$6:$A$48,0))</f>
        <v/>
      </c>
      <c r="R71" s="8">
        <f>IF($D71="JEA_NSA","20ft","40ft")</f>
        <v/>
      </c>
      <c r="S71" s="8">
        <f>IF($D71="JEA_NSA","nsa","mun")</f>
        <v/>
      </c>
      <c r="T71" s="8">
        <f>IF($D71="JEA_NSA","jea_nsa","usec_mun")</f>
        <v/>
      </c>
      <c r="U71" s="16">
        <f>INDEX(param_values,MATCH("container_payload_mt_"&amp;$R71,param_keys,0))</f>
        <v/>
      </c>
      <c r="V71" s="16">
        <f>INDEX(param_values,MATCH("container_payload_mt_"&amp;$R71&amp;"_"&amp;$C71,param_keys,0))</f>
        <v/>
      </c>
      <c r="W71" s="16">
        <f>INDEX(param_values,MATCH("container_payload_mt_20ft_"&amp;$C71,param_keys,0))</f>
        <v/>
      </c>
      <c r="X71" s="18">
        <f>INDEX(param_values,MATCH("port_cf_charges_inr_t_"&amp;$S71,param_keys,0))</f>
        <v/>
      </c>
      <c r="Y71" s="8">
        <f>INDEX(param_values,MATCH(IF($D71="JEA_NSA","psic_required_uae_origin","psic_required_safe_origin_designated_port"),param_keys,0))</f>
        <v/>
      </c>
      <c r="Z71" s="19">
        <f>INDEX(param_values,MATCH("finance_days_"&amp;$T71,param_keys,0))</f>
        <v/>
      </c>
      <c r="AA71" s="15">
        <f>INDEX(param_values,MATCH("moisture_frac_"&amp;$C71,param_keys,0))</f>
        <v/>
      </c>
      <c r="AB71" s="15">
        <f>INDEX(param_values,MATCH("contamination_frac_"&amp;$C71,param_keys,0))</f>
        <v/>
      </c>
      <c r="AC71" s="15">
        <f>INDEX(param_values,MATCH("metal_yield_frac_"&amp;$C71,param_keys,0))</f>
        <v/>
      </c>
      <c r="AD71" s="15">
        <f>INDEX(param_values,MATCH("heavies_frac_"&amp;$C71,param_keys,0))</f>
        <v/>
      </c>
      <c r="AE71" s="8">
        <f>INDEX(param_values,MATCH("grade_factor_diff_"&amp;$C71,param_keys,0))</f>
        <v/>
      </c>
      <c r="AF71" s="16">
        <f>$F71*$P71</f>
        <v/>
      </c>
      <c r="AG71" s="8">
        <f>$U71/$V71</f>
        <v/>
      </c>
      <c r="AH71" s="16">
        <f>$L71*$AG71</f>
        <v/>
      </c>
      <c r="AI71" s="16">
        <f>$AF71-$AH71</f>
        <v/>
      </c>
      <c r="AJ71" s="16">
        <f>insurance_rate*insured_value_uplift*$AF71</f>
        <v/>
      </c>
      <c r="AK71" s="16">
        <f>$AF71+$AJ71</f>
        <v/>
      </c>
      <c r="AL71" s="18">
        <f>$AK71*$J71</f>
        <v/>
      </c>
      <c r="AM71" s="18">
        <f>$AK71*$I71</f>
        <v/>
      </c>
      <c r="AN71" s="18">
        <f>$AL71*bcd_scrap_hs7602</f>
        <v/>
      </c>
      <c r="AO71" s="18">
        <f>$AN71*sws_rate_on_bcd</f>
        <v/>
      </c>
      <c r="AP71" s="18">
        <f>($AL71+$AN71+$AO71)*igst_rate_hs7602</f>
        <v/>
      </c>
      <c r="AQ71" s="18">
        <f>$X71*$AG71+IF($Y71,psic_cost_usd_per_box*$H71/$W71,0)</f>
        <v/>
      </c>
      <c r="AR71" s="18">
        <f>($AM71+$AN71+$AO71)*$Z71/day_count_inr*$O71</f>
        <v/>
      </c>
      <c r="AS71" s="18">
        <f>$AP71*igst_credit_lag_days/day_count_inr*$O71</f>
        <v/>
      </c>
      <c r="AT71" s="18">
        <f>$AM71+$AN71+$AO71+$AQ71+$AR71+$AS71+IF(igst_itc_available,0,$AP71)</f>
        <v/>
      </c>
      <c r="AU71" s="15">
        <f>(1-$AA71)*(1-$AB71)*$AC71</f>
        <v/>
      </c>
      <c r="AV71" s="18">
        <f>$N71*kg_per_mt+domestic_anchor_premium_inr_t</f>
        <v/>
      </c>
      <c r="AW71" s="18">
        <f>(1-$AA71)*$AD71*heavies_net_value_frac_of_lme_al*$F71*$H71</f>
        <v/>
      </c>
      <c r="AX71" s="18">
        <f>conversion_cost_inr_t*$AU71</f>
        <v/>
      </c>
      <c r="AY71" s="18">
        <f>$AV71*$AU71+$AW71-$AT71-$AX71</f>
        <v/>
      </c>
      <c r="AZ71" s="16">
        <f>$AY71/$H71</f>
        <v/>
      </c>
      <c r="BA71" s="8">
        <f>$AY71&gt;margin_threshold_inr_t</f>
        <v/>
      </c>
      <c r="BB71" s="8">
        <f>$Q71+$AE71</f>
        <v/>
      </c>
      <c r="BC71" s="18">
        <f>$AT71-$AQ71</f>
        <v/>
      </c>
      <c r="BD71" s="18">
        <f>$AY71-$BC71*($BB71/$P71-1)</f>
        <v/>
      </c>
      <c r="BE71" s="18">
        <f>$AY71-(conv_step_5a-conversion_cost_inr_t)*$AU71</f>
        <v/>
      </c>
      <c r="BF71" s="8">
        <f>$BA71</f>
        <v/>
      </c>
      <c r="BG71" s="8">
        <f>$BD71&gt;margin_threshold_inr_t</f>
        <v/>
      </c>
      <c r="BH71" s="8">
        <f>$BE71&gt;margin_threshold_inr_t</f>
        <v/>
      </c>
      <c r="BI71" s="8">
        <f>AND($BF71,$BG71,$BH71)</f>
        <v/>
      </c>
      <c r="BJ71" s="8">
        <f>IF($BI71,1,0)</f>
        <v/>
      </c>
    </row>
    <row r="72">
      <c r="A72" s="11" t="n">
        <v>44645</v>
      </c>
      <c r="B72" s="11" t="n">
        <v>44645</v>
      </c>
      <c r="C72" s="7" t="inlineStr">
        <is>
          <t>zorba</t>
        </is>
      </c>
      <c r="D72" s="7" t="inlineStr">
        <is>
          <t>JEA_NSA</t>
        </is>
      </c>
      <c r="E72" s="17" t="b">
        <v>1</v>
      </c>
      <c r="F72" s="16">
        <f>INDEX(Market_Weekly!$E$6:$E$48,MATCH($A72,Market_Weekly!$A$6:$A$48,0))</f>
        <v/>
      </c>
      <c r="G72" s="16">
        <f>INDEX(Market_Weekly!$D$6:$D$48,MATCH($A72,Market_Weekly!$A$6:$A$48,0))</f>
        <v/>
      </c>
      <c r="H72" s="16">
        <f>INDEX(Market_Weekly!$G$6:$G$48,MATCH($A72,Market_Weekly!$A$6:$A$48,0))</f>
        <v/>
      </c>
      <c r="I72" s="8">
        <f>INDEX(Market_Weekly!$H$6:$H$48,MATCH($A72,Market_Weekly!$A$6:$A$48,0))</f>
        <v/>
      </c>
      <c r="J72" s="8">
        <f>INDEX(Market_Weekly!$Q$6:$Q$48,MATCH($A72,Market_Weekly!$A$6:$A$48,0))</f>
        <v/>
      </c>
      <c r="K72" s="8">
        <f>INDEX(Market_Weekly!$V$6:$V$48,MATCH($A72,Market_Weekly!$A$6:$A$48,0))</f>
        <v/>
      </c>
      <c r="L72" s="16">
        <f>IF($D72="JEA_NSA",INDEX(Market_Weekly!$N$6:$N$48,MATCH($A72,Market_Weekly!$A$6:$A$48,0)),INDEX(Market_Weekly!$O$6:$O$48,MATCH($A72,Market_Weekly!$A$6:$A$48,0)))</f>
        <v/>
      </c>
      <c r="M72" s="8">
        <f>IF($D72="JEA_NSA","M1","M2")</f>
        <v/>
      </c>
      <c r="N72" s="16">
        <f>IF($D72="JEA_NSA",INDEX(Market_Weekly!$L$6:$L$48,MATCH($A72,Market_Weekly!$A$6:$A$48,0)),INDEX(Market_Weekly!$M$6:$M$48,MATCH($A72,Market_Weekly!$A$6:$A$48,0)))</f>
        <v/>
      </c>
      <c r="O72" s="15">
        <f>INDEX(Market_Weekly!$P$6:$P$48,MATCH($A72,Market_Weekly!$A$6:$A$48,0))</f>
        <v/>
      </c>
      <c r="P72" s="8">
        <f>INDEX(Market_Weekly!$R$6:$T$48,MATCH($A72,Market_Weekly!$A$6:$A$48,0),MATCH("grade_factor_"&amp;$C72,Market_Weekly!$R$5:$T$5,0))</f>
        <v/>
      </c>
      <c r="Q72" s="8">
        <f>INDEX(Market_Weekly!$U$6:$U$48,MATCH($A72,Market_Weekly!$A$6:$A$48,0))</f>
        <v/>
      </c>
      <c r="R72" s="8">
        <f>IF($D72="JEA_NSA","20ft","40ft")</f>
        <v/>
      </c>
      <c r="S72" s="8">
        <f>IF($D72="JEA_NSA","nsa","mun")</f>
        <v/>
      </c>
      <c r="T72" s="8">
        <f>IF($D72="JEA_NSA","jea_nsa","usec_mun")</f>
        <v/>
      </c>
      <c r="U72" s="16">
        <f>INDEX(param_values,MATCH("container_payload_mt_"&amp;$R72,param_keys,0))</f>
        <v/>
      </c>
      <c r="V72" s="16">
        <f>INDEX(param_values,MATCH("container_payload_mt_"&amp;$R72&amp;"_"&amp;$C72,param_keys,0))</f>
        <v/>
      </c>
      <c r="W72" s="16">
        <f>INDEX(param_values,MATCH("container_payload_mt_20ft_"&amp;$C72,param_keys,0))</f>
        <v/>
      </c>
      <c r="X72" s="18">
        <f>INDEX(param_values,MATCH("port_cf_charges_inr_t_"&amp;$S72,param_keys,0))</f>
        <v/>
      </c>
      <c r="Y72" s="8">
        <f>INDEX(param_values,MATCH(IF($D72="JEA_NSA","psic_required_uae_origin","psic_required_safe_origin_designated_port"),param_keys,0))</f>
        <v/>
      </c>
      <c r="Z72" s="19">
        <f>INDEX(param_values,MATCH("finance_days_"&amp;$T72,param_keys,0))</f>
        <v/>
      </c>
      <c r="AA72" s="15">
        <f>INDEX(param_values,MATCH("moisture_frac_"&amp;$C72,param_keys,0))</f>
        <v/>
      </c>
      <c r="AB72" s="15">
        <f>INDEX(param_values,MATCH("contamination_frac_"&amp;$C72,param_keys,0))</f>
        <v/>
      </c>
      <c r="AC72" s="15">
        <f>INDEX(param_values,MATCH("metal_yield_frac_"&amp;$C72,param_keys,0))</f>
        <v/>
      </c>
      <c r="AD72" s="15">
        <f>INDEX(param_values,MATCH("heavies_frac_"&amp;$C72,param_keys,0))</f>
        <v/>
      </c>
      <c r="AE72" s="8">
        <f>INDEX(param_values,MATCH("grade_factor_diff_"&amp;$C72,param_keys,0))</f>
        <v/>
      </c>
      <c r="AF72" s="16">
        <f>$F72*$P72</f>
        <v/>
      </c>
      <c r="AG72" s="8">
        <f>$U72/$V72</f>
        <v/>
      </c>
      <c r="AH72" s="16">
        <f>$L72*$AG72</f>
        <v/>
      </c>
      <c r="AI72" s="16">
        <f>$AF72-$AH72</f>
        <v/>
      </c>
      <c r="AJ72" s="16">
        <f>insurance_rate*insured_value_uplift*$AF72</f>
        <v/>
      </c>
      <c r="AK72" s="16">
        <f>$AF72+$AJ72</f>
        <v/>
      </c>
      <c r="AL72" s="18">
        <f>$AK72*$J72</f>
        <v/>
      </c>
      <c r="AM72" s="18">
        <f>$AK72*$I72</f>
        <v/>
      </c>
      <c r="AN72" s="18">
        <f>$AL72*bcd_scrap_hs7602</f>
        <v/>
      </c>
      <c r="AO72" s="18">
        <f>$AN72*sws_rate_on_bcd</f>
        <v/>
      </c>
      <c r="AP72" s="18">
        <f>($AL72+$AN72+$AO72)*igst_rate_hs7602</f>
        <v/>
      </c>
      <c r="AQ72" s="18">
        <f>$X72*$AG72+IF($Y72,psic_cost_usd_per_box*$H72/$W72,0)</f>
        <v/>
      </c>
      <c r="AR72" s="18">
        <f>($AM72+$AN72+$AO72)*$Z72/day_count_inr*$O72</f>
        <v/>
      </c>
      <c r="AS72" s="18">
        <f>$AP72*igst_credit_lag_days/day_count_inr*$O72</f>
        <v/>
      </c>
      <c r="AT72" s="18">
        <f>$AM72+$AN72+$AO72+$AQ72+$AR72+$AS72+IF(igst_itc_available,0,$AP72)</f>
        <v/>
      </c>
      <c r="AU72" s="15">
        <f>(1-$AA72)*(1-$AB72)*$AC72</f>
        <v/>
      </c>
      <c r="AV72" s="18">
        <f>$N72*kg_per_mt+domestic_anchor_premium_inr_t</f>
        <v/>
      </c>
      <c r="AW72" s="18">
        <f>(1-$AA72)*$AD72*heavies_net_value_frac_of_lme_al*$F72*$H72</f>
        <v/>
      </c>
      <c r="AX72" s="18">
        <f>conversion_cost_inr_t*$AU72</f>
        <v/>
      </c>
      <c r="AY72" s="18">
        <f>$AV72*$AU72+$AW72-$AT72-$AX72</f>
        <v/>
      </c>
      <c r="AZ72" s="16">
        <f>$AY72/$H72</f>
        <v/>
      </c>
      <c r="BA72" s="8">
        <f>$AY72&gt;margin_threshold_inr_t</f>
        <v/>
      </c>
      <c r="BB72" s="8">
        <f>$Q72+$AE72</f>
        <v/>
      </c>
      <c r="BC72" s="18">
        <f>$AT72-$AQ72</f>
        <v/>
      </c>
      <c r="BD72" s="18">
        <f>$AY72-$BC72*($BB72/$P72-1)</f>
        <v/>
      </c>
      <c r="BE72" s="18">
        <f>$AY72-(conv_step_5a-conversion_cost_inr_t)*$AU72</f>
        <v/>
      </c>
      <c r="BF72" s="8">
        <f>$BA72</f>
        <v/>
      </c>
      <c r="BG72" s="8">
        <f>$BD72&gt;margin_threshold_inr_t</f>
        <v/>
      </c>
      <c r="BH72" s="8">
        <f>$BE72&gt;margin_threshold_inr_t</f>
        <v/>
      </c>
      <c r="BI72" s="8">
        <f>AND($BF72,$BG72,$BH72)</f>
        <v/>
      </c>
      <c r="BJ72" s="8">
        <f>IF($BI72,1,0)</f>
        <v/>
      </c>
    </row>
    <row r="73">
      <c r="A73" s="11" t="n">
        <v>44645</v>
      </c>
      <c r="B73" s="11" t="n">
        <v>44645</v>
      </c>
      <c r="C73" s="7" t="inlineStr">
        <is>
          <t>zorba</t>
        </is>
      </c>
      <c r="D73" s="7" t="inlineStr">
        <is>
          <t>USEC_MUN</t>
        </is>
      </c>
      <c r="E73" s="17" t="b">
        <v>1</v>
      </c>
      <c r="F73" s="16">
        <f>INDEX(Market_Weekly!$E$6:$E$48,MATCH($A73,Market_Weekly!$A$6:$A$48,0))</f>
        <v/>
      </c>
      <c r="G73" s="16">
        <f>INDEX(Market_Weekly!$D$6:$D$48,MATCH($A73,Market_Weekly!$A$6:$A$48,0))</f>
        <v/>
      </c>
      <c r="H73" s="16">
        <f>INDEX(Market_Weekly!$G$6:$G$48,MATCH($A73,Market_Weekly!$A$6:$A$48,0))</f>
        <v/>
      </c>
      <c r="I73" s="8">
        <f>INDEX(Market_Weekly!$H$6:$H$48,MATCH($A73,Market_Weekly!$A$6:$A$48,0))</f>
        <v/>
      </c>
      <c r="J73" s="8">
        <f>INDEX(Market_Weekly!$Q$6:$Q$48,MATCH($A73,Market_Weekly!$A$6:$A$48,0))</f>
        <v/>
      </c>
      <c r="K73" s="8">
        <f>INDEX(Market_Weekly!$V$6:$V$48,MATCH($A73,Market_Weekly!$A$6:$A$48,0))</f>
        <v/>
      </c>
      <c r="L73" s="16">
        <f>IF($D73="JEA_NSA",INDEX(Market_Weekly!$N$6:$N$48,MATCH($A73,Market_Weekly!$A$6:$A$48,0)),INDEX(Market_Weekly!$O$6:$O$48,MATCH($A73,Market_Weekly!$A$6:$A$48,0)))</f>
        <v/>
      </c>
      <c r="M73" s="8">
        <f>IF($D73="JEA_NSA","M1","M2")</f>
        <v/>
      </c>
      <c r="N73" s="16">
        <f>IF($D73="JEA_NSA",INDEX(Market_Weekly!$L$6:$L$48,MATCH($A73,Market_Weekly!$A$6:$A$48,0)),INDEX(Market_Weekly!$M$6:$M$48,MATCH($A73,Market_Weekly!$A$6:$A$48,0)))</f>
        <v/>
      </c>
      <c r="O73" s="15">
        <f>INDEX(Market_Weekly!$P$6:$P$48,MATCH($A73,Market_Weekly!$A$6:$A$48,0))</f>
        <v/>
      </c>
      <c r="P73" s="8">
        <f>INDEX(Market_Weekly!$R$6:$T$48,MATCH($A73,Market_Weekly!$A$6:$A$48,0),MATCH("grade_factor_"&amp;$C73,Market_Weekly!$R$5:$T$5,0))</f>
        <v/>
      </c>
      <c r="Q73" s="8">
        <f>INDEX(Market_Weekly!$U$6:$U$48,MATCH($A73,Market_Weekly!$A$6:$A$48,0))</f>
        <v/>
      </c>
      <c r="R73" s="8">
        <f>IF($D73="JEA_NSA","20ft","40ft")</f>
        <v/>
      </c>
      <c r="S73" s="8">
        <f>IF($D73="JEA_NSA","nsa","mun")</f>
        <v/>
      </c>
      <c r="T73" s="8">
        <f>IF($D73="JEA_NSA","jea_nsa","usec_mun")</f>
        <v/>
      </c>
      <c r="U73" s="16">
        <f>INDEX(param_values,MATCH("container_payload_mt_"&amp;$R73,param_keys,0))</f>
        <v/>
      </c>
      <c r="V73" s="16">
        <f>INDEX(param_values,MATCH("container_payload_mt_"&amp;$R73&amp;"_"&amp;$C73,param_keys,0))</f>
        <v/>
      </c>
      <c r="W73" s="16">
        <f>INDEX(param_values,MATCH("container_payload_mt_20ft_"&amp;$C73,param_keys,0))</f>
        <v/>
      </c>
      <c r="X73" s="18">
        <f>INDEX(param_values,MATCH("port_cf_charges_inr_t_"&amp;$S73,param_keys,0))</f>
        <v/>
      </c>
      <c r="Y73" s="8">
        <f>INDEX(param_values,MATCH(IF($D73="JEA_NSA","psic_required_uae_origin","psic_required_safe_origin_designated_port"),param_keys,0))</f>
        <v/>
      </c>
      <c r="Z73" s="19">
        <f>INDEX(param_values,MATCH("finance_days_"&amp;$T73,param_keys,0))</f>
        <v/>
      </c>
      <c r="AA73" s="15">
        <f>INDEX(param_values,MATCH("moisture_frac_"&amp;$C73,param_keys,0))</f>
        <v/>
      </c>
      <c r="AB73" s="15">
        <f>INDEX(param_values,MATCH("contamination_frac_"&amp;$C73,param_keys,0))</f>
        <v/>
      </c>
      <c r="AC73" s="15">
        <f>INDEX(param_values,MATCH("metal_yield_frac_"&amp;$C73,param_keys,0))</f>
        <v/>
      </c>
      <c r="AD73" s="15">
        <f>INDEX(param_values,MATCH("heavies_frac_"&amp;$C73,param_keys,0))</f>
        <v/>
      </c>
      <c r="AE73" s="8">
        <f>INDEX(param_values,MATCH("grade_factor_diff_"&amp;$C73,param_keys,0))</f>
        <v/>
      </c>
      <c r="AF73" s="16">
        <f>$F73*$P73</f>
        <v/>
      </c>
      <c r="AG73" s="8">
        <f>$U73/$V73</f>
        <v/>
      </c>
      <c r="AH73" s="16">
        <f>$L73*$AG73</f>
        <v/>
      </c>
      <c r="AI73" s="16">
        <f>$AF73-$AH73</f>
        <v/>
      </c>
      <c r="AJ73" s="16">
        <f>insurance_rate*insured_value_uplift*$AF73</f>
        <v/>
      </c>
      <c r="AK73" s="16">
        <f>$AF73+$AJ73</f>
        <v/>
      </c>
      <c r="AL73" s="18">
        <f>$AK73*$J73</f>
        <v/>
      </c>
      <c r="AM73" s="18">
        <f>$AK73*$I73</f>
        <v/>
      </c>
      <c r="AN73" s="18">
        <f>$AL73*bcd_scrap_hs7602</f>
        <v/>
      </c>
      <c r="AO73" s="18">
        <f>$AN73*sws_rate_on_bcd</f>
        <v/>
      </c>
      <c r="AP73" s="18">
        <f>($AL73+$AN73+$AO73)*igst_rate_hs7602</f>
        <v/>
      </c>
      <c r="AQ73" s="18">
        <f>$X73*$AG73+IF($Y73,psic_cost_usd_per_box*$H73/$W73,0)</f>
        <v/>
      </c>
      <c r="AR73" s="18">
        <f>($AM73+$AN73+$AO73)*$Z73/day_count_inr*$O73</f>
        <v/>
      </c>
      <c r="AS73" s="18">
        <f>$AP73*igst_credit_lag_days/day_count_inr*$O73</f>
        <v/>
      </c>
      <c r="AT73" s="18">
        <f>$AM73+$AN73+$AO73+$AQ73+$AR73+$AS73+IF(igst_itc_available,0,$AP73)</f>
        <v/>
      </c>
      <c r="AU73" s="15">
        <f>(1-$AA73)*(1-$AB73)*$AC73</f>
        <v/>
      </c>
      <c r="AV73" s="18">
        <f>$N73*kg_per_mt+domestic_anchor_premium_inr_t</f>
        <v/>
      </c>
      <c r="AW73" s="18">
        <f>(1-$AA73)*$AD73*heavies_net_value_frac_of_lme_al*$F73*$H73</f>
        <v/>
      </c>
      <c r="AX73" s="18">
        <f>conversion_cost_inr_t*$AU73</f>
        <v/>
      </c>
      <c r="AY73" s="18">
        <f>$AV73*$AU73+$AW73-$AT73-$AX73</f>
        <v/>
      </c>
      <c r="AZ73" s="16">
        <f>$AY73/$H73</f>
        <v/>
      </c>
      <c r="BA73" s="8">
        <f>$AY73&gt;margin_threshold_inr_t</f>
        <v/>
      </c>
      <c r="BB73" s="8">
        <f>$Q73+$AE73</f>
        <v/>
      </c>
      <c r="BC73" s="18">
        <f>$AT73-$AQ73</f>
        <v/>
      </c>
      <c r="BD73" s="18">
        <f>$AY73-$BC73*($BB73/$P73-1)</f>
        <v/>
      </c>
      <c r="BE73" s="18">
        <f>$AY73-(conv_step_5a-conversion_cost_inr_t)*$AU73</f>
        <v/>
      </c>
      <c r="BF73" s="8">
        <f>$BA73</f>
        <v/>
      </c>
      <c r="BG73" s="8">
        <f>$BD73&gt;margin_threshold_inr_t</f>
        <v/>
      </c>
      <c r="BH73" s="8">
        <f>$BE73&gt;margin_threshold_inr_t</f>
        <v/>
      </c>
      <c r="BI73" s="8">
        <f>AND($BF73,$BG73,$BH73)</f>
        <v/>
      </c>
      <c r="BJ73" s="8">
        <f>IF($BI73,1,0)</f>
        <v/>
      </c>
    </row>
    <row r="74">
      <c r="A74" s="11" t="n">
        <v>44645</v>
      </c>
      <c r="B74" s="11" t="n">
        <v>44645</v>
      </c>
      <c r="C74" s="7" t="inlineStr">
        <is>
          <t>taint_tabor</t>
        </is>
      </c>
      <c r="D74" s="7" t="inlineStr">
        <is>
          <t>JEA_NSA</t>
        </is>
      </c>
      <c r="E74" s="17" t="b">
        <v>1</v>
      </c>
      <c r="F74" s="16">
        <f>INDEX(Market_Weekly!$E$6:$E$48,MATCH($A74,Market_Weekly!$A$6:$A$48,0))</f>
        <v/>
      </c>
      <c r="G74" s="16">
        <f>INDEX(Market_Weekly!$D$6:$D$48,MATCH($A74,Market_Weekly!$A$6:$A$48,0))</f>
        <v/>
      </c>
      <c r="H74" s="16">
        <f>INDEX(Market_Weekly!$G$6:$G$48,MATCH($A74,Market_Weekly!$A$6:$A$48,0))</f>
        <v/>
      </c>
      <c r="I74" s="8">
        <f>INDEX(Market_Weekly!$H$6:$H$48,MATCH($A74,Market_Weekly!$A$6:$A$48,0))</f>
        <v/>
      </c>
      <c r="J74" s="8">
        <f>INDEX(Market_Weekly!$Q$6:$Q$48,MATCH($A74,Market_Weekly!$A$6:$A$48,0))</f>
        <v/>
      </c>
      <c r="K74" s="8">
        <f>INDEX(Market_Weekly!$V$6:$V$48,MATCH($A74,Market_Weekly!$A$6:$A$48,0))</f>
        <v/>
      </c>
      <c r="L74" s="16">
        <f>IF($D74="JEA_NSA",INDEX(Market_Weekly!$N$6:$N$48,MATCH($A74,Market_Weekly!$A$6:$A$48,0)),INDEX(Market_Weekly!$O$6:$O$48,MATCH($A74,Market_Weekly!$A$6:$A$48,0)))</f>
        <v/>
      </c>
      <c r="M74" s="8">
        <f>IF($D74="JEA_NSA","M1","M2")</f>
        <v/>
      </c>
      <c r="N74" s="16">
        <f>IF($D74="JEA_NSA",INDEX(Market_Weekly!$L$6:$L$48,MATCH($A74,Market_Weekly!$A$6:$A$48,0)),INDEX(Market_Weekly!$M$6:$M$48,MATCH($A74,Market_Weekly!$A$6:$A$48,0)))</f>
        <v/>
      </c>
      <c r="O74" s="15">
        <f>INDEX(Market_Weekly!$P$6:$P$48,MATCH($A74,Market_Weekly!$A$6:$A$48,0))</f>
        <v/>
      </c>
      <c r="P74" s="8">
        <f>INDEX(Market_Weekly!$R$6:$T$48,MATCH($A74,Market_Weekly!$A$6:$A$48,0),MATCH("grade_factor_"&amp;$C74,Market_Weekly!$R$5:$T$5,0))</f>
        <v/>
      </c>
      <c r="Q74" s="8">
        <f>INDEX(Market_Weekly!$U$6:$U$48,MATCH($A74,Market_Weekly!$A$6:$A$48,0))</f>
        <v/>
      </c>
      <c r="R74" s="8">
        <f>IF($D74="JEA_NSA","20ft","40ft")</f>
        <v/>
      </c>
      <c r="S74" s="8">
        <f>IF($D74="JEA_NSA","nsa","mun")</f>
        <v/>
      </c>
      <c r="T74" s="8">
        <f>IF($D74="JEA_NSA","jea_nsa","usec_mun")</f>
        <v/>
      </c>
      <c r="U74" s="16">
        <f>INDEX(param_values,MATCH("container_payload_mt_"&amp;$R74,param_keys,0))</f>
        <v/>
      </c>
      <c r="V74" s="16">
        <f>INDEX(param_values,MATCH("container_payload_mt_"&amp;$R74&amp;"_"&amp;$C74,param_keys,0))</f>
        <v/>
      </c>
      <c r="W74" s="16">
        <f>INDEX(param_values,MATCH("container_payload_mt_20ft_"&amp;$C74,param_keys,0))</f>
        <v/>
      </c>
      <c r="X74" s="18">
        <f>INDEX(param_values,MATCH("port_cf_charges_inr_t_"&amp;$S74,param_keys,0))</f>
        <v/>
      </c>
      <c r="Y74" s="8">
        <f>INDEX(param_values,MATCH(IF($D74="JEA_NSA","psic_required_uae_origin","psic_required_safe_origin_designated_port"),param_keys,0))</f>
        <v/>
      </c>
      <c r="Z74" s="19">
        <f>INDEX(param_values,MATCH("finance_days_"&amp;$T74,param_keys,0))</f>
        <v/>
      </c>
      <c r="AA74" s="15">
        <f>INDEX(param_values,MATCH("moisture_frac_"&amp;$C74,param_keys,0))</f>
        <v/>
      </c>
      <c r="AB74" s="15">
        <f>INDEX(param_values,MATCH("contamination_frac_"&amp;$C74,param_keys,0))</f>
        <v/>
      </c>
      <c r="AC74" s="15">
        <f>INDEX(param_values,MATCH("metal_yield_frac_"&amp;$C74,param_keys,0))</f>
        <v/>
      </c>
      <c r="AD74" s="15">
        <f>INDEX(param_values,MATCH("heavies_frac_"&amp;$C74,param_keys,0))</f>
        <v/>
      </c>
      <c r="AE74" s="8">
        <f>INDEX(param_values,MATCH("grade_factor_diff_"&amp;$C74,param_keys,0))</f>
        <v/>
      </c>
      <c r="AF74" s="16">
        <f>$F74*$P74</f>
        <v/>
      </c>
      <c r="AG74" s="8">
        <f>$U74/$V74</f>
        <v/>
      </c>
      <c r="AH74" s="16">
        <f>$L74*$AG74</f>
        <v/>
      </c>
      <c r="AI74" s="16">
        <f>$AF74-$AH74</f>
        <v/>
      </c>
      <c r="AJ74" s="16">
        <f>insurance_rate*insured_value_uplift*$AF74</f>
        <v/>
      </c>
      <c r="AK74" s="16">
        <f>$AF74+$AJ74</f>
        <v/>
      </c>
      <c r="AL74" s="18">
        <f>$AK74*$J74</f>
        <v/>
      </c>
      <c r="AM74" s="18">
        <f>$AK74*$I74</f>
        <v/>
      </c>
      <c r="AN74" s="18">
        <f>$AL74*bcd_scrap_hs7602</f>
        <v/>
      </c>
      <c r="AO74" s="18">
        <f>$AN74*sws_rate_on_bcd</f>
        <v/>
      </c>
      <c r="AP74" s="18">
        <f>($AL74+$AN74+$AO74)*igst_rate_hs7602</f>
        <v/>
      </c>
      <c r="AQ74" s="18">
        <f>$X74*$AG74+IF($Y74,psic_cost_usd_per_box*$H74/$W74,0)</f>
        <v/>
      </c>
      <c r="AR74" s="18">
        <f>($AM74+$AN74+$AO74)*$Z74/day_count_inr*$O74</f>
        <v/>
      </c>
      <c r="AS74" s="18">
        <f>$AP74*igst_credit_lag_days/day_count_inr*$O74</f>
        <v/>
      </c>
      <c r="AT74" s="18">
        <f>$AM74+$AN74+$AO74+$AQ74+$AR74+$AS74+IF(igst_itc_available,0,$AP74)</f>
        <v/>
      </c>
      <c r="AU74" s="15">
        <f>(1-$AA74)*(1-$AB74)*$AC74</f>
        <v/>
      </c>
      <c r="AV74" s="18">
        <f>$N74*kg_per_mt+domestic_anchor_premium_inr_t</f>
        <v/>
      </c>
      <c r="AW74" s="18">
        <f>(1-$AA74)*$AD74*heavies_net_value_frac_of_lme_al*$F74*$H74</f>
        <v/>
      </c>
      <c r="AX74" s="18">
        <f>conversion_cost_inr_t*$AU74</f>
        <v/>
      </c>
      <c r="AY74" s="18">
        <f>$AV74*$AU74+$AW74-$AT74-$AX74</f>
        <v/>
      </c>
      <c r="AZ74" s="16">
        <f>$AY74/$H74</f>
        <v/>
      </c>
      <c r="BA74" s="8">
        <f>$AY74&gt;margin_threshold_inr_t</f>
        <v/>
      </c>
      <c r="BB74" s="8">
        <f>$Q74+$AE74</f>
        <v/>
      </c>
      <c r="BC74" s="18">
        <f>$AT74-$AQ74</f>
        <v/>
      </c>
      <c r="BD74" s="18">
        <f>$AY74-$BC74*($BB74/$P74-1)</f>
        <v/>
      </c>
      <c r="BE74" s="18">
        <f>$AY74-(conv_step_5a-conversion_cost_inr_t)*$AU74</f>
        <v/>
      </c>
      <c r="BF74" s="8">
        <f>$BA74</f>
        <v/>
      </c>
      <c r="BG74" s="8">
        <f>$BD74&gt;margin_threshold_inr_t</f>
        <v/>
      </c>
      <c r="BH74" s="8">
        <f>$BE74&gt;margin_threshold_inr_t</f>
        <v/>
      </c>
      <c r="BI74" s="8">
        <f>AND($BF74,$BG74,$BH74)</f>
        <v/>
      </c>
      <c r="BJ74" s="8">
        <f>IF($BI74,1,0)</f>
        <v/>
      </c>
    </row>
    <row r="75">
      <c r="A75" s="11" t="n">
        <v>44645</v>
      </c>
      <c r="B75" s="11" t="n">
        <v>44645</v>
      </c>
      <c r="C75" s="7" t="inlineStr">
        <is>
          <t>taint_tabor</t>
        </is>
      </c>
      <c r="D75" s="7" t="inlineStr">
        <is>
          <t>USEC_MUN</t>
        </is>
      </c>
      <c r="E75" s="17" t="b">
        <v>1</v>
      </c>
      <c r="F75" s="16">
        <f>INDEX(Market_Weekly!$E$6:$E$48,MATCH($A75,Market_Weekly!$A$6:$A$48,0))</f>
        <v/>
      </c>
      <c r="G75" s="16">
        <f>INDEX(Market_Weekly!$D$6:$D$48,MATCH($A75,Market_Weekly!$A$6:$A$48,0))</f>
        <v/>
      </c>
      <c r="H75" s="16">
        <f>INDEX(Market_Weekly!$G$6:$G$48,MATCH($A75,Market_Weekly!$A$6:$A$48,0))</f>
        <v/>
      </c>
      <c r="I75" s="8">
        <f>INDEX(Market_Weekly!$H$6:$H$48,MATCH($A75,Market_Weekly!$A$6:$A$48,0))</f>
        <v/>
      </c>
      <c r="J75" s="8">
        <f>INDEX(Market_Weekly!$Q$6:$Q$48,MATCH($A75,Market_Weekly!$A$6:$A$48,0))</f>
        <v/>
      </c>
      <c r="K75" s="8">
        <f>INDEX(Market_Weekly!$V$6:$V$48,MATCH($A75,Market_Weekly!$A$6:$A$48,0))</f>
        <v/>
      </c>
      <c r="L75" s="16">
        <f>IF($D75="JEA_NSA",INDEX(Market_Weekly!$N$6:$N$48,MATCH($A75,Market_Weekly!$A$6:$A$48,0)),INDEX(Market_Weekly!$O$6:$O$48,MATCH($A75,Market_Weekly!$A$6:$A$48,0)))</f>
        <v/>
      </c>
      <c r="M75" s="8">
        <f>IF($D75="JEA_NSA","M1","M2")</f>
        <v/>
      </c>
      <c r="N75" s="16">
        <f>IF($D75="JEA_NSA",INDEX(Market_Weekly!$L$6:$L$48,MATCH($A75,Market_Weekly!$A$6:$A$48,0)),INDEX(Market_Weekly!$M$6:$M$48,MATCH($A75,Market_Weekly!$A$6:$A$48,0)))</f>
        <v/>
      </c>
      <c r="O75" s="15">
        <f>INDEX(Market_Weekly!$P$6:$P$48,MATCH($A75,Market_Weekly!$A$6:$A$48,0))</f>
        <v/>
      </c>
      <c r="P75" s="8">
        <f>INDEX(Market_Weekly!$R$6:$T$48,MATCH($A75,Market_Weekly!$A$6:$A$48,0),MATCH("grade_factor_"&amp;$C75,Market_Weekly!$R$5:$T$5,0))</f>
        <v/>
      </c>
      <c r="Q75" s="8">
        <f>INDEX(Market_Weekly!$U$6:$U$48,MATCH($A75,Market_Weekly!$A$6:$A$48,0))</f>
        <v/>
      </c>
      <c r="R75" s="8">
        <f>IF($D75="JEA_NSA","20ft","40ft")</f>
        <v/>
      </c>
      <c r="S75" s="8">
        <f>IF($D75="JEA_NSA","nsa","mun")</f>
        <v/>
      </c>
      <c r="T75" s="8">
        <f>IF($D75="JEA_NSA","jea_nsa","usec_mun")</f>
        <v/>
      </c>
      <c r="U75" s="16">
        <f>INDEX(param_values,MATCH("container_payload_mt_"&amp;$R75,param_keys,0))</f>
        <v/>
      </c>
      <c r="V75" s="16">
        <f>INDEX(param_values,MATCH("container_payload_mt_"&amp;$R75&amp;"_"&amp;$C75,param_keys,0))</f>
        <v/>
      </c>
      <c r="W75" s="16">
        <f>INDEX(param_values,MATCH("container_payload_mt_20ft_"&amp;$C75,param_keys,0))</f>
        <v/>
      </c>
      <c r="X75" s="18">
        <f>INDEX(param_values,MATCH("port_cf_charges_inr_t_"&amp;$S75,param_keys,0))</f>
        <v/>
      </c>
      <c r="Y75" s="8">
        <f>INDEX(param_values,MATCH(IF($D75="JEA_NSA","psic_required_uae_origin","psic_required_safe_origin_designated_port"),param_keys,0))</f>
        <v/>
      </c>
      <c r="Z75" s="19">
        <f>INDEX(param_values,MATCH("finance_days_"&amp;$T75,param_keys,0))</f>
        <v/>
      </c>
      <c r="AA75" s="15">
        <f>INDEX(param_values,MATCH("moisture_frac_"&amp;$C75,param_keys,0))</f>
        <v/>
      </c>
      <c r="AB75" s="15">
        <f>INDEX(param_values,MATCH("contamination_frac_"&amp;$C75,param_keys,0))</f>
        <v/>
      </c>
      <c r="AC75" s="15">
        <f>INDEX(param_values,MATCH("metal_yield_frac_"&amp;$C75,param_keys,0))</f>
        <v/>
      </c>
      <c r="AD75" s="15">
        <f>INDEX(param_values,MATCH("heavies_frac_"&amp;$C75,param_keys,0))</f>
        <v/>
      </c>
      <c r="AE75" s="8">
        <f>INDEX(param_values,MATCH("grade_factor_diff_"&amp;$C75,param_keys,0))</f>
        <v/>
      </c>
      <c r="AF75" s="16">
        <f>$F75*$P75</f>
        <v/>
      </c>
      <c r="AG75" s="8">
        <f>$U75/$V75</f>
        <v/>
      </c>
      <c r="AH75" s="16">
        <f>$L75*$AG75</f>
        <v/>
      </c>
      <c r="AI75" s="16">
        <f>$AF75-$AH75</f>
        <v/>
      </c>
      <c r="AJ75" s="16">
        <f>insurance_rate*insured_value_uplift*$AF75</f>
        <v/>
      </c>
      <c r="AK75" s="16">
        <f>$AF75+$AJ75</f>
        <v/>
      </c>
      <c r="AL75" s="18">
        <f>$AK75*$J75</f>
        <v/>
      </c>
      <c r="AM75" s="18">
        <f>$AK75*$I75</f>
        <v/>
      </c>
      <c r="AN75" s="18">
        <f>$AL75*bcd_scrap_hs7602</f>
        <v/>
      </c>
      <c r="AO75" s="18">
        <f>$AN75*sws_rate_on_bcd</f>
        <v/>
      </c>
      <c r="AP75" s="18">
        <f>($AL75+$AN75+$AO75)*igst_rate_hs7602</f>
        <v/>
      </c>
      <c r="AQ75" s="18">
        <f>$X75*$AG75+IF($Y75,psic_cost_usd_per_box*$H75/$W75,0)</f>
        <v/>
      </c>
      <c r="AR75" s="18">
        <f>($AM75+$AN75+$AO75)*$Z75/day_count_inr*$O75</f>
        <v/>
      </c>
      <c r="AS75" s="18">
        <f>$AP75*igst_credit_lag_days/day_count_inr*$O75</f>
        <v/>
      </c>
      <c r="AT75" s="18">
        <f>$AM75+$AN75+$AO75+$AQ75+$AR75+$AS75+IF(igst_itc_available,0,$AP75)</f>
        <v/>
      </c>
      <c r="AU75" s="15">
        <f>(1-$AA75)*(1-$AB75)*$AC75</f>
        <v/>
      </c>
      <c r="AV75" s="18">
        <f>$N75*kg_per_mt+domestic_anchor_premium_inr_t</f>
        <v/>
      </c>
      <c r="AW75" s="18">
        <f>(1-$AA75)*$AD75*heavies_net_value_frac_of_lme_al*$F75*$H75</f>
        <v/>
      </c>
      <c r="AX75" s="18">
        <f>conversion_cost_inr_t*$AU75</f>
        <v/>
      </c>
      <c r="AY75" s="18">
        <f>$AV75*$AU75+$AW75-$AT75-$AX75</f>
        <v/>
      </c>
      <c r="AZ75" s="16">
        <f>$AY75/$H75</f>
        <v/>
      </c>
      <c r="BA75" s="8">
        <f>$AY75&gt;margin_threshold_inr_t</f>
        <v/>
      </c>
      <c r="BB75" s="8">
        <f>$Q75+$AE75</f>
        <v/>
      </c>
      <c r="BC75" s="18">
        <f>$AT75-$AQ75</f>
        <v/>
      </c>
      <c r="BD75" s="18">
        <f>$AY75-$BC75*($BB75/$P75-1)</f>
        <v/>
      </c>
      <c r="BE75" s="18">
        <f>$AY75-(conv_step_5a-conversion_cost_inr_t)*$AU75</f>
        <v/>
      </c>
      <c r="BF75" s="8">
        <f>$BA75</f>
        <v/>
      </c>
      <c r="BG75" s="8">
        <f>$BD75&gt;margin_threshold_inr_t</f>
        <v/>
      </c>
      <c r="BH75" s="8">
        <f>$BE75&gt;margin_threshold_inr_t</f>
        <v/>
      </c>
      <c r="BI75" s="8">
        <f>AND($BF75,$BG75,$BH75)</f>
        <v/>
      </c>
      <c r="BJ75" s="8">
        <f>IF($BI75,1,0)</f>
        <v/>
      </c>
    </row>
    <row r="76">
      <c r="A76" s="11" t="n">
        <v>44645</v>
      </c>
      <c r="B76" s="11" t="n">
        <v>44645</v>
      </c>
      <c r="C76" s="7" t="inlineStr">
        <is>
          <t>tense</t>
        </is>
      </c>
      <c r="D76" s="7" t="inlineStr">
        <is>
          <t>JEA_NSA</t>
        </is>
      </c>
      <c r="E76" s="17" t="b">
        <v>1</v>
      </c>
      <c r="F76" s="16">
        <f>INDEX(Market_Weekly!$E$6:$E$48,MATCH($A76,Market_Weekly!$A$6:$A$48,0))</f>
        <v/>
      </c>
      <c r="G76" s="16">
        <f>INDEX(Market_Weekly!$D$6:$D$48,MATCH($A76,Market_Weekly!$A$6:$A$48,0))</f>
        <v/>
      </c>
      <c r="H76" s="16">
        <f>INDEX(Market_Weekly!$G$6:$G$48,MATCH($A76,Market_Weekly!$A$6:$A$48,0))</f>
        <v/>
      </c>
      <c r="I76" s="8">
        <f>INDEX(Market_Weekly!$H$6:$H$48,MATCH($A76,Market_Weekly!$A$6:$A$48,0))</f>
        <v/>
      </c>
      <c r="J76" s="8">
        <f>INDEX(Market_Weekly!$Q$6:$Q$48,MATCH($A76,Market_Weekly!$A$6:$A$48,0))</f>
        <v/>
      </c>
      <c r="K76" s="8">
        <f>INDEX(Market_Weekly!$V$6:$V$48,MATCH($A76,Market_Weekly!$A$6:$A$48,0))</f>
        <v/>
      </c>
      <c r="L76" s="16">
        <f>IF($D76="JEA_NSA",INDEX(Market_Weekly!$N$6:$N$48,MATCH($A76,Market_Weekly!$A$6:$A$48,0)),INDEX(Market_Weekly!$O$6:$O$48,MATCH($A76,Market_Weekly!$A$6:$A$48,0)))</f>
        <v/>
      </c>
      <c r="M76" s="8">
        <f>IF($D76="JEA_NSA","M1","M2")</f>
        <v/>
      </c>
      <c r="N76" s="16">
        <f>IF($D76="JEA_NSA",INDEX(Market_Weekly!$L$6:$L$48,MATCH($A76,Market_Weekly!$A$6:$A$48,0)),INDEX(Market_Weekly!$M$6:$M$48,MATCH($A76,Market_Weekly!$A$6:$A$48,0)))</f>
        <v/>
      </c>
      <c r="O76" s="15">
        <f>INDEX(Market_Weekly!$P$6:$P$48,MATCH($A76,Market_Weekly!$A$6:$A$48,0))</f>
        <v/>
      </c>
      <c r="P76" s="8">
        <f>INDEX(Market_Weekly!$R$6:$T$48,MATCH($A76,Market_Weekly!$A$6:$A$48,0),MATCH("grade_factor_"&amp;$C76,Market_Weekly!$R$5:$T$5,0))</f>
        <v/>
      </c>
      <c r="Q76" s="8">
        <f>INDEX(Market_Weekly!$U$6:$U$48,MATCH($A76,Market_Weekly!$A$6:$A$48,0))</f>
        <v/>
      </c>
      <c r="R76" s="8">
        <f>IF($D76="JEA_NSA","20ft","40ft")</f>
        <v/>
      </c>
      <c r="S76" s="8">
        <f>IF($D76="JEA_NSA","nsa","mun")</f>
        <v/>
      </c>
      <c r="T76" s="8">
        <f>IF($D76="JEA_NSA","jea_nsa","usec_mun")</f>
        <v/>
      </c>
      <c r="U76" s="16">
        <f>INDEX(param_values,MATCH("container_payload_mt_"&amp;$R76,param_keys,0))</f>
        <v/>
      </c>
      <c r="V76" s="16">
        <f>INDEX(param_values,MATCH("container_payload_mt_"&amp;$R76&amp;"_"&amp;$C76,param_keys,0))</f>
        <v/>
      </c>
      <c r="W76" s="16">
        <f>INDEX(param_values,MATCH("container_payload_mt_20ft_"&amp;$C76,param_keys,0))</f>
        <v/>
      </c>
      <c r="X76" s="18">
        <f>INDEX(param_values,MATCH("port_cf_charges_inr_t_"&amp;$S76,param_keys,0))</f>
        <v/>
      </c>
      <c r="Y76" s="8">
        <f>INDEX(param_values,MATCH(IF($D76="JEA_NSA","psic_required_uae_origin","psic_required_safe_origin_designated_port"),param_keys,0))</f>
        <v/>
      </c>
      <c r="Z76" s="19">
        <f>INDEX(param_values,MATCH("finance_days_"&amp;$T76,param_keys,0))</f>
        <v/>
      </c>
      <c r="AA76" s="15">
        <f>INDEX(param_values,MATCH("moisture_frac_"&amp;$C76,param_keys,0))</f>
        <v/>
      </c>
      <c r="AB76" s="15">
        <f>INDEX(param_values,MATCH("contamination_frac_"&amp;$C76,param_keys,0))</f>
        <v/>
      </c>
      <c r="AC76" s="15">
        <f>INDEX(param_values,MATCH("metal_yield_frac_"&amp;$C76,param_keys,0))</f>
        <v/>
      </c>
      <c r="AD76" s="15">
        <f>INDEX(param_values,MATCH("heavies_frac_"&amp;$C76,param_keys,0))</f>
        <v/>
      </c>
      <c r="AE76" s="8">
        <f>INDEX(param_values,MATCH("grade_factor_diff_"&amp;$C76,param_keys,0))</f>
        <v/>
      </c>
      <c r="AF76" s="16">
        <f>$F76*$P76</f>
        <v/>
      </c>
      <c r="AG76" s="8">
        <f>$U76/$V76</f>
        <v/>
      </c>
      <c r="AH76" s="16">
        <f>$L76*$AG76</f>
        <v/>
      </c>
      <c r="AI76" s="16">
        <f>$AF76-$AH76</f>
        <v/>
      </c>
      <c r="AJ76" s="16">
        <f>insurance_rate*insured_value_uplift*$AF76</f>
        <v/>
      </c>
      <c r="AK76" s="16">
        <f>$AF76+$AJ76</f>
        <v/>
      </c>
      <c r="AL76" s="18">
        <f>$AK76*$J76</f>
        <v/>
      </c>
      <c r="AM76" s="18">
        <f>$AK76*$I76</f>
        <v/>
      </c>
      <c r="AN76" s="18">
        <f>$AL76*bcd_scrap_hs7602</f>
        <v/>
      </c>
      <c r="AO76" s="18">
        <f>$AN76*sws_rate_on_bcd</f>
        <v/>
      </c>
      <c r="AP76" s="18">
        <f>($AL76+$AN76+$AO76)*igst_rate_hs7602</f>
        <v/>
      </c>
      <c r="AQ76" s="18">
        <f>$X76*$AG76+IF($Y76,psic_cost_usd_per_box*$H76/$W76,0)</f>
        <v/>
      </c>
      <c r="AR76" s="18">
        <f>($AM76+$AN76+$AO76)*$Z76/day_count_inr*$O76</f>
        <v/>
      </c>
      <c r="AS76" s="18">
        <f>$AP76*igst_credit_lag_days/day_count_inr*$O76</f>
        <v/>
      </c>
      <c r="AT76" s="18">
        <f>$AM76+$AN76+$AO76+$AQ76+$AR76+$AS76+IF(igst_itc_available,0,$AP76)</f>
        <v/>
      </c>
      <c r="AU76" s="15">
        <f>(1-$AA76)*(1-$AB76)*$AC76</f>
        <v/>
      </c>
      <c r="AV76" s="18">
        <f>$N76*kg_per_mt+domestic_anchor_premium_inr_t</f>
        <v/>
      </c>
      <c r="AW76" s="18">
        <f>(1-$AA76)*$AD76*heavies_net_value_frac_of_lme_al*$F76*$H76</f>
        <v/>
      </c>
      <c r="AX76" s="18">
        <f>conversion_cost_inr_t*$AU76</f>
        <v/>
      </c>
      <c r="AY76" s="18">
        <f>$AV76*$AU76+$AW76-$AT76-$AX76</f>
        <v/>
      </c>
      <c r="AZ76" s="16">
        <f>$AY76/$H76</f>
        <v/>
      </c>
      <c r="BA76" s="8">
        <f>$AY76&gt;margin_threshold_inr_t</f>
        <v/>
      </c>
      <c r="BB76" s="8">
        <f>$Q76+$AE76</f>
        <v/>
      </c>
      <c r="BC76" s="18">
        <f>$AT76-$AQ76</f>
        <v/>
      </c>
      <c r="BD76" s="18">
        <f>$AY76-$BC76*($BB76/$P76-1)</f>
        <v/>
      </c>
      <c r="BE76" s="18">
        <f>$AY76-(conv_step_5a-conversion_cost_inr_t)*$AU76</f>
        <v/>
      </c>
      <c r="BF76" s="8">
        <f>$BA76</f>
        <v/>
      </c>
      <c r="BG76" s="8">
        <f>$BD76&gt;margin_threshold_inr_t</f>
        <v/>
      </c>
      <c r="BH76" s="8">
        <f>$BE76&gt;margin_threshold_inr_t</f>
        <v/>
      </c>
      <c r="BI76" s="8">
        <f>AND($BF76,$BG76,$BH76)</f>
        <v/>
      </c>
      <c r="BJ76" s="8">
        <f>IF($BI76,1,0)</f>
        <v/>
      </c>
    </row>
    <row r="77">
      <c r="A77" s="11" t="n">
        <v>44645</v>
      </c>
      <c r="B77" s="11" t="n">
        <v>44645</v>
      </c>
      <c r="C77" s="7" t="inlineStr">
        <is>
          <t>tense</t>
        </is>
      </c>
      <c r="D77" s="7" t="inlineStr">
        <is>
          <t>USEC_MUN</t>
        </is>
      </c>
      <c r="E77" s="17" t="b">
        <v>1</v>
      </c>
      <c r="F77" s="16">
        <f>INDEX(Market_Weekly!$E$6:$E$48,MATCH($A77,Market_Weekly!$A$6:$A$48,0))</f>
        <v/>
      </c>
      <c r="G77" s="16">
        <f>INDEX(Market_Weekly!$D$6:$D$48,MATCH($A77,Market_Weekly!$A$6:$A$48,0))</f>
        <v/>
      </c>
      <c r="H77" s="16">
        <f>INDEX(Market_Weekly!$G$6:$G$48,MATCH($A77,Market_Weekly!$A$6:$A$48,0))</f>
        <v/>
      </c>
      <c r="I77" s="8">
        <f>INDEX(Market_Weekly!$H$6:$H$48,MATCH($A77,Market_Weekly!$A$6:$A$48,0))</f>
        <v/>
      </c>
      <c r="J77" s="8">
        <f>INDEX(Market_Weekly!$Q$6:$Q$48,MATCH($A77,Market_Weekly!$A$6:$A$48,0))</f>
        <v/>
      </c>
      <c r="K77" s="8">
        <f>INDEX(Market_Weekly!$V$6:$V$48,MATCH($A77,Market_Weekly!$A$6:$A$48,0))</f>
        <v/>
      </c>
      <c r="L77" s="16">
        <f>IF($D77="JEA_NSA",INDEX(Market_Weekly!$N$6:$N$48,MATCH($A77,Market_Weekly!$A$6:$A$48,0)),INDEX(Market_Weekly!$O$6:$O$48,MATCH($A77,Market_Weekly!$A$6:$A$48,0)))</f>
        <v/>
      </c>
      <c r="M77" s="8">
        <f>IF($D77="JEA_NSA","M1","M2")</f>
        <v/>
      </c>
      <c r="N77" s="16">
        <f>IF($D77="JEA_NSA",INDEX(Market_Weekly!$L$6:$L$48,MATCH($A77,Market_Weekly!$A$6:$A$48,0)),INDEX(Market_Weekly!$M$6:$M$48,MATCH($A77,Market_Weekly!$A$6:$A$48,0)))</f>
        <v/>
      </c>
      <c r="O77" s="15">
        <f>INDEX(Market_Weekly!$P$6:$P$48,MATCH($A77,Market_Weekly!$A$6:$A$48,0))</f>
        <v/>
      </c>
      <c r="P77" s="8">
        <f>INDEX(Market_Weekly!$R$6:$T$48,MATCH($A77,Market_Weekly!$A$6:$A$48,0),MATCH("grade_factor_"&amp;$C77,Market_Weekly!$R$5:$T$5,0))</f>
        <v/>
      </c>
      <c r="Q77" s="8">
        <f>INDEX(Market_Weekly!$U$6:$U$48,MATCH($A77,Market_Weekly!$A$6:$A$48,0))</f>
        <v/>
      </c>
      <c r="R77" s="8">
        <f>IF($D77="JEA_NSA","20ft","40ft")</f>
        <v/>
      </c>
      <c r="S77" s="8">
        <f>IF($D77="JEA_NSA","nsa","mun")</f>
        <v/>
      </c>
      <c r="T77" s="8">
        <f>IF($D77="JEA_NSA","jea_nsa","usec_mun")</f>
        <v/>
      </c>
      <c r="U77" s="16">
        <f>INDEX(param_values,MATCH("container_payload_mt_"&amp;$R77,param_keys,0))</f>
        <v/>
      </c>
      <c r="V77" s="16">
        <f>INDEX(param_values,MATCH("container_payload_mt_"&amp;$R77&amp;"_"&amp;$C77,param_keys,0))</f>
        <v/>
      </c>
      <c r="W77" s="16">
        <f>INDEX(param_values,MATCH("container_payload_mt_20ft_"&amp;$C77,param_keys,0))</f>
        <v/>
      </c>
      <c r="X77" s="18">
        <f>INDEX(param_values,MATCH("port_cf_charges_inr_t_"&amp;$S77,param_keys,0))</f>
        <v/>
      </c>
      <c r="Y77" s="8">
        <f>INDEX(param_values,MATCH(IF($D77="JEA_NSA","psic_required_uae_origin","psic_required_safe_origin_designated_port"),param_keys,0))</f>
        <v/>
      </c>
      <c r="Z77" s="19">
        <f>INDEX(param_values,MATCH("finance_days_"&amp;$T77,param_keys,0))</f>
        <v/>
      </c>
      <c r="AA77" s="15">
        <f>INDEX(param_values,MATCH("moisture_frac_"&amp;$C77,param_keys,0))</f>
        <v/>
      </c>
      <c r="AB77" s="15">
        <f>INDEX(param_values,MATCH("contamination_frac_"&amp;$C77,param_keys,0))</f>
        <v/>
      </c>
      <c r="AC77" s="15">
        <f>INDEX(param_values,MATCH("metal_yield_frac_"&amp;$C77,param_keys,0))</f>
        <v/>
      </c>
      <c r="AD77" s="15">
        <f>INDEX(param_values,MATCH("heavies_frac_"&amp;$C77,param_keys,0))</f>
        <v/>
      </c>
      <c r="AE77" s="8">
        <f>INDEX(param_values,MATCH("grade_factor_diff_"&amp;$C77,param_keys,0))</f>
        <v/>
      </c>
      <c r="AF77" s="16">
        <f>$F77*$P77</f>
        <v/>
      </c>
      <c r="AG77" s="8">
        <f>$U77/$V77</f>
        <v/>
      </c>
      <c r="AH77" s="16">
        <f>$L77*$AG77</f>
        <v/>
      </c>
      <c r="AI77" s="16">
        <f>$AF77-$AH77</f>
        <v/>
      </c>
      <c r="AJ77" s="16">
        <f>insurance_rate*insured_value_uplift*$AF77</f>
        <v/>
      </c>
      <c r="AK77" s="16">
        <f>$AF77+$AJ77</f>
        <v/>
      </c>
      <c r="AL77" s="18">
        <f>$AK77*$J77</f>
        <v/>
      </c>
      <c r="AM77" s="18">
        <f>$AK77*$I77</f>
        <v/>
      </c>
      <c r="AN77" s="18">
        <f>$AL77*bcd_scrap_hs7602</f>
        <v/>
      </c>
      <c r="AO77" s="18">
        <f>$AN77*sws_rate_on_bcd</f>
        <v/>
      </c>
      <c r="AP77" s="18">
        <f>($AL77+$AN77+$AO77)*igst_rate_hs7602</f>
        <v/>
      </c>
      <c r="AQ77" s="18">
        <f>$X77*$AG77+IF($Y77,psic_cost_usd_per_box*$H77/$W77,0)</f>
        <v/>
      </c>
      <c r="AR77" s="18">
        <f>($AM77+$AN77+$AO77)*$Z77/day_count_inr*$O77</f>
        <v/>
      </c>
      <c r="AS77" s="18">
        <f>$AP77*igst_credit_lag_days/day_count_inr*$O77</f>
        <v/>
      </c>
      <c r="AT77" s="18">
        <f>$AM77+$AN77+$AO77+$AQ77+$AR77+$AS77+IF(igst_itc_available,0,$AP77)</f>
        <v/>
      </c>
      <c r="AU77" s="15">
        <f>(1-$AA77)*(1-$AB77)*$AC77</f>
        <v/>
      </c>
      <c r="AV77" s="18">
        <f>$N77*kg_per_mt+domestic_anchor_premium_inr_t</f>
        <v/>
      </c>
      <c r="AW77" s="18">
        <f>(1-$AA77)*$AD77*heavies_net_value_frac_of_lme_al*$F77*$H77</f>
        <v/>
      </c>
      <c r="AX77" s="18">
        <f>conversion_cost_inr_t*$AU77</f>
        <v/>
      </c>
      <c r="AY77" s="18">
        <f>$AV77*$AU77+$AW77-$AT77-$AX77</f>
        <v/>
      </c>
      <c r="AZ77" s="16">
        <f>$AY77/$H77</f>
        <v/>
      </c>
      <c r="BA77" s="8">
        <f>$AY77&gt;margin_threshold_inr_t</f>
        <v/>
      </c>
      <c r="BB77" s="8">
        <f>$Q77+$AE77</f>
        <v/>
      </c>
      <c r="BC77" s="18">
        <f>$AT77-$AQ77</f>
        <v/>
      </c>
      <c r="BD77" s="18">
        <f>$AY77-$BC77*($BB77/$P77-1)</f>
        <v/>
      </c>
      <c r="BE77" s="18">
        <f>$AY77-(conv_step_5a-conversion_cost_inr_t)*$AU77</f>
        <v/>
      </c>
      <c r="BF77" s="8">
        <f>$BA77</f>
        <v/>
      </c>
      <c r="BG77" s="8">
        <f>$BD77&gt;margin_threshold_inr_t</f>
        <v/>
      </c>
      <c r="BH77" s="8">
        <f>$BE77&gt;margin_threshold_inr_t</f>
        <v/>
      </c>
      <c r="BI77" s="8">
        <f>AND($BF77,$BG77,$BH77)</f>
        <v/>
      </c>
      <c r="BJ77" s="8">
        <f>IF($BI77,1,0)</f>
        <v/>
      </c>
    </row>
    <row r="78">
      <c r="A78" s="11" t="n">
        <v>44652</v>
      </c>
      <c r="B78" s="11" t="n">
        <v>44652</v>
      </c>
      <c r="C78" s="7" t="inlineStr">
        <is>
          <t>zorba</t>
        </is>
      </c>
      <c r="D78" s="7" t="inlineStr">
        <is>
          <t>JEA_NSA</t>
        </is>
      </c>
      <c r="E78" s="17" t="b">
        <v>1</v>
      </c>
      <c r="F78" s="16">
        <f>INDEX(Market_Weekly!$E$6:$E$48,MATCH($A78,Market_Weekly!$A$6:$A$48,0))</f>
        <v/>
      </c>
      <c r="G78" s="16">
        <f>INDEX(Market_Weekly!$D$6:$D$48,MATCH($A78,Market_Weekly!$A$6:$A$48,0))</f>
        <v/>
      </c>
      <c r="H78" s="16">
        <f>INDEX(Market_Weekly!$G$6:$G$48,MATCH($A78,Market_Weekly!$A$6:$A$48,0))</f>
        <v/>
      </c>
      <c r="I78" s="8">
        <f>INDEX(Market_Weekly!$H$6:$H$48,MATCH($A78,Market_Weekly!$A$6:$A$48,0))</f>
        <v/>
      </c>
      <c r="J78" s="8">
        <f>INDEX(Market_Weekly!$Q$6:$Q$48,MATCH($A78,Market_Weekly!$A$6:$A$48,0))</f>
        <v/>
      </c>
      <c r="K78" s="8">
        <f>INDEX(Market_Weekly!$V$6:$V$48,MATCH($A78,Market_Weekly!$A$6:$A$48,0))</f>
        <v/>
      </c>
      <c r="L78" s="16">
        <f>IF($D78="JEA_NSA",INDEX(Market_Weekly!$N$6:$N$48,MATCH($A78,Market_Weekly!$A$6:$A$48,0)),INDEX(Market_Weekly!$O$6:$O$48,MATCH($A78,Market_Weekly!$A$6:$A$48,0)))</f>
        <v/>
      </c>
      <c r="M78" s="8">
        <f>IF($D78="JEA_NSA","M1","M2")</f>
        <v/>
      </c>
      <c r="N78" s="16">
        <f>IF($D78="JEA_NSA",INDEX(Market_Weekly!$L$6:$L$48,MATCH($A78,Market_Weekly!$A$6:$A$48,0)),INDEX(Market_Weekly!$M$6:$M$48,MATCH($A78,Market_Weekly!$A$6:$A$48,0)))</f>
        <v/>
      </c>
      <c r="O78" s="15">
        <f>INDEX(Market_Weekly!$P$6:$P$48,MATCH($A78,Market_Weekly!$A$6:$A$48,0))</f>
        <v/>
      </c>
      <c r="P78" s="8">
        <f>INDEX(Market_Weekly!$R$6:$T$48,MATCH($A78,Market_Weekly!$A$6:$A$48,0),MATCH("grade_factor_"&amp;$C78,Market_Weekly!$R$5:$T$5,0))</f>
        <v/>
      </c>
      <c r="Q78" s="8">
        <f>INDEX(Market_Weekly!$U$6:$U$48,MATCH($A78,Market_Weekly!$A$6:$A$48,0))</f>
        <v/>
      </c>
      <c r="R78" s="8">
        <f>IF($D78="JEA_NSA","20ft","40ft")</f>
        <v/>
      </c>
      <c r="S78" s="8">
        <f>IF($D78="JEA_NSA","nsa","mun")</f>
        <v/>
      </c>
      <c r="T78" s="8">
        <f>IF($D78="JEA_NSA","jea_nsa","usec_mun")</f>
        <v/>
      </c>
      <c r="U78" s="16">
        <f>INDEX(param_values,MATCH("container_payload_mt_"&amp;$R78,param_keys,0))</f>
        <v/>
      </c>
      <c r="V78" s="16">
        <f>INDEX(param_values,MATCH("container_payload_mt_"&amp;$R78&amp;"_"&amp;$C78,param_keys,0))</f>
        <v/>
      </c>
      <c r="W78" s="16">
        <f>INDEX(param_values,MATCH("container_payload_mt_20ft_"&amp;$C78,param_keys,0))</f>
        <v/>
      </c>
      <c r="X78" s="18">
        <f>INDEX(param_values,MATCH("port_cf_charges_inr_t_"&amp;$S78,param_keys,0))</f>
        <v/>
      </c>
      <c r="Y78" s="8">
        <f>INDEX(param_values,MATCH(IF($D78="JEA_NSA","psic_required_uae_origin","psic_required_safe_origin_designated_port"),param_keys,0))</f>
        <v/>
      </c>
      <c r="Z78" s="19">
        <f>INDEX(param_values,MATCH("finance_days_"&amp;$T78,param_keys,0))</f>
        <v/>
      </c>
      <c r="AA78" s="15">
        <f>INDEX(param_values,MATCH("moisture_frac_"&amp;$C78,param_keys,0))</f>
        <v/>
      </c>
      <c r="AB78" s="15">
        <f>INDEX(param_values,MATCH("contamination_frac_"&amp;$C78,param_keys,0))</f>
        <v/>
      </c>
      <c r="AC78" s="15">
        <f>INDEX(param_values,MATCH("metal_yield_frac_"&amp;$C78,param_keys,0))</f>
        <v/>
      </c>
      <c r="AD78" s="15">
        <f>INDEX(param_values,MATCH("heavies_frac_"&amp;$C78,param_keys,0))</f>
        <v/>
      </c>
      <c r="AE78" s="8">
        <f>INDEX(param_values,MATCH("grade_factor_diff_"&amp;$C78,param_keys,0))</f>
        <v/>
      </c>
      <c r="AF78" s="16">
        <f>$F78*$P78</f>
        <v/>
      </c>
      <c r="AG78" s="8">
        <f>$U78/$V78</f>
        <v/>
      </c>
      <c r="AH78" s="16">
        <f>$L78*$AG78</f>
        <v/>
      </c>
      <c r="AI78" s="16">
        <f>$AF78-$AH78</f>
        <v/>
      </c>
      <c r="AJ78" s="16">
        <f>insurance_rate*insured_value_uplift*$AF78</f>
        <v/>
      </c>
      <c r="AK78" s="16">
        <f>$AF78+$AJ78</f>
        <v/>
      </c>
      <c r="AL78" s="18">
        <f>$AK78*$J78</f>
        <v/>
      </c>
      <c r="AM78" s="18">
        <f>$AK78*$I78</f>
        <v/>
      </c>
      <c r="AN78" s="18">
        <f>$AL78*bcd_scrap_hs7602</f>
        <v/>
      </c>
      <c r="AO78" s="18">
        <f>$AN78*sws_rate_on_bcd</f>
        <v/>
      </c>
      <c r="AP78" s="18">
        <f>($AL78+$AN78+$AO78)*igst_rate_hs7602</f>
        <v/>
      </c>
      <c r="AQ78" s="18">
        <f>$X78*$AG78+IF($Y78,psic_cost_usd_per_box*$H78/$W78,0)</f>
        <v/>
      </c>
      <c r="AR78" s="18">
        <f>($AM78+$AN78+$AO78)*$Z78/day_count_inr*$O78</f>
        <v/>
      </c>
      <c r="AS78" s="18">
        <f>$AP78*igst_credit_lag_days/day_count_inr*$O78</f>
        <v/>
      </c>
      <c r="AT78" s="18">
        <f>$AM78+$AN78+$AO78+$AQ78+$AR78+$AS78+IF(igst_itc_available,0,$AP78)</f>
        <v/>
      </c>
      <c r="AU78" s="15">
        <f>(1-$AA78)*(1-$AB78)*$AC78</f>
        <v/>
      </c>
      <c r="AV78" s="18">
        <f>$N78*kg_per_mt+domestic_anchor_premium_inr_t</f>
        <v/>
      </c>
      <c r="AW78" s="18">
        <f>(1-$AA78)*$AD78*heavies_net_value_frac_of_lme_al*$F78*$H78</f>
        <v/>
      </c>
      <c r="AX78" s="18">
        <f>conversion_cost_inr_t*$AU78</f>
        <v/>
      </c>
      <c r="AY78" s="18">
        <f>$AV78*$AU78+$AW78-$AT78-$AX78</f>
        <v/>
      </c>
      <c r="AZ78" s="16">
        <f>$AY78/$H78</f>
        <v/>
      </c>
      <c r="BA78" s="8">
        <f>$AY78&gt;margin_threshold_inr_t</f>
        <v/>
      </c>
      <c r="BB78" s="8">
        <f>$Q78+$AE78</f>
        <v/>
      </c>
      <c r="BC78" s="18">
        <f>$AT78-$AQ78</f>
        <v/>
      </c>
      <c r="BD78" s="18">
        <f>$AY78-$BC78*($BB78/$P78-1)</f>
        <v/>
      </c>
      <c r="BE78" s="18">
        <f>$AY78-(conv_step_5a-conversion_cost_inr_t)*$AU78</f>
        <v/>
      </c>
      <c r="BF78" s="8">
        <f>$BA78</f>
        <v/>
      </c>
      <c r="BG78" s="8">
        <f>$BD78&gt;margin_threshold_inr_t</f>
        <v/>
      </c>
      <c r="BH78" s="8">
        <f>$BE78&gt;margin_threshold_inr_t</f>
        <v/>
      </c>
      <c r="BI78" s="8">
        <f>AND($BF78,$BG78,$BH78)</f>
        <v/>
      </c>
      <c r="BJ78" s="8">
        <f>IF($BI78,1,0)</f>
        <v/>
      </c>
    </row>
    <row r="79">
      <c r="A79" s="11" t="n">
        <v>44652</v>
      </c>
      <c r="B79" s="11" t="n">
        <v>44652</v>
      </c>
      <c r="C79" s="7" t="inlineStr">
        <is>
          <t>zorba</t>
        </is>
      </c>
      <c r="D79" s="7" t="inlineStr">
        <is>
          <t>USEC_MUN</t>
        </is>
      </c>
      <c r="E79" s="17" t="b">
        <v>1</v>
      </c>
      <c r="F79" s="16">
        <f>INDEX(Market_Weekly!$E$6:$E$48,MATCH($A79,Market_Weekly!$A$6:$A$48,0))</f>
        <v/>
      </c>
      <c r="G79" s="16">
        <f>INDEX(Market_Weekly!$D$6:$D$48,MATCH($A79,Market_Weekly!$A$6:$A$48,0))</f>
        <v/>
      </c>
      <c r="H79" s="16">
        <f>INDEX(Market_Weekly!$G$6:$G$48,MATCH($A79,Market_Weekly!$A$6:$A$48,0))</f>
        <v/>
      </c>
      <c r="I79" s="8">
        <f>INDEX(Market_Weekly!$H$6:$H$48,MATCH($A79,Market_Weekly!$A$6:$A$48,0))</f>
        <v/>
      </c>
      <c r="J79" s="8">
        <f>INDEX(Market_Weekly!$Q$6:$Q$48,MATCH($A79,Market_Weekly!$A$6:$A$48,0))</f>
        <v/>
      </c>
      <c r="K79" s="8">
        <f>INDEX(Market_Weekly!$V$6:$V$48,MATCH($A79,Market_Weekly!$A$6:$A$48,0))</f>
        <v/>
      </c>
      <c r="L79" s="16">
        <f>IF($D79="JEA_NSA",INDEX(Market_Weekly!$N$6:$N$48,MATCH($A79,Market_Weekly!$A$6:$A$48,0)),INDEX(Market_Weekly!$O$6:$O$48,MATCH($A79,Market_Weekly!$A$6:$A$48,0)))</f>
        <v/>
      </c>
      <c r="M79" s="8">
        <f>IF($D79="JEA_NSA","M1","M2")</f>
        <v/>
      </c>
      <c r="N79" s="16">
        <f>IF($D79="JEA_NSA",INDEX(Market_Weekly!$L$6:$L$48,MATCH($A79,Market_Weekly!$A$6:$A$48,0)),INDEX(Market_Weekly!$M$6:$M$48,MATCH($A79,Market_Weekly!$A$6:$A$48,0)))</f>
        <v/>
      </c>
      <c r="O79" s="15">
        <f>INDEX(Market_Weekly!$P$6:$P$48,MATCH($A79,Market_Weekly!$A$6:$A$48,0))</f>
        <v/>
      </c>
      <c r="P79" s="8">
        <f>INDEX(Market_Weekly!$R$6:$T$48,MATCH($A79,Market_Weekly!$A$6:$A$48,0),MATCH("grade_factor_"&amp;$C79,Market_Weekly!$R$5:$T$5,0))</f>
        <v/>
      </c>
      <c r="Q79" s="8">
        <f>INDEX(Market_Weekly!$U$6:$U$48,MATCH($A79,Market_Weekly!$A$6:$A$48,0))</f>
        <v/>
      </c>
      <c r="R79" s="8">
        <f>IF($D79="JEA_NSA","20ft","40ft")</f>
        <v/>
      </c>
      <c r="S79" s="8">
        <f>IF($D79="JEA_NSA","nsa","mun")</f>
        <v/>
      </c>
      <c r="T79" s="8">
        <f>IF($D79="JEA_NSA","jea_nsa","usec_mun")</f>
        <v/>
      </c>
      <c r="U79" s="16">
        <f>INDEX(param_values,MATCH("container_payload_mt_"&amp;$R79,param_keys,0))</f>
        <v/>
      </c>
      <c r="V79" s="16">
        <f>INDEX(param_values,MATCH("container_payload_mt_"&amp;$R79&amp;"_"&amp;$C79,param_keys,0))</f>
        <v/>
      </c>
      <c r="W79" s="16">
        <f>INDEX(param_values,MATCH("container_payload_mt_20ft_"&amp;$C79,param_keys,0))</f>
        <v/>
      </c>
      <c r="X79" s="18">
        <f>INDEX(param_values,MATCH("port_cf_charges_inr_t_"&amp;$S79,param_keys,0))</f>
        <v/>
      </c>
      <c r="Y79" s="8">
        <f>INDEX(param_values,MATCH(IF($D79="JEA_NSA","psic_required_uae_origin","psic_required_safe_origin_designated_port"),param_keys,0))</f>
        <v/>
      </c>
      <c r="Z79" s="19">
        <f>INDEX(param_values,MATCH("finance_days_"&amp;$T79,param_keys,0))</f>
        <v/>
      </c>
      <c r="AA79" s="15">
        <f>INDEX(param_values,MATCH("moisture_frac_"&amp;$C79,param_keys,0))</f>
        <v/>
      </c>
      <c r="AB79" s="15">
        <f>INDEX(param_values,MATCH("contamination_frac_"&amp;$C79,param_keys,0))</f>
        <v/>
      </c>
      <c r="AC79" s="15">
        <f>INDEX(param_values,MATCH("metal_yield_frac_"&amp;$C79,param_keys,0))</f>
        <v/>
      </c>
      <c r="AD79" s="15">
        <f>INDEX(param_values,MATCH("heavies_frac_"&amp;$C79,param_keys,0))</f>
        <v/>
      </c>
      <c r="AE79" s="8">
        <f>INDEX(param_values,MATCH("grade_factor_diff_"&amp;$C79,param_keys,0))</f>
        <v/>
      </c>
      <c r="AF79" s="16">
        <f>$F79*$P79</f>
        <v/>
      </c>
      <c r="AG79" s="8">
        <f>$U79/$V79</f>
        <v/>
      </c>
      <c r="AH79" s="16">
        <f>$L79*$AG79</f>
        <v/>
      </c>
      <c r="AI79" s="16">
        <f>$AF79-$AH79</f>
        <v/>
      </c>
      <c r="AJ79" s="16">
        <f>insurance_rate*insured_value_uplift*$AF79</f>
        <v/>
      </c>
      <c r="AK79" s="16">
        <f>$AF79+$AJ79</f>
        <v/>
      </c>
      <c r="AL79" s="18">
        <f>$AK79*$J79</f>
        <v/>
      </c>
      <c r="AM79" s="18">
        <f>$AK79*$I79</f>
        <v/>
      </c>
      <c r="AN79" s="18">
        <f>$AL79*bcd_scrap_hs7602</f>
        <v/>
      </c>
      <c r="AO79" s="18">
        <f>$AN79*sws_rate_on_bcd</f>
        <v/>
      </c>
      <c r="AP79" s="18">
        <f>($AL79+$AN79+$AO79)*igst_rate_hs7602</f>
        <v/>
      </c>
      <c r="AQ79" s="18">
        <f>$X79*$AG79+IF($Y79,psic_cost_usd_per_box*$H79/$W79,0)</f>
        <v/>
      </c>
      <c r="AR79" s="18">
        <f>($AM79+$AN79+$AO79)*$Z79/day_count_inr*$O79</f>
        <v/>
      </c>
      <c r="AS79" s="18">
        <f>$AP79*igst_credit_lag_days/day_count_inr*$O79</f>
        <v/>
      </c>
      <c r="AT79" s="18">
        <f>$AM79+$AN79+$AO79+$AQ79+$AR79+$AS79+IF(igst_itc_available,0,$AP79)</f>
        <v/>
      </c>
      <c r="AU79" s="15">
        <f>(1-$AA79)*(1-$AB79)*$AC79</f>
        <v/>
      </c>
      <c r="AV79" s="18">
        <f>$N79*kg_per_mt+domestic_anchor_premium_inr_t</f>
        <v/>
      </c>
      <c r="AW79" s="18">
        <f>(1-$AA79)*$AD79*heavies_net_value_frac_of_lme_al*$F79*$H79</f>
        <v/>
      </c>
      <c r="AX79" s="18">
        <f>conversion_cost_inr_t*$AU79</f>
        <v/>
      </c>
      <c r="AY79" s="18">
        <f>$AV79*$AU79+$AW79-$AT79-$AX79</f>
        <v/>
      </c>
      <c r="AZ79" s="16">
        <f>$AY79/$H79</f>
        <v/>
      </c>
      <c r="BA79" s="8">
        <f>$AY79&gt;margin_threshold_inr_t</f>
        <v/>
      </c>
      <c r="BB79" s="8">
        <f>$Q79+$AE79</f>
        <v/>
      </c>
      <c r="BC79" s="18">
        <f>$AT79-$AQ79</f>
        <v/>
      </c>
      <c r="BD79" s="18">
        <f>$AY79-$BC79*($BB79/$P79-1)</f>
        <v/>
      </c>
      <c r="BE79" s="18">
        <f>$AY79-(conv_step_5a-conversion_cost_inr_t)*$AU79</f>
        <v/>
      </c>
      <c r="BF79" s="8">
        <f>$BA79</f>
        <v/>
      </c>
      <c r="BG79" s="8">
        <f>$BD79&gt;margin_threshold_inr_t</f>
        <v/>
      </c>
      <c r="BH79" s="8">
        <f>$BE79&gt;margin_threshold_inr_t</f>
        <v/>
      </c>
      <c r="BI79" s="8">
        <f>AND($BF79,$BG79,$BH79)</f>
        <v/>
      </c>
      <c r="BJ79" s="8">
        <f>IF($BI79,1,0)</f>
        <v/>
      </c>
    </row>
    <row r="80">
      <c r="A80" s="11" t="n">
        <v>44652</v>
      </c>
      <c r="B80" s="11" t="n">
        <v>44652</v>
      </c>
      <c r="C80" s="7" t="inlineStr">
        <is>
          <t>taint_tabor</t>
        </is>
      </c>
      <c r="D80" s="7" t="inlineStr">
        <is>
          <t>JEA_NSA</t>
        </is>
      </c>
      <c r="E80" s="17" t="b">
        <v>1</v>
      </c>
      <c r="F80" s="16">
        <f>INDEX(Market_Weekly!$E$6:$E$48,MATCH($A80,Market_Weekly!$A$6:$A$48,0))</f>
        <v/>
      </c>
      <c r="G80" s="16">
        <f>INDEX(Market_Weekly!$D$6:$D$48,MATCH($A80,Market_Weekly!$A$6:$A$48,0))</f>
        <v/>
      </c>
      <c r="H80" s="16">
        <f>INDEX(Market_Weekly!$G$6:$G$48,MATCH($A80,Market_Weekly!$A$6:$A$48,0))</f>
        <v/>
      </c>
      <c r="I80" s="8">
        <f>INDEX(Market_Weekly!$H$6:$H$48,MATCH($A80,Market_Weekly!$A$6:$A$48,0))</f>
        <v/>
      </c>
      <c r="J80" s="8">
        <f>INDEX(Market_Weekly!$Q$6:$Q$48,MATCH($A80,Market_Weekly!$A$6:$A$48,0))</f>
        <v/>
      </c>
      <c r="K80" s="8">
        <f>INDEX(Market_Weekly!$V$6:$V$48,MATCH($A80,Market_Weekly!$A$6:$A$48,0))</f>
        <v/>
      </c>
      <c r="L80" s="16">
        <f>IF($D80="JEA_NSA",INDEX(Market_Weekly!$N$6:$N$48,MATCH($A80,Market_Weekly!$A$6:$A$48,0)),INDEX(Market_Weekly!$O$6:$O$48,MATCH($A80,Market_Weekly!$A$6:$A$48,0)))</f>
        <v/>
      </c>
      <c r="M80" s="8">
        <f>IF($D80="JEA_NSA","M1","M2")</f>
        <v/>
      </c>
      <c r="N80" s="16">
        <f>IF($D80="JEA_NSA",INDEX(Market_Weekly!$L$6:$L$48,MATCH($A80,Market_Weekly!$A$6:$A$48,0)),INDEX(Market_Weekly!$M$6:$M$48,MATCH($A80,Market_Weekly!$A$6:$A$48,0)))</f>
        <v/>
      </c>
      <c r="O80" s="15">
        <f>INDEX(Market_Weekly!$P$6:$P$48,MATCH($A80,Market_Weekly!$A$6:$A$48,0))</f>
        <v/>
      </c>
      <c r="P80" s="8">
        <f>INDEX(Market_Weekly!$R$6:$T$48,MATCH($A80,Market_Weekly!$A$6:$A$48,0),MATCH("grade_factor_"&amp;$C80,Market_Weekly!$R$5:$T$5,0))</f>
        <v/>
      </c>
      <c r="Q80" s="8">
        <f>INDEX(Market_Weekly!$U$6:$U$48,MATCH($A80,Market_Weekly!$A$6:$A$48,0))</f>
        <v/>
      </c>
      <c r="R80" s="8">
        <f>IF($D80="JEA_NSA","20ft","40ft")</f>
        <v/>
      </c>
      <c r="S80" s="8">
        <f>IF($D80="JEA_NSA","nsa","mun")</f>
        <v/>
      </c>
      <c r="T80" s="8">
        <f>IF($D80="JEA_NSA","jea_nsa","usec_mun")</f>
        <v/>
      </c>
      <c r="U80" s="16">
        <f>INDEX(param_values,MATCH("container_payload_mt_"&amp;$R80,param_keys,0))</f>
        <v/>
      </c>
      <c r="V80" s="16">
        <f>INDEX(param_values,MATCH("container_payload_mt_"&amp;$R80&amp;"_"&amp;$C80,param_keys,0))</f>
        <v/>
      </c>
      <c r="W80" s="16">
        <f>INDEX(param_values,MATCH("container_payload_mt_20ft_"&amp;$C80,param_keys,0))</f>
        <v/>
      </c>
      <c r="X80" s="18">
        <f>INDEX(param_values,MATCH("port_cf_charges_inr_t_"&amp;$S80,param_keys,0))</f>
        <v/>
      </c>
      <c r="Y80" s="8">
        <f>INDEX(param_values,MATCH(IF($D80="JEA_NSA","psic_required_uae_origin","psic_required_safe_origin_designated_port"),param_keys,0))</f>
        <v/>
      </c>
      <c r="Z80" s="19">
        <f>INDEX(param_values,MATCH("finance_days_"&amp;$T80,param_keys,0))</f>
        <v/>
      </c>
      <c r="AA80" s="15">
        <f>INDEX(param_values,MATCH("moisture_frac_"&amp;$C80,param_keys,0))</f>
        <v/>
      </c>
      <c r="AB80" s="15">
        <f>INDEX(param_values,MATCH("contamination_frac_"&amp;$C80,param_keys,0))</f>
        <v/>
      </c>
      <c r="AC80" s="15">
        <f>INDEX(param_values,MATCH("metal_yield_frac_"&amp;$C80,param_keys,0))</f>
        <v/>
      </c>
      <c r="AD80" s="15">
        <f>INDEX(param_values,MATCH("heavies_frac_"&amp;$C80,param_keys,0))</f>
        <v/>
      </c>
      <c r="AE80" s="8">
        <f>INDEX(param_values,MATCH("grade_factor_diff_"&amp;$C80,param_keys,0))</f>
        <v/>
      </c>
      <c r="AF80" s="16">
        <f>$F80*$P80</f>
        <v/>
      </c>
      <c r="AG80" s="8">
        <f>$U80/$V80</f>
        <v/>
      </c>
      <c r="AH80" s="16">
        <f>$L80*$AG80</f>
        <v/>
      </c>
      <c r="AI80" s="16">
        <f>$AF80-$AH80</f>
        <v/>
      </c>
      <c r="AJ80" s="16">
        <f>insurance_rate*insured_value_uplift*$AF80</f>
        <v/>
      </c>
      <c r="AK80" s="16">
        <f>$AF80+$AJ80</f>
        <v/>
      </c>
      <c r="AL80" s="18">
        <f>$AK80*$J80</f>
        <v/>
      </c>
      <c r="AM80" s="18">
        <f>$AK80*$I80</f>
        <v/>
      </c>
      <c r="AN80" s="18">
        <f>$AL80*bcd_scrap_hs7602</f>
        <v/>
      </c>
      <c r="AO80" s="18">
        <f>$AN80*sws_rate_on_bcd</f>
        <v/>
      </c>
      <c r="AP80" s="18">
        <f>($AL80+$AN80+$AO80)*igst_rate_hs7602</f>
        <v/>
      </c>
      <c r="AQ80" s="18">
        <f>$X80*$AG80+IF($Y80,psic_cost_usd_per_box*$H80/$W80,0)</f>
        <v/>
      </c>
      <c r="AR80" s="18">
        <f>($AM80+$AN80+$AO80)*$Z80/day_count_inr*$O80</f>
        <v/>
      </c>
      <c r="AS80" s="18">
        <f>$AP80*igst_credit_lag_days/day_count_inr*$O80</f>
        <v/>
      </c>
      <c r="AT80" s="18">
        <f>$AM80+$AN80+$AO80+$AQ80+$AR80+$AS80+IF(igst_itc_available,0,$AP80)</f>
        <v/>
      </c>
      <c r="AU80" s="15">
        <f>(1-$AA80)*(1-$AB80)*$AC80</f>
        <v/>
      </c>
      <c r="AV80" s="18">
        <f>$N80*kg_per_mt+domestic_anchor_premium_inr_t</f>
        <v/>
      </c>
      <c r="AW80" s="18">
        <f>(1-$AA80)*$AD80*heavies_net_value_frac_of_lme_al*$F80*$H80</f>
        <v/>
      </c>
      <c r="AX80" s="18">
        <f>conversion_cost_inr_t*$AU80</f>
        <v/>
      </c>
      <c r="AY80" s="18">
        <f>$AV80*$AU80+$AW80-$AT80-$AX80</f>
        <v/>
      </c>
      <c r="AZ80" s="16">
        <f>$AY80/$H80</f>
        <v/>
      </c>
      <c r="BA80" s="8">
        <f>$AY80&gt;margin_threshold_inr_t</f>
        <v/>
      </c>
      <c r="BB80" s="8">
        <f>$Q80+$AE80</f>
        <v/>
      </c>
      <c r="BC80" s="18">
        <f>$AT80-$AQ80</f>
        <v/>
      </c>
      <c r="BD80" s="18">
        <f>$AY80-$BC80*($BB80/$P80-1)</f>
        <v/>
      </c>
      <c r="BE80" s="18">
        <f>$AY80-(conv_step_5a-conversion_cost_inr_t)*$AU80</f>
        <v/>
      </c>
      <c r="BF80" s="8">
        <f>$BA80</f>
        <v/>
      </c>
      <c r="BG80" s="8">
        <f>$BD80&gt;margin_threshold_inr_t</f>
        <v/>
      </c>
      <c r="BH80" s="8">
        <f>$BE80&gt;margin_threshold_inr_t</f>
        <v/>
      </c>
      <c r="BI80" s="8">
        <f>AND($BF80,$BG80,$BH80)</f>
        <v/>
      </c>
      <c r="BJ80" s="8">
        <f>IF($BI80,1,0)</f>
        <v/>
      </c>
    </row>
    <row r="81">
      <c r="A81" s="11" t="n">
        <v>44652</v>
      </c>
      <c r="B81" s="11" t="n">
        <v>44652</v>
      </c>
      <c r="C81" s="7" t="inlineStr">
        <is>
          <t>taint_tabor</t>
        </is>
      </c>
      <c r="D81" s="7" t="inlineStr">
        <is>
          <t>USEC_MUN</t>
        </is>
      </c>
      <c r="E81" s="17" t="b">
        <v>1</v>
      </c>
      <c r="F81" s="16">
        <f>INDEX(Market_Weekly!$E$6:$E$48,MATCH($A81,Market_Weekly!$A$6:$A$48,0))</f>
        <v/>
      </c>
      <c r="G81" s="16">
        <f>INDEX(Market_Weekly!$D$6:$D$48,MATCH($A81,Market_Weekly!$A$6:$A$48,0))</f>
        <v/>
      </c>
      <c r="H81" s="16">
        <f>INDEX(Market_Weekly!$G$6:$G$48,MATCH($A81,Market_Weekly!$A$6:$A$48,0))</f>
        <v/>
      </c>
      <c r="I81" s="8">
        <f>INDEX(Market_Weekly!$H$6:$H$48,MATCH($A81,Market_Weekly!$A$6:$A$48,0))</f>
        <v/>
      </c>
      <c r="J81" s="8">
        <f>INDEX(Market_Weekly!$Q$6:$Q$48,MATCH($A81,Market_Weekly!$A$6:$A$48,0))</f>
        <v/>
      </c>
      <c r="K81" s="8">
        <f>INDEX(Market_Weekly!$V$6:$V$48,MATCH($A81,Market_Weekly!$A$6:$A$48,0))</f>
        <v/>
      </c>
      <c r="L81" s="16">
        <f>IF($D81="JEA_NSA",INDEX(Market_Weekly!$N$6:$N$48,MATCH($A81,Market_Weekly!$A$6:$A$48,0)),INDEX(Market_Weekly!$O$6:$O$48,MATCH($A81,Market_Weekly!$A$6:$A$48,0)))</f>
        <v/>
      </c>
      <c r="M81" s="8">
        <f>IF($D81="JEA_NSA","M1","M2")</f>
        <v/>
      </c>
      <c r="N81" s="16">
        <f>IF($D81="JEA_NSA",INDEX(Market_Weekly!$L$6:$L$48,MATCH($A81,Market_Weekly!$A$6:$A$48,0)),INDEX(Market_Weekly!$M$6:$M$48,MATCH($A81,Market_Weekly!$A$6:$A$48,0)))</f>
        <v/>
      </c>
      <c r="O81" s="15">
        <f>INDEX(Market_Weekly!$P$6:$P$48,MATCH($A81,Market_Weekly!$A$6:$A$48,0))</f>
        <v/>
      </c>
      <c r="P81" s="8">
        <f>INDEX(Market_Weekly!$R$6:$T$48,MATCH($A81,Market_Weekly!$A$6:$A$48,0),MATCH("grade_factor_"&amp;$C81,Market_Weekly!$R$5:$T$5,0))</f>
        <v/>
      </c>
      <c r="Q81" s="8">
        <f>INDEX(Market_Weekly!$U$6:$U$48,MATCH($A81,Market_Weekly!$A$6:$A$48,0))</f>
        <v/>
      </c>
      <c r="R81" s="8">
        <f>IF($D81="JEA_NSA","20ft","40ft")</f>
        <v/>
      </c>
      <c r="S81" s="8">
        <f>IF($D81="JEA_NSA","nsa","mun")</f>
        <v/>
      </c>
      <c r="T81" s="8">
        <f>IF($D81="JEA_NSA","jea_nsa","usec_mun")</f>
        <v/>
      </c>
      <c r="U81" s="16">
        <f>INDEX(param_values,MATCH("container_payload_mt_"&amp;$R81,param_keys,0))</f>
        <v/>
      </c>
      <c r="V81" s="16">
        <f>INDEX(param_values,MATCH("container_payload_mt_"&amp;$R81&amp;"_"&amp;$C81,param_keys,0))</f>
        <v/>
      </c>
      <c r="W81" s="16">
        <f>INDEX(param_values,MATCH("container_payload_mt_20ft_"&amp;$C81,param_keys,0))</f>
        <v/>
      </c>
      <c r="X81" s="18">
        <f>INDEX(param_values,MATCH("port_cf_charges_inr_t_"&amp;$S81,param_keys,0))</f>
        <v/>
      </c>
      <c r="Y81" s="8">
        <f>INDEX(param_values,MATCH(IF($D81="JEA_NSA","psic_required_uae_origin","psic_required_safe_origin_designated_port"),param_keys,0))</f>
        <v/>
      </c>
      <c r="Z81" s="19">
        <f>INDEX(param_values,MATCH("finance_days_"&amp;$T81,param_keys,0))</f>
        <v/>
      </c>
      <c r="AA81" s="15">
        <f>INDEX(param_values,MATCH("moisture_frac_"&amp;$C81,param_keys,0))</f>
        <v/>
      </c>
      <c r="AB81" s="15">
        <f>INDEX(param_values,MATCH("contamination_frac_"&amp;$C81,param_keys,0))</f>
        <v/>
      </c>
      <c r="AC81" s="15">
        <f>INDEX(param_values,MATCH("metal_yield_frac_"&amp;$C81,param_keys,0))</f>
        <v/>
      </c>
      <c r="AD81" s="15">
        <f>INDEX(param_values,MATCH("heavies_frac_"&amp;$C81,param_keys,0))</f>
        <v/>
      </c>
      <c r="AE81" s="8">
        <f>INDEX(param_values,MATCH("grade_factor_diff_"&amp;$C81,param_keys,0))</f>
        <v/>
      </c>
      <c r="AF81" s="16">
        <f>$F81*$P81</f>
        <v/>
      </c>
      <c r="AG81" s="8">
        <f>$U81/$V81</f>
        <v/>
      </c>
      <c r="AH81" s="16">
        <f>$L81*$AG81</f>
        <v/>
      </c>
      <c r="AI81" s="16">
        <f>$AF81-$AH81</f>
        <v/>
      </c>
      <c r="AJ81" s="16">
        <f>insurance_rate*insured_value_uplift*$AF81</f>
        <v/>
      </c>
      <c r="AK81" s="16">
        <f>$AF81+$AJ81</f>
        <v/>
      </c>
      <c r="AL81" s="18">
        <f>$AK81*$J81</f>
        <v/>
      </c>
      <c r="AM81" s="18">
        <f>$AK81*$I81</f>
        <v/>
      </c>
      <c r="AN81" s="18">
        <f>$AL81*bcd_scrap_hs7602</f>
        <v/>
      </c>
      <c r="AO81" s="18">
        <f>$AN81*sws_rate_on_bcd</f>
        <v/>
      </c>
      <c r="AP81" s="18">
        <f>($AL81+$AN81+$AO81)*igst_rate_hs7602</f>
        <v/>
      </c>
      <c r="AQ81" s="18">
        <f>$X81*$AG81+IF($Y81,psic_cost_usd_per_box*$H81/$W81,0)</f>
        <v/>
      </c>
      <c r="AR81" s="18">
        <f>($AM81+$AN81+$AO81)*$Z81/day_count_inr*$O81</f>
        <v/>
      </c>
      <c r="AS81" s="18">
        <f>$AP81*igst_credit_lag_days/day_count_inr*$O81</f>
        <v/>
      </c>
      <c r="AT81" s="18">
        <f>$AM81+$AN81+$AO81+$AQ81+$AR81+$AS81+IF(igst_itc_available,0,$AP81)</f>
        <v/>
      </c>
      <c r="AU81" s="15">
        <f>(1-$AA81)*(1-$AB81)*$AC81</f>
        <v/>
      </c>
      <c r="AV81" s="18">
        <f>$N81*kg_per_mt+domestic_anchor_premium_inr_t</f>
        <v/>
      </c>
      <c r="AW81" s="18">
        <f>(1-$AA81)*$AD81*heavies_net_value_frac_of_lme_al*$F81*$H81</f>
        <v/>
      </c>
      <c r="AX81" s="18">
        <f>conversion_cost_inr_t*$AU81</f>
        <v/>
      </c>
      <c r="AY81" s="18">
        <f>$AV81*$AU81+$AW81-$AT81-$AX81</f>
        <v/>
      </c>
      <c r="AZ81" s="16">
        <f>$AY81/$H81</f>
        <v/>
      </c>
      <c r="BA81" s="8">
        <f>$AY81&gt;margin_threshold_inr_t</f>
        <v/>
      </c>
      <c r="BB81" s="8">
        <f>$Q81+$AE81</f>
        <v/>
      </c>
      <c r="BC81" s="18">
        <f>$AT81-$AQ81</f>
        <v/>
      </c>
      <c r="BD81" s="18">
        <f>$AY81-$BC81*($BB81/$P81-1)</f>
        <v/>
      </c>
      <c r="BE81" s="18">
        <f>$AY81-(conv_step_5a-conversion_cost_inr_t)*$AU81</f>
        <v/>
      </c>
      <c r="BF81" s="8">
        <f>$BA81</f>
        <v/>
      </c>
      <c r="BG81" s="8">
        <f>$BD81&gt;margin_threshold_inr_t</f>
        <v/>
      </c>
      <c r="BH81" s="8">
        <f>$BE81&gt;margin_threshold_inr_t</f>
        <v/>
      </c>
      <c r="BI81" s="8">
        <f>AND($BF81,$BG81,$BH81)</f>
        <v/>
      </c>
      <c r="BJ81" s="8">
        <f>IF($BI81,1,0)</f>
        <v/>
      </c>
    </row>
    <row r="82">
      <c r="A82" s="11" t="n">
        <v>44652</v>
      </c>
      <c r="B82" s="11" t="n">
        <v>44652</v>
      </c>
      <c r="C82" s="7" t="inlineStr">
        <is>
          <t>tense</t>
        </is>
      </c>
      <c r="D82" s="7" t="inlineStr">
        <is>
          <t>JEA_NSA</t>
        </is>
      </c>
      <c r="E82" s="17" t="b">
        <v>1</v>
      </c>
      <c r="F82" s="16">
        <f>INDEX(Market_Weekly!$E$6:$E$48,MATCH($A82,Market_Weekly!$A$6:$A$48,0))</f>
        <v/>
      </c>
      <c r="G82" s="16">
        <f>INDEX(Market_Weekly!$D$6:$D$48,MATCH($A82,Market_Weekly!$A$6:$A$48,0))</f>
        <v/>
      </c>
      <c r="H82" s="16">
        <f>INDEX(Market_Weekly!$G$6:$G$48,MATCH($A82,Market_Weekly!$A$6:$A$48,0))</f>
        <v/>
      </c>
      <c r="I82" s="8">
        <f>INDEX(Market_Weekly!$H$6:$H$48,MATCH($A82,Market_Weekly!$A$6:$A$48,0))</f>
        <v/>
      </c>
      <c r="J82" s="8">
        <f>INDEX(Market_Weekly!$Q$6:$Q$48,MATCH($A82,Market_Weekly!$A$6:$A$48,0))</f>
        <v/>
      </c>
      <c r="K82" s="8">
        <f>INDEX(Market_Weekly!$V$6:$V$48,MATCH($A82,Market_Weekly!$A$6:$A$48,0))</f>
        <v/>
      </c>
      <c r="L82" s="16">
        <f>IF($D82="JEA_NSA",INDEX(Market_Weekly!$N$6:$N$48,MATCH($A82,Market_Weekly!$A$6:$A$48,0)),INDEX(Market_Weekly!$O$6:$O$48,MATCH($A82,Market_Weekly!$A$6:$A$48,0)))</f>
        <v/>
      </c>
      <c r="M82" s="8">
        <f>IF($D82="JEA_NSA","M1","M2")</f>
        <v/>
      </c>
      <c r="N82" s="16">
        <f>IF($D82="JEA_NSA",INDEX(Market_Weekly!$L$6:$L$48,MATCH($A82,Market_Weekly!$A$6:$A$48,0)),INDEX(Market_Weekly!$M$6:$M$48,MATCH($A82,Market_Weekly!$A$6:$A$48,0)))</f>
        <v/>
      </c>
      <c r="O82" s="15">
        <f>INDEX(Market_Weekly!$P$6:$P$48,MATCH($A82,Market_Weekly!$A$6:$A$48,0))</f>
        <v/>
      </c>
      <c r="P82" s="8">
        <f>INDEX(Market_Weekly!$R$6:$T$48,MATCH($A82,Market_Weekly!$A$6:$A$48,0),MATCH("grade_factor_"&amp;$C82,Market_Weekly!$R$5:$T$5,0))</f>
        <v/>
      </c>
      <c r="Q82" s="8">
        <f>INDEX(Market_Weekly!$U$6:$U$48,MATCH($A82,Market_Weekly!$A$6:$A$48,0))</f>
        <v/>
      </c>
      <c r="R82" s="8">
        <f>IF($D82="JEA_NSA","20ft","40ft")</f>
        <v/>
      </c>
      <c r="S82" s="8">
        <f>IF($D82="JEA_NSA","nsa","mun")</f>
        <v/>
      </c>
      <c r="T82" s="8">
        <f>IF($D82="JEA_NSA","jea_nsa","usec_mun")</f>
        <v/>
      </c>
      <c r="U82" s="16">
        <f>INDEX(param_values,MATCH("container_payload_mt_"&amp;$R82,param_keys,0))</f>
        <v/>
      </c>
      <c r="V82" s="16">
        <f>INDEX(param_values,MATCH("container_payload_mt_"&amp;$R82&amp;"_"&amp;$C82,param_keys,0))</f>
        <v/>
      </c>
      <c r="W82" s="16">
        <f>INDEX(param_values,MATCH("container_payload_mt_20ft_"&amp;$C82,param_keys,0))</f>
        <v/>
      </c>
      <c r="X82" s="18">
        <f>INDEX(param_values,MATCH("port_cf_charges_inr_t_"&amp;$S82,param_keys,0))</f>
        <v/>
      </c>
      <c r="Y82" s="8">
        <f>INDEX(param_values,MATCH(IF($D82="JEA_NSA","psic_required_uae_origin","psic_required_safe_origin_designated_port"),param_keys,0))</f>
        <v/>
      </c>
      <c r="Z82" s="19">
        <f>INDEX(param_values,MATCH("finance_days_"&amp;$T82,param_keys,0))</f>
        <v/>
      </c>
      <c r="AA82" s="15">
        <f>INDEX(param_values,MATCH("moisture_frac_"&amp;$C82,param_keys,0))</f>
        <v/>
      </c>
      <c r="AB82" s="15">
        <f>INDEX(param_values,MATCH("contamination_frac_"&amp;$C82,param_keys,0))</f>
        <v/>
      </c>
      <c r="AC82" s="15">
        <f>INDEX(param_values,MATCH("metal_yield_frac_"&amp;$C82,param_keys,0))</f>
        <v/>
      </c>
      <c r="AD82" s="15">
        <f>INDEX(param_values,MATCH("heavies_frac_"&amp;$C82,param_keys,0))</f>
        <v/>
      </c>
      <c r="AE82" s="8">
        <f>INDEX(param_values,MATCH("grade_factor_diff_"&amp;$C82,param_keys,0))</f>
        <v/>
      </c>
      <c r="AF82" s="16">
        <f>$F82*$P82</f>
        <v/>
      </c>
      <c r="AG82" s="8">
        <f>$U82/$V82</f>
        <v/>
      </c>
      <c r="AH82" s="16">
        <f>$L82*$AG82</f>
        <v/>
      </c>
      <c r="AI82" s="16">
        <f>$AF82-$AH82</f>
        <v/>
      </c>
      <c r="AJ82" s="16">
        <f>insurance_rate*insured_value_uplift*$AF82</f>
        <v/>
      </c>
      <c r="AK82" s="16">
        <f>$AF82+$AJ82</f>
        <v/>
      </c>
      <c r="AL82" s="18">
        <f>$AK82*$J82</f>
        <v/>
      </c>
      <c r="AM82" s="18">
        <f>$AK82*$I82</f>
        <v/>
      </c>
      <c r="AN82" s="18">
        <f>$AL82*bcd_scrap_hs7602</f>
        <v/>
      </c>
      <c r="AO82" s="18">
        <f>$AN82*sws_rate_on_bcd</f>
        <v/>
      </c>
      <c r="AP82" s="18">
        <f>($AL82+$AN82+$AO82)*igst_rate_hs7602</f>
        <v/>
      </c>
      <c r="AQ82" s="18">
        <f>$X82*$AG82+IF($Y82,psic_cost_usd_per_box*$H82/$W82,0)</f>
        <v/>
      </c>
      <c r="AR82" s="18">
        <f>($AM82+$AN82+$AO82)*$Z82/day_count_inr*$O82</f>
        <v/>
      </c>
      <c r="AS82" s="18">
        <f>$AP82*igst_credit_lag_days/day_count_inr*$O82</f>
        <v/>
      </c>
      <c r="AT82" s="18">
        <f>$AM82+$AN82+$AO82+$AQ82+$AR82+$AS82+IF(igst_itc_available,0,$AP82)</f>
        <v/>
      </c>
      <c r="AU82" s="15">
        <f>(1-$AA82)*(1-$AB82)*$AC82</f>
        <v/>
      </c>
      <c r="AV82" s="18">
        <f>$N82*kg_per_mt+domestic_anchor_premium_inr_t</f>
        <v/>
      </c>
      <c r="AW82" s="18">
        <f>(1-$AA82)*$AD82*heavies_net_value_frac_of_lme_al*$F82*$H82</f>
        <v/>
      </c>
      <c r="AX82" s="18">
        <f>conversion_cost_inr_t*$AU82</f>
        <v/>
      </c>
      <c r="AY82" s="18">
        <f>$AV82*$AU82+$AW82-$AT82-$AX82</f>
        <v/>
      </c>
      <c r="AZ82" s="16">
        <f>$AY82/$H82</f>
        <v/>
      </c>
      <c r="BA82" s="8">
        <f>$AY82&gt;margin_threshold_inr_t</f>
        <v/>
      </c>
      <c r="BB82" s="8">
        <f>$Q82+$AE82</f>
        <v/>
      </c>
      <c r="BC82" s="18">
        <f>$AT82-$AQ82</f>
        <v/>
      </c>
      <c r="BD82" s="18">
        <f>$AY82-$BC82*($BB82/$P82-1)</f>
        <v/>
      </c>
      <c r="BE82" s="18">
        <f>$AY82-(conv_step_5a-conversion_cost_inr_t)*$AU82</f>
        <v/>
      </c>
      <c r="BF82" s="8">
        <f>$BA82</f>
        <v/>
      </c>
      <c r="BG82" s="8">
        <f>$BD82&gt;margin_threshold_inr_t</f>
        <v/>
      </c>
      <c r="BH82" s="8">
        <f>$BE82&gt;margin_threshold_inr_t</f>
        <v/>
      </c>
      <c r="BI82" s="8">
        <f>AND($BF82,$BG82,$BH82)</f>
        <v/>
      </c>
      <c r="BJ82" s="8">
        <f>IF($BI82,1,0)</f>
        <v/>
      </c>
    </row>
    <row r="83">
      <c r="A83" s="11" t="n">
        <v>44652</v>
      </c>
      <c r="B83" s="11" t="n">
        <v>44652</v>
      </c>
      <c r="C83" s="7" t="inlineStr">
        <is>
          <t>tense</t>
        </is>
      </c>
      <c r="D83" s="7" t="inlineStr">
        <is>
          <t>USEC_MUN</t>
        </is>
      </c>
      <c r="E83" s="17" t="b">
        <v>1</v>
      </c>
      <c r="F83" s="16">
        <f>INDEX(Market_Weekly!$E$6:$E$48,MATCH($A83,Market_Weekly!$A$6:$A$48,0))</f>
        <v/>
      </c>
      <c r="G83" s="16">
        <f>INDEX(Market_Weekly!$D$6:$D$48,MATCH($A83,Market_Weekly!$A$6:$A$48,0))</f>
        <v/>
      </c>
      <c r="H83" s="16">
        <f>INDEX(Market_Weekly!$G$6:$G$48,MATCH($A83,Market_Weekly!$A$6:$A$48,0))</f>
        <v/>
      </c>
      <c r="I83" s="8">
        <f>INDEX(Market_Weekly!$H$6:$H$48,MATCH($A83,Market_Weekly!$A$6:$A$48,0))</f>
        <v/>
      </c>
      <c r="J83" s="8">
        <f>INDEX(Market_Weekly!$Q$6:$Q$48,MATCH($A83,Market_Weekly!$A$6:$A$48,0))</f>
        <v/>
      </c>
      <c r="K83" s="8">
        <f>INDEX(Market_Weekly!$V$6:$V$48,MATCH($A83,Market_Weekly!$A$6:$A$48,0))</f>
        <v/>
      </c>
      <c r="L83" s="16">
        <f>IF($D83="JEA_NSA",INDEX(Market_Weekly!$N$6:$N$48,MATCH($A83,Market_Weekly!$A$6:$A$48,0)),INDEX(Market_Weekly!$O$6:$O$48,MATCH($A83,Market_Weekly!$A$6:$A$48,0)))</f>
        <v/>
      </c>
      <c r="M83" s="8">
        <f>IF($D83="JEA_NSA","M1","M2")</f>
        <v/>
      </c>
      <c r="N83" s="16">
        <f>IF($D83="JEA_NSA",INDEX(Market_Weekly!$L$6:$L$48,MATCH($A83,Market_Weekly!$A$6:$A$48,0)),INDEX(Market_Weekly!$M$6:$M$48,MATCH($A83,Market_Weekly!$A$6:$A$48,0)))</f>
        <v/>
      </c>
      <c r="O83" s="15">
        <f>INDEX(Market_Weekly!$P$6:$P$48,MATCH($A83,Market_Weekly!$A$6:$A$48,0))</f>
        <v/>
      </c>
      <c r="P83" s="8">
        <f>INDEX(Market_Weekly!$R$6:$T$48,MATCH($A83,Market_Weekly!$A$6:$A$48,0),MATCH("grade_factor_"&amp;$C83,Market_Weekly!$R$5:$T$5,0))</f>
        <v/>
      </c>
      <c r="Q83" s="8">
        <f>INDEX(Market_Weekly!$U$6:$U$48,MATCH($A83,Market_Weekly!$A$6:$A$48,0))</f>
        <v/>
      </c>
      <c r="R83" s="8">
        <f>IF($D83="JEA_NSA","20ft","40ft")</f>
        <v/>
      </c>
      <c r="S83" s="8">
        <f>IF($D83="JEA_NSA","nsa","mun")</f>
        <v/>
      </c>
      <c r="T83" s="8">
        <f>IF($D83="JEA_NSA","jea_nsa","usec_mun")</f>
        <v/>
      </c>
      <c r="U83" s="16">
        <f>INDEX(param_values,MATCH("container_payload_mt_"&amp;$R83,param_keys,0))</f>
        <v/>
      </c>
      <c r="V83" s="16">
        <f>INDEX(param_values,MATCH("container_payload_mt_"&amp;$R83&amp;"_"&amp;$C83,param_keys,0))</f>
        <v/>
      </c>
      <c r="W83" s="16">
        <f>INDEX(param_values,MATCH("container_payload_mt_20ft_"&amp;$C83,param_keys,0))</f>
        <v/>
      </c>
      <c r="X83" s="18">
        <f>INDEX(param_values,MATCH("port_cf_charges_inr_t_"&amp;$S83,param_keys,0))</f>
        <v/>
      </c>
      <c r="Y83" s="8">
        <f>INDEX(param_values,MATCH(IF($D83="JEA_NSA","psic_required_uae_origin","psic_required_safe_origin_designated_port"),param_keys,0))</f>
        <v/>
      </c>
      <c r="Z83" s="19">
        <f>INDEX(param_values,MATCH("finance_days_"&amp;$T83,param_keys,0))</f>
        <v/>
      </c>
      <c r="AA83" s="15">
        <f>INDEX(param_values,MATCH("moisture_frac_"&amp;$C83,param_keys,0))</f>
        <v/>
      </c>
      <c r="AB83" s="15">
        <f>INDEX(param_values,MATCH("contamination_frac_"&amp;$C83,param_keys,0))</f>
        <v/>
      </c>
      <c r="AC83" s="15">
        <f>INDEX(param_values,MATCH("metal_yield_frac_"&amp;$C83,param_keys,0))</f>
        <v/>
      </c>
      <c r="AD83" s="15">
        <f>INDEX(param_values,MATCH("heavies_frac_"&amp;$C83,param_keys,0))</f>
        <v/>
      </c>
      <c r="AE83" s="8">
        <f>INDEX(param_values,MATCH("grade_factor_diff_"&amp;$C83,param_keys,0))</f>
        <v/>
      </c>
      <c r="AF83" s="16">
        <f>$F83*$P83</f>
        <v/>
      </c>
      <c r="AG83" s="8">
        <f>$U83/$V83</f>
        <v/>
      </c>
      <c r="AH83" s="16">
        <f>$L83*$AG83</f>
        <v/>
      </c>
      <c r="AI83" s="16">
        <f>$AF83-$AH83</f>
        <v/>
      </c>
      <c r="AJ83" s="16">
        <f>insurance_rate*insured_value_uplift*$AF83</f>
        <v/>
      </c>
      <c r="AK83" s="16">
        <f>$AF83+$AJ83</f>
        <v/>
      </c>
      <c r="AL83" s="18">
        <f>$AK83*$J83</f>
        <v/>
      </c>
      <c r="AM83" s="18">
        <f>$AK83*$I83</f>
        <v/>
      </c>
      <c r="AN83" s="18">
        <f>$AL83*bcd_scrap_hs7602</f>
        <v/>
      </c>
      <c r="AO83" s="18">
        <f>$AN83*sws_rate_on_bcd</f>
        <v/>
      </c>
      <c r="AP83" s="18">
        <f>($AL83+$AN83+$AO83)*igst_rate_hs7602</f>
        <v/>
      </c>
      <c r="AQ83" s="18">
        <f>$X83*$AG83+IF($Y83,psic_cost_usd_per_box*$H83/$W83,0)</f>
        <v/>
      </c>
      <c r="AR83" s="18">
        <f>($AM83+$AN83+$AO83)*$Z83/day_count_inr*$O83</f>
        <v/>
      </c>
      <c r="AS83" s="18">
        <f>$AP83*igst_credit_lag_days/day_count_inr*$O83</f>
        <v/>
      </c>
      <c r="AT83" s="18">
        <f>$AM83+$AN83+$AO83+$AQ83+$AR83+$AS83+IF(igst_itc_available,0,$AP83)</f>
        <v/>
      </c>
      <c r="AU83" s="15">
        <f>(1-$AA83)*(1-$AB83)*$AC83</f>
        <v/>
      </c>
      <c r="AV83" s="18">
        <f>$N83*kg_per_mt+domestic_anchor_premium_inr_t</f>
        <v/>
      </c>
      <c r="AW83" s="18">
        <f>(1-$AA83)*$AD83*heavies_net_value_frac_of_lme_al*$F83*$H83</f>
        <v/>
      </c>
      <c r="AX83" s="18">
        <f>conversion_cost_inr_t*$AU83</f>
        <v/>
      </c>
      <c r="AY83" s="18">
        <f>$AV83*$AU83+$AW83-$AT83-$AX83</f>
        <v/>
      </c>
      <c r="AZ83" s="16">
        <f>$AY83/$H83</f>
        <v/>
      </c>
      <c r="BA83" s="8">
        <f>$AY83&gt;margin_threshold_inr_t</f>
        <v/>
      </c>
      <c r="BB83" s="8">
        <f>$Q83+$AE83</f>
        <v/>
      </c>
      <c r="BC83" s="18">
        <f>$AT83-$AQ83</f>
        <v/>
      </c>
      <c r="BD83" s="18">
        <f>$AY83-$BC83*($BB83/$P83-1)</f>
        <v/>
      </c>
      <c r="BE83" s="18">
        <f>$AY83-(conv_step_5a-conversion_cost_inr_t)*$AU83</f>
        <v/>
      </c>
      <c r="BF83" s="8">
        <f>$BA83</f>
        <v/>
      </c>
      <c r="BG83" s="8">
        <f>$BD83&gt;margin_threshold_inr_t</f>
        <v/>
      </c>
      <c r="BH83" s="8">
        <f>$BE83&gt;margin_threshold_inr_t</f>
        <v/>
      </c>
      <c r="BI83" s="8">
        <f>AND($BF83,$BG83,$BH83)</f>
        <v/>
      </c>
      <c r="BJ83" s="8">
        <f>IF($BI83,1,0)</f>
        <v/>
      </c>
    </row>
    <row r="84">
      <c r="A84" s="11" t="n">
        <v>44659</v>
      </c>
      <c r="B84" s="11" t="n">
        <v>44659</v>
      </c>
      <c r="C84" s="7" t="inlineStr">
        <is>
          <t>zorba</t>
        </is>
      </c>
      <c r="D84" s="7" t="inlineStr">
        <is>
          <t>JEA_NSA</t>
        </is>
      </c>
      <c r="E84" s="17" t="b">
        <v>1</v>
      </c>
      <c r="F84" s="16">
        <f>INDEX(Market_Weekly!$E$6:$E$48,MATCH($A84,Market_Weekly!$A$6:$A$48,0))</f>
        <v/>
      </c>
      <c r="G84" s="16">
        <f>INDEX(Market_Weekly!$D$6:$D$48,MATCH($A84,Market_Weekly!$A$6:$A$48,0))</f>
        <v/>
      </c>
      <c r="H84" s="16">
        <f>INDEX(Market_Weekly!$G$6:$G$48,MATCH($A84,Market_Weekly!$A$6:$A$48,0))</f>
        <v/>
      </c>
      <c r="I84" s="8">
        <f>INDEX(Market_Weekly!$H$6:$H$48,MATCH($A84,Market_Weekly!$A$6:$A$48,0))</f>
        <v/>
      </c>
      <c r="J84" s="8">
        <f>INDEX(Market_Weekly!$Q$6:$Q$48,MATCH($A84,Market_Weekly!$A$6:$A$48,0))</f>
        <v/>
      </c>
      <c r="K84" s="8">
        <f>INDEX(Market_Weekly!$V$6:$V$48,MATCH($A84,Market_Weekly!$A$6:$A$48,0))</f>
        <v/>
      </c>
      <c r="L84" s="16">
        <f>IF($D84="JEA_NSA",INDEX(Market_Weekly!$N$6:$N$48,MATCH($A84,Market_Weekly!$A$6:$A$48,0)),INDEX(Market_Weekly!$O$6:$O$48,MATCH($A84,Market_Weekly!$A$6:$A$48,0)))</f>
        <v/>
      </c>
      <c r="M84" s="8">
        <f>IF($D84="JEA_NSA","M1","M2")</f>
        <v/>
      </c>
      <c r="N84" s="16">
        <f>IF($D84="JEA_NSA",INDEX(Market_Weekly!$L$6:$L$48,MATCH($A84,Market_Weekly!$A$6:$A$48,0)),INDEX(Market_Weekly!$M$6:$M$48,MATCH($A84,Market_Weekly!$A$6:$A$48,0)))</f>
        <v/>
      </c>
      <c r="O84" s="15">
        <f>INDEX(Market_Weekly!$P$6:$P$48,MATCH($A84,Market_Weekly!$A$6:$A$48,0))</f>
        <v/>
      </c>
      <c r="P84" s="8">
        <f>INDEX(Market_Weekly!$R$6:$T$48,MATCH($A84,Market_Weekly!$A$6:$A$48,0),MATCH("grade_factor_"&amp;$C84,Market_Weekly!$R$5:$T$5,0))</f>
        <v/>
      </c>
      <c r="Q84" s="8">
        <f>INDEX(Market_Weekly!$U$6:$U$48,MATCH($A84,Market_Weekly!$A$6:$A$48,0))</f>
        <v/>
      </c>
      <c r="R84" s="8">
        <f>IF($D84="JEA_NSA","20ft","40ft")</f>
        <v/>
      </c>
      <c r="S84" s="8">
        <f>IF($D84="JEA_NSA","nsa","mun")</f>
        <v/>
      </c>
      <c r="T84" s="8">
        <f>IF($D84="JEA_NSA","jea_nsa","usec_mun")</f>
        <v/>
      </c>
      <c r="U84" s="16">
        <f>INDEX(param_values,MATCH("container_payload_mt_"&amp;$R84,param_keys,0))</f>
        <v/>
      </c>
      <c r="V84" s="16">
        <f>INDEX(param_values,MATCH("container_payload_mt_"&amp;$R84&amp;"_"&amp;$C84,param_keys,0))</f>
        <v/>
      </c>
      <c r="W84" s="16">
        <f>INDEX(param_values,MATCH("container_payload_mt_20ft_"&amp;$C84,param_keys,0))</f>
        <v/>
      </c>
      <c r="X84" s="18">
        <f>INDEX(param_values,MATCH("port_cf_charges_inr_t_"&amp;$S84,param_keys,0))</f>
        <v/>
      </c>
      <c r="Y84" s="8">
        <f>INDEX(param_values,MATCH(IF($D84="JEA_NSA","psic_required_uae_origin","psic_required_safe_origin_designated_port"),param_keys,0))</f>
        <v/>
      </c>
      <c r="Z84" s="19">
        <f>INDEX(param_values,MATCH("finance_days_"&amp;$T84,param_keys,0))</f>
        <v/>
      </c>
      <c r="AA84" s="15">
        <f>INDEX(param_values,MATCH("moisture_frac_"&amp;$C84,param_keys,0))</f>
        <v/>
      </c>
      <c r="AB84" s="15">
        <f>INDEX(param_values,MATCH("contamination_frac_"&amp;$C84,param_keys,0))</f>
        <v/>
      </c>
      <c r="AC84" s="15">
        <f>INDEX(param_values,MATCH("metal_yield_frac_"&amp;$C84,param_keys,0))</f>
        <v/>
      </c>
      <c r="AD84" s="15">
        <f>INDEX(param_values,MATCH("heavies_frac_"&amp;$C84,param_keys,0))</f>
        <v/>
      </c>
      <c r="AE84" s="8">
        <f>INDEX(param_values,MATCH("grade_factor_diff_"&amp;$C84,param_keys,0))</f>
        <v/>
      </c>
      <c r="AF84" s="16">
        <f>$F84*$P84</f>
        <v/>
      </c>
      <c r="AG84" s="8">
        <f>$U84/$V84</f>
        <v/>
      </c>
      <c r="AH84" s="16">
        <f>$L84*$AG84</f>
        <v/>
      </c>
      <c r="AI84" s="16">
        <f>$AF84-$AH84</f>
        <v/>
      </c>
      <c r="AJ84" s="16">
        <f>insurance_rate*insured_value_uplift*$AF84</f>
        <v/>
      </c>
      <c r="AK84" s="16">
        <f>$AF84+$AJ84</f>
        <v/>
      </c>
      <c r="AL84" s="18">
        <f>$AK84*$J84</f>
        <v/>
      </c>
      <c r="AM84" s="18">
        <f>$AK84*$I84</f>
        <v/>
      </c>
      <c r="AN84" s="18">
        <f>$AL84*bcd_scrap_hs7602</f>
        <v/>
      </c>
      <c r="AO84" s="18">
        <f>$AN84*sws_rate_on_bcd</f>
        <v/>
      </c>
      <c r="AP84" s="18">
        <f>($AL84+$AN84+$AO84)*igst_rate_hs7602</f>
        <v/>
      </c>
      <c r="AQ84" s="18">
        <f>$X84*$AG84+IF($Y84,psic_cost_usd_per_box*$H84/$W84,0)</f>
        <v/>
      </c>
      <c r="AR84" s="18">
        <f>($AM84+$AN84+$AO84)*$Z84/day_count_inr*$O84</f>
        <v/>
      </c>
      <c r="AS84" s="18">
        <f>$AP84*igst_credit_lag_days/day_count_inr*$O84</f>
        <v/>
      </c>
      <c r="AT84" s="18">
        <f>$AM84+$AN84+$AO84+$AQ84+$AR84+$AS84+IF(igst_itc_available,0,$AP84)</f>
        <v/>
      </c>
      <c r="AU84" s="15">
        <f>(1-$AA84)*(1-$AB84)*$AC84</f>
        <v/>
      </c>
      <c r="AV84" s="18">
        <f>$N84*kg_per_mt+domestic_anchor_premium_inr_t</f>
        <v/>
      </c>
      <c r="AW84" s="18">
        <f>(1-$AA84)*$AD84*heavies_net_value_frac_of_lme_al*$F84*$H84</f>
        <v/>
      </c>
      <c r="AX84" s="18">
        <f>conversion_cost_inr_t*$AU84</f>
        <v/>
      </c>
      <c r="AY84" s="18">
        <f>$AV84*$AU84+$AW84-$AT84-$AX84</f>
        <v/>
      </c>
      <c r="AZ84" s="16">
        <f>$AY84/$H84</f>
        <v/>
      </c>
      <c r="BA84" s="8">
        <f>$AY84&gt;margin_threshold_inr_t</f>
        <v/>
      </c>
      <c r="BB84" s="8">
        <f>$Q84+$AE84</f>
        <v/>
      </c>
      <c r="BC84" s="18">
        <f>$AT84-$AQ84</f>
        <v/>
      </c>
      <c r="BD84" s="18">
        <f>$AY84-$BC84*($BB84/$P84-1)</f>
        <v/>
      </c>
      <c r="BE84" s="18">
        <f>$AY84-(conv_step_5a-conversion_cost_inr_t)*$AU84</f>
        <v/>
      </c>
      <c r="BF84" s="8">
        <f>$BA84</f>
        <v/>
      </c>
      <c r="BG84" s="8">
        <f>$BD84&gt;margin_threshold_inr_t</f>
        <v/>
      </c>
      <c r="BH84" s="8">
        <f>$BE84&gt;margin_threshold_inr_t</f>
        <v/>
      </c>
      <c r="BI84" s="8">
        <f>AND($BF84,$BG84,$BH84)</f>
        <v/>
      </c>
      <c r="BJ84" s="8">
        <f>IF($BI84,1,0)</f>
        <v/>
      </c>
    </row>
    <row r="85">
      <c r="A85" s="11" t="n">
        <v>44659</v>
      </c>
      <c r="B85" s="11" t="n">
        <v>44659</v>
      </c>
      <c r="C85" s="7" t="inlineStr">
        <is>
          <t>zorba</t>
        </is>
      </c>
      <c r="D85" s="7" t="inlineStr">
        <is>
          <t>USEC_MUN</t>
        </is>
      </c>
      <c r="E85" s="17" t="b">
        <v>1</v>
      </c>
      <c r="F85" s="16">
        <f>INDEX(Market_Weekly!$E$6:$E$48,MATCH($A85,Market_Weekly!$A$6:$A$48,0))</f>
        <v/>
      </c>
      <c r="G85" s="16">
        <f>INDEX(Market_Weekly!$D$6:$D$48,MATCH($A85,Market_Weekly!$A$6:$A$48,0))</f>
        <v/>
      </c>
      <c r="H85" s="16">
        <f>INDEX(Market_Weekly!$G$6:$G$48,MATCH($A85,Market_Weekly!$A$6:$A$48,0))</f>
        <v/>
      </c>
      <c r="I85" s="8">
        <f>INDEX(Market_Weekly!$H$6:$H$48,MATCH($A85,Market_Weekly!$A$6:$A$48,0))</f>
        <v/>
      </c>
      <c r="J85" s="8">
        <f>INDEX(Market_Weekly!$Q$6:$Q$48,MATCH($A85,Market_Weekly!$A$6:$A$48,0))</f>
        <v/>
      </c>
      <c r="K85" s="8">
        <f>INDEX(Market_Weekly!$V$6:$V$48,MATCH($A85,Market_Weekly!$A$6:$A$48,0))</f>
        <v/>
      </c>
      <c r="L85" s="16">
        <f>IF($D85="JEA_NSA",INDEX(Market_Weekly!$N$6:$N$48,MATCH($A85,Market_Weekly!$A$6:$A$48,0)),INDEX(Market_Weekly!$O$6:$O$48,MATCH($A85,Market_Weekly!$A$6:$A$48,0)))</f>
        <v/>
      </c>
      <c r="M85" s="8">
        <f>IF($D85="JEA_NSA","M1","M2")</f>
        <v/>
      </c>
      <c r="N85" s="16">
        <f>IF($D85="JEA_NSA",INDEX(Market_Weekly!$L$6:$L$48,MATCH($A85,Market_Weekly!$A$6:$A$48,0)),INDEX(Market_Weekly!$M$6:$M$48,MATCH($A85,Market_Weekly!$A$6:$A$48,0)))</f>
        <v/>
      </c>
      <c r="O85" s="15">
        <f>INDEX(Market_Weekly!$P$6:$P$48,MATCH($A85,Market_Weekly!$A$6:$A$48,0))</f>
        <v/>
      </c>
      <c r="P85" s="8">
        <f>INDEX(Market_Weekly!$R$6:$T$48,MATCH($A85,Market_Weekly!$A$6:$A$48,0),MATCH("grade_factor_"&amp;$C85,Market_Weekly!$R$5:$T$5,0))</f>
        <v/>
      </c>
      <c r="Q85" s="8">
        <f>INDEX(Market_Weekly!$U$6:$U$48,MATCH($A85,Market_Weekly!$A$6:$A$48,0))</f>
        <v/>
      </c>
      <c r="R85" s="8">
        <f>IF($D85="JEA_NSA","20ft","40ft")</f>
        <v/>
      </c>
      <c r="S85" s="8">
        <f>IF($D85="JEA_NSA","nsa","mun")</f>
        <v/>
      </c>
      <c r="T85" s="8">
        <f>IF($D85="JEA_NSA","jea_nsa","usec_mun")</f>
        <v/>
      </c>
      <c r="U85" s="16">
        <f>INDEX(param_values,MATCH("container_payload_mt_"&amp;$R85,param_keys,0))</f>
        <v/>
      </c>
      <c r="V85" s="16">
        <f>INDEX(param_values,MATCH("container_payload_mt_"&amp;$R85&amp;"_"&amp;$C85,param_keys,0))</f>
        <v/>
      </c>
      <c r="W85" s="16">
        <f>INDEX(param_values,MATCH("container_payload_mt_20ft_"&amp;$C85,param_keys,0))</f>
        <v/>
      </c>
      <c r="X85" s="18">
        <f>INDEX(param_values,MATCH("port_cf_charges_inr_t_"&amp;$S85,param_keys,0))</f>
        <v/>
      </c>
      <c r="Y85" s="8">
        <f>INDEX(param_values,MATCH(IF($D85="JEA_NSA","psic_required_uae_origin","psic_required_safe_origin_designated_port"),param_keys,0))</f>
        <v/>
      </c>
      <c r="Z85" s="19">
        <f>INDEX(param_values,MATCH("finance_days_"&amp;$T85,param_keys,0))</f>
        <v/>
      </c>
      <c r="AA85" s="15">
        <f>INDEX(param_values,MATCH("moisture_frac_"&amp;$C85,param_keys,0))</f>
        <v/>
      </c>
      <c r="AB85" s="15">
        <f>INDEX(param_values,MATCH("contamination_frac_"&amp;$C85,param_keys,0))</f>
        <v/>
      </c>
      <c r="AC85" s="15">
        <f>INDEX(param_values,MATCH("metal_yield_frac_"&amp;$C85,param_keys,0))</f>
        <v/>
      </c>
      <c r="AD85" s="15">
        <f>INDEX(param_values,MATCH("heavies_frac_"&amp;$C85,param_keys,0))</f>
        <v/>
      </c>
      <c r="AE85" s="8">
        <f>INDEX(param_values,MATCH("grade_factor_diff_"&amp;$C85,param_keys,0))</f>
        <v/>
      </c>
      <c r="AF85" s="16">
        <f>$F85*$P85</f>
        <v/>
      </c>
      <c r="AG85" s="8">
        <f>$U85/$V85</f>
        <v/>
      </c>
      <c r="AH85" s="16">
        <f>$L85*$AG85</f>
        <v/>
      </c>
      <c r="AI85" s="16">
        <f>$AF85-$AH85</f>
        <v/>
      </c>
      <c r="AJ85" s="16">
        <f>insurance_rate*insured_value_uplift*$AF85</f>
        <v/>
      </c>
      <c r="AK85" s="16">
        <f>$AF85+$AJ85</f>
        <v/>
      </c>
      <c r="AL85" s="18">
        <f>$AK85*$J85</f>
        <v/>
      </c>
      <c r="AM85" s="18">
        <f>$AK85*$I85</f>
        <v/>
      </c>
      <c r="AN85" s="18">
        <f>$AL85*bcd_scrap_hs7602</f>
        <v/>
      </c>
      <c r="AO85" s="18">
        <f>$AN85*sws_rate_on_bcd</f>
        <v/>
      </c>
      <c r="AP85" s="18">
        <f>($AL85+$AN85+$AO85)*igst_rate_hs7602</f>
        <v/>
      </c>
      <c r="AQ85" s="18">
        <f>$X85*$AG85+IF($Y85,psic_cost_usd_per_box*$H85/$W85,0)</f>
        <v/>
      </c>
      <c r="AR85" s="18">
        <f>($AM85+$AN85+$AO85)*$Z85/day_count_inr*$O85</f>
        <v/>
      </c>
      <c r="AS85" s="18">
        <f>$AP85*igst_credit_lag_days/day_count_inr*$O85</f>
        <v/>
      </c>
      <c r="AT85" s="18">
        <f>$AM85+$AN85+$AO85+$AQ85+$AR85+$AS85+IF(igst_itc_available,0,$AP85)</f>
        <v/>
      </c>
      <c r="AU85" s="15">
        <f>(1-$AA85)*(1-$AB85)*$AC85</f>
        <v/>
      </c>
      <c r="AV85" s="18">
        <f>$N85*kg_per_mt+domestic_anchor_premium_inr_t</f>
        <v/>
      </c>
      <c r="AW85" s="18">
        <f>(1-$AA85)*$AD85*heavies_net_value_frac_of_lme_al*$F85*$H85</f>
        <v/>
      </c>
      <c r="AX85" s="18">
        <f>conversion_cost_inr_t*$AU85</f>
        <v/>
      </c>
      <c r="AY85" s="18">
        <f>$AV85*$AU85+$AW85-$AT85-$AX85</f>
        <v/>
      </c>
      <c r="AZ85" s="16">
        <f>$AY85/$H85</f>
        <v/>
      </c>
      <c r="BA85" s="8">
        <f>$AY85&gt;margin_threshold_inr_t</f>
        <v/>
      </c>
      <c r="BB85" s="8">
        <f>$Q85+$AE85</f>
        <v/>
      </c>
      <c r="BC85" s="18">
        <f>$AT85-$AQ85</f>
        <v/>
      </c>
      <c r="BD85" s="18">
        <f>$AY85-$BC85*($BB85/$P85-1)</f>
        <v/>
      </c>
      <c r="BE85" s="18">
        <f>$AY85-(conv_step_5a-conversion_cost_inr_t)*$AU85</f>
        <v/>
      </c>
      <c r="BF85" s="8">
        <f>$BA85</f>
        <v/>
      </c>
      <c r="BG85" s="8">
        <f>$BD85&gt;margin_threshold_inr_t</f>
        <v/>
      </c>
      <c r="BH85" s="8">
        <f>$BE85&gt;margin_threshold_inr_t</f>
        <v/>
      </c>
      <c r="BI85" s="8">
        <f>AND($BF85,$BG85,$BH85)</f>
        <v/>
      </c>
      <c r="BJ85" s="8">
        <f>IF($BI85,1,0)</f>
        <v/>
      </c>
    </row>
    <row r="86">
      <c r="A86" s="11" t="n">
        <v>44659</v>
      </c>
      <c r="B86" s="11" t="n">
        <v>44659</v>
      </c>
      <c r="C86" s="7" t="inlineStr">
        <is>
          <t>taint_tabor</t>
        </is>
      </c>
      <c r="D86" s="7" t="inlineStr">
        <is>
          <t>JEA_NSA</t>
        </is>
      </c>
      <c r="E86" s="17" t="b">
        <v>1</v>
      </c>
      <c r="F86" s="16">
        <f>INDEX(Market_Weekly!$E$6:$E$48,MATCH($A86,Market_Weekly!$A$6:$A$48,0))</f>
        <v/>
      </c>
      <c r="G86" s="16">
        <f>INDEX(Market_Weekly!$D$6:$D$48,MATCH($A86,Market_Weekly!$A$6:$A$48,0))</f>
        <v/>
      </c>
      <c r="H86" s="16">
        <f>INDEX(Market_Weekly!$G$6:$G$48,MATCH($A86,Market_Weekly!$A$6:$A$48,0))</f>
        <v/>
      </c>
      <c r="I86" s="8">
        <f>INDEX(Market_Weekly!$H$6:$H$48,MATCH($A86,Market_Weekly!$A$6:$A$48,0))</f>
        <v/>
      </c>
      <c r="J86" s="8">
        <f>INDEX(Market_Weekly!$Q$6:$Q$48,MATCH($A86,Market_Weekly!$A$6:$A$48,0))</f>
        <v/>
      </c>
      <c r="K86" s="8">
        <f>INDEX(Market_Weekly!$V$6:$V$48,MATCH($A86,Market_Weekly!$A$6:$A$48,0))</f>
        <v/>
      </c>
      <c r="L86" s="16">
        <f>IF($D86="JEA_NSA",INDEX(Market_Weekly!$N$6:$N$48,MATCH($A86,Market_Weekly!$A$6:$A$48,0)),INDEX(Market_Weekly!$O$6:$O$48,MATCH($A86,Market_Weekly!$A$6:$A$48,0)))</f>
        <v/>
      </c>
      <c r="M86" s="8">
        <f>IF($D86="JEA_NSA","M1","M2")</f>
        <v/>
      </c>
      <c r="N86" s="16">
        <f>IF($D86="JEA_NSA",INDEX(Market_Weekly!$L$6:$L$48,MATCH($A86,Market_Weekly!$A$6:$A$48,0)),INDEX(Market_Weekly!$M$6:$M$48,MATCH($A86,Market_Weekly!$A$6:$A$48,0)))</f>
        <v/>
      </c>
      <c r="O86" s="15">
        <f>INDEX(Market_Weekly!$P$6:$P$48,MATCH($A86,Market_Weekly!$A$6:$A$48,0))</f>
        <v/>
      </c>
      <c r="P86" s="8">
        <f>INDEX(Market_Weekly!$R$6:$T$48,MATCH($A86,Market_Weekly!$A$6:$A$48,0),MATCH("grade_factor_"&amp;$C86,Market_Weekly!$R$5:$T$5,0))</f>
        <v/>
      </c>
      <c r="Q86" s="8">
        <f>INDEX(Market_Weekly!$U$6:$U$48,MATCH($A86,Market_Weekly!$A$6:$A$48,0))</f>
        <v/>
      </c>
      <c r="R86" s="8">
        <f>IF($D86="JEA_NSA","20ft","40ft")</f>
        <v/>
      </c>
      <c r="S86" s="8">
        <f>IF($D86="JEA_NSA","nsa","mun")</f>
        <v/>
      </c>
      <c r="T86" s="8">
        <f>IF($D86="JEA_NSA","jea_nsa","usec_mun")</f>
        <v/>
      </c>
      <c r="U86" s="16">
        <f>INDEX(param_values,MATCH("container_payload_mt_"&amp;$R86,param_keys,0))</f>
        <v/>
      </c>
      <c r="V86" s="16">
        <f>INDEX(param_values,MATCH("container_payload_mt_"&amp;$R86&amp;"_"&amp;$C86,param_keys,0))</f>
        <v/>
      </c>
      <c r="W86" s="16">
        <f>INDEX(param_values,MATCH("container_payload_mt_20ft_"&amp;$C86,param_keys,0))</f>
        <v/>
      </c>
      <c r="X86" s="18">
        <f>INDEX(param_values,MATCH("port_cf_charges_inr_t_"&amp;$S86,param_keys,0))</f>
        <v/>
      </c>
      <c r="Y86" s="8">
        <f>INDEX(param_values,MATCH(IF($D86="JEA_NSA","psic_required_uae_origin","psic_required_safe_origin_designated_port"),param_keys,0))</f>
        <v/>
      </c>
      <c r="Z86" s="19">
        <f>INDEX(param_values,MATCH("finance_days_"&amp;$T86,param_keys,0))</f>
        <v/>
      </c>
      <c r="AA86" s="15">
        <f>INDEX(param_values,MATCH("moisture_frac_"&amp;$C86,param_keys,0))</f>
        <v/>
      </c>
      <c r="AB86" s="15">
        <f>INDEX(param_values,MATCH("contamination_frac_"&amp;$C86,param_keys,0))</f>
        <v/>
      </c>
      <c r="AC86" s="15">
        <f>INDEX(param_values,MATCH("metal_yield_frac_"&amp;$C86,param_keys,0))</f>
        <v/>
      </c>
      <c r="AD86" s="15">
        <f>INDEX(param_values,MATCH("heavies_frac_"&amp;$C86,param_keys,0))</f>
        <v/>
      </c>
      <c r="AE86" s="8">
        <f>INDEX(param_values,MATCH("grade_factor_diff_"&amp;$C86,param_keys,0))</f>
        <v/>
      </c>
      <c r="AF86" s="16">
        <f>$F86*$P86</f>
        <v/>
      </c>
      <c r="AG86" s="8">
        <f>$U86/$V86</f>
        <v/>
      </c>
      <c r="AH86" s="16">
        <f>$L86*$AG86</f>
        <v/>
      </c>
      <c r="AI86" s="16">
        <f>$AF86-$AH86</f>
        <v/>
      </c>
      <c r="AJ86" s="16">
        <f>insurance_rate*insured_value_uplift*$AF86</f>
        <v/>
      </c>
      <c r="AK86" s="16">
        <f>$AF86+$AJ86</f>
        <v/>
      </c>
      <c r="AL86" s="18">
        <f>$AK86*$J86</f>
        <v/>
      </c>
      <c r="AM86" s="18">
        <f>$AK86*$I86</f>
        <v/>
      </c>
      <c r="AN86" s="18">
        <f>$AL86*bcd_scrap_hs7602</f>
        <v/>
      </c>
      <c r="AO86" s="18">
        <f>$AN86*sws_rate_on_bcd</f>
        <v/>
      </c>
      <c r="AP86" s="18">
        <f>($AL86+$AN86+$AO86)*igst_rate_hs7602</f>
        <v/>
      </c>
      <c r="AQ86" s="18">
        <f>$X86*$AG86+IF($Y86,psic_cost_usd_per_box*$H86/$W86,0)</f>
        <v/>
      </c>
      <c r="AR86" s="18">
        <f>($AM86+$AN86+$AO86)*$Z86/day_count_inr*$O86</f>
        <v/>
      </c>
      <c r="AS86" s="18">
        <f>$AP86*igst_credit_lag_days/day_count_inr*$O86</f>
        <v/>
      </c>
      <c r="AT86" s="18">
        <f>$AM86+$AN86+$AO86+$AQ86+$AR86+$AS86+IF(igst_itc_available,0,$AP86)</f>
        <v/>
      </c>
      <c r="AU86" s="15">
        <f>(1-$AA86)*(1-$AB86)*$AC86</f>
        <v/>
      </c>
      <c r="AV86" s="18">
        <f>$N86*kg_per_mt+domestic_anchor_premium_inr_t</f>
        <v/>
      </c>
      <c r="AW86" s="18">
        <f>(1-$AA86)*$AD86*heavies_net_value_frac_of_lme_al*$F86*$H86</f>
        <v/>
      </c>
      <c r="AX86" s="18">
        <f>conversion_cost_inr_t*$AU86</f>
        <v/>
      </c>
      <c r="AY86" s="18">
        <f>$AV86*$AU86+$AW86-$AT86-$AX86</f>
        <v/>
      </c>
      <c r="AZ86" s="16">
        <f>$AY86/$H86</f>
        <v/>
      </c>
      <c r="BA86" s="8">
        <f>$AY86&gt;margin_threshold_inr_t</f>
        <v/>
      </c>
      <c r="BB86" s="8">
        <f>$Q86+$AE86</f>
        <v/>
      </c>
      <c r="BC86" s="18">
        <f>$AT86-$AQ86</f>
        <v/>
      </c>
      <c r="BD86" s="18">
        <f>$AY86-$BC86*($BB86/$P86-1)</f>
        <v/>
      </c>
      <c r="BE86" s="18">
        <f>$AY86-(conv_step_5a-conversion_cost_inr_t)*$AU86</f>
        <v/>
      </c>
      <c r="BF86" s="8">
        <f>$BA86</f>
        <v/>
      </c>
      <c r="BG86" s="8">
        <f>$BD86&gt;margin_threshold_inr_t</f>
        <v/>
      </c>
      <c r="BH86" s="8">
        <f>$BE86&gt;margin_threshold_inr_t</f>
        <v/>
      </c>
      <c r="BI86" s="8">
        <f>AND($BF86,$BG86,$BH86)</f>
        <v/>
      </c>
      <c r="BJ86" s="8">
        <f>IF($BI86,1,0)</f>
        <v/>
      </c>
    </row>
    <row r="87">
      <c r="A87" s="11" t="n">
        <v>44659</v>
      </c>
      <c r="B87" s="11" t="n">
        <v>44659</v>
      </c>
      <c r="C87" s="7" t="inlineStr">
        <is>
          <t>taint_tabor</t>
        </is>
      </c>
      <c r="D87" s="7" t="inlineStr">
        <is>
          <t>USEC_MUN</t>
        </is>
      </c>
      <c r="E87" s="17" t="b">
        <v>1</v>
      </c>
      <c r="F87" s="16">
        <f>INDEX(Market_Weekly!$E$6:$E$48,MATCH($A87,Market_Weekly!$A$6:$A$48,0))</f>
        <v/>
      </c>
      <c r="G87" s="16">
        <f>INDEX(Market_Weekly!$D$6:$D$48,MATCH($A87,Market_Weekly!$A$6:$A$48,0))</f>
        <v/>
      </c>
      <c r="H87" s="16">
        <f>INDEX(Market_Weekly!$G$6:$G$48,MATCH($A87,Market_Weekly!$A$6:$A$48,0))</f>
        <v/>
      </c>
      <c r="I87" s="8">
        <f>INDEX(Market_Weekly!$H$6:$H$48,MATCH($A87,Market_Weekly!$A$6:$A$48,0))</f>
        <v/>
      </c>
      <c r="J87" s="8">
        <f>INDEX(Market_Weekly!$Q$6:$Q$48,MATCH($A87,Market_Weekly!$A$6:$A$48,0))</f>
        <v/>
      </c>
      <c r="K87" s="8">
        <f>INDEX(Market_Weekly!$V$6:$V$48,MATCH($A87,Market_Weekly!$A$6:$A$48,0))</f>
        <v/>
      </c>
      <c r="L87" s="16">
        <f>IF($D87="JEA_NSA",INDEX(Market_Weekly!$N$6:$N$48,MATCH($A87,Market_Weekly!$A$6:$A$48,0)),INDEX(Market_Weekly!$O$6:$O$48,MATCH($A87,Market_Weekly!$A$6:$A$48,0)))</f>
        <v/>
      </c>
      <c r="M87" s="8">
        <f>IF($D87="JEA_NSA","M1","M2")</f>
        <v/>
      </c>
      <c r="N87" s="16">
        <f>IF($D87="JEA_NSA",INDEX(Market_Weekly!$L$6:$L$48,MATCH($A87,Market_Weekly!$A$6:$A$48,0)),INDEX(Market_Weekly!$M$6:$M$48,MATCH($A87,Market_Weekly!$A$6:$A$48,0)))</f>
        <v/>
      </c>
      <c r="O87" s="15">
        <f>INDEX(Market_Weekly!$P$6:$P$48,MATCH($A87,Market_Weekly!$A$6:$A$48,0))</f>
        <v/>
      </c>
      <c r="P87" s="8">
        <f>INDEX(Market_Weekly!$R$6:$T$48,MATCH($A87,Market_Weekly!$A$6:$A$48,0),MATCH("grade_factor_"&amp;$C87,Market_Weekly!$R$5:$T$5,0))</f>
        <v/>
      </c>
      <c r="Q87" s="8">
        <f>INDEX(Market_Weekly!$U$6:$U$48,MATCH($A87,Market_Weekly!$A$6:$A$48,0))</f>
        <v/>
      </c>
      <c r="R87" s="8">
        <f>IF($D87="JEA_NSA","20ft","40ft")</f>
        <v/>
      </c>
      <c r="S87" s="8">
        <f>IF($D87="JEA_NSA","nsa","mun")</f>
        <v/>
      </c>
      <c r="T87" s="8">
        <f>IF($D87="JEA_NSA","jea_nsa","usec_mun")</f>
        <v/>
      </c>
      <c r="U87" s="16">
        <f>INDEX(param_values,MATCH("container_payload_mt_"&amp;$R87,param_keys,0))</f>
        <v/>
      </c>
      <c r="V87" s="16">
        <f>INDEX(param_values,MATCH("container_payload_mt_"&amp;$R87&amp;"_"&amp;$C87,param_keys,0))</f>
        <v/>
      </c>
      <c r="W87" s="16">
        <f>INDEX(param_values,MATCH("container_payload_mt_20ft_"&amp;$C87,param_keys,0))</f>
        <v/>
      </c>
      <c r="X87" s="18">
        <f>INDEX(param_values,MATCH("port_cf_charges_inr_t_"&amp;$S87,param_keys,0))</f>
        <v/>
      </c>
      <c r="Y87" s="8">
        <f>INDEX(param_values,MATCH(IF($D87="JEA_NSA","psic_required_uae_origin","psic_required_safe_origin_designated_port"),param_keys,0))</f>
        <v/>
      </c>
      <c r="Z87" s="19">
        <f>INDEX(param_values,MATCH("finance_days_"&amp;$T87,param_keys,0))</f>
        <v/>
      </c>
      <c r="AA87" s="15">
        <f>INDEX(param_values,MATCH("moisture_frac_"&amp;$C87,param_keys,0))</f>
        <v/>
      </c>
      <c r="AB87" s="15">
        <f>INDEX(param_values,MATCH("contamination_frac_"&amp;$C87,param_keys,0))</f>
        <v/>
      </c>
      <c r="AC87" s="15">
        <f>INDEX(param_values,MATCH("metal_yield_frac_"&amp;$C87,param_keys,0))</f>
        <v/>
      </c>
      <c r="AD87" s="15">
        <f>INDEX(param_values,MATCH("heavies_frac_"&amp;$C87,param_keys,0))</f>
        <v/>
      </c>
      <c r="AE87" s="8">
        <f>INDEX(param_values,MATCH("grade_factor_diff_"&amp;$C87,param_keys,0))</f>
        <v/>
      </c>
      <c r="AF87" s="16">
        <f>$F87*$P87</f>
        <v/>
      </c>
      <c r="AG87" s="8">
        <f>$U87/$V87</f>
        <v/>
      </c>
      <c r="AH87" s="16">
        <f>$L87*$AG87</f>
        <v/>
      </c>
      <c r="AI87" s="16">
        <f>$AF87-$AH87</f>
        <v/>
      </c>
      <c r="AJ87" s="16">
        <f>insurance_rate*insured_value_uplift*$AF87</f>
        <v/>
      </c>
      <c r="AK87" s="16">
        <f>$AF87+$AJ87</f>
        <v/>
      </c>
      <c r="AL87" s="18">
        <f>$AK87*$J87</f>
        <v/>
      </c>
      <c r="AM87" s="18">
        <f>$AK87*$I87</f>
        <v/>
      </c>
      <c r="AN87" s="18">
        <f>$AL87*bcd_scrap_hs7602</f>
        <v/>
      </c>
      <c r="AO87" s="18">
        <f>$AN87*sws_rate_on_bcd</f>
        <v/>
      </c>
      <c r="AP87" s="18">
        <f>($AL87+$AN87+$AO87)*igst_rate_hs7602</f>
        <v/>
      </c>
      <c r="AQ87" s="18">
        <f>$X87*$AG87+IF($Y87,psic_cost_usd_per_box*$H87/$W87,0)</f>
        <v/>
      </c>
      <c r="AR87" s="18">
        <f>($AM87+$AN87+$AO87)*$Z87/day_count_inr*$O87</f>
        <v/>
      </c>
      <c r="AS87" s="18">
        <f>$AP87*igst_credit_lag_days/day_count_inr*$O87</f>
        <v/>
      </c>
      <c r="AT87" s="18">
        <f>$AM87+$AN87+$AO87+$AQ87+$AR87+$AS87+IF(igst_itc_available,0,$AP87)</f>
        <v/>
      </c>
      <c r="AU87" s="15">
        <f>(1-$AA87)*(1-$AB87)*$AC87</f>
        <v/>
      </c>
      <c r="AV87" s="18">
        <f>$N87*kg_per_mt+domestic_anchor_premium_inr_t</f>
        <v/>
      </c>
      <c r="AW87" s="18">
        <f>(1-$AA87)*$AD87*heavies_net_value_frac_of_lme_al*$F87*$H87</f>
        <v/>
      </c>
      <c r="AX87" s="18">
        <f>conversion_cost_inr_t*$AU87</f>
        <v/>
      </c>
      <c r="AY87" s="18">
        <f>$AV87*$AU87+$AW87-$AT87-$AX87</f>
        <v/>
      </c>
      <c r="AZ87" s="16">
        <f>$AY87/$H87</f>
        <v/>
      </c>
      <c r="BA87" s="8">
        <f>$AY87&gt;margin_threshold_inr_t</f>
        <v/>
      </c>
      <c r="BB87" s="8">
        <f>$Q87+$AE87</f>
        <v/>
      </c>
      <c r="BC87" s="18">
        <f>$AT87-$AQ87</f>
        <v/>
      </c>
      <c r="BD87" s="18">
        <f>$AY87-$BC87*($BB87/$P87-1)</f>
        <v/>
      </c>
      <c r="BE87" s="18">
        <f>$AY87-(conv_step_5a-conversion_cost_inr_t)*$AU87</f>
        <v/>
      </c>
      <c r="BF87" s="8">
        <f>$BA87</f>
        <v/>
      </c>
      <c r="BG87" s="8">
        <f>$BD87&gt;margin_threshold_inr_t</f>
        <v/>
      </c>
      <c r="BH87" s="8">
        <f>$BE87&gt;margin_threshold_inr_t</f>
        <v/>
      </c>
      <c r="BI87" s="8">
        <f>AND($BF87,$BG87,$BH87)</f>
        <v/>
      </c>
      <c r="BJ87" s="8">
        <f>IF($BI87,1,0)</f>
        <v/>
      </c>
    </row>
    <row r="88">
      <c r="A88" s="11" t="n">
        <v>44659</v>
      </c>
      <c r="B88" s="11" t="n">
        <v>44659</v>
      </c>
      <c r="C88" s="7" t="inlineStr">
        <is>
          <t>tense</t>
        </is>
      </c>
      <c r="D88" s="7" t="inlineStr">
        <is>
          <t>JEA_NSA</t>
        </is>
      </c>
      <c r="E88" s="17" t="b">
        <v>1</v>
      </c>
      <c r="F88" s="16">
        <f>INDEX(Market_Weekly!$E$6:$E$48,MATCH($A88,Market_Weekly!$A$6:$A$48,0))</f>
        <v/>
      </c>
      <c r="G88" s="16">
        <f>INDEX(Market_Weekly!$D$6:$D$48,MATCH($A88,Market_Weekly!$A$6:$A$48,0))</f>
        <v/>
      </c>
      <c r="H88" s="16">
        <f>INDEX(Market_Weekly!$G$6:$G$48,MATCH($A88,Market_Weekly!$A$6:$A$48,0))</f>
        <v/>
      </c>
      <c r="I88" s="8">
        <f>INDEX(Market_Weekly!$H$6:$H$48,MATCH($A88,Market_Weekly!$A$6:$A$48,0))</f>
        <v/>
      </c>
      <c r="J88" s="8">
        <f>INDEX(Market_Weekly!$Q$6:$Q$48,MATCH($A88,Market_Weekly!$A$6:$A$48,0))</f>
        <v/>
      </c>
      <c r="K88" s="8">
        <f>INDEX(Market_Weekly!$V$6:$V$48,MATCH($A88,Market_Weekly!$A$6:$A$48,0))</f>
        <v/>
      </c>
      <c r="L88" s="16">
        <f>IF($D88="JEA_NSA",INDEX(Market_Weekly!$N$6:$N$48,MATCH($A88,Market_Weekly!$A$6:$A$48,0)),INDEX(Market_Weekly!$O$6:$O$48,MATCH($A88,Market_Weekly!$A$6:$A$48,0)))</f>
        <v/>
      </c>
      <c r="M88" s="8">
        <f>IF($D88="JEA_NSA","M1","M2")</f>
        <v/>
      </c>
      <c r="N88" s="16">
        <f>IF($D88="JEA_NSA",INDEX(Market_Weekly!$L$6:$L$48,MATCH($A88,Market_Weekly!$A$6:$A$48,0)),INDEX(Market_Weekly!$M$6:$M$48,MATCH($A88,Market_Weekly!$A$6:$A$48,0)))</f>
        <v/>
      </c>
      <c r="O88" s="15">
        <f>INDEX(Market_Weekly!$P$6:$P$48,MATCH($A88,Market_Weekly!$A$6:$A$48,0))</f>
        <v/>
      </c>
      <c r="P88" s="8">
        <f>INDEX(Market_Weekly!$R$6:$T$48,MATCH($A88,Market_Weekly!$A$6:$A$48,0),MATCH("grade_factor_"&amp;$C88,Market_Weekly!$R$5:$T$5,0))</f>
        <v/>
      </c>
      <c r="Q88" s="8">
        <f>INDEX(Market_Weekly!$U$6:$U$48,MATCH($A88,Market_Weekly!$A$6:$A$48,0))</f>
        <v/>
      </c>
      <c r="R88" s="8">
        <f>IF($D88="JEA_NSA","20ft","40ft")</f>
        <v/>
      </c>
      <c r="S88" s="8">
        <f>IF($D88="JEA_NSA","nsa","mun")</f>
        <v/>
      </c>
      <c r="T88" s="8">
        <f>IF($D88="JEA_NSA","jea_nsa","usec_mun")</f>
        <v/>
      </c>
      <c r="U88" s="16">
        <f>INDEX(param_values,MATCH("container_payload_mt_"&amp;$R88,param_keys,0))</f>
        <v/>
      </c>
      <c r="V88" s="16">
        <f>INDEX(param_values,MATCH("container_payload_mt_"&amp;$R88&amp;"_"&amp;$C88,param_keys,0))</f>
        <v/>
      </c>
      <c r="W88" s="16">
        <f>INDEX(param_values,MATCH("container_payload_mt_20ft_"&amp;$C88,param_keys,0))</f>
        <v/>
      </c>
      <c r="X88" s="18">
        <f>INDEX(param_values,MATCH("port_cf_charges_inr_t_"&amp;$S88,param_keys,0))</f>
        <v/>
      </c>
      <c r="Y88" s="8">
        <f>INDEX(param_values,MATCH(IF($D88="JEA_NSA","psic_required_uae_origin","psic_required_safe_origin_designated_port"),param_keys,0))</f>
        <v/>
      </c>
      <c r="Z88" s="19">
        <f>INDEX(param_values,MATCH("finance_days_"&amp;$T88,param_keys,0))</f>
        <v/>
      </c>
      <c r="AA88" s="15">
        <f>INDEX(param_values,MATCH("moisture_frac_"&amp;$C88,param_keys,0))</f>
        <v/>
      </c>
      <c r="AB88" s="15">
        <f>INDEX(param_values,MATCH("contamination_frac_"&amp;$C88,param_keys,0))</f>
        <v/>
      </c>
      <c r="AC88" s="15">
        <f>INDEX(param_values,MATCH("metal_yield_frac_"&amp;$C88,param_keys,0))</f>
        <v/>
      </c>
      <c r="AD88" s="15">
        <f>INDEX(param_values,MATCH("heavies_frac_"&amp;$C88,param_keys,0))</f>
        <v/>
      </c>
      <c r="AE88" s="8">
        <f>INDEX(param_values,MATCH("grade_factor_diff_"&amp;$C88,param_keys,0))</f>
        <v/>
      </c>
      <c r="AF88" s="16">
        <f>$F88*$P88</f>
        <v/>
      </c>
      <c r="AG88" s="8">
        <f>$U88/$V88</f>
        <v/>
      </c>
      <c r="AH88" s="16">
        <f>$L88*$AG88</f>
        <v/>
      </c>
      <c r="AI88" s="16">
        <f>$AF88-$AH88</f>
        <v/>
      </c>
      <c r="AJ88" s="16">
        <f>insurance_rate*insured_value_uplift*$AF88</f>
        <v/>
      </c>
      <c r="AK88" s="16">
        <f>$AF88+$AJ88</f>
        <v/>
      </c>
      <c r="AL88" s="18">
        <f>$AK88*$J88</f>
        <v/>
      </c>
      <c r="AM88" s="18">
        <f>$AK88*$I88</f>
        <v/>
      </c>
      <c r="AN88" s="18">
        <f>$AL88*bcd_scrap_hs7602</f>
        <v/>
      </c>
      <c r="AO88" s="18">
        <f>$AN88*sws_rate_on_bcd</f>
        <v/>
      </c>
      <c r="AP88" s="18">
        <f>($AL88+$AN88+$AO88)*igst_rate_hs7602</f>
        <v/>
      </c>
      <c r="AQ88" s="18">
        <f>$X88*$AG88+IF($Y88,psic_cost_usd_per_box*$H88/$W88,0)</f>
        <v/>
      </c>
      <c r="AR88" s="18">
        <f>($AM88+$AN88+$AO88)*$Z88/day_count_inr*$O88</f>
        <v/>
      </c>
      <c r="AS88" s="18">
        <f>$AP88*igst_credit_lag_days/day_count_inr*$O88</f>
        <v/>
      </c>
      <c r="AT88" s="18">
        <f>$AM88+$AN88+$AO88+$AQ88+$AR88+$AS88+IF(igst_itc_available,0,$AP88)</f>
        <v/>
      </c>
      <c r="AU88" s="15">
        <f>(1-$AA88)*(1-$AB88)*$AC88</f>
        <v/>
      </c>
      <c r="AV88" s="18">
        <f>$N88*kg_per_mt+domestic_anchor_premium_inr_t</f>
        <v/>
      </c>
      <c r="AW88" s="18">
        <f>(1-$AA88)*$AD88*heavies_net_value_frac_of_lme_al*$F88*$H88</f>
        <v/>
      </c>
      <c r="AX88" s="18">
        <f>conversion_cost_inr_t*$AU88</f>
        <v/>
      </c>
      <c r="AY88" s="18">
        <f>$AV88*$AU88+$AW88-$AT88-$AX88</f>
        <v/>
      </c>
      <c r="AZ88" s="16">
        <f>$AY88/$H88</f>
        <v/>
      </c>
      <c r="BA88" s="8">
        <f>$AY88&gt;margin_threshold_inr_t</f>
        <v/>
      </c>
      <c r="BB88" s="8">
        <f>$Q88+$AE88</f>
        <v/>
      </c>
      <c r="BC88" s="18">
        <f>$AT88-$AQ88</f>
        <v/>
      </c>
      <c r="BD88" s="18">
        <f>$AY88-$BC88*($BB88/$P88-1)</f>
        <v/>
      </c>
      <c r="BE88" s="18">
        <f>$AY88-(conv_step_5a-conversion_cost_inr_t)*$AU88</f>
        <v/>
      </c>
      <c r="BF88" s="8">
        <f>$BA88</f>
        <v/>
      </c>
      <c r="BG88" s="8">
        <f>$BD88&gt;margin_threshold_inr_t</f>
        <v/>
      </c>
      <c r="BH88" s="8">
        <f>$BE88&gt;margin_threshold_inr_t</f>
        <v/>
      </c>
      <c r="BI88" s="8">
        <f>AND($BF88,$BG88,$BH88)</f>
        <v/>
      </c>
      <c r="BJ88" s="8">
        <f>IF($BI88,1,0)</f>
        <v/>
      </c>
    </row>
    <row r="89">
      <c r="A89" s="11" t="n">
        <v>44659</v>
      </c>
      <c r="B89" s="11" t="n">
        <v>44659</v>
      </c>
      <c r="C89" s="7" t="inlineStr">
        <is>
          <t>tense</t>
        </is>
      </c>
      <c r="D89" s="7" t="inlineStr">
        <is>
          <t>USEC_MUN</t>
        </is>
      </c>
      <c r="E89" s="17" t="b">
        <v>1</v>
      </c>
      <c r="F89" s="16">
        <f>INDEX(Market_Weekly!$E$6:$E$48,MATCH($A89,Market_Weekly!$A$6:$A$48,0))</f>
        <v/>
      </c>
      <c r="G89" s="16">
        <f>INDEX(Market_Weekly!$D$6:$D$48,MATCH($A89,Market_Weekly!$A$6:$A$48,0))</f>
        <v/>
      </c>
      <c r="H89" s="16">
        <f>INDEX(Market_Weekly!$G$6:$G$48,MATCH($A89,Market_Weekly!$A$6:$A$48,0))</f>
        <v/>
      </c>
      <c r="I89" s="8">
        <f>INDEX(Market_Weekly!$H$6:$H$48,MATCH($A89,Market_Weekly!$A$6:$A$48,0))</f>
        <v/>
      </c>
      <c r="J89" s="8">
        <f>INDEX(Market_Weekly!$Q$6:$Q$48,MATCH($A89,Market_Weekly!$A$6:$A$48,0))</f>
        <v/>
      </c>
      <c r="K89" s="8">
        <f>INDEX(Market_Weekly!$V$6:$V$48,MATCH($A89,Market_Weekly!$A$6:$A$48,0))</f>
        <v/>
      </c>
      <c r="L89" s="16">
        <f>IF($D89="JEA_NSA",INDEX(Market_Weekly!$N$6:$N$48,MATCH($A89,Market_Weekly!$A$6:$A$48,0)),INDEX(Market_Weekly!$O$6:$O$48,MATCH($A89,Market_Weekly!$A$6:$A$48,0)))</f>
        <v/>
      </c>
      <c r="M89" s="8">
        <f>IF($D89="JEA_NSA","M1","M2")</f>
        <v/>
      </c>
      <c r="N89" s="16">
        <f>IF($D89="JEA_NSA",INDEX(Market_Weekly!$L$6:$L$48,MATCH($A89,Market_Weekly!$A$6:$A$48,0)),INDEX(Market_Weekly!$M$6:$M$48,MATCH($A89,Market_Weekly!$A$6:$A$48,0)))</f>
        <v/>
      </c>
      <c r="O89" s="15">
        <f>INDEX(Market_Weekly!$P$6:$P$48,MATCH($A89,Market_Weekly!$A$6:$A$48,0))</f>
        <v/>
      </c>
      <c r="P89" s="8">
        <f>INDEX(Market_Weekly!$R$6:$T$48,MATCH($A89,Market_Weekly!$A$6:$A$48,0),MATCH("grade_factor_"&amp;$C89,Market_Weekly!$R$5:$T$5,0))</f>
        <v/>
      </c>
      <c r="Q89" s="8">
        <f>INDEX(Market_Weekly!$U$6:$U$48,MATCH($A89,Market_Weekly!$A$6:$A$48,0))</f>
        <v/>
      </c>
      <c r="R89" s="8">
        <f>IF($D89="JEA_NSA","20ft","40ft")</f>
        <v/>
      </c>
      <c r="S89" s="8">
        <f>IF($D89="JEA_NSA","nsa","mun")</f>
        <v/>
      </c>
      <c r="T89" s="8">
        <f>IF($D89="JEA_NSA","jea_nsa","usec_mun")</f>
        <v/>
      </c>
      <c r="U89" s="16">
        <f>INDEX(param_values,MATCH("container_payload_mt_"&amp;$R89,param_keys,0))</f>
        <v/>
      </c>
      <c r="V89" s="16">
        <f>INDEX(param_values,MATCH("container_payload_mt_"&amp;$R89&amp;"_"&amp;$C89,param_keys,0))</f>
        <v/>
      </c>
      <c r="W89" s="16">
        <f>INDEX(param_values,MATCH("container_payload_mt_20ft_"&amp;$C89,param_keys,0))</f>
        <v/>
      </c>
      <c r="X89" s="18">
        <f>INDEX(param_values,MATCH("port_cf_charges_inr_t_"&amp;$S89,param_keys,0))</f>
        <v/>
      </c>
      <c r="Y89" s="8">
        <f>INDEX(param_values,MATCH(IF($D89="JEA_NSA","psic_required_uae_origin","psic_required_safe_origin_designated_port"),param_keys,0))</f>
        <v/>
      </c>
      <c r="Z89" s="19">
        <f>INDEX(param_values,MATCH("finance_days_"&amp;$T89,param_keys,0))</f>
        <v/>
      </c>
      <c r="AA89" s="15">
        <f>INDEX(param_values,MATCH("moisture_frac_"&amp;$C89,param_keys,0))</f>
        <v/>
      </c>
      <c r="AB89" s="15">
        <f>INDEX(param_values,MATCH("contamination_frac_"&amp;$C89,param_keys,0))</f>
        <v/>
      </c>
      <c r="AC89" s="15">
        <f>INDEX(param_values,MATCH("metal_yield_frac_"&amp;$C89,param_keys,0))</f>
        <v/>
      </c>
      <c r="AD89" s="15">
        <f>INDEX(param_values,MATCH("heavies_frac_"&amp;$C89,param_keys,0))</f>
        <v/>
      </c>
      <c r="AE89" s="8">
        <f>INDEX(param_values,MATCH("grade_factor_diff_"&amp;$C89,param_keys,0))</f>
        <v/>
      </c>
      <c r="AF89" s="16">
        <f>$F89*$P89</f>
        <v/>
      </c>
      <c r="AG89" s="8">
        <f>$U89/$V89</f>
        <v/>
      </c>
      <c r="AH89" s="16">
        <f>$L89*$AG89</f>
        <v/>
      </c>
      <c r="AI89" s="16">
        <f>$AF89-$AH89</f>
        <v/>
      </c>
      <c r="AJ89" s="16">
        <f>insurance_rate*insured_value_uplift*$AF89</f>
        <v/>
      </c>
      <c r="AK89" s="16">
        <f>$AF89+$AJ89</f>
        <v/>
      </c>
      <c r="AL89" s="18">
        <f>$AK89*$J89</f>
        <v/>
      </c>
      <c r="AM89" s="18">
        <f>$AK89*$I89</f>
        <v/>
      </c>
      <c r="AN89" s="18">
        <f>$AL89*bcd_scrap_hs7602</f>
        <v/>
      </c>
      <c r="AO89" s="18">
        <f>$AN89*sws_rate_on_bcd</f>
        <v/>
      </c>
      <c r="AP89" s="18">
        <f>($AL89+$AN89+$AO89)*igst_rate_hs7602</f>
        <v/>
      </c>
      <c r="AQ89" s="18">
        <f>$X89*$AG89+IF($Y89,psic_cost_usd_per_box*$H89/$W89,0)</f>
        <v/>
      </c>
      <c r="AR89" s="18">
        <f>($AM89+$AN89+$AO89)*$Z89/day_count_inr*$O89</f>
        <v/>
      </c>
      <c r="AS89" s="18">
        <f>$AP89*igst_credit_lag_days/day_count_inr*$O89</f>
        <v/>
      </c>
      <c r="AT89" s="18">
        <f>$AM89+$AN89+$AO89+$AQ89+$AR89+$AS89+IF(igst_itc_available,0,$AP89)</f>
        <v/>
      </c>
      <c r="AU89" s="15">
        <f>(1-$AA89)*(1-$AB89)*$AC89</f>
        <v/>
      </c>
      <c r="AV89" s="18">
        <f>$N89*kg_per_mt+domestic_anchor_premium_inr_t</f>
        <v/>
      </c>
      <c r="AW89" s="18">
        <f>(1-$AA89)*$AD89*heavies_net_value_frac_of_lme_al*$F89*$H89</f>
        <v/>
      </c>
      <c r="AX89" s="18">
        <f>conversion_cost_inr_t*$AU89</f>
        <v/>
      </c>
      <c r="AY89" s="18">
        <f>$AV89*$AU89+$AW89-$AT89-$AX89</f>
        <v/>
      </c>
      <c r="AZ89" s="16">
        <f>$AY89/$H89</f>
        <v/>
      </c>
      <c r="BA89" s="8">
        <f>$AY89&gt;margin_threshold_inr_t</f>
        <v/>
      </c>
      <c r="BB89" s="8">
        <f>$Q89+$AE89</f>
        <v/>
      </c>
      <c r="BC89" s="18">
        <f>$AT89-$AQ89</f>
        <v/>
      </c>
      <c r="BD89" s="18">
        <f>$AY89-$BC89*($BB89/$P89-1)</f>
        <v/>
      </c>
      <c r="BE89" s="18">
        <f>$AY89-(conv_step_5a-conversion_cost_inr_t)*$AU89</f>
        <v/>
      </c>
      <c r="BF89" s="8">
        <f>$BA89</f>
        <v/>
      </c>
      <c r="BG89" s="8">
        <f>$BD89&gt;margin_threshold_inr_t</f>
        <v/>
      </c>
      <c r="BH89" s="8">
        <f>$BE89&gt;margin_threshold_inr_t</f>
        <v/>
      </c>
      <c r="BI89" s="8">
        <f>AND($BF89,$BG89,$BH89)</f>
        <v/>
      </c>
      <c r="BJ89" s="8">
        <f>IF($BI89,1,0)</f>
        <v/>
      </c>
    </row>
    <row r="90">
      <c r="A90" s="11" t="n">
        <v>44666</v>
      </c>
      <c r="B90" s="11" t="n">
        <v>44665</v>
      </c>
      <c r="C90" s="7" t="inlineStr">
        <is>
          <t>zorba</t>
        </is>
      </c>
      <c r="D90" s="7" t="inlineStr">
        <is>
          <t>JEA_NSA</t>
        </is>
      </c>
      <c r="E90" s="17" t="b">
        <v>1</v>
      </c>
      <c r="F90" s="16">
        <f>INDEX(Market_Weekly!$E$6:$E$48,MATCH($A90,Market_Weekly!$A$6:$A$48,0))</f>
        <v/>
      </c>
      <c r="G90" s="16">
        <f>INDEX(Market_Weekly!$D$6:$D$48,MATCH($A90,Market_Weekly!$A$6:$A$48,0))</f>
        <v/>
      </c>
      <c r="H90" s="16">
        <f>INDEX(Market_Weekly!$G$6:$G$48,MATCH($A90,Market_Weekly!$A$6:$A$48,0))</f>
        <v/>
      </c>
      <c r="I90" s="8">
        <f>INDEX(Market_Weekly!$H$6:$H$48,MATCH($A90,Market_Weekly!$A$6:$A$48,0))</f>
        <v/>
      </c>
      <c r="J90" s="8">
        <f>INDEX(Market_Weekly!$Q$6:$Q$48,MATCH($A90,Market_Weekly!$A$6:$A$48,0))</f>
        <v/>
      </c>
      <c r="K90" s="8">
        <f>INDEX(Market_Weekly!$V$6:$V$48,MATCH($A90,Market_Weekly!$A$6:$A$48,0))</f>
        <v/>
      </c>
      <c r="L90" s="16">
        <f>IF($D90="JEA_NSA",INDEX(Market_Weekly!$N$6:$N$48,MATCH($A90,Market_Weekly!$A$6:$A$48,0)),INDEX(Market_Weekly!$O$6:$O$48,MATCH($A90,Market_Weekly!$A$6:$A$48,0)))</f>
        <v/>
      </c>
      <c r="M90" s="8">
        <f>IF($D90="JEA_NSA","M1","M2")</f>
        <v/>
      </c>
      <c r="N90" s="16">
        <f>IF($D90="JEA_NSA",INDEX(Market_Weekly!$L$6:$L$48,MATCH($A90,Market_Weekly!$A$6:$A$48,0)),INDEX(Market_Weekly!$M$6:$M$48,MATCH($A90,Market_Weekly!$A$6:$A$48,0)))</f>
        <v/>
      </c>
      <c r="O90" s="15">
        <f>INDEX(Market_Weekly!$P$6:$P$48,MATCH($A90,Market_Weekly!$A$6:$A$48,0))</f>
        <v/>
      </c>
      <c r="P90" s="8">
        <f>INDEX(Market_Weekly!$R$6:$T$48,MATCH($A90,Market_Weekly!$A$6:$A$48,0),MATCH("grade_factor_"&amp;$C90,Market_Weekly!$R$5:$T$5,0))</f>
        <v/>
      </c>
      <c r="Q90" s="8">
        <f>INDEX(Market_Weekly!$U$6:$U$48,MATCH($A90,Market_Weekly!$A$6:$A$48,0))</f>
        <v/>
      </c>
      <c r="R90" s="8">
        <f>IF($D90="JEA_NSA","20ft","40ft")</f>
        <v/>
      </c>
      <c r="S90" s="8">
        <f>IF($D90="JEA_NSA","nsa","mun")</f>
        <v/>
      </c>
      <c r="T90" s="8">
        <f>IF($D90="JEA_NSA","jea_nsa","usec_mun")</f>
        <v/>
      </c>
      <c r="U90" s="16">
        <f>INDEX(param_values,MATCH("container_payload_mt_"&amp;$R90,param_keys,0))</f>
        <v/>
      </c>
      <c r="V90" s="16">
        <f>INDEX(param_values,MATCH("container_payload_mt_"&amp;$R90&amp;"_"&amp;$C90,param_keys,0))</f>
        <v/>
      </c>
      <c r="W90" s="16">
        <f>INDEX(param_values,MATCH("container_payload_mt_20ft_"&amp;$C90,param_keys,0))</f>
        <v/>
      </c>
      <c r="X90" s="18">
        <f>INDEX(param_values,MATCH("port_cf_charges_inr_t_"&amp;$S90,param_keys,0))</f>
        <v/>
      </c>
      <c r="Y90" s="8">
        <f>INDEX(param_values,MATCH(IF($D90="JEA_NSA","psic_required_uae_origin","psic_required_safe_origin_designated_port"),param_keys,0))</f>
        <v/>
      </c>
      <c r="Z90" s="19">
        <f>INDEX(param_values,MATCH("finance_days_"&amp;$T90,param_keys,0))</f>
        <v/>
      </c>
      <c r="AA90" s="15">
        <f>INDEX(param_values,MATCH("moisture_frac_"&amp;$C90,param_keys,0))</f>
        <v/>
      </c>
      <c r="AB90" s="15">
        <f>INDEX(param_values,MATCH("contamination_frac_"&amp;$C90,param_keys,0))</f>
        <v/>
      </c>
      <c r="AC90" s="15">
        <f>INDEX(param_values,MATCH("metal_yield_frac_"&amp;$C90,param_keys,0))</f>
        <v/>
      </c>
      <c r="AD90" s="15">
        <f>INDEX(param_values,MATCH("heavies_frac_"&amp;$C90,param_keys,0))</f>
        <v/>
      </c>
      <c r="AE90" s="8">
        <f>INDEX(param_values,MATCH("grade_factor_diff_"&amp;$C90,param_keys,0))</f>
        <v/>
      </c>
      <c r="AF90" s="16">
        <f>$F90*$P90</f>
        <v/>
      </c>
      <c r="AG90" s="8">
        <f>$U90/$V90</f>
        <v/>
      </c>
      <c r="AH90" s="16">
        <f>$L90*$AG90</f>
        <v/>
      </c>
      <c r="AI90" s="16">
        <f>$AF90-$AH90</f>
        <v/>
      </c>
      <c r="AJ90" s="16">
        <f>insurance_rate*insured_value_uplift*$AF90</f>
        <v/>
      </c>
      <c r="AK90" s="16">
        <f>$AF90+$AJ90</f>
        <v/>
      </c>
      <c r="AL90" s="18">
        <f>$AK90*$J90</f>
        <v/>
      </c>
      <c r="AM90" s="18">
        <f>$AK90*$I90</f>
        <v/>
      </c>
      <c r="AN90" s="18">
        <f>$AL90*bcd_scrap_hs7602</f>
        <v/>
      </c>
      <c r="AO90" s="18">
        <f>$AN90*sws_rate_on_bcd</f>
        <v/>
      </c>
      <c r="AP90" s="18">
        <f>($AL90+$AN90+$AO90)*igst_rate_hs7602</f>
        <v/>
      </c>
      <c r="AQ90" s="18">
        <f>$X90*$AG90+IF($Y90,psic_cost_usd_per_box*$H90/$W90,0)</f>
        <v/>
      </c>
      <c r="AR90" s="18">
        <f>($AM90+$AN90+$AO90)*$Z90/day_count_inr*$O90</f>
        <v/>
      </c>
      <c r="AS90" s="18">
        <f>$AP90*igst_credit_lag_days/day_count_inr*$O90</f>
        <v/>
      </c>
      <c r="AT90" s="18">
        <f>$AM90+$AN90+$AO90+$AQ90+$AR90+$AS90+IF(igst_itc_available,0,$AP90)</f>
        <v/>
      </c>
      <c r="AU90" s="15">
        <f>(1-$AA90)*(1-$AB90)*$AC90</f>
        <v/>
      </c>
      <c r="AV90" s="18">
        <f>$N90*kg_per_mt+domestic_anchor_premium_inr_t</f>
        <v/>
      </c>
      <c r="AW90" s="18">
        <f>(1-$AA90)*$AD90*heavies_net_value_frac_of_lme_al*$F90*$H90</f>
        <v/>
      </c>
      <c r="AX90" s="18">
        <f>conversion_cost_inr_t*$AU90</f>
        <v/>
      </c>
      <c r="AY90" s="18">
        <f>$AV90*$AU90+$AW90-$AT90-$AX90</f>
        <v/>
      </c>
      <c r="AZ90" s="16">
        <f>$AY90/$H90</f>
        <v/>
      </c>
      <c r="BA90" s="8">
        <f>$AY90&gt;margin_threshold_inr_t</f>
        <v/>
      </c>
      <c r="BB90" s="8">
        <f>$Q90+$AE90</f>
        <v/>
      </c>
      <c r="BC90" s="18">
        <f>$AT90-$AQ90</f>
        <v/>
      </c>
      <c r="BD90" s="18">
        <f>$AY90-$BC90*($BB90/$P90-1)</f>
        <v/>
      </c>
      <c r="BE90" s="18">
        <f>$AY90-(conv_step_5a-conversion_cost_inr_t)*$AU90</f>
        <v/>
      </c>
      <c r="BF90" s="8">
        <f>$BA90</f>
        <v/>
      </c>
      <c r="BG90" s="8">
        <f>$BD90&gt;margin_threshold_inr_t</f>
        <v/>
      </c>
      <c r="BH90" s="8">
        <f>$BE90&gt;margin_threshold_inr_t</f>
        <v/>
      </c>
      <c r="BI90" s="8">
        <f>AND($BF90,$BG90,$BH90)</f>
        <v/>
      </c>
      <c r="BJ90" s="8">
        <f>IF($BI90,1,0)</f>
        <v/>
      </c>
    </row>
    <row r="91">
      <c r="A91" s="11" t="n">
        <v>44666</v>
      </c>
      <c r="B91" s="11" t="n">
        <v>44665</v>
      </c>
      <c r="C91" s="7" t="inlineStr">
        <is>
          <t>zorba</t>
        </is>
      </c>
      <c r="D91" s="7" t="inlineStr">
        <is>
          <t>USEC_MUN</t>
        </is>
      </c>
      <c r="E91" s="17" t="b">
        <v>1</v>
      </c>
      <c r="F91" s="16">
        <f>INDEX(Market_Weekly!$E$6:$E$48,MATCH($A91,Market_Weekly!$A$6:$A$48,0))</f>
        <v/>
      </c>
      <c r="G91" s="16">
        <f>INDEX(Market_Weekly!$D$6:$D$48,MATCH($A91,Market_Weekly!$A$6:$A$48,0))</f>
        <v/>
      </c>
      <c r="H91" s="16">
        <f>INDEX(Market_Weekly!$G$6:$G$48,MATCH($A91,Market_Weekly!$A$6:$A$48,0))</f>
        <v/>
      </c>
      <c r="I91" s="8">
        <f>INDEX(Market_Weekly!$H$6:$H$48,MATCH($A91,Market_Weekly!$A$6:$A$48,0))</f>
        <v/>
      </c>
      <c r="J91" s="8">
        <f>INDEX(Market_Weekly!$Q$6:$Q$48,MATCH($A91,Market_Weekly!$A$6:$A$48,0))</f>
        <v/>
      </c>
      <c r="K91" s="8">
        <f>INDEX(Market_Weekly!$V$6:$V$48,MATCH($A91,Market_Weekly!$A$6:$A$48,0))</f>
        <v/>
      </c>
      <c r="L91" s="16">
        <f>IF($D91="JEA_NSA",INDEX(Market_Weekly!$N$6:$N$48,MATCH($A91,Market_Weekly!$A$6:$A$48,0)),INDEX(Market_Weekly!$O$6:$O$48,MATCH($A91,Market_Weekly!$A$6:$A$48,0)))</f>
        <v/>
      </c>
      <c r="M91" s="8">
        <f>IF($D91="JEA_NSA","M1","M2")</f>
        <v/>
      </c>
      <c r="N91" s="16">
        <f>IF($D91="JEA_NSA",INDEX(Market_Weekly!$L$6:$L$48,MATCH($A91,Market_Weekly!$A$6:$A$48,0)),INDEX(Market_Weekly!$M$6:$M$48,MATCH($A91,Market_Weekly!$A$6:$A$48,0)))</f>
        <v/>
      </c>
      <c r="O91" s="15">
        <f>INDEX(Market_Weekly!$P$6:$P$48,MATCH($A91,Market_Weekly!$A$6:$A$48,0))</f>
        <v/>
      </c>
      <c r="P91" s="8">
        <f>INDEX(Market_Weekly!$R$6:$T$48,MATCH($A91,Market_Weekly!$A$6:$A$48,0),MATCH("grade_factor_"&amp;$C91,Market_Weekly!$R$5:$T$5,0))</f>
        <v/>
      </c>
      <c r="Q91" s="8">
        <f>INDEX(Market_Weekly!$U$6:$U$48,MATCH($A91,Market_Weekly!$A$6:$A$48,0))</f>
        <v/>
      </c>
      <c r="R91" s="8">
        <f>IF($D91="JEA_NSA","20ft","40ft")</f>
        <v/>
      </c>
      <c r="S91" s="8">
        <f>IF($D91="JEA_NSA","nsa","mun")</f>
        <v/>
      </c>
      <c r="T91" s="8">
        <f>IF($D91="JEA_NSA","jea_nsa","usec_mun")</f>
        <v/>
      </c>
      <c r="U91" s="16">
        <f>INDEX(param_values,MATCH("container_payload_mt_"&amp;$R91,param_keys,0))</f>
        <v/>
      </c>
      <c r="V91" s="16">
        <f>INDEX(param_values,MATCH("container_payload_mt_"&amp;$R91&amp;"_"&amp;$C91,param_keys,0))</f>
        <v/>
      </c>
      <c r="W91" s="16">
        <f>INDEX(param_values,MATCH("container_payload_mt_20ft_"&amp;$C91,param_keys,0))</f>
        <v/>
      </c>
      <c r="X91" s="18">
        <f>INDEX(param_values,MATCH("port_cf_charges_inr_t_"&amp;$S91,param_keys,0))</f>
        <v/>
      </c>
      <c r="Y91" s="8">
        <f>INDEX(param_values,MATCH(IF($D91="JEA_NSA","psic_required_uae_origin","psic_required_safe_origin_designated_port"),param_keys,0))</f>
        <v/>
      </c>
      <c r="Z91" s="19">
        <f>INDEX(param_values,MATCH("finance_days_"&amp;$T91,param_keys,0))</f>
        <v/>
      </c>
      <c r="AA91" s="15">
        <f>INDEX(param_values,MATCH("moisture_frac_"&amp;$C91,param_keys,0))</f>
        <v/>
      </c>
      <c r="AB91" s="15">
        <f>INDEX(param_values,MATCH("contamination_frac_"&amp;$C91,param_keys,0))</f>
        <v/>
      </c>
      <c r="AC91" s="15">
        <f>INDEX(param_values,MATCH("metal_yield_frac_"&amp;$C91,param_keys,0))</f>
        <v/>
      </c>
      <c r="AD91" s="15">
        <f>INDEX(param_values,MATCH("heavies_frac_"&amp;$C91,param_keys,0))</f>
        <v/>
      </c>
      <c r="AE91" s="8">
        <f>INDEX(param_values,MATCH("grade_factor_diff_"&amp;$C91,param_keys,0))</f>
        <v/>
      </c>
      <c r="AF91" s="16">
        <f>$F91*$P91</f>
        <v/>
      </c>
      <c r="AG91" s="8">
        <f>$U91/$V91</f>
        <v/>
      </c>
      <c r="AH91" s="16">
        <f>$L91*$AG91</f>
        <v/>
      </c>
      <c r="AI91" s="16">
        <f>$AF91-$AH91</f>
        <v/>
      </c>
      <c r="AJ91" s="16">
        <f>insurance_rate*insured_value_uplift*$AF91</f>
        <v/>
      </c>
      <c r="AK91" s="16">
        <f>$AF91+$AJ91</f>
        <v/>
      </c>
      <c r="AL91" s="18">
        <f>$AK91*$J91</f>
        <v/>
      </c>
      <c r="AM91" s="18">
        <f>$AK91*$I91</f>
        <v/>
      </c>
      <c r="AN91" s="18">
        <f>$AL91*bcd_scrap_hs7602</f>
        <v/>
      </c>
      <c r="AO91" s="18">
        <f>$AN91*sws_rate_on_bcd</f>
        <v/>
      </c>
      <c r="AP91" s="18">
        <f>($AL91+$AN91+$AO91)*igst_rate_hs7602</f>
        <v/>
      </c>
      <c r="AQ91" s="18">
        <f>$X91*$AG91+IF($Y91,psic_cost_usd_per_box*$H91/$W91,0)</f>
        <v/>
      </c>
      <c r="AR91" s="18">
        <f>($AM91+$AN91+$AO91)*$Z91/day_count_inr*$O91</f>
        <v/>
      </c>
      <c r="AS91" s="18">
        <f>$AP91*igst_credit_lag_days/day_count_inr*$O91</f>
        <v/>
      </c>
      <c r="AT91" s="18">
        <f>$AM91+$AN91+$AO91+$AQ91+$AR91+$AS91+IF(igst_itc_available,0,$AP91)</f>
        <v/>
      </c>
      <c r="AU91" s="15">
        <f>(1-$AA91)*(1-$AB91)*$AC91</f>
        <v/>
      </c>
      <c r="AV91" s="18">
        <f>$N91*kg_per_mt+domestic_anchor_premium_inr_t</f>
        <v/>
      </c>
      <c r="AW91" s="18">
        <f>(1-$AA91)*$AD91*heavies_net_value_frac_of_lme_al*$F91*$H91</f>
        <v/>
      </c>
      <c r="AX91" s="18">
        <f>conversion_cost_inr_t*$AU91</f>
        <v/>
      </c>
      <c r="AY91" s="18">
        <f>$AV91*$AU91+$AW91-$AT91-$AX91</f>
        <v/>
      </c>
      <c r="AZ91" s="16">
        <f>$AY91/$H91</f>
        <v/>
      </c>
      <c r="BA91" s="8">
        <f>$AY91&gt;margin_threshold_inr_t</f>
        <v/>
      </c>
      <c r="BB91" s="8">
        <f>$Q91+$AE91</f>
        <v/>
      </c>
      <c r="BC91" s="18">
        <f>$AT91-$AQ91</f>
        <v/>
      </c>
      <c r="BD91" s="18">
        <f>$AY91-$BC91*($BB91/$P91-1)</f>
        <v/>
      </c>
      <c r="BE91" s="18">
        <f>$AY91-(conv_step_5a-conversion_cost_inr_t)*$AU91</f>
        <v/>
      </c>
      <c r="BF91" s="8">
        <f>$BA91</f>
        <v/>
      </c>
      <c r="BG91" s="8">
        <f>$BD91&gt;margin_threshold_inr_t</f>
        <v/>
      </c>
      <c r="BH91" s="8">
        <f>$BE91&gt;margin_threshold_inr_t</f>
        <v/>
      </c>
      <c r="BI91" s="8">
        <f>AND($BF91,$BG91,$BH91)</f>
        <v/>
      </c>
      <c r="BJ91" s="8">
        <f>IF($BI91,1,0)</f>
        <v/>
      </c>
    </row>
    <row r="92">
      <c r="A92" s="11" t="n">
        <v>44666</v>
      </c>
      <c r="B92" s="11" t="n">
        <v>44665</v>
      </c>
      <c r="C92" s="7" t="inlineStr">
        <is>
          <t>taint_tabor</t>
        </is>
      </c>
      <c r="D92" s="7" t="inlineStr">
        <is>
          <t>JEA_NSA</t>
        </is>
      </c>
      <c r="E92" s="17" t="b">
        <v>1</v>
      </c>
      <c r="F92" s="16">
        <f>INDEX(Market_Weekly!$E$6:$E$48,MATCH($A92,Market_Weekly!$A$6:$A$48,0))</f>
        <v/>
      </c>
      <c r="G92" s="16">
        <f>INDEX(Market_Weekly!$D$6:$D$48,MATCH($A92,Market_Weekly!$A$6:$A$48,0))</f>
        <v/>
      </c>
      <c r="H92" s="16">
        <f>INDEX(Market_Weekly!$G$6:$G$48,MATCH($A92,Market_Weekly!$A$6:$A$48,0))</f>
        <v/>
      </c>
      <c r="I92" s="8">
        <f>INDEX(Market_Weekly!$H$6:$H$48,MATCH($A92,Market_Weekly!$A$6:$A$48,0))</f>
        <v/>
      </c>
      <c r="J92" s="8">
        <f>INDEX(Market_Weekly!$Q$6:$Q$48,MATCH($A92,Market_Weekly!$A$6:$A$48,0))</f>
        <v/>
      </c>
      <c r="K92" s="8">
        <f>INDEX(Market_Weekly!$V$6:$V$48,MATCH($A92,Market_Weekly!$A$6:$A$48,0))</f>
        <v/>
      </c>
      <c r="L92" s="16">
        <f>IF($D92="JEA_NSA",INDEX(Market_Weekly!$N$6:$N$48,MATCH($A92,Market_Weekly!$A$6:$A$48,0)),INDEX(Market_Weekly!$O$6:$O$48,MATCH($A92,Market_Weekly!$A$6:$A$48,0)))</f>
        <v/>
      </c>
      <c r="M92" s="8">
        <f>IF($D92="JEA_NSA","M1","M2")</f>
        <v/>
      </c>
      <c r="N92" s="16">
        <f>IF($D92="JEA_NSA",INDEX(Market_Weekly!$L$6:$L$48,MATCH($A92,Market_Weekly!$A$6:$A$48,0)),INDEX(Market_Weekly!$M$6:$M$48,MATCH($A92,Market_Weekly!$A$6:$A$48,0)))</f>
        <v/>
      </c>
      <c r="O92" s="15">
        <f>INDEX(Market_Weekly!$P$6:$P$48,MATCH($A92,Market_Weekly!$A$6:$A$48,0))</f>
        <v/>
      </c>
      <c r="P92" s="8">
        <f>INDEX(Market_Weekly!$R$6:$T$48,MATCH($A92,Market_Weekly!$A$6:$A$48,0),MATCH("grade_factor_"&amp;$C92,Market_Weekly!$R$5:$T$5,0))</f>
        <v/>
      </c>
      <c r="Q92" s="8">
        <f>INDEX(Market_Weekly!$U$6:$U$48,MATCH($A92,Market_Weekly!$A$6:$A$48,0))</f>
        <v/>
      </c>
      <c r="R92" s="8">
        <f>IF($D92="JEA_NSA","20ft","40ft")</f>
        <v/>
      </c>
      <c r="S92" s="8">
        <f>IF($D92="JEA_NSA","nsa","mun")</f>
        <v/>
      </c>
      <c r="T92" s="8">
        <f>IF($D92="JEA_NSA","jea_nsa","usec_mun")</f>
        <v/>
      </c>
      <c r="U92" s="16">
        <f>INDEX(param_values,MATCH("container_payload_mt_"&amp;$R92,param_keys,0))</f>
        <v/>
      </c>
      <c r="V92" s="16">
        <f>INDEX(param_values,MATCH("container_payload_mt_"&amp;$R92&amp;"_"&amp;$C92,param_keys,0))</f>
        <v/>
      </c>
      <c r="W92" s="16">
        <f>INDEX(param_values,MATCH("container_payload_mt_20ft_"&amp;$C92,param_keys,0))</f>
        <v/>
      </c>
      <c r="X92" s="18">
        <f>INDEX(param_values,MATCH("port_cf_charges_inr_t_"&amp;$S92,param_keys,0))</f>
        <v/>
      </c>
      <c r="Y92" s="8">
        <f>INDEX(param_values,MATCH(IF($D92="JEA_NSA","psic_required_uae_origin","psic_required_safe_origin_designated_port"),param_keys,0))</f>
        <v/>
      </c>
      <c r="Z92" s="19">
        <f>INDEX(param_values,MATCH("finance_days_"&amp;$T92,param_keys,0))</f>
        <v/>
      </c>
      <c r="AA92" s="15">
        <f>INDEX(param_values,MATCH("moisture_frac_"&amp;$C92,param_keys,0))</f>
        <v/>
      </c>
      <c r="AB92" s="15">
        <f>INDEX(param_values,MATCH("contamination_frac_"&amp;$C92,param_keys,0))</f>
        <v/>
      </c>
      <c r="AC92" s="15">
        <f>INDEX(param_values,MATCH("metal_yield_frac_"&amp;$C92,param_keys,0))</f>
        <v/>
      </c>
      <c r="AD92" s="15">
        <f>INDEX(param_values,MATCH("heavies_frac_"&amp;$C92,param_keys,0))</f>
        <v/>
      </c>
      <c r="AE92" s="8">
        <f>INDEX(param_values,MATCH("grade_factor_diff_"&amp;$C92,param_keys,0))</f>
        <v/>
      </c>
      <c r="AF92" s="16">
        <f>$F92*$P92</f>
        <v/>
      </c>
      <c r="AG92" s="8">
        <f>$U92/$V92</f>
        <v/>
      </c>
      <c r="AH92" s="16">
        <f>$L92*$AG92</f>
        <v/>
      </c>
      <c r="AI92" s="16">
        <f>$AF92-$AH92</f>
        <v/>
      </c>
      <c r="AJ92" s="16">
        <f>insurance_rate*insured_value_uplift*$AF92</f>
        <v/>
      </c>
      <c r="AK92" s="16">
        <f>$AF92+$AJ92</f>
        <v/>
      </c>
      <c r="AL92" s="18">
        <f>$AK92*$J92</f>
        <v/>
      </c>
      <c r="AM92" s="18">
        <f>$AK92*$I92</f>
        <v/>
      </c>
      <c r="AN92" s="18">
        <f>$AL92*bcd_scrap_hs7602</f>
        <v/>
      </c>
      <c r="AO92" s="18">
        <f>$AN92*sws_rate_on_bcd</f>
        <v/>
      </c>
      <c r="AP92" s="18">
        <f>($AL92+$AN92+$AO92)*igst_rate_hs7602</f>
        <v/>
      </c>
      <c r="AQ92" s="18">
        <f>$X92*$AG92+IF($Y92,psic_cost_usd_per_box*$H92/$W92,0)</f>
        <v/>
      </c>
      <c r="AR92" s="18">
        <f>($AM92+$AN92+$AO92)*$Z92/day_count_inr*$O92</f>
        <v/>
      </c>
      <c r="AS92" s="18">
        <f>$AP92*igst_credit_lag_days/day_count_inr*$O92</f>
        <v/>
      </c>
      <c r="AT92" s="18">
        <f>$AM92+$AN92+$AO92+$AQ92+$AR92+$AS92+IF(igst_itc_available,0,$AP92)</f>
        <v/>
      </c>
      <c r="AU92" s="15">
        <f>(1-$AA92)*(1-$AB92)*$AC92</f>
        <v/>
      </c>
      <c r="AV92" s="18">
        <f>$N92*kg_per_mt+domestic_anchor_premium_inr_t</f>
        <v/>
      </c>
      <c r="AW92" s="18">
        <f>(1-$AA92)*$AD92*heavies_net_value_frac_of_lme_al*$F92*$H92</f>
        <v/>
      </c>
      <c r="AX92" s="18">
        <f>conversion_cost_inr_t*$AU92</f>
        <v/>
      </c>
      <c r="AY92" s="18">
        <f>$AV92*$AU92+$AW92-$AT92-$AX92</f>
        <v/>
      </c>
      <c r="AZ92" s="16">
        <f>$AY92/$H92</f>
        <v/>
      </c>
      <c r="BA92" s="8">
        <f>$AY92&gt;margin_threshold_inr_t</f>
        <v/>
      </c>
      <c r="BB92" s="8">
        <f>$Q92+$AE92</f>
        <v/>
      </c>
      <c r="BC92" s="18">
        <f>$AT92-$AQ92</f>
        <v/>
      </c>
      <c r="BD92" s="18">
        <f>$AY92-$BC92*($BB92/$P92-1)</f>
        <v/>
      </c>
      <c r="BE92" s="18">
        <f>$AY92-(conv_step_5a-conversion_cost_inr_t)*$AU92</f>
        <v/>
      </c>
      <c r="BF92" s="8">
        <f>$BA92</f>
        <v/>
      </c>
      <c r="BG92" s="8">
        <f>$BD92&gt;margin_threshold_inr_t</f>
        <v/>
      </c>
      <c r="BH92" s="8">
        <f>$BE92&gt;margin_threshold_inr_t</f>
        <v/>
      </c>
      <c r="BI92" s="8">
        <f>AND($BF92,$BG92,$BH92)</f>
        <v/>
      </c>
      <c r="BJ92" s="8">
        <f>IF($BI92,1,0)</f>
        <v/>
      </c>
    </row>
    <row r="93">
      <c r="A93" s="11" t="n">
        <v>44666</v>
      </c>
      <c r="B93" s="11" t="n">
        <v>44665</v>
      </c>
      <c r="C93" s="7" t="inlineStr">
        <is>
          <t>taint_tabor</t>
        </is>
      </c>
      <c r="D93" s="7" t="inlineStr">
        <is>
          <t>USEC_MUN</t>
        </is>
      </c>
      <c r="E93" s="17" t="b">
        <v>1</v>
      </c>
      <c r="F93" s="16">
        <f>INDEX(Market_Weekly!$E$6:$E$48,MATCH($A93,Market_Weekly!$A$6:$A$48,0))</f>
        <v/>
      </c>
      <c r="G93" s="16">
        <f>INDEX(Market_Weekly!$D$6:$D$48,MATCH($A93,Market_Weekly!$A$6:$A$48,0))</f>
        <v/>
      </c>
      <c r="H93" s="16">
        <f>INDEX(Market_Weekly!$G$6:$G$48,MATCH($A93,Market_Weekly!$A$6:$A$48,0))</f>
        <v/>
      </c>
      <c r="I93" s="8">
        <f>INDEX(Market_Weekly!$H$6:$H$48,MATCH($A93,Market_Weekly!$A$6:$A$48,0))</f>
        <v/>
      </c>
      <c r="J93" s="8">
        <f>INDEX(Market_Weekly!$Q$6:$Q$48,MATCH($A93,Market_Weekly!$A$6:$A$48,0))</f>
        <v/>
      </c>
      <c r="K93" s="8">
        <f>INDEX(Market_Weekly!$V$6:$V$48,MATCH($A93,Market_Weekly!$A$6:$A$48,0))</f>
        <v/>
      </c>
      <c r="L93" s="16">
        <f>IF($D93="JEA_NSA",INDEX(Market_Weekly!$N$6:$N$48,MATCH($A93,Market_Weekly!$A$6:$A$48,0)),INDEX(Market_Weekly!$O$6:$O$48,MATCH($A93,Market_Weekly!$A$6:$A$48,0)))</f>
        <v/>
      </c>
      <c r="M93" s="8">
        <f>IF($D93="JEA_NSA","M1","M2")</f>
        <v/>
      </c>
      <c r="N93" s="16">
        <f>IF($D93="JEA_NSA",INDEX(Market_Weekly!$L$6:$L$48,MATCH($A93,Market_Weekly!$A$6:$A$48,0)),INDEX(Market_Weekly!$M$6:$M$48,MATCH($A93,Market_Weekly!$A$6:$A$48,0)))</f>
        <v/>
      </c>
      <c r="O93" s="15">
        <f>INDEX(Market_Weekly!$P$6:$P$48,MATCH($A93,Market_Weekly!$A$6:$A$48,0))</f>
        <v/>
      </c>
      <c r="P93" s="8">
        <f>INDEX(Market_Weekly!$R$6:$T$48,MATCH($A93,Market_Weekly!$A$6:$A$48,0),MATCH("grade_factor_"&amp;$C93,Market_Weekly!$R$5:$T$5,0))</f>
        <v/>
      </c>
      <c r="Q93" s="8">
        <f>INDEX(Market_Weekly!$U$6:$U$48,MATCH($A93,Market_Weekly!$A$6:$A$48,0))</f>
        <v/>
      </c>
      <c r="R93" s="8">
        <f>IF($D93="JEA_NSA","20ft","40ft")</f>
        <v/>
      </c>
      <c r="S93" s="8">
        <f>IF($D93="JEA_NSA","nsa","mun")</f>
        <v/>
      </c>
      <c r="T93" s="8">
        <f>IF($D93="JEA_NSA","jea_nsa","usec_mun")</f>
        <v/>
      </c>
      <c r="U93" s="16">
        <f>INDEX(param_values,MATCH("container_payload_mt_"&amp;$R93,param_keys,0))</f>
        <v/>
      </c>
      <c r="V93" s="16">
        <f>INDEX(param_values,MATCH("container_payload_mt_"&amp;$R93&amp;"_"&amp;$C93,param_keys,0))</f>
        <v/>
      </c>
      <c r="W93" s="16">
        <f>INDEX(param_values,MATCH("container_payload_mt_20ft_"&amp;$C93,param_keys,0))</f>
        <v/>
      </c>
      <c r="X93" s="18">
        <f>INDEX(param_values,MATCH("port_cf_charges_inr_t_"&amp;$S93,param_keys,0))</f>
        <v/>
      </c>
      <c r="Y93" s="8">
        <f>INDEX(param_values,MATCH(IF($D93="JEA_NSA","psic_required_uae_origin","psic_required_safe_origin_designated_port"),param_keys,0))</f>
        <v/>
      </c>
      <c r="Z93" s="19">
        <f>INDEX(param_values,MATCH("finance_days_"&amp;$T93,param_keys,0))</f>
        <v/>
      </c>
      <c r="AA93" s="15">
        <f>INDEX(param_values,MATCH("moisture_frac_"&amp;$C93,param_keys,0))</f>
        <v/>
      </c>
      <c r="AB93" s="15">
        <f>INDEX(param_values,MATCH("contamination_frac_"&amp;$C93,param_keys,0))</f>
        <v/>
      </c>
      <c r="AC93" s="15">
        <f>INDEX(param_values,MATCH("metal_yield_frac_"&amp;$C93,param_keys,0))</f>
        <v/>
      </c>
      <c r="AD93" s="15">
        <f>INDEX(param_values,MATCH("heavies_frac_"&amp;$C93,param_keys,0))</f>
        <v/>
      </c>
      <c r="AE93" s="8">
        <f>INDEX(param_values,MATCH("grade_factor_diff_"&amp;$C93,param_keys,0))</f>
        <v/>
      </c>
      <c r="AF93" s="16">
        <f>$F93*$P93</f>
        <v/>
      </c>
      <c r="AG93" s="8">
        <f>$U93/$V93</f>
        <v/>
      </c>
      <c r="AH93" s="16">
        <f>$L93*$AG93</f>
        <v/>
      </c>
      <c r="AI93" s="16">
        <f>$AF93-$AH93</f>
        <v/>
      </c>
      <c r="AJ93" s="16">
        <f>insurance_rate*insured_value_uplift*$AF93</f>
        <v/>
      </c>
      <c r="AK93" s="16">
        <f>$AF93+$AJ93</f>
        <v/>
      </c>
      <c r="AL93" s="18">
        <f>$AK93*$J93</f>
        <v/>
      </c>
      <c r="AM93" s="18">
        <f>$AK93*$I93</f>
        <v/>
      </c>
      <c r="AN93" s="18">
        <f>$AL93*bcd_scrap_hs7602</f>
        <v/>
      </c>
      <c r="AO93" s="18">
        <f>$AN93*sws_rate_on_bcd</f>
        <v/>
      </c>
      <c r="AP93" s="18">
        <f>($AL93+$AN93+$AO93)*igst_rate_hs7602</f>
        <v/>
      </c>
      <c r="AQ93" s="18">
        <f>$X93*$AG93+IF($Y93,psic_cost_usd_per_box*$H93/$W93,0)</f>
        <v/>
      </c>
      <c r="AR93" s="18">
        <f>($AM93+$AN93+$AO93)*$Z93/day_count_inr*$O93</f>
        <v/>
      </c>
      <c r="AS93" s="18">
        <f>$AP93*igst_credit_lag_days/day_count_inr*$O93</f>
        <v/>
      </c>
      <c r="AT93" s="18">
        <f>$AM93+$AN93+$AO93+$AQ93+$AR93+$AS93+IF(igst_itc_available,0,$AP93)</f>
        <v/>
      </c>
      <c r="AU93" s="15">
        <f>(1-$AA93)*(1-$AB93)*$AC93</f>
        <v/>
      </c>
      <c r="AV93" s="18">
        <f>$N93*kg_per_mt+domestic_anchor_premium_inr_t</f>
        <v/>
      </c>
      <c r="AW93" s="18">
        <f>(1-$AA93)*$AD93*heavies_net_value_frac_of_lme_al*$F93*$H93</f>
        <v/>
      </c>
      <c r="AX93" s="18">
        <f>conversion_cost_inr_t*$AU93</f>
        <v/>
      </c>
      <c r="AY93" s="18">
        <f>$AV93*$AU93+$AW93-$AT93-$AX93</f>
        <v/>
      </c>
      <c r="AZ93" s="16">
        <f>$AY93/$H93</f>
        <v/>
      </c>
      <c r="BA93" s="8">
        <f>$AY93&gt;margin_threshold_inr_t</f>
        <v/>
      </c>
      <c r="BB93" s="8">
        <f>$Q93+$AE93</f>
        <v/>
      </c>
      <c r="BC93" s="18">
        <f>$AT93-$AQ93</f>
        <v/>
      </c>
      <c r="BD93" s="18">
        <f>$AY93-$BC93*($BB93/$P93-1)</f>
        <v/>
      </c>
      <c r="BE93" s="18">
        <f>$AY93-(conv_step_5a-conversion_cost_inr_t)*$AU93</f>
        <v/>
      </c>
      <c r="BF93" s="8">
        <f>$BA93</f>
        <v/>
      </c>
      <c r="BG93" s="8">
        <f>$BD93&gt;margin_threshold_inr_t</f>
        <v/>
      </c>
      <c r="BH93" s="8">
        <f>$BE93&gt;margin_threshold_inr_t</f>
        <v/>
      </c>
      <c r="BI93" s="8">
        <f>AND($BF93,$BG93,$BH93)</f>
        <v/>
      </c>
      <c r="BJ93" s="8">
        <f>IF($BI93,1,0)</f>
        <v/>
      </c>
    </row>
    <row r="94">
      <c r="A94" s="11" t="n">
        <v>44666</v>
      </c>
      <c r="B94" s="11" t="n">
        <v>44665</v>
      </c>
      <c r="C94" s="7" t="inlineStr">
        <is>
          <t>tense</t>
        </is>
      </c>
      <c r="D94" s="7" t="inlineStr">
        <is>
          <t>JEA_NSA</t>
        </is>
      </c>
      <c r="E94" s="17" t="b">
        <v>1</v>
      </c>
      <c r="F94" s="16">
        <f>INDEX(Market_Weekly!$E$6:$E$48,MATCH($A94,Market_Weekly!$A$6:$A$48,0))</f>
        <v/>
      </c>
      <c r="G94" s="16">
        <f>INDEX(Market_Weekly!$D$6:$D$48,MATCH($A94,Market_Weekly!$A$6:$A$48,0))</f>
        <v/>
      </c>
      <c r="H94" s="16">
        <f>INDEX(Market_Weekly!$G$6:$G$48,MATCH($A94,Market_Weekly!$A$6:$A$48,0))</f>
        <v/>
      </c>
      <c r="I94" s="8">
        <f>INDEX(Market_Weekly!$H$6:$H$48,MATCH($A94,Market_Weekly!$A$6:$A$48,0))</f>
        <v/>
      </c>
      <c r="J94" s="8">
        <f>INDEX(Market_Weekly!$Q$6:$Q$48,MATCH($A94,Market_Weekly!$A$6:$A$48,0))</f>
        <v/>
      </c>
      <c r="K94" s="8">
        <f>INDEX(Market_Weekly!$V$6:$V$48,MATCH($A94,Market_Weekly!$A$6:$A$48,0))</f>
        <v/>
      </c>
      <c r="L94" s="16">
        <f>IF($D94="JEA_NSA",INDEX(Market_Weekly!$N$6:$N$48,MATCH($A94,Market_Weekly!$A$6:$A$48,0)),INDEX(Market_Weekly!$O$6:$O$48,MATCH($A94,Market_Weekly!$A$6:$A$48,0)))</f>
        <v/>
      </c>
      <c r="M94" s="8">
        <f>IF($D94="JEA_NSA","M1","M2")</f>
        <v/>
      </c>
      <c r="N94" s="16">
        <f>IF($D94="JEA_NSA",INDEX(Market_Weekly!$L$6:$L$48,MATCH($A94,Market_Weekly!$A$6:$A$48,0)),INDEX(Market_Weekly!$M$6:$M$48,MATCH($A94,Market_Weekly!$A$6:$A$48,0)))</f>
        <v/>
      </c>
      <c r="O94" s="15">
        <f>INDEX(Market_Weekly!$P$6:$P$48,MATCH($A94,Market_Weekly!$A$6:$A$48,0))</f>
        <v/>
      </c>
      <c r="P94" s="8">
        <f>INDEX(Market_Weekly!$R$6:$T$48,MATCH($A94,Market_Weekly!$A$6:$A$48,0),MATCH("grade_factor_"&amp;$C94,Market_Weekly!$R$5:$T$5,0))</f>
        <v/>
      </c>
      <c r="Q94" s="8">
        <f>INDEX(Market_Weekly!$U$6:$U$48,MATCH($A94,Market_Weekly!$A$6:$A$48,0))</f>
        <v/>
      </c>
      <c r="R94" s="8">
        <f>IF($D94="JEA_NSA","20ft","40ft")</f>
        <v/>
      </c>
      <c r="S94" s="8">
        <f>IF($D94="JEA_NSA","nsa","mun")</f>
        <v/>
      </c>
      <c r="T94" s="8">
        <f>IF($D94="JEA_NSA","jea_nsa","usec_mun")</f>
        <v/>
      </c>
      <c r="U94" s="16">
        <f>INDEX(param_values,MATCH("container_payload_mt_"&amp;$R94,param_keys,0))</f>
        <v/>
      </c>
      <c r="V94" s="16">
        <f>INDEX(param_values,MATCH("container_payload_mt_"&amp;$R94&amp;"_"&amp;$C94,param_keys,0))</f>
        <v/>
      </c>
      <c r="W94" s="16">
        <f>INDEX(param_values,MATCH("container_payload_mt_20ft_"&amp;$C94,param_keys,0))</f>
        <v/>
      </c>
      <c r="X94" s="18">
        <f>INDEX(param_values,MATCH("port_cf_charges_inr_t_"&amp;$S94,param_keys,0))</f>
        <v/>
      </c>
      <c r="Y94" s="8">
        <f>INDEX(param_values,MATCH(IF($D94="JEA_NSA","psic_required_uae_origin","psic_required_safe_origin_designated_port"),param_keys,0))</f>
        <v/>
      </c>
      <c r="Z94" s="19">
        <f>INDEX(param_values,MATCH("finance_days_"&amp;$T94,param_keys,0))</f>
        <v/>
      </c>
      <c r="AA94" s="15">
        <f>INDEX(param_values,MATCH("moisture_frac_"&amp;$C94,param_keys,0))</f>
        <v/>
      </c>
      <c r="AB94" s="15">
        <f>INDEX(param_values,MATCH("contamination_frac_"&amp;$C94,param_keys,0))</f>
        <v/>
      </c>
      <c r="AC94" s="15">
        <f>INDEX(param_values,MATCH("metal_yield_frac_"&amp;$C94,param_keys,0))</f>
        <v/>
      </c>
      <c r="AD94" s="15">
        <f>INDEX(param_values,MATCH("heavies_frac_"&amp;$C94,param_keys,0))</f>
        <v/>
      </c>
      <c r="AE94" s="8">
        <f>INDEX(param_values,MATCH("grade_factor_diff_"&amp;$C94,param_keys,0))</f>
        <v/>
      </c>
      <c r="AF94" s="16">
        <f>$F94*$P94</f>
        <v/>
      </c>
      <c r="AG94" s="8">
        <f>$U94/$V94</f>
        <v/>
      </c>
      <c r="AH94" s="16">
        <f>$L94*$AG94</f>
        <v/>
      </c>
      <c r="AI94" s="16">
        <f>$AF94-$AH94</f>
        <v/>
      </c>
      <c r="AJ94" s="16">
        <f>insurance_rate*insured_value_uplift*$AF94</f>
        <v/>
      </c>
      <c r="AK94" s="16">
        <f>$AF94+$AJ94</f>
        <v/>
      </c>
      <c r="AL94" s="18">
        <f>$AK94*$J94</f>
        <v/>
      </c>
      <c r="AM94" s="18">
        <f>$AK94*$I94</f>
        <v/>
      </c>
      <c r="AN94" s="18">
        <f>$AL94*bcd_scrap_hs7602</f>
        <v/>
      </c>
      <c r="AO94" s="18">
        <f>$AN94*sws_rate_on_bcd</f>
        <v/>
      </c>
      <c r="AP94" s="18">
        <f>($AL94+$AN94+$AO94)*igst_rate_hs7602</f>
        <v/>
      </c>
      <c r="AQ94" s="18">
        <f>$X94*$AG94+IF($Y94,psic_cost_usd_per_box*$H94/$W94,0)</f>
        <v/>
      </c>
      <c r="AR94" s="18">
        <f>($AM94+$AN94+$AO94)*$Z94/day_count_inr*$O94</f>
        <v/>
      </c>
      <c r="AS94" s="18">
        <f>$AP94*igst_credit_lag_days/day_count_inr*$O94</f>
        <v/>
      </c>
      <c r="AT94" s="18">
        <f>$AM94+$AN94+$AO94+$AQ94+$AR94+$AS94+IF(igst_itc_available,0,$AP94)</f>
        <v/>
      </c>
      <c r="AU94" s="15">
        <f>(1-$AA94)*(1-$AB94)*$AC94</f>
        <v/>
      </c>
      <c r="AV94" s="18">
        <f>$N94*kg_per_mt+domestic_anchor_premium_inr_t</f>
        <v/>
      </c>
      <c r="AW94" s="18">
        <f>(1-$AA94)*$AD94*heavies_net_value_frac_of_lme_al*$F94*$H94</f>
        <v/>
      </c>
      <c r="AX94" s="18">
        <f>conversion_cost_inr_t*$AU94</f>
        <v/>
      </c>
      <c r="AY94" s="18">
        <f>$AV94*$AU94+$AW94-$AT94-$AX94</f>
        <v/>
      </c>
      <c r="AZ94" s="16">
        <f>$AY94/$H94</f>
        <v/>
      </c>
      <c r="BA94" s="8">
        <f>$AY94&gt;margin_threshold_inr_t</f>
        <v/>
      </c>
      <c r="BB94" s="8">
        <f>$Q94+$AE94</f>
        <v/>
      </c>
      <c r="BC94" s="18">
        <f>$AT94-$AQ94</f>
        <v/>
      </c>
      <c r="BD94" s="18">
        <f>$AY94-$BC94*($BB94/$P94-1)</f>
        <v/>
      </c>
      <c r="BE94" s="18">
        <f>$AY94-(conv_step_5a-conversion_cost_inr_t)*$AU94</f>
        <v/>
      </c>
      <c r="BF94" s="8">
        <f>$BA94</f>
        <v/>
      </c>
      <c r="BG94" s="8">
        <f>$BD94&gt;margin_threshold_inr_t</f>
        <v/>
      </c>
      <c r="BH94" s="8">
        <f>$BE94&gt;margin_threshold_inr_t</f>
        <v/>
      </c>
      <c r="BI94" s="8">
        <f>AND($BF94,$BG94,$BH94)</f>
        <v/>
      </c>
      <c r="BJ94" s="8">
        <f>IF($BI94,1,0)</f>
        <v/>
      </c>
    </row>
    <row r="95">
      <c r="A95" s="11" t="n">
        <v>44666</v>
      </c>
      <c r="B95" s="11" t="n">
        <v>44665</v>
      </c>
      <c r="C95" s="7" t="inlineStr">
        <is>
          <t>tense</t>
        </is>
      </c>
      <c r="D95" s="7" t="inlineStr">
        <is>
          <t>USEC_MUN</t>
        </is>
      </c>
      <c r="E95" s="17" t="b">
        <v>1</v>
      </c>
      <c r="F95" s="16">
        <f>INDEX(Market_Weekly!$E$6:$E$48,MATCH($A95,Market_Weekly!$A$6:$A$48,0))</f>
        <v/>
      </c>
      <c r="G95" s="16">
        <f>INDEX(Market_Weekly!$D$6:$D$48,MATCH($A95,Market_Weekly!$A$6:$A$48,0))</f>
        <v/>
      </c>
      <c r="H95" s="16">
        <f>INDEX(Market_Weekly!$G$6:$G$48,MATCH($A95,Market_Weekly!$A$6:$A$48,0))</f>
        <v/>
      </c>
      <c r="I95" s="8">
        <f>INDEX(Market_Weekly!$H$6:$H$48,MATCH($A95,Market_Weekly!$A$6:$A$48,0))</f>
        <v/>
      </c>
      <c r="J95" s="8">
        <f>INDEX(Market_Weekly!$Q$6:$Q$48,MATCH($A95,Market_Weekly!$A$6:$A$48,0))</f>
        <v/>
      </c>
      <c r="K95" s="8">
        <f>INDEX(Market_Weekly!$V$6:$V$48,MATCH($A95,Market_Weekly!$A$6:$A$48,0))</f>
        <v/>
      </c>
      <c r="L95" s="16">
        <f>IF($D95="JEA_NSA",INDEX(Market_Weekly!$N$6:$N$48,MATCH($A95,Market_Weekly!$A$6:$A$48,0)),INDEX(Market_Weekly!$O$6:$O$48,MATCH($A95,Market_Weekly!$A$6:$A$48,0)))</f>
        <v/>
      </c>
      <c r="M95" s="8">
        <f>IF($D95="JEA_NSA","M1","M2")</f>
        <v/>
      </c>
      <c r="N95" s="16">
        <f>IF($D95="JEA_NSA",INDEX(Market_Weekly!$L$6:$L$48,MATCH($A95,Market_Weekly!$A$6:$A$48,0)),INDEX(Market_Weekly!$M$6:$M$48,MATCH($A95,Market_Weekly!$A$6:$A$48,0)))</f>
        <v/>
      </c>
      <c r="O95" s="15">
        <f>INDEX(Market_Weekly!$P$6:$P$48,MATCH($A95,Market_Weekly!$A$6:$A$48,0))</f>
        <v/>
      </c>
      <c r="P95" s="8">
        <f>INDEX(Market_Weekly!$R$6:$T$48,MATCH($A95,Market_Weekly!$A$6:$A$48,0),MATCH("grade_factor_"&amp;$C95,Market_Weekly!$R$5:$T$5,0))</f>
        <v/>
      </c>
      <c r="Q95" s="8">
        <f>INDEX(Market_Weekly!$U$6:$U$48,MATCH($A95,Market_Weekly!$A$6:$A$48,0))</f>
        <v/>
      </c>
      <c r="R95" s="8">
        <f>IF($D95="JEA_NSA","20ft","40ft")</f>
        <v/>
      </c>
      <c r="S95" s="8">
        <f>IF($D95="JEA_NSA","nsa","mun")</f>
        <v/>
      </c>
      <c r="T95" s="8">
        <f>IF($D95="JEA_NSA","jea_nsa","usec_mun")</f>
        <v/>
      </c>
      <c r="U95" s="16">
        <f>INDEX(param_values,MATCH("container_payload_mt_"&amp;$R95,param_keys,0))</f>
        <v/>
      </c>
      <c r="V95" s="16">
        <f>INDEX(param_values,MATCH("container_payload_mt_"&amp;$R95&amp;"_"&amp;$C95,param_keys,0))</f>
        <v/>
      </c>
      <c r="W95" s="16">
        <f>INDEX(param_values,MATCH("container_payload_mt_20ft_"&amp;$C95,param_keys,0))</f>
        <v/>
      </c>
      <c r="X95" s="18">
        <f>INDEX(param_values,MATCH("port_cf_charges_inr_t_"&amp;$S95,param_keys,0))</f>
        <v/>
      </c>
      <c r="Y95" s="8">
        <f>INDEX(param_values,MATCH(IF($D95="JEA_NSA","psic_required_uae_origin","psic_required_safe_origin_designated_port"),param_keys,0))</f>
        <v/>
      </c>
      <c r="Z95" s="19">
        <f>INDEX(param_values,MATCH("finance_days_"&amp;$T95,param_keys,0))</f>
        <v/>
      </c>
      <c r="AA95" s="15">
        <f>INDEX(param_values,MATCH("moisture_frac_"&amp;$C95,param_keys,0))</f>
        <v/>
      </c>
      <c r="AB95" s="15">
        <f>INDEX(param_values,MATCH("contamination_frac_"&amp;$C95,param_keys,0))</f>
        <v/>
      </c>
      <c r="AC95" s="15">
        <f>INDEX(param_values,MATCH("metal_yield_frac_"&amp;$C95,param_keys,0))</f>
        <v/>
      </c>
      <c r="AD95" s="15">
        <f>INDEX(param_values,MATCH("heavies_frac_"&amp;$C95,param_keys,0))</f>
        <v/>
      </c>
      <c r="AE95" s="8">
        <f>INDEX(param_values,MATCH("grade_factor_diff_"&amp;$C95,param_keys,0))</f>
        <v/>
      </c>
      <c r="AF95" s="16">
        <f>$F95*$P95</f>
        <v/>
      </c>
      <c r="AG95" s="8">
        <f>$U95/$V95</f>
        <v/>
      </c>
      <c r="AH95" s="16">
        <f>$L95*$AG95</f>
        <v/>
      </c>
      <c r="AI95" s="16">
        <f>$AF95-$AH95</f>
        <v/>
      </c>
      <c r="AJ95" s="16">
        <f>insurance_rate*insured_value_uplift*$AF95</f>
        <v/>
      </c>
      <c r="AK95" s="16">
        <f>$AF95+$AJ95</f>
        <v/>
      </c>
      <c r="AL95" s="18">
        <f>$AK95*$J95</f>
        <v/>
      </c>
      <c r="AM95" s="18">
        <f>$AK95*$I95</f>
        <v/>
      </c>
      <c r="AN95" s="18">
        <f>$AL95*bcd_scrap_hs7602</f>
        <v/>
      </c>
      <c r="AO95" s="18">
        <f>$AN95*sws_rate_on_bcd</f>
        <v/>
      </c>
      <c r="AP95" s="18">
        <f>($AL95+$AN95+$AO95)*igst_rate_hs7602</f>
        <v/>
      </c>
      <c r="AQ95" s="18">
        <f>$X95*$AG95+IF($Y95,psic_cost_usd_per_box*$H95/$W95,0)</f>
        <v/>
      </c>
      <c r="AR95" s="18">
        <f>($AM95+$AN95+$AO95)*$Z95/day_count_inr*$O95</f>
        <v/>
      </c>
      <c r="AS95" s="18">
        <f>$AP95*igst_credit_lag_days/day_count_inr*$O95</f>
        <v/>
      </c>
      <c r="AT95" s="18">
        <f>$AM95+$AN95+$AO95+$AQ95+$AR95+$AS95+IF(igst_itc_available,0,$AP95)</f>
        <v/>
      </c>
      <c r="AU95" s="15">
        <f>(1-$AA95)*(1-$AB95)*$AC95</f>
        <v/>
      </c>
      <c r="AV95" s="18">
        <f>$N95*kg_per_mt+domestic_anchor_premium_inr_t</f>
        <v/>
      </c>
      <c r="AW95" s="18">
        <f>(1-$AA95)*$AD95*heavies_net_value_frac_of_lme_al*$F95*$H95</f>
        <v/>
      </c>
      <c r="AX95" s="18">
        <f>conversion_cost_inr_t*$AU95</f>
        <v/>
      </c>
      <c r="AY95" s="18">
        <f>$AV95*$AU95+$AW95-$AT95-$AX95</f>
        <v/>
      </c>
      <c r="AZ95" s="16">
        <f>$AY95/$H95</f>
        <v/>
      </c>
      <c r="BA95" s="8">
        <f>$AY95&gt;margin_threshold_inr_t</f>
        <v/>
      </c>
      <c r="BB95" s="8">
        <f>$Q95+$AE95</f>
        <v/>
      </c>
      <c r="BC95" s="18">
        <f>$AT95-$AQ95</f>
        <v/>
      </c>
      <c r="BD95" s="18">
        <f>$AY95-$BC95*($BB95/$P95-1)</f>
        <v/>
      </c>
      <c r="BE95" s="18">
        <f>$AY95-(conv_step_5a-conversion_cost_inr_t)*$AU95</f>
        <v/>
      </c>
      <c r="BF95" s="8">
        <f>$BA95</f>
        <v/>
      </c>
      <c r="BG95" s="8">
        <f>$BD95&gt;margin_threshold_inr_t</f>
        <v/>
      </c>
      <c r="BH95" s="8">
        <f>$BE95&gt;margin_threshold_inr_t</f>
        <v/>
      </c>
      <c r="BI95" s="8">
        <f>AND($BF95,$BG95,$BH95)</f>
        <v/>
      </c>
      <c r="BJ95" s="8">
        <f>IF($BI95,1,0)</f>
        <v/>
      </c>
    </row>
    <row r="96">
      <c r="A96" s="11" t="n">
        <v>44673</v>
      </c>
      <c r="B96" s="11" t="n">
        <v>44673</v>
      </c>
      <c r="C96" s="7" t="inlineStr">
        <is>
          <t>zorba</t>
        </is>
      </c>
      <c r="D96" s="7" t="inlineStr">
        <is>
          <t>JEA_NSA</t>
        </is>
      </c>
      <c r="E96" s="17" t="b">
        <v>1</v>
      </c>
      <c r="F96" s="16">
        <f>INDEX(Market_Weekly!$E$6:$E$48,MATCH($A96,Market_Weekly!$A$6:$A$48,0))</f>
        <v/>
      </c>
      <c r="G96" s="16">
        <f>INDEX(Market_Weekly!$D$6:$D$48,MATCH($A96,Market_Weekly!$A$6:$A$48,0))</f>
        <v/>
      </c>
      <c r="H96" s="16">
        <f>INDEX(Market_Weekly!$G$6:$G$48,MATCH($A96,Market_Weekly!$A$6:$A$48,0))</f>
        <v/>
      </c>
      <c r="I96" s="8">
        <f>INDEX(Market_Weekly!$H$6:$H$48,MATCH($A96,Market_Weekly!$A$6:$A$48,0))</f>
        <v/>
      </c>
      <c r="J96" s="8">
        <f>INDEX(Market_Weekly!$Q$6:$Q$48,MATCH($A96,Market_Weekly!$A$6:$A$48,0))</f>
        <v/>
      </c>
      <c r="K96" s="8">
        <f>INDEX(Market_Weekly!$V$6:$V$48,MATCH($A96,Market_Weekly!$A$6:$A$48,0))</f>
        <v/>
      </c>
      <c r="L96" s="16">
        <f>IF($D96="JEA_NSA",INDEX(Market_Weekly!$N$6:$N$48,MATCH($A96,Market_Weekly!$A$6:$A$48,0)),INDEX(Market_Weekly!$O$6:$O$48,MATCH($A96,Market_Weekly!$A$6:$A$48,0)))</f>
        <v/>
      </c>
      <c r="M96" s="8">
        <f>IF($D96="JEA_NSA","M1","M2")</f>
        <v/>
      </c>
      <c r="N96" s="16">
        <f>IF($D96="JEA_NSA",INDEX(Market_Weekly!$L$6:$L$48,MATCH($A96,Market_Weekly!$A$6:$A$48,0)),INDEX(Market_Weekly!$M$6:$M$48,MATCH($A96,Market_Weekly!$A$6:$A$48,0)))</f>
        <v/>
      </c>
      <c r="O96" s="15">
        <f>INDEX(Market_Weekly!$P$6:$P$48,MATCH($A96,Market_Weekly!$A$6:$A$48,0))</f>
        <v/>
      </c>
      <c r="P96" s="8">
        <f>INDEX(Market_Weekly!$R$6:$T$48,MATCH($A96,Market_Weekly!$A$6:$A$48,0),MATCH("grade_factor_"&amp;$C96,Market_Weekly!$R$5:$T$5,0))</f>
        <v/>
      </c>
      <c r="Q96" s="8">
        <f>INDEX(Market_Weekly!$U$6:$U$48,MATCH($A96,Market_Weekly!$A$6:$A$48,0))</f>
        <v/>
      </c>
      <c r="R96" s="8">
        <f>IF($D96="JEA_NSA","20ft","40ft")</f>
        <v/>
      </c>
      <c r="S96" s="8">
        <f>IF($D96="JEA_NSA","nsa","mun")</f>
        <v/>
      </c>
      <c r="T96" s="8">
        <f>IF($D96="JEA_NSA","jea_nsa","usec_mun")</f>
        <v/>
      </c>
      <c r="U96" s="16">
        <f>INDEX(param_values,MATCH("container_payload_mt_"&amp;$R96,param_keys,0))</f>
        <v/>
      </c>
      <c r="V96" s="16">
        <f>INDEX(param_values,MATCH("container_payload_mt_"&amp;$R96&amp;"_"&amp;$C96,param_keys,0))</f>
        <v/>
      </c>
      <c r="W96" s="16">
        <f>INDEX(param_values,MATCH("container_payload_mt_20ft_"&amp;$C96,param_keys,0))</f>
        <v/>
      </c>
      <c r="X96" s="18">
        <f>INDEX(param_values,MATCH("port_cf_charges_inr_t_"&amp;$S96,param_keys,0))</f>
        <v/>
      </c>
      <c r="Y96" s="8">
        <f>INDEX(param_values,MATCH(IF($D96="JEA_NSA","psic_required_uae_origin","psic_required_safe_origin_designated_port"),param_keys,0))</f>
        <v/>
      </c>
      <c r="Z96" s="19">
        <f>INDEX(param_values,MATCH("finance_days_"&amp;$T96,param_keys,0))</f>
        <v/>
      </c>
      <c r="AA96" s="15">
        <f>INDEX(param_values,MATCH("moisture_frac_"&amp;$C96,param_keys,0))</f>
        <v/>
      </c>
      <c r="AB96" s="15">
        <f>INDEX(param_values,MATCH("contamination_frac_"&amp;$C96,param_keys,0))</f>
        <v/>
      </c>
      <c r="AC96" s="15">
        <f>INDEX(param_values,MATCH("metal_yield_frac_"&amp;$C96,param_keys,0))</f>
        <v/>
      </c>
      <c r="AD96" s="15">
        <f>INDEX(param_values,MATCH("heavies_frac_"&amp;$C96,param_keys,0))</f>
        <v/>
      </c>
      <c r="AE96" s="8">
        <f>INDEX(param_values,MATCH("grade_factor_diff_"&amp;$C96,param_keys,0))</f>
        <v/>
      </c>
      <c r="AF96" s="16">
        <f>$F96*$P96</f>
        <v/>
      </c>
      <c r="AG96" s="8">
        <f>$U96/$V96</f>
        <v/>
      </c>
      <c r="AH96" s="16">
        <f>$L96*$AG96</f>
        <v/>
      </c>
      <c r="AI96" s="16">
        <f>$AF96-$AH96</f>
        <v/>
      </c>
      <c r="AJ96" s="16">
        <f>insurance_rate*insured_value_uplift*$AF96</f>
        <v/>
      </c>
      <c r="AK96" s="16">
        <f>$AF96+$AJ96</f>
        <v/>
      </c>
      <c r="AL96" s="18">
        <f>$AK96*$J96</f>
        <v/>
      </c>
      <c r="AM96" s="18">
        <f>$AK96*$I96</f>
        <v/>
      </c>
      <c r="AN96" s="18">
        <f>$AL96*bcd_scrap_hs7602</f>
        <v/>
      </c>
      <c r="AO96" s="18">
        <f>$AN96*sws_rate_on_bcd</f>
        <v/>
      </c>
      <c r="AP96" s="18">
        <f>($AL96+$AN96+$AO96)*igst_rate_hs7602</f>
        <v/>
      </c>
      <c r="AQ96" s="18">
        <f>$X96*$AG96+IF($Y96,psic_cost_usd_per_box*$H96/$W96,0)</f>
        <v/>
      </c>
      <c r="AR96" s="18">
        <f>($AM96+$AN96+$AO96)*$Z96/day_count_inr*$O96</f>
        <v/>
      </c>
      <c r="AS96" s="18">
        <f>$AP96*igst_credit_lag_days/day_count_inr*$O96</f>
        <v/>
      </c>
      <c r="AT96" s="18">
        <f>$AM96+$AN96+$AO96+$AQ96+$AR96+$AS96+IF(igst_itc_available,0,$AP96)</f>
        <v/>
      </c>
      <c r="AU96" s="15">
        <f>(1-$AA96)*(1-$AB96)*$AC96</f>
        <v/>
      </c>
      <c r="AV96" s="18">
        <f>$N96*kg_per_mt+domestic_anchor_premium_inr_t</f>
        <v/>
      </c>
      <c r="AW96" s="18">
        <f>(1-$AA96)*$AD96*heavies_net_value_frac_of_lme_al*$F96*$H96</f>
        <v/>
      </c>
      <c r="AX96" s="18">
        <f>conversion_cost_inr_t*$AU96</f>
        <v/>
      </c>
      <c r="AY96" s="18">
        <f>$AV96*$AU96+$AW96-$AT96-$AX96</f>
        <v/>
      </c>
      <c r="AZ96" s="16">
        <f>$AY96/$H96</f>
        <v/>
      </c>
      <c r="BA96" s="8">
        <f>$AY96&gt;margin_threshold_inr_t</f>
        <v/>
      </c>
      <c r="BB96" s="8">
        <f>$Q96+$AE96</f>
        <v/>
      </c>
      <c r="BC96" s="18">
        <f>$AT96-$AQ96</f>
        <v/>
      </c>
      <c r="BD96" s="18">
        <f>$AY96-$BC96*($BB96/$P96-1)</f>
        <v/>
      </c>
      <c r="BE96" s="18">
        <f>$AY96-(conv_step_5a-conversion_cost_inr_t)*$AU96</f>
        <v/>
      </c>
      <c r="BF96" s="8">
        <f>$BA96</f>
        <v/>
      </c>
      <c r="BG96" s="8">
        <f>$BD96&gt;margin_threshold_inr_t</f>
        <v/>
      </c>
      <c r="BH96" s="8">
        <f>$BE96&gt;margin_threshold_inr_t</f>
        <v/>
      </c>
      <c r="BI96" s="8">
        <f>AND($BF96,$BG96,$BH96)</f>
        <v/>
      </c>
      <c r="BJ96" s="8">
        <f>IF($BI96,1,0)</f>
        <v/>
      </c>
    </row>
    <row r="97">
      <c r="A97" s="11" t="n">
        <v>44673</v>
      </c>
      <c r="B97" s="11" t="n">
        <v>44673</v>
      </c>
      <c r="C97" s="7" t="inlineStr">
        <is>
          <t>zorba</t>
        </is>
      </c>
      <c r="D97" s="7" t="inlineStr">
        <is>
          <t>USEC_MUN</t>
        </is>
      </c>
      <c r="E97" s="17" t="b">
        <v>1</v>
      </c>
      <c r="F97" s="16">
        <f>INDEX(Market_Weekly!$E$6:$E$48,MATCH($A97,Market_Weekly!$A$6:$A$48,0))</f>
        <v/>
      </c>
      <c r="G97" s="16">
        <f>INDEX(Market_Weekly!$D$6:$D$48,MATCH($A97,Market_Weekly!$A$6:$A$48,0))</f>
        <v/>
      </c>
      <c r="H97" s="16">
        <f>INDEX(Market_Weekly!$G$6:$G$48,MATCH($A97,Market_Weekly!$A$6:$A$48,0))</f>
        <v/>
      </c>
      <c r="I97" s="8">
        <f>INDEX(Market_Weekly!$H$6:$H$48,MATCH($A97,Market_Weekly!$A$6:$A$48,0))</f>
        <v/>
      </c>
      <c r="J97" s="8">
        <f>INDEX(Market_Weekly!$Q$6:$Q$48,MATCH($A97,Market_Weekly!$A$6:$A$48,0))</f>
        <v/>
      </c>
      <c r="K97" s="8">
        <f>INDEX(Market_Weekly!$V$6:$V$48,MATCH($A97,Market_Weekly!$A$6:$A$48,0))</f>
        <v/>
      </c>
      <c r="L97" s="16">
        <f>IF($D97="JEA_NSA",INDEX(Market_Weekly!$N$6:$N$48,MATCH($A97,Market_Weekly!$A$6:$A$48,0)),INDEX(Market_Weekly!$O$6:$O$48,MATCH($A97,Market_Weekly!$A$6:$A$48,0)))</f>
        <v/>
      </c>
      <c r="M97" s="8">
        <f>IF($D97="JEA_NSA","M1","M2")</f>
        <v/>
      </c>
      <c r="N97" s="16">
        <f>IF($D97="JEA_NSA",INDEX(Market_Weekly!$L$6:$L$48,MATCH($A97,Market_Weekly!$A$6:$A$48,0)),INDEX(Market_Weekly!$M$6:$M$48,MATCH($A97,Market_Weekly!$A$6:$A$48,0)))</f>
        <v/>
      </c>
      <c r="O97" s="15">
        <f>INDEX(Market_Weekly!$P$6:$P$48,MATCH($A97,Market_Weekly!$A$6:$A$48,0))</f>
        <v/>
      </c>
      <c r="P97" s="8">
        <f>INDEX(Market_Weekly!$R$6:$T$48,MATCH($A97,Market_Weekly!$A$6:$A$48,0),MATCH("grade_factor_"&amp;$C97,Market_Weekly!$R$5:$T$5,0))</f>
        <v/>
      </c>
      <c r="Q97" s="8">
        <f>INDEX(Market_Weekly!$U$6:$U$48,MATCH($A97,Market_Weekly!$A$6:$A$48,0))</f>
        <v/>
      </c>
      <c r="R97" s="8">
        <f>IF($D97="JEA_NSA","20ft","40ft")</f>
        <v/>
      </c>
      <c r="S97" s="8">
        <f>IF($D97="JEA_NSA","nsa","mun")</f>
        <v/>
      </c>
      <c r="T97" s="8">
        <f>IF($D97="JEA_NSA","jea_nsa","usec_mun")</f>
        <v/>
      </c>
      <c r="U97" s="16">
        <f>INDEX(param_values,MATCH("container_payload_mt_"&amp;$R97,param_keys,0))</f>
        <v/>
      </c>
      <c r="V97" s="16">
        <f>INDEX(param_values,MATCH("container_payload_mt_"&amp;$R97&amp;"_"&amp;$C97,param_keys,0))</f>
        <v/>
      </c>
      <c r="W97" s="16">
        <f>INDEX(param_values,MATCH("container_payload_mt_20ft_"&amp;$C97,param_keys,0))</f>
        <v/>
      </c>
      <c r="X97" s="18">
        <f>INDEX(param_values,MATCH("port_cf_charges_inr_t_"&amp;$S97,param_keys,0))</f>
        <v/>
      </c>
      <c r="Y97" s="8">
        <f>INDEX(param_values,MATCH(IF($D97="JEA_NSA","psic_required_uae_origin","psic_required_safe_origin_designated_port"),param_keys,0))</f>
        <v/>
      </c>
      <c r="Z97" s="19">
        <f>INDEX(param_values,MATCH("finance_days_"&amp;$T97,param_keys,0))</f>
        <v/>
      </c>
      <c r="AA97" s="15">
        <f>INDEX(param_values,MATCH("moisture_frac_"&amp;$C97,param_keys,0))</f>
        <v/>
      </c>
      <c r="AB97" s="15">
        <f>INDEX(param_values,MATCH("contamination_frac_"&amp;$C97,param_keys,0))</f>
        <v/>
      </c>
      <c r="AC97" s="15">
        <f>INDEX(param_values,MATCH("metal_yield_frac_"&amp;$C97,param_keys,0))</f>
        <v/>
      </c>
      <c r="AD97" s="15">
        <f>INDEX(param_values,MATCH("heavies_frac_"&amp;$C97,param_keys,0))</f>
        <v/>
      </c>
      <c r="AE97" s="8">
        <f>INDEX(param_values,MATCH("grade_factor_diff_"&amp;$C97,param_keys,0))</f>
        <v/>
      </c>
      <c r="AF97" s="16">
        <f>$F97*$P97</f>
        <v/>
      </c>
      <c r="AG97" s="8">
        <f>$U97/$V97</f>
        <v/>
      </c>
      <c r="AH97" s="16">
        <f>$L97*$AG97</f>
        <v/>
      </c>
      <c r="AI97" s="16">
        <f>$AF97-$AH97</f>
        <v/>
      </c>
      <c r="AJ97" s="16">
        <f>insurance_rate*insured_value_uplift*$AF97</f>
        <v/>
      </c>
      <c r="AK97" s="16">
        <f>$AF97+$AJ97</f>
        <v/>
      </c>
      <c r="AL97" s="18">
        <f>$AK97*$J97</f>
        <v/>
      </c>
      <c r="AM97" s="18">
        <f>$AK97*$I97</f>
        <v/>
      </c>
      <c r="AN97" s="18">
        <f>$AL97*bcd_scrap_hs7602</f>
        <v/>
      </c>
      <c r="AO97" s="18">
        <f>$AN97*sws_rate_on_bcd</f>
        <v/>
      </c>
      <c r="AP97" s="18">
        <f>($AL97+$AN97+$AO97)*igst_rate_hs7602</f>
        <v/>
      </c>
      <c r="AQ97" s="18">
        <f>$X97*$AG97+IF($Y97,psic_cost_usd_per_box*$H97/$W97,0)</f>
        <v/>
      </c>
      <c r="AR97" s="18">
        <f>($AM97+$AN97+$AO97)*$Z97/day_count_inr*$O97</f>
        <v/>
      </c>
      <c r="AS97" s="18">
        <f>$AP97*igst_credit_lag_days/day_count_inr*$O97</f>
        <v/>
      </c>
      <c r="AT97" s="18">
        <f>$AM97+$AN97+$AO97+$AQ97+$AR97+$AS97+IF(igst_itc_available,0,$AP97)</f>
        <v/>
      </c>
      <c r="AU97" s="15">
        <f>(1-$AA97)*(1-$AB97)*$AC97</f>
        <v/>
      </c>
      <c r="AV97" s="18">
        <f>$N97*kg_per_mt+domestic_anchor_premium_inr_t</f>
        <v/>
      </c>
      <c r="AW97" s="18">
        <f>(1-$AA97)*$AD97*heavies_net_value_frac_of_lme_al*$F97*$H97</f>
        <v/>
      </c>
      <c r="AX97" s="18">
        <f>conversion_cost_inr_t*$AU97</f>
        <v/>
      </c>
      <c r="AY97" s="18">
        <f>$AV97*$AU97+$AW97-$AT97-$AX97</f>
        <v/>
      </c>
      <c r="AZ97" s="16">
        <f>$AY97/$H97</f>
        <v/>
      </c>
      <c r="BA97" s="8">
        <f>$AY97&gt;margin_threshold_inr_t</f>
        <v/>
      </c>
      <c r="BB97" s="8">
        <f>$Q97+$AE97</f>
        <v/>
      </c>
      <c r="BC97" s="18">
        <f>$AT97-$AQ97</f>
        <v/>
      </c>
      <c r="BD97" s="18">
        <f>$AY97-$BC97*($BB97/$P97-1)</f>
        <v/>
      </c>
      <c r="BE97" s="18">
        <f>$AY97-(conv_step_5a-conversion_cost_inr_t)*$AU97</f>
        <v/>
      </c>
      <c r="BF97" s="8">
        <f>$BA97</f>
        <v/>
      </c>
      <c r="BG97" s="8">
        <f>$BD97&gt;margin_threshold_inr_t</f>
        <v/>
      </c>
      <c r="BH97" s="8">
        <f>$BE97&gt;margin_threshold_inr_t</f>
        <v/>
      </c>
      <c r="BI97" s="8">
        <f>AND($BF97,$BG97,$BH97)</f>
        <v/>
      </c>
      <c r="BJ97" s="8">
        <f>IF($BI97,1,0)</f>
        <v/>
      </c>
    </row>
    <row r="98">
      <c r="A98" s="11" t="n">
        <v>44673</v>
      </c>
      <c r="B98" s="11" t="n">
        <v>44673</v>
      </c>
      <c r="C98" s="7" t="inlineStr">
        <is>
          <t>taint_tabor</t>
        </is>
      </c>
      <c r="D98" s="7" t="inlineStr">
        <is>
          <t>JEA_NSA</t>
        </is>
      </c>
      <c r="E98" s="17" t="b">
        <v>1</v>
      </c>
      <c r="F98" s="16">
        <f>INDEX(Market_Weekly!$E$6:$E$48,MATCH($A98,Market_Weekly!$A$6:$A$48,0))</f>
        <v/>
      </c>
      <c r="G98" s="16">
        <f>INDEX(Market_Weekly!$D$6:$D$48,MATCH($A98,Market_Weekly!$A$6:$A$48,0))</f>
        <v/>
      </c>
      <c r="H98" s="16">
        <f>INDEX(Market_Weekly!$G$6:$G$48,MATCH($A98,Market_Weekly!$A$6:$A$48,0))</f>
        <v/>
      </c>
      <c r="I98" s="8">
        <f>INDEX(Market_Weekly!$H$6:$H$48,MATCH($A98,Market_Weekly!$A$6:$A$48,0))</f>
        <v/>
      </c>
      <c r="J98" s="8">
        <f>INDEX(Market_Weekly!$Q$6:$Q$48,MATCH($A98,Market_Weekly!$A$6:$A$48,0))</f>
        <v/>
      </c>
      <c r="K98" s="8">
        <f>INDEX(Market_Weekly!$V$6:$V$48,MATCH($A98,Market_Weekly!$A$6:$A$48,0))</f>
        <v/>
      </c>
      <c r="L98" s="16">
        <f>IF($D98="JEA_NSA",INDEX(Market_Weekly!$N$6:$N$48,MATCH($A98,Market_Weekly!$A$6:$A$48,0)),INDEX(Market_Weekly!$O$6:$O$48,MATCH($A98,Market_Weekly!$A$6:$A$48,0)))</f>
        <v/>
      </c>
      <c r="M98" s="8">
        <f>IF($D98="JEA_NSA","M1","M2")</f>
        <v/>
      </c>
      <c r="N98" s="16">
        <f>IF($D98="JEA_NSA",INDEX(Market_Weekly!$L$6:$L$48,MATCH($A98,Market_Weekly!$A$6:$A$48,0)),INDEX(Market_Weekly!$M$6:$M$48,MATCH($A98,Market_Weekly!$A$6:$A$48,0)))</f>
        <v/>
      </c>
      <c r="O98" s="15">
        <f>INDEX(Market_Weekly!$P$6:$P$48,MATCH($A98,Market_Weekly!$A$6:$A$48,0))</f>
        <v/>
      </c>
      <c r="P98" s="8">
        <f>INDEX(Market_Weekly!$R$6:$T$48,MATCH($A98,Market_Weekly!$A$6:$A$48,0),MATCH("grade_factor_"&amp;$C98,Market_Weekly!$R$5:$T$5,0))</f>
        <v/>
      </c>
      <c r="Q98" s="8">
        <f>INDEX(Market_Weekly!$U$6:$U$48,MATCH($A98,Market_Weekly!$A$6:$A$48,0))</f>
        <v/>
      </c>
      <c r="R98" s="8">
        <f>IF($D98="JEA_NSA","20ft","40ft")</f>
        <v/>
      </c>
      <c r="S98" s="8">
        <f>IF($D98="JEA_NSA","nsa","mun")</f>
        <v/>
      </c>
      <c r="T98" s="8">
        <f>IF($D98="JEA_NSA","jea_nsa","usec_mun")</f>
        <v/>
      </c>
      <c r="U98" s="16">
        <f>INDEX(param_values,MATCH("container_payload_mt_"&amp;$R98,param_keys,0))</f>
        <v/>
      </c>
      <c r="V98" s="16">
        <f>INDEX(param_values,MATCH("container_payload_mt_"&amp;$R98&amp;"_"&amp;$C98,param_keys,0))</f>
        <v/>
      </c>
      <c r="W98" s="16">
        <f>INDEX(param_values,MATCH("container_payload_mt_20ft_"&amp;$C98,param_keys,0))</f>
        <v/>
      </c>
      <c r="X98" s="18">
        <f>INDEX(param_values,MATCH("port_cf_charges_inr_t_"&amp;$S98,param_keys,0))</f>
        <v/>
      </c>
      <c r="Y98" s="8">
        <f>INDEX(param_values,MATCH(IF($D98="JEA_NSA","psic_required_uae_origin","psic_required_safe_origin_designated_port"),param_keys,0))</f>
        <v/>
      </c>
      <c r="Z98" s="19">
        <f>INDEX(param_values,MATCH("finance_days_"&amp;$T98,param_keys,0))</f>
        <v/>
      </c>
      <c r="AA98" s="15">
        <f>INDEX(param_values,MATCH("moisture_frac_"&amp;$C98,param_keys,0))</f>
        <v/>
      </c>
      <c r="AB98" s="15">
        <f>INDEX(param_values,MATCH("contamination_frac_"&amp;$C98,param_keys,0))</f>
        <v/>
      </c>
      <c r="AC98" s="15">
        <f>INDEX(param_values,MATCH("metal_yield_frac_"&amp;$C98,param_keys,0))</f>
        <v/>
      </c>
      <c r="AD98" s="15">
        <f>INDEX(param_values,MATCH("heavies_frac_"&amp;$C98,param_keys,0))</f>
        <v/>
      </c>
      <c r="AE98" s="8">
        <f>INDEX(param_values,MATCH("grade_factor_diff_"&amp;$C98,param_keys,0))</f>
        <v/>
      </c>
      <c r="AF98" s="16">
        <f>$F98*$P98</f>
        <v/>
      </c>
      <c r="AG98" s="8">
        <f>$U98/$V98</f>
        <v/>
      </c>
      <c r="AH98" s="16">
        <f>$L98*$AG98</f>
        <v/>
      </c>
      <c r="AI98" s="16">
        <f>$AF98-$AH98</f>
        <v/>
      </c>
      <c r="AJ98" s="16">
        <f>insurance_rate*insured_value_uplift*$AF98</f>
        <v/>
      </c>
      <c r="AK98" s="16">
        <f>$AF98+$AJ98</f>
        <v/>
      </c>
      <c r="AL98" s="18">
        <f>$AK98*$J98</f>
        <v/>
      </c>
      <c r="AM98" s="18">
        <f>$AK98*$I98</f>
        <v/>
      </c>
      <c r="AN98" s="18">
        <f>$AL98*bcd_scrap_hs7602</f>
        <v/>
      </c>
      <c r="AO98" s="18">
        <f>$AN98*sws_rate_on_bcd</f>
        <v/>
      </c>
      <c r="AP98" s="18">
        <f>($AL98+$AN98+$AO98)*igst_rate_hs7602</f>
        <v/>
      </c>
      <c r="AQ98" s="18">
        <f>$X98*$AG98+IF($Y98,psic_cost_usd_per_box*$H98/$W98,0)</f>
        <v/>
      </c>
      <c r="AR98" s="18">
        <f>($AM98+$AN98+$AO98)*$Z98/day_count_inr*$O98</f>
        <v/>
      </c>
      <c r="AS98" s="18">
        <f>$AP98*igst_credit_lag_days/day_count_inr*$O98</f>
        <v/>
      </c>
      <c r="AT98" s="18">
        <f>$AM98+$AN98+$AO98+$AQ98+$AR98+$AS98+IF(igst_itc_available,0,$AP98)</f>
        <v/>
      </c>
      <c r="AU98" s="15">
        <f>(1-$AA98)*(1-$AB98)*$AC98</f>
        <v/>
      </c>
      <c r="AV98" s="18">
        <f>$N98*kg_per_mt+domestic_anchor_premium_inr_t</f>
        <v/>
      </c>
      <c r="AW98" s="18">
        <f>(1-$AA98)*$AD98*heavies_net_value_frac_of_lme_al*$F98*$H98</f>
        <v/>
      </c>
      <c r="AX98" s="18">
        <f>conversion_cost_inr_t*$AU98</f>
        <v/>
      </c>
      <c r="AY98" s="18">
        <f>$AV98*$AU98+$AW98-$AT98-$AX98</f>
        <v/>
      </c>
      <c r="AZ98" s="16">
        <f>$AY98/$H98</f>
        <v/>
      </c>
      <c r="BA98" s="8">
        <f>$AY98&gt;margin_threshold_inr_t</f>
        <v/>
      </c>
      <c r="BB98" s="8">
        <f>$Q98+$AE98</f>
        <v/>
      </c>
      <c r="BC98" s="18">
        <f>$AT98-$AQ98</f>
        <v/>
      </c>
      <c r="BD98" s="18">
        <f>$AY98-$BC98*($BB98/$P98-1)</f>
        <v/>
      </c>
      <c r="BE98" s="18">
        <f>$AY98-(conv_step_5a-conversion_cost_inr_t)*$AU98</f>
        <v/>
      </c>
      <c r="BF98" s="8">
        <f>$BA98</f>
        <v/>
      </c>
      <c r="BG98" s="8">
        <f>$BD98&gt;margin_threshold_inr_t</f>
        <v/>
      </c>
      <c r="BH98" s="8">
        <f>$BE98&gt;margin_threshold_inr_t</f>
        <v/>
      </c>
      <c r="BI98" s="8">
        <f>AND($BF98,$BG98,$BH98)</f>
        <v/>
      </c>
      <c r="BJ98" s="8">
        <f>IF($BI98,1,0)</f>
        <v/>
      </c>
    </row>
    <row r="99">
      <c r="A99" s="11" t="n">
        <v>44673</v>
      </c>
      <c r="B99" s="11" t="n">
        <v>44673</v>
      </c>
      <c r="C99" s="7" t="inlineStr">
        <is>
          <t>taint_tabor</t>
        </is>
      </c>
      <c r="D99" s="7" t="inlineStr">
        <is>
          <t>USEC_MUN</t>
        </is>
      </c>
      <c r="E99" s="17" t="b">
        <v>1</v>
      </c>
      <c r="F99" s="16">
        <f>INDEX(Market_Weekly!$E$6:$E$48,MATCH($A99,Market_Weekly!$A$6:$A$48,0))</f>
        <v/>
      </c>
      <c r="G99" s="16">
        <f>INDEX(Market_Weekly!$D$6:$D$48,MATCH($A99,Market_Weekly!$A$6:$A$48,0))</f>
        <v/>
      </c>
      <c r="H99" s="16">
        <f>INDEX(Market_Weekly!$G$6:$G$48,MATCH($A99,Market_Weekly!$A$6:$A$48,0))</f>
        <v/>
      </c>
      <c r="I99" s="8">
        <f>INDEX(Market_Weekly!$H$6:$H$48,MATCH($A99,Market_Weekly!$A$6:$A$48,0))</f>
        <v/>
      </c>
      <c r="J99" s="8">
        <f>INDEX(Market_Weekly!$Q$6:$Q$48,MATCH($A99,Market_Weekly!$A$6:$A$48,0))</f>
        <v/>
      </c>
      <c r="K99" s="8">
        <f>INDEX(Market_Weekly!$V$6:$V$48,MATCH($A99,Market_Weekly!$A$6:$A$48,0))</f>
        <v/>
      </c>
      <c r="L99" s="16">
        <f>IF($D99="JEA_NSA",INDEX(Market_Weekly!$N$6:$N$48,MATCH($A99,Market_Weekly!$A$6:$A$48,0)),INDEX(Market_Weekly!$O$6:$O$48,MATCH($A99,Market_Weekly!$A$6:$A$48,0)))</f>
        <v/>
      </c>
      <c r="M99" s="8">
        <f>IF($D99="JEA_NSA","M1","M2")</f>
        <v/>
      </c>
      <c r="N99" s="16">
        <f>IF($D99="JEA_NSA",INDEX(Market_Weekly!$L$6:$L$48,MATCH($A99,Market_Weekly!$A$6:$A$48,0)),INDEX(Market_Weekly!$M$6:$M$48,MATCH($A99,Market_Weekly!$A$6:$A$48,0)))</f>
        <v/>
      </c>
      <c r="O99" s="15">
        <f>INDEX(Market_Weekly!$P$6:$P$48,MATCH($A99,Market_Weekly!$A$6:$A$48,0))</f>
        <v/>
      </c>
      <c r="P99" s="8">
        <f>INDEX(Market_Weekly!$R$6:$T$48,MATCH($A99,Market_Weekly!$A$6:$A$48,0),MATCH("grade_factor_"&amp;$C99,Market_Weekly!$R$5:$T$5,0))</f>
        <v/>
      </c>
      <c r="Q99" s="8">
        <f>INDEX(Market_Weekly!$U$6:$U$48,MATCH($A99,Market_Weekly!$A$6:$A$48,0))</f>
        <v/>
      </c>
      <c r="R99" s="8">
        <f>IF($D99="JEA_NSA","20ft","40ft")</f>
        <v/>
      </c>
      <c r="S99" s="8">
        <f>IF($D99="JEA_NSA","nsa","mun")</f>
        <v/>
      </c>
      <c r="T99" s="8">
        <f>IF($D99="JEA_NSA","jea_nsa","usec_mun")</f>
        <v/>
      </c>
      <c r="U99" s="16">
        <f>INDEX(param_values,MATCH("container_payload_mt_"&amp;$R99,param_keys,0))</f>
        <v/>
      </c>
      <c r="V99" s="16">
        <f>INDEX(param_values,MATCH("container_payload_mt_"&amp;$R99&amp;"_"&amp;$C99,param_keys,0))</f>
        <v/>
      </c>
      <c r="W99" s="16">
        <f>INDEX(param_values,MATCH("container_payload_mt_20ft_"&amp;$C99,param_keys,0))</f>
        <v/>
      </c>
      <c r="X99" s="18">
        <f>INDEX(param_values,MATCH("port_cf_charges_inr_t_"&amp;$S99,param_keys,0))</f>
        <v/>
      </c>
      <c r="Y99" s="8">
        <f>INDEX(param_values,MATCH(IF($D99="JEA_NSA","psic_required_uae_origin","psic_required_safe_origin_designated_port"),param_keys,0))</f>
        <v/>
      </c>
      <c r="Z99" s="19">
        <f>INDEX(param_values,MATCH("finance_days_"&amp;$T99,param_keys,0))</f>
        <v/>
      </c>
      <c r="AA99" s="15">
        <f>INDEX(param_values,MATCH("moisture_frac_"&amp;$C99,param_keys,0))</f>
        <v/>
      </c>
      <c r="AB99" s="15">
        <f>INDEX(param_values,MATCH("contamination_frac_"&amp;$C99,param_keys,0))</f>
        <v/>
      </c>
      <c r="AC99" s="15">
        <f>INDEX(param_values,MATCH("metal_yield_frac_"&amp;$C99,param_keys,0))</f>
        <v/>
      </c>
      <c r="AD99" s="15">
        <f>INDEX(param_values,MATCH("heavies_frac_"&amp;$C99,param_keys,0))</f>
        <v/>
      </c>
      <c r="AE99" s="8">
        <f>INDEX(param_values,MATCH("grade_factor_diff_"&amp;$C99,param_keys,0))</f>
        <v/>
      </c>
      <c r="AF99" s="16">
        <f>$F99*$P99</f>
        <v/>
      </c>
      <c r="AG99" s="8">
        <f>$U99/$V99</f>
        <v/>
      </c>
      <c r="AH99" s="16">
        <f>$L99*$AG99</f>
        <v/>
      </c>
      <c r="AI99" s="16">
        <f>$AF99-$AH99</f>
        <v/>
      </c>
      <c r="AJ99" s="16">
        <f>insurance_rate*insured_value_uplift*$AF99</f>
        <v/>
      </c>
      <c r="AK99" s="16">
        <f>$AF99+$AJ99</f>
        <v/>
      </c>
      <c r="AL99" s="18">
        <f>$AK99*$J99</f>
        <v/>
      </c>
      <c r="AM99" s="18">
        <f>$AK99*$I99</f>
        <v/>
      </c>
      <c r="AN99" s="18">
        <f>$AL99*bcd_scrap_hs7602</f>
        <v/>
      </c>
      <c r="AO99" s="18">
        <f>$AN99*sws_rate_on_bcd</f>
        <v/>
      </c>
      <c r="AP99" s="18">
        <f>($AL99+$AN99+$AO99)*igst_rate_hs7602</f>
        <v/>
      </c>
      <c r="AQ99" s="18">
        <f>$X99*$AG99+IF($Y99,psic_cost_usd_per_box*$H99/$W99,0)</f>
        <v/>
      </c>
      <c r="AR99" s="18">
        <f>($AM99+$AN99+$AO99)*$Z99/day_count_inr*$O99</f>
        <v/>
      </c>
      <c r="AS99" s="18">
        <f>$AP99*igst_credit_lag_days/day_count_inr*$O99</f>
        <v/>
      </c>
      <c r="AT99" s="18">
        <f>$AM99+$AN99+$AO99+$AQ99+$AR99+$AS99+IF(igst_itc_available,0,$AP99)</f>
        <v/>
      </c>
      <c r="AU99" s="15">
        <f>(1-$AA99)*(1-$AB99)*$AC99</f>
        <v/>
      </c>
      <c r="AV99" s="18">
        <f>$N99*kg_per_mt+domestic_anchor_premium_inr_t</f>
        <v/>
      </c>
      <c r="AW99" s="18">
        <f>(1-$AA99)*$AD99*heavies_net_value_frac_of_lme_al*$F99*$H99</f>
        <v/>
      </c>
      <c r="AX99" s="18">
        <f>conversion_cost_inr_t*$AU99</f>
        <v/>
      </c>
      <c r="AY99" s="18">
        <f>$AV99*$AU99+$AW99-$AT99-$AX99</f>
        <v/>
      </c>
      <c r="AZ99" s="16">
        <f>$AY99/$H99</f>
        <v/>
      </c>
      <c r="BA99" s="8">
        <f>$AY99&gt;margin_threshold_inr_t</f>
        <v/>
      </c>
      <c r="BB99" s="8">
        <f>$Q99+$AE99</f>
        <v/>
      </c>
      <c r="BC99" s="18">
        <f>$AT99-$AQ99</f>
        <v/>
      </c>
      <c r="BD99" s="18">
        <f>$AY99-$BC99*($BB99/$P99-1)</f>
        <v/>
      </c>
      <c r="BE99" s="18">
        <f>$AY99-(conv_step_5a-conversion_cost_inr_t)*$AU99</f>
        <v/>
      </c>
      <c r="BF99" s="8">
        <f>$BA99</f>
        <v/>
      </c>
      <c r="BG99" s="8">
        <f>$BD99&gt;margin_threshold_inr_t</f>
        <v/>
      </c>
      <c r="BH99" s="8">
        <f>$BE99&gt;margin_threshold_inr_t</f>
        <v/>
      </c>
      <c r="BI99" s="8">
        <f>AND($BF99,$BG99,$BH99)</f>
        <v/>
      </c>
      <c r="BJ99" s="8">
        <f>IF($BI99,1,0)</f>
        <v/>
      </c>
    </row>
    <row r="100">
      <c r="A100" s="11" t="n">
        <v>44673</v>
      </c>
      <c r="B100" s="11" t="n">
        <v>44673</v>
      </c>
      <c r="C100" s="7" t="inlineStr">
        <is>
          <t>tense</t>
        </is>
      </c>
      <c r="D100" s="7" t="inlineStr">
        <is>
          <t>JEA_NSA</t>
        </is>
      </c>
      <c r="E100" s="17" t="b">
        <v>1</v>
      </c>
      <c r="F100" s="16">
        <f>INDEX(Market_Weekly!$E$6:$E$48,MATCH($A100,Market_Weekly!$A$6:$A$48,0))</f>
        <v/>
      </c>
      <c r="G100" s="16">
        <f>INDEX(Market_Weekly!$D$6:$D$48,MATCH($A100,Market_Weekly!$A$6:$A$48,0))</f>
        <v/>
      </c>
      <c r="H100" s="16">
        <f>INDEX(Market_Weekly!$G$6:$G$48,MATCH($A100,Market_Weekly!$A$6:$A$48,0))</f>
        <v/>
      </c>
      <c r="I100" s="8">
        <f>INDEX(Market_Weekly!$H$6:$H$48,MATCH($A100,Market_Weekly!$A$6:$A$48,0))</f>
        <v/>
      </c>
      <c r="J100" s="8">
        <f>INDEX(Market_Weekly!$Q$6:$Q$48,MATCH($A100,Market_Weekly!$A$6:$A$48,0))</f>
        <v/>
      </c>
      <c r="K100" s="8">
        <f>INDEX(Market_Weekly!$V$6:$V$48,MATCH($A100,Market_Weekly!$A$6:$A$48,0))</f>
        <v/>
      </c>
      <c r="L100" s="16">
        <f>IF($D100="JEA_NSA",INDEX(Market_Weekly!$N$6:$N$48,MATCH($A100,Market_Weekly!$A$6:$A$48,0)),INDEX(Market_Weekly!$O$6:$O$48,MATCH($A100,Market_Weekly!$A$6:$A$48,0)))</f>
        <v/>
      </c>
      <c r="M100" s="8">
        <f>IF($D100="JEA_NSA","M1","M2")</f>
        <v/>
      </c>
      <c r="N100" s="16">
        <f>IF($D100="JEA_NSA",INDEX(Market_Weekly!$L$6:$L$48,MATCH($A100,Market_Weekly!$A$6:$A$48,0)),INDEX(Market_Weekly!$M$6:$M$48,MATCH($A100,Market_Weekly!$A$6:$A$48,0)))</f>
        <v/>
      </c>
      <c r="O100" s="15">
        <f>INDEX(Market_Weekly!$P$6:$P$48,MATCH($A100,Market_Weekly!$A$6:$A$48,0))</f>
        <v/>
      </c>
      <c r="P100" s="8">
        <f>INDEX(Market_Weekly!$R$6:$T$48,MATCH($A100,Market_Weekly!$A$6:$A$48,0),MATCH("grade_factor_"&amp;$C100,Market_Weekly!$R$5:$T$5,0))</f>
        <v/>
      </c>
      <c r="Q100" s="8">
        <f>INDEX(Market_Weekly!$U$6:$U$48,MATCH($A100,Market_Weekly!$A$6:$A$48,0))</f>
        <v/>
      </c>
      <c r="R100" s="8">
        <f>IF($D100="JEA_NSA","20ft","40ft")</f>
        <v/>
      </c>
      <c r="S100" s="8">
        <f>IF($D100="JEA_NSA","nsa","mun")</f>
        <v/>
      </c>
      <c r="T100" s="8">
        <f>IF($D100="JEA_NSA","jea_nsa","usec_mun")</f>
        <v/>
      </c>
      <c r="U100" s="16">
        <f>INDEX(param_values,MATCH("container_payload_mt_"&amp;$R100,param_keys,0))</f>
        <v/>
      </c>
      <c r="V100" s="16">
        <f>INDEX(param_values,MATCH("container_payload_mt_"&amp;$R100&amp;"_"&amp;$C100,param_keys,0))</f>
        <v/>
      </c>
      <c r="W100" s="16">
        <f>INDEX(param_values,MATCH("container_payload_mt_20ft_"&amp;$C100,param_keys,0))</f>
        <v/>
      </c>
      <c r="X100" s="18">
        <f>INDEX(param_values,MATCH("port_cf_charges_inr_t_"&amp;$S100,param_keys,0))</f>
        <v/>
      </c>
      <c r="Y100" s="8">
        <f>INDEX(param_values,MATCH(IF($D100="JEA_NSA","psic_required_uae_origin","psic_required_safe_origin_designated_port"),param_keys,0))</f>
        <v/>
      </c>
      <c r="Z100" s="19">
        <f>INDEX(param_values,MATCH("finance_days_"&amp;$T100,param_keys,0))</f>
        <v/>
      </c>
      <c r="AA100" s="15">
        <f>INDEX(param_values,MATCH("moisture_frac_"&amp;$C100,param_keys,0))</f>
        <v/>
      </c>
      <c r="AB100" s="15">
        <f>INDEX(param_values,MATCH("contamination_frac_"&amp;$C100,param_keys,0))</f>
        <v/>
      </c>
      <c r="AC100" s="15">
        <f>INDEX(param_values,MATCH("metal_yield_frac_"&amp;$C100,param_keys,0))</f>
        <v/>
      </c>
      <c r="AD100" s="15">
        <f>INDEX(param_values,MATCH("heavies_frac_"&amp;$C100,param_keys,0))</f>
        <v/>
      </c>
      <c r="AE100" s="8">
        <f>INDEX(param_values,MATCH("grade_factor_diff_"&amp;$C100,param_keys,0))</f>
        <v/>
      </c>
      <c r="AF100" s="16">
        <f>$F100*$P100</f>
        <v/>
      </c>
      <c r="AG100" s="8">
        <f>$U100/$V100</f>
        <v/>
      </c>
      <c r="AH100" s="16">
        <f>$L100*$AG100</f>
        <v/>
      </c>
      <c r="AI100" s="16">
        <f>$AF100-$AH100</f>
        <v/>
      </c>
      <c r="AJ100" s="16">
        <f>insurance_rate*insured_value_uplift*$AF100</f>
        <v/>
      </c>
      <c r="AK100" s="16">
        <f>$AF100+$AJ100</f>
        <v/>
      </c>
      <c r="AL100" s="18">
        <f>$AK100*$J100</f>
        <v/>
      </c>
      <c r="AM100" s="18">
        <f>$AK100*$I100</f>
        <v/>
      </c>
      <c r="AN100" s="18">
        <f>$AL100*bcd_scrap_hs7602</f>
        <v/>
      </c>
      <c r="AO100" s="18">
        <f>$AN100*sws_rate_on_bcd</f>
        <v/>
      </c>
      <c r="AP100" s="18">
        <f>($AL100+$AN100+$AO100)*igst_rate_hs7602</f>
        <v/>
      </c>
      <c r="AQ100" s="18">
        <f>$X100*$AG100+IF($Y100,psic_cost_usd_per_box*$H100/$W100,0)</f>
        <v/>
      </c>
      <c r="AR100" s="18">
        <f>($AM100+$AN100+$AO100)*$Z100/day_count_inr*$O100</f>
        <v/>
      </c>
      <c r="AS100" s="18">
        <f>$AP100*igst_credit_lag_days/day_count_inr*$O100</f>
        <v/>
      </c>
      <c r="AT100" s="18">
        <f>$AM100+$AN100+$AO100+$AQ100+$AR100+$AS100+IF(igst_itc_available,0,$AP100)</f>
        <v/>
      </c>
      <c r="AU100" s="15">
        <f>(1-$AA100)*(1-$AB100)*$AC100</f>
        <v/>
      </c>
      <c r="AV100" s="18">
        <f>$N100*kg_per_mt+domestic_anchor_premium_inr_t</f>
        <v/>
      </c>
      <c r="AW100" s="18">
        <f>(1-$AA100)*$AD100*heavies_net_value_frac_of_lme_al*$F100*$H100</f>
        <v/>
      </c>
      <c r="AX100" s="18">
        <f>conversion_cost_inr_t*$AU100</f>
        <v/>
      </c>
      <c r="AY100" s="18">
        <f>$AV100*$AU100+$AW100-$AT100-$AX100</f>
        <v/>
      </c>
      <c r="AZ100" s="16">
        <f>$AY100/$H100</f>
        <v/>
      </c>
      <c r="BA100" s="8">
        <f>$AY100&gt;margin_threshold_inr_t</f>
        <v/>
      </c>
      <c r="BB100" s="8">
        <f>$Q100+$AE100</f>
        <v/>
      </c>
      <c r="BC100" s="18">
        <f>$AT100-$AQ100</f>
        <v/>
      </c>
      <c r="BD100" s="18">
        <f>$AY100-$BC100*($BB100/$P100-1)</f>
        <v/>
      </c>
      <c r="BE100" s="18">
        <f>$AY100-(conv_step_5a-conversion_cost_inr_t)*$AU100</f>
        <v/>
      </c>
      <c r="BF100" s="8">
        <f>$BA100</f>
        <v/>
      </c>
      <c r="BG100" s="8">
        <f>$BD100&gt;margin_threshold_inr_t</f>
        <v/>
      </c>
      <c r="BH100" s="8">
        <f>$BE100&gt;margin_threshold_inr_t</f>
        <v/>
      </c>
      <c r="BI100" s="8">
        <f>AND($BF100,$BG100,$BH100)</f>
        <v/>
      </c>
      <c r="BJ100" s="8">
        <f>IF($BI100,1,0)</f>
        <v/>
      </c>
    </row>
    <row r="101">
      <c r="A101" s="11" t="n">
        <v>44673</v>
      </c>
      <c r="B101" s="11" t="n">
        <v>44673</v>
      </c>
      <c r="C101" s="7" t="inlineStr">
        <is>
          <t>tense</t>
        </is>
      </c>
      <c r="D101" s="7" t="inlineStr">
        <is>
          <t>USEC_MUN</t>
        </is>
      </c>
      <c r="E101" s="17" t="b">
        <v>1</v>
      </c>
      <c r="F101" s="16">
        <f>INDEX(Market_Weekly!$E$6:$E$48,MATCH($A101,Market_Weekly!$A$6:$A$48,0))</f>
        <v/>
      </c>
      <c r="G101" s="16">
        <f>INDEX(Market_Weekly!$D$6:$D$48,MATCH($A101,Market_Weekly!$A$6:$A$48,0))</f>
        <v/>
      </c>
      <c r="H101" s="16">
        <f>INDEX(Market_Weekly!$G$6:$G$48,MATCH($A101,Market_Weekly!$A$6:$A$48,0))</f>
        <v/>
      </c>
      <c r="I101" s="8">
        <f>INDEX(Market_Weekly!$H$6:$H$48,MATCH($A101,Market_Weekly!$A$6:$A$48,0))</f>
        <v/>
      </c>
      <c r="J101" s="8">
        <f>INDEX(Market_Weekly!$Q$6:$Q$48,MATCH($A101,Market_Weekly!$A$6:$A$48,0))</f>
        <v/>
      </c>
      <c r="K101" s="8">
        <f>INDEX(Market_Weekly!$V$6:$V$48,MATCH($A101,Market_Weekly!$A$6:$A$48,0))</f>
        <v/>
      </c>
      <c r="L101" s="16">
        <f>IF($D101="JEA_NSA",INDEX(Market_Weekly!$N$6:$N$48,MATCH($A101,Market_Weekly!$A$6:$A$48,0)),INDEX(Market_Weekly!$O$6:$O$48,MATCH($A101,Market_Weekly!$A$6:$A$48,0)))</f>
        <v/>
      </c>
      <c r="M101" s="8">
        <f>IF($D101="JEA_NSA","M1","M2")</f>
        <v/>
      </c>
      <c r="N101" s="16">
        <f>IF($D101="JEA_NSA",INDEX(Market_Weekly!$L$6:$L$48,MATCH($A101,Market_Weekly!$A$6:$A$48,0)),INDEX(Market_Weekly!$M$6:$M$48,MATCH($A101,Market_Weekly!$A$6:$A$48,0)))</f>
        <v/>
      </c>
      <c r="O101" s="15">
        <f>INDEX(Market_Weekly!$P$6:$P$48,MATCH($A101,Market_Weekly!$A$6:$A$48,0))</f>
        <v/>
      </c>
      <c r="P101" s="8">
        <f>INDEX(Market_Weekly!$R$6:$T$48,MATCH($A101,Market_Weekly!$A$6:$A$48,0),MATCH("grade_factor_"&amp;$C101,Market_Weekly!$R$5:$T$5,0))</f>
        <v/>
      </c>
      <c r="Q101" s="8">
        <f>INDEX(Market_Weekly!$U$6:$U$48,MATCH($A101,Market_Weekly!$A$6:$A$48,0))</f>
        <v/>
      </c>
      <c r="R101" s="8">
        <f>IF($D101="JEA_NSA","20ft","40ft")</f>
        <v/>
      </c>
      <c r="S101" s="8">
        <f>IF($D101="JEA_NSA","nsa","mun")</f>
        <v/>
      </c>
      <c r="T101" s="8">
        <f>IF($D101="JEA_NSA","jea_nsa","usec_mun")</f>
        <v/>
      </c>
      <c r="U101" s="16">
        <f>INDEX(param_values,MATCH("container_payload_mt_"&amp;$R101,param_keys,0))</f>
        <v/>
      </c>
      <c r="V101" s="16">
        <f>INDEX(param_values,MATCH("container_payload_mt_"&amp;$R101&amp;"_"&amp;$C101,param_keys,0))</f>
        <v/>
      </c>
      <c r="W101" s="16">
        <f>INDEX(param_values,MATCH("container_payload_mt_20ft_"&amp;$C101,param_keys,0))</f>
        <v/>
      </c>
      <c r="X101" s="18">
        <f>INDEX(param_values,MATCH("port_cf_charges_inr_t_"&amp;$S101,param_keys,0))</f>
        <v/>
      </c>
      <c r="Y101" s="8">
        <f>INDEX(param_values,MATCH(IF($D101="JEA_NSA","psic_required_uae_origin","psic_required_safe_origin_designated_port"),param_keys,0))</f>
        <v/>
      </c>
      <c r="Z101" s="19">
        <f>INDEX(param_values,MATCH("finance_days_"&amp;$T101,param_keys,0))</f>
        <v/>
      </c>
      <c r="AA101" s="15">
        <f>INDEX(param_values,MATCH("moisture_frac_"&amp;$C101,param_keys,0))</f>
        <v/>
      </c>
      <c r="AB101" s="15">
        <f>INDEX(param_values,MATCH("contamination_frac_"&amp;$C101,param_keys,0))</f>
        <v/>
      </c>
      <c r="AC101" s="15">
        <f>INDEX(param_values,MATCH("metal_yield_frac_"&amp;$C101,param_keys,0))</f>
        <v/>
      </c>
      <c r="AD101" s="15">
        <f>INDEX(param_values,MATCH("heavies_frac_"&amp;$C101,param_keys,0))</f>
        <v/>
      </c>
      <c r="AE101" s="8">
        <f>INDEX(param_values,MATCH("grade_factor_diff_"&amp;$C101,param_keys,0))</f>
        <v/>
      </c>
      <c r="AF101" s="16">
        <f>$F101*$P101</f>
        <v/>
      </c>
      <c r="AG101" s="8">
        <f>$U101/$V101</f>
        <v/>
      </c>
      <c r="AH101" s="16">
        <f>$L101*$AG101</f>
        <v/>
      </c>
      <c r="AI101" s="16">
        <f>$AF101-$AH101</f>
        <v/>
      </c>
      <c r="AJ101" s="16">
        <f>insurance_rate*insured_value_uplift*$AF101</f>
        <v/>
      </c>
      <c r="AK101" s="16">
        <f>$AF101+$AJ101</f>
        <v/>
      </c>
      <c r="AL101" s="18">
        <f>$AK101*$J101</f>
        <v/>
      </c>
      <c r="AM101" s="18">
        <f>$AK101*$I101</f>
        <v/>
      </c>
      <c r="AN101" s="18">
        <f>$AL101*bcd_scrap_hs7602</f>
        <v/>
      </c>
      <c r="AO101" s="18">
        <f>$AN101*sws_rate_on_bcd</f>
        <v/>
      </c>
      <c r="AP101" s="18">
        <f>($AL101+$AN101+$AO101)*igst_rate_hs7602</f>
        <v/>
      </c>
      <c r="AQ101" s="18">
        <f>$X101*$AG101+IF($Y101,psic_cost_usd_per_box*$H101/$W101,0)</f>
        <v/>
      </c>
      <c r="AR101" s="18">
        <f>($AM101+$AN101+$AO101)*$Z101/day_count_inr*$O101</f>
        <v/>
      </c>
      <c r="AS101" s="18">
        <f>$AP101*igst_credit_lag_days/day_count_inr*$O101</f>
        <v/>
      </c>
      <c r="AT101" s="18">
        <f>$AM101+$AN101+$AO101+$AQ101+$AR101+$AS101+IF(igst_itc_available,0,$AP101)</f>
        <v/>
      </c>
      <c r="AU101" s="15">
        <f>(1-$AA101)*(1-$AB101)*$AC101</f>
        <v/>
      </c>
      <c r="AV101" s="18">
        <f>$N101*kg_per_mt+domestic_anchor_premium_inr_t</f>
        <v/>
      </c>
      <c r="AW101" s="18">
        <f>(1-$AA101)*$AD101*heavies_net_value_frac_of_lme_al*$F101*$H101</f>
        <v/>
      </c>
      <c r="AX101" s="18">
        <f>conversion_cost_inr_t*$AU101</f>
        <v/>
      </c>
      <c r="AY101" s="18">
        <f>$AV101*$AU101+$AW101-$AT101-$AX101</f>
        <v/>
      </c>
      <c r="AZ101" s="16">
        <f>$AY101/$H101</f>
        <v/>
      </c>
      <c r="BA101" s="8">
        <f>$AY101&gt;margin_threshold_inr_t</f>
        <v/>
      </c>
      <c r="BB101" s="8">
        <f>$Q101+$AE101</f>
        <v/>
      </c>
      <c r="BC101" s="18">
        <f>$AT101-$AQ101</f>
        <v/>
      </c>
      <c r="BD101" s="18">
        <f>$AY101-$BC101*($BB101/$P101-1)</f>
        <v/>
      </c>
      <c r="BE101" s="18">
        <f>$AY101-(conv_step_5a-conversion_cost_inr_t)*$AU101</f>
        <v/>
      </c>
      <c r="BF101" s="8">
        <f>$BA101</f>
        <v/>
      </c>
      <c r="BG101" s="8">
        <f>$BD101&gt;margin_threshold_inr_t</f>
        <v/>
      </c>
      <c r="BH101" s="8">
        <f>$BE101&gt;margin_threshold_inr_t</f>
        <v/>
      </c>
      <c r="BI101" s="8">
        <f>AND($BF101,$BG101,$BH101)</f>
        <v/>
      </c>
      <c r="BJ101" s="8">
        <f>IF($BI101,1,0)</f>
        <v/>
      </c>
    </row>
    <row r="102">
      <c r="A102" s="11" t="n">
        <v>44680</v>
      </c>
      <c r="B102" s="11" t="n">
        <v>44680</v>
      </c>
      <c r="C102" s="7" t="inlineStr">
        <is>
          <t>zorba</t>
        </is>
      </c>
      <c r="D102" s="7" t="inlineStr">
        <is>
          <t>JEA_NSA</t>
        </is>
      </c>
      <c r="E102" s="17" t="b">
        <v>1</v>
      </c>
      <c r="F102" s="16">
        <f>INDEX(Market_Weekly!$E$6:$E$48,MATCH($A102,Market_Weekly!$A$6:$A$48,0))</f>
        <v/>
      </c>
      <c r="G102" s="16">
        <f>INDEX(Market_Weekly!$D$6:$D$48,MATCH($A102,Market_Weekly!$A$6:$A$48,0))</f>
        <v/>
      </c>
      <c r="H102" s="16">
        <f>INDEX(Market_Weekly!$G$6:$G$48,MATCH($A102,Market_Weekly!$A$6:$A$48,0))</f>
        <v/>
      </c>
      <c r="I102" s="8">
        <f>INDEX(Market_Weekly!$H$6:$H$48,MATCH($A102,Market_Weekly!$A$6:$A$48,0))</f>
        <v/>
      </c>
      <c r="J102" s="8">
        <f>INDEX(Market_Weekly!$Q$6:$Q$48,MATCH($A102,Market_Weekly!$A$6:$A$48,0))</f>
        <v/>
      </c>
      <c r="K102" s="8">
        <f>INDEX(Market_Weekly!$V$6:$V$48,MATCH($A102,Market_Weekly!$A$6:$A$48,0))</f>
        <v/>
      </c>
      <c r="L102" s="16">
        <f>IF($D102="JEA_NSA",INDEX(Market_Weekly!$N$6:$N$48,MATCH($A102,Market_Weekly!$A$6:$A$48,0)),INDEX(Market_Weekly!$O$6:$O$48,MATCH($A102,Market_Weekly!$A$6:$A$48,0)))</f>
        <v/>
      </c>
      <c r="M102" s="8">
        <f>IF($D102="JEA_NSA","M1","M2")</f>
        <v/>
      </c>
      <c r="N102" s="16">
        <f>IF($D102="JEA_NSA",INDEX(Market_Weekly!$L$6:$L$48,MATCH($A102,Market_Weekly!$A$6:$A$48,0)),INDEX(Market_Weekly!$M$6:$M$48,MATCH($A102,Market_Weekly!$A$6:$A$48,0)))</f>
        <v/>
      </c>
      <c r="O102" s="15">
        <f>INDEX(Market_Weekly!$P$6:$P$48,MATCH($A102,Market_Weekly!$A$6:$A$48,0))</f>
        <v/>
      </c>
      <c r="P102" s="8">
        <f>INDEX(Market_Weekly!$R$6:$T$48,MATCH($A102,Market_Weekly!$A$6:$A$48,0),MATCH("grade_factor_"&amp;$C102,Market_Weekly!$R$5:$T$5,0))</f>
        <v/>
      </c>
      <c r="Q102" s="8">
        <f>INDEX(Market_Weekly!$U$6:$U$48,MATCH($A102,Market_Weekly!$A$6:$A$48,0))</f>
        <v/>
      </c>
      <c r="R102" s="8">
        <f>IF($D102="JEA_NSA","20ft","40ft")</f>
        <v/>
      </c>
      <c r="S102" s="8">
        <f>IF($D102="JEA_NSA","nsa","mun")</f>
        <v/>
      </c>
      <c r="T102" s="8">
        <f>IF($D102="JEA_NSA","jea_nsa","usec_mun")</f>
        <v/>
      </c>
      <c r="U102" s="16">
        <f>INDEX(param_values,MATCH("container_payload_mt_"&amp;$R102,param_keys,0))</f>
        <v/>
      </c>
      <c r="V102" s="16">
        <f>INDEX(param_values,MATCH("container_payload_mt_"&amp;$R102&amp;"_"&amp;$C102,param_keys,0))</f>
        <v/>
      </c>
      <c r="W102" s="16">
        <f>INDEX(param_values,MATCH("container_payload_mt_20ft_"&amp;$C102,param_keys,0))</f>
        <v/>
      </c>
      <c r="X102" s="18">
        <f>INDEX(param_values,MATCH("port_cf_charges_inr_t_"&amp;$S102,param_keys,0))</f>
        <v/>
      </c>
      <c r="Y102" s="8">
        <f>INDEX(param_values,MATCH(IF($D102="JEA_NSA","psic_required_uae_origin","psic_required_safe_origin_designated_port"),param_keys,0))</f>
        <v/>
      </c>
      <c r="Z102" s="19">
        <f>INDEX(param_values,MATCH("finance_days_"&amp;$T102,param_keys,0))</f>
        <v/>
      </c>
      <c r="AA102" s="15">
        <f>INDEX(param_values,MATCH("moisture_frac_"&amp;$C102,param_keys,0))</f>
        <v/>
      </c>
      <c r="AB102" s="15">
        <f>INDEX(param_values,MATCH("contamination_frac_"&amp;$C102,param_keys,0))</f>
        <v/>
      </c>
      <c r="AC102" s="15">
        <f>INDEX(param_values,MATCH("metal_yield_frac_"&amp;$C102,param_keys,0))</f>
        <v/>
      </c>
      <c r="AD102" s="15">
        <f>INDEX(param_values,MATCH("heavies_frac_"&amp;$C102,param_keys,0))</f>
        <v/>
      </c>
      <c r="AE102" s="8">
        <f>INDEX(param_values,MATCH("grade_factor_diff_"&amp;$C102,param_keys,0))</f>
        <v/>
      </c>
      <c r="AF102" s="16">
        <f>$F102*$P102</f>
        <v/>
      </c>
      <c r="AG102" s="8">
        <f>$U102/$V102</f>
        <v/>
      </c>
      <c r="AH102" s="16">
        <f>$L102*$AG102</f>
        <v/>
      </c>
      <c r="AI102" s="16">
        <f>$AF102-$AH102</f>
        <v/>
      </c>
      <c r="AJ102" s="16">
        <f>insurance_rate*insured_value_uplift*$AF102</f>
        <v/>
      </c>
      <c r="AK102" s="16">
        <f>$AF102+$AJ102</f>
        <v/>
      </c>
      <c r="AL102" s="18">
        <f>$AK102*$J102</f>
        <v/>
      </c>
      <c r="AM102" s="18">
        <f>$AK102*$I102</f>
        <v/>
      </c>
      <c r="AN102" s="18">
        <f>$AL102*bcd_scrap_hs7602</f>
        <v/>
      </c>
      <c r="AO102" s="18">
        <f>$AN102*sws_rate_on_bcd</f>
        <v/>
      </c>
      <c r="AP102" s="18">
        <f>($AL102+$AN102+$AO102)*igst_rate_hs7602</f>
        <v/>
      </c>
      <c r="AQ102" s="18">
        <f>$X102*$AG102+IF($Y102,psic_cost_usd_per_box*$H102/$W102,0)</f>
        <v/>
      </c>
      <c r="AR102" s="18">
        <f>($AM102+$AN102+$AO102)*$Z102/day_count_inr*$O102</f>
        <v/>
      </c>
      <c r="AS102" s="18">
        <f>$AP102*igst_credit_lag_days/day_count_inr*$O102</f>
        <v/>
      </c>
      <c r="AT102" s="18">
        <f>$AM102+$AN102+$AO102+$AQ102+$AR102+$AS102+IF(igst_itc_available,0,$AP102)</f>
        <v/>
      </c>
      <c r="AU102" s="15">
        <f>(1-$AA102)*(1-$AB102)*$AC102</f>
        <v/>
      </c>
      <c r="AV102" s="18">
        <f>$N102*kg_per_mt+domestic_anchor_premium_inr_t</f>
        <v/>
      </c>
      <c r="AW102" s="18">
        <f>(1-$AA102)*$AD102*heavies_net_value_frac_of_lme_al*$F102*$H102</f>
        <v/>
      </c>
      <c r="AX102" s="18">
        <f>conversion_cost_inr_t*$AU102</f>
        <v/>
      </c>
      <c r="AY102" s="18">
        <f>$AV102*$AU102+$AW102-$AT102-$AX102</f>
        <v/>
      </c>
      <c r="AZ102" s="16">
        <f>$AY102/$H102</f>
        <v/>
      </c>
      <c r="BA102" s="8">
        <f>$AY102&gt;margin_threshold_inr_t</f>
        <v/>
      </c>
      <c r="BB102" s="8">
        <f>$Q102+$AE102</f>
        <v/>
      </c>
      <c r="BC102" s="18">
        <f>$AT102-$AQ102</f>
        <v/>
      </c>
      <c r="BD102" s="18">
        <f>$AY102-$BC102*($BB102/$P102-1)</f>
        <v/>
      </c>
      <c r="BE102" s="18">
        <f>$AY102-(conv_step_5a-conversion_cost_inr_t)*$AU102</f>
        <v/>
      </c>
      <c r="BF102" s="8">
        <f>$BA102</f>
        <v/>
      </c>
      <c r="BG102" s="8">
        <f>$BD102&gt;margin_threshold_inr_t</f>
        <v/>
      </c>
      <c r="BH102" s="8">
        <f>$BE102&gt;margin_threshold_inr_t</f>
        <v/>
      </c>
      <c r="BI102" s="8">
        <f>AND($BF102,$BG102,$BH102)</f>
        <v/>
      </c>
      <c r="BJ102" s="8">
        <f>IF($BI102,1,0)</f>
        <v/>
      </c>
    </row>
    <row r="103">
      <c r="A103" s="11" t="n">
        <v>44680</v>
      </c>
      <c r="B103" s="11" t="n">
        <v>44680</v>
      </c>
      <c r="C103" s="7" t="inlineStr">
        <is>
          <t>zorba</t>
        </is>
      </c>
      <c r="D103" s="7" t="inlineStr">
        <is>
          <t>USEC_MUN</t>
        </is>
      </c>
      <c r="E103" s="17" t="b">
        <v>1</v>
      </c>
      <c r="F103" s="16">
        <f>INDEX(Market_Weekly!$E$6:$E$48,MATCH($A103,Market_Weekly!$A$6:$A$48,0))</f>
        <v/>
      </c>
      <c r="G103" s="16">
        <f>INDEX(Market_Weekly!$D$6:$D$48,MATCH($A103,Market_Weekly!$A$6:$A$48,0))</f>
        <v/>
      </c>
      <c r="H103" s="16">
        <f>INDEX(Market_Weekly!$G$6:$G$48,MATCH($A103,Market_Weekly!$A$6:$A$48,0))</f>
        <v/>
      </c>
      <c r="I103" s="8">
        <f>INDEX(Market_Weekly!$H$6:$H$48,MATCH($A103,Market_Weekly!$A$6:$A$48,0))</f>
        <v/>
      </c>
      <c r="J103" s="8">
        <f>INDEX(Market_Weekly!$Q$6:$Q$48,MATCH($A103,Market_Weekly!$A$6:$A$48,0))</f>
        <v/>
      </c>
      <c r="K103" s="8">
        <f>INDEX(Market_Weekly!$V$6:$V$48,MATCH($A103,Market_Weekly!$A$6:$A$48,0))</f>
        <v/>
      </c>
      <c r="L103" s="16">
        <f>IF($D103="JEA_NSA",INDEX(Market_Weekly!$N$6:$N$48,MATCH($A103,Market_Weekly!$A$6:$A$48,0)),INDEX(Market_Weekly!$O$6:$O$48,MATCH($A103,Market_Weekly!$A$6:$A$48,0)))</f>
        <v/>
      </c>
      <c r="M103" s="8">
        <f>IF($D103="JEA_NSA","M1","M2")</f>
        <v/>
      </c>
      <c r="N103" s="16">
        <f>IF($D103="JEA_NSA",INDEX(Market_Weekly!$L$6:$L$48,MATCH($A103,Market_Weekly!$A$6:$A$48,0)),INDEX(Market_Weekly!$M$6:$M$48,MATCH($A103,Market_Weekly!$A$6:$A$48,0)))</f>
        <v/>
      </c>
      <c r="O103" s="15">
        <f>INDEX(Market_Weekly!$P$6:$P$48,MATCH($A103,Market_Weekly!$A$6:$A$48,0))</f>
        <v/>
      </c>
      <c r="P103" s="8">
        <f>INDEX(Market_Weekly!$R$6:$T$48,MATCH($A103,Market_Weekly!$A$6:$A$48,0),MATCH("grade_factor_"&amp;$C103,Market_Weekly!$R$5:$T$5,0))</f>
        <v/>
      </c>
      <c r="Q103" s="8">
        <f>INDEX(Market_Weekly!$U$6:$U$48,MATCH($A103,Market_Weekly!$A$6:$A$48,0))</f>
        <v/>
      </c>
      <c r="R103" s="8">
        <f>IF($D103="JEA_NSA","20ft","40ft")</f>
        <v/>
      </c>
      <c r="S103" s="8">
        <f>IF($D103="JEA_NSA","nsa","mun")</f>
        <v/>
      </c>
      <c r="T103" s="8">
        <f>IF($D103="JEA_NSA","jea_nsa","usec_mun")</f>
        <v/>
      </c>
      <c r="U103" s="16">
        <f>INDEX(param_values,MATCH("container_payload_mt_"&amp;$R103,param_keys,0))</f>
        <v/>
      </c>
      <c r="V103" s="16">
        <f>INDEX(param_values,MATCH("container_payload_mt_"&amp;$R103&amp;"_"&amp;$C103,param_keys,0))</f>
        <v/>
      </c>
      <c r="W103" s="16">
        <f>INDEX(param_values,MATCH("container_payload_mt_20ft_"&amp;$C103,param_keys,0))</f>
        <v/>
      </c>
      <c r="X103" s="18">
        <f>INDEX(param_values,MATCH("port_cf_charges_inr_t_"&amp;$S103,param_keys,0))</f>
        <v/>
      </c>
      <c r="Y103" s="8">
        <f>INDEX(param_values,MATCH(IF($D103="JEA_NSA","psic_required_uae_origin","psic_required_safe_origin_designated_port"),param_keys,0))</f>
        <v/>
      </c>
      <c r="Z103" s="19">
        <f>INDEX(param_values,MATCH("finance_days_"&amp;$T103,param_keys,0))</f>
        <v/>
      </c>
      <c r="AA103" s="15">
        <f>INDEX(param_values,MATCH("moisture_frac_"&amp;$C103,param_keys,0))</f>
        <v/>
      </c>
      <c r="AB103" s="15">
        <f>INDEX(param_values,MATCH("contamination_frac_"&amp;$C103,param_keys,0))</f>
        <v/>
      </c>
      <c r="AC103" s="15">
        <f>INDEX(param_values,MATCH("metal_yield_frac_"&amp;$C103,param_keys,0))</f>
        <v/>
      </c>
      <c r="AD103" s="15">
        <f>INDEX(param_values,MATCH("heavies_frac_"&amp;$C103,param_keys,0))</f>
        <v/>
      </c>
      <c r="AE103" s="8">
        <f>INDEX(param_values,MATCH("grade_factor_diff_"&amp;$C103,param_keys,0))</f>
        <v/>
      </c>
      <c r="AF103" s="16">
        <f>$F103*$P103</f>
        <v/>
      </c>
      <c r="AG103" s="8">
        <f>$U103/$V103</f>
        <v/>
      </c>
      <c r="AH103" s="16">
        <f>$L103*$AG103</f>
        <v/>
      </c>
      <c r="AI103" s="16">
        <f>$AF103-$AH103</f>
        <v/>
      </c>
      <c r="AJ103" s="16">
        <f>insurance_rate*insured_value_uplift*$AF103</f>
        <v/>
      </c>
      <c r="AK103" s="16">
        <f>$AF103+$AJ103</f>
        <v/>
      </c>
      <c r="AL103" s="18">
        <f>$AK103*$J103</f>
        <v/>
      </c>
      <c r="AM103" s="18">
        <f>$AK103*$I103</f>
        <v/>
      </c>
      <c r="AN103" s="18">
        <f>$AL103*bcd_scrap_hs7602</f>
        <v/>
      </c>
      <c r="AO103" s="18">
        <f>$AN103*sws_rate_on_bcd</f>
        <v/>
      </c>
      <c r="AP103" s="18">
        <f>($AL103+$AN103+$AO103)*igst_rate_hs7602</f>
        <v/>
      </c>
      <c r="AQ103" s="18">
        <f>$X103*$AG103+IF($Y103,psic_cost_usd_per_box*$H103/$W103,0)</f>
        <v/>
      </c>
      <c r="AR103" s="18">
        <f>($AM103+$AN103+$AO103)*$Z103/day_count_inr*$O103</f>
        <v/>
      </c>
      <c r="AS103" s="18">
        <f>$AP103*igst_credit_lag_days/day_count_inr*$O103</f>
        <v/>
      </c>
      <c r="AT103" s="18">
        <f>$AM103+$AN103+$AO103+$AQ103+$AR103+$AS103+IF(igst_itc_available,0,$AP103)</f>
        <v/>
      </c>
      <c r="AU103" s="15">
        <f>(1-$AA103)*(1-$AB103)*$AC103</f>
        <v/>
      </c>
      <c r="AV103" s="18">
        <f>$N103*kg_per_mt+domestic_anchor_premium_inr_t</f>
        <v/>
      </c>
      <c r="AW103" s="18">
        <f>(1-$AA103)*$AD103*heavies_net_value_frac_of_lme_al*$F103*$H103</f>
        <v/>
      </c>
      <c r="AX103" s="18">
        <f>conversion_cost_inr_t*$AU103</f>
        <v/>
      </c>
      <c r="AY103" s="18">
        <f>$AV103*$AU103+$AW103-$AT103-$AX103</f>
        <v/>
      </c>
      <c r="AZ103" s="16">
        <f>$AY103/$H103</f>
        <v/>
      </c>
      <c r="BA103" s="8">
        <f>$AY103&gt;margin_threshold_inr_t</f>
        <v/>
      </c>
      <c r="BB103" s="8">
        <f>$Q103+$AE103</f>
        <v/>
      </c>
      <c r="BC103" s="18">
        <f>$AT103-$AQ103</f>
        <v/>
      </c>
      <c r="BD103" s="18">
        <f>$AY103-$BC103*($BB103/$P103-1)</f>
        <v/>
      </c>
      <c r="BE103" s="18">
        <f>$AY103-(conv_step_5a-conversion_cost_inr_t)*$AU103</f>
        <v/>
      </c>
      <c r="BF103" s="8">
        <f>$BA103</f>
        <v/>
      </c>
      <c r="BG103" s="8">
        <f>$BD103&gt;margin_threshold_inr_t</f>
        <v/>
      </c>
      <c r="BH103" s="8">
        <f>$BE103&gt;margin_threshold_inr_t</f>
        <v/>
      </c>
      <c r="BI103" s="8">
        <f>AND($BF103,$BG103,$BH103)</f>
        <v/>
      </c>
      <c r="BJ103" s="8">
        <f>IF($BI103,1,0)</f>
        <v/>
      </c>
    </row>
    <row r="104">
      <c r="A104" s="11" t="n">
        <v>44680</v>
      </c>
      <c r="B104" s="11" t="n">
        <v>44680</v>
      </c>
      <c r="C104" s="7" t="inlineStr">
        <is>
          <t>taint_tabor</t>
        </is>
      </c>
      <c r="D104" s="7" t="inlineStr">
        <is>
          <t>JEA_NSA</t>
        </is>
      </c>
      <c r="E104" s="17" t="b">
        <v>1</v>
      </c>
      <c r="F104" s="16">
        <f>INDEX(Market_Weekly!$E$6:$E$48,MATCH($A104,Market_Weekly!$A$6:$A$48,0))</f>
        <v/>
      </c>
      <c r="G104" s="16">
        <f>INDEX(Market_Weekly!$D$6:$D$48,MATCH($A104,Market_Weekly!$A$6:$A$48,0))</f>
        <v/>
      </c>
      <c r="H104" s="16">
        <f>INDEX(Market_Weekly!$G$6:$G$48,MATCH($A104,Market_Weekly!$A$6:$A$48,0))</f>
        <v/>
      </c>
      <c r="I104" s="8">
        <f>INDEX(Market_Weekly!$H$6:$H$48,MATCH($A104,Market_Weekly!$A$6:$A$48,0))</f>
        <v/>
      </c>
      <c r="J104" s="8">
        <f>INDEX(Market_Weekly!$Q$6:$Q$48,MATCH($A104,Market_Weekly!$A$6:$A$48,0))</f>
        <v/>
      </c>
      <c r="K104" s="8">
        <f>INDEX(Market_Weekly!$V$6:$V$48,MATCH($A104,Market_Weekly!$A$6:$A$48,0))</f>
        <v/>
      </c>
      <c r="L104" s="16">
        <f>IF($D104="JEA_NSA",INDEX(Market_Weekly!$N$6:$N$48,MATCH($A104,Market_Weekly!$A$6:$A$48,0)),INDEX(Market_Weekly!$O$6:$O$48,MATCH($A104,Market_Weekly!$A$6:$A$48,0)))</f>
        <v/>
      </c>
      <c r="M104" s="8">
        <f>IF($D104="JEA_NSA","M1","M2")</f>
        <v/>
      </c>
      <c r="N104" s="16">
        <f>IF($D104="JEA_NSA",INDEX(Market_Weekly!$L$6:$L$48,MATCH($A104,Market_Weekly!$A$6:$A$48,0)),INDEX(Market_Weekly!$M$6:$M$48,MATCH($A104,Market_Weekly!$A$6:$A$48,0)))</f>
        <v/>
      </c>
      <c r="O104" s="15">
        <f>INDEX(Market_Weekly!$P$6:$P$48,MATCH($A104,Market_Weekly!$A$6:$A$48,0))</f>
        <v/>
      </c>
      <c r="P104" s="8">
        <f>INDEX(Market_Weekly!$R$6:$T$48,MATCH($A104,Market_Weekly!$A$6:$A$48,0),MATCH("grade_factor_"&amp;$C104,Market_Weekly!$R$5:$T$5,0))</f>
        <v/>
      </c>
      <c r="Q104" s="8">
        <f>INDEX(Market_Weekly!$U$6:$U$48,MATCH($A104,Market_Weekly!$A$6:$A$48,0))</f>
        <v/>
      </c>
      <c r="R104" s="8">
        <f>IF($D104="JEA_NSA","20ft","40ft")</f>
        <v/>
      </c>
      <c r="S104" s="8">
        <f>IF($D104="JEA_NSA","nsa","mun")</f>
        <v/>
      </c>
      <c r="T104" s="8">
        <f>IF($D104="JEA_NSA","jea_nsa","usec_mun")</f>
        <v/>
      </c>
      <c r="U104" s="16">
        <f>INDEX(param_values,MATCH("container_payload_mt_"&amp;$R104,param_keys,0))</f>
        <v/>
      </c>
      <c r="V104" s="16">
        <f>INDEX(param_values,MATCH("container_payload_mt_"&amp;$R104&amp;"_"&amp;$C104,param_keys,0))</f>
        <v/>
      </c>
      <c r="W104" s="16">
        <f>INDEX(param_values,MATCH("container_payload_mt_20ft_"&amp;$C104,param_keys,0))</f>
        <v/>
      </c>
      <c r="X104" s="18">
        <f>INDEX(param_values,MATCH("port_cf_charges_inr_t_"&amp;$S104,param_keys,0))</f>
        <v/>
      </c>
      <c r="Y104" s="8">
        <f>INDEX(param_values,MATCH(IF($D104="JEA_NSA","psic_required_uae_origin","psic_required_safe_origin_designated_port"),param_keys,0))</f>
        <v/>
      </c>
      <c r="Z104" s="19">
        <f>INDEX(param_values,MATCH("finance_days_"&amp;$T104,param_keys,0))</f>
        <v/>
      </c>
      <c r="AA104" s="15">
        <f>INDEX(param_values,MATCH("moisture_frac_"&amp;$C104,param_keys,0))</f>
        <v/>
      </c>
      <c r="AB104" s="15">
        <f>INDEX(param_values,MATCH("contamination_frac_"&amp;$C104,param_keys,0))</f>
        <v/>
      </c>
      <c r="AC104" s="15">
        <f>INDEX(param_values,MATCH("metal_yield_frac_"&amp;$C104,param_keys,0))</f>
        <v/>
      </c>
      <c r="AD104" s="15">
        <f>INDEX(param_values,MATCH("heavies_frac_"&amp;$C104,param_keys,0))</f>
        <v/>
      </c>
      <c r="AE104" s="8">
        <f>INDEX(param_values,MATCH("grade_factor_diff_"&amp;$C104,param_keys,0))</f>
        <v/>
      </c>
      <c r="AF104" s="16">
        <f>$F104*$P104</f>
        <v/>
      </c>
      <c r="AG104" s="8">
        <f>$U104/$V104</f>
        <v/>
      </c>
      <c r="AH104" s="16">
        <f>$L104*$AG104</f>
        <v/>
      </c>
      <c r="AI104" s="16">
        <f>$AF104-$AH104</f>
        <v/>
      </c>
      <c r="AJ104" s="16">
        <f>insurance_rate*insured_value_uplift*$AF104</f>
        <v/>
      </c>
      <c r="AK104" s="16">
        <f>$AF104+$AJ104</f>
        <v/>
      </c>
      <c r="AL104" s="18">
        <f>$AK104*$J104</f>
        <v/>
      </c>
      <c r="AM104" s="18">
        <f>$AK104*$I104</f>
        <v/>
      </c>
      <c r="AN104" s="18">
        <f>$AL104*bcd_scrap_hs7602</f>
        <v/>
      </c>
      <c r="AO104" s="18">
        <f>$AN104*sws_rate_on_bcd</f>
        <v/>
      </c>
      <c r="AP104" s="18">
        <f>($AL104+$AN104+$AO104)*igst_rate_hs7602</f>
        <v/>
      </c>
      <c r="AQ104" s="18">
        <f>$X104*$AG104+IF($Y104,psic_cost_usd_per_box*$H104/$W104,0)</f>
        <v/>
      </c>
      <c r="AR104" s="18">
        <f>($AM104+$AN104+$AO104)*$Z104/day_count_inr*$O104</f>
        <v/>
      </c>
      <c r="AS104" s="18">
        <f>$AP104*igst_credit_lag_days/day_count_inr*$O104</f>
        <v/>
      </c>
      <c r="AT104" s="18">
        <f>$AM104+$AN104+$AO104+$AQ104+$AR104+$AS104+IF(igst_itc_available,0,$AP104)</f>
        <v/>
      </c>
      <c r="AU104" s="15">
        <f>(1-$AA104)*(1-$AB104)*$AC104</f>
        <v/>
      </c>
      <c r="AV104" s="18">
        <f>$N104*kg_per_mt+domestic_anchor_premium_inr_t</f>
        <v/>
      </c>
      <c r="AW104" s="18">
        <f>(1-$AA104)*$AD104*heavies_net_value_frac_of_lme_al*$F104*$H104</f>
        <v/>
      </c>
      <c r="AX104" s="18">
        <f>conversion_cost_inr_t*$AU104</f>
        <v/>
      </c>
      <c r="AY104" s="18">
        <f>$AV104*$AU104+$AW104-$AT104-$AX104</f>
        <v/>
      </c>
      <c r="AZ104" s="16">
        <f>$AY104/$H104</f>
        <v/>
      </c>
      <c r="BA104" s="8">
        <f>$AY104&gt;margin_threshold_inr_t</f>
        <v/>
      </c>
      <c r="BB104" s="8">
        <f>$Q104+$AE104</f>
        <v/>
      </c>
      <c r="BC104" s="18">
        <f>$AT104-$AQ104</f>
        <v/>
      </c>
      <c r="BD104" s="18">
        <f>$AY104-$BC104*($BB104/$P104-1)</f>
        <v/>
      </c>
      <c r="BE104" s="18">
        <f>$AY104-(conv_step_5a-conversion_cost_inr_t)*$AU104</f>
        <v/>
      </c>
      <c r="BF104" s="8">
        <f>$BA104</f>
        <v/>
      </c>
      <c r="BG104" s="8">
        <f>$BD104&gt;margin_threshold_inr_t</f>
        <v/>
      </c>
      <c r="BH104" s="8">
        <f>$BE104&gt;margin_threshold_inr_t</f>
        <v/>
      </c>
      <c r="BI104" s="8">
        <f>AND($BF104,$BG104,$BH104)</f>
        <v/>
      </c>
      <c r="BJ104" s="8">
        <f>IF($BI104,1,0)</f>
        <v/>
      </c>
    </row>
    <row r="105">
      <c r="A105" s="11" t="n">
        <v>44680</v>
      </c>
      <c r="B105" s="11" t="n">
        <v>44680</v>
      </c>
      <c r="C105" s="7" t="inlineStr">
        <is>
          <t>taint_tabor</t>
        </is>
      </c>
      <c r="D105" s="7" t="inlineStr">
        <is>
          <t>USEC_MUN</t>
        </is>
      </c>
      <c r="E105" s="17" t="b">
        <v>1</v>
      </c>
      <c r="F105" s="16">
        <f>INDEX(Market_Weekly!$E$6:$E$48,MATCH($A105,Market_Weekly!$A$6:$A$48,0))</f>
        <v/>
      </c>
      <c r="G105" s="16">
        <f>INDEX(Market_Weekly!$D$6:$D$48,MATCH($A105,Market_Weekly!$A$6:$A$48,0))</f>
        <v/>
      </c>
      <c r="H105" s="16">
        <f>INDEX(Market_Weekly!$G$6:$G$48,MATCH($A105,Market_Weekly!$A$6:$A$48,0))</f>
        <v/>
      </c>
      <c r="I105" s="8">
        <f>INDEX(Market_Weekly!$H$6:$H$48,MATCH($A105,Market_Weekly!$A$6:$A$48,0))</f>
        <v/>
      </c>
      <c r="J105" s="8">
        <f>INDEX(Market_Weekly!$Q$6:$Q$48,MATCH($A105,Market_Weekly!$A$6:$A$48,0))</f>
        <v/>
      </c>
      <c r="K105" s="8">
        <f>INDEX(Market_Weekly!$V$6:$V$48,MATCH($A105,Market_Weekly!$A$6:$A$48,0))</f>
        <v/>
      </c>
      <c r="L105" s="16">
        <f>IF($D105="JEA_NSA",INDEX(Market_Weekly!$N$6:$N$48,MATCH($A105,Market_Weekly!$A$6:$A$48,0)),INDEX(Market_Weekly!$O$6:$O$48,MATCH($A105,Market_Weekly!$A$6:$A$48,0)))</f>
        <v/>
      </c>
      <c r="M105" s="8">
        <f>IF($D105="JEA_NSA","M1","M2")</f>
        <v/>
      </c>
      <c r="N105" s="16">
        <f>IF($D105="JEA_NSA",INDEX(Market_Weekly!$L$6:$L$48,MATCH($A105,Market_Weekly!$A$6:$A$48,0)),INDEX(Market_Weekly!$M$6:$M$48,MATCH($A105,Market_Weekly!$A$6:$A$48,0)))</f>
        <v/>
      </c>
      <c r="O105" s="15">
        <f>INDEX(Market_Weekly!$P$6:$P$48,MATCH($A105,Market_Weekly!$A$6:$A$48,0))</f>
        <v/>
      </c>
      <c r="P105" s="8">
        <f>INDEX(Market_Weekly!$R$6:$T$48,MATCH($A105,Market_Weekly!$A$6:$A$48,0),MATCH("grade_factor_"&amp;$C105,Market_Weekly!$R$5:$T$5,0))</f>
        <v/>
      </c>
      <c r="Q105" s="8">
        <f>INDEX(Market_Weekly!$U$6:$U$48,MATCH($A105,Market_Weekly!$A$6:$A$48,0))</f>
        <v/>
      </c>
      <c r="R105" s="8">
        <f>IF($D105="JEA_NSA","20ft","40ft")</f>
        <v/>
      </c>
      <c r="S105" s="8">
        <f>IF($D105="JEA_NSA","nsa","mun")</f>
        <v/>
      </c>
      <c r="T105" s="8">
        <f>IF($D105="JEA_NSA","jea_nsa","usec_mun")</f>
        <v/>
      </c>
      <c r="U105" s="16">
        <f>INDEX(param_values,MATCH("container_payload_mt_"&amp;$R105,param_keys,0))</f>
        <v/>
      </c>
      <c r="V105" s="16">
        <f>INDEX(param_values,MATCH("container_payload_mt_"&amp;$R105&amp;"_"&amp;$C105,param_keys,0))</f>
        <v/>
      </c>
      <c r="W105" s="16">
        <f>INDEX(param_values,MATCH("container_payload_mt_20ft_"&amp;$C105,param_keys,0))</f>
        <v/>
      </c>
      <c r="X105" s="18">
        <f>INDEX(param_values,MATCH("port_cf_charges_inr_t_"&amp;$S105,param_keys,0))</f>
        <v/>
      </c>
      <c r="Y105" s="8">
        <f>INDEX(param_values,MATCH(IF($D105="JEA_NSA","psic_required_uae_origin","psic_required_safe_origin_designated_port"),param_keys,0))</f>
        <v/>
      </c>
      <c r="Z105" s="19">
        <f>INDEX(param_values,MATCH("finance_days_"&amp;$T105,param_keys,0))</f>
        <v/>
      </c>
      <c r="AA105" s="15">
        <f>INDEX(param_values,MATCH("moisture_frac_"&amp;$C105,param_keys,0))</f>
        <v/>
      </c>
      <c r="AB105" s="15">
        <f>INDEX(param_values,MATCH("contamination_frac_"&amp;$C105,param_keys,0))</f>
        <v/>
      </c>
      <c r="AC105" s="15">
        <f>INDEX(param_values,MATCH("metal_yield_frac_"&amp;$C105,param_keys,0))</f>
        <v/>
      </c>
      <c r="AD105" s="15">
        <f>INDEX(param_values,MATCH("heavies_frac_"&amp;$C105,param_keys,0))</f>
        <v/>
      </c>
      <c r="AE105" s="8">
        <f>INDEX(param_values,MATCH("grade_factor_diff_"&amp;$C105,param_keys,0))</f>
        <v/>
      </c>
      <c r="AF105" s="16">
        <f>$F105*$P105</f>
        <v/>
      </c>
      <c r="AG105" s="8">
        <f>$U105/$V105</f>
        <v/>
      </c>
      <c r="AH105" s="16">
        <f>$L105*$AG105</f>
        <v/>
      </c>
      <c r="AI105" s="16">
        <f>$AF105-$AH105</f>
        <v/>
      </c>
      <c r="AJ105" s="16">
        <f>insurance_rate*insured_value_uplift*$AF105</f>
        <v/>
      </c>
      <c r="AK105" s="16">
        <f>$AF105+$AJ105</f>
        <v/>
      </c>
      <c r="AL105" s="18">
        <f>$AK105*$J105</f>
        <v/>
      </c>
      <c r="AM105" s="18">
        <f>$AK105*$I105</f>
        <v/>
      </c>
      <c r="AN105" s="18">
        <f>$AL105*bcd_scrap_hs7602</f>
        <v/>
      </c>
      <c r="AO105" s="18">
        <f>$AN105*sws_rate_on_bcd</f>
        <v/>
      </c>
      <c r="AP105" s="18">
        <f>($AL105+$AN105+$AO105)*igst_rate_hs7602</f>
        <v/>
      </c>
      <c r="AQ105" s="18">
        <f>$X105*$AG105+IF($Y105,psic_cost_usd_per_box*$H105/$W105,0)</f>
        <v/>
      </c>
      <c r="AR105" s="18">
        <f>($AM105+$AN105+$AO105)*$Z105/day_count_inr*$O105</f>
        <v/>
      </c>
      <c r="AS105" s="18">
        <f>$AP105*igst_credit_lag_days/day_count_inr*$O105</f>
        <v/>
      </c>
      <c r="AT105" s="18">
        <f>$AM105+$AN105+$AO105+$AQ105+$AR105+$AS105+IF(igst_itc_available,0,$AP105)</f>
        <v/>
      </c>
      <c r="AU105" s="15">
        <f>(1-$AA105)*(1-$AB105)*$AC105</f>
        <v/>
      </c>
      <c r="AV105" s="18">
        <f>$N105*kg_per_mt+domestic_anchor_premium_inr_t</f>
        <v/>
      </c>
      <c r="AW105" s="18">
        <f>(1-$AA105)*$AD105*heavies_net_value_frac_of_lme_al*$F105*$H105</f>
        <v/>
      </c>
      <c r="AX105" s="18">
        <f>conversion_cost_inr_t*$AU105</f>
        <v/>
      </c>
      <c r="AY105" s="18">
        <f>$AV105*$AU105+$AW105-$AT105-$AX105</f>
        <v/>
      </c>
      <c r="AZ105" s="16">
        <f>$AY105/$H105</f>
        <v/>
      </c>
      <c r="BA105" s="8">
        <f>$AY105&gt;margin_threshold_inr_t</f>
        <v/>
      </c>
      <c r="BB105" s="8">
        <f>$Q105+$AE105</f>
        <v/>
      </c>
      <c r="BC105" s="18">
        <f>$AT105-$AQ105</f>
        <v/>
      </c>
      <c r="BD105" s="18">
        <f>$AY105-$BC105*($BB105/$P105-1)</f>
        <v/>
      </c>
      <c r="BE105" s="18">
        <f>$AY105-(conv_step_5a-conversion_cost_inr_t)*$AU105</f>
        <v/>
      </c>
      <c r="BF105" s="8">
        <f>$BA105</f>
        <v/>
      </c>
      <c r="BG105" s="8">
        <f>$BD105&gt;margin_threshold_inr_t</f>
        <v/>
      </c>
      <c r="BH105" s="8">
        <f>$BE105&gt;margin_threshold_inr_t</f>
        <v/>
      </c>
      <c r="BI105" s="8">
        <f>AND($BF105,$BG105,$BH105)</f>
        <v/>
      </c>
      <c r="BJ105" s="8">
        <f>IF($BI105,1,0)</f>
        <v/>
      </c>
    </row>
    <row r="106">
      <c r="A106" s="11" t="n">
        <v>44680</v>
      </c>
      <c r="B106" s="11" t="n">
        <v>44680</v>
      </c>
      <c r="C106" s="7" t="inlineStr">
        <is>
          <t>tense</t>
        </is>
      </c>
      <c r="D106" s="7" t="inlineStr">
        <is>
          <t>JEA_NSA</t>
        </is>
      </c>
      <c r="E106" s="17" t="b">
        <v>1</v>
      </c>
      <c r="F106" s="16">
        <f>INDEX(Market_Weekly!$E$6:$E$48,MATCH($A106,Market_Weekly!$A$6:$A$48,0))</f>
        <v/>
      </c>
      <c r="G106" s="16">
        <f>INDEX(Market_Weekly!$D$6:$D$48,MATCH($A106,Market_Weekly!$A$6:$A$48,0))</f>
        <v/>
      </c>
      <c r="H106" s="16">
        <f>INDEX(Market_Weekly!$G$6:$G$48,MATCH($A106,Market_Weekly!$A$6:$A$48,0))</f>
        <v/>
      </c>
      <c r="I106" s="8">
        <f>INDEX(Market_Weekly!$H$6:$H$48,MATCH($A106,Market_Weekly!$A$6:$A$48,0))</f>
        <v/>
      </c>
      <c r="J106" s="8">
        <f>INDEX(Market_Weekly!$Q$6:$Q$48,MATCH($A106,Market_Weekly!$A$6:$A$48,0))</f>
        <v/>
      </c>
      <c r="K106" s="8">
        <f>INDEX(Market_Weekly!$V$6:$V$48,MATCH($A106,Market_Weekly!$A$6:$A$48,0))</f>
        <v/>
      </c>
      <c r="L106" s="16">
        <f>IF($D106="JEA_NSA",INDEX(Market_Weekly!$N$6:$N$48,MATCH($A106,Market_Weekly!$A$6:$A$48,0)),INDEX(Market_Weekly!$O$6:$O$48,MATCH($A106,Market_Weekly!$A$6:$A$48,0)))</f>
        <v/>
      </c>
      <c r="M106" s="8">
        <f>IF($D106="JEA_NSA","M1","M2")</f>
        <v/>
      </c>
      <c r="N106" s="16">
        <f>IF($D106="JEA_NSA",INDEX(Market_Weekly!$L$6:$L$48,MATCH($A106,Market_Weekly!$A$6:$A$48,0)),INDEX(Market_Weekly!$M$6:$M$48,MATCH($A106,Market_Weekly!$A$6:$A$48,0)))</f>
        <v/>
      </c>
      <c r="O106" s="15">
        <f>INDEX(Market_Weekly!$P$6:$P$48,MATCH($A106,Market_Weekly!$A$6:$A$48,0))</f>
        <v/>
      </c>
      <c r="P106" s="8">
        <f>INDEX(Market_Weekly!$R$6:$T$48,MATCH($A106,Market_Weekly!$A$6:$A$48,0),MATCH("grade_factor_"&amp;$C106,Market_Weekly!$R$5:$T$5,0))</f>
        <v/>
      </c>
      <c r="Q106" s="8">
        <f>INDEX(Market_Weekly!$U$6:$U$48,MATCH($A106,Market_Weekly!$A$6:$A$48,0))</f>
        <v/>
      </c>
      <c r="R106" s="8">
        <f>IF($D106="JEA_NSA","20ft","40ft")</f>
        <v/>
      </c>
      <c r="S106" s="8">
        <f>IF($D106="JEA_NSA","nsa","mun")</f>
        <v/>
      </c>
      <c r="T106" s="8">
        <f>IF($D106="JEA_NSA","jea_nsa","usec_mun")</f>
        <v/>
      </c>
      <c r="U106" s="16">
        <f>INDEX(param_values,MATCH("container_payload_mt_"&amp;$R106,param_keys,0))</f>
        <v/>
      </c>
      <c r="V106" s="16">
        <f>INDEX(param_values,MATCH("container_payload_mt_"&amp;$R106&amp;"_"&amp;$C106,param_keys,0))</f>
        <v/>
      </c>
      <c r="W106" s="16">
        <f>INDEX(param_values,MATCH("container_payload_mt_20ft_"&amp;$C106,param_keys,0))</f>
        <v/>
      </c>
      <c r="X106" s="18">
        <f>INDEX(param_values,MATCH("port_cf_charges_inr_t_"&amp;$S106,param_keys,0))</f>
        <v/>
      </c>
      <c r="Y106" s="8">
        <f>INDEX(param_values,MATCH(IF($D106="JEA_NSA","psic_required_uae_origin","psic_required_safe_origin_designated_port"),param_keys,0))</f>
        <v/>
      </c>
      <c r="Z106" s="19">
        <f>INDEX(param_values,MATCH("finance_days_"&amp;$T106,param_keys,0))</f>
        <v/>
      </c>
      <c r="AA106" s="15">
        <f>INDEX(param_values,MATCH("moisture_frac_"&amp;$C106,param_keys,0))</f>
        <v/>
      </c>
      <c r="AB106" s="15">
        <f>INDEX(param_values,MATCH("contamination_frac_"&amp;$C106,param_keys,0))</f>
        <v/>
      </c>
      <c r="AC106" s="15">
        <f>INDEX(param_values,MATCH("metal_yield_frac_"&amp;$C106,param_keys,0))</f>
        <v/>
      </c>
      <c r="AD106" s="15">
        <f>INDEX(param_values,MATCH("heavies_frac_"&amp;$C106,param_keys,0))</f>
        <v/>
      </c>
      <c r="AE106" s="8">
        <f>INDEX(param_values,MATCH("grade_factor_diff_"&amp;$C106,param_keys,0))</f>
        <v/>
      </c>
      <c r="AF106" s="16">
        <f>$F106*$P106</f>
        <v/>
      </c>
      <c r="AG106" s="8">
        <f>$U106/$V106</f>
        <v/>
      </c>
      <c r="AH106" s="16">
        <f>$L106*$AG106</f>
        <v/>
      </c>
      <c r="AI106" s="16">
        <f>$AF106-$AH106</f>
        <v/>
      </c>
      <c r="AJ106" s="16">
        <f>insurance_rate*insured_value_uplift*$AF106</f>
        <v/>
      </c>
      <c r="AK106" s="16">
        <f>$AF106+$AJ106</f>
        <v/>
      </c>
      <c r="AL106" s="18">
        <f>$AK106*$J106</f>
        <v/>
      </c>
      <c r="AM106" s="18">
        <f>$AK106*$I106</f>
        <v/>
      </c>
      <c r="AN106" s="18">
        <f>$AL106*bcd_scrap_hs7602</f>
        <v/>
      </c>
      <c r="AO106" s="18">
        <f>$AN106*sws_rate_on_bcd</f>
        <v/>
      </c>
      <c r="AP106" s="18">
        <f>($AL106+$AN106+$AO106)*igst_rate_hs7602</f>
        <v/>
      </c>
      <c r="AQ106" s="18">
        <f>$X106*$AG106+IF($Y106,psic_cost_usd_per_box*$H106/$W106,0)</f>
        <v/>
      </c>
      <c r="AR106" s="18">
        <f>($AM106+$AN106+$AO106)*$Z106/day_count_inr*$O106</f>
        <v/>
      </c>
      <c r="AS106" s="18">
        <f>$AP106*igst_credit_lag_days/day_count_inr*$O106</f>
        <v/>
      </c>
      <c r="AT106" s="18">
        <f>$AM106+$AN106+$AO106+$AQ106+$AR106+$AS106+IF(igst_itc_available,0,$AP106)</f>
        <v/>
      </c>
      <c r="AU106" s="15">
        <f>(1-$AA106)*(1-$AB106)*$AC106</f>
        <v/>
      </c>
      <c r="AV106" s="18">
        <f>$N106*kg_per_mt+domestic_anchor_premium_inr_t</f>
        <v/>
      </c>
      <c r="AW106" s="18">
        <f>(1-$AA106)*$AD106*heavies_net_value_frac_of_lme_al*$F106*$H106</f>
        <v/>
      </c>
      <c r="AX106" s="18">
        <f>conversion_cost_inr_t*$AU106</f>
        <v/>
      </c>
      <c r="AY106" s="18">
        <f>$AV106*$AU106+$AW106-$AT106-$AX106</f>
        <v/>
      </c>
      <c r="AZ106" s="16">
        <f>$AY106/$H106</f>
        <v/>
      </c>
      <c r="BA106" s="8">
        <f>$AY106&gt;margin_threshold_inr_t</f>
        <v/>
      </c>
      <c r="BB106" s="8">
        <f>$Q106+$AE106</f>
        <v/>
      </c>
      <c r="BC106" s="18">
        <f>$AT106-$AQ106</f>
        <v/>
      </c>
      <c r="BD106" s="18">
        <f>$AY106-$BC106*($BB106/$P106-1)</f>
        <v/>
      </c>
      <c r="BE106" s="18">
        <f>$AY106-(conv_step_5a-conversion_cost_inr_t)*$AU106</f>
        <v/>
      </c>
      <c r="BF106" s="8">
        <f>$BA106</f>
        <v/>
      </c>
      <c r="BG106" s="8">
        <f>$BD106&gt;margin_threshold_inr_t</f>
        <v/>
      </c>
      <c r="BH106" s="8">
        <f>$BE106&gt;margin_threshold_inr_t</f>
        <v/>
      </c>
      <c r="BI106" s="8">
        <f>AND($BF106,$BG106,$BH106)</f>
        <v/>
      </c>
      <c r="BJ106" s="8">
        <f>IF($BI106,1,0)</f>
        <v/>
      </c>
    </row>
    <row r="107">
      <c r="A107" s="11" t="n">
        <v>44680</v>
      </c>
      <c r="B107" s="11" t="n">
        <v>44680</v>
      </c>
      <c r="C107" s="7" t="inlineStr">
        <is>
          <t>tense</t>
        </is>
      </c>
      <c r="D107" s="7" t="inlineStr">
        <is>
          <t>USEC_MUN</t>
        </is>
      </c>
      <c r="E107" s="17" t="b">
        <v>1</v>
      </c>
      <c r="F107" s="16">
        <f>INDEX(Market_Weekly!$E$6:$E$48,MATCH($A107,Market_Weekly!$A$6:$A$48,0))</f>
        <v/>
      </c>
      <c r="G107" s="16">
        <f>INDEX(Market_Weekly!$D$6:$D$48,MATCH($A107,Market_Weekly!$A$6:$A$48,0))</f>
        <v/>
      </c>
      <c r="H107" s="16">
        <f>INDEX(Market_Weekly!$G$6:$G$48,MATCH($A107,Market_Weekly!$A$6:$A$48,0))</f>
        <v/>
      </c>
      <c r="I107" s="8">
        <f>INDEX(Market_Weekly!$H$6:$H$48,MATCH($A107,Market_Weekly!$A$6:$A$48,0))</f>
        <v/>
      </c>
      <c r="J107" s="8">
        <f>INDEX(Market_Weekly!$Q$6:$Q$48,MATCH($A107,Market_Weekly!$A$6:$A$48,0))</f>
        <v/>
      </c>
      <c r="K107" s="8">
        <f>INDEX(Market_Weekly!$V$6:$V$48,MATCH($A107,Market_Weekly!$A$6:$A$48,0))</f>
        <v/>
      </c>
      <c r="L107" s="16">
        <f>IF($D107="JEA_NSA",INDEX(Market_Weekly!$N$6:$N$48,MATCH($A107,Market_Weekly!$A$6:$A$48,0)),INDEX(Market_Weekly!$O$6:$O$48,MATCH($A107,Market_Weekly!$A$6:$A$48,0)))</f>
        <v/>
      </c>
      <c r="M107" s="8">
        <f>IF($D107="JEA_NSA","M1","M2")</f>
        <v/>
      </c>
      <c r="N107" s="16">
        <f>IF($D107="JEA_NSA",INDEX(Market_Weekly!$L$6:$L$48,MATCH($A107,Market_Weekly!$A$6:$A$48,0)),INDEX(Market_Weekly!$M$6:$M$48,MATCH($A107,Market_Weekly!$A$6:$A$48,0)))</f>
        <v/>
      </c>
      <c r="O107" s="15">
        <f>INDEX(Market_Weekly!$P$6:$P$48,MATCH($A107,Market_Weekly!$A$6:$A$48,0))</f>
        <v/>
      </c>
      <c r="P107" s="8">
        <f>INDEX(Market_Weekly!$R$6:$T$48,MATCH($A107,Market_Weekly!$A$6:$A$48,0),MATCH("grade_factor_"&amp;$C107,Market_Weekly!$R$5:$T$5,0))</f>
        <v/>
      </c>
      <c r="Q107" s="8">
        <f>INDEX(Market_Weekly!$U$6:$U$48,MATCH($A107,Market_Weekly!$A$6:$A$48,0))</f>
        <v/>
      </c>
      <c r="R107" s="8">
        <f>IF($D107="JEA_NSA","20ft","40ft")</f>
        <v/>
      </c>
      <c r="S107" s="8">
        <f>IF($D107="JEA_NSA","nsa","mun")</f>
        <v/>
      </c>
      <c r="T107" s="8">
        <f>IF($D107="JEA_NSA","jea_nsa","usec_mun")</f>
        <v/>
      </c>
      <c r="U107" s="16">
        <f>INDEX(param_values,MATCH("container_payload_mt_"&amp;$R107,param_keys,0))</f>
        <v/>
      </c>
      <c r="V107" s="16">
        <f>INDEX(param_values,MATCH("container_payload_mt_"&amp;$R107&amp;"_"&amp;$C107,param_keys,0))</f>
        <v/>
      </c>
      <c r="W107" s="16">
        <f>INDEX(param_values,MATCH("container_payload_mt_20ft_"&amp;$C107,param_keys,0))</f>
        <v/>
      </c>
      <c r="X107" s="18">
        <f>INDEX(param_values,MATCH("port_cf_charges_inr_t_"&amp;$S107,param_keys,0))</f>
        <v/>
      </c>
      <c r="Y107" s="8">
        <f>INDEX(param_values,MATCH(IF($D107="JEA_NSA","psic_required_uae_origin","psic_required_safe_origin_designated_port"),param_keys,0))</f>
        <v/>
      </c>
      <c r="Z107" s="19">
        <f>INDEX(param_values,MATCH("finance_days_"&amp;$T107,param_keys,0))</f>
        <v/>
      </c>
      <c r="AA107" s="15">
        <f>INDEX(param_values,MATCH("moisture_frac_"&amp;$C107,param_keys,0))</f>
        <v/>
      </c>
      <c r="AB107" s="15">
        <f>INDEX(param_values,MATCH("contamination_frac_"&amp;$C107,param_keys,0))</f>
        <v/>
      </c>
      <c r="AC107" s="15">
        <f>INDEX(param_values,MATCH("metal_yield_frac_"&amp;$C107,param_keys,0))</f>
        <v/>
      </c>
      <c r="AD107" s="15">
        <f>INDEX(param_values,MATCH("heavies_frac_"&amp;$C107,param_keys,0))</f>
        <v/>
      </c>
      <c r="AE107" s="8">
        <f>INDEX(param_values,MATCH("grade_factor_diff_"&amp;$C107,param_keys,0))</f>
        <v/>
      </c>
      <c r="AF107" s="16">
        <f>$F107*$P107</f>
        <v/>
      </c>
      <c r="AG107" s="8">
        <f>$U107/$V107</f>
        <v/>
      </c>
      <c r="AH107" s="16">
        <f>$L107*$AG107</f>
        <v/>
      </c>
      <c r="AI107" s="16">
        <f>$AF107-$AH107</f>
        <v/>
      </c>
      <c r="AJ107" s="16">
        <f>insurance_rate*insured_value_uplift*$AF107</f>
        <v/>
      </c>
      <c r="AK107" s="16">
        <f>$AF107+$AJ107</f>
        <v/>
      </c>
      <c r="AL107" s="18">
        <f>$AK107*$J107</f>
        <v/>
      </c>
      <c r="AM107" s="18">
        <f>$AK107*$I107</f>
        <v/>
      </c>
      <c r="AN107" s="18">
        <f>$AL107*bcd_scrap_hs7602</f>
        <v/>
      </c>
      <c r="AO107" s="18">
        <f>$AN107*sws_rate_on_bcd</f>
        <v/>
      </c>
      <c r="AP107" s="18">
        <f>($AL107+$AN107+$AO107)*igst_rate_hs7602</f>
        <v/>
      </c>
      <c r="AQ107" s="18">
        <f>$X107*$AG107+IF($Y107,psic_cost_usd_per_box*$H107/$W107,0)</f>
        <v/>
      </c>
      <c r="AR107" s="18">
        <f>($AM107+$AN107+$AO107)*$Z107/day_count_inr*$O107</f>
        <v/>
      </c>
      <c r="AS107" s="18">
        <f>$AP107*igst_credit_lag_days/day_count_inr*$O107</f>
        <v/>
      </c>
      <c r="AT107" s="18">
        <f>$AM107+$AN107+$AO107+$AQ107+$AR107+$AS107+IF(igst_itc_available,0,$AP107)</f>
        <v/>
      </c>
      <c r="AU107" s="15">
        <f>(1-$AA107)*(1-$AB107)*$AC107</f>
        <v/>
      </c>
      <c r="AV107" s="18">
        <f>$N107*kg_per_mt+domestic_anchor_premium_inr_t</f>
        <v/>
      </c>
      <c r="AW107" s="18">
        <f>(1-$AA107)*$AD107*heavies_net_value_frac_of_lme_al*$F107*$H107</f>
        <v/>
      </c>
      <c r="AX107" s="18">
        <f>conversion_cost_inr_t*$AU107</f>
        <v/>
      </c>
      <c r="AY107" s="18">
        <f>$AV107*$AU107+$AW107-$AT107-$AX107</f>
        <v/>
      </c>
      <c r="AZ107" s="16">
        <f>$AY107/$H107</f>
        <v/>
      </c>
      <c r="BA107" s="8">
        <f>$AY107&gt;margin_threshold_inr_t</f>
        <v/>
      </c>
      <c r="BB107" s="8">
        <f>$Q107+$AE107</f>
        <v/>
      </c>
      <c r="BC107" s="18">
        <f>$AT107-$AQ107</f>
        <v/>
      </c>
      <c r="BD107" s="18">
        <f>$AY107-$BC107*($BB107/$P107-1)</f>
        <v/>
      </c>
      <c r="BE107" s="18">
        <f>$AY107-(conv_step_5a-conversion_cost_inr_t)*$AU107</f>
        <v/>
      </c>
      <c r="BF107" s="8">
        <f>$BA107</f>
        <v/>
      </c>
      <c r="BG107" s="8">
        <f>$BD107&gt;margin_threshold_inr_t</f>
        <v/>
      </c>
      <c r="BH107" s="8">
        <f>$BE107&gt;margin_threshold_inr_t</f>
        <v/>
      </c>
      <c r="BI107" s="8">
        <f>AND($BF107,$BG107,$BH107)</f>
        <v/>
      </c>
      <c r="BJ107" s="8">
        <f>IF($BI107,1,0)</f>
        <v/>
      </c>
    </row>
    <row r="108">
      <c r="A108" s="11" t="n">
        <v>44687</v>
      </c>
      <c r="B108" s="11" t="n">
        <v>44687</v>
      </c>
      <c r="C108" s="7" t="inlineStr">
        <is>
          <t>zorba</t>
        </is>
      </c>
      <c r="D108" s="7" t="inlineStr">
        <is>
          <t>JEA_NSA</t>
        </is>
      </c>
      <c r="E108" s="17" t="b">
        <v>1</v>
      </c>
      <c r="F108" s="16">
        <f>INDEX(Market_Weekly!$E$6:$E$48,MATCH($A108,Market_Weekly!$A$6:$A$48,0))</f>
        <v/>
      </c>
      <c r="G108" s="16">
        <f>INDEX(Market_Weekly!$D$6:$D$48,MATCH($A108,Market_Weekly!$A$6:$A$48,0))</f>
        <v/>
      </c>
      <c r="H108" s="16">
        <f>INDEX(Market_Weekly!$G$6:$G$48,MATCH($A108,Market_Weekly!$A$6:$A$48,0))</f>
        <v/>
      </c>
      <c r="I108" s="8">
        <f>INDEX(Market_Weekly!$H$6:$H$48,MATCH($A108,Market_Weekly!$A$6:$A$48,0))</f>
        <v/>
      </c>
      <c r="J108" s="8">
        <f>INDEX(Market_Weekly!$Q$6:$Q$48,MATCH($A108,Market_Weekly!$A$6:$A$48,0))</f>
        <v/>
      </c>
      <c r="K108" s="8">
        <f>INDEX(Market_Weekly!$V$6:$V$48,MATCH($A108,Market_Weekly!$A$6:$A$48,0))</f>
        <v/>
      </c>
      <c r="L108" s="16">
        <f>IF($D108="JEA_NSA",INDEX(Market_Weekly!$N$6:$N$48,MATCH($A108,Market_Weekly!$A$6:$A$48,0)),INDEX(Market_Weekly!$O$6:$O$48,MATCH($A108,Market_Weekly!$A$6:$A$48,0)))</f>
        <v/>
      </c>
      <c r="M108" s="8">
        <f>IF($D108="JEA_NSA","M1","M2")</f>
        <v/>
      </c>
      <c r="N108" s="16">
        <f>IF($D108="JEA_NSA",INDEX(Market_Weekly!$L$6:$L$48,MATCH($A108,Market_Weekly!$A$6:$A$48,0)),INDEX(Market_Weekly!$M$6:$M$48,MATCH($A108,Market_Weekly!$A$6:$A$48,0)))</f>
        <v/>
      </c>
      <c r="O108" s="15">
        <f>INDEX(Market_Weekly!$P$6:$P$48,MATCH($A108,Market_Weekly!$A$6:$A$48,0))</f>
        <v/>
      </c>
      <c r="P108" s="8">
        <f>INDEX(Market_Weekly!$R$6:$T$48,MATCH($A108,Market_Weekly!$A$6:$A$48,0),MATCH("grade_factor_"&amp;$C108,Market_Weekly!$R$5:$T$5,0))</f>
        <v/>
      </c>
      <c r="Q108" s="8">
        <f>INDEX(Market_Weekly!$U$6:$U$48,MATCH($A108,Market_Weekly!$A$6:$A$48,0))</f>
        <v/>
      </c>
      <c r="R108" s="8">
        <f>IF($D108="JEA_NSA","20ft","40ft")</f>
        <v/>
      </c>
      <c r="S108" s="8">
        <f>IF($D108="JEA_NSA","nsa","mun")</f>
        <v/>
      </c>
      <c r="T108" s="8">
        <f>IF($D108="JEA_NSA","jea_nsa","usec_mun")</f>
        <v/>
      </c>
      <c r="U108" s="16">
        <f>INDEX(param_values,MATCH("container_payload_mt_"&amp;$R108,param_keys,0))</f>
        <v/>
      </c>
      <c r="V108" s="16">
        <f>INDEX(param_values,MATCH("container_payload_mt_"&amp;$R108&amp;"_"&amp;$C108,param_keys,0))</f>
        <v/>
      </c>
      <c r="W108" s="16">
        <f>INDEX(param_values,MATCH("container_payload_mt_20ft_"&amp;$C108,param_keys,0))</f>
        <v/>
      </c>
      <c r="X108" s="18">
        <f>INDEX(param_values,MATCH("port_cf_charges_inr_t_"&amp;$S108,param_keys,0))</f>
        <v/>
      </c>
      <c r="Y108" s="8">
        <f>INDEX(param_values,MATCH(IF($D108="JEA_NSA","psic_required_uae_origin","psic_required_safe_origin_designated_port"),param_keys,0))</f>
        <v/>
      </c>
      <c r="Z108" s="19">
        <f>INDEX(param_values,MATCH("finance_days_"&amp;$T108,param_keys,0))</f>
        <v/>
      </c>
      <c r="AA108" s="15">
        <f>INDEX(param_values,MATCH("moisture_frac_"&amp;$C108,param_keys,0))</f>
        <v/>
      </c>
      <c r="AB108" s="15">
        <f>INDEX(param_values,MATCH("contamination_frac_"&amp;$C108,param_keys,0))</f>
        <v/>
      </c>
      <c r="AC108" s="15">
        <f>INDEX(param_values,MATCH("metal_yield_frac_"&amp;$C108,param_keys,0))</f>
        <v/>
      </c>
      <c r="AD108" s="15">
        <f>INDEX(param_values,MATCH("heavies_frac_"&amp;$C108,param_keys,0))</f>
        <v/>
      </c>
      <c r="AE108" s="8">
        <f>INDEX(param_values,MATCH("grade_factor_diff_"&amp;$C108,param_keys,0))</f>
        <v/>
      </c>
      <c r="AF108" s="16">
        <f>$F108*$P108</f>
        <v/>
      </c>
      <c r="AG108" s="8">
        <f>$U108/$V108</f>
        <v/>
      </c>
      <c r="AH108" s="16">
        <f>$L108*$AG108</f>
        <v/>
      </c>
      <c r="AI108" s="16">
        <f>$AF108-$AH108</f>
        <v/>
      </c>
      <c r="AJ108" s="16">
        <f>insurance_rate*insured_value_uplift*$AF108</f>
        <v/>
      </c>
      <c r="AK108" s="16">
        <f>$AF108+$AJ108</f>
        <v/>
      </c>
      <c r="AL108" s="18">
        <f>$AK108*$J108</f>
        <v/>
      </c>
      <c r="AM108" s="18">
        <f>$AK108*$I108</f>
        <v/>
      </c>
      <c r="AN108" s="18">
        <f>$AL108*bcd_scrap_hs7602</f>
        <v/>
      </c>
      <c r="AO108" s="18">
        <f>$AN108*sws_rate_on_bcd</f>
        <v/>
      </c>
      <c r="AP108" s="18">
        <f>($AL108+$AN108+$AO108)*igst_rate_hs7602</f>
        <v/>
      </c>
      <c r="AQ108" s="18">
        <f>$X108*$AG108+IF($Y108,psic_cost_usd_per_box*$H108/$W108,0)</f>
        <v/>
      </c>
      <c r="AR108" s="18">
        <f>($AM108+$AN108+$AO108)*$Z108/day_count_inr*$O108</f>
        <v/>
      </c>
      <c r="AS108" s="18">
        <f>$AP108*igst_credit_lag_days/day_count_inr*$O108</f>
        <v/>
      </c>
      <c r="AT108" s="18">
        <f>$AM108+$AN108+$AO108+$AQ108+$AR108+$AS108+IF(igst_itc_available,0,$AP108)</f>
        <v/>
      </c>
      <c r="AU108" s="15">
        <f>(1-$AA108)*(1-$AB108)*$AC108</f>
        <v/>
      </c>
      <c r="AV108" s="18">
        <f>$N108*kg_per_mt+domestic_anchor_premium_inr_t</f>
        <v/>
      </c>
      <c r="AW108" s="18">
        <f>(1-$AA108)*$AD108*heavies_net_value_frac_of_lme_al*$F108*$H108</f>
        <v/>
      </c>
      <c r="AX108" s="18">
        <f>conversion_cost_inr_t*$AU108</f>
        <v/>
      </c>
      <c r="AY108" s="18">
        <f>$AV108*$AU108+$AW108-$AT108-$AX108</f>
        <v/>
      </c>
      <c r="AZ108" s="16">
        <f>$AY108/$H108</f>
        <v/>
      </c>
      <c r="BA108" s="8">
        <f>$AY108&gt;margin_threshold_inr_t</f>
        <v/>
      </c>
      <c r="BB108" s="8">
        <f>$Q108+$AE108</f>
        <v/>
      </c>
      <c r="BC108" s="18">
        <f>$AT108-$AQ108</f>
        <v/>
      </c>
      <c r="BD108" s="18">
        <f>$AY108-$BC108*($BB108/$P108-1)</f>
        <v/>
      </c>
      <c r="BE108" s="18">
        <f>$AY108-(conv_step_5a-conversion_cost_inr_t)*$AU108</f>
        <v/>
      </c>
      <c r="BF108" s="8">
        <f>$BA108</f>
        <v/>
      </c>
      <c r="BG108" s="8">
        <f>$BD108&gt;margin_threshold_inr_t</f>
        <v/>
      </c>
      <c r="BH108" s="8">
        <f>$BE108&gt;margin_threshold_inr_t</f>
        <v/>
      </c>
      <c r="BI108" s="8">
        <f>AND($BF108,$BG108,$BH108)</f>
        <v/>
      </c>
      <c r="BJ108" s="8">
        <f>IF($BI108,1,0)</f>
        <v/>
      </c>
    </row>
    <row r="109">
      <c r="A109" s="11" t="n">
        <v>44687</v>
      </c>
      <c r="B109" s="11" t="n">
        <v>44687</v>
      </c>
      <c r="C109" s="7" t="inlineStr">
        <is>
          <t>zorba</t>
        </is>
      </c>
      <c r="D109" s="7" t="inlineStr">
        <is>
          <t>USEC_MUN</t>
        </is>
      </c>
      <c r="E109" s="17" t="b">
        <v>1</v>
      </c>
      <c r="F109" s="16">
        <f>INDEX(Market_Weekly!$E$6:$E$48,MATCH($A109,Market_Weekly!$A$6:$A$48,0))</f>
        <v/>
      </c>
      <c r="G109" s="16">
        <f>INDEX(Market_Weekly!$D$6:$D$48,MATCH($A109,Market_Weekly!$A$6:$A$48,0))</f>
        <v/>
      </c>
      <c r="H109" s="16">
        <f>INDEX(Market_Weekly!$G$6:$G$48,MATCH($A109,Market_Weekly!$A$6:$A$48,0))</f>
        <v/>
      </c>
      <c r="I109" s="8">
        <f>INDEX(Market_Weekly!$H$6:$H$48,MATCH($A109,Market_Weekly!$A$6:$A$48,0))</f>
        <v/>
      </c>
      <c r="J109" s="8">
        <f>INDEX(Market_Weekly!$Q$6:$Q$48,MATCH($A109,Market_Weekly!$A$6:$A$48,0))</f>
        <v/>
      </c>
      <c r="K109" s="8">
        <f>INDEX(Market_Weekly!$V$6:$V$48,MATCH($A109,Market_Weekly!$A$6:$A$48,0))</f>
        <v/>
      </c>
      <c r="L109" s="16">
        <f>IF($D109="JEA_NSA",INDEX(Market_Weekly!$N$6:$N$48,MATCH($A109,Market_Weekly!$A$6:$A$48,0)),INDEX(Market_Weekly!$O$6:$O$48,MATCH($A109,Market_Weekly!$A$6:$A$48,0)))</f>
        <v/>
      </c>
      <c r="M109" s="8">
        <f>IF($D109="JEA_NSA","M1","M2")</f>
        <v/>
      </c>
      <c r="N109" s="16">
        <f>IF($D109="JEA_NSA",INDEX(Market_Weekly!$L$6:$L$48,MATCH($A109,Market_Weekly!$A$6:$A$48,0)),INDEX(Market_Weekly!$M$6:$M$48,MATCH($A109,Market_Weekly!$A$6:$A$48,0)))</f>
        <v/>
      </c>
      <c r="O109" s="15">
        <f>INDEX(Market_Weekly!$P$6:$P$48,MATCH($A109,Market_Weekly!$A$6:$A$48,0))</f>
        <v/>
      </c>
      <c r="P109" s="8">
        <f>INDEX(Market_Weekly!$R$6:$T$48,MATCH($A109,Market_Weekly!$A$6:$A$48,0),MATCH("grade_factor_"&amp;$C109,Market_Weekly!$R$5:$T$5,0))</f>
        <v/>
      </c>
      <c r="Q109" s="8">
        <f>INDEX(Market_Weekly!$U$6:$U$48,MATCH($A109,Market_Weekly!$A$6:$A$48,0))</f>
        <v/>
      </c>
      <c r="R109" s="8">
        <f>IF($D109="JEA_NSA","20ft","40ft")</f>
        <v/>
      </c>
      <c r="S109" s="8">
        <f>IF($D109="JEA_NSA","nsa","mun")</f>
        <v/>
      </c>
      <c r="T109" s="8">
        <f>IF($D109="JEA_NSA","jea_nsa","usec_mun")</f>
        <v/>
      </c>
      <c r="U109" s="16">
        <f>INDEX(param_values,MATCH("container_payload_mt_"&amp;$R109,param_keys,0))</f>
        <v/>
      </c>
      <c r="V109" s="16">
        <f>INDEX(param_values,MATCH("container_payload_mt_"&amp;$R109&amp;"_"&amp;$C109,param_keys,0))</f>
        <v/>
      </c>
      <c r="W109" s="16">
        <f>INDEX(param_values,MATCH("container_payload_mt_20ft_"&amp;$C109,param_keys,0))</f>
        <v/>
      </c>
      <c r="X109" s="18">
        <f>INDEX(param_values,MATCH("port_cf_charges_inr_t_"&amp;$S109,param_keys,0))</f>
        <v/>
      </c>
      <c r="Y109" s="8">
        <f>INDEX(param_values,MATCH(IF($D109="JEA_NSA","psic_required_uae_origin","psic_required_safe_origin_designated_port"),param_keys,0))</f>
        <v/>
      </c>
      <c r="Z109" s="19">
        <f>INDEX(param_values,MATCH("finance_days_"&amp;$T109,param_keys,0))</f>
        <v/>
      </c>
      <c r="AA109" s="15">
        <f>INDEX(param_values,MATCH("moisture_frac_"&amp;$C109,param_keys,0))</f>
        <v/>
      </c>
      <c r="AB109" s="15">
        <f>INDEX(param_values,MATCH("contamination_frac_"&amp;$C109,param_keys,0))</f>
        <v/>
      </c>
      <c r="AC109" s="15">
        <f>INDEX(param_values,MATCH("metal_yield_frac_"&amp;$C109,param_keys,0))</f>
        <v/>
      </c>
      <c r="AD109" s="15">
        <f>INDEX(param_values,MATCH("heavies_frac_"&amp;$C109,param_keys,0))</f>
        <v/>
      </c>
      <c r="AE109" s="8">
        <f>INDEX(param_values,MATCH("grade_factor_diff_"&amp;$C109,param_keys,0))</f>
        <v/>
      </c>
      <c r="AF109" s="16">
        <f>$F109*$P109</f>
        <v/>
      </c>
      <c r="AG109" s="8">
        <f>$U109/$V109</f>
        <v/>
      </c>
      <c r="AH109" s="16">
        <f>$L109*$AG109</f>
        <v/>
      </c>
      <c r="AI109" s="16">
        <f>$AF109-$AH109</f>
        <v/>
      </c>
      <c r="AJ109" s="16">
        <f>insurance_rate*insured_value_uplift*$AF109</f>
        <v/>
      </c>
      <c r="AK109" s="16">
        <f>$AF109+$AJ109</f>
        <v/>
      </c>
      <c r="AL109" s="18">
        <f>$AK109*$J109</f>
        <v/>
      </c>
      <c r="AM109" s="18">
        <f>$AK109*$I109</f>
        <v/>
      </c>
      <c r="AN109" s="18">
        <f>$AL109*bcd_scrap_hs7602</f>
        <v/>
      </c>
      <c r="AO109" s="18">
        <f>$AN109*sws_rate_on_bcd</f>
        <v/>
      </c>
      <c r="AP109" s="18">
        <f>($AL109+$AN109+$AO109)*igst_rate_hs7602</f>
        <v/>
      </c>
      <c r="AQ109" s="18">
        <f>$X109*$AG109+IF($Y109,psic_cost_usd_per_box*$H109/$W109,0)</f>
        <v/>
      </c>
      <c r="AR109" s="18">
        <f>($AM109+$AN109+$AO109)*$Z109/day_count_inr*$O109</f>
        <v/>
      </c>
      <c r="AS109" s="18">
        <f>$AP109*igst_credit_lag_days/day_count_inr*$O109</f>
        <v/>
      </c>
      <c r="AT109" s="18">
        <f>$AM109+$AN109+$AO109+$AQ109+$AR109+$AS109+IF(igst_itc_available,0,$AP109)</f>
        <v/>
      </c>
      <c r="AU109" s="15">
        <f>(1-$AA109)*(1-$AB109)*$AC109</f>
        <v/>
      </c>
      <c r="AV109" s="18">
        <f>$N109*kg_per_mt+domestic_anchor_premium_inr_t</f>
        <v/>
      </c>
      <c r="AW109" s="18">
        <f>(1-$AA109)*$AD109*heavies_net_value_frac_of_lme_al*$F109*$H109</f>
        <v/>
      </c>
      <c r="AX109" s="18">
        <f>conversion_cost_inr_t*$AU109</f>
        <v/>
      </c>
      <c r="AY109" s="18">
        <f>$AV109*$AU109+$AW109-$AT109-$AX109</f>
        <v/>
      </c>
      <c r="AZ109" s="16">
        <f>$AY109/$H109</f>
        <v/>
      </c>
      <c r="BA109" s="8">
        <f>$AY109&gt;margin_threshold_inr_t</f>
        <v/>
      </c>
      <c r="BB109" s="8">
        <f>$Q109+$AE109</f>
        <v/>
      </c>
      <c r="BC109" s="18">
        <f>$AT109-$AQ109</f>
        <v/>
      </c>
      <c r="BD109" s="18">
        <f>$AY109-$BC109*($BB109/$P109-1)</f>
        <v/>
      </c>
      <c r="BE109" s="18">
        <f>$AY109-(conv_step_5a-conversion_cost_inr_t)*$AU109</f>
        <v/>
      </c>
      <c r="BF109" s="8">
        <f>$BA109</f>
        <v/>
      </c>
      <c r="BG109" s="8">
        <f>$BD109&gt;margin_threshold_inr_t</f>
        <v/>
      </c>
      <c r="BH109" s="8">
        <f>$BE109&gt;margin_threshold_inr_t</f>
        <v/>
      </c>
      <c r="BI109" s="8">
        <f>AND($BF109,$BG109,$BH109)</f>
        <v/>
      </c>
      <c r="BJ109" s="8">
        <f>IF($BI109,1,0)</f>
        <v/>
      </c>
    </row>
    <row r="110">
      <c r="A110" s="11" t="n">
        <v>44687</v>
      </c>
      <c r="B110" s="11" t="n">
        <v>44687</v>
      </c>
      <c r="C110" s="7" t="inlineStr">
        <is>
          <t>taint_tabor</t>
        </is>
      </c>
      <c r="D110" s="7" t="inlineStr">
        <is>
          <t>JEA_NSA</t>
        </is>
      </c>
      <c r="E110" s="17" t="b">
        <v>1</v>
      </c>
      <c r="F110" s="16">
        <f>INDEX(Market_Weekly!$E$6:$E$48,MATCH($A110,Market_Weekly!$A$6:$A$48,0))</f>
        <v/>
      </c>
      <c r="G110" s="16">
        <f>INDEX(Market_Weekly!$D$6:$D$48,MATCH($A110,Market_Weekly!$A$6:$A$48,0))</f>
        <v/>
      </c>
      <c r="H110" s="16">
        <f>INDEX(Market_Weekly!$G$6:$G$48,MATCH($A110,Market_Weekly!$A$6:$A$48,0))</f>
        <v/>
      </c>
      <c r="I110" s="8">
        <f>INDEX(Market_Weekly!$H$6:$H$48,MATCH($A110,Market_Weekly!$A$6:$A$48,0))</f>
        <v/>
      </c>
      <c r="J110" s="8">
        <f>INDEX(Market_Weekly!$Q$6:$Q$48,MATCH($A110,Market_Weekly!$A$6:$A$48,0))</f>
        <v/>
      </c>
      <c r="K110" s="8">
        <f>INDEX(Market_Weekly!$V$6:$V$48,MATCH($A110,Market_Weekly!$A$6:$A$48,0))</f>
        <v/>
      </c>
      <c r="L110" s="16">
        <f>IF($D110="JEA_NSA",INDEX(Market_Weekly!$N$6:$N$48,MATCH($A110,Market_Weekly!$A$6:$A$48,0)),INDEX(Market_Weekly!$O$6:$O$48,MATCH($A110,Market_Weekly!$A$6:$A$48,0)))</f>
        <v/>
      </c>
      <c r="M110" s="8">
        <f>IF($D110="JEA_NSA","M1","M2")</f>
        <v/>
      </c>
      <c r="N110" s="16">
        <f>IF($D110="JEA_NSA",INDEX(Market_Weekly!$L$6:$L$48,MATCH($A110,Market_Weekly!$A$6:$A$48,0)),INDEX(Market_Weekly!$M$6:$M$48,MATCH($A110,Market_Weekly!$A$6:$A$48,0)))</f>
        <v/>
      </c>
      <c r="O110" s="15">
        <f>INDEX(Market_Weekly!$P$6:$P$48,MATCH($A110,Market_Weekly!$A$6:$A$48,0))</f>
        <v/>
      </c>
      <c r="P110" s="8">
        <f>INDEX(Market_Weekly!$R$6:$T$48,MATCH($A110,Market_Weekly!$A$6:$A$48,0),MATCH("grade_factor_"&amp;$C110,Market_Weekly!$R$5:$T$5,0))</f>
        <v/>
      </c>
      <c r="Q110" s="8">
        <f>INDEX(Market_Weekly!$U$6:$U$48,MATCH($A110,Market_Weekly!$A$6:$A$48,0))</f>
        <v/>
      </c>
      <c r="R110" s="8">
        <f>IF($D110="JEA_NSA","20ft","40ft")</f>
        <v/>
      </c>
      <c r="S110" s="8">
        <f>IF($D110="JEA_NSA","nsa","mun")</f>
        <v/>
      </c>
      <c r="T110" s="8">
        <f>IF($D110="JEA_NSA","jea_nsa","usec_mun")</f>
        <v/>
      </c>
      <c r="U110" s="16">
        <f>INDEX(param_values,MATCH("container_payload_mt_"&amp;$R110,param_keys,0))</f>
        <v/>
      </c>
      <c r="V110" s="16">
        <f>INDEX(param_values,MATCH("container_payload_mt_"&amp;$R110&amp;"_"&amp;$C110,param_keys,0))</f>
        <v/>
      </c>
      <c r="W110" s="16">
        <f>INDEX(param_values,MATCH("container_payload_mt_20ft_"&amp;$C110,param_keys,0))</f>
        <v/>
      </c>
      <c r="X110" s="18">
        <f>INDEX(param_values,MATCH("port_cf_charges_inr_t_"&amp;$S110,param_keys,0))</f>
        <v/>
      </c>
      <c r="Y110" s="8">
        <f>INDEX(param_values,MATCH(IF($D110="JEA_NSA","psic_required_uae_origin","psic_required_safe_origin_designated_port"),param_keys,0))</f>
        <v/>
      </c>
      <c r="Z110" s="19">
        <f>INDEX(param_values,MATCH("finance_days_"&amp;$T110,param_keys,0))</f>
        <v/>
      </c>
      <c r="AA110" s="15">
        <f>INDEX(param_values,MATCH("moisture_frac_"&amp;$C110,param_keys,0))</f>
        <v/>
      </c>
      <c r="AB110" s="15">
        <f>INDEX(param_values,MATCH("contamination_frac_"&amp;$C110,param_keys,0))</f>
        <v/>
      </c>
      <c r="AC110" s="15">
        <f>INDEX(param_values,MATCH("metal_yield_frac_"&amp;$C110,param_keys,0))</f>
        <v/>
      </c>
      <c r="AD110" s="15">
        <f>INDEX(param_values,MATCH("heavies_frac_"&amp;$C110,param_keys,0))</f>
        <v/>
      </c>
      <c r="AE110" s="8">
        <f>INDEX(param_values,MATCH("grade_factor_diff_"&amp;$C110,param_keys,0))</f>
        <v/>
      </c>
      <c r="AF110" s="16">
        <f>$F110*$P110</f>
        <v/>
      </c>
      <c r="AG110" s="8">
        <f>$U110/$V110</f>
        <v/>
      </c>
      <c r="AH110" s="16">
        <f>$L110*$AG110</f>
        <v/>
      </c>
      <c r="AI110" s="16">
        <f>$AF110-$AH110</f>
        <v/>
      </c>
      <c r="AJ110" s="16">
        <f>insurance_rate*insured_value_uplift*$AF110</f>
        <v/>
      </c>
      <c r="AK110" s="16">
        <f>$AF110+$AJ110</f>
        <v/>
      </c>
      <c r="AL110" s="18">
        <f>$AK110*$J110</f>
        <v/>
      </c>
      <c r="AM110" s="18">
        <f>$AK110*$I110</f>
        <v/>
      </c>
      <c r="AN110" s="18">
        <f>$AL110*bcd_scrap_hs7602</f>
        <v/>
      </c>
      <c r="AO110" s="18">
        <f>$AN110*sws_rate_on_bcd</f>
        <v/>
      </c>
      <c r="AP110" s="18">
        <f>($AL110+$AN110+$AO110)*igst_rate_hs7602</f>
        <v/>
      </c>
      <c r="AQ110" s="18">
        <f>$X110*$AG110+IF($Y110,psic_cost_usd_per_box*$H110/$W110,0)</f>
        <v/>
      </c>
      <c r="AR110" s="18">
        <f>($AM110+$AN110+$AO110)*$Z110/day_count_inr*$O110</f>
        <v/>
      </c>
      <c r="AS110" s="18">
        <f>$AP110*igst_credit_lag_days/day_count_inr*$O110</f>
        <v/>
      </c>
      <c r="AT110" s="18">
        <f>$AM110+$AN110+$AO110+$AQ110+$AR110+$AS110+IF(igst_itc_available,0,$AP110)</f>
        <v/>
      </c>
      <c r="AU110" s="15">
        <f>(1-$AA110)*(1-$AB110)*$AC110</f>
        <v/>
      </c>
      <c r="AV110" s="18">
        <f>$N110*kg_per_mt+domestic_anchor_premium_inr_t</f>
        <v/>
      </c>
      <c r="AW110" s="18">
        <f>(1-$AA110)*$AD110*heavies_net_value_frac_of_lme_al*$F110*$H110</f>
        <v/>
      </c>
      <c r="AX110" s="18">
        <f>conversion_cost_inr_t*$AU110</f>
        <v/>
      </c>
      <c r="AY110" s="18">
        <f>$AV110*$AU110+$AW110-$AT110-$AX110</f>
        <v/>
      </c>
      <c r="AZ110" s="16">
        <f>$AY110/$H110</f>
        <v/>
      </c>
      <c r="BA110" s="8">
        <f>$AY110&gt;margin_threshold_inr_t</f>
        <v/>
      </c>
      <c r="BB110" s="8">
        <f>$Q110+$AE110</f>
        <v/>
      </c>
      <c r="BC110" s="18">
        <f>$AT110-$AQ110</f>
        <v/>
      </c>
      <c r="BD110" s="18">
        <f>$AY110-$BC110*($BB110/$P110-1)</f>
        <v/>
      </c>
      <c r="BE110" s="18">
        <f>$AY110-(conv_step_5a-conversion_cost_inr_t)*$AU110</f>
        <v/>
      </c>
      <c r="BF110" s="8">
        <f>$BA110</f>
        <v/>
      </c>
      <c r="BG110" s="8">
        <f>$BD110&gt;margin_threshold_inr_t</f>
        <v/>
      </c>
      <c r="BH110" s="8">
        <f>$BE110&gt;margin_threshold_inr_t</f>
        <v/>
      </c>
      <c r="BI110" s="8">
        <f>AND($BF110,$BG110,$BH110)</f>
        <v/>
      </c>
      <c r="BJ110" s="8">
        <f>IF($BI110,1,0)</f>
        <v/>
      </c>
    </row>
    <row r="111">
      <c r="A111" s="11" t="n">
        <v>44687</v>
      </c>
      <c r="B111" s="11" t="n">
        <v>44687</v>
      </c>
      <c r="C111" s="7" t="inlineStr">
        <is>
          <t>taint_tabor</t>
        </is>
      </c>
      <c r="D111" s="7" t="inlineStr">
        <is>
          <t>USEC_MUN</t>
        </is>
      </c>
      <c r="E111" s="17" t="b">
        <v>1</v>
      </c>
      <c r="F111" s="16">
        <f>INDEX(Market_Weekly!$E$6:$E$48,MATCH($A111,Market_Weekly!$A$6:$A$48,0))</f>
        <v/>
      </c>
      <c r="G111" s="16">
        <f>INDEX(Market_Weekly!$D$6:$D$48,MATCH($A111,Market_Weekly!$A$6:$A$48,0))</f>
        <v/>
      </c>
      <c r="H111" s="16">
        <f>INDEX(Market_Weekly!$G$6:$G$48,MATCH($A111,Market_Weekly!$A$6:$A$48,0))</f>
        <v/>
      </c>
      <c r="I111" s="8">
        <f>INDEX(Market_Weekly!$H$6:$H$48,MATCH($A111,Market_Weekly!$A$6:$A$48,0))</f>
        <v/>
      </c>
      <c r="J111" s="8">
        <f>INDEX(Market_Weekly!$Q$6:$Q$48,MATCH($A111,Market_Weekly!$A$6:$A$48,0))</f>
        <v/>
      </c>
      <c r="K111" s="8">
        <f>INDEX(Market_Weekly!$V$6:$V$48,MATCH($A111,Market_Weekly!$A$6:$A$48,0))</f>
        <v/>
      </c>
      <c r="L111" s="16">
        <f>IF($D111="JEA_NSA",INDEX(Market_Weekly!$N$6:$N$48,MATCH($A111,Market_Weekly!$A$6:$A$48,0)),INDEX(Market_Weekly!$O$6:$O$48,MATCH($A111,Market_Weekly!$A$6:$A$48,0)))</f>
        <v/>
      </c>
      <c r="M111" s="8">
        <f>IF($D111="JEA_NSA","M1","M2")</f>
        <v/>
      </c>
      <c r="N111" s="16">
        <f>IF($D111="JEA_NSA",INDEX(Market_Weekly!$L$6:$L$48,MATCH($A111,Market_Weekly!$A$6:$A$48,0)),INDEX(Market_Weekly!$M$6:$M$48,MATCH($A111,Market_Weekly!$A$6:$A$48,0)))</f>
        <v/>
      </c>
      <c r="O111" s="15">
        <f>INDEX(Market_Weekly!$P$6:$P$48,MATCH($A111,Market_Weekly!$A$6:$A$48,0))</f>
        <v/>
      </c>
      <c r="P111" s="8">
        <f>INDEX(Market_Weekly!$R$6:$T$48,MATCH($A111,Market_Weekly!$A$6:$A$48,0),MATCH("grade_factor_"&amp;$C111,Market_Weekly!$R$5:$T$5,0))</f>
        <v/>
      </c>
      <c r="Q111" s="8">
        <f>INDEX(Market_Weekly!$U$6:$U$48,MATCH($A111,Market_Weekly!$A$6:$A$48,0))</f>
        <v/>
      </c>
      <c r="R111" s="8">
        <f>IF($D111="JEA_NSA","20ft","40ft")</f>
        <v/>
      </c>
      <c r="S111" s="8">
        <f>IF($D111="JEA_NSA","nsa","mun")</f>
        <v/>
      </c>
      <c r="T111" s="8">
        <f>IF($D111="JEA_NSA","jea_nsa","usec_mun")</f>
        <v/>
      </c>
      <c r="U111" s="16">
        <f>INDEX(param_values,MATCH("container_payload_mt_"&amp;$R111,param_keys,0))</f>
        <v/>
      </c>
      <c r="V111" s="16">
        <f>INDEX(param_values,MATCH("container_payload_mt_"&amp;$R111&amp;"_"&amp;$C111,param_keys,0))</f>
        <v/>
      </c>
      <c r="W111" s="16">
        <f>INDEX(param_values,MATCH("container_payload_mt_20ft_"&amp;$C111,param_keys,0))</f>
        <v/>
      </c>
      <c r="X111" s="18">
        <f>INDEX(param_values,MATCH("port_cf_charges_inr_t_"&amp;$S111,param_keys,0))</f>
        <v/>
      </c>
      <c r="Y111" s="8">
        <f>INDEX(param_values,MATCH(IF($D111="JEA_NSA","psic_required_uae_origin","psic_required_safe_origin_designated_port"),param_keys,0))</f>
        <v/>
      </c>
      <c r="Z111" s="19">
        <f>INDEX(param_values,MATCH("finance_days_"&amp;$T111,param_keys,0))</f>
        <v/>
      </c>
      <c r="AA111" s="15">
        <f>INDEX(param_values,MATCH("moisture_frac_"&amp;$C111,param_keys,0))</f>
        <v/>
      </c>
      <c r="AB111" s="15">
        <f>INDEX(param_values,MATCH("contamination_frac_"&amp;$C111,param_keys,0))</f>
        <v/>
      </c>
      <c r="AC111" s="15">
        <f>INDEX(param_values,MATCH("metal_yield_frac_"&amp;$C111,param_keys,0))</f>
        <v/>
      </c>
      <c r="AD111" s="15">
        <f>INDEX(param_values,MATCH("heavies_frac_"&amp;$C111,param_keys,0))</f>
        <v/>
      </c>
      <c r="AE111" s="8">
        <f>INDEX(param_values,MATCH("grade_factor_diff_"&amp;$C111,param_keys,0))</f>
        <v/>
      </c>
      <c r="AF111" s="16">
        <f>$F111*$P111</f>
        <v/>
      </c>
      <c r="AG111" s="8">
        <f>$U111/$V111</f>
        <v/>
      </c>
      <c r="AH111" s="16">
        <f>$L111*$AG111</f>
        <v/>
      </c>
      <c r="AI111" s="16">
        <f>$AF111-$AH111</f>
        <v/>
      </c>
      <c r="AJ111" s="16">
        <f>insurance_rate*insured_value_uplift*$AF111</f>
        <v/>
      </c>
      <c r="AK111" s="16">
        <f>$AF111+$AJ111</f>
        <v/>
      </c>
      <c r="AL111" s="18">
        <f>$AK111*$J111</f>
        <v/>
      </c>
      <c r="AM111" s="18">
        <f>$AK111*$I111</f>
        <v/>
      </c>
      <c r="AN111" s="18">
        <f>$AL111*bcd_scrap_hs7602</f>
        <v/>
      </c>
      <c r="AO111" s="18">
        <f>$AN111*sws_rate_on_bcd</f>
        <v/>
      </c>
      <c r="AP111" s="18">
        <f>($AL111+$AN111+$AO111)*igst_rate_hs7602</f>
        <v/>
      </c>
      <c r="AQ111" s="18">
        <f>$X111*$AG111+IF($Y111,psic_cost_usd_per_box*$H111/$W111,0)</f>
        <v/>
      </c>
      <c r="AR111" s="18">
        <f>($AM111+$AN111+$AO111)*$Z111/day_count_inr*$O111</f>
        <v/>
      </c>
      <c r="AS111" s="18">
        <f>$AP111*igst_credit_lag_days/day_count_inr*$O111</f>
        <v/>
      </c>
      <c r="AT111" s="18">
        <f>$AM111+$AN111+$AO111+$AQ111+$AR111+$AS111+IF(igst_itc_available,0,$AP111)</f>
        <v/>
      </c>
      <c r="AU111" s="15">
        <f>(1-$AA111)*(1-$AB111)*$AC111</f>
        <v/>
      </c>
      <c r="AV111" s="18">
        <f>$N111*kg_per_mt+domestic_anchor_premium_inr_t</f>
        <v/>
      </c>
      <c r="AW111" s="18">
        <f>(1-$AA111)*$AD111*heavies_net_value_frac_of_lme_al*$F111*$H111</f>
        <v/>
      </c>
      <c r="AX111" s="18">
        <f>conversion_cost_inr_t*$AU111</f>
        <v/>
      </c>
      <c r="AY111" s="18">
        <f>$AV111*$AU111+$AW111-$AT111-$AX111</f>
        <v/>
      </c>
      <c r="AZ111" s="16">
        <f>$AY111/$H111</f>
        <v/>
      </c>
      <c r="BA111" s="8">
        <f>$AY111&gt;margin_threshold_inr_t</f>
        <v/>
      </c>
      <c r="BB111" s="8">
        <f>$Q111+$AE111</f>
        <v/>
      </c>
      <c r="BC111" s="18">
        <f>$AT111-$AQ111</f>
        <v/>
      </c>
      <c r="BD111" s="18">
        <f>$AY111-$BC111*($BB111/$P111-1)</f>
        <v/>
      </c>
      <c r="BE111" s="18">
        <f>$AY111-(conv_step_5a-conversion_cost_inr_t)*$AU111</f>
        <v/>
      </c>
      <c r="BF111" s="8">
        <f>$BA111</f>
        <v/>
      </c>
      <c r="BG111" s="8">
        <f>$BD111&gt;margin_threshold_inr_t</f>
        <v/>
      </c>
      <c r="BH111" s="8">
        <f>$BE111&gt;margin_threshold_inr_t</f>
        <v/>
      </c>
      <c r="BI111" s="8">
        <f>AND($BF111,$BG111,$BH111)</f>
        <v/>
      </c>
      <c r="BJ111" s="8">
        <f>IF($BI111,1,0)</f>
        <v/>
      </c>
    </row>
    <row r="112">
      <c r="A112" s="11" t="n">
        <v>44687</v>
      </c>
      <c r="B112" s="11" t="n">
        <v>44687</v>
      </c>
      <c r="C112" s="7" t="inlineStr">
        <is>
          <t>tense</t>
        </is>
      </c>
      <c r="D112" s="7" t="inlineStr">
        <is>
          <t>JEA_NSA</t>
        </is>
      </c>
      <c r="E112" s="17" t="b">
        <v>1</v>
      </c>
      <c r="F112" s="16">
        <f>INDEX(Market_Weekly!$E$6:$E$48,MATCH($A112,Market_Weekly!$A$6:$A$48,0))</f>
        <v/>
      </c>
      <c r="G112" s="16">
        <f>INDEX(Market_Weekly!$D$6:$D$48,MATCH($A112,Market_Weekly!$A$6:$A$48,0))</f>
        <v/>
      </c>
      <c r="H112" s="16">
        <f>INDEX(Market_Weekly!$G$6:$G$48,MATCH($A112,Market_Weekly!$A$6:$A$48,0))</f>
        <v/>
      </c>
      <c r="I112" s="8">
        <f>INDEX(Market_Weekly!$H$6:$H$48,MATCH($A112,Market_Weekly!$A$6:$A$48,0))</f>
        <v/>
      </c>
      <c r="J112" s="8">
        <f>INDEX(Market_Weekly!$Q$6:$Q$48,MATCH($A112,Market_Weekly!$A$6:$A$48,0))</f>
        <v/>
      </c>
      <c r="K112" s="8">
        <f>INDEX(Market_Weekly!$V$6:$V$48,MATCH($A112,Market_Weekly!$A$6:$A$48,0))</f>
        <v/>
      </c>
      <c r="L112" s="16">
        <f>IF($D112="JEA_NSA",INDEX(Market_Weekly!$N$6:$N$48,MATCH($A112,Market_Weekly!$A$6:$A$48,0)),INDEX(Market_Weekly!$O$6:$O$48,MATCH($A112,Market_Weekly!$A$6:$A$48,0)))</f>
        <v/>
      </c>
      <c r="M112" s="8">
        <f>IF($D112="JEA_NSA","M1","M2")</f>
        <v/>
      </c>
      <c r="N112" s="16">
        <f>IF($D112="JEA_NSA",INDEX(Market_Weekly!$L$6:$L$48,MATCH($A112,Market_Weekly!$A$6:$A$48,0)),INDEX(Market_Weekly!$M$6:$M$48,MATCH($A112,Market_Weekly!$A$6:$A$48,0)))</f>
        <v/>
      </c>
      <c r="O112" s="15">
        <f>INDEX(Market_Weekly!$P$6:$P$48,MATCH($A112,Market_Weekly!$A$6:$A$48,0))</f>
        <v/>
      </c>
      <c r="P112" s="8">
        <f>INDEX(Market_Weekly!$R$6:$T$48,MATCH($A112,Market_Weekly!$A$6:$A$48,0),MATCH("grade_factor_"&amp;$C112,Market_Weekly!$R$5:$T$5,0))</f>
        <v/>
      </c>
      <c r="Q112" s="8">
        <f>INDEX(Market_Weekly!$U$6:$U$48,MATCH($A112,Market_Weekly!$A$6:$A$48,0))</f>
        <v/>
      </c>
      <c r="R112" s="8">
        <f>IF($D112="JEA_NSA","20ft","40ft")</f>
        <v/>
      </c>
      <c r="S112" s="8">
        <f>IF($D112="JEA_NSA","nsa","mun")</f>
        <v/>
      </c>
      <c r="T112" s="8">
        <f>IF($D112="JEA_NSA","jea_nsa","usec_mun")</f>
        <v/>
      </c>
      <c r="U112" s="16">
        <f>INDEX(param_values,MATCH("container_payload_mt_"&amp;$R112,param_keys,0))</f>
        <v/>
      </c>
      <c r="V112" s="16">
        <f>INDEX(param_values,MATCH("container_payload_mt_"&amp;$R112&amp;"_"&amp;$C112,param_keys,0))</f>
        <v/>
      </c>
      <c r="W112" s="16">
        <f>INDEX(param_values,MATCH("container_payload_mt_20ft_"&amp;$C112,param_keys,0))</f>
        <v/>
      </c>
      <c r="X112" s="18">
        <f>INDEX(param_values,MATCH("port_cf_charges_inr_t_"&amp;$S112,param_keys,0))</f>
        <v/>
      </c>
      <c r="Y112" s="8">
        <f>INDEX(param_values,MATCH(IF($D112="JEA_NSA","psic_required_uae_origin","psic_required_safe_origin_designated_port"),param_keys,0))</f>
        <v/>
      </c>
      <c r="Z112" s="19">
        <f>INDEX(param_values,MATCH("finance_days_"&amp;$T112,param_keys,0))</f>
        <v/>
      </c>
      <c r="AA112" s="15">
        <f>INDEX(param_values,MATCH("moisture_frac_"&amp;$C112,param_keys,0))</f>
        <v/>
      </c>
      <c r="AB112" s="15">
        <f>INDEX(param_values,MATCH("contamination_frac_"&amp;$C112,param_keys,0))</f>
        <v/>
      </c>
      <c r="AC112" s="15">
        <f>INDEX(param_values,MATCH("metal_yield_frac_"&amp;$C112,param_keys,0))</f>
        <v/>
      </c>
      <c r="AD112" s="15">
        <f>INDEX(param_values,MATCH("heavies_frac_"&amp;$C112,param_keys,0))</f>
        <v/>
      </c>
      <c r="AE112" s="8">
        <f>INDEX(param_values,MATCH("grade_factor_diff_"&amp;$C112,param_keys,0))</f>
        <v/>
      </c>
      <c r="AF112" s="16">
        <f>$F112*$P112</f>
        <v/>
      </c>
      <c r="AG112" s="8">
        <f>$U112/$V112</f>
        <v/>
      </c>
      <c r="AH112" s="16">
        <f>$L112*$AG112</f>
        <v/>
      </c>
      <c r="AI112" s="16">
        <f>$AF112-$AH112</f>
        <v/>
      </c>
      <c r="AJ112" s="16">
        <f>insurance_rate*insured_value_uplift*$AF112</f>
        <v/>
      </c>
      <c r="AK112" s="16">
        <f>$AF112+$AJ112</f>
        <v/>
      </c>
      <c r="AL112" s="18">
        <f>$AK112*$J112</f>
        <v/>
      </c>
      <c r="AM112" s="18">
        <f>$AK112*$I112</f>
        <v/>
      </c>
      <c r="AN112" s="18">
        <f>$AL112*bcd_scrap_hs7602</f>
        <v/>
      </c>
      <c r="AO112" s="18">
        <f>$AN112*sws_rate_on_bcd</f>
        <v/>
      </c>
      <c r="AP112" s="18">
        <f>($AL112+$AN112+$AO112)*igst_rate_hs7602</f>
        <v/>
      </c>
      <c r="AQ112" s="18">
        <f>$X112*$AG112+IF($Y112,psic_cost_usd_per_box*$H112/$W112,0)</f>
        <v/>
      </c>
      <c r="AR112" s="18">
        <f>($AM112+$AN112+$AO112)*$Z112/day_count_inr*$O112</f>
        <v/>
      </c>
      <c r="AS112" s="18">
        <f>$AP112*igst_credit_lag_days/day_count_inr*$O112</f>
        <v/>
      </c>
      <c r="AT112" s="18">
        <f>$AM112+$AN112+$AO112+$AQ112+$AR112+$AS112+IF(igst_itc_available,0,$AP112)</f>
        <v/>
      </c>
      <c r="AU112" s="15">
        <f>(1-$AA112)*(1-$AB112)*$AC112</f>
        <v/>
      </c>
      <c r="AV112" s="18">
        <f>$N112*kg_per_mt+domestic_anchor_premium_inr_t</f>
        <v/>
      </c>
      <c r="AW112" s="18">
        <f>(1-$AA112)*$AD112*heavies_net_value_frac_of_lme_al*$F112*$H112</f>
        <v/>
      </c>
      <c r="AX112" s="18">
        <f>conversion_cost_inr_t*$AU112</f>
        <v/>
      </c>
      <c r="AY112" s="18">
        <f>$AV112*$AU112+$AW112-$AT112-$AX112</f>
        <v/>
      </c>
      <c r="AZ112" s="16">
        <f>$AY112/$H112</f>
        <v/>
      </c>
      <c r="BA112" s="8">
        <f>$AY112&gt;margin_threshold_inr_t</f>
        <v/>
      </c>
      <c r="BB112" s="8">
        <f>$Q112+$AE112</f>
        <v/>
      </c>
      <c r="BC112" s="18">
        <f>$AT112-$AQ112</f>
        <v/>
      </c>
      <c r="BD112" s="18">
        <f>$AY112-$BC112*($BB112/$P112-1)</f>
        <v/>
      </c>
      <c r="BE112" s="18">
        <f>$AY112-(conv_step_5a-conversion_cost_inr_t)*$AU112</f>
        <v/>
      </c>
      <c r="BF112" s="8">
        <f>$BA112</f>
        <v/>
      </c>
      <c r="BG112" s="8">
        <f>$BD112&gt;margin_threshold_inr_t</f>
        <v/>
      </c>
      <c r="BH112" s="8">
        <f>$BE112&gt;margin_threshold_inr_t</f>
        <v/>
      </c>
      <c r="BI112" s="8">
        <f>AND($BF112,$BG112,$BH112)</f>
        <v/>
      </c>
      <c r="BJ112" s="8">
        <f>IF($BI112,1,0)</f>
        <v/>
      </c>
    </row>
    <row r="113">
      <c r="A113" s="11" t="n">
        <v>44687</v>
      </c>
      <c r="B113" s="11" t="n">
        <v>44687</v>
      </c>
      <c r="C113" s="7" t="inlineStr">
        <is>
          <t>tense</t>
        </is>
      </c>
      <c r="D113" s="7" t="inlineStr">
        <is>
          <t>USEC_MUN</t>
        </is>
      </c>
      <c r="E113" s="17" t="b">
        <v>1</v>
      </c>
      <c r="F113" s="16">
        <f>INDEX(Market_Weekly!$E$6:$E$48,MATCH($A113,Market_Weekly!$A$6:$A$48,0))</f>
        <v/>
      </c>
      <c r="G113" s="16">
        <f>INDEX(Market_Weekly!$D$6:$D$48,MATCH($A113,Market_Weekly!$A$6:$A$48,0))</f>
        <v/>
      </c>
      <c r="H113" s="16">
        <f>INDEX(Market_Weekly!$G$6:$G$48,MATCH($A113,Market_Weekly!$A$6:$A$48,0))</f>
        <v/>
      </c>
      <c r="I113" s="8">
        <f>INDEX(Market_Weekly!$H$6:$H$48,MATCH($A113,Market_Weekly!$A$6:$A$48,0))</f>
        <v/>
      </c>
      <c r="J113" s="8">
        <f>INDEX(Market_Weekly!$Q$6:$Q$48,MATCH($A113,Market_Weekly!$A$6:$A$48,0))</f>
        <v/>
      </c>
      <c r="K113" s="8">
        <f>INDEX(Market_Weekly!$V$6:$V$48,MATCH($A113,Market_Weekly!$A$6:$A$48,0))</f>
        <v/>
      </c>
      <c r="L113" s="16">
        <f>IF($D113="JEA_NSA",INDEX(Market_Weekly!$N$6:$N$48,MATCH($A113,Market_Weekly!$A$6:$A$48,0)),INDEX(Market_Weekly!$O$6:$O$48,MATCH($A113,Market_Weekly!$A$6:$A$48,0)))</f>
        <v/>
      </c>
      <c r="M113" s="8">
        <f>IF($D113="JEA_NSA","M1","M2")</f>
        <v/>
      </c>
      <c r="N113" s="16">
        <f>IF($D113="JEA_NSA",INDEX(Market_Weekly!$L$6:$L$48,MATCH($A113,Market_Weekly!$A$6:$A$48,0)),INDEX(Market_Weekly!$M$6:$M$48,MATCH($A113,Market_Weekly!$A$6:$A$48,0)))</f>
        <v/>
      </c>
      <c r="O113" s="15">
        <f>INDEX(Market_Weekly!$P$6:$P$48,MATCH($A113,Market_Weekly!$A$6:$A$48,0))</f>
        <v/>
      </c>
      <c r="P113" s="8">
        <f>INDEX(Market_Weekly!$R$6:$T$48,MATCH($A113,Market_Weekly!$A$6:$A$48,0),MATCH("grade_factor_"&amp;$C113,Market_Weekly!$R$5:$T$5,0))</f>
        <v/>
      </c>
      <c r="Q113" s="8">
        <f>INDEX(Market_Weekly!$U$6:$U$48,MATCH($A113,Market_Weekly!$A$6:$A$48,0))</f>
        <v/>
      </c>
      <c r="R113" s="8">
        <f>IF($D113="JEA_NSA","20ft","40ft")</f>
        <v/>
      </c>
      <c r="S113" s="8">
        <f>IF($D113="JEA_NSA","nsa","mun")</f>
        <v/>
      </c>
      <c r="T113" s="8">
        <f>IF($D113="JEA_NSA","jea_nsa","usec_mun")</f>
        <v/>
      </c>
      <c r="U113" s="16">
        <f>INDEX(param_values,MATCH("container_payload_mt_"&amp;$R113,param_keys,0))</f>
        <v/>
      </c>
      <c r="V113" s="16">
        <f>INDEX(param_values,MATCH("container_payload_mt_"&amp;$R113&amp;"_"&amp;$C113,param_keys,0))</f>
        <v/>
      </c>
      <c r="W113" s="16">
        <f>INDEX(param_values,MATCH("container_payload_mt_20ft_"&amp;$C113,param_keys,0))</f>
        <v/>
      </c>
      <c r="X113" s="18">
        <f>INDEX(param_values,MATCH("port_cf_charges_inr_t_"&amp;$S113,param_keys,0))</f>
        <v/>
      </c>
      <c r="Y113" s="8">
        <f>INDEX(param_values,MATCH(IF($D113="JEA_NSA","psic_required_uae_origin","psic_required_safe_origin_designated_port"),param_keys,0))</f>
        <v/>
      </c>
      <c r="Z113" s="19">
        <f>INDEX(param_values,MATCH("finance_days_"&amp;$T113,param_keys,0))</f>
        <v/>
      </c>
      <c r="AA113" s="15">
        <f>INDEX(param_values,MATCH("moisture_frac_"&amp;$C113,param_keys,0))</f>
        <v/>
      </c>
      <c r="AB113" s="15">
        <f>INDEX(param_values,MATCH("contamination_frac_"&amp;$C113,param_keys,0))</f>
        <v/>
      </c>
      <c r="AC113" s="15">
        <f>INDEX(param_values,MATCH("metal_yield_frac_"&amp;$C113,param_keys,0))</f>
        <v/>
      </c>
      <c r="AD113" s="15">
        <f>INDEX(param_values,MATCH("heavies_frac_"&amp;$C113,param_keys,0))</f>
        <v/>
      </c>
      <c r="AE113" s="8">
        <f>INDEX(param_values,MATCH("grade_factor_diff_"&amp;$C113,param_keys,0))</f>
        <v/>
      </c>
      <c r="AF113" s="16">
        <f>$F113*$P113</f>
        <v/>
      </c>
      <c r="AG113" s="8">
        <f>$U113/$V113</f>
        <v/>
      </c>
      <c r="AH113" s="16">
        <f>$L113*$AG113</f>
        <v/>
      </c>
      <c r="AI113" s="16">
        <f>$AF113-$AH113</f>
        <v/>
      </c>
      <c r="AJ113" s="16">
        <f>insurance_rate*insured_value_uplift*$AF113</f>
        <v/>
      </c>
      <c r="AK113" s="16">
        <f>$AF113+$AJ113</f>
        <v/>
      </c>
      <c r="AL113" s="18">
        <f>$AK113*$J113</f>
        <v/>
      </c>
      <c r="AM113" s="18">
        <f>$AK113*$I113</f>
        <v/>
      </c>
      <c r="AN113" s="18">
        <f>$AL113*bcd_scrap_hs7602</f>
        <v/>
      </c>
      <c r="AO113" s="18">
        <f>$AN113*sws_rate_on_bcd</f>
        <v/>
      </c>
      <c r="AP113" s="18">
        <f>($AL113+$AN113+$AO113)*igst_rate_hs7602</f>
        <v/>
      </c>
      <c r="AQ113" s="18">
        <f>$X113*$AG113+IF($Y113,psic_cost_usd_per_box*$H113/$W113,0)</f>
        <v/>
      </c>
      <c r="AR113" s="18">
        <f>($AM113+$AN113+$AO113)*$Z113/day_count_inr*$O113</f>
        <v/>
      </c>
      <c r="AS113" s="18">
        <f>$AP113*igst_credit_lag_days/day_count_inr*$O113</f>
        <v/>
      </c>
      <c r="AT113" s="18">
        <f>$AM113+$AN113+$AO113+$AQ113+$AR113+$AS113+IF(igst_itc_available,0,$AP113)</f>
        <v/>
      </c>
      <c r="AU113" s="15">
        <f>(1-$AA113)*(1-$AB113)*$AC113</f>
        <v/>
      </c>
      <c r="AV113" s="18">
        <f>$N113*kg_per_mt+domestic_anchor_premium_inr_t</f>
        <v/>
      </c>
      <c r="AW113" s="18">
        <f>(1-$AA113)*$AD113*heavies_net_value_frac_of_lme_al*$F113*$H113</f>
        <v/>
      </c>
      <c r="AX113" s="18">
        <f>conversion_cost_inr_t*$AU113</f>
        <v/>
      </c>
      <c r="AY113" s="18">
        <f>$AV113*$AU113+$AW113-$AT113-$AX113</f>
        <v/>
      </c>
      <c r="AZ113" s="16">
        <f>$AY113/$H113</f>
        <v/>
      </c>
      <c r="BA113" s="8">
        <f>$AY113&gt;margin_threshold_inr_t</f>
        <v/>
      </c>
      <c r="BB113" s="8">
        <f>$Q113+$AE113</f>
        <v/>
      </c>
      <c r="BC113" s="18">
        <f>$AT113-$AQ113</f>
        <v/>
      </c>
      <c r="BD113" s="18">
        <f>$AY113-$BC113*($BB113/$P113-1)</f>
        <v/>
      </c>
      <c r="BE113" s="18">
        <f>$AY113-(conv_step_5a-conversion_cost_inr_t)*$AU113</f>
        <v/>
      </c>
      <c r="BF113" s="8">
        <f>$BA113</f>
        <v/>
      </c>
      <c r="BG113" s="8">
        <f>$BD113&gt;margin_threshold_inr_t</f>
        <v/>
      </c>
      <c r="BH113" s="8">
        <f>$BE113&gt;margin_threshold_inr_t</f>
        <v/>
      </c>
      <c r="BI113" s="8">
        <f>AND($BF113,$BG113,$BH113)</f>
        <v/>
      </c>
      <c r="BJ113" s="8">
        <f>IF($BI113,1,0)</f>
        <v/>
      </c>
    </row>
    <row r="114">
      <c r="A114" s="11" t="n">
        <v>44694</v>
      </c>
      <c r="B114" s="11" t="n">
        <v>44694</v>
      </c>
      <c r="C114" s="7" t="inlineStr">
        <is>
          <t>zorba</t>
        </is>
      </c>
      <c r="D114" s="7" t="inlineStr">
        <is>
          <t>JEA_NSA</t>
        </is>
      </c>
      <c r="E114" s="17" t="b">
        <v>1</v>
      </c>
      <c r="F114" s="16">
        <f>INDEX(Market_Weekly!$E$6:$E$48,MATCH($A114,Market_Weekly!$A$6:$A$48,0))</f>
        <v/>
      </c>
      <c r="G114" s="16">
        <f>INDEX(Market_Weekly!$D$6:$D$48,MATCH($A114,Market_Weekly!$A$6:$A$48,0))</f>
        <v/>
      </c>
      <c r="H114" s="16">
        <f>INDEX(Market_Weekly!$G$6:$G$48,MATCH($A114,Market_Weekly!$A$6:$A$48,0))</f>
        <v/>
      </c>
      <c r="I114" s="8">
        <f>INDEX(Market_Weekly!$H$6:$H$48,MATCH($A114,Market_Weekly!$A$6:$A$48,0))</f>
        <v/>
      </c>
      <c r="J114" s="8">
        <f>INDEX(Market_Weekly!$Q$6:$Q$48,MATCH($A114,Market_Weekly!$A$6:$A$48,0))</f>
        <v/>
      </c>
      <c r="K114" s="8">
        <f>INDEX(Market_Weekly!$V$6:$V$48,MATCH($A114,Market_Weekly!$A$6:$A$48,0))</f>
        <v/>
      </c>
      <c r="L114" s="16">
        <f>IF($D114="JEA_NSA",INDEX(Market_Weekly!$N$6:$N$48,MATCH($A114,Market_Weekly!$A$6:$A$48,0)),INDEX(Market_Weekly!$O$6:$O$48,MATCH($A114,Market_Weekly!$A$6:$A$48,0)))</f>
        <v/>
      </c>
      <c r="M114" s="8">
        <f>IF($D114="JEA_NSA","M1","M2")</f>
        <v/>
      </c>
      <c r="N114" s="16">
        <f>IF($D114="JEA_NSA",INDEX(Market_Weekly!$L$6:$L$48,MATCH($A114,Market_Weekly!$A$6:$A$48,0)),INDEX(Market_Weekly!$M$6:$M$48,MATCH($A114,Market_Weekly!$A$6:$A$48,0)))</f>
        <v/>
      </c>
      <c r="O114" s="15">
        <f>INDEX(Market_Weekly!$P$6:$P$48,MATCH($A114,Market_Weekly!$A$6:$A$48,0))</f>
        <v/>
      </c>
      <c r="P114" s="8">
        <f>INDEX(Market_Weekly!$R$6:$T$48,MATCH($A114,Market_Weekly!$A$6:$A$48,0),MATCH("grade_factor_"&amp;$C114,Market_Weekly!$R$5:$T$5,0))</f>
        <v/>
      </c>
      <c r="Q114" s="8">
        <f>INDEX(Market_Weekly!$U$6:$U$48,MATCH($A114,Market_Weekly!$A$6:$A$48,0))</f>
        <v/>
      </c>
      <c r="R114" s="8">
        <f>IF($D114="JEA_NSA","20ft","40ft")</f>
        <v/>
      </c>
      <c r="S114" s="8">
        <f>IF($D114="JEA_NSA","nsa","mun")</f>
        <v/>
      </c>
      <c r="T114" s="8">
        <f>IF($D114="JEA_NSA","jea_nsa","usec_mun")</f>
        <v/>
      </c>
      <c r="U114" s="16">
        <f>INDEX(param_values,MATCH("container_payload_mt_"&amp;$R114,param_keys,0))</f>
        <v/>
      </c>
      <c r="V114" s="16">
        <f>INDEX(param_values,MATCH("container_payload_mt_"&amp;$R114&amp;"_"&amp;$C114,param_keys,0))</f>
        <v/>
      </c>
      <c r="W114" s="16">
        <f>INDEX(param_values,MATCH("container_payload_mt_20ft_"&amp;$C114,param_keys,0))</f>
        <v/>
      </c>
      <c r="X114" s="18">
        <f>INDEX(param_values,MATCH("port_cf_charges_inr_t_"&amp;$S114,param_keys,0))</f>
        <v/>
      </c>
      <c r="Y114" s="8">
        <f>INDEX(param_values,MATCH(IF($D114="JEA_NSA","psic_required_uae_origin","psic_required_safe_origin_designated_port"),param_keys,0))</f>
        <v/>
      </c>
      <c r="Z114" s="19">
        <f>INDEX(param_values,MATCH("finance_days_"&amp;$T114,param_keys,0))</f>
        <v/>
      </c>
      <c r="AA114" s="15">
        <f>INDEX(param_values,MATCH("moisture_frac_"&amp;$C114,param_keys,0))</f>
        <v/>
      </c>
      <c r="AB114" s="15">
        <f>INDEX(param_values,MATCH("contamination_frac_"&amp;$C114,param_keys,0))</f>
        <v/>
      </c>
      <c r="AC114" s="15">
        <f>INDEX(param_values,MATCH("metal_yield_frac_"&amp;$C114,param_keys,0))</f>
        <v/>
      </c>
      <c r="AD114" s="15">
        <f>INDEX(param_values,MATCH("heavies_frac_"&amp;$C114,param_keys,0))</f>
        <v/>
      </c>
      <c r="AE114" s="8">
        <f>INDEX(param_values,MATCH("grade_factor_diff_"&amp;$C114,param_keys,0))</f>
        <v/>
      </c>
      <c r="AF114" s="16">
        <f>$F114*$P114</f>
        <v/>
      </c>
      <c r="AG114" s="8">
        <f>$U114/$V114</f>
        <v/>
      </c>
      <c r="AH114" s="16">
        <f>$L114*$AG114</f>
        <v/>
      </c>
      <c r="AI114" s="16">
        <f>$AF114-$AH114</f>
        <v/>
      </c>
      <c r="AJ114" s="16">
        <f>insurance_rate*insured_value_uplift*$AF114</f>
        <v/>
      </c>
      <c r="AK114" s="16">
        <f>$AF114+$AJ114</f>
        <v/>
      </c>
      <c r="AL114" s="18">
        <f>$AK114*$J114</f>
        <v/>
      </c>
      <c r="AM114" s="18">
        <f>$AK114*$I114</f>
        <v/>
      </c>
      <c r="AN114" s="18">
        <f>$AL114*bcd_scrap_hs7602</f>
        <v/>
      </c>
      <c r="AO114" s="18">
        <f>$AN114*sws_rate_on_bcd</f>
        <v/>
      </c>
      <c r="AP114" s="18">
        <f>($AL114+$AN114+$AO114)*igst_rate_hs7602</f>
        <v/>
      </c>
      <c r="AQ114" s="18">
        <f>$X114*$AG114+IF($Y114,psic_cost_usd_per_box*$H114/$W114,0)</f>
        <v/>
      </c>
      <c r="AR114" s="18">
        <f>($AM114+$AN114+$AO114)*$Z114/day_count_inr*$O114</f>
        <v/>
      </c>
      <c r="AS114" s="18">
        <f>$AP114*igst_credit_lag_days/day_count_inr*$O114</f>
        <v/>
      </c>
      <c r="AT114" s="18">
        <f>$AM114+$AN114+$AO114+$AQ114+$AR114+$AS114+IF(igst_itc_available,0,$AP114)</f>
        <v/>
      </c>
      <c r="AU114" s="15">
        <f>(1-$AA114)*(1-$AB114)*$AC114</f>
        <v/>
      </c>
      <c r="AV114" s="18">
        <f>$N114*kg_per_mt+domestic_anchor_premium_inr_t</f>
        <v/>
      </c>
      <c r="AW114" s="18">
        <f>(1-$AA114)*$AD114*heavies_net_value_frac_of_lme_al*$F114*$H114</f>
        <v/>
      </c>
      <c r="AX114" s="18">
        <f>conversion_cost_inr_t*$AU114</f>
        <v/>
      </c>
      <c r="AY114" s="18">
        <f>$AV114*$AU114+$AW114-$AT114-$AX114</f>
        <v/>
      </c>
      <c r="AZ114" s="16">
        <f>$AY114/$H114</f>
        <v/>
      </c>
      <c r="BA114" s="8">
        <f>$AY114&gt;margin_threshold_inr_t</f>
        <v/>
      </c>
      <c r="BB114" s="8">
        <f>$Q114+$AE114</f>
        <v/>
      </c>
      <c r="BC114" s="18">
        <f>$AT114-$AQ114</f>
        <v/>
      </c>
      <c r="BD114" s="18">
        <f>$AY114-$BC114*($BB114/$P114-1)</f>
        <v/>
      </c>
      <c r="BE114" s="18">
        <f>$AY114-(conv_step_5a-conversion_cost_inr_t)*$AU114</f>
        <v/>
      </c>
      <c r="BF114" s="8">
        <f>$BA114</f>
        <v/>
      </c>
      <c r="BG114" s="8">
        <f>$BD114&gt;margin_threshold_inr_t</f>
        <v/>
      </c>
      <c r="BH114" s="8">
        <f>$BE114&gt;margin_threshold_inr_t</f>
        <v/>
      </c>
      <c r="BI114" s="8">
        <f>AND($BF114,$BG114,$BH114)</f>
        <v/>
      </c>
      <c r="BJ114" s="8">
        <f>IF($BI114,1,0)</f>
        <v/>
      </c>
    </row>
    <row r="115">
      <c r="A115" s="11" t="n">
        <v>44694</v>
      </c>
      <c r="B115" s="11" t="n">
        <v>44694</v>
      </c>
      <c r="C115" s="7" t="inlineStr">
        <is>
          <t>zorba</t>
        </is>
      </c>
      <c r="D115" s="7" t="inlineStr">
        <is>
          <t>USEC_MUN</t>
        </is>
      </c>
      <c r="E115" s="17" t="b">
        <v>1</v>
      </c>
      <c r="F115" s="16">
        <f>INDEX(Market_Weekly!$E$6:$E$48,MATCH($A115,Market_Weekly!$A$6:$A$48,0))</f>
        <v/>
      </c>
      <c r="G115" s="16">
        <f>INDEX(Market_Weekly!$D$6:$D$48,MATCH($A115,Market_Weekly!$A$6:$A$48,0))</f>
        <v/>
      </c>
      <c r="H115" s="16">
        <f>INDEX(Market_Weekly!$G$6:$G$48,MATCH($A115,Market_Weekly!$A$6:$A$48,0))</f>
        <v/>
      </c>
      <c r="I115" s="8">
        <f>INDEX(Market_Weekly!$H$6:$H$48,MATCH($A115,Market_Weekly!$A$6:$A$48,0))</f>
        <v/>
      </c>
      <c r="J115" s="8">
        <f>INDEX(Market_Weekly!$Q$6:$Q$48,MATCH($A115,Market_Weekly!$A$6:$A$48,0))</f>
        <v/>
      </c>
      <c r="K115" s="8">
        <f>INDEX(Market_Weekly!$V$6:$V$48,MATCH($A115,Market_Weekly!$A$6:$A$48,0))</f>
        <v/>
      </c>
      <c r="L115" s="16">
        <f>IF($D115="JEA_NSA",INDEX(Market_Weekly!$N$6:$N$48,MATCH($A115,Market_Weekly!$A$6:$A$48,0)),INDEX(Market_Weekly!$O$6:$O$48,MATCH($A115,Market_Weekly!$A$6:$A$48,0)))</f>
        <v/>
      </c>
      <c r="M115" s="8">
        <f>IF($D115="JEA_NSA","M1","M2")</f>
        <v/>
      </c>
      <c r="N115" s="16">
        <f>IF($D115="JEA_NSA",INDEX(Market_Weekly!$L$6:$L$48,MATCH($A115,Market_Weekly!$A$6:$A$48,0)),INDEX(Market_Weekly!$M$6:$M$48,MATCH($A115,Market_Weekly!$A$6:$A$48,0)))</f>
        <v/>
      </c>
      <c r="O115" s="15">
        <f>INDEX(Market_Weekly!$P$6:$P$48,MATCH($A115,Market_Weekly!$A$6:$A$48,0))</f>
        <v/>
      </c>
      <c r="P115" s="8">
        <f>INDEX(Market_Weekly!$R$6:$T$48,MATCH($A115,Market_Weekly!$A$6:$A$48,0),MATCH("grade_factor_"&amp;$C115,Market_Weekly!$R$5:$T$5,0))</f>
        <v/>
      </c>
      <c r="Q115" s="8">
        <f>INDEX(Market_Weekly!$U$6:$U$48,MATCH($A115,Market_Weekly!$A$6:$A$48,0))</f>
        <v/>
      </c>
      <c r="R115" s="8">
        <f>IF($D115="JEA_NSA","20ft","40ft")</f>
        <v/>
      </c>
      <c r="S115" s="8">
        <f>IF($D115="JEA_NSA","nsa","mun")</f>
        <v/>
      </c>
      <c r="T115" s="8">
        <f>IF($D115="JEA_NSA","jea_nsa","usec_mun")</f>
        <v/>
      </c>
      <c r="U115" s="16">
        <f>INDEX(param_values,MATCH("container_payload_mt_"&amp;$R115,param_keys,0))</f>
        <v/>
      </c>
      <c r="V115" s="16">
        <f>INDEX(param_values,MATCH("container_payload_mt_"&amp;$R115&amp;"_"&amp;$C115,param_keys,0))</f>
        <v/>
      </c>
      <c r="W115" s="16">
        <f>INDEX(param_values,MATCH("container_payload_mt_20ft_"&amp;$C115,param_keys,0))</f>
        <v/>
      </c>
      <c r="X115" s="18">
        <f>INDEX(param_values,MATCH("port_cf_charges_inr_t_"&amp;$S115,param_keys,0))</f>
        <v/>
      </c>
      <c r="Y115" s="8">
        <f>INDEX(param_values,MATCH(IF($D115="JEA_NSA","psic_required_uae_origin","psic_required_safe_origin_designated_port"),param_keys,0))</f>
        <v/>
      </c>
      <c r="Z115" s="19">
        <f>INDEX(param_values,MATCH("finance_days_"&amp;$T115,param_keys,0))</f>
        <v/>
      </c>
      <c r="AA115" s="15">
        <f>INDEX(param_values,MATCH("moisture_frac_"&amp;$C115,param_keys,0))</f>
        <v/>
      </c>
      <c r="AB115" s="15">
        <f>INDEX(param_values,MATCH("contamination_frac_"&amp;$C115,param_keys,0))</f>
        <v/>
      </c>
      <c r="AC115" s="15">
        <f>INDEX(param_values,MATCH("metal_yield_frac_"&amp;$C115,param_keys,0))</f>
        <v/>
      </c>
      <c r="AD115" s="15">
        <f>INDEX(param_values,MATCH("heavies_frac_"&amp;$C115,param_keys,0))</f>
        <v/>
      </c>
      <c r="AE115" s="8">
        <f>INDEX(param_values,MATCH("grade_factor_diff_"&amp;$C115,param_keys,0))</f>
        <v/>
      </c>
      <c r="AF115" s="16">
        <f>$F115*$P115</f>
        <v/>
      </c>
      <c r="AG115" s="8">
        <f>$U115/$V115</f>
        <v/>
      </c>
      <c r="AH115" s="16">
        <f>$L115*$AG115</f>
        <v/>
      </c>
      <c r="AI115" s="16">
        <f>$AF115-$AH115</f>
        <v/>
      </c>
      <c r="AJ115" s="16">
        <f>insurance_rate*insured_value_uplift*$AF115</f>
        <v/>
      </c>
      <c r="AK115" s="16">
        <f>$AF115+$AJ115</f>
        <v/>
      </c>
      <c r="AL115" s="18">
        <f>$AK115*$J115</f>
        <v/>
      </c>
      <c r="AM115" s="18">
        <f>$AK115*$I115</f>
        <v/>
      </c>
      <c r="AN115" s="18">
        <f>$AL115*bcd_scrap_hs7602</f>
        <v/>
      </c>
      <c r="AO115" s="18">
        <f>$AN115*sws_rate_on_bcd</f>
        <v/>
      </c>
      <c r="AP115" s="18">
        <f>($AL115+$AN115+$AO115)*igst_rate_hs7602</f>
        <v/>
      </c>
      <c r="AQ115" s="18">
        <f>$X115*$AG115+IF($Y115,psic_cost_usd_per_box*$H115/$W115,0)</f>
        <v/>
      </c>
      <c r="AR115" s="18">
        <f>($AM115+$AN115+$AO115)*$Z115/day_count_inr*$O115</f>
        <v/>
      </c>
      <c r="AS115" s="18">
        <f>$AP115*igst_credit_lag_days/day_count_inr*$O115</f>
        <v/>
      </c>
      <c r="AT115" s="18">
        <f>$AM115+$AN115+$AO115+$AQ115+$AR115+$AS115+IF(igst_itc_available,0,$AP115)</f>
        <v/>
      </c>
      <c r="AU115" s="15">
        <f>(1-$AA115)*(1-$AB115)*$AC115</f>
        <v/>
      </c>
      <c r="AV115" s="18">
        <f>$N115*kg_per_mt+domestic_anchor_premium_inr_t</f>
        <v/>
      </c>
      <c r="AW115" s="18">
        <f>(1-$AA115)*$AD115*heavies_net_value_frac_of_lme_al*$F115*$H115</f>
        <v/>
      </c>
      <c r="AX115" s="18">
        <f>conversion_cost_inr_t*$AU115</f>
        <v/>
      </c>
      <c r="AY115" s="18">
        <f>$AV115*$AU115+$AW115-$AT115-$AX115</f>
        <v/>
      </c>
      <c r="AZ115" s="16">
        <f>$AY115/$H115</f>
        <v/>
      </c>
      <c r="BA115" s="8">
        <f>$AY115&gt;margin_threshold_inr_t</f>
        <v/>
      </c>
      <c r="BB115" s="8">
        <f>$Q115+$AE115</f>
        <v/>
      </c>
      <c r="BC115" s="18">
        <f>$AT115-$AQ115</f>
        <v/>
      </c>
      <c r="BD115" s="18">
        <f>$AY115-$BC115*($BB115/$P115-1)</f>
        <v/>
      </c>
      <c r="BE115" s="18">
        <f>$AY115-(conv_step_5a-conversion_cost_inr_t)*$AU115</f>
        <v/>
      </c>
      <c r="BF115" s="8">
        <f>$BA115</f>
        <v/>
      </c>
      <c r="BG115" s="8">
        <f>$BD115&gt;margin_threshold_inr_t</f>
        <v/>
      </c>
      <c r="BH115" s="8">
        <f>$BE115&gt;margin_threshold_inr_t</f>
        <v/>
      </c>
      <c r="BI115" s="8">
        <f>AND($BF115,$BG115,$BH115)</f>
        <v/>
      </c>
      <c r="BJ115" s="8">
        <f>IF($BI115,1,0)</f>
        <v/>
      </c>
    </row>
    <row r="116">
      <c r="A116" s="11" t="n">
        <v>44694</v>
      </c>
      <c r="B116" s="11" t="n">
        <v>44694</v>
      </c>
      <c r="C116" s="7" t="inlineStr">
        <is>
          <t>taint_tabor</t>
        </is>
      </c>
      <c r="D116" s="7" t="inlineStr">
        <is>
          <t>JEA_NSA</t>
        </is>
      </c>
      <c r="E116" s="17" t="b">
        <v>1</v>
      </c>
      <c r="F116" s="16">
        <f>INDEX(Market_Weekly!$E$6:$E$48,MATCH($A116,Market_Weekly!$A$6:$A$48,0))</f>
        <v/>
      </c>
      <c r="G116" s="16">
        <f>INDEX(Market_Weekly!$D$6:$D$48,MATCH($A116,Market_Weekly!$A$6:$A$48,0))</f>
        <v/>
      </c>
      <c r="H116" s="16">
        <f>INDEX(Market_Weekly!$G$6:$G$48,MATCH($A116,Market_Weekly!$A$6:$A$48,0))</f>
        <v/>
      </c>
      <c r="I116" s="8">
        <f>INDEX(Market_Weekly!$H$6:$H$48,MATCH($A116,Market_Weekly!$A$6:$A$48,0))</f>
        <v/>
      </c>
      <c r="J116" s="8">
        <f>INDEX(Market_Weekly!$Q$6:$Q$48,MATCH($A116,Market_Weekly!$A$6:$A$48,0))</f>
        <v/>
      </c>
      <c r="K116" s="8">
        <f>INDEX(Market_Weekly!$V$6:$V$48,MATCH($A116,Market_Weekly!$A$6:$A$48,0))</f>
        <v/>
      </c>
      <c r="L116" s="16">
        <f>IF($D116="JEA_NSA",INDEX(Market_Weekly!$N$6:$N$48,MATCH($A116,Market_Weekly!$A$6:$A$48,0)),INDEX(Market_Weekly!$O$6:$O$48,MATCH($A116,Market_Weekly!$A$6:$A$48,0)))</f>
        <v/>
      </c>
      <c r="M116" s="8">
        <f>IF($D116="JEA_NSA","M1","M2")</f>
        <v/>
      </c>
      <c r="N116" s="16">
        <f>IF($D116="JEA_NSA",INDEX(Market_Weekly!$L$6:$L$48,MATCH($A116,Market_Weekly!$A$6:$A$48,0)),INDEX(Market_Weekly!$M$6:$M$48,MATCH($A116,Market_Weekly!$A$6:$A$48,0)))</f>
        <v/>
      </c>
      <c r="O116" s="15">
        <f>INDEX(Market_Weekly!$P$6:$P$48,MATCH($A116,Market_Weekly!$A$6:$A$48,0))</f>
        <v/>
      </c>
      <c r="P116" s="8">
        <f>INDEX(Market_Weekly!$R$6:$T$48,MATCH($A116,Market_Weekly!$A$6:$A$48,0),MATCH("grade_factor_"&amp;$C116,Market_Weekly!$R$5:$T$5,0))</f>
        <v/>
      </c>
      <c r="Q116" s="8">
        <f>INDEX(Market_Weekly!$U$6:$U$48,MATCH($A116,Market_Weekly!$A$6:$A$48,0))</f>
        <v/>
      </c>
      <c r="R116" s="8">
        <f>IF($D116="JEA_NSA","20ft","40ft")</f>
        <v/>
      </c>
      <c r="S116" s="8">
        <f>IF($D116="JEA_NSA","nsa","mun")</f>
        <v/>
      </c>
      <c r="T116" s="8">
        <f>IF($D116="JEA_NSA","jea_nsa","usec_mun")</f>
        <v/>
      </c>
      <c r="U116" s="16">
        <f>INDEX(param_values,MATCH("container_payload_mt_"&amp;$R116,param_keys,0))</f>
        <v/>
      </c>
      <c r="V116" s="16">
        <f>INDEX(param_values,MATCH("container_payload_mt_"&amp;$R116&amp;"_"&amp;$C116,param_keys,0))</f>
        <v/>
      </c>
      <c r="W116" s="16">
        <f>INDEX(param_values,MATCH("container_payload_mt_20ft_"&amp;$C116,param_keys,0))</f>
        <v/>
      </c>
      <c r="X116" s="18">
        <f>INDEX(param_values,MATCH("port_cf_charges_inr_t_"&amp;$S116,param_keys,0))</f>
        <v/>
      </c>
      <c r="Y116" s="8">
        <f>INDEX(param_values,MATCH(IF($D116="JEA_NSA","psic_required_uae_origin","psic_required_safe_origin_designated_port"),param_keys,0))</f>
        <v/>
      </c>
      <c r="Z116" s="19">
        <f>INDEX(param_values,MATCH("finance_days_"&amp;$T116,param_keys,0))</f>
        <v/>
      </c>
      <c r="AA116" s="15">
        <f>INDEX(param_values,MATCH("moisture_frac_"&amp;$C116,param_keys,0))</f>
        <v/>
      </c>
      <c r="AB116" s="15">
        <f>INDEX(param_values,MATCH("contamination_frac_"&amp;$C116,param_keys,0))</f>
        <v/>
      </c>
      <c r="AC116" s="15">
        <f>INDEX(param_values,MATCH("metal_yield_frac_"&amp;$C116,param_keys,0))</f>
        <v/>
      </c>
      <c r="AD116" s="15">
        <f>INDEX(param_values,MATCH("heavies_frac_"&amp;$C116,param_keys,0))</f>
        <v/>
      </c>
      <c r="AE116" s="8">
        <f>INDEX(param_values,MATCH("grade_factor_diff_"&amp;$C116,param_keys,0))</f>
        <v/>
      </c>
      <c r="AF116" s="16">
        <f>$F116*$P116</f>
        <v/>
      </c>
      <c r="AG116" s="8">
        <f>$U116/$V116</f>
        <v/>
      </c>
      <c r="AH116" s="16">
        <f>$L116*$AG116</f>
        <v/>
      </c>
      <c r="AI116" s="16">
        <f>$AF116-$AH116</f>
        <v/>
      </c>
      <c r="AJ116" s="16">
        <f>insurance_rate*insured_value_uplift*$AF116</f>
        <v/>
      </c>
      <c r="AK116" s="16">
        <f>$AF116+$AJ116</f>
        <v/>
      </c>
      <c r="AL116" s="18">
        <f>$AK116*$J116</f>
        <v/>
      </c>
      <c r="AM116" s="18">
        <f>$AK116*$I116</f>
        <v/>
      </c>
      <c r="AN116" s="18">
        <f>$AL116*bcd_scrap_hs7602</f>
        <v/>
      </c>
      <c r="AO116" s="18">
        <f>$AN116*sws_rate_on_bcd</f>
        <v/>
      </c>
      <c r="AP116" s="18">
        <f>($AL116+$AN116+$AO116)*igst_rate_hs7602</f>
        <v/>
      </c>
      <c r="AQ116" s="18">
        <f>$X116*$AG116+IF($Y116,psic_cost_usd_per_box*$H116/$W116,0)</f>
        <v/>
      </c>
      <c r="AR116" s="18">
        <f>($AM116+$AN116+$AO116)*$Z116/day_count_inr*$O116</f>
        <v/>
      </c>
      <c r="AS116" s="18">
        <f>$AP116*igst_credit_lag_days/day_count_inr*$O116</f>
        <v/>
      </c>
      <c r="AT116" s="18">
        <f>$AM116+$AN116+$AO116+$AQ116+$AR116+$AS116+IF(igst_itc_available,0,$AP116)</f>
        <v/>
      </c>
      <c r="AU116" s="15">
        <f>(1-$AA116)*(1-$AB116)*$AC116</f>
        <v/>
      </c>
      <c r="AV116" s="18">
        <f>$N116*kg_per_mt+domestic_anchor_premium_inr_t</f>
        <v/>
      </c>
      <c r="AW116" s="18">
        <f>(1-$AA116)*$AD116*heavies_net_value_frac_of_lme_al*$F116*$H116</f>
        <v/>
      </c>
      <c r="AX116" s="18">
        <f>conversion_cost_inr_t*$AU116</f>
        <v/>
      </c>
      <c r="AY116" s="18">
        <f>$AV116*$AU116+$AW116-$AT116-$AX116</f>
        <v/>
      </c>
      <c r="AZ116" s="16">
        <f>$AY116/$H116</f>
        <v/>
      </c>
      <c r="BA116" s="8">
        <f>$AY116&gt;margin_threshold_inr_t</f>
        <v/>
      </c>
      <c r="BB116" s="8">
        <f>$Q116+$AE116</f>
        <v/>
      </c>
      <c r="BC116" s="18">
        <f>$AT116-$AQ116</f>
        <v/>
      </c>
      <c r="BD116" s="18">
        <f>$AY116-$BC116*($BB116/$P116-1)</f>
        <v/>
      </c>
      <c r="BE116" s="18">
        <f>$AY116-(conv_step_5a-conversion_cost_inr_t)*$AU116</f>
        <v/>
      </c>
      <c r="BF116" s="8">
        <f>$BA116</f>
        <v/>
      </c>
      <c r="BG116" s="8">
        <f>$BD116&gt;margin_threshold_inr_t</f>
        <v/>
      </c>
      <c r="BH116" s="8">
        <f>$BE116&gt;margin_threshold_inr_t</f>
        <v/>
      </c>
      <c r="BI116" s="8">
        <f>AND($BF116,$BG116,$BH116)</f>
        <v/>
      </c>
      <c r="BJ116" s="8">
        <f>IF($BI116,1,0)</f>
        <v/>
      </c>
    </row>
    <row r="117">
      <c r="A117" s="11" t="n">
        <v>44694</v>
      </c>
      <c r="B117" s="11" t="n">
        <v>44694</v>
      </c>
      <c r="C117" s="7" t="inlineStr">
        <is>
          <t>taint_tabor</t>
        </is>
      </c>
      <c r="D117" s="7" t="inlineStr">
        <is>
          <t>USEC_MUN</t>
        </is>
      </c>
      <c r="E117" s="17" t="b">
        <v>1</v>
      </c>
      <c r="F117" s="16">
        <f>INDEX(Market_Weekly!$E$6:$E$48,MATCH($A117,Market_Weekly!$A$6:$A$48,0))</f>
        <v/>
      </c>
      <c r="G117" s="16">
        <f>INDEX(Market_Weekly!$D$6:$D$48,MATCH($A117,Market_Weekly!$A$6:$A$48,0))</f>
        <v/>
      </c>
      <c r="H117" s="16">
        <f>INDEX(Market_Weekly!$G$6:$G$48,MATCH($A117,Market_Weekly!$A$6:$A$48,0))</f>
        <v/>
      </c>
      <c r="I117" s="8">
        <f>INDEX(Market_Weekly!$H$6:$H$48,MATCH($A117,Market_Weekly!$A$6:$A$48,0))</f>
        <v/>
      </c>
      <c r="J117" s="8">
        <f>INDEX(Market_Weekly!$Q$6:$Q$48,MATCH($A117,Market_Weekly!$A$6:$A$48,0))</f>
        <v/>
      </c>
      <c r="K117" s="8">
        <f>INDEX(Market_Weekly!$V$6:$V$48,MATCH($A117,Market_Weekly!$A$6:$A$48,0))</f>
        <v/>
      </c>
      <c r="L117" s="16">
        <f>IF($D117="JEA_NSA",INDEX(Market_Weekly!$N$6:$N$48,MATCH($A117,Market_Weekly!$A$6:$A$48,0)),INDEX(Market_Weekly!$O$6:$O$48,MATCH($A117,Market_Weekly!$A$6:$A$48,0)))</f>
        <v/>
      </c>
      <c r="M117" s="8">
        <f>IF($D117="JEA_NSA","M1","M2")</f>
        <v/>
      </c>
      <c r="N117" s="16">
        <f>IF($D117="JEA_NSA",INDEX(Market_Weekly!$L$6:$L$48,MATCH($A117,Market_Weekly!$A$6:$A$48,0)),INDEX(Market_Weekly!$M$6:$M$48,MATCH($A117,Market_Weekly!$A$6:$A$48,0)))</f>
        <v/>
      </c>
      <c r="O117" s="15">
        <f>INDEX(Market_Weekly!$P$6:$P$48,MATCH($A117,Market_Weekly!$A$6:$A$48,0))</f>
        <v/>
      </c>
      <c r="P117" s="8">
        <f>INDEX(Market_Weekly!$R$6:$T$48,MATCH($A117,Market_Weekly!$A$6:$A$48,0),MATCH("grade_factor_"&amp;$C117,Market_Weekly!$R$5:$T$5,0))</f>
        <v/>
      </c>
      <c r="Q117" s="8">
        <f>INDEX(Market_Weekly!$U$6:$U$48,MATCH($A117,Market_Weekly!$A$6:$A$48,0))</f>
        <v/>
      </c>
      <c r="R117" s="8">
        <f>IF($D117="JEA_NSA","20ft","40ft")</f>
        <v/>
      </c>
      <c r="S117" s="8">
        <f>IF($D117="JEA_NSA","nsa","mun")</f>
        <v/>
      </c>
      <c r="T117" s="8">
        <f>IF($D117="JEA_NSA","jea_nsa","usec_mun")</f>
        <v/>
      </c>
      <c r="U117" s="16">
        <f>INDEX(param_values,MATCH("container_payload_mt_"&amp;$R117,param_keys,0))</f>
        <v/>
      </c>
      <c r="V117" s="16">
        <f>INDEX(param_values,MATCH("container_payload_mt_"&amp;$R117&amp;"_"&amp;$C117,param_keys,0))</f>
        <v/>
      </c>
      <c r="W117" s="16">
        <f>INDEX(param_values,MATCH("container_payload_mt_20ft_"&amp;$C117,param_keys,0))</f>
        <v/>
      </c>
      <c r="X117" s="18">
        <f>INDEX(param_values,MATCH("port_cf_charges_inr_t_"&amp;$S117,param_keys,0))</f>
        <v/>
      </c>
      <c r="Y117" s="8">
        <f>INDEX(param_values,MATCH(IF($D117="JEA_NSA","psic_required_uae_origin","psic_required_safe_origin_designated_port"),param_keys,0))</f>
        <v/>
      </c>
      <c r="Z117" s="19">
        <f>INDEX(param_values,MATCH("finance_days_"&amp;$T117,param_keys,0))</f>
        <v/>
      </c>
      <c r="AA117" s="15">
        <f>INDEX(param_values,MATCH("moisture_frac_"&amp;$C117,param_keys,0))</f>
        <v/>
      </c>
      <c r="AB117" s="15">
        <f>INDEX(param_values,MATCH("contamination_frac_"&amp;$C117,param_keys,0))</f>
        <v/>
      </c>
      <c r="AC117" s="15">
        <f>INDEX(param_values,MATCH("metal_yield_frac_"&amp;$C117,param_keys,0))</f>
        <v/>
      </c>
      <c r="AD117" s="15">
        <f>INDEX(param_values,MATCH("heavies_frac_"&amp;$C117,param_keys,0))</f>
        <v/>
      </c>
      <c r="AE117" s="8">
        <f>INDEX(param_values,MATCH("grade_factor_diff_"&amp;$C117,param_keys,0))</f>
        <v/>
      </c>
      <c r="AF117" s="16">
        <f>$F117*$P117</f>
        <v/>
      </c>
      <c r="AG117" s="8">
        <f>$U117/$V117</f>
        <v/>
      </c>
      <c r="AH117" s="16">
        <f>$L117*$AG117</f>
        <v/>
      </c>
      <c r="AI117" s="16">
        <f>$AF117-$AH117</f>
        <v/>
      </c>
      <c r="AJ117" s="16">
        <f>insurance_rate*insured_value_uplift*$AF117</f>
        <v/>
      </c>
      <c r="AK117" s="16">
        <f>$AF117+$AJ117</f>
        <v/>
      </c>
      <c r="AL117" s="18">
        <f>$AK117*$J117</f>
        <v/>
      </c>
      <c r="AM117" s="18">
        <f>$AK117*$I117</f>
        <v/>
      </c>
      <c r="AN117" s="18">
        <f>$AL117*bcd_scrap_hs7602</f>
        <v/>
      </c>
      <c r="AO117" s="18">
        <f>$AN117*sws_rate_on_bcd</f>
        <v/>
      </c>
      <c r="AP117" s="18">
        <f>($AL117+$AN117+$AO117)*igst_rate_hs7602</f>
        <v/>
      </c>
      <c r="AQ117" s="18">
        <f>$X117*$AG117+IF($Y117,psic_cost_usd_per_box*$H117/$W117,0)</f>
        <v/>
      </c>
      <c r="AR117" s="18">
        <f>($AM117+$AN117+$AO117)*$Z117/day_count_inr*$O117</f>
        <v/>
      </c>
      <c r="AS117" s="18">
        <f>$AP117*igst_credit_lag_days/day_count_inr*$O117</f>
        <v/>
      </c>
      <c r="AT117" s="18">
        <f>$AM117+$AN117+$AO117+$AQ117+$AR117+$AS117+IF(igst_itc_available,0,$AP117)</f>
        <v/>
      </c>
      <c r="AU117" s="15">
        <f>(1-$AA117)*(1-$AB117)*$AC117</f>
        <v/>
      </c>
      <c r="AV117" s="18">
        <f>$N117*kg_per_mt+domestic_anchor_premium_inr_t</f>
        <v/>
      </c>
      <c r="AW117" s="18">
        <f>(1-$AA117)*$AD117*heavies_net_value_frac_of_lme_al*$F117*$H117</f>
        <v/>
      </c>
      <c r="AX117" s="18">
        <f>conversion_cost_inr_t*$AU117</f>
        <v/>
      </c>
      <c r="AY117" s="18">
        <f>$AV117*$AU117+$AW117-$AT117-$AX117</f>
        <v/>
      </c>
      <c r="AZ117" s="16">
        <f>$AY117/$H117</f>
        <v/>
      </c>
      <c r="BA117" s="8">
        <f>$AY117&gt;margin_threshold_inr_t</f>
        <v/>
      </c>
      <c r="BB117" s="8">
        <f>$Q117+$AE117</f>
        <v/>
      </c>
      <c r="BC117" s="18">
        <f>$AT117-$AQ117</f>
        <v/>
      </c>
      <c r="BD117" s="18">
        <f>$AY117-$BC117*($BB117/$P117-1)</f>
        <v/>
      </c>
      <c r="BE117" s="18">
        <f>$AY117-(conv_step_5a-conversion_cost_inr_t)*$AU117</f>
        <v/>
      </c>
      <c r="BF117" s="8">
        <f>$BA117</f>
        <v/>
      </c>
      <c r="BG117" s="8">
        <f>$BD117&gt;margin_threshold_inr_t</f>
        <v/>
      </c>
      <c r="BH117" s="8">
        <f>$BE117&gt;margin_threshold_inr_t</f>
        <v/>
      </c>
      <c r="BI117" s="8">
        <f>AND($BF117,$BG117,$BH117)</f>
        <v/>
      </c>
      <c r="BJ117" s="8">
        <f>IF($BI117,1,0)</f>
        <v/>
      </c>
    </row>
    <row r="118">
      <c r="A118" s="11" t="n">
        <v>44694</v>
      </c>
      <c r="B118" s="11" t="n">
        <v>44694</v>
      </c>
      <c r="C118" s="7" t="inlineStr">
        <is>
          <t>tense</t>
        </is>
      </c>
      <c r="D118" s="7" t="inlineStr">
        <is>
          <t>JEA_NSA</t>
        </is>
      </c>
      <c r="E118" s="17" t="b">
        <v>1</v>
      </c>
      <c r="F118" s="16">
        <f>INDEX(Market_Weekly!$E$6:$E$48,MATCH($A118,Market_Weekly!$A$6:$A$48,0))</f>
        <v/>
      </c>
      <c r="G118" s="16">
        <f>INDEX(Market_Weekly!$D$6:$D$48,MATCH($A118,Market_Weekly!$A$6:$A$48,0))</f>
        <v/>
      </c>
      <c r="H118" s="16">
        <f>INDEX(Market_Weekly!$G$6:$G$48,MATCH($A118,Market_Weekly!$A$6:$A$48,0))</f>
        <v/>
      </c>
      <c r="I118" s="8">
        <f>INDEX(Market_Weekly!$H$6:$H$48,MATCH($A118,Market_Weekly!$A$6:$A$48,0))</f>
        <v/>
      </c>
      <c r="J118" s="8">
        <f>INDEX(Market_Weekly!$Q$6:$Q$48,MATCH($A118,Market_Weekly!$A$6:$A$48,0))</f>
        <v/>
      </c>
      <c r="K118" s="8">
        <f>INDEX(Market_Weekly!$V$6:$V$48,MATCH($A118,Market_Weekly!$A$6:$A$48,0))</f>
        <v/>
      </c>
      <c r="L118" s="16">
        <f>IF($D118="JEA_NSA",INDEX(Market_Weekly!$N$6:$N$48,MATCH($A118,Market_Weekly!$A$6:$A$48,0)),INDEX(Market_Weekly!$O$6:$O$48,MATCH($A118,Market_Weekly!$A$6:$A$48,0)))</f>
        <v/>
      </c>
      <c r="M118" s="8">
        <f>IF($D118="JEA_NSA","M1","M2")</f>
        <v/>
      </c>
      <c r="N118" s="16">
        <f>IF($D118="JEA_NSA",INDEX(Market_Weekly!$L$6:$L$48,MATCH($A118,Market_Weekly!$A$6:$A$48,0)),INDEX(Market_Weekly!$M$6:$M$48,MATCH($A118,Market_Weekly!$A$6:$A$48,0)))</f>
        <v/>
      </c>
      <c r="O118" s="15">
        <f>INDEX(Market_Weekly!$P$6:$P$48,MATCH($A118,Market_Weekly!$A$6:$A$48,0))</f>
        <v/>
      </c>
      <c r="P118" s="8">
        <f>INDEX(Market_Weekly!$R$6:$T$48,MATCH($A118,Market_Weekly!$A$6:$A$48,0),MATCH("grade_factor_"&amp;$C118,Market_Weekly!$R$5:$T$5,0))</f>
        <v/>
      </c>
      <c r="Q118" s="8">
        <f>INDEX(Market_Weekly!$U$6:$U$48,MATCH($A118,Market_Weekly!$A$6:$A$48,0))</f>
        <v/>
      </c>
      <c r="R118" s="8">
        <f>IF($D118="JEA_NSA","20ft","40ft")</f>
        <v/>
      </c>
      <c r="S118" s="8">
        <f>IF($D118="JEA_NSA","nsa","mun")</f>
        <v/>
      </c>
      <c r="T118" s="8">
        <f>IF($D118="JEA_NSA","jea_nsa","usec_mun")</f>
        <v/>
      </c>
      <c r="U118" s="16">
        <f>INDEX(param_values,MATCH("container_payload_mt_"&amp;$R118,param_keys,0))</f>
        <v/>
      </c>
      <c r="V118" s="16">
        <f>INDEX(param_values,MATCH("container_payload_mt_"&amp;$R118&amp;"_"&amp;$C118,param_keys,0))</f>
        <v/>
      </c>
      <c r="W118" s="16">
        <f>INDEX(param_values,MATCH("container_payload_mt_20ft_"&amp;$C118,param_keys,0))</f>
        <v/>
      </c>
      <c r="X118" s="18">
        <f>INDEX(param_values,MATCH("port_cf_charges_inr_t_"&amp;$S118,param_keys,0))</f>
        <v/>
      </c>
      <c r="Y118" s="8">
        <f>INDEX(param_values,MATCH(IF($D118="JEA_NSA","psic_required_uae_origin","psic_required_safe_origin_designated_port"),param_keys,0))</f>
        <v/>
      </c>
      <c r="Z118" s="19">
        <f>INDEX(param_values,MATCH("finance_days_"&amp;$T118,param_keys,0))</f>
        <v/>
      </c>
      <c r="AA118" s="15">
        <f>INDEX(param_values,MATCH("moisture_frac_"&amp;$C118,param_keys,0))</f>
        <v/>
      </c>
      <c r="AB118" s="15">
        <f>INDEX(param_values,MATCH("contamination_frac_"&amp;$C118,param_keys,0))</f>
        <v/>
      </c>
      <c r="AC118" s="15">
        <f>INDEX(param_values,MATCH("metal_yield_frac_"&amp;$C118,param_keys,0))</f>
        <v/>
      </c>
      <c r="AD118" s="15">
        <f>INDEX(param_values,MATCH("heavies_frac_"&amp;$C118,param_keys,0))</f>
        <v/>
      </c>
      <c r="AE118" s="8">
        <f>INDEX(param_values,MATCH("grade_factor_diff_"&amp;$C118,param_keys,0))</f>
        <v/>
      </c>
      <c r="AF118" s="16">
        <f>$F118*$P118</f>
        <v/>
      </c>
      <c r="AG118" s="8">
        <f>$U118/$V118</f>
        <v/>
      </c>
      <c r="AH118" s="16">
        <f>$L118*$AG118</f>
        <v/>
      </c>
      <c r="AI118" s="16">
        <f>$AF118-$AH118</f>
        <v/>
      </c>
      <c r="AJ118" s="16">
        <f>insurance_rate*insured_value_uplift*$AF118</f>
        <v/>
      </c>
      <c r="AK118" s="16">
        <f>$AF118+$AJ118</f>
        <v/>
      </c>
      <c r="AL118" s="18">
        <f>$AK118*$J118</f>
        <v/>
      </c>
      <c r="AM118" s="18">
        <f>$AK118*$I118</f>
        <v/>
      </c>
      <c r="AN118" s="18">
        <f>$AL118*bcd_scrap_hs7602</f>
        <v/>
      </c>
      <c r="AO118" s="18">
        <f>$AN118*sws_rate_on_bcd</f>
        <v/>
      </c>
      <c r="AP118" s="18">
        <f>($AL118+$AN118+$AO118)*igst_rate_hs7602</f>
        <v/>
      </c>
      <c r="AQ118" s="18">
        <f>$X118*$AG118+IF($Y118,psic_cost_usd_per_box*$H118/$W118,0)</f>
        <v/>
      </c>
      <c r="AR118" s="18">
        <f>($AM118+$AN118+$AO118)*$Z118/day_count_inr*$O118</f>
        <v/>
      </c>
      <c r="AS118" s="18">
        <f>$AP118*igst_credit_lag_days/day_count_inr*$O118</f>
        <v/>
      </c>
      <c r="AT118" s="18">
        <f>$AM118+$AN118+$AO118+$AQ118+$AR118+$AS118+IF(igst_itc_available,0,$AP118)</f>
        <v/>
      </c>
      <c r="AU118" s="15">
        <f>(1-$AA118)*(1-$AB118)*$AC118</f>
        <v/>
      </c>
      <c r="AV118" s="18">
        <f>$N118*kg_per_mt+domestic_anchor_premium_inr_t</f>
        <v/>
      </c>
      <c r="AW118" s="18">
        <f>(1-$AA118)*$AD118*heavies_net_value_frac_of_lme_al*$F118*$H118</f>
        <v/>
      </c>
      <c r="AX118" s="18">
        <f>conversion_cost_inr_t*$AU118</f>
        <v/>
      </c>
      <c r="AY118" s="18">
        <f>$AV118*$AU118+$AW118-$AT118-$AX118</f>
        <v/>
      </c>
      <c r="AZ118" s="16">
        <f>$AY118/$H118</f>
        <v/>
      </c>
      <c r="BA118" s="8">
        <f>$AY118&gt;margin_threshold_inr_t</f>
        <v/>
      </c>
      <c r="BB118" s="8">
        <f>$Q118+$AE118</f>
        <v/>
      </c>
      <c r="BC118" s="18">
        <f>$AT118-$AQ118</f>
        <v/>
      </c>
      <c r="BD118" s="18">
        <f>$AY118-$BC118*($BB118/$P118-1)</f>
        <v/>
      </c>
      <c r="BE118" s="18">
        <f>$AY118-(conv_step_5a-conversion_cost_inr_t)*$AU118</f>
        <v/>
      </c>
      <c r="BF118" s="8">
        <f>$BA118</f>
        <v/>
      </c>
      <c r="BG118" s="8">
        <f>$BD118&gt;margin_threshold_inr_t</f>
        <v/>
      </c>
      <c r="BH118" s="8">
        <f>$BE118&gt;margin_threshold_inr_t</f>
        <v/>
      </c>
      <c r="BI118" s="8">
        <f>AND($BF118,$BG118,$BH118)</f>
        <v/>
      </c>
      <c r="BJ118" s="8">
        <f>IF($BI118,1,0)</f>
        <v/>
      </c>
    </row>
    <row r="119">
      <c r="A119" s="11" t="n">
        <v>44694</v>
      </c>
      <c r="B119" s="11" t="n">
        <v>44694</v>
      </c>
      <c r="C119" s="7" t="inlineStr">
        <is>
          <t>tense</t>
        </is>
      </c>
      <c r="D119" s="7" t="inlineStr">
        <is>
          <t>USEC_MUN</t>
        </is>
      </c>
      <c r="E119" s="17" t="b">
        <v>1</v>
      </c>
      <c r="F119" s="16">
        <f>INDEX(Market_Weekly!$E$6:$E$48,MATCH($A119,Market_Weekly!$A$6:$A$48,0))</f>
        <v/>
      </c>
      <c r="G119" s="16">
        <f>INDEX(Market_Weekly!$D$6:$D$48,MATCH($A119,Market_Weekly!$A$6:$A$48,0))</f>
        <v/>
      </c>
      <c r="H119" s="16">
        <f>INDEX(Market_Weekly!$G$6:$G$48,MATCH($A119,Market_Weekly!$A$6:$A$48,0))</f>
        <v/>
      </c>
      <c r="I119" s="8">
        <f>INDEX(Market_Weekly!$H$6:$H$48,MATCH($A119,Market_Weekly!$A$6:$A$48,0))</f>
        <v/>
      </c>
      <c r="J119" s="8">
        <f>INDEX(Market_Weekly!$Q$6:$Q$48,MATCH($A119,Market_Weekly!$A$6:$A$48,0))</f>
        <v/>
      </c>
      <c r="K119" s="8">
        <f>INDEX(Market_Weekly!$V$6:$V$48,MATCH($A119,Market_Weekly!$A$6:$A$48,0))</f>
        <v/>
      </c>
      <c r="L119" s="16">
        <f>IF($D119="JEA_NSA",INDEX(Market_Weekly!$N$6:$N$48,MATCH($A119,Market_Weekly!$A$6:$A$48,0)),INDEX(Market_Weekly!$O$6:$O$48,MATCH($A119,Market_Weekly!$A$6:$A$48,0)))</f>
        <v/>
      </c>
      <c r="M119" s="8">
        <f>IF($D119="JEA_NSA","M1","M2")</f>
        <v/>
      </c>
      <c r="N119" s="16">
        <f>IF($D119="JEA_NSA",INDEX(Market_Weekly!$L$6:$L$48,MATCH($A119,Market_Weekly!$A$6:$A$48,0)),INDEX(Market_Weekly!$M$6:$M$48,MATCH($A119,Market_Weekly!$A$6:$A$48,0)))</f>
        <v/>
      </c>
      <c r="O119" s="15">
        <f>INDEX(Market_Weekly!$P$6:$P$48,MATCH($A119,Market_Weekly!$A$6:$A$48,0))</f>
        <v/>
      </c>
      <c r="P119" s="8">
        <f>INDEX(Market_Weekly!$R$6:$T$48,MATCH($A119,Market_Weekly!$A$6:$A$48,0),MATCH("grade_factor_"&amp;$C119,Market_Weekly!$R$5:$T$5,0))</f>
        <v/>
      </c>
      <c r="Q119" s="8">
        <f>INDEX(Market_Weekly!$U$6:$U$48,MATCH($A119,Market_Weekly!$A$6:$A$48,0))</f>
        <v/>
      </c>
      <c r="R119" s="8">
        <f>IF($D119="JEA_NSA","20ft","40ft")</f>
        <v/>
      </c>
      <c r="S119" s="8">
        <f>IF($D119="JEA_NSA","nsa","mun")</f>
        <v/>
      </c>
      <c r="T119" s="8">
        <f>IF($D119="JEA_NSA","jea_nsa","usec_mun")</f>
        <v/>
      </c>
      <c r="U119" s="16">
        <f>INDEX(param_values,MATCH("container_payload_mt_"&amp;$R119,param_keys,0))</f>
        <v/>
      </c>
      <c r="V119" s="16">
        <f>INDEX(param_values,MATCH("container_payload_mt_"&amp;$R119&amp;"_"&amp;$C119,param_keys,0))</f>
        <v/>
      </c>
      <c r="W119" s="16">
        <f>INDEX(param_values,MATCH("container_payload_mt_20ft_"&amp;$C119,param_keys,0))</f>
        <v/>
      </c>
      <c r="X119" s="18">
        <f>INDEX(param_values,MATCH("port_cf_charges_inr_t_"&amp;$S119,param_keys,0))</f>
        <v/>
      </c>
      <c r="Y119" s="8">
        <f>INDEX(param_values,MATCH(IF($D119="JEA_NSA","psic_required_uae_origin","psic_required_safe_origin_designated_port"),param_keys,0))</f>
        <v/>
      </c>
      <c r="Z119" s="19">
        <f>INDEX(param_values,MATCH("finance_days_"&amp;$T119,param_keys,0))</f>
        <v/>
      </c>
      <c r="AA119" s="15">
        <f>INDEX(param_values,MATCH("moisture_frac_"&amp;$C119,param_keys,0))</f>
        <v/>
      </c>
      <c r="AB119" s="15">
        <f>INDEX(param_values,MATCH("contamination_frac_"&amp;$C119,param_keys,0))</f>
        <v/>
      </c>
      <c r="AC119" s="15">
        <f>INDEX(param_values,MATCH("metal_yield_frac_"&amp;$C119,param_keys,0))</f>
        <v/>
      </c>
      <c r="AD119" s="15">
        <f>INDEX(param_values,MATCH("heavies_frac_"&amp;$C119,param_keys,0))</f>
        <v/>
      </c>
      <c r="AE119" s="8">
        <f>INDEX(param_values,MATCH("grade_factor_diff_"&amp;$C119,param_keys,0))</f>
        <v/>
      </c>
      <c r="AF119" s="16">
        <f>$F119*$P119</f>
        <v/>
      </c>
      <c r="AG119" s="8">
        <f>$U119/$V119</f>
        <v/>
      </c>
      <c r="AH119" s="16">
        <f>$L119*$AG119</f>
        <v/>
      </c>
      <c r="AI119" s="16">
        <f>$AF119-$AH119</f>
        <v/>
      </c>
      <c r="AJ119" s="16">
        <f>insurance_rate*insured_value_uplift*$AF119</f>
        <v/>
      </c>
      <c r="AK119" s="16">
        <f>$AF119+$AJ119</f>
        <v/>
      </c>
      <c r="AL119" s="18">
        <f>$AK119*$J119</f>
        <v/>
      </c>
      <c r="AM119" s="18">
        <f>$AK119*$I119</f>
        <v/>
      </c>
      <c r="AN119" s="18">
        <f>$AL119*bcd_scrap_hs7602</f>
        <v/>
      </c>
      <c r="AO119" s="18">
        <f>$AN119*sws_rate_on_bcd</f>
        <v/>
      </c>
      <c r="AP119" s="18">
        <f>($AL119+$AN119+$AO119)*igst_rate_hs7602</f>
        <v/>
      </c>
      <c r="AQ119" s="18">
        <f>$X119*$AG119+IF($Y119,psic_cost_usd_per_box*$H119/$W119,0)</f>
        <v/>
      </c>
      <c r="AR119" s="18">
        <f>($AM119+$AN119+$AO119)*$Z119/day_count_inr*$O119</f>
        <v/>
      </c>
      <c r="AS119" s="18">
        <f>$AP119*igst_credit_lag_days/day_count_inr*$O119</f>
        <v/>
      </c>
      <c r="AT119" s="18">
        <f>$AM119+$AN119+$AO119+$AQ119+$AR119+$AS119+IF(igst_itc_available,0,$AP119)</f>
        <v/>
      </c>
      <c r="AU119" s="15">
        <f>(1-$AA119)*(1-$AB119)*$AC119</f>
        <v/>
      </c>
      <c r="AV119" s="18">
        <f>$N119*kg_per_mt+domestic_anchor_premium_inr_t</f>
        <v/>
      </c>
      <c r="AW119" s="18">
        <f>(1-$AA119)*$AD119*heavies_net_value_frac_of_lme_al*$F119*$H119</f>
        <v/>
      </c>
      <c r="AX119" s="18">
        <f>conversion_cost_inr_t*$AU119</f>
        <v/>
      </c>
      <c r="AY119" s="18">
        <f>$AV119*$AU119+$AW119-$AT119-$AX119</f>
        <v/>
      </c>
      <c r="AZ119" s="16">
        <f>$AY119/$H119</f>
        <v/>
      </c>
      <c r="BA119" s="8">
        <f>$AY119&gt;margin_threshold_inr_t</f>
        <v/>
      </c>
      <c r="BB119" s="8">
        <f>$Q119+$AE119</f>
        <v/>
      </c>
      <c r="BC119" s="18">
        <f>$AT119-$AQ119</f>
        <v/>
      </c>
      <c r="BD119" s="18">
        <f>$AY119-$BC119*($BB119/$P119-1)</f>
        <v/>
      </c>
      <c r="BE119" s="18">
        <f>$AY119-(conv_step_5a-conversion_cost_inr_t)*$AU119</f>
        <v/>
      </c>
      <c r="BF119" s="8">
        <f>$BA119</f>
        <v/>
      </c>
      <c r="BG119" s="8">
        <f>$BD119&gt;margin_threshold_inr_t</f>
        <v/>
      </c>
      <c r="BH119" s="8">
        <f>$BE119&gt;margin_threshold_inr_t</f>
        <v/>
      </c>
      <c r="BI119" s="8">
        <f>AND($BF119,$BG119,$BH119)</f>
        <v/>
      </c>
      <c r="BJ119" s="8">
        <f>IF($BI119,1,0)</f>
        <v/>
      </c>
    </row>
    <row r="120">
      <c r="A120" s="11" t="n">
        <v>44701</v>
      </c>
      <c r="B120" s="11" t="n">
        <v>44701</v>
      </c>
      <c r="C120" s="7" t="inlineStr">
        <is>
          <t>zorba</t>
        </is>
      </c>
      <c r="D120" s="7" t="inlineStr">
        <is>
          <t>JEA_NSA</t>
        </is>
      </c>
      <c r="E120" s="17" t="b">
        <v>1</v>
      </c>
      <c r="F120" s="16">
        <f>INDEX(Market_Weekly!$E$6:$E$48,MATCH($A120,Market_Weekly!$A$6:$A$48,0))</f>
        <v/>
      </c>
      <c r="G120" s="16">
        <f>INDEX(Market_Weekly!$D$6:$D$48,MATCH($A120,Market_Weekly!$A$6:$A$48,0))</f>
        <v/>
      </c>
      <c r="H120" s="16">
        <f>INDEX(Market_Weekly!$G$6:$G$48,MATCH($A120,Market_Weekly!$A$6:$A$48,0))</f>
        <v/>
      </c>
      <c r="I120" s="8">
        <f>INDEX(Market_Weekly!$H$6:$H$48,MATCH($A120,Market_Weekly!$A$6:$A$48,0))</f>
        <v/>
      </c>
      <c r="J120" s="8">
        <f>INDEX(Market_Weekly!$Q$6:$Q$48,MATCH($A120,Market_Weekly!$A$6:$A$48,0))</f>
        <v/>
      </c>
      <c r="K120" s="8">
        <f>INDEX(Market_Weekly!$V$6:$V$48,MATCH($A120,Market_Weekly!$A$6:$A$48,0))</f>
        <v/>
      </c>
      <c r="L120" s="16">
        <f>IF($D120="JEA_NSA",INDEX(Market_Weekly!$N$6:$N$48,MATCH($A120,Market_Weekly!$A$6:$A$48,0)),INDEX(Market_Weekly!$O$6:$O$48,MATCH($A120,Market_Weekly!$A$6:$A$48,0)))</f>
        <v/>
      </c>
      <c r="M120" s="8">
        <f>IF($D120="JEA_NSA","M1","M2")</f>
        <v/>
      </c>
      <c r="N120" s="16">
        <f>IF($D120="JEA_NSA",INDEX(Market_Weekly!$L$6:$L$48,MATCH($A120,Market_Weekly!$A$6:$A$48,0)),INDEX(Market_Weekly!$M$6:$M$48,MATCH($A120,Market_Weekly!$A$6:$A$48,0)))</f>
        <v/>
      </c>
      <c r="O120" s="15">
        <f>INDEX(Market_Weekly!$P$6:$P$48,MATCH($A120,Market_Weekly!$A$6:$A$48,0))</f>
        <v/>
      </c>
      <c r="P120" s="8">
        <f>INDEX(Market_Weekly!$R$6:$T$48,MATCH($A120,Market_Weekly!$A$6:$A$48,0),MATCH("grade_factor_"&amp;$C120,Market_Weekly!$R$5:$T$5,0))</f>
        <v/>
      </c>
      <c r="Q120" s="8">
        <f>INDEX(Market_Weekly!$U$6:$U$48,MATCH($A120,Market_Weekly!$A$6:$A$48,0))</f>
        <v/>
      </c>
      <c r="R120" s="8">
        <f>IF($D120="JEA_NSA","20ft","40ft")</f>
        <v/>
      </c>
      <c r="S120" s="8">
        <f>IF($D120="JEA_NSA","nsa","mun")</f>
        <v/>
      </c>
      <c r="T120" s="8">
        <f>IF($D120="JEA_NSA","jea_nsa","usec_mun")</f>
        <v/>
      </c>
      <c r="U120" s="16">
        <f>INDEX(param_values,MATCH("container_payload_mt_"&amp;$R120,param_keys,0))</f>
        <v/>
      </c>
      <c r="V120" s="16">
        <f>INDEX(param_values,MATCH("container_payload_mt_"&amp;$R120&amp;"_"&amp;$C120,param_keys,0))</f>
        <v/>
      </c>
      <c r="W120" s="16">
        <f>INDEX(param_values,MATCH("container_payload_mt_20ft_"&amp;$C120,param_keys,0))</f>
        <v/>
      </c>
      <c r="X120" s="18">
        <f>INDEX(param_values,MATCH("port_cf_charges_inr_t_"&amp;$S120,param_keys,0))</f>
        <v/>
      </c>
      <c r="Y120" s="8">
        <f>INDEX(param_values,MATCH(IF($D120="JEA_NSA","psic_required_uae_origin","psic_required_safe_origin_designated_port"),param_keys,0))</f>
        <v/>
      </c>
      <c r="Z120" s="19">
        <f>INDEX(param_values,MATCH("finance_days_"&amp;$T120,param_keys,0))</f>
        <v/>
      </c>
      <c r="AA120" s="15">
        <f>INDEX(param_values,MATCH("moisture_frac_"&amp;$C120,param_keys,0))</f>
        <v/>
      </c>
      <c r="AB120" s="15">
        <f>INDEX(param_values,MATCH("contamination_frac_"&amp;$C120,param_keys,0))</f>
        <v/>
      </c>
      <c r="AC120" s="15">
        <f>INDEX(param_values,MATCH("metal_yield_frac_"&amp;$C120,param_keys,0))</f>
        <v/>
      </c>
      <c r="AD120" s="15">
        <f>INDEX(param_values,MATCH("heavies_frac_"&amp;$C120,param_keys,0))</f>
        <v/>
      </c>
      <c r="AE120" s="8">
        <f>INDEX(param_values,MATCH("grade_factor_diff_"&amp;$C120,param_keys,0))</f>
        <v/>
      </c>
      <c r="AF120" s="16">
        <f>$F120*$P120</f>
        <v/>
      </c>
      <c r="AG120" s="8">
        <f>$U120/$V120</f>
        <v/>
      </c>
      <c r="AH120" s="16">
        <f>$L120*$AG120</f>
        <v/>
      </c>
      <c r="AI120" s="16">
        <f>$AF120-$AH120</f>
        <v/>
      </c>
      <c r="AJ120" s="16">
        <f>insurance_rate*insured_value_uplift*$AF120</f>
        <v/>
      </c>
      <c r="AK120" s="16">
        <f>$AF120+$AJ120</f>
        <v/>
      </c>
      <c r="AL120" s="18">
        <f>$AK120*$J120</f>
        <v/>
      </c>
      <c r="AM120" s="18">
        <f>$AK120*$I120</f>
        <v/>
      </c>
      <c r="AN120" s="18">
        <f>$AL120*bcd_scrap_hs7602</f>
        <v/>
      </c>
      <c r="AO120" s="18">
        <f>$AN120*sws_rate_on_bcd</f>
        <v/>
      </c>
      <c r="AP120" s="18">
        <f>($AL120+$AN120+$AO120)*igst_rate_hs7602</f>
        <v/>
      </c>
      <c r="AQ120" s="18">
        <f>$X120*$AG120+IF($Y120,psic_cost_usd_per_box*$H120/$W120,0)</f>
        <v/>
      </c>
      <c r="AR120" s="18">
        <f>($AM120+$AN120+$AO120)*$Z120/day_count_inr*$O120</f>
        <v/>
      </c>
      <c r="AS120" s="18">
        <f>$AP120*igst_credit_lag_days/day_count_inr*$O120</f>
        <v/>
      </c>
      <c r="AT120" s="18">
        <f>$AM120+$AN120+$AO120+$AQ120+$AR120+$AS120+IF(igst_itc_available,0,$AP120)</f>
        <v/>
      </c>
      <c r="AU120" s="15">
        <f>(1-$AA120)*(1-$AB120)*$AC120</f>
        <v/>
      </c>
      <c r="AV120" s="18">
        <f>$N120*kg_per_mt+domestic_anchor_premium_inr_t</f>
        <v/>
      </c>
      <c r="AW120" s="18">
        <f>(1-$AA120)*$AD120*heavies_net_value_frac_of_lme_al*$F120*$H120</f>
        <v/>
      </c>
      <c r="AX120" s="18">
        <f>conversion_cost_inr_t*$AU120</f>
        <v/>
      </c>
      <c r="AY120" s="18">
        <f>$AV120*$AU120+$AW120-$AT120-$AX120</f>
        <v/>
      </c>
      <c r="AZ120" s="16">
        <f>$AY120/$H120</f>
        <v/>
      </c>
      <c r="BA120" s="8">
        <f>$AY120&gt;margin_threshold_inr_t</f>
        <v/>
      </c>
      <c r="BB120" s="8">
        <f>$Q120+$AE120</f>
        <v/>
      </c>
      <c r="BC120" s="18">
        <f>$AT120-$AQ120</f>
        <v/>
      </c>
      <c r="BD120" s="18">
        <f>$AY120-$BC120*($BB120/$P120-1)</f>
        <v/>
      </c>
      <c r="BE120" s="18">
        <f>$AY120-(conv_step_5a-conversion_cost_inr_t)*$AU120</f>
        <v/>
      </c>
      <c r="BF120" s="8">
        <f>$BA120</f>
        <v/>
      </c>
      <c r="BG120" s="8">
        <f>$BD120&gt;margin_threshold_inr_t</f>
        <v/>
      </c>
      <c r="BH120" s="8">
        <f>$BE120&gt;margin_threshold_inr_t</f>
        <v/>
      </c>
      <c r="BI120" s="8">
        <f>AND($BF120,$BG120,$BH120)</f>
        <v/>
      </c>
      <c r="BJ120" s="8">
        <f>IF($BI120,1,0)</f>
        <v/>
      </c>
    </row>
    <row r="121">
      <c r="A121" s="11" t="n">
        <v>44701</v>
      </c>
      <c r="B121" s="11" t="n">
        <v>44701</v>
      </c>
      <c r="C121" s="7" t="inlineStr">
        <is>
          <t>zorba</t>
        </is>
      </c>
      <c r="D121" s="7" t="inlineStr">
        <is>
          <t>USEC_MUN</t>
        </is>
      </c>
      <c r="E121" s="17" t="b">
        <v>1</v>
      </c>
      <c r="F121" s="16">
        <f>INDEX(Market_Weekly!$E$6:$E$48,MATCH($A121,Market_Weekly!$A$6:$A$48,0))</f>
        <v/>
      </c>
      <c r="G121" s="16">
        <f>INDEX(Market_Weekly!$D$6:$D$48,MATCH($A121,Market_Weekly!$A$6:$A$48,0))</f>
        <v/>
      </c>
      <c r="H121" s="16">
        <f>INDEX(Market_Weekly!$G$6:$G$48,MATCH($A121,Market_Weekly!$A$6:$A$48,0))</f>
        <v/>
      </c>
      <c r="I121" s="8">
        <f>INDEX(Market_Weekly!$H$6:$H$48,MATCH($A121,Market_Weekly!$A$6:$A$48,0))</f>
        <v/>
      </c>
      <c r="J121" s="8">
        <f>INDEX(Market_Weekly!$Q$6:$Q$48,MATCH($A121,Market_Weekly!$A$6:$A$48,0))</f>
        <v/>
      </c>
      <c r="K121" s="8">
        <f>INDEX(Market_Weekly!$V$6:$V$48,MATCH($A121,Market_Weekly!$A$6:$A$48,0))</f>
        <v/>
      </c>
      <c r="L121" s="16">
        <f>IF($D121="JEA_NSA",INDEX(Market_Weekly!$N$6:$N$48,MATCH($A121,Market_Weekly!$A$6:$A$48,0)),INDEX(Market_Weekly!$O$6:$O$48,MATCH($A121,Market_Weekly!$A$6:$A$48,0)))</f>
        <v/>
      </c>
      <c r="M121" s="8">
        <f>IF($D121="JEA_NSA","M1","M2")</f>
        <v/>
      </c>
      <c r="N121" s="16">
        <f>IF($D121="JEA_NSA",INDEX(Market_Weekly!$L$6:$L$48,MATCH($A121,Market_Weekly!$A$6:$A$48,0)),INDEX(Market_Weekly!$M$6:$M$48,MATCH($A121,Market_Weekly!$A$6:$A$48,0)))</f>
        <v/>
      </c>
      <c r="O121" s="15">
        <f>INDEX(Market_Weekly!$P$6:$P$48,MATCH($A121,Market_Weekly!$A$6:$A$48,0))</f>
        <v/>
      </c>
      <c r="P121" s="8">
        <f>INDEX(Market_Weekly!$R$6:$T$48,MATCH($A121,Market_Weekly!$A$6:$A$48,0),MATCH("grade_factor_"&amp;$C121,Market_Weekly!$R$5:$T$5,0))</f>
        <v/>
      </c>
      <c r="Q121" s="8">
        <f>INDEX(Market_Weekly!$U$6:$U$48,MATCH($A121,Market_Weekly!$A$6:$A$48,0))</f>
        <v/>
      </c>
      <c r="R121" s="8">
        <f>IF($D121="JEA_NSA","20ft","40ft")</f>
        <v/>
      </c>
      <c r="S121" s="8">
        <f>IF($D121="JEA_NSA","nsa","mun")</f>
        <v/>
      </c>
      <c r="T121" s="8">
        <f>IF($D121="JEA_NSA","jea_nsa","usec_mun")</f>
        <v/>
      </c>
      <c r="U121" s="16">
        <f>INDEX(param_values,MATCH("container_payload_mt_"&amp;$R121,param_keys,0))</f>
        <v/>
      </c>
      <c r="V121" s="16">
        <f>INDEX(param_values,MATCH("container_payload_mt_"&amp;$R121&amp;"_"&amp;$C121,param_keys,0))</f>
        <v/>
      </c>
      <c r="W121" s="16">
        <f>INDEX(param_values,MATCH("container_payload_mt_20ft_"&amp;$C121,param_keys,0))</f>
        <v/>
      </c>
      <c r="X121" s="18">
        <f>INDEX(param_values,MATCH("port_cf_charges_inr_t_"&amp;$S121,param_keys,0))</f>
        <v/>
      </c>
      <c r="Y121" s="8">
        <f>INDEX(param_values,MATCH(IF($D121="JEA_NSA","psic_required_uae_origin","psic_required_safe_origin_designated_port"),param_keys,0))</f>
        <v/>
      </c>
      <c r="Z121" s="19">
        <f>INDEX(param_values,MATCH("finance_days_"&amp;$T121,param_keys,0))</f>
        <v/>
      </c>
      <c r="AA121" s="15">
        <f>INDEX(param_values,MATCH("moisture_frac_"&amp;$C121,param_keys,0))</f>
        <v/>
      </c>
      <c r="AB121" s="15">
        <f>INDEX(param_values,MATCH("contamination_frac_"&amp;$C121,param_keys,0))</f>
        <v/>
      </c>
      <c r="AC121" s="15">
        <f>INDEX(param_values,MATCH("metal_yield_frac_"&amp;$C121,param_keys,0))</f>
        <v/>
      </c>
      <c r="AD121" s="15">
        <f>INDEX(param_values,MATCH("heavies_frac_"&amp;$C121,param_keys,0))</f>
        <v/>
      </c>
      <c r="AE121" s="8">
        <f>INDEX(param_values,MATCH("grade_factor_diff_"&amp;$C121,param_keys,0))</f>
        <v/>
      </c>
      <c r="AF121" s="16">
        <f>$F121*$P121</f>
        <v/>
      </c>
      <c r="AG121" s="8">
        <f>$U121/$V121</f>
        <v/>
      </c>
      <c r="AH121" s="16">
        <f>$L121*$AG121</f>
        <v/>
      </c>
      <c r="AI121" s="16">
        <f>$AF121-$AH121</f>
        <v/>
      </c>
      <c r="AJ121" s="16">
        <f>insurance_rate*insured_value_uplift*$AF121</f>
        <v/>
      </c>
      <c r="AK121" s="16">
        <f>$AF121+$AJ121</f>
        <v/>
      </c>
      <c r="AL121" s="18">
        <f>$AK121*$J121</f>
        <v/>
      </c>
      <c r="AM121" s="18">
        <f>$AK121*$I121</f>
        <v/>
      </c>
      <c r="AN121" s="18">
        <f>$AL121*bcd_scrap_hs7602</f>
        <v/>
      </c>
      <c r="AO121" s="18">
        <f>$AN121*sws_rate_on_bcd</f>
        <v/>
      </c>
      <c r="AP121" s="18">
        <f>($AL121+$AN121+$AO121)*igst_rate_hs7602</f>
        <v/>
      </c>
      <c r="AQ121" s="18">
        <f>$X121*$AG121+IF($Y121,psic_cost_usd_per_box*$H121/$W121,0)</f>
        <v/>
      </c>
      <c r="AR121" s="18">
        <f>($AM121+$AN121+$AO121)*$Z121/day_count_inr*$O121</f>
        <v/>
      </c>
      <c r="AS121" s="18">
        <f>$AP121*igst_credit_lag_days/day_count_inr*$O121</f>
        <v/>
      </c>
      <c r="AT121" s="18">
        <f>$AM121+$AN121+$AO121+$AQ121+$AR121+$AS121+IF(igst_itc_available,0,$AP121)</f>
        <v/>
      </c>
      <c r="AU121" s="15">
        <f>(1-$AA121)*(1-$AB121)*$AC121</f>
        <v/>
      </c>
      <c r="AV121" s="18">
        <f>$N121*kg_per_mt+domestic_anchor_premium_inr_t</f>
        <v/>
      </c>
      <c r="AW121" s="18">
        <f>(1-$AA121)*$AD121*heavies_net_value_frac_of_lme_al*$F121*$H121</f>
        <v/>
      </c>
      <c r="AX121" s="18">
        <f>conversion_cost_inr_t*$AU121</f>
        <v/>
      </c>
      <c r="AY121" s="18">
        <f>$AV121*$AU121+$AW121-$AT121-$AX121</f>
        <v/>
      </c>
      <c r="AZ121" s="16">
        <f>$AY121/$H121</f>
        <v/>
      </c>
      <c r="BA121" s="8">
        <f>$AY121&gt;margin_threshold_inr_t</f>
        <v/>
      </c>
      <c r="BB121" s="8">
        <f>$Q121+$AE121</f>
        <v/>
      </c>
      <c r="BC121" s="18">
        <f>$AT121-$AQ121</f>
        <v/>
      </c>
      <c r="BD121" s="18">
        <f>$AY121-$BC121*($BB121/$P121-1)</f>
        <v/>
      </c>
      <c r="BE121" s="18">
        <f>$AY121-(conv_step_5a-conversion_cost_inr_t)*$AU121</f>
        <v/>
      </c>
      <c r="BF121" s="8">
        <f>$BA121</f>
        <v/>
      </c>
      <c r="BG121" s="8">
        <f>$BD121&gt;margin_threshold_inr_t</f>
        <v/>
      </c>
      <c r="BH121" s="8">
        <f>$BE121&gt;margin_threshold_inr_t</f>
        <v/>
      </c>
      <c r="BI121" s="8">
        <f>AND($BF121,$BG121,$BH121)</f>
        <v/>
      </c>
      <c r="BJ121" s="8">
        <f>IF($BI121,1,0)</f>
        <v/>
      </c>
    </row>
    <row r="122">
      <c r="A122" s="11" t="n">
        <v>44701</v>
      </c>
      <c r="B122" s="11" t="n">
        <v>44701</v>
      </c>
      <c r="C122" s="7" t="inlineStr">
        <is>
          <t>taint_tabor</t>
        </is>
      </c>
      <c r="D122" s="7" t="inlineStr">
        <is>
          <t>JEA_NSA</t>
        </is>
      </c>
      <c r="E122" s="17" t="b">
        <v>1</v>
      </c>
      <c r="F122" s="16">
        <f>INDEX(Market_Weekly!$E$6:$E$48,MATCH($A122,Market_Weekly!$A$6:$A$48,0))</f>
        <v/>
      </c>
      <c r="G122" s="16">
        <f>INDEX(Market_Weekly!$D$6:$D$48,MATCH($A122,Market_Weekly!$A$6:$A$48,0))</f>
        <v/>
      </c>
      <c r="H122" s="16">
        <f>INDEX(Market_Weekly!$G$6:$G$48,MATCH($A122,Market_Weekly!$A$6:$A$48,0))</f>
        <v/>
      </c>
      <c r="I122" s="8">
        <f>INDEX(Market_Weekly!$H$6:$H$48,MATCH($A122,Market_Weekly!$A$6:$A$48,0))</f>
        <v/>
      </c>
      <c r="J122" s="8">
        <f>INDEX(Market_Weekly!$Q$6:$Q$48,MATCH($A122,Market_Weekly!$A$6:$A$48,0))</f>
        <v/>
      </c>
      <c r="K122" s="8">
        <f>INDEX(Market_Weekly!$V$6:$V$48,MATCH($A122,Market_Weekly!$A$6:$A$48,0))</f>
        <v/>
      </c>
      <c r="L122" s="16">
        <f>IF($D122="JEA_NSA",INDEX(Market_Weekly!$N$6:$N$48,MATCH($A122,Market_Weekly!$A$6:$A$48,0)),INDEX(Market_Weekly!$O$6:$O$48,MATCH($A122,Market_Weekly!$A$6:$A$48,0)))</f>
        <v/>
      </c>
      <c r="M122" s="8">
        <f>IF($D122="JEA_NSA","M1","M2")</f>
        <v/>
      </c>
      <c r="N122" s="16">
        <f>IF($D122="JEA_NSA",INDEX(Market_Weekly!$L$6:$L$48,MATCH($A122,Market_Weekly!$A$6:$A$48,0)),INDEX(Market_Weekly!$M$6:$M$48,MATCH($A122,Market_Weekly!$A$6:$A$48,0)))</f>
        <v/>
      </c>
      <c r="O122" s="15">
        <f>INDEX(Market_Weekly!$P$6:$P$48,MATCH($A122,Market_Weekly!$A$6:$A$48,0))</f>
        <v/>
      </c>
      <c r="P122" s="8">
        <f>INDEX(Market_Weekly!$R$6:$T$48,MATCH($A122,Market_Weekly!$A$6:$A$48,0),MATCH("grade_factor_"&amp;$C122,Market_Weekly!$R$5:$T$5,0))</f>
        <v/>
      </c>
      <c r="Q122" s="8">
        <f>INDEX(Market_Weekly!$U$6:$U$48,MATCH($A122,Market_Weekly!$A$6:$A$48,0))</f>
        <v/>
      </c>
      <c r="R122" s="8">
        <f>IF($D122="JEA_NSA","20ft","40ft")</f>
        <v/>
      </c>
      <c r="S122" s="8">
        <f>IF($D122="JEA_NSA","nsa","mun")</f>
        <v/>
      </c>
      <c r="T122" s="8">
        <f>IF($D122="JEA_NSA","jea_nsa","usec_mun")</f>
        <v/>
      </c>
      <c r="U122" s="16">
        <f>INDEX(param_values,MATCH("container_payload_mt_"&amp;$R122,param_keys,0))</f>
        <v/>
      </c>
      <c r="V122" s="16">
        <f>INDEX(param_values,MATCH("container_payload_mt_"&amp;$R122&amp;"_"&amp;$C122,param_keys,0))</f>
        <v/>
      </c>
      <c r="W122" s="16">
        <f>INDEX(param_values,MATCH("container_payload_mt_20ft_"&amp;$C122,param_keys,0))</f>
        <v/>
      </c>
      <c r="X122" s="18">
        <f>INDEX(param_values,MATCH("port_cf_charges_inr_t_"&amp;$S122,param_keys,0))</f>
        <v/>
      </c>
      <c r="Y122" s="8">
        <f>INDEX(param_values,MATCH(IF($D122="JEA_NSA","psic_required_uae_origin","psic_required_safe_origin_designated_port"),param_keys,0))</f>
        <v/>
      </c>
      <c r="Z122" s="19">
        <f>INDEX(param_values,MATCH("finance_days_"&amp;$T122,param_keys,0))</f>
        <v/>
      </c>
      <c r="AA122" s="15">
        <f>INDEX(param_values,MATCH("moisture_frac_"&amp;$C122,param_keys,0))</f>
        <v/>
      </c>
      <c r="AB122" s="15">
        <f>INDEX(param_values,MATCH("contamination_frac_"&amp;$C122,param_keys,0))</f>
        <v/>
      </c>
      <c r="AC122" s="15">
        <f>INDEX(param_values,MATCH("metal_yield_frac_"&amp;$C122,param_keys,0))</f>
        <v/>
      </c>
      <c r="AD122" s="15">
        <f>INDEX(param_values,MATCH("heavies_frac_"&amp;$C122,param_keys,0))</f>
        <v/>
      </c>
      <c r="AE122" s="8">
        <f>INDEX(param_values,MATCH("grade_factor_diff_"&amp;$C122,param_keys,0))</f>
        <v/>
      </c>
      <c r="AF122" s="16">
        <f>$F122*$P122</f>
        <v/>
      </c>
      <c r="AG122" s="8">
        <f>$U122/$V122</f>
        <v/>
      </c>
      <c r="AH122" s="16">
        <f>$L122*$AG122</f>
        <v/>
      </c>
      <c r="AI122" s="16">
        <f>$AF122-$AH122</f>
        <v/>
      </c>
      <c r="AJ122" s="16">
        <f>insurance_rate*insured_value_uplift*$AF122</f>
        <v/>
      </c>
      <c r="AK122" s="16">
        <f>$AF122+$AJ122</f>
        <v/>
      </c>
      <c r="AL122" s="18">
        <f>$AK122*$J122</f>
        <v/>
      </c>
      <c r="AM122" s="18">
        <f>$AK122*$I122</f>
        <v/>
      </c>
      <c r="AN122" s="18">
        <f>$AL122*bcd_scrap_hs7602</f>
        <v/>
      </c>
      <c r="AO122" s="18">
        <f>$AN122*sws_rate_on_bcd</f>
        <v/>
      </c>
      <c r="AP122" s="18">
        <f>($AL122+$AN122+$AO122)*igst_rate_hs7602</f>
        <v/>
      </c>
      <c r="AQ122" s="18">
        <f>$X122*$AG122+IF($Y122,psic_cost_usd_per_box*$H122/$W122,0)</f>
        <v/>
      </c>
      <c r="AR122" s="18">
        <f>($AM122+$AN122+$AO122)*$Z122/day_count_inr*$O122</f>
        <v/>
      </c>
      <c r="AS122" s="18">
        <f>$AP122*igst_credit_lag_days/day_count_inr*$O122</f>
        <v/>
      </c>
      <c r="AT122" s="18">
        <f>$AM122+$AN122+$AO122+$AQ122+$AR122+$AS122+IF(igst_itc_available,0,$AP122)</f>
        <v/>
      </c>
      <c r="AU122" s="15">
        <f>(1-$AA122)*(1-$AB122)*$AC122</f>
        <v/>
      </c>
      <c r="AV122" s="18">
        <f>$N122*kg_per_mt+domestic_anchor_premium_inr_t</f>
        <v/>
      </c>
      <c r="AW122" s="18">
        <f>(1-$AA122)*$AD122*heavies_net_value_frac_of_lme_al*$F122*$H122</f>
        <v/>
      </c>
      <c r="AX122" s="18">
        <f>conversion_cost_inr_t*$AU122</f>
        <v/>
      </c>
      <c r="AY122" s="18">
        <f>$AV122*$AU122+$AW122-$AT122-$AX122</f>
        <v/>
      </c>
      <c r="AZ122" s="16">
        <f>$AY122/$H122</f>
        <v/>
      </c>
      <c r="BA122" s="8">
        <f>$AY122&gt;margin_threshold_inr_t</f>
        <v/>
      </c>
      <c r="BB122" s="8">
        <f>$Q122+$AE122</f>
        <v/>
      </c>
      <c r="BC122" s="18">
        <f>$AT122-$AQ122</f>
        <v/>
      </c>
      <c r="BD122" s="18">
        <f>$AY122-$BC122*($BB122/$P122-1)</f>
        <v/>
      </c>
      <c r="BE122" s="18">
        <f>$AY122-(conv_step_5a-conversion_cost_inr_t)*$AU122</f>
        <v/>
      </c>
      <c r="BF122" s="8">
        <f>$BA122</f>
        <v/>
      </c>
      <c r="BG122" s="8">
        <f>$BD122&gt;margin_threshold_inr_t</f>
        <v/>
      </c>
      <c r="BH122" s="8">
        <f>$BE122&gt;margin_threshold_inr_t</f>
        <v/>
      </c>
      <c r="BI122" s="8">
        <f>AND($BF122,$BG122,$BH122)</f>
        <v/>
      </c>
      <c r="BJ122" s="8">
        <f>IF($BI122,1,0)</f>
        <v/>
      </c>
    </row>
    <row r="123">
      <c r="A123" s="11" t="n">
        <v>44701</v>
      </c>
      <c r="B123" s="11" t="n">
        <v>44701</v>
      </c>
      <c r="C123" s="7" t="inlineStr">
        <is>
          <t>taint_tabor</t>
        </is>
      </c>
      <c r="D123" s="7" t="inlineStr">
        <is>
          <t>USEC_MUN</t>
        </is>
      </c>
      <c r="E123" s="17" t="b">
        <v>1</v>
      </c>
      <c r="F123" s="16">
        <f>INDEX(Market_Weekly!$E$6:$E$48,MATCH($A123,Market_Weekly!$A$6:$A$48,0))</f>
        <v/>
      </c>
      <c r="G123" s="16">
        <f>INDEX(Market_Weekly!$D$6:$D$48,MATCH($A123,Market_Weekly!$A$6:$A$48,0))</f>
        <v/>
      </c>
      <c r="H123" s="16">
        <f>INDEX(Market_Weekly!$G$6:$G$48,MATCH($A123,Market_Weekly!$A$6:$A$48,0))</f>
        <v/>
      </c>
      <c r="I123" s="8">
        <f>INDEX(Market_Weekly!$H$6:$H$48,MATCH($A123,Market_Weekly!$A$6:$A$48,0))</f>
        <v/>
      </c>
      <c r="J123" s="8">
        <f>INDEX(Market_Weekly!$Q$6:$Q$48,MATCH($A123,Market_Weekly!$A$6:$A$48,0))</f>
        <v/>
      </c>
      <c r="K123" s="8">
        <f>INDEX(Market_Weekly!$V$6:$V$48,MATCH($A123,Market_Weekly!$A$6:$A$48,0))</f>
        <v/>
      </c>
      <c r="L123" s="16">
        <f>IF($D123="JEA_NSA",INDEX(Market_Weekly!$N$6:$N$48,MATCH($A123,Market_Weekly!$A$6:$A$48,0)),INDEX(Market_Weekly!$O$6:$O$48,MATCH($A123,Market_Weekly!$A$6:$A$48,0)))</f>
        <v/>
      </c>
      <c r="M123" s="8">
        <f>IF($D123="JEA_NSA","M1","M2")</f>
        <v/>
      </c>
      <c r="N123" s="16">
        <f>IF($D123="JEA_NSA",INDEX(Market_Weekly!$L$6:$L$48,MATCH($A123,Market_Weekly!$A$6:$A$48,0)),INDEX(Market_Weekly!$M$6:$M$48,MATCH($A123,Market_Weekly!$A$6:$A$48,0)))</f>
        <v/>
      </c>
      <c r="O123" s="15">
        <f>INDEX(Market_Weekly!$P$6:$P$48,MATCH($A123,Market_Weekly!$A$6:$A$48,0))</f>
        <v/>
      </c>
      <c r="P123" s="8">
        <f>INDEX(Market_Weekly!$R$6:$T$48,MATCH($A123,Market_Weekly!$A$6:$A$48,0),MATCH("grade_factor_"&amp;$C123,Market_Weekly!$R$5:$T$5,0))</f>
        <v/>
      </c>
      <c r="Q123" s="8">
        <f>INDEX(Market_Weekly!$U$6:$U$48,MATCH($A123,Market_Weekly!$A$6:$A$48,0))</f>
        <v/>
      </c>
      <c r="R123" s="8">
        <f>IF($D123="JEA_NSA","20ft","40ft")</f>
        <v/>
      </c>
      <c r="S123" s="8">
        <f>IF($D123="JEA_NSA","nsa","mun")</f>
        <v/>
      </c>
      <c r="T123" s="8">
        <f>IF($D123="JEA_NSA","jea_nsa","usec_mun")</f>
        <v/>
      </c>
      <c r="U123" s="16">
        <f>INDEX(param_values,MATCH("container_payload_mt_"&amp;$R123,param_keys,0))</f>
        <v/>
      </c>
      <c r="V123" s="16">
        <f>INDEX(param_values,MATCH("container_payload_mt_"&amp;$R123&amp;"_"&amp;$C123,param_keys,0))</f>
        <v/>
      </c>
      <c r="W123" s="16">
        <f>INDEX(param_values,MATCH("container_payload_mt_20ft_"&amp;$C123,param_keys,0))</f>
        <v/>
      </c>
      <c r="X123" s="18">
        <f>INDEX(param_values,MATCH("port_cf_charges_inr_t_"&amp;$S123,param_keys,0))</f>
        <v/>
      </c>
      <c r="Y123" s="8">
        <f>INDEX(param_values,MATCH(IF($D123="JEA_NSA","psic_required_uae_origin","psic_required_safe_origin_designated_port"),param_keys,0))</f>
        <v/>
      </c>
      <c r="Z123" s="19">
        <f>INDEX(param_values,MATCH("finance_days_"&amp;$T123,param_keys,0))</f>
        <v/>
      </c>
      <c r="AA123" s="15">
        <f>INDEX(param_values,MATCH("moisture_frac_"&amp;$C123,param_keys,0))</f>
        <v/>
      </c>
      <c r="AB123" s="15">
        <f>INDEX(param_values,MATCH("contamination_frac_"&amp;$C123,param_keys,0))</f>
        <v/>
      </c>
      <c r="AC123" s="15">
        <f>INDEX(param_values,MATCH("metal_yield_frac_"&amp;$C123,param_keys,0))</f>
        <v/>
      </c>
      <c r="AD123" s="15">
        <f>INDEX(param_values,MATCH("heavies_frac_"&amp;$C123,param_keys,0))</f>
        <v/>
      </c>
      <c r="AE123" s="8">
        <f>INDEX(param_values,MATCH("grade_factor_diff_"&amp;$C123,param_keys,0))</f>
        <v/>
      </c>
      <c r="AF123" s="16">
        <f>$F123*$P123</f>
        <v/>
      </c>
      <c r="AG123" s="8">
        <f>$U123/$V123</f>
        <v/>
      </c>
      <c r="AH123" s="16">
        <f>$L123*$AG123</f>
        <v/>
      </c>
      <c r="AI123" s="16">
        <f>$AF123-$AH123</f>
        <v/>
      </c>
      <c r="AJ123" s="16">
        <f>insurance_rate*insured_value_uplift*$AF123</f>
        <v/>
      </c>
      <c r="AK123" s="16">
        <f>$AF123+$AJ123</f>
        <v/>
      </c>
      <c r="AL123" s="18">
        <f>$AK123*$J123</f>
        <v/>
      </c>
      <c r="AM123" s="18">
        <f>$AK123*$I123</f>
        <v/>
      </c>
      <c r="AN123" s="18">
        <f>$AL123*bcd_scrap_hs7602</f>
        <v/>
      </c>
      <c r="AO123" s="18">
        <f>$AN123*sws_rate_on_bcd</f>
        <v/>
      </c>
      <c r="AP123" s="18">
        <f>($AL123+$AN123+$AO123)*igst_rate_hs7602</f>
        <v/>
      </c>
      <c r="AQ123" s="18">
        <f>$X123*$AG123+IF($Y123,psic_cost_usd_per_box*$H123/$W123,0)</f>
        <v/>
      </c>
      <c r="AR123" s="18">
        <f>($AM123+$AN123+$AO123)*$Z123/day_count_inr*$O123</f>
        <v/>
      </c>
      <c r="AS123" s="18">
        <f>$AP123*igst_credit_lag_days/day_count_inr*$O123</f>
        <v/>
      </c>
      <c r="AT123" s="18">
        <f>$AM123+$AN123+$AO123+$AQ123+$AR123+$AS123+IF(igst_itc_available,0,$AP123)</f>
        <v/>
      </c>
      <c r="AU123" s="15">
        <f>(1-$AA123)*(1-$AB123)*$AC123</f>
        <v/>
      </c>
      <c r="AV123" s="18">
        <f>$N123*kg_per_mt+domestic_anchor_premium_inr_t</f>
        <v/>
      </c>
      <c r="AW123" s="18">
        <f>(1-$AA123)*$AD123*heavies_net_value_frac_of_lme_al*$F123*$H123</f>
        <v/>
      </c>
      <c r="AX123" s="18">
        <f>conversion_cost_inr_t*$AU123</f>
        <v/>
      </c>
      <c r="AY123" s="18">
        <f>$AV123*$AU123+$AW123-$AT123-$AX123</f>
        <v/>
      </c>
      <c r="AZ123" s="16">
        <f>$AY123/$H123</f>
        <v/>
      </c>
      <c r="BA123" s="8">
        <f>$AY123&gt;margin_threshold_inr_t</f>
        <v/>
      </c>
      <c r="BB123" s="8">
        <f>$Q123+$AE123</f>
        <v/>
      </c>
      <c r="BC123" s="18">
        <f>$AT123-$AQ123</f>
        <v/>
      </c>
      <c r="BD123" s="18">
        <f>$AY123-$BC123*($BB123/$P123-1)</f>
        <v/>
      </c>
      <c r="BE123" s="18">
        <f>$AY123-(conv_step_5a-conversion_cost_inr_t)*$AU123</f>
        <v/>
      </c>
      <c r="BF123" s="8">
        <f>$BA123</f>
        <v/>
      </c>
      <c r="BG123" s="8">
        <f>$BD123&gt;margin_threshold_inr_t</f>
        <v/>
      </c>
      <c r="BH123" s="8">
        <f>$BE123&gt;margin_threshold_inr_t</f>
        <v/>
      </c>
      <c r="BI123" s="8">
        <f>AND($BF123,$BG123,$BH123)</f>
        <v/>
      </c>
      <c r="BJ123" s="8">
        <f>IF($BI123,1,0)</f>
        <v/>
      </c>
    </row>
    <row r="124">
      <c r="A124" s="11" t="n">
        <v>44701</v>
      </c>
      <c r="B124" s="11" t="n">
        <v>44701</v>
      </c>
      <c r="C124" s="7" t="inlineStr">
        <is>
          <t>tense</t>
        </is>
      </c>
      <c r="D124" s="7" t="inlineStr">
        <is>
          <t>JEA_NSA</t>
        </is>
      </c>
      <c r="E124" s="17" t="b">
        <v>1</v>
      </c>
      <c r="F124" s="16">
        <f>INDEX(Market_Weekly!$E$6:$E$48,MATCH($A124,Market_Weekly!$A$6:$A$48,0))</f>
        <v/>
      </c>
      <c r="G124" s="16">
        <f>INDEX(Market_Weekly!$D$6:$D$48,MATCH($A124,Market_Weekly!$A$6:$A$48,0))</f>
        <v/>
      </c>
      <c r="H124" s="16">
        <f>INDEX(Market_Weekly!$G$6:$G$48,MATCH($A124,Market_Weekly!$A$6:$A$48,0))</f>
        <v/>
      </c>
      <c r="I124" s="8">
        <f>INDEX(Market_Weekly!$H$6:$H$48,MATCH($A124,Market_Weekly!$A$6:$A$48,0))</f>
        <v/>
      </c>
      <c r="J124" s="8">
        <f>INDEX(Market_Weekly!$Q$6:$Q$48,MATCH($A124,Market_Weekly!$A$6:$A$48,0))</f>
        <v/>
      </c>
      <c r="K124" s="8">
        <f>INDEX(Market_Weekly!$V$6:$V$48,MATCH($A124,Market_Weekly!$A$6:$A$48,0))</f>
        <v/>
      </c>
      <c r="L124" s="16">
        <f>IF($D124="JEA_NSA",INDEX(Market_Weekly!$N$6:$N$48,MATCH($A124,Market_Weekly!$A$6:$A$48,0)),INDEX(Market_Weekly!$O$6:$O$48,MATCH($A124,Market_Weekly!$A$6:$A$48,0)))</f>
        <v/>
      </c>
      <c r="M124" s="8">
        <f>IF($D124="JEA_NSA","M1","M2")</f>
        <v/>
      </c>
      <c r="N124" s="16">
        <f>IF($D124="JEA_NSA",INDEX(Market_Weekly!$L$6:$L$48,MATCH($A124,Market_Weekly!$A$6:$A$48,0)),INDEX(Market_Weekly!$M$6:$M$48,MATCH($A124,Market_Weekly!$A$6:$A$48,0)))</f>
        <v/>
      </c>
      <c r="O124" s="15">
        <f>INDEX(Market_Weekly!$P$6:$P$48,MATCH($A124,Market_Weekly!$A$6:$A$48,0))</f>
        <v/>
      </c>
      <c r="P124" s="8">
        <f>INDEX(Market_Weekly!$R$6:$T$48,MATCH($A124,Market_Weekly!$A$6:$A$48,0),MATCH("grade_factor_"&amp;$C124,Market_Weekly!$R$5:$T$5,0))</f>
        <v/>
      </c>
      <c r="Q124" s="8">
        <f>INDEX(Market_Weekly!$U$6:$U$48,MATCH($A124,Market_Weekly!$A$6:$A$48,0))</f>
        <v/>
      </c>
      <c r="R124" s="8">
        <f>IF($D124="JEA_NSA","20ft","40ft")</f>
        <v/>
      </c>
      <c r="S124" s="8">
        <f>IF($D124="JEA_NSA","nsa","mun")</f>
        <v/>
      </c>
      <c r="T124" s="8">
        <f>IF($D124="JEA_NSA","jea_nsa","usec_mun")</f>
        <v/>
      </c>
      <c r="U124" s="16">
        <f>INDEX(param_values,MATCH("container_payload_mt_"&amp;$R124,param_keys,0))</f>
        <v/>
      </c>
      <c r="V124" s="16">
        <f>INDEX(param_values,MATCH("container_payload_mt_"&amp;$R124&amp;"_"&amp;$C124,param_keys,0))</f>
        <v/>
      </c>
      <c r="W124" s="16">
        <f>INDEX(param_values,MATCH("container_payload_mt_20ft_"&amp;$C124,param_keys,0))</f>
        <v/>
      </c>
      <c r="X124" s="18">
        <f>INDEX(param_values,MATCH("port_cf_charges_inr_t_"&amp;$S124,param_keys,0))</f>
        <v/>
      </c>
      <c r="Y124" s="8">
        <f>INDEX(param_values,MATCH(IF($D124="JEA_NSA","psic_required_uae_origin","psic_required_safe_origin_designated_port"),param_keys,0))</f>
        <v/>
      </c>
      <c r="Z124" s="19">
        <f>INDEX(param_values,MATCH("finance_days_"&amp;$T124,param_keys,0))</f>
        <v/>
      </c>
      <c r="AA124" s="15">
        <f>INDEX(param_values,MATCH("moisture_frac_"&amp;$C124,param_keys,0))</f>
        <v/>
      </c>
      <c r="AB124" s="15">
        <f>INDEX(param_values,MATCH("contamination_frac_"&amp;$C124,param_keys,0))</f>
        <v/>
      </c>
      <c r="AC124" s="15">
        <f>INDEX(param_values,MATCH("metal_yield_frac_"&amp;$C124,param_keys,0))</f>
        <v/>
      </c>
      <c r="AD124" s="15">
        <f>INDEX(param_values,MATCH("heavies_frac_"&amp;$C124,param_keys,0))</f>
        <v/>
      </c>
      <c r="AE124" s="8">
        <f>INDEX(param_values,MATCH("grade_factor_diff_"&amp;$C124,param_keys,0))</f>
        <v/>
      </c>
      <c r="AF124" s="16">
        <f>$F124*$P124</f>
        <v/>
      </c>
      <c r="AG124" s="8">
        <f>$U124/$V124</f>
        <v/>
      </c>
      <c r="AH124" s="16">
        <f>$L124*$AG124</f>
        <v/>
      </c>
      <c r="AI124" s="16">
        <f>$AF124-$AH124</f>
        <v/>
      </c>
      <c r="AJ124" s="16">
        <f>insurance_rate*insured_value_uplift*$AF124</f>
        <v/>
      </c>
      <c r="AK124" s="16">
        <f>$AF124+$AJ124</f>
        <v/>
      </c>
      <c r="AL124" s="18">
        <f>$AK124*$J124</f>
        <v/>
      </c>
      <c r="AM124" s="18">
        <f>$AK124*$I124</f>
        <v/>
      </c>
      <c r="AN124" s="18">
        <f>$AL124*bcd_scrap_hs7602</f>
        <v/>
      </c>
      <c r="AO124" s="18">
        <f>$AN124*sws_rate_on_bcd</f>
        <v/>
      </c>
      <c r="AP124" s="18">
        <f>($AL124+$AN124+$AO124)*igst_rate_hs7602</f>
        <v/>
      </c>
      <c r="AQ124" s="18">
        <f>$X124*$AG124+IF($Y124,psic_cost_usd_per_box*$H124/$W124,0)</f>
        <v/>
      </c>
      <c r="AR124" s="18">
        <f>($AM124+$AN124+$AO124)*$Z124/day_count_inr*$O124</f>
        <v/>
      </c>
      <c r="AS124" s="18">
        <f>$AP124*igst_credit_lag_days/day_count_inr*$O124</f>
        <v/>
      </c>
      <c r="AT124" s="18">
        <f>$AM124+$AN124+$AO124+$AQ124+$AR124+$AS124+IF(igst_itc_available,0,$AP124)</f>
        <v/>
      </c>
      <c r="AU124" s="15">
        <f>(1-$AA124)*(1-$AB124)*$AC124</f>
        <v/>
      </c>
      <c r="AV124" s="18">
        <f>$N124*kg_per_mt+domestic_anchor_premium_inr_t</f>
        <v/>
      </c>
      <c r="AW124" s="18">
        <f>(1-$AA124)*$AD124*heavies_net_value_frac_of_lme_al*$F124*$H124</f>
        <v/>
      </c>
      <c r="AX124" s="18">
        <f>conversion_cost_inr_t*$AU124</f>
        <v/>
      </c>
      <c r="AY124" s="18">
        <f>$AV124*$AU124+$AW124-$AT124-$AX124</f>
        <v/>
      </c>
      <c r="AZ124" s="16">
        <f>$AY124/$H124</f>
        <v/>
      </c>
      <c r="BA124" s="8">
        <f>$AY124&gt;margin_threshold_inr_t</f>
        <v/>
      </c>
      <c r="BB124" s="8">
        <f>$Q124+$AE124</f>
        <v/>
      </c>
      <c r="BC124" s="18">
        <f>$AT124-$AQ124</f>
        <v/>
      </c>
      <c r="BD124" s="18">
        <f>$AY124-$BC124*($BB124/$P124-1)</f>
        <v/>
      </c>
      <c r="BE124" s="18">
        <f>$AY124-(conv_step_5a-conversion_cost_inr_t)*$AU124</f>
        <v/>
      </c>
      <c r="BF124" s="8">
        <f>$BA124</f>
        <v/>
      </c>
      <c r="BG124" s="8">
        <f>$BD124&gt;margin_threshold_inr_t</f>
        <v/>
      </c>
      <c r="BH124" s="8">
        <f>$BE124&gt;margin_threshold_inr_t</f>
        <v/>
      </c>
      <c r="BI124" s="8">
        <f>AND($BF124,$BG124,$BH124)</f>
        <v/>
      </c>
      <c r="BJ124" s="8">
        <f>IF($BI124,1,0)</f>
        <v/>
      </c>
    </row>
    <row r="125">
      <c r="A125" s="11" t="n">
        <v>44701</v>
      </c>
      <c r="B125" s="11" t="n">
        <v>44701</v>
      </c>
      <c r="C125" s="7" t="inlineStr">
        <is>
          <t>tense</t>
        </is>
      </c>
      <c r="D125" s="7" t="inlineStr">
        <is>
          <t>USEC_MUN</t>
        </is>
      </c>
      <c r="E125" s="17" t="b">
        <v>1</v>
      </c>
      <c r="F125" s="16">
        <f>INDEX(Market_Weekly!$E$6:$E$48,MATCH($A125,Market_Weekly!$A$6:$A$48,0))</f>
        <v/>
      </c>
      <c r="G125" s="16">
        <f>INDEX(Market_Weekly!$D$6:$D$48,MATCH($A125,Market_Weekly!$A$6:$A$48,0))</f>
        <v/>
      </c>
      <c r="H125" s="16">
        <f>INDEX(Market_Weekly!$G$6:$G$48,MATCH($A125,Market_Weekly!$A$6:$A$48,0))</f>
        <v/>
      </c>
      <c r="I125" s="8">
        <f>INDEX(Market_Weekly!$H$6:$H$48,MATCH($A125,Market_Weekly!$A$6:$A$48,0))</f>
        <v/>
      </c>
      <c r="J125" s="8">
        <f>INDEX(Market_Weekly!$Q$6:$Q$48,MATCH($A125,Market_Weekly!$A$6:$A$48,0))</f>
        <v/>
      </c>
      <c r="K125" s="8">
        <f>INDEX(Market_Weekly!$V$6:$V$48,MATCH($A125,Market_Weekly!$A$6:$A$48,0))</f>
        <v/>
      </c>
      <c r="L125" s="16">
        <f>IF($D125="JEA_NSA",INDEX(Market_Weekly!$N$6:$N$48,MATCH($A125,Market_Weekly!$A$6:$A$48,0)),INDEX(Market_Weekly!$O$6:$O$48,MATCH($A125,Market_Weekly!$A$6:$A$48,0)))</f>
        <v/>
      </c>
      <c r="M125" s="8">
        <f>IF($D125="JEA_NSA","M1","M2")</f>
        <v/>
      </c>
      <c r="N125" s="16">
        <f>IF($D125="JEA_NSA",INDEX(Market_Weekly!$L$6:$L$48,MATCH($A125,Market_Weekly!$A$6:$A$48,0)),INDEX(Market_Weekly!$M$6:$M$48,MATCH($A125,Market_Weekly!$A$6:$A$48,0)))</f>
        <v/>
      </c>
      <c r="O125" s="15">
        <f>INDEX(Market_Weekly!$P$6:$P$48,MATCH($A125,Market_Weekly!$A$6:$A$48,0))</f>
        <v/>
      </c>
      <c r="P125" s="8">
        <f>INDEX(Market_Weekly!$R$6:$T$48,MATCH($A125,Market_Weekly!$A$6:$A$48,0),MATCH("grade_factor_"&amp;$C125,Market_Weekly!$R$5:$T$5,0))</f>
        <v/>
      </c>
      <c r="Q125" s="8">
        <f>INDEX(Market_Weekly!$U$6:$U$48,MATCH($A125,Market_Weekly!$A$6:$A$48,0))</f>
        <v/>
      </c>
      <c r="R125" s="8">
        <f>IF($D125="JEA_NSA","20ft","40ft")</f>
        <v/>
      </c>
      <c r="S125" s="8">
        <f>IF($D125="JEA_NSA","nsa","mun")</f>
        <v/>
      </c>
      <c r="T125" s="8">
        <f>IF($D125="JEA_NSA","jea_nsa","usec_mun")</f>
        <v/>
      </c>
      <c r="U125" s="16">
        <f>INDEX(param_values,MATCH("container_payload_mt_"&amp;$R125,param_keys,0))</f>
        <v/>
      </c>
      <c r="V125" s="16">
        <f>INDEX(param_values,MATCH("container_payload_mt_"&amp;$R125&amp;"_"&amp;$C125,param_keys,0))</f>
        <v/>
      </c>
      <c r="W125" s="16">
        <f>INDEX(param_values,MATCH("container_payload_mt_20ft_"&amp;$C125,param_keys,0))</f>
        <v/>
      </c>
      <c r="X125" s="18">
        <f>INDEX(param_values,MATCH("port_cf_charges_inr_t_"&amp;$S125,param_keys,0))</f>
        <v/>
      </c>
      <c r="Y125" s="8">
        <f>INDEX(param_values,MATCH(IF($D125="JEA_NSA","psic_required_uae_origin","psic_required_safe_origin_designated_port"),param_keys,0))</f>
        <v/>
      </c>
      <c r="Z125" s="19">
        <f>INDEX(param_values,MATCH("finance_days_"&amp;$T125,param_keys,0))</f>
        <v/>
      </c>
      <c r="AA125" s="15">
        <f>INDEX(param_values,MATCH("moisture_frac_"&amp;$C125,param_keys,0))</f>
        <v/>
      </c>
      <c r="AB125" s="15">
        <f>INDEX(param_values,MATCH("contamination_frac_"&amp;$C125,param_keys,0))</f>
        <v/>
      </c>
      <c r="AC125" s="15">
        <f>INDEX(param_values,MATCH("metal_yield_frac_"&amp;$C125,param_keys,0))</f>
        <v/>
      </c>
      <c r="AD125" s="15">
        <f>INDEX(param_values,MATCH("heavies_frac_"&amp;$C125,param_keys,0))</f>
        <v/>
      </c>
      <c r="AE125" s="8">
        <f>INDEX(param_values,MATCH("grade_factor_diff_"&amp;$C125,param_keys,0))</f>
        <v/>
      </c>
      <c r="AF125" s="16">
        <f>$F125*$P125</f>
        <v/>
      </c>
      <c r="AG125" s="8">
        <f>$U125/$V125</f>
        <v/>
      </c>
      <c r="AH125" s="16">
        <f>$L125*$AG125</f>
        <v/>
      </c>
      <c r="AI125" s="16">
        <f>$AF125-$AH125</f>
        <v/>
      </c>
      <c r="AJ125" s="16">
        <f>insurance_rate*insured_value_uplift*$AF125</f>
        <v/>
      </c>
      <c r="AK125" s="16">
        <f>$AF125+$AJ125</f>
        <v/>
      </c>
      <c r="AL125" s="18">
        <f>$AK125*$J125</f>
        <v/>
      </c>
      <c r="AM125" s="18">
        <f>$AK125*$I125</f>
        <v/>
      </c>
      <c r="AN125" s="18">
        <f>$AL125*bcd_scrap_hs7602</f>
        <v/>
      </c>
      <c r="AO125" s="18">
        <f>$AN125*sws_rate_on_bcd</f>
        <v/>
      </c>
      <c r="AP125" s="18">
        <f>($AL125+$AN125+$AO125)*igst_rate_hs7602</f>
        <v/>
      </c>
      <c r="AQ125" s="18">
        <f>$X125*$AG125+IF($Y125,psic_cost_usd_per_box*$H125/$W125,0)</f>
        <v/>
      </c>
      <c r="AR125" s="18">
        <f>($AM125+$AN125+$AO125)*$Z125/day_count_inr*$O125</f>
        <v/>
      </c>
      <c r="AS125" s="18">
        <f>$AP125*igst_credit_lag_days/day_count_inr*$O125</f>
        <v/>
      </c>
      <c r="AT125" s="18">
        <f>$AM125+$AN125+$AO125+$AQ125+$AR125+$AS125+IF(igst_itc_available,0,$AP125)</f>
        <v/>
      </c>
      <c r="AU125" s="15">
        <f>(1-$AA125)*(1-$AB125)*$AC125</f>
        <v/>
      </c>
      <c r="AV125" s="18">
        <f>$N125*kg_per_mt+domestic_anchor_premium_inr_t</f>
        <v/>
      </c>
      <c r="AW125" s="18">
        <f>(1-$AA125)*$AD125*heavies_net_value_frac_of_lme_al*$F125*$H125</f>
        <v/>
      </c>
      <c r="AX125" s="18">
        <f>conversion_cost_inr_t*$AU125</f>
        <v/>
      </c>
      <c r="AY125" s="18">
        <f>$AV125*$AU125+$AW125-$AT125-$AX125</f>
        <v/>
      </c>
      <c r="AZ125" s="16">
        <f>$AY125/$H125</f>
        <v/>
      </c>
      <c r="BA125" s="8">
        <f>$AY125&gt;margin_threshold_inr_t</f>
        <v/>
      </c>
      <c r="BB125" s="8">
        <f>$Q125+$AE125</f>
        <v/>
      </c>
      <c r="BC125" s="18">
        <f>$AT125-$AQ125</f>
        <v/>
      </c>
      <c r="BD125" s="18">
        <f>$AY125-$BC125*($BB125/$P125-1)</f>
        <v/>
      </c>
      <c r="BE125" s="18">
        <f>$AY125-(conv_step_5a-conversion_cost_inr_t)*$AU125</f>
        <v/>
      </c>
      <c r="BF125" s="8">
        <f>$BA125</f>
        <v/>
      </c>
      <c r="BG125" s="8">
        <f>$BD125&gt;margin_threshold_inr_t</f>
        <v/>
      </c>
      <c r="BH125" s="8">
        <f>$BE125&gt;margin_threshold_inr_t</f>
        <v/>
      </c>
      <c r="BI125" s="8">
        <f>AND($BF125,$BG125,$BH125)</f>
        <v/>
      </c>
      <c r="BJ125" s="8">
        <f>IF($BI125,1,0)</f>
        <v/>
      </c>
    </row>
    <row r="126">
      <c r="A126" s="11" t="n">
        <v>44708</v>
      </c>
      <c r="B126" s="11" t="n">
        <v>44708</v>
      </c>
      <c r="C126" s="7" t="inlineStr">
        <is>
          <t>zorba</t>
        </is>
      </c>
      <c r="D126" s="7" t="inlineStr">
        <is>
          <t>JEA_NSA</t>
        </is>
      </c>
      <c r="E126" s="17" t="b">
        <v>1</v>
      </c>
      <c r="F126" s="16">
        <f>INDEX(Market_Weekly!$E$6:$E$48,MATCH($A126,Market_Weekly!$A$6:$A$48,0))</f>
        <v/>
      </c>
      <c r="G126" s="16">
        <f>INDEX(Market_Weekly!$D$6:$D$48,MATCH($A126,Market_Weekly!$A$6:$A$48,0))</f>
        <v/>
      </c>
      <c r="H126" s="16">
        <f>INDEX(Market_Weekly!$G$6:$G$48,MATCH($A126,Market_Weekly!$A$6:$A$48,0))</f>
        <v/>
      </c>
      <c r="I126" s="8">
        <f>INDEX(Market_Weekly!$H$6:$H$48,MATCH($A126,Market_Weekly!$A$6:$A$48,0))</f>
        <v/>
      </c>
      <c r="J126" s="8">
        <f>INDEX(Market_Weekly!$Q$6:$Q$48,MATCH($A126,Market_Weekly!$A$6:$A$48,0))</f>
        <v/>
      </c>
      <c r="K126" s="8">
        <f>INDEX(Market_Weekly!$V$6:$V$48,MATCH($A126,Market_Weekly!$A$6:$A$48,0))</f>
        <v/>
      </c>
      <c r="L126" s="16">
        <f>IF($D126="JEA_NSA",INDEX(Market_Weekly!$N$6:$N$48,MATCH($A126,Market_Weekly!$A$6:$A$48,0)),INDEX(Market_Weekly!$O$6:$O$48,MATCH($A126,Market_Weekly!$A$6:$A$48,0)))</f>
        <v/>
      </c>
      <c r="M126" s="8">
        <f>IF($D126="JEA_NSA","M1","M2")</f>
        <v/>
      </c>
      <c r="N126" s="16">
        <f>IF($D126="JEA_NSA",INDEX(Market_Weekly!$L$6:$L$48,MATCH($A126,Market_Weekly!$A$6:$A$48,0)),INDEX(Market_Weekly!$M$6:$M$48,MATCH($A126,Market_Weekly!$A$6:$A$48,0)))</f>
        <v/>
      </c>
      <c r="O126" s="15">
        <f>INDEX(Market_Weekly!$P$6:$P$48,MATCH($A126,Market_Weekly!$A$6:$A$48,0))</f>
        <v/>
      </c>
      <c r="P126" s="8">
        <f>INDEX(Market_Weekly!$R$6:$T$48,MATCH($A126,Market_Weekly!$A$6:$A$48,0),MATCH("grade_factor_"&amp;$C126,Market_Weekly!$R$5:$T$5,0))</f>
        <v/>
      </c>
      <c r="Q126" s="8">
        <f>INDEX(Market_Weekly!$U$6:$U$48,MATCH($A126,Market_Weekly!$A$6:$A$48,0))</f>
        <v/>
      </c>
      <c r="R126" s="8">
        <f>IF($D126="JEA_NSA","20ft","40ft")</f>
        <v/>
      </c>
      <c r="S126" s="8">
        <f>IF($D126="JEA_NSA","nsa","mun")</f>
        <v/>
      </c>
      <c r="T126" s="8">
        <f>IF($D126="JEA_NSA","jea_nsa","usec_mun")</f>
        <v/>
      </c>
      <c r="U126" s="16">
        <f>INDEX(param_values,MATCH("container_payload_mt_"&amp;$R126,param_keys,0))</f>
        <v/>
      </c>
      <c r="V126" s="16">
        <f>INDEX(param_values,MATCH("container_payload_mt_"&amp;$R126&amp;"_"&amp;$C126,param_keys,0))</f>
        <v/>
      </c>
      <c r="W126" s="16">
        <f>INDEX(param_values,MATCH("container_payload_mt_20ft_"&amp;$C126,param_keys,0))</f>
        <v/>
      </c>
      <c r="X126" s="18">
        <f>INDEX(param_values,MATCH("port_cf_charges_inr_t_"&amp;$S126,param_keys,0))</f>
        <v/>
      </c>
      <c r="Y126" s="8">
        <f>INDEX(param_values,MATCH(IF($D126="JEA_NSA","psic_required_uae_origin","psic_required_safe_origin_designated_port"),param_keys,0))</f>
        <v/>
      </c>
      <c r="Z126" s="19">
        <f>INDEX(param_values,MATCH("finance_days_"&amp;$T126,param_keys,0))</f>
        <v/>
      </c>
      <c r="AA126" s="15">
        <f>INDEX(param_values,MATCH("moisture_frac_"&amp;$C126,param_keys,0))</f>
        <v/>
      </c>
      <c r="AB126" s="15">
        <f>INDEX(param_values,MATCH("contamination_frac_"&amp;$C126,param_keys,0))</f>
        <v/>
      </c>
      <c r="AC126" s="15">
        <f>INDEX(param_values,MATCH("metal_yield_frac_"&amp;$C126,param_keys,0))</f>
        <v/>
      </c>
      <c r="AD126" s="15">
        <f>INDEX(param_values,MATCH("heavies_frac_"&amp;$C126,param_keys,0))</f>
        <v/>
      </c>
      <c r="AE126" s="8">
        <f>INDEX(param_values,MATCH("grade_factor_diff_"&amp;$C126,param_keys,0))</f>
        <v/>
      </c>
      <c r="AF126" s="16">
        <f>$F126*$P126</f>
        <v/>
      </c>
      <c r="AG126" s="8">
        <f>$U126/$V126</f>
        <v/>
      </c>
      <c r="AH126" s="16">
        <f>$L126*$AG126</f>
        <v/>
      </c>
      <c r="AI126" s="16">
        <f>$AF126-$AH126</f>
        <v/>
      </c>
      <c r="AJ126" s="16">
        <f>insurance_rate*insured_value_uplift*$AF126</f>
        <v/>
      </c>
      <c r="AK126" s="16">
        <f>$AF126+$AJ126</f>
        <v/>
      </c>
      <c r="AL126" s="18">
        <f>$AK126*$J126</f>
        <v/>
      </c>
      <c r="AM126" s="18">
        <f>$AK126*$I126</f>
        <v/>
      </c>
      <c r="AN126" s="18">
        <f>$AL126*bcd_scrap_hs7602</f>
        <v/>
      </c>
      <c r="AO126" s="18">
        <f>$AN126*sws_rate_on_bcd</f>
        <v/>
      </c>
      <c r="AP126" s="18">
        <f>($AL126+$AN126+$AO126)*igst_rate_hs7602</f>
        <v/>
      </c>
      <c r="AQ126" s="18">
        <f>$X126*$AG126+IF($Y126,psic_cost_usd_per_box*$H126/$W126,0)</f>
        <v/>
      </c>
      <c r="AR126" s="18">
        <f>($AM126+$AN126+$AO126)*$Z126/day_count_inr*$O126</f>
        <v/>
      </c>
      <c r="AS126" s="18">
        <f>$AP126*igst_credit_lag_days/day_count_inr*$O126</f>
        <v/>
      </c>
      <c r="AT126" s="18">
        <f>$AM126+$AN126+$AO126+$AQ126+$AR126+$AS126+IF(igst_itc_available,0,$AP126)</f>
        <v/>
      </c>
      <c r="AU126" s="15">
        <f>(1-$AA126)*(1-$AB126)*$AC126</f>
        <v/>
      </c>
      <c r="AV126" s="18">
        <f>$N126*kg_per_mt+domestic_anchor_premium_inr_t</f>
        <v/>
      </c>
      <c r="AW126" s="18">
        <f>(1-$AA126)*$AD126*heavies_net_value_frac_of_lme_al*$F126*$H126</f>
        <v/>
      </c>
      <c r="AX126" s="18">
        <f>conversion_cost_inr_t*$AU126</f>
        <v/>
      </c>
      <c r="AY126" s="18">
        <f>$AV126*$AU126+$AW126-$AT126-$AX126</f>
        <v/>
      </c>
      <c r="AZ126" s="16">
        <f>$AY126/$H126</f>
        <v/>
      </c>
      <c r="BA126" s="8">
        <f>$AY126&gt;margin_threshold_inr_t</f>
        <v/>
      </c>
      <c r="BB126" s="8">
        <f>$Q126+$AE126</f>
        <v/>
      </c>
      <c r="BC126" s="18">
        <f>$AT126-$AQ126</f>
        <v/>
      </c>
      <c r="BD126" s="18">
        <f>$AY126-$BC126*($BB126/$P126-1)</f>
        <v/>
      </c>
      <c r="BE126" s="18">
        <f>$AY126-(conv_step_5a-conversion_cost_inr_t)*$AU126</f>
        <v/>
      </c>
      <c r="BF126" s="8">
        <f>$BA126</f>
        <v/>
      </c>
      <c r="BG126" s="8">
        <f>$BD126&gt;margin_threshold_inr_t</f>
        <v/>
      </c>
      <c r="BH126" s="8">
        <f>$BE126&gt;margin_threshold_inr_t</f>
        <v/>
      </c>
      <c r="BI126" s="8">
        <f>AND($BF126,$BG126,$BH126)</f>
        <v/>
      </c>
      <c r="BJ126" s="8">
        <f>IF($BI126,1,0)</f>
        <v/>
      </c>
    </row>
    <row r="127">
      <c r="A127" s="11" t="n">
        <v>44708</v>
      </c>
      <c r="B127" s="11" t="n">
        <v>44708</v>
      </c>
      <c r="C127" s="7" t="inlineStr">
        <is>
          <t>zorba</t>
        </is>
      </c>
      <c r="D127" s="7" t="inlineStr">
        <is>
          <t>USEC_MUN</t>
        </is>
      </c>
      <c r="E127" s="17" t="b">
        <v>1</v>
      </c>
      <c r="F127" s="16">
        <f>INDEX(Market_Weekly!$E$6:$E$48,MATCH($A127,Market_Weekly!$A$6:$A$48,0))</f>
        <v/>
      </c>
      <c r="G127" s="16">
        <f>INDEX(Market_Weekly!$D$6:$D$48,MATCH($A127,Market_Weekly!$A$6:$A$48,0))</f>
        <v/>
      </c>
      <c r="H127" s="16">
        <f>INDEX(Market_Weekly!$G$6:$G$48,MATCH($A127,Market_Weekly!$A$6:$A$48,0))</f>
        <v/>
      </c>
      <c r="I127" s="8">
        <f>INDEX(Market_Weekly!$H$6:$H$48,MATCH($A127,Market_Weekly!$A$6:$A$48,0))</f>
        <v/>
      </c>
      <c r="J127" s="8">
        <f>INDEX(Market_Weekly!$Q$6:$Q$48,MATCH($A127,Market_Weekly!$A$6:$A$48,0))</f>
        <v/>
      </c>
      <c r="K127" s="8">
        <f>INDEX(Market_Weekly!$V$6:$V$48,MATCH($A127,Market_Weekly!$A$6:$A$48,0))</f>
        <v/>
      </c>
      <c r="L127" s="16">
        <f>IF($D127="JEA_NSA",INDEX(Market_Weekly!$N$6:$N$48,MATCH($A127,Market_Weekly!$A$6:$A$48,0)),INDEX(Market_Weekly!$O$6:$O$48,MATCH($A127,Market_Weekly!$A$6:$A$48,0)))</f>
        <v/>
      </c>
      <c r="M127" s="8">
        <f>IF($D127="JEA_NSA","M1","M2")</f>
        <v/>
      </c>
      <c r="N127" s="16">
        <f>IF($D127="JEA_NSA",INDEX(Market_Weekly!$L$6:$L$48,MATCH($A127,Market_Weekly!$A$6:$A$48,0)),INDEX(Market_Weekly!$M$6:$M$48,MATCH($A127,Market_Weekly!$A$6:$A$48,0)))</f>
        <v/>
      </c>
      <c r="O127" s="15">
        <f>INDEX(Market_Weekly!$P$6:$P$48,MATCH($A127,Market_Weekly!$A$6:$A$48,0))</f>
        <v/>
      </c>
      <c r="P127" s="8">
        <f>INDEX(Market_Weekly!$R$6:$T$48,MATCH($A127,Market_Weekly!$A$6:$A$48,0),MATCH("grade_factor_"&amp;$C127,Market_Weekly!$R$5:$T$5,0))</f>
        <v/>
      </c>
      <c r="Q127" s="8">
        <f>INDEX(Market_Weekly!$U$6:$U$48,MATCH($A127,Market_Weekly!$A$6:$A$48,0))</f>
        <v/>
      </c>
      <c r="R127" s="8">
        <f>IF($D127="JEA_NSA","20ft","40ft")</f>
        <v/>
      </c>
      <c r="S127" s="8">
        <f>IF($D127="JEA_NSA","nsa","mun")</f>
        <v/>
      </c>
      <c r="T127" s="8">
        <f>IF($D127="JEA_NSA","jea_nsa","usec_mun")</f>
        <v/>
      </c>
      <c r="U127" s="16">
        <f>INDEX(param_values,MATCH("container_payload_mt_"&amp;$R127,param_keys,0))</f>
        <v/>
      </c>
      <c r="V127" s="16">
        <f>INDEX(param_values,MATCH("container_payload_mt_"&amp;$R127&amp;"_"&amp;$C127,param_keys,0))</f>
        <v/>
      </c>
      <c r="W127" s="16">
        <f>INDEX(param_values,MATCH("container_payload_mt_20ft_"&amp;$C127,param_keys,0))</f>
        <v/>
      </c>
      <c r="X127" s="18">
        <f>INDEX(param_values,MATCH("port_cf_charges_inr_t_"&amp;$S127,param_keys,0))</f>
        <v/>
      </c>
      <c r="Y127" s="8">
        <f>INDEX(param_values,MATCH(IF($D127="JEA_NSA","psic_required_uae_origin","psic_required_safe_origin_designated_port"),param_keys,0))</f>
        <v/>
      </c>
      <c r="Z127" s="19">
        <f>INDEX(param_values,MATCH("finance_days_"&amp;$T127,param_keys,0))</f>
        <v/>
      </c>
      <c r="AA127" s="15">
        <f>INDEX(param_values,MATCH("moisture_frac_"&amp;$C127,param_keys,0))</f>
        <v/>
      </c>
      <c r="AB127" s="15">
        <f>INDEX(param_values,MATCH("contamination_frac_"&amp;$C127,param_keys,0))</f>
        <v/>
      </c>
      <c r="AC127" s="15">
        <f>INDEX(param_values,MATCH("metal_yield_frac_"&amp;$C127,param_keys,0))</f>
        <v/>
      </c>
      <c r="AD127" s="15">
        <f>INDEX(param_values,MATCH("heavies_frac_"&amp;$C127,param_keys,0))</f>
        <v/>
      </c>
      <c r="AE127" s="8">
        <f>INDEX(param_values,MATCH("grade_factor_diff_"&amp;$C127,param_keys,0))</f>
        <v/>
      </c>
      <c r="AF127" s="16">
        <f>$F127*$P127</f>
        <v/>
      </c>
      <c r="AG127" s="8">
        <f>$U127/$V127</f>
        <v/>
      </c>
      <c r="AH127" s="16">
        <f>$L127*$AG127</f>
        <v/>
      </c>
      <c r="AI127" s="16">
        <f>$AF127-$AH127</f>
        <v/>
      </c>
      <c r="AJ127" s="16">
        <f>insurance_rate*insured_value_uplift*$AF127</f>
        <v/>
      </c>
      <c r="AK127" s="16">
        <f>$AF127+$AJ127</f>
        <v/>
      </c>
      <c r="AL127" s="18">
        <f>$AK127*$J127</f>
        <v/>
      </c>
      <c r="AM127" s="18">
        <f>$AK127*$I127</f>
        <v/>
      </c>
      <c r="AN127" s="18">
        <f>$AL127*bcd_scrap_hs7602</f>
        <v/>
      </c>
      <c r="AO127" s="18">
        <f>$AN127*sws_rate_on_bcd</f>
        <v/>
      </c>
      <c r="AP127" s="18">
        <f>($AL127+$AN127+$AO127)*igst_rate_hs7602</f>
        <v/>
      </c>
      <c r="AQ127" s="18">
        <f>$X127*$AG127+IF($Y127,psic_cost_usd_per_box*$H127/$W127,0)</f>
        <v/>
      </c>
      <c r="AR127" s="18">
        <f>($AM127+$AN127+$AO127)*$Z127/day_count_inr*$O127</f>
        <v/>
      </c>
      <c r="AS127" s="18">
        <f>$AP127*igst_credit_lag_days/day_count_inr*$O127</f>
        <v/>
      </c>
      <c r="AT127" s="18">
        <f>$AM127+$AN127+$AO127+$AQ127+$AR127+$AS127+IF(igst_itc_available,0,$AP127)</f>
        <v/>
      </c>
      <c r="AU127" s="15">
        <f>(1-$AA127)*(1-$AB127)*$AC127</f>
        <v/>
      </c>
      <c r="AV127" s="18">
        <f>$N127*kg_per_mt+domestic_anchor_premium_inr_t</f>
        <v/>
      </c>
      <c r="AW127" s="18">
        <f>(1-$AA127)*$AD127*heavies_net_value_frac_of_lme_al*$F127*$H127</f>
        <v/>
      </c>
      <c r="AX127" s="18">
        <f>conversion_cost_inr_t*$AU127</f>
        <v/>
      </c>
      <c r="AY127" s="18">
        <f>$AV127*$AU127+$AW127-$AT127-$AX127</f>
        <v/>
      </c>
      <c r="AZ127" s="16">
        <f>$AY127/$H127</f>
        <v/>
      </c>
      <c r="BA127" s="8">
        <f>$AY127&gt;margin_threshold_inr_t</f>
        <v/>
      </c>
      <c r="BB127" s="8">
        <f>$Q127+$AE127</f>
        <v/>
      </c>
      <c r="BC127" s="18">
        <f>$AT127-$AQ127</f>
        <v/>
      </c>
      <c r="BD127" s="18">
        <f>$AY127-$BC127*($BB127/$P127-1)</f>
        <v/>
      </c>
      <c r="BE127" s="18">
        <f>$AY127-(conv_step_5a-conversion_cost_inr_t)*$AU127</f>
        <v/>
      </c>
      <c r="BF127" s="8">
        <f>$BA127</f>
        <v/>
      </c>
      <c r="BG127" s="8">
        <f>$BD127&gt;margin_threshold_inr_t</f>
        <v/>
      </c>
      <c r="BH127" s="8">
        <f>$BE127&gt;margin_threshold_inr_t</f>
        <v/>
      </c>
      <c r="BI127" s="8">
        <f>AND($BF127,$BG127,$BH127)</f>
        <v/>
      </c>
      <c r="BJ127" s="8">
        <f>IF($BI127,1,0)</f>
        <v/>
      </c>
    </row>
    <row r="128">
      <c r="A128" s="11" t="n">
        <v>44708</v>
      </c>
      <c r="B128" s="11" t="n">
        <v>44708</v>
      </c>
      <c r="C128" s="7" t="inlineStr">
        <is>
          <t>taint_tabor</t>
        </is>
      </c>
      <c r="D128" s="7" t="inlineStr">
        <is>
          <t>JEA_NSA</t>
        </is>
      </c>
      <c r="E128" s="17" t="b">
        <v>1</v>
      </c>
      <c r="F128" s="16">
        <f>INDEX(Market_Weekly!$E$6:$E$48,MATCH($A128,Market_Weekly!$A$6:$A$48,0))</f>
        <v/>
      </c>
      <c r="G128" s="16">
        <f>INDEX(Market_Weekly!$D$6:$D$48,MATCH($A128,Market_Weekly!$A$6:$A$48,0))</f>
        <v/>
      </c>
      <c r="H128" s="16">
        <f>INDEX(Market_Weekly!$G$6:$G$48,MATCH($A128,Market_Weekly!$A$6:$A$48,0))</f>
        <v/>
      </c>
      <c r="I128" s="8">
        <f>INDEX(Market_Weekly!$H$6:$H$48,MATCH($A128,Market_Weekly!$A$6:$A$48,0))</f>
        <v/>
      </c>
      <c r="J128" s="8">
        <f>INDEX(Market_Weekly!$Q$6:$Q$48,MATCH($A128,Market_Weekly!$A$6:$A$48,0))</f>
        <v/>
      </c>
      <c r="K128" s="8">
        <f>INDEX(Market_Weekly!$V$6:$V$48,MATCH($A128,Market_Weekly!$A$6:$A$48,0))</f>
        <v/>
      </c>
      <c r="L128" s="16">
        <f>IF($D128="JEA_NSA",INDEX(Market_Weekly!$N$6:$N$48,MATCH($A128,Market_Weekly!$A$6:$A$48,0)),INDEX(Market_Weekly!$O$6:$O$48,MATCH($A128,Market_Weekly!$A$6:$A$48,0)))</f>
        <v/>
      </c>
      <c r="M128" s="8">
        <f>IF($D128="JEA_NSA","M1","M2")</f>
        <v/>
      </c>
      <c r="N128" s="16">
        <f>IF($D128="JEA_NSA",INDEX(Market_Weekly!$L$6:$L$48,MATCH($A128,Market_Weekly!$A$6:$A$48,0)),INDEX(Market_Weekly!$M$6:$M$48,MATCH($A128,Market_Weekly!$A$6:$A$48,0)))</f>
        <v/>
      </c>
      <c r="O128" s="15">
        <f>INDEX(Market_Weekly!$P$6:$P$48,MATCH($A128,Market_Weekly!$A$6:$A$48,0))</f>
        <v/>
      </c>
      <c r="P128" s="8">
        <f>INDEX(Market_Weekly!$R$6:$T$48,MATCH($A128,Market_Weekly!$A$6:$A$48,0),MATCH("grade_factor_"&amp;$C128,Market_Weekly!$R$5:$T$5,0))</f>
        <v/>
      </c>
      <c r="Q128" s="8">
        <f>INDEX(Market_Weekly!$U$6:$U$48,MATCH($A128,Market_Weekly!$A$6:$A$48,0))</f>
        <v/>
      </c>
      <c r="R128" s="8">
        <f>IF($D128="JEA_NSA","20ft","40ft")</f>
        <v/>
      </c>
      <c r="S128" s="8">
        <f>IF($D128="JEA_NSA","nsa","mun")</f>
        <v/>
      </c>
      <c r="T128" s="8">
        <f>IF($D128="JEA_NSA","jea_nsa","usec_mun")</f>
        <v/>
      </c>
      <c r="U128" s="16">
        <f>INDEX(param_values,MATCH("container_payload_mt_"&amp;$R128,param_keys,0))</f>
        <v/>
      </c>
      <c r="V128" s="16">
        <f>INDEX(param_values,MATCH("container_payload_mt_"&amp;$R128&amp;"_"&amp;$C128,param_keys,0))</f>
        <v/>
      </c>
      <c r="W128" s="16">
        <f>INDEX(param_values,MATCH("container_payload_mt_20ft_"&amp;$C128,param_keys,0))</f>
        <v/>
      </c>
      <c r="X128" s="18">
        <f>INDEX(param_values,MATCH("port_cf_charges_inr_t_"&amp;$S128,param_keys,0))</f>
        <v/>
      </c>
      <c r="Y128" s="8">
        <f>INDEX(param_values,MATCH(IF($D128="JEA_NSA","psic_required_uae_origin","psic_required_safe_origin_designated_port"),param_keys,0))</f>
        <v/>
      </c>
      <c r="Z128" s="19">
        <f>INDEX(param_values,MATCH("finance_days_"&amp;$T128,param_keys,0))</f>
        <v/>
      </c>
      <c r="AA128" s="15">
        <f>INDEX(param_values,MATCH("moisture_frac_"&amp;$C128,param_keys,0))</f>
        <v/>
      </c>
      <c r="AB128" s="15">
        <f>INDEX(param_values,MATCH("contamination_frac_"&amp;$C128,param_keys,0))</f>
        <v/>
      </c>
      <c r="AC128" s="15">
        <f>INDEX(param_values,MATCH("metal_yield_frac_"&amp;$C128,param_keys,0))</f>
        <v/>
      </c>
      <c r="AD128" s="15">
        <f>INDEX(param_values,MATCH("heavies_frac_"&amp;$C128,param_keys,0))</f>
        <v/>
      </c>
      <c r="AE128" s="8">
        <f>INDEX(param_values,MATCH("grade_factor_diff_"&amp;$C128,param_keys,0))</f>
        <v/>
      </c>
      <c r="AF128" s="16">
        <f>$F128*$P128</f>
        <v/>
      </c>
      <c r="AG128" s="8">
        <f>$U128/$V128</f>
        <v/>
      </c>
      <c r="AH128" s="16">
        <f>$L128*$AG128</f>
        <v/>
      </c>
      <c r="AI128" s="16">
        <f>$AF128-$AH128</f>
        <v/>
      </c>
      <c r="AJ128" s="16">
        <f>insurance_rate*insured_value_uplift*$AF128</f>
        <v/>
      </c>
      <c r="AK128" s="16">
        <f>$AF128+$AJ128</f>
        <v/>
      </c>
      <c r="AL128" s="18">
        <f>$AK128*$J128</f>
        <v/>
      </c>
      <c r="AM128" s="18">
        <f>$AK128*$I128</f>
        <v/>
      </c>
      <c r="AN128" s="18">
        <f>$AL128*bcd_scrap_hs7602</f>
        <v/>
      </c>
      <c r="AO128" s="18">
        <f>$AN128*sws_rate_on_bcd</f>
        <v/>
      </c>
      <c r="AP128" s="18">
        <f>($AL128+$AN128+$AO128)*igst_rate_hs7602</f>
        <v/>
      </c>
      <c r="AQ128" s="18">
        <f>$X128*$AG128+IF($Y128,psic_cost_usd_per_box*$H128/$W128,0)</f>
        <v/>
      </c>
      <c r="AR128" s="18">
        <f>($AM128+$AN128+$AO128)*$Z128/day_count_inr*$O128</f>
        <v/>
      </c>
      <c r="AS128" s="18">
        <f>$AP128*igst_credit_lag_days/day_count_inr*$O128</f>
        <v/>
      </c>
      <c r="AT128" s="18">
        <f>$AM128+$AN128+$AO128+$AQ128+$AR128+$AS128+IF(igst_itc_available,0,$AP128)</f>
        <v/>
      </c>
      <c r="AU128" s="15">
        <f>(1-$AA128)*(1-$AB128)*$AC128</f>
        <v/>
      </c>
      <c r="AV128" s="18">
        <f>$N128*kg_per_mt+domestic_anchor_premium_inr_t</f>
        <v/>
      </c>
      <c r="AW128" s="18">
        <f>(1-$AA128)*$AD128*heavies_net_value_frac_of_lme_al*$F128*$H128</f>
        <v/>
      </c>
      <c r="AX128" s="18">
        <f>conversion_cost_inr_t*$AU128</f>
        <v/>
      </c>
      <c r="AY128" s="18">
        <f>$AV128*$AU128+$AW128-$AT128-$AX128</f>
        <v/>
      </c>
      <c r="AZ128" s="16">
        <f>$AY128/$H128</f>
        <v/>
      </c>
      <c r="BA128" s="8">
        <f>$AY128&gt;margin_threshold_inr_t</f>
        <v/>
      </c>
      <c r="BB128" s="8">
        <f>$Q128+$AE128</f>
        <v/>
      </c>
      <c r="BC128" s="18">
        <f>$AT128-$AQ128</f>
        <v/>
      </c>
      <c r="BD128" s="18">
        <f>$AY128-$BC128*($BB128/$P128-1)</f>
        <v/>
      </c>
      <c r="BE128" s="18">
        <f>$AY128-(conv_step_5a-conversion_cost_inr_t)*$AU128</f>
        <v/>
      </c>
      <c r="BF128" s="8">
        <f>$BA128</f>
        <v/>
      </c>
      <c r="BG128" s="8">
        <f>$BD128&gt;margin_threshold_inr_t</f>
        <v/>
      </c>
      <c r="BH128" s="8">
        <f>$BE128&gt;margin_threshold_inr_t</f>
        <v/>
      </c>
      <c r="BI128" s="8">
        <f>AND($BF128,$BG128,$BH128)</f>
        <v/>
      </c>
      <c r="BJ128" s="8">
        <f>IF($BI128,1,0)</f>
        <v/>
      </c>
    </row>
    <row r="129">
      <c r="A129" s="11" t="n">
        <v>44708</v>
      </c>
      <c r="B129" s="11" t="n">
        <v>44708</v>
      </c>
      <c r="C129" s="7" t="inlineStr">
        <is>
          <t>taint_tabor</t>
        </is>
      </c>
      <c r="D129" s="7" t="inlineStr">
        <is>
          <t>USEC_MUN</t>
        </is>
      </c>
      <c r="E129" s="17" t="b">
        <v>1</v>
      </c>
      <c r="F129" s="16">
        <f>INDEX(Market_Weekly!$E$6:$E$48,MATCH($A129,Market_Weekly!$A$6:$A$48,0))</f>
        <v/>
      </c>
      <c r="G129" s="16">
        <f>INDEX(Market_Weekly!$D$6:$D$48,MATCH($A129,Market_Weekly!$A$6:$A$48,0))</f>
        <v/>
      </c>
      <c r="H129" s="16">
        <f>INDEX(Market_Weekly!$G$6:$G$48,MATCH($A129,Market_Weekly!$A$6:$A$48,0))</f>
        <v/>
      </c>
      <c r="I129" s="8">
        <f>INDEX(Market_Weekly!$H$6:$H$48,MATCH($A129,Market_Weekly!$A$6:$A$48,0))</f>
        <v/>
      </c>
      <c r="J129" s="8">
        <f>INDEX(Market_Weekly!$Q$6:$Q$48,MATCH($A129,Market_Weekly!$A$6:$A$48,0))</f>
        <v/>
      </c>
      <c r="K129" s="8">
        <f>INDEX(Market_Weekly!$V$6:$V$48,MATCH($A129,Market_Weekly!$A$6:$A$48,0))</f>
        <v/>
      </c>
      <c r="L129" s="16">
        <f>IF($D129="JEA_NSA",INDEX(Market_Weekly!$N$6:$N$48,MATCH($A129,Market_Weekly!$A$6:$A$48,0)),INDEX(Market_Weekly!$O$6:$O$48,MATCH($A129,Market_Weekly!$A$6:$A$48,0)))</f>
        <v/>
      </c>
      <c r="M129" s="8">
        <f>IF($D129="JEA_NSA","M1","M2")</f>
        <v/>
      </c>
      <c r="N129" s="16">
        <f>IF($D129="JEA_NSA",INDEX(Market_Weekly!$L$6:$L$48,MATCH($A129,Market_Weekly!$A$6:$A$48,0)),INDEX(Market_Weekly!$M$6:$M$48,MATCH($A129,Market_Weekly!$A$6:$A$48,0)))</f>
        <v/>
      </c>
      <c r="O129" s="15">
        <f>INDEX(Market_Weekly!$P$6:$P$48,MATCH($A129,Market_Weekly!$A$6:$A$48,0))</f>
        <v/>
      </c>
      <c r="P129" s="8">
        <f>INDEX(Market_Weekly!$R$6:$T$48,MATCH($A129,Market_Weekly!$A$6:$A$48,0),MATCH("grade_factor_"&amp;$C129,Market_Weekly!$R$5:$T$5,0))</f>
        <v/>
      </c>
      <c r="Q129" s="8">
        <f>INDEX(Market_Weekly!$U$6:$U$48,MATCH($A129,Market_Weekly!$A$6:$A$48,0))</f>
        <v/>
      </c>
      <c r="R129" s="8">
        <f>IF($D129="JEA_NSA","20ft","40ft")</f>
        <v/>
      </c>
      <c r="S129" s="8">
        <f>IF($D129="JEA_NSA","nsa","mun")</f>
        <v/>
      </c>
      <c r="T129" s="8">
        <f>IF($D129="JEA_NSA","jea_nsa","usec_mun")</f>
        <v/>
      </c>
      <c r="U129" s="16">
        <f>INDEX(param_values,MATCH("container_payload_mt_"&amp;$R129,param_keys,0))</f>
        <v/>
      </c>
      <c r="V129" s="16">
        <f>INDEX(param_values,MATCH("container_payload_mt_"&amp;$R129&amp;"_"&amp;$C129,param_keys,0))</f>
        <v/>
      </c>
      <c r="W129" s="16">
        <f>INDEX(param_values,MATCH("container_payload_mt_20ft_"&amp;$C129,param_keys,0))</f>
        <v/>
      </c>
      <c r="X129" s="18">
        <f>INDEX(param_values,MATCH("port_cf_charges_inr_t_"&amp;$S129,param_keys,0))</f>
        <v/>
      </c>
      <c r="Y129" s="8">
        <f>INDEX(param_values,MATCH(IF($D129="JEA_NSA","psic_required_uae_origin","psic_required_safe_origin_designated_port"),param_keys,0))</f>
        <v/>
      </c>
      <c r="Z129" s="19">
        <f>INDEX(param_values,MATCH("finance_days_"&amp;$T129,param_keys,0))</f>
        <v/>
      </c>
      <c r="AA129" s="15">
        <f>INDEX(param_values,MATCH("moisture_frac_"&amp;$C129,param_keys,0))</f>
        <v/>
      </c>
      <c r="AB129" s="15">
        <f>INDEX(param_values,MATCH("contamination_frac_"&amp;$C129,param_keys,0))</f>
        <v/>
      </c>
      <c r="AC129" s="15">
        <f>INDEX(param_values,MATCH("metal_yield_frac_"&amp;$C129,param_keys,0))</f>
        <v/>
      </c>
      <c r="AD129" s="15">
        <f>INDEX(param_values,MATCH("heavies_frac_"&amp;$C129,param_keys,0))</f>
        <v/>
      </c>
      <c r="AE129" s="8">
        <f>INDEX(param_values,MATCH("grade_factor_diff_"&amp;$C129,param_keys,0))</f>
        <v/>
      </c>
      <c r="AF129" s="16">
        <f>$F129*$P129</f>
        <v/>
      </c>
      <c r="AG129" s="8">
        <f>$U129/$V129</f>
        <v/>
      </c>
      <c r="AH129" s="16">
        <f>$L129*$AG129</f>
        <v/>
      </c>
      <c r="AI129" s="16">
        <f>$AF129-$AH129</f>
        <v/>
      </c>
      <c r="AJ129" s="16">
        <f>insurance_rate*insured_value_uplift*$AF129</f>
        <v/>
      </c>
      <c r="AK129" s="16">
        <f>$AF129+$AJ129</f>
        <v/>
      </c>
      <c r="AL129" s="18">
        <f>$AK129*$J129</f>
        <v/>
      </c>
      <c r="AM129" s="18">
        <f>$AK129*$I129</f>
        <v/>
      </c>
      <c r="AN129" s="18">
        <f>$AL129*bcd_scrap_hs7602</f>
        <v/>
      </c>
      <c r="AO129" s="18">
        <f>$AN129*sws_rate_on_bcd</f>
        <v/>
      </c>
      <c r="AP129" s="18">
        <f>($AL129+$AN129+$AO129)*igst_rate_hs7602</f>
        <v/>
      </c>
      <c r="AQ129" s="18">
        <f>$X129*$AG129+IF($Y129,psic_cost_usd_per_box*$H129/$W129,0)</f>
        <v/>
      </c>
      <c r="AR129" s="18">
        <f>($AM129+$AN129+$AO129)*$Z129/day_count_inr*$O129</f>
        <v/>
      </c>
      <c r="AS129" s="18">
        <f>$AP129*igst_credit_lag_days/day_count_inr*$O129</f>
        <v/>
      </c>
      <c r="AT129" s="18">
        <f>$AM129+$AN129+$AO129+$AQ129+$AR129+$AS129+IF(igst_itc_available,0,$AP129)</f>
        <v/>
      </c>
      <c r="AU129" s="15">
        <f>(1-$AA129)*(1-$AB129)*$AC129</f>
        <v/>
      </c>
      <c r="AV129" s="18">
        <f>$N129*kg_per_mt+domestic_anchor_premium_inr_t</f>
        <v/>
      </c>
      <c r="AW129" s="18">
        <f>(1-$AA129)*$AD129*heavies_net_value_frac_of_lme_al*$F129*$H129</f>
        <v/>
      </c>
      <c r="AX129" s="18">
        <f>conversion_cost_inr_t*$AU129</f>
        <v/>
      </c>
      <c r="AY129" s="18">
        <f>$AV129*$AU129+$AW129-$AT129-$AX129</f>
        <v/>
      </c>
      <c r="AZ129" s="16">
        <f>$AY129/$H129</f>
        <v/>
      </c>
      <c r="BA129" s="8">
        <f>$AY129&gt;margin_threshold_inr_t</f>
        <v/>
      </c>
      <c r="BB129" s="8">
        <f>$Q129+$AE129</f>
        <v/>
      </c>
      <c r="BC129" s="18">
        <f>$AT129-$AQ129</f>
        <v/>
      </c>
      <c r="BD129" s="18">
        <f>$AY129-$BC129*($BB129/$P129-1)</f>
        <v/>
      </c>
      <c r="BE129" s="18">
        <f>$AY129-(conv_step_5a-conversion_cost_inr_t)*$AU129</f>
        <v/>
      </c>
      <c r="BF129" s="8">
        <f>$BA129</f>
        <v/>
      </c>
      <c r="BG129" s="8">
        <f>$BD129&gt;margin_threshold_inr_t</f>
        <v/>
      </c>
      <c r="BH129" s="8">
        <f>$BE129&gt;margin_threshold_inr_t</f>
        <v/>
      </c>
      <c r="BI129" s="8">
        <f>AND($BF129,$BG129,$BH129)</f>
        <v/>
      </c>
      <c r="BJ129" s="8">
        <f>IF($BI129,1,0)</f>
        <v/>
      </c>
    </row>
    <row r="130">
      <c r="A130" s="11" t="n">
        <v>44708</v>
      </c>
      <c r="B130" s="11" t="n">
        <v>44708</v>
      </c>
      <c r="C130" s="7" t="inlineStr">
        <is>
          <t>tense</t>
        </is>
      </c>
      <c r="D130" s="7" t="inlineStr">
        <is>
          <t>JEA_NSA</t>
        </is>
      </c>
      <c r="E130" s="17" t="b">
        <v>1</v>
      </c>
      <c r="F130" s="16">
        <f>INDEX(Market_Weekly!$E$6:$E$48,MATCH($A130,Market_Weekly!$A$6:$A$48,0))</f>
        <v/>
      </c>
      <c r="G130" s="16">
        <f>INDEX(Market_Weekly!$D$6:$D$48,MATCH($A130,Market_Weekly!$A$6:$A$48,0))</f>
        <v/>
      </c>
      <c r="H130" s="16">
        <f>INDEX(Market_Weekly!$G$6:$G$48,MATCH($A130,Market_Weekly!$A$6:$A$48,0))</f>
        <v/>
      </c>
      <c r="I130" s="8">
        <f>INDEX(Market_Weekly!$H$6:$H$48,MATCH($A130,Market_Weekly!$A$6:$A$48,0))</f>
        <v/>
      </c>
      <c r="J130" s="8">
        <f>INDEX(Market_Weekly!$Q$6:$Q$48,MATCH($A130,Market_Weekly!$A$6:$A$48,0))</f>
        <v/>
      </c>
      <c r="K130" s="8">
        <f>INDEX(Market_Weekly!$V$6:$V$48,MATCH($A130,Market_Weekly!$A$6:$A$48,0))</f>
        <v/>
      </c>
      <c r="L130" s="16">
        <f>IF($D130="JEA_NSA",INDEX(Market_Weekly!$N$6:$N$48,MATCH($A130,Market_Weekly!$A$6:$A$48,0)),INDEX(Market_Weekly!$O$6:$O$48,MATCH($A130,Market_Weekly!$A$6:$A$48,0)))</f>
        <v/>
      </c>
      <c r="M130" s="8">
        <f>IF($D130="JEA_NSA","M1","M2")</f>
        <v/>
      </c>
      <c r="N130" s="16">
        <f>IF($D130="JEA_NSA",INDEX(Market_Weekly!$L$6:$L$48,MATCH($A130,Market_Weekly!$A$6:$A$48,0)),INDEX(Market_Weekly!$M$6:$M$48,MATCH($A130,Market_Weekly!$A$6:$A$48,0)))</f>
        <v/>
      </c>
      <c r="O130" s="15">
        <f>INDEX(Market_Weekly!$P$6:$P$48,MATCH($A130,Market_Weekly!$A$6:$A$48,0))</f>
        <v/>
      </c>
      <c r="P130" s="8">
        <f>INDEX(Market_Weekly!$R$6:$T$48,MATCH($A130,Market_Weekly!$A$6:$A$48,0),MATCH("grade_factor_"&amp;$C130,Market_Weekly!$R$5:$T$5,0))</f>
        <v/>
      </c>
      <c r="Q130" s="8">
        <f>INDEX(Market_Weekly!$U$6:$U$48,MATCH($A130,Market_Weekly!$A$6:$A$48,0))</f>
        <v/>
      </c>
      <c r="R130" s="8">
        <f>IF($D130="JEA_NSA","20ft","40ft")</f>
        <v/>
      </c>
      <c r="S130" s="8">
        <f>IF($D130="JEA_NSA","nsa","mun")</f>
        <v/>
      </c>
      <c r="T130" s="8">
        <f>IF($D130="JEA_NSA","jea_nsa","usec_mun")</f>
        <v/>
      </c>
      <c r="U130" s="16">
        <f>INDEX(param_values,MATCH("container_payload_mt_"&amp;$R130,param_keys,0))</f>
        <v/>
      </c>
      <c r="V130" s="16">
        <f>INDEX(param_values,MATCH("container_payload_mt_"&amp;$R130&amp;"_"&amp;$C130,param_keys,0))</f>
        <v/>
      </c>
      <c r="W130" s="16">
        <f>INDEX(param_values,MATCH("container_payload_mt_20ft_"&amp;$C130,param_keys,0))</f>
        <v/>
      </c>
      <c r="X130" s="18">
        <f>INDEX(param_values,MATCH("port_cf_charges_inr_t_"&amp;$S130,param_keys,0))</f>
        <v/>
      </c>
      <c r="Y130" s="8">
        <f>INDEX(param_values,MATCH(IF($D130="JEA_NSA","psic_required_uae_origin","psic_required_safe_origin_designated_port"),param_keys,0))</f>
        <v/>
      </c>
      <c r="Z130" s="19">
        <f>INDEX(param_values,MATCH("finance_days_"&amp;$T130,param_keys,0))</f>
        <v/>
      </c>
      <c r="AA130" s="15">
        <f>INDEX(param_values,MATCH("moisture_frac_"&amp;$C130,param_keys,0))</f>
        <v/>
      </c>
      <c r="AB130" s="15">
        <f>INDEX(param_values,MATCH("contamination_frac_"&amp;$C130,param_keys,0))</f>
        <v/>
      </c>
      <c r="AC130" s="15">
        <f>INDEX(param_values,MATCH("metal_yield_frac_"&amp;$C130,param_keys,0))</f>
        <v/>
      </c>
      <c r="AD130" s="15">
        <f>INDEX(param_values,MATCH("heavies_frac_"&amp;$C130,param_keys,0))</f>
        <v/>
      </c>
      <c r="AE130" s="8">
        <f>INDEX(param_values,MATCH("grade_factor_diff_"&amp;$C130,param_keys,0))</f>
        <v/>
      </c>
      <c r="AF130" s="16">
        <f>$F130*$P130</f>
        <v/>
      </c>
      <c r="AG130" s="8">
        <f>$U130/$V130</f>
        <v/>
      </c>
      <c r="AH130" s="16">
        <f>$L130*$AG130</f>
        <v/>
      </c>
      <c r="AI130" s="16">
        <f>$AF130-$AH130</f>
        <v/>
      </c>
      <c r="AJ130" s="16">
        <f>insurance_rate*insured_value_uplift*$AF130</f>
        <v/>
      </c>
      <c r="AK130" s="16">
        <f>$AF130+$AJ130</f>
        <v/>
      </c>
      <c r="AL130" s="18">
        <f>$AK130*$J130</f>
        <v/>
      </c>
      <c r="AM130" s="18">
        <f>$AK130*$I130</f>
        <v/>
      </c>
      <c r="AN130" s="18">
        <f>$AL130*bcd_scrap_hs7602</f>
        <v/>
      </c>
      <c r="AO130" s="18">
        <f>$AN130*sws_rate_on_bcd</f>
        <v/>
      </c>
      <c r="AP130" s="18">
        <f>($AL130+$AN130+$AO130)*igst_rate_hs7602</f>
        <v/>
      </c>
      <c r="AQ130" s="18">
        <f>$X130*$AG130+IF($Y130,psic_cost_usd_per_box*$H130/$W130,0)</f>
        <v/>
      </c>
      <c r="AR130" s="18">
        <f>($AM130+$AN130+$AO130)*$Z130/day_count_inr*$O130</f>
        <v/>
      </c>
      <c r="AS130" s="18">
        <f>$AP130*igst_credit_lag_days/day_count_inr*$O130</f>
        <v/>
      </c>
      <c r="AT130" s="18">
        <f>$AM130+$AN130+$AO130+$AQ130+$AR130+$AS130+IF(igst_itc_available,0,$AP130)</f>
        <v/>
      </c>
      <c r="AU130" s="15">
        <f>(1-$AA130)*(1-$AB130)*$AC130</f>
        <v/>
      </c>
      <c r="AV130" s="18">
        <f>$N130*kg_per_mt+domestic_anchor_premium_inr_t</f>
        <v/>
      </c>
      <c r="AW130" s="18">
        <f>(1-$AA130)*$AD130*heavies_net_value_frac_of_lme_al*$F130*$H130</f>
        <v/>
      </c>
      <c r="AX130" s="18">
        <f>conversion_cost_inr_t*$AU130</f>
        <v/>
      </c>
      <c r="AY130" s="18">
        <f>$AV130*$AU130+$AW130-$AT130-$AX130</f>
        <v/>
      </c>
      <c r="AZ130" s="16">
        <f>$AY130/$H130</f>
        <v/>
      </c>
      <c r="BA130" s="8">
        <f>$AY130&gt;margin_threshold_inr_t</f>
        <v/>
      </c>
      <c r="BB130" s="8">
        <f>$Q130+$AE130</f>
        <v/>
      </c>
      <c r="BC130" s="18">
        <f>$AT130-$AQ130</f>
        <v/>
      </c>
      <c r="BD130" s="18">
        <f>$AY130-$BC130*($BB130/$P130-1)</f>
        <v/>
      </c>
      <c r="BE130" s="18">
        <f>$AY130-(conv_step_5a-conversion_cost_inr_t)*$AU130</f>
        <v/>
      </c>
      <c r="BF130" s="8">
        <f>$BA130</f>
        <v/>
      </c>
      <c r="BG130" s="8">
        <f>$BD130&gt;margin_threshold_inr_t</f>
        <v/>
      </c>
      <c r="BH130" s="8">
        <f>$BE130&gt;margin_threshold_inr_t</f>
        <v/>
      </c>
      <c r="BI130" s="8">
        <f>AND($BF130,$BG130,$BH130)</f>
        <v/>
      </c>
      <c r="BJ130" s="8">
        <f>IF($BI130,1,0)</f>
        <v/>
      </c>
    </row>
    <row r="131">
      <c r="A131" s="11" t="n">
        <v>44708</v>
      </c>
      <c r="B131" s="11" t="n">
        <v>44708</v>
      </c>
      <c r="C131" s="7" t="inlineStr">
        <is>
          <t>tense</t>
        </is>
      </c>
      <c r="D131" s="7" t="inlineStr">
        <is>
          <t>USEC_MUN</t>
        </is>
      </c>
      <c r="E131" s="17" t="b">
        <v>1</v>
      </c>
      <c r="F131" s="16">
        <f>INDEX(Market_Weekly!$E$6:$E$48,MATCH($A131,Market_Weekly!$A$6:$A$48,0))</f>
        <v/>
      </c>
      <c r="G131" s="16">
        <f>INDEX(Market_Weekly!$D$6:$D$48,MATCH($A131,Market_Weekly!$A$6:$A$48,0))</f>
        <v/>
      </c>
      <c r="H131" s="16">
        <f>INDEX(Market_Weekly!$G$6:$G$48,MATCH($A131,Market_Weekly!$A$6:$A$48,0))</f>
        <v/>
      </c>
      <c r="I131" s="8">
        <f>INDEX(Market_Weekly!$H$6:$H$48,MATCH($A131,Market_Weekly!$A$6:$A$48,0))</f>
        <v/>
      </c>
      <c r="J131" s="8">
        <f>INDEX(Market_Weekly!$Q$6:$Q$48,MATCH($A131,Market_Weekly!$A$6:$A$48,0))</f>
        <v/>
      </c>
      <c r="K131" s="8">
        <f>INDEX(Market_Weekly!$V$6:$V$48,MATCH($A131,Market_Weekly!$A$6:$A$48,0))</f>
        <v/>
      </c>
      <c r="L131" s="16">
        <f>IF($D131="JEA_NSA",INDEX(Market_Weekly!$N$6:$N$48,MATCH($A131,Market_Weekly!$A$6:$A$48,0)),INDEX(Market_Weekly!$O$6:$O$48,MATCH($A131,Market_Weekly!$A$6:$A$48,0)))</f>
        <v/>
      </c>
      <c r="M131" s="8">
        <f>IF($D131="JEA_NSA","M1","M2")</f>
        <v/>
      </c>
      <c r="N131" s="16">
        <f>IF($D131="JEA_NSA",INDEX(Market_Weekly!$L$6:$L$48,MATCH($A131,Market_Weekly!$A$6:$A$48,0)),INDEX(Market_Weekly!$M$6:$M$48,MATCH($A131,Market_Weekly!$A$6:$A$48,0)))</f>
        <v/>
      </c>
      <c r="O131" s="15">
        <f>INDEX(Market_Weekly!$P$6:$P$48,MATCH($A131,Market_Weekly!$A$6:$A$48,0))</f>
        <v/>
      </c>
      <c r="P131" s="8">
        <f>INDEX(Market_Weekly!$R$6:$T$48,MATCH($A131,Market_Weekly!$A$6:$A$48,0),MATCH("grade_factor_"&amp;$C131,Market_Weekly!$R$5:$T$5,0))</f>
        <v/>
      </c>
      <c r="Q131" s="8">
        <f>INDEX(Market_Weekly!$U$6:$U$48,MATCH($A131,Market_Weekly!$A$6:$A$48,0))</f>
        <v/>
      </c>
      <c r="R131" s="8">
        <f>IF($D131="JEA_NSA","20ft","40ft")</f>
        <v/>
      </c>
      <c r="S131" s="8">
        <f>IF($D131="JEA_NSA","nsa","mun")</f>
        <v/>
      </c>
      <c r="T131" s="8">
        <f>IF($D131="JEA_NSA","jea_nsa","usec_mun")</f>
        <v/>
      </c>
      <c r="U131" s="16">
        <f>INDEX(param_values,MATCH("container_payload_mt_"&amp;$R131,param_keys,0))</f>
        <v/>
      </c>
      <c r="V131" s="16">
        <f>INDEX(param_values,MATCH("container_payload_mt_"&amp;$R131&amp;"_"&amp;$C131,param_keys,0))</f>
        <v/>
      </c>
      <c r="W131" s="16">
        <f>INDEX(param_values,MATCH("container_payload_mt_20ft_"&amp;$C131,param_keys,0))</f>
        <v/>
      </c>
      <c r="X131" s="18">
        <f>INDEX(param_values,MATCH("port_cf_charges_inr_t_"&amp;$S131,param_keys,0))</f>
        <v/>
      </c>
      <c r="Y131" s="8">
        <f>INDEX(param_values,MATCH(IF($D131="JEA_NSA","psic_required_uae_origin","psic_required_safe_origin_designated_port"),param_keys,0))</f>
        <v/>
      </c>
      <c r="Z131" s="19">
        <f>INDEX(param_values,MATCH("finance_days_"&amp;$T131,param_keys,0))</f>
        <v/>
      </c>
      <c r="AA131" s="15">
        <f>INDEX(param_values,MATCH("moisture_frac_"&amp;$C131,param_keys,0))</f>
        <v/>
      </c>
      <c r="AB131" s="15">
        <f>INDEX(param_values,MATCH("contamination_frac_"&amp;$C131,param_keys,0))</f>
        <v/>
      </c>
      <c r="AC131" s="15">
        <f>INDEX(param_values,MATCH("metal_yield_frac_"&amp;$C131,param_keys,0))</f>
        <v/>
      </c>
      <c r="AD131" s="15">
        <f>INDEX(param_values,MATCH("heavies_frac_"&amp;$C131,param_keys,0))</f>
        <v/>
      </c>
      <c r="AE131" s="8">
        <f>INDEX(param_values,MATCH("grade_factor_diff_"&amp;$C131,param_keys,0))</f>
        <v/>
      </c>
      <c r="AF131" s="16">
        <f>$F131*$P131</f>
        <v/>
      </c>
      <c r="AG131" s="8">
        <f>$U131/$V131</f>
        <v/>
      </c>
      <c r="AH131" s="16">
        <f>$L131*$AG131</f>
        <v/>
      </c>
      <c r="AI131" s="16">
        <f>$AF131-$AH131</f>
        <v/>
      </c>
      <c r="AJ131" s="16">
        <f>insurance_rate*insured_value_uplift*$AF131</f>
        <v/>
      </c>
      <c r="AK131" s="16">
        <f>$AF131+$AJ131</f>
        <v/>
      </c>
      <c r="AL131" s="18">
        <f>$AK131*$J131</f>
        <v/>
      </c>
      <c r="AM131" s="18">
        <f>$AK131*$I131</f>
        <v/>
      </c>
      <c r="AN131" s="18">
        <f>$AL131*bcd_scrap_hs7602</f>
        <v/>
      </c>
      <c r="AO131" s="18">
        <f>$AN131*sws_rate_on_bcd</f>
        <v/>
      </c>
      <c r="AP131" s="18">
        <f>($AL131+$AN131+$AO131)*igst_rate_hs7602</f>
        <v/>
      </c>
      <c r="AQ131" s="18">
        <f>$X131*$AG131+IF($Y131,psic_cost_usd_per_box*$H131/$W131,0)</f>
        <v/>
      </c>
      <c r="AR131" s="18">
        <f>($AM131+$AN131+$AO131)*$Z131/day_count_inr*$O131</f>
        <v/>
      </c>
      <c r="AS131" s="18">
        <f>$AP131*igst_credit_lag_days/day_count_inr*$O131</f>
        <v/>
      </c>
      <c r="AT131" s="18">
        <f>$AM131+$AN131+$AO131+$AQ131+$AR131+$AS131+IF(igst_itc_available,0,$AP131)</f>
        <v/>
      </c>
      <c r="AU131" s="15">
        <f>(1-$AA131)*(1-$AB131)*$AC131</f>
        <v/>
      </c>
      <c r="AV131" s="18">
        <f>$N131*kg_per_mt+domestic_anchor_premium_inr_t</f>
        <v/>
      </c>
      <c r="AW131" s="18">
        <f>(1-$AA131)*$AD131*heavies_net_value_frac_of_lme_al*$F131*$H131</f>
        <v/>
      </c>
      <c r="AX131" s="18">
        <f>conversion_cost_inr_t*$AU131</f>
        <v/>
      </c>
      <c r="AY131" s="18">
        <f>$AV131*$AU131+$AW131-$AT131-$AX131</f>
        <v/>
      </c>
      <c r="AZ131" s="16">
        <f>$AY131/$H131</f>
        <v/>
      </c>
      <c r="BA131" s="8">
        <f>$AY131&gt;margin_threshold_inr_t</f>
        <v/>
      </c>
      <c r="BB131" s="8">
        <f>$Q131+$AE131</f>
        <v/>
      </c>
      <c r="BC131" s="18">
        <f>$AT131-$AQ131</f>
        <v/>
      </c>
      <c r="BD131" s="18">
        <f>$AY131-$BC131*($BB131/$P131-1)</f>
        <v/>
      </c>
      <c r="BE131" s="18">
        <f>$AY131-(conv_step_5a-conversion_cost_inr_t)*$AU131</f>
        <v/>
      </c>
      <c r="BF131" s="8">
        <f>$BA131</f>
        <v/>
      </c>
      <c r="BG131" s="8">
        <f>$BD131&gt;margin_threshold_inr_t</f>
        <v/>
      </c>
      <c r="BH131" s="8">
        <f>$BE131&gt;margin_threshold_inr_t</f>
        <v/>
      </c>
      <c r="BI131" s="8">
        <f>AND($BF131,$BG131,$BH131)</f>
        <v/>
      </c>
      <c r="BJ131" s="8">
        <f>IF($BI131,1,0)</f>
        <v/>
      </c>
    </row>
    <row r="132">
      <c r="A132" s="11" t="n">
        <v>44715</v>
      </c>
      <c r="B132" s="11" t="n">
        <v>44713</v>
      </c>
      <c r="C132" s="7" t="inlineStr">
        <is>
          <t>zorba</t>
        </is>
      </c>
      <c r="D132" s="7" t="inlineStr">
        <is>
          <t>JEA_NSA</t>
        </is>
      </c>
      <c r="E132" s="17" t="b">
        <v>1</v>
      </c>
      <c r="F132" s="16">
        <f>INDEX(Market_Weekly!$E$6:$E$48,MATCH($A132,Market_Weekly!$A$6:$A$48,0))</f>
        <v/>
      </c>
      <c r="G132" s="16">
        <f>INDEX(Market_Weekly!$D$6:$D$48,MATCH($A132,Market_Weekly!$A$6:$A$48,0))</f>
        <v/>
      </c>
      <c r="H132" s="16">
        <f>INDEX(Market_Weekly!$G$6:$G$48,MATCH($A132,Market_Weekly!$A$6:$A$48,0))</f>
        <v/>
      </c>
      <c r="I132" s="8">
        <f>INDEX(Market_Weekly!$H$6:$H$48,MATCH($A132,Market_Weekly!$A$6:$A$48,0))</f>
        <v/>
      </c>
      <c r="J132" s="8">
        <f>INDEX(Market_Weekly!$Q$6:$Q$48,MATCH($A132,Market_Weekly!$A$6:$A$48,0))</f>
        <v/>
      </c>
      <c r="K132" s="8">
        <f>INDEX(Market_Weekly!$V$6:$V$48,MATCH($A132,Market_Weekly!$A$6:$A$48,0))</f>
        <v/>
      </c>
      <c r="L132" s="16">
        <f>IF($D132="JEA_NSA",INDEX(Market_Weekly!$N$6:$N$48,MATCH($A132,Market_Weekly!$A$6:$A$48,0)),INDEX(Market_Weekly!$O$6:$O$48,MATCH($A132,Market_Weekly!$A$6:$A$48,0)))</f>
        <v/>
      </c>
      <c r="M132" s="8">
        <f>IF($D132="JEA_NSA","M1","M2")</f>
        <v/>
      </c>
      <c r="N132" s="16">
        <f>IF($D132="JEA_NSA",INDEX(Market_Weekly!$L$6:$L$48,MATCH($A132,Market_Weekly!$A$6:$A$48,0)),INDEX(Market_Weekly!$M$6:$M$48,MATCH($A132,Market_Weekly!$A$6:$A$48,0)))</f>
        <v/>
      </c>
      <c r="O132" s="15">
        <f>INDEX(Market_Weekly!$P$6:$P$48,MATCH($A132,Market_Weekly!$A$6:$A$48,0))</f>
        <v/>
      </c>
      <c r="P132" s="8">
        <f>INDEX(Market_Weekly!$R$6:$T$48,MATCH($A132,Market_Weekly!$A$6:$A$48,0),MATCH("grade_factor_"&amp;$C132,Market_Weekly!$R$5:$T$5,0))</f>
        <v/>
      </c>
      <c r="Q132" s="8">
        <f>INDEX(Market_Weekly!$U$6:$U$48,MATCH($A132,Market_Weekly!$A$6:$A$48,0))</f>
        <v/>
      </c>
      <c r="R132" s="8">
        <f>IF($D132="JEA_NSA","20ft","40ft")</f>
        <v/>
      </c>
      <c r="S132" s="8">
        <f>IF($D132="JEA_NSA","nsa","mun")</f>
        <v/>
      </c>
      <c r="T132" s="8">
        <f>IF($D132="JEA_NSA","jea_nsa","usec_mun")</f>
        <v/>
      </c>
      <c r="U132" s="16">
        <f>INDEX(param_values,MATCH("container_payload_mt_"&amp;$R132,param_keys,0))</f>
        <v/>
      </c>
      <c r="V132" s="16">
        <f>INDEX(param_values,MATCH("container_payload_mt_"&amp;$R132&amp;"_"&amp;$C132,param_keys,0))</f>
        <v/>
      </c>
      <c r="W132" s="16">
        <f>INDEX(param_values,MATCH("container_payload_mt_20ft_"&amp;$C132,param_keys,0))</f>
        <v/>
      </c>
      <c r="X132" s="18">
        <f>INDEX(param_values,MATCH("port_cf_charges_inr_t_"&amp;$S132,param_keys,0))</f>
        <v/>
      </c>
      <c r="Y132" s="8">
        <f>INDEX(param_values,MATCH(IF($D132="JEA_NSA","psic_required_uae_origin","psic_required_safe_origin_designated_port"),param_keys,0))</f>
        <v/>
      </c>
      <c r="Z132" s="19">
        <f>INDEX(param_values,MATCH("finance_days_"&amp;$T132,param_keys,0))</f>
        <v/>
      </c>
      <c r="AA132" s="15">
        <f>INDEX(param_values,MATCH("moisture_frac_"&amp;$C132,param_keys,0))</f>
        <v/>
      </c>
      <c r="AB132" s="15">
        <f>INDEX(param_values,MATCH("contamination_frac_"&amp;$C132,param_keys,0))</f>
        <v/>
      </c>
      <c r="AC132" s="15">
        <f>INDEX(param_values,MATCH("metal_yield_frac_"&amp;$C132,param_keys,0))</f>
        <v/>
      </c>
      <c r="AD132" s="15">
        <f>INDEX(param_values,MATCH("heavies_frac_"&amp;$C132,param_keys,0))</f>
        <v/>
      </c>
      <c r="AE132" s="8">
        <f>INDEX(param_values,MATCH("grade_factor_diff_"&amp;$C132,param_keys,0))</f>
        <v/>
      </c>
      <c r="AF132" s="16">
        <f>$F132*$P132</f>
        <v/>
      </c>
      <c r="AG132" s="8">
        <f>$U132/$V132</f>
        <v/>
      </c>
      <c r="AH132" s="16">
        <f>$L132*$AG132</f>
        <v/>
      </c>
      <c r="AI132" s="16">
        <f>$AF132-$AH132</f>
        <v/>
      </c>
      <c r="AJ132" s="16">
        <f>insurance_rate*insured_value_uplift*$AF132</f>
        <v/>
      </c>
      <c r="AK132" s="16">
        <f>$AF132+$AJ132</f>
        <v/>
      </c>
      <c r="AL132" s="18">
        <f>$AK132*$J132</f>
        <v/>
      </c>
      <c r="AM132" s="18">
        <f>$AK132*$I132</f>
        <v/>
      </c>
      <c r="AN132" s="18">
        <f>$AL132*bcd_scrap_hs7602</f>
        <v/>
      </c>
      <c r="AO132" s="18">
        <f>$AN132*sws_rate_on_bcd</f>
        <v/>
      </c>
      <c r="AP132" s="18">
        <f>($AL132+$AN132+$AO132)*igst_rate_hs7602</f>
        <v/>
      </c>
      <c r="AQ132" s="18">
        <f>$X132*$AG132+IF($Y132,psic_cost_usd_per_box*$H132/$W132,0)</f>
        <v/>
      </c>
      <c r="AR132" s="18">
        <f>($AM132+$AN132+$AO132)*$Z132/day_count_inr*$O132</f>
        <v/>
      </c>
      <c r="AS132" s="18">
        <f>$AP132*igst_credit_lag_days/day_count_inr*$O132</f>
        <v/>
      </c>
      <c r="AT132" s="18">
        <f>$AM132+$AN132+$AO132+$AQ132+$AR132+$AS132+IF(igst_itc_available,0,$AP132)</f>
        <v/>
      </c>
      <c r="AU132" s="15">
        <f>(1-$AA132)*(1-$AB132)*$AC132</f>
        <v/>
      </c>
      <c r="AV132" s="18">
        <f>$N132*kg_per_mt+domestic_anchor_premium_inr_t</f>
        <v/>
      </c>
      <c r="AW132" s="18">
        <f>(1-$AA132)*$AD132*heavies_net_value_frac_of_lme_al*$F132*$H132</f>
        <v/>
      </c>
      <c r="AX132" s="18">
        <f>conversion_cost_inr_t*$AU132</f>
        <v/>
      </c>
      <c r="AY132" s="18">
        <f>$AV132*$AU132+$AW132-$AT132-$AX132</f>
        <v/>
      </c>
      <c r="AZ132" s="16">
        <f>$AY132/$H132</f>
        <v/>
      </c>
      <c r="BA132" s="8">
        <f>$AY132&gt;margin_threshold_inr_t</f>
        <v/>
      </c>
      <c r="BB132" s="8">
        <f>$Q132+$AE132</f>
        <v/>
      </c>
      <c r="BC132" s="18">
        <f>$AT132-$AQ132</f>
        <v/>
      </c>
      <c r="BD132" s="18">
        <f>$AY132-$BC132*($BB132/$P132-1)</f>
        <v/>
      </c>
      <c r="BE132" s="18">
        <f>$AY132-(conv_step_5a-conversion_cost_inr_t)*$AU132</f>
        <v/>
      </c>
      <c r="BF132" s="8">
        <f>$BA132</f>
        <v/>
      </c>
      <c r="BG132" s="8">
        <f>$BD132&gt;margin_threshold_inr_t</f>
        <v/>
      </c>
      <c r="BH132" s="8">
        <f>$BE132&gt;margin_threshold_inr_t</f>
        <v/>
      </c>
      <c r="BI132" s="8">
        <f>AND($BF132,$BG132,$BH132)</f>
        <v/>
      </c>
      <c r="BJ132" s="8">
        <f>IF($BI132,1,0)</f>
        <v/>
      </c>
    </row>
    <row r="133">
      <c r="A133" s="11" t="n">
        <v>44715</v>
      </c>
      <c r="B133" s="11" t="n">
        <v>44713</v>
      </c>
      <c r="C133" s="7" t="inlineStr">
        <is>
          <t>zorba</t>
        </is>
      </c>
      <c r="D133" s="7" t="inlineStr">
        <is>
          <t>USEC_MUN</t>
        </is>
      </c>
      <c r="E133" s="17" t="b">
        <v>1</v>
      </c>
      <c r="F133" s="16">
        <f>INDEX(Market_Weekly!$E$6:$E$48,MATCH($A133,Market_Weekly!$A$6:$A$48,0))</f>
        <v/>
      </c>
      <c r="G133" s="16">
        <f>INDEX(Market_Weekly!$D$6:$D$48,MATCH($A133,Market_Weekly!$A$6:$A$48,0))</f>
        <v/>
      </c>
      <c r="H133" s="16">
        <f>INDEX(Market_Weekly!$G$6:$G$48,MATCH($A133,Market_Weekly!$A$6:$A$48,0))</f>
        <v/>
      </c>
      <c r="I133" s="8">
        <f>INDEX(Market_Weekly!$H$6:$H$48,MATCH($A133,Market_Weekly!$A$6:$A$48,0))</f>
        <v/>
      </c>
      <c r="J133" s="8">
        <f>INDEX(Market_Weekly!$Q$6:$Q$48,MATCH($A133,Market_Weekly!$A$6:$A$48,0))</f>
        <v/>
      </c>
      <c r="K133" s="8">
        <f>INDEX(Market_Weekly!$V$6:$V$48,MATCH($A133,Market_Weekly!$A$6:$A$48,0))</f>
        <v/>
      </c>
      <c r="L133" s="16">
        <f>IF($D133="JEA_NSA",INDEX(Market_Weekly!$N$6:$N$48,MATCH($A133,Market_Weekly!$A$6:$A$48,0)),INDEX(Market_Weekly!$O$6:$O$48,MATCH($A133,Market_Weekly!$A$6:$A$48,0)))</f>
        <v/>
      </c>
      <c r="M133" s="8">
        <f>IF($D133="JEA_NSA","M1","M2")</f>
        <v/>
      </c>
      <c r="N133" s="16">
        <f>IF($D133="JEA_NSA",INDEX(Market_Weekly!$L$6:$L$48,MATCH($A133,Market_Weekly!$A$6:$A$48,0)),INDEX(Market_Weekly!$M$6:$M$48,MATCH($A133,Market_Weekly!$A$6:$A$48,0)))</f>
        <v/>
      </c>
      <c r="O133" s="15">
        <f>INDEX(Market_Weekly!$P$6:$P$48,MATCH($A133,Market_Weekly!$A$6:$A$48,0))</f>
        <v/>
      </c>
      <c r="P133" s="8">
        <f>INDEX(Market_Weekly!$R$6:$T$48,MATCH($A133,Market_Weekly!$A$6:$A$48,0),MATCH("grade_factor_"&amp;$C133,Market_Weekly!$R$5:$T$5,0))</f>
        <v/>
      </c>
      <c r="Q133" s="8">
        <f>INDEX(Market_Weekly!$U$6:$U$48,MATCH($A133,Market_Weekly!$A$6:$A$48,0))</f>
        <v/>
      </c>
      <c r="R133" s="8">
        <f>IF($D133="JEA_NSA","20ft","40ft")</f>
        <v/>
      </c>
      <c r="S133" s="8">
        <f>IF($D133="JEA_NSA","nsa","mun")</f>
        <v/>
      </c>
      <c r="T133" s="8">
        <f>IF($D133="JEA_NSA","jea_nsa","usec_mun")</f>
        <v/>
      </c>
      <c r="U133" s="16">
        <f>INDEX(param_values,MATCH("container_payload_mt_"&amp;$R133,param_keys,0))</f>
        <v/>
      </c>
      <c r="V133" s="16">
        <f>INDEX(param_values,MATCH("container_payload_mt_"&amp;$R133&amp;"_"&amp;$C133,param_keys,0))</f>
        <v/>
      </c>
      <c r="W133" s="16">
        <f>INDEX(param_values,MATCH("container_payload_mt_20ft_"&amp;$C133,param_keys,0))</f>
        <v/>
      </c>
      <c r="X133" s="18">
        <f>INDEX(param_values,MATCH("port_cf_charges_inr_t_"&amp;$S133,param_keys,0))</f>
        <v/>
      </c>
      <c r="Y133" s="8">
        <f>INDEX(param_values,MATCH(IF($D133="JEA_NSA","psic_required_uae_origin","psic_required_safe_origin_designated_port"),param_keys,0))</f>
        <v/>
      </c>
      <c r="Z133" s="19">
        <f>INDEX(param_values,MATCH("finance_days_"&amp;$T133,param_keys,0))</f>
        <v/>
      </c>
      <c r="AA133" s="15">
        <f>INDEX(param_values,MATCH("moisture_frac_"&amp;$C133,param_keys,0))</f>
        <v/>
      </c>
      <c r="AB133" s="15">
        <f>INDEX(param_values,MATCH("contamination_frac_"&amp;$C133,param_keys,0))</f>
        <v/>
      </c>
      <c r="AC133" s="15">
        <f>INDEX(param_values,MATCH("metal_yield_frac_"&amp;$C133,param_keys,0))</f>
        <v/>
      </c>
      <c r="AD133" s="15">
        <f>INDEX(param_values,MATCH("heavies_frac_"&amp;$C133,param_keys,0))</f>
        <v/>
      </c>
      <c r="AE133" s="8">
        <f>INDEX(param_values,MATCH("grade_factor_diff_"&amp;$C133,param_keys,0))</f>
        <v/>
      </c>
      <c r="AF133" s="16">
        <f>$F133*$P133</f>
        <v/>
      </c>
      <c r="AG133" s="8">
        <f>$U133/$V133</f>
        <v/>
      </c>
      <c r="AH133" s="16">
        <f>$L133*$AG133</f>
        <v/>
      </c>
      <c r="AI133" s="16">
        <f>$AF133-$AH133</f>
        <v/>
      </c>
      <c r="AJ133" s="16">
        <f>insurance_rate*insured_value_uplift*$AF133</f>
        <v/>
      </c>
      <c r="AK133" s="16">
        <f>$AF133+$AJ133</f>
        <v/>
      </c>
      <c r="AL133" s="18">
        <f>$AK133*$J133</f>
        <v/>
      </c>
      <c r="AM133" s="18">
        <f>$AK133*$I133</f>
        <v/>
      </c>
      <c r="AN133" s="18">
        <f>$AL133*bcd_scrap_hs7602</f>
        <v/>
      </c>
      <c r="AO133" s="18">
        <f>$AN133*sws_rate_on_bcd</f>
        <v/>
      </c>
      <c r="AP133" s="18">
        <f>($AL133+$AN133+$AO133)*igst_rate_hs7602</f>
        <v/>
      </c>
      <c r="AQ133" s="18">
        <f>$X133*$AG133+IF($Y133,psic_cost_usd_per_box*$H133/$W133,0)</f>
        <v/>
      </c>
      <c r="AR133" s="18">
        <f>($AM133+$AN133+$AO133)*$Z133/day_count_inr*$O133</f>
        <v/>
      </c>
      <c r="AS133" s="18">
        <f>$AP133*igst_credit_lag_days/day_count_inr*$O133</f>
        <v/>
      </c>
      <c r="AT133" s="18">
        <f>$AM133+$AN133+$AO133+$AQ133+$AR133+$AS133+IF(igst_itc_available,0,$AP133)</f>
        <v/>
      </c>
      <c r="AU133" s="15">
        <f>(1-$AA133)*(1-$AB133)*$AC133</f>
        <v/>
      </c>
      <c r="AV133" s="18">
        <f>$N133*kg_per_mt+domestic_anchor_premium_inr_t</f>
        <v/>
      </c>
      <c r="AW133" s="18">
        <f>(1-$AA133)*$AD133*heavies_net_value_frac_of_lme_al*$F133*$H133</f>
        <v/>
      </c>
      <c r="AX133" s="18">
        <f>conversion_cost_inr_t*$AU133</f>
        <v/>
      </c>
      <c r="AY133" s="18">
        <f>$AV133*$AU133+$AW133-$AT133-$AX133</f>
        <v/>
      </c>
      <c r="AZ133" s="16">
        <f>$AY133/$H133</f>
        <v/>
      </c>
      <c r="BA133" s="8">
        <f>$AY133&gt;margin_threshold_inr_t</f>
        <v/>
      </c>
      <c r="BB133" s="8">
        <f>$Q133+$AE133</f>
        <v/>
      </c>
      <c r="BC133" s="18">
        <f>$AT133-$AQ133</f>
        <v/>
      </c>
      <c r="BD133" s="18">
        <f>$AY133-$BC133*($BB133/$P133-1)</f>
        <v/>
      </c>
      <c r="BE133" s="18">
        <f>$AY133-(conv_step_5a-conversion_cost_inr_t)*$AU133</f>
        <v/>
      </c>
      <c r="BF133" s="8">
        <f>$BA133</f>
        <v/>
      </c>
      <c r="BG133" s="8">
        <f>$BD133&gt;margin_threshold_inr_t</f>
        <v/>
      </c>
      <c r="BH133" s="8">
        <f>$BE133&gt;margin_threshold_inr_t</f>
        <v/>
      </c>
      <c r="BI133" s="8">
        <f>AND($BF133,$BG133,$BH133)</f>
        <v/>
      </c>
      <c r="BJ133" s="8">
        <f>IF($BI133,1,0)</f>
        <v/>
      </c>
    </row>
    <row r="134">
      <c r="A134" s="11" t="n">
        <v>44715</v>
      </c>
      <c r="B134" s="11" t="n">
        <v>44713</v>
      </c>
      <c r="C134" s="7" t="inlineStr">
        <is>
          <t>taint_tabor</t>
        </is>
      </c>
      <c r="D134" s="7" t="inlineStr">
        <is>
          <t>JEA_NSA</t>
        </is>
      </c>
      <c r="E134" s="17" t="b">
        <v>1</v>
      </c>
      <c r="F134" s="16">
        <f>INDEX(Market_Weekly!$E$6:$E$48,MATCH($A134,Market_Weekly!$A$6:$A$48,0))</f>
        <v/>
      </c>
      <c r="G134" s="16">
        <f>INDEX(Market_Weekly!$D$6:$D$48,MATCH($A134,Market_Weekly!$A$6:$A$48,0))</f>
        <v/>
      </c>
      <c r="H134" s="16">
        <f>INDEX(Market_Weekly!$G$6:$G$48,MATCH($A134,Market_Weekly!$A$6:$A$48,0))</f>
        <v/>
      </c>
      <c r="I134" s="8">
        <f>INDEX(Market_Weekly!$H$6:$H$48,MATCH($A134,Market_Weekly!$A$6:$A$48,0))</f>
        <v/>
      </c>
      <c r="J134" s="8">
        <f>INDEX(Market_Weekly!$Q$6:$Q$48,MATCH($A134,Market_Weekly!$A$6:$A$48,0))</f>
        <v/>
      </c>
      <c r="K134" s="8">
        <f>INDEX(Market_Weekly!$V$6:$V$48,MATCH($A134,Market_Weekly!$A$6:$A$48,0))</f>
        <v/>
      </c>
      <c r="L134" s="16">
        <f>IF($D134="JEA_NSA",INDEX(Market_Weekly!$N$6:$N$48,MATCH($A134,Market_Weekly!$A$6:$A$48,0)),INDEX(Market_Weekly!$O$6:$O$48,MATCH($A134,Market_Weekly!$A$6:$A$48,0)))</f>
        <v/>
      </c>
      <c r="M134" s="8">
        <f>IF($D134="JEA_NSA","M1","M2")</f>
        <v/>
      </c>
      <c r="N134" s="16">
        <f>IF($D134="JEA_NSA",INDEX(Market_Weekly!$L$6:$L$48,MATCH($A134,Market_Weekly!$A$6:$A$48,0)),INDEX(Market_Weekly!$M$6:$M$48,MATCH($A134,Market_Weekly!$A$6:$A$48,0)))</f>
        <v/>
      </c>
      <c r="O134" s="15">
        <f>INDEX(Market_Weekly!$P$6:$P$48,MATCH($A134,Market_Weekly!$A$6:$A$48,0))</f>
        <v/>
      </c>
      <c r="P134" s="8">
        <f>INDEX(Market_Weekly!$R$6:$T$48,MATCH($A134,Market_Weekly!$A$6:$A$48,0),MATCH("grade_factor_"&amp;$C134,Market_Weekly!$R$5:$T$5,0))</f>
        <v/>
      </c>
      <c r="Q134" s="8">
        <f>INDEX(Market_Weekly!$U$6:$U$48,MATCH($A134,Market_Weekly!$A$6:$A$48,0))</f>
        <v/>
      </c>
      <c r="R134" s="8">
        <f>IF($D134="JEA_NSA","20ft","40ft")</f>
        <v/>
      </c>
      <c r="S134" s="8">
        <f>IF($D134="JEA_NSA","nsa","mun")</f>
        <v/>
      </c>
      <c r="T134" s="8">
        <f>IF($D134="JEA_NSA","jea_nsa","usec_mun")</f>
        <v/>
      </c>
      <c r="U134" s="16">
        <f>INDEX(param_values,MATCH("container_payload_mt_"&amp;$R134,param_keys,0))</f>
        <v/>
      </c>
      <c r="V134" s="16">
        <f>INDEX(param_values,MATCH("container_payload_mt_"&amp;$R134&amp;"_"&amp;$C134,param_keys,0))</f>
        <v/>
      </c>
      <c r="W134" s="16">
        <f>INDEX(param_values,MATCH("container_payload_mt_20ft_"&amp;$C134,param_keys,0))</f>
        <v/>
      </c>
      <c r="X134" s="18">
        <f>INDEX(param_values,MATCH("port_cf_charges_inr_t_"&amp;$S134,param_keys,0))</f>
        <v/>
      </c>
      <c r="Y134" s="8">
        <f>INDEX(param_values,MATCH(IF($D134="JEA_NSA","psic_required_uae_origin","psic_required_safe_origin_designated_port"),param_keys,0))</f>
        <v/>
      </c>
      <c r="Z134" s="19">
        <f>INDEX(param_values,MATCH("finance_days_"&amp;$T134,param_keys,0))</f>
        <v/>
      </c>
      <c r="AA134" s="15">
        <f>INDEX(param_values,MATCH("moisture_frac_"&amp;$C134,param_keys,0))</f>
        <v/>
      </c>
      <c r="AB134" s="15">
        <f>INDEX(param_values,MATCH("contamination_frac_"&amp;$C134,param_keys,0))</f>
        <v/>
      </c>
      <c r="AC134" s="15">
        <f>INDEX(param_values,MATCH("metal_yield_frac_"&amp;$C134,param_keys,0))</f>
        <v/>
      </c>
      <c r="AD134" s="15">
        <f>INDEX(param_values,MATCH("heavies_frac_"&amp;$C134,param_keys,0))</f>
        <v/>
      </c>
      <c r="AE134" s="8">
        <f>INDEX(param_values,MATCH("grade_factor_diff_"&amp;$C134,param_keys,0))</f>
        <v/>
      </c>
      <c r="AF134" s="16">
        <f>$F134*$P134</f>
        <v/>
      </c>
      <c r="AG134" s="8">
        <f>$U134/$V134</f>
        <v/>
      </c>
      <c r="AH134" s="16">
        <f>$L134*$AG134</f>
        <v/>
      </c>
      <c r="AI134" s="16">
        <f>$AF134-$AH134</f>
        <v/>
      </c>
      <c r="AJ134" s="16">
        <f>insurance_rate*insured_value_uplift*$AF134</f>
        <v/>
      </c>
      <c r="AK134" s="16">
        <f>$AF134+$AJ134</f>
        <v/>
      </c>
      <c r="AL134" s="18">
        <f>$AK134*$J134</f>
        <v/>
      </c>
      <c r="AM134" s="18">
        <f>$AK134*$I134</f>
        <v/>
      </c>
      <c r="AN134" s="18">
        <f>$AL134*bcd_scrap_hs7602</f>
        <v/>
      </c>
      <c r="AO134" s="18">
        <f>$AN134*sws_rate_on_bcd</f>
        <v/>
      </c>
      <c r="AP134" s="18">
        <f>($AL134+$AN134+$AO134)*igst_rate_hs7602</f>
        <v/>
      </c>
      <c r="AQ134" s="18">
        <f>$X134*$AG134+IF($Y134,psic_cost_usd_per_box*$H134/$W134,0)</f>
        <v/>
      </c>
      <c r="AR134" s="18">
        <f>($AM134+$AN134+$AO134)*$Z134/day_count_inr*$O134</f>
        <v/>
      </c>
      <c r="AS134" s="18">
        <f>$AP134*igst_credit_lag_days/day_count_inr*$O134</f>
        <v/>
      </c>
      <c r="AT134" s="18">
        <f>$AM134+$AN134+$AO134+$AQ134+$AR134+$AS134+IF(igst_itc_available,0,$AP134)</f>
        <v/>
      </c>
      <c r="AU134" s="15">
        <f>(1-$AA134)*(1-$AB134)*$AC134</f>
        <v/>
      </c>
      <c r="AV134" s="18">
        <f>$N134*kg_per_mt+domestic_anchor_premium_inr_t</f>
        <v/>
      </c>
      <c r="AW134" s="18">
        <f>(1-$AA134)*$AD134*heavies_net_value_frac_of_lme_al*$F134*$H134</f>
        <v/>
      </c>
      <c r="AX134" s="18">
        <f>conversion_cost_inr_t*$AU134</f>
        <v/>
      </c>
      <c r="AY134" s="18">
        <f>$AV134*$AU134+$AW134-$AT134-$AX134</f>
        <v/>
      </c>
      <c r="AZ134" s="16">
        <f>$AY134/$H134</f>
        <v/>
      </c>
      <c r="BA134" s="8">
        <f>$AY134&gt;margin_threshold_inr_t</f>
        <v/>
      </c>
      <c r="BB134" s="8">
        <f>$Q134+$AE134</f>
        <v/>
      </c>
      <c r="BC134" s="18">
        <f>$AT134-$AQ134</f>
        <v/>
      </c>
      <c r="BD134" s="18">
        <f>$AY134-$BC134*($BB134/$P134-1)</f>
        <v/>
      </c>
      <c r="BE134" s="18">
        <f>$AY134-(conv_step_5a-conversion_cost_inr_t)*$AU134</f>
        <v/>
      </c>
      <c r="BF134" s="8">
        <f>$BA134</f>
        <v/>
      </c>
      <c r="BG134" s="8">
        <f>$BD134&gt;margin_threshold_inr_t</f>
        <v/>
      </c>
      <c r="BH134" s="8">
        <f>$BE134&gt;margin_threshold_inr_t</f>
        <v/>
      </c>
      <c r="BI134" s="8">
        <f>AND($BF134,$BG134,$BH134)</f>
        <v/>
      </c>
      <c r="BJ134" s="8">
        <f>IF($BI134,1,0)</f>
        <v/>
      </c>
    </row>
    <row r="135">
      <c r="A135" s="11" t="n">
        <v>44715</v>
      </c>
      <c r="B135" s="11" t="n">
        <v>44713</v>
      </c>
      <c r="C135" s="7" t="inlineStr">
        <is>
          <t>taint_tabor</t>
        </is>
      </c>
      <c r="D135" s="7" t="inlineStr">
        <is>
          <t>USEC_MUN</t>
        </is>
      </c>
      <c r="E135" s="17" t="b">
        <v>1</v>
      </c>
      <c r="F135" s="16">
        <f>INDEX(Market_Weekly!$E$6:$E$48,MATCH($A135,Market_Weekly!$A$6:$A$48,0))</f>
        <v/>
      </c>
      <c r="G135" s="16">
        <f>INDEX(Market_Weekly!$D$6:$D$48,MATCH($A135,Market_Weekly!$A$6:$A$48,0))</f>
        <v/>
      </c>
      <c r="H135" s="16">
        <f>INDEX(Market_Weekly!$G$6:$G$48,MATCH($A135,Market_Weekly!$A$6:$A$48,0))</f>
        <v/>
      </c>
      <c r="I135" s="8">
        <f>INDEX(Market_Weekly!$H$6:$H$48,MATCH($A135,Market_Weekly!$A$6:$A$48,0))</f>
        <v/>
      </c>
      <c r="J135" s="8">
        <f>INDEX(Market_Weekly!$Q$6:$Q$48,MATCH($A135,Market_Weekly!$A$6:$A$48,0))</f>
        <v/>
      </c>
      <c r="K135" s="8">
        <f>INDEX(Market_Weekly!$V$6:$V$48,MATCH($A135,Market_Weekly!$A$6:$A$48,0))</f>
        <v/>
      </c>
      <c r="L135" s="16">
        <f>IF($D135="JEA_NSA",INDEX(Market_Weekly!$N$6:$N$48,MATCH($A135,Market_Weekly!$A$6:$A$48,0)),INDEX(Market_Weekly!$O$6:$O$48,MATCH($A135,Market_Weekly!$A$6:$A$48,0)))</f>
        <v/>
      </c>
      <c r="M135" s="8">
        <f>IF($D135="JEA_NSA","M1","M2")</f>
        <v/>
      </c>
      <c r="N135" s="16">
        <f>IF($D135="JEA_NSA",INDEX(Market_Weekly!$L$6:$L$48,MATCH($A135,Market_Weekly!$A$6:$A$48,0)),INDEX(Market_Weekly!$M$6:$M$48,MATCH($A135,Market_Weekly!$A$6:$A$48,0)))</f>
        <v/>
      </c>
      <c r="O135" s="15">
        <f>INDEX(Market_Weekly!$P$6:$P$48,MATCH($A135,Market_Weekly!$A$6:$A$48,0))</f>
        <v/>
      </c>
      <c r="P135" s="8">
        <f>INDEX(Market_Weekly!$R$6:$T$48,MATCH($A135,Market_Weekly!$A$6:$A$48,0),MATCH("grade_factor_"&amp;$C135,Market_Weekly!$R$5:$T$5,0))</f>
        <v/>
      </c>
      <c r="Q135" s="8">
        <f>INDEX(Market_Weekly!$U$6:$U$48,MATCH($A135,Market_Weekly!$A$6:$A$48,0))</f>
        <v/>
      </c>
      <c r="R135" s="8">
        <f>IF($D135="JEA_NSA","20ft","40ft")</f>
        <v/>
      </c>
      <c r="S135" s="8">
        <f>IF($D135="JEA_NSA","nsa","mun")</f>
        <v/>
      </c>
      <c r="T135" s="8">
        <f>IF($D135="JEA_NSA","jea_nsa","usec_mun")</f>
        <v/>
      </c>
      <c r="U135" s="16">
        <f>INDEX(param_values,MATCH("container_payload_mt_"&amp;$R135,param_keys,0))</f>
        <v/>
      </c>
      <c r="V135" s="16">
        <f>INDEX(param_values,MATCH("container_payload_mt_"&amp;$R135&amp;"_"&amp;$C135,param_keys,0))</f>
        <v/>
      </c>
      <c r="W135" s="16">
        <f>INDEX(param_values,MATCH("container_payload_mt_20ft_"&amp;$C135,param_keys,0))</f>
        <v/>
      </c>
      <c r="X135" s="18">
        <f>INDEX(param_values,MATCH("port_cf_charges_inr_t_"&amp;$S135,param_keys,0))</f>
        <v/>
      </c>
      <c r="Y135" s="8">
        <f>INDEX(param_values,MATCH(IF($D135="JEA_NSA","psic_required_uae_origin","psic_required_safe_origin_designated_port"),param_keys,0))</f>
        <v/>
      </c>
      <c r="Z135" s="19">
        <f>INDEX(param_values,MATCH("finance_days_"&amp;$T135,param_keys,0))</f>
        <v/>
      </c>
      <c r="AA135" s="15">
        <f>INDEX(param_values,MATCH("moisture_frac_"&amp;$C135,param_keys,0))</f>
        <v/>
      </c>
      <c r="AB135" s="15">
        <f>INDEX(param_values,MATCH("contamination_frac_"&amp;$C135,param_keys,0))</f>
        <v/>
      </c>
      <c r="AC135" s="15">
        <f>INDEX(param_values,MATCH("metal_yield_frac_"&amp;$C135,param_keys,0))</f>
        <v/>
      </c>
      <c r="AD135" s="15">
        <f>INDEX(param_values,MATCH("heavies_frac_"&amp;$C135,param_keys,0))</f>
        <v/>
      </c>
      <c r="AE135" s="8">
        <f>INDEX(param_values,MATCH("grade_factor_diff_"&amp;$C135,param_keys,0))</f>
        <v/>
      </c>
      <c r="AF135" s="16">
        <f>$F135*$P135</f>
        <v/>
      </c>
      <c r="AG135" s="8">
        <f>$U135/$V135</f>
        <v/>
      </c>
      <c r="AH135" s="16">
        <f>$L135*$AG135</f>
        <v/>
      </c>
      <c r="AI135" s="16">
        <f>$AF135-$AH135</f>
        <v/>
      </c>
      <c r="AJ135" s="16">
        <f>insurance_rate*insured_value_uplift*$AF135</f>
        <v/>
      </c>
      <c r="AK135" s="16">
        <f>$AF135+$AJ135</f>
        <v/>
      </c>
      <c r="AL135" s="18">
        <f>$AK135*$J135</f>
        <v/>
      </c>
      <c r="AM135" s="18">
        <f>$AK135*$I135</f>
        <v/>
      </c>
      <c r="AN135" s="18">
        <f>$AL135*bcd_scrap_hs7602</f>
        <v/>
      </c>
      <c r="AO135" s="18">
        <f>$AN135*sws_rate_on_bcd</f>
        <v/>
      </c>
      <c r="AP135" s="18">
        <f>($AL135+$AN135+$AO135)*igst_rate_hs7602</f>
        <v/>
      </c>
      <c r="AQ135" s="18">
        <f>$X135*$AG135+IF($Y135,psic_cost_usd_per_box*$H135/$W135,0)</f>
        <v/>
      </c>
      <c r="AR135" s="18">
        <f>($AM135+$AN135+$AO135)*$Z135/day_count_inr*$O135</f>
        <v/>
      </c>
      <c r="AS135" s="18">
        <f>$AP135*igst_credit_lag_days/day_count_inr*$O135</f>
        <v/>
      </c>
      <c r="AT135" s="18">
        <f>$AM135+$AN135+$AO135+$AQ135+$AR135+$AS135+IF(igst_itc_available,0,$AP135)</f>
        <v/>
      </c>
      <c r="AU135" s="15">
        <f>(1-$AA135)*(1-$AB135)*$AC135</f>
        <v/>
      </c>
      <c r="AV135" s="18">
        <f>$N135*kg_per_mt+domestic_anchor_premium_inr_t</f>
        <v/>
      </c>
      <c r="AW135" s="18">
        <f>(1-$AA135)*$AD135*heavies_net_value_frac_of_lme_al*$F135*$H135</f>
        <v/>
      </c>
      <c r="AX135" s="18">
        <f>conversion_cost_inr_t*$AU135</f>
        <v/>
      </c>
      <c r="AY135" s="18">
        <f>$AV135*$AU135+$AW135-$AT135-$AX135</f>
        <v/>
      </c>
      <c r="AZ135" s="16">
        <f>$AY135/$H135</f>
        <v/>
      </c>
      <c r="BA135" s="8">
        <f>$AY135&gt;margin_threshold_inr_t</f>
        <v/>
      </c>
      <c r="BB135" s="8">
        <f>$Q135+$AE135</f>
        <v/>
      </c>
      <c r="BC135" s="18">
        <f>$AT135-$AQ135</f>
        <v/>
      </c>
      <c r="BD135" s="18">
        <f>$AY135-$BC135*($BB135/$P135-1)</f>
        <v/>
      </c>
      <c r="BE135" s="18">
        <f>$AY135-(conv_step_5a-conversion_cost_inr_t)*$AU135</f>
        <v/>
      </c>
      <c r="BF135" s="8">
        <f>$BA135</f>
        <v/>
      </c>
      <c r="BG135" s="8">
        <f>$BD135&gt;margin_threshold_inr_t</f>
        <v/>
      </c>
      <c r="BH135" s="8">
        <f>$BE135&gt;margin_threshold_inr_t</f>
        <v/>
      </c>
      <c r="BI135" s="8">
        <f>AND($BF135,$BG135,$BH135)</f>
        <v/>
      </c>
      <c r="BJ135" s="8">
        <f>IF($BI135,1,0)</f>
        <v/>
      </c>
    </row>
    <row r="136">
      <c r="A136" s="11" t="n">
        <v>44715</v>
      </c>
      <c r="B136" s="11" t="n">
        <v>44713</v>
      </c>
      <c r="C136" s="7" t="inlineStr">
        <is>
          <t>tense</t>
        </is>
      </c>
      <c r="D136" s="7" t="inlineStr">
        <is>
          <t>JEA_NSA</t>
        </is>
      </c>
      <c r="E136" s="17" t="b">
        <v>1</v>
      </c>
      <c r="F136" s="16">
        <f>INDEX(Market_Weekly!$E$6:$E$48,MATCH($A136,Market_Weekly!$A$6:$A$48,0))</f>
        <v/>
      </c>
      <c r="G136" s="16">
        <f>INDEX(Market_Weekly!$D$6:$D$48,MATCH($A136,Market_Weekly!$A$6:$A$48,0))</f>
        <v/>
      </c>
      <c r="H136" s="16">
        <f>INDEX(Market_Weekly!$G$6:$G$48,MATCH($A136,Market_Weekly!$A$6:$A$48,0))</f>
        <v/>
      </c>
      <c r="I136" s="8">
        <f>INDEX(Market_Weekly!$H$6:$H$48,MATCH($A136,Market_Weekly!$A$6:$A$48,0))</f>
        <v/>
      </c>
      <c r="J136" s="8">
        <f>INDEX(Market_Weekly!$Q$6:$Q$48,MATCH($A136,Market_Weekly!$A$6:$A$48,0))</f>
        <v/>
      </c>
      <c r="K136" s="8">
        <f>INDEX(Market_Weekly!$V$6:$V$48,MATCH($A136,Market_Weekly!$A$6:$A$48,0))</f>
        <v/>
      </c>
      <c r="L136" s="16">
        <f>IF($D136="JEA_NSA",INDEX(Market_Weekly!$N$6:$N$48,MATCH($A136,Market_Weekly!$A$6:$A$48,0)),INDEX(Market_Weekly!$O$6:$O$48,MATCH($A136,Market_Weekly!$A$6:$A$48,0)))</f>
        <v/>
      </c>
      <c r="M136" s="8">
        <f>IF($D136="JEA_NSA","M1","M2")</f>
        <v/>
      </c>
      <c r="N136" s="16">
        <f>IF($D136="JEA_NSA",INDEX(Market_Weekly!$L$6:$L$48,MATCH($A136,Market_Weekly!$A$6:$A$48,0)),INDEX(Market_Weekly!$M$6:$M$48,MATCH($A136,Market_Weekly!$A$6:$A$48,0)))</f>
        <v/>
      </c>
      <c r="O136" s="15">
        <f>INDEX(Market_Weekly!$P$6:$P$48,MATCH($A136,Market_Weekly!$A$6:$A$48,0))</f>
        <v/>
      </c>
      <c r="P136" s="8">
        <f>INDEX(Market_Weekly!$R$6:$T$48,MATCH($A136,Market_Weekly!$A$6:$A$48,0),MATCH("grade_factor_"&amp;$C136,Market_Weekly!$R$5:$T$5,0))</f>
        <v/>
      </c>
      <c r="Q136" s="8">
        <f>INDEX(Market_Weekly!$U$6:$U$48,MATCH($A136,Market_Weekly!$A$6:$A$48,0))</f>
        <v/>
      </c>
      <c r="R136" s="8">
        <f>IF($D136="JEA_NSA","20ft","40ft")</f>
        <v/>
      </c>
      <c r="S136" s="8">
        <f>IF($D136="JEA_NSA","nsa","mun")</f>
        <v/>
      </c>
      <c r="T136" s="8">
        <f>IF($D136="JEA_NSA","jea_nsa","usec_mun")</f>
        <v/>
      </c>
      <c r="U136" s="16">
        <f>INDEX(param_values,MATCH("container_payload_mt_"&amp;$R136,param_keys,0))</f>
        <v/>
      </c>
      <c r="V136" s="16">
        <f>INDEX(param_values,MATCH("container_payload_mt_"&amp;$R136&amp;"_"&amp;$C136,param_keys,0))</f>
        <v/>
      </c>
      <c r="W136" s="16">
        <f>INDEX(param_values,MATCH("container_payload_mt_20ft_"&amp;$C136,param_keys,0))</f>
        <v/>
      </c>
      <c r="X136" s="18">
        <f>INDEX(param_values,MATCH("port_cf_charges_inr_t_"&amp;$S136,param_keys,0))</f>
        <v/>
      </c>
      <c r="Y136" s="8">
        <f>INDEX(param_values,MATCH(IF($D136="JEA_NSA","psic_required_uae_origin","psic_required_safe_origin_designated_port"),param_keys,0))</f>
        <v/>
      </c>
      <c r="Z136" s="19">
        <f>INDEX(param_values,MATCH("finance_days_"&amp;$T136,param_keys,0))</f>
        <v/>
      </c>
      <c r="AA136" s="15">
        <f>INDEX(param_values,MATCH("moisture_frac_"&amp;$C136,param_keys,0))</f>
        <v/>
      </c>
      <c r="AB136" s="15">
        <f>INDEX(param_values,MATCH("contamination_frac_"&amp;$C136,param_keys,0))</f>
        <v/>
      </c>
      <c r="AC136" s="15">
        <f>INDEX(param_values,MATCH("metal_yield_frac_"&amp;$C136,param_keys,0))</f>
        <v/>
      </c>
      <c r="AD136" s="15">
        <f>INDEX(param_values,MATCH("heavies_frac_"&amp;$C136,param_keys,0))</f>
        <v/>
      </c>
      <c r="AE136" s="8">
        <f>INDEX(param_values,MATCH("grade_factor_diff_"&amp;$C136,param_keys,0))</f>
        <v/>
      </c>
      <c r="AF136" s="16">
        <f>$F136*$P136</f>
        <v/>
      </c>
      <c r="AG136" s="8">
        <f>$U136/$V136</f>
        <v/>
      </c>
      <c r="AH136" s="16">
        <f>$L136*$AG136</f>
        <v/>
      </c>
      <c r="AI136" s="16">
        <f>$AF136-$AH136</f>
        <v/>
      </c>
      <c r="AJ136" s="16">
        <f>insurance_rate*insured_value_uplift*$AF136</f>
        <v/>
      </c>
      <c r="AK136" s="16">
        <f>$AF136+$AJ136</f>
        <v/>
      </c>
      <c r="AL136" s="18">
        <f>$AK136*$J136</f>
        <v/>
      </c>
      <c r="AM136" s="18">
        <f>$AK136*$I136</f>
        <v/>
      </c>
      <c r="AN136" s="18">
        <f>$AL136*bcd_scrap_hs7602</f>
        <v/>
      </c>
      <c r="AO136" s="18">
        <f>$AN136*sws_rate_on_bcd</f>
        <v/>
      </c>
      <c r="AP136" s="18">
        <f>($AL136+$AN136+$AO136)*igst_rate_hs7602</f>
        <v/>
      </c>
      <c r="AQ136" s="18">
        <f>$X136*$AG136+IF($Y136,psic_cost_usd_per_box*$H136/$W136,0)</f>
        <v/>
      </c>
      <c r="AR136" s="18">
        <f>($AM136+$AN136+$AO136)*$Z136/day_count_inr*$O136</f>
        <v/>
      </c>
      <c r="AS136" s="18">
        <f>$AP136*igst_credit_lag_days/day_count_inr*$O136</f>
        <v/>
      </c>
      <c r="AT136" s="18">
        <f>$AM136+$AN136+$AO136+$AQ136+$AR136+$AS136+IF(igst_itc_available,0,$AP136)</f>
        <v/>
      </c>
      <c r="AU136" s="15">
        <f>(1-$AA136)*(1-$AB136)*$AC136</f>
        <v/>
      </c>
      <c r="AV136" s="18">
        <f>$N136*kg_per_mt+domestic_anchor_premium_inr_t</f>
        <v/>
      </c>
      <c r="AW136" s="18">
        <f>(1-$AA136)*$AD136*heavies_net_value_frac_of_lme_al*$F136*$H136</f>
        <v/>
      </c>
      <c r="AX136" s="18">
        <f>conversion_cost_inr_t*$AU136</f>
        <v/>
      </c>
      <c r="AY136" s="18">
        <f>$AV136*$AU136+$AW136-$AT136-$AX136</f>
        <v/>
      </c>
      <c r="AZ136" s="16">
        <f>$AY136/$H136</f>
        <v/>
      </c>
      <c r="BA136" s="8">
        <f>$AY136&gt;margin_threshold_inr_t</f>
        <v/>
      </c>
      <c r="BB136" s="8">
        <f>$Q136+$AE136</f>
        <v/>
      </c>
      <c r="BC136" s="18">
        <f>$AT136-$AQ136</f>
        <v/>
      </c>
      <c r="BD136" s="18">
        <f>$AY136-$BC136*($BB136/$P136-1)</f>
        <v/>
      </c>
      <c r="BE136" s="18">
        <f>$AY136-(conv_step_5a-conversion_cost_inr_t)*$AU136</f>
        <v/>
      </c>
      <c r="BF136" s="8">
        <f>$BA136</f>
        <v/>
      </c>
      <c r="BG136" s="8">
        <f>$BD136&gt;margin_threshold_inr_t</f>
        <v/>
      </c>
      <c r="BH136" s="8">
        <f>$BE136&gt;margin_threshold_inr_t</f>
        <v/>
      </c>
      <c r="BI136" s="8">
        <f>AND($BF136,$BG136,$BH136)</f>
        <v/>
      </c>
      <c r="BJ136" s="8">
        <f>IF($BI136,1,0)</f>
        <v/>
      </c>
    </row>
    <row r="137">
      <c r="A137" s="11" t="n">
        <v>44715</v>
      </c>
      <c r="B137" s="11" t="n">
        <v>44713</v>
      </c>
      <c r="C137" s="7" t="inlineStr">
        <is>
          <t>tense</t>
        </is>
      </c>
      <c r="D137" s="7" t="inlineStr">
        <is>
          <t>USEC_MUN</t>
        </is>
      </c>
      <c r="E137" s="17" t="b">
        <v>1</v>
      </c>
      <c r="F137" s="16">
        <f>INDEX(Market_Weekly!$E$6:$E$48,MATCH($A137,Market_Weekly!$A$6:$A$48,0))</f>
        <v/>
      </c>
      <c r="G137" s="16">
        <f>INDEX(Market_Weekly!$D$6:$D$48,MATCH($A137,Market_Weekly!$A$6:$A$48,0))</f>
        <v/>
      </c>
      <c r="H137" s="16">
        <f>INDEX(Market_Weekly!$G$6:$G$48,MATCH($A137,Market_Weekly!$A$6:$A$48,0))</f>
        <v/>
      </c>
      <c r="I137" s="8">
        <f>INDEX(Market_Weekly!$H$6:$H$48,MATCH($A137,Market_Weekly!$A$6:$A$48,0))</f>
        <v/>
      </c>
      <c r="J137" s="8">
        <f>INDEX(Market_Weekly!$Q$6:$Q$48,MATCH($A137,Market_Weekly!$A$6:$A$48,0))</f>
        <v/>
      </c>
      <c r="K137" s="8">
        <f>INDEX(Market_Weekly!$V$6:$V$48,MATCH($A137,Market_Weekly!$A$6:$A$48,0))</f>
        <v/>
      </c>
      <c r="L137" s="16">
        <f>IF($D137="JEA_NSA",INDEX(Market_Weekly!$N$6:$N$48,MATCH($A137,Market_Weekly!$A$6:$A$48,0)),INDEX(Market_Weekly!$O$6:$O$48,MATCH($A137,Market_Weekly!$A$6:$A$48,0)))</f>
        <v/>
      </c>
      <c r="M137" s="8">
        <f>IF($D137="JEA_NSA","M1","M2")</f>
        <v/>
      </c>
      <c r="N137" s="16">
        <f>IF($D137="JEA_NSA",INDEX(Market_Weekly!$L$6:$L$48,MATCH($A137,Market_Weekly!$A$6:$A$48,0)),INDEX(Market_Weekly!$M$6:$M$48,MATCH($A137,Market_Weekly!$A$6:$A$48,0)))</f>
        <v/>
      </c>
      <c r="O137" s="15">
        <f>INDEX(Market_Weekly!$P$6:$P$48,MATCH($A137,Market_Weekly!$A$6:$A$48,0))</f>
        <v/>
      </c>
      <c r="P137" s="8">
        <f>INDEX(Market_Weekly!$R$6:$T$48,MATCH($A137,Market_Weekly!$A$6:$A$48,0),MATCH("grade_factor_"&amp;$C137,Market_Weekly!$R$5:$T$5,0))</f>
        <v/>
      </c>
      <c r="Q137" s="8">
        <f>INDEX(Market_Weekly!$U$6:$U$48,MATCH($A137,Market_Weekly!$A$6:$A$48,0))</f>
        <v/>
      </c>
      <c r="R137" s="8">
        <f>IF($D137="JEA_NSA","20ft","40ft")</f>
        <v/>
      </c>
      <c r="S137" s="8">
        <f>IF($D137="JEA_NSA","nsa","mun")</f>
        <v/>
      </c>
      <c r="T137" s="8">
        <f>IF($D137="JEA_NSA","jea_nsa","usec_mun")</f>
        <v/>
      </c>
      <c r="U137" s="16">
        <f>INDEX(param_values,MATCH("container_payload_mt_"&amp;$R137,param_keys,0))</f>
        <v/>
      </c>
      <c r="V137" s="16">
        <f>INDEX(param_values,MATCH("container_payload_mt_"&amp;$R137&amp;"_"&amp;$C137,param_keys,0))</f>
        <v/>
      </c>
      <c r="W137" s="16">
        <f>INDEX(param_values,MATCH("container_payload_mt_20ft_"&amp;$C137,param_keys,0))</f>
        <v/>
      </c>
      <c r="X137" s="18">
        <f>INDEX(param_values,MATCH("port_cf_charges_inr_t_"&amp;$S137,param_keys,0))</f>
        <v/>
      </c>
      <c r="Y137" s="8">
        <f>INDEX(param_values,MATCH(IF($D137="JEA_NSA","psic_required_uae_origin","psic_required_safe_origin_designated_port"),param_keys,0))</f>
        <v/>
      </c>
      <c r="Z137" s="19">
        <f>INDEX(param_values,MATCH("finance_days_"&amp;$T137,param_keys,0))</f>
        <v/>
      </c>
      <c r="AA137" s="15">
        <f>INDEX(param_values,MATCH("moisture_frac_"&amp;$C137,param_keys,0))</f>
        <v/>
      </c>
      <c r="AB137" s="15">
        <f>INDEX(param_values,MATCH("contamination_frac_"&amp;$C137,param_keys,0))</f>
        <v/>
      </c>
      <c r="AC137" s="15">
        <f>INDEX(param_values,MATCH("metal_yield_frac_"&amp;$C137,param_keys,0))</f>
        <v/>
      </c>
      <c r="AD137" s="15">
        <f>INDEX(param_values,MATCH("heavies_frac_"&amp;$C137,param_keys,0))</f>
        <v/>
      </c>
      <c r="AE137" s="8">
        <f>INDEX(param_values,MATCH("grade_factor_diff_"&amp;$C137,param_keys,0))</f>
        <v/>
      </c>
      <c r="AF137" s="16">
        <f>$F137*$P137</f>
        <v/>
      </c>
      <c r="AG137" s="8">
        <f>$U137/$V137</f>
        <v/>
      </c>
      <c r="AH137" s="16">
        <f>$L137*$AG137</f>
        <v/>
      </c>
      <c r="AI137" s="16">
        <f>$AF137-$AH137</f>
        <v/>
      </c>
      <c r="AJ137" s="16">
        <f>insurance_rate*insured_value_uplift*$AF137</f>
        <v/>
      </c>
      <c r="AK137" s="16">
        <f>$AF137+$AJ137</f>
        <v/>
      </c>
      <c r="AL137" s="18">
        <f>$AK137*$J137</f>
        <v/>
      </c>
      <c r="AM137" s="18">
        <f>$AK137*$I137</f>
        <v/>
      </c>
      <c r="AN137" s="18">
        <f>$AL137*bcd_scrap_hs7602</f>
        <v/>
      </c>
      <c r="AO137" s="18">
        <f>$AN137*sws_rate_on_bcd</f>
        <v/>
      </c>
      <c r="AP137" s="18">
        <f>($AL137+$AN137+$AO137)*igst_rate_hs7602</f>
        <v/>
      </c>
      <c r="AQ137" s="18">
        <f>$X137*$AG137+IF($Y137,psic_cost_usd_per_box*$H137/$W137,0)</f>
        <v/>
      </c>
      <c r="AR137" s="18">
        <f>($AM137+$AN137+$AO137)*$Z137/day_count_inr*$O137</f>
        <v/>
      </c>
      <c r="AS137" s="18">
        <f>$AP137*igst_credit_lag_days/day_count_inr*$O137</f>
        <v/>
      </c>
      <c r="AT137" s="18">
        <f>$AM137+$AN137+$AO137+$AQ137+$AR137+$AS137+IF(igst_itc_available,0,$AP137)</f>
        <v/>
      </c>
      <c r="AU137" s="15">
        <f>(1-$AA137)*(1-$AB137)*$AC137</f>
        <v/>
      </c>
      <c r="AV137" s="18">
        <f>$N137*kg_per_mt+domestic_anchor_premium_inr_t</f>
        <v/>
      </c>
      <c r="AW137" s="18">
        <f>(1-$AA137)*$AD137*heavies_net_value_frac_of_lme_al*$F137*$H137</f>
        <v/>
      </c>
      <c r="AX137" s="18">
        <f>conversion_cost_inr_t*$AU137</f>
        <v/>
      </c>
      <c r="AY137" s="18">
        <f>$AV137*$AU137+$AW137-$AT137-$AX137</f>
        <v/>
      </c>
      <c r="AZ137" s="16">
        <f>$AY137/$H137</f>
        <v/>
      </c>
      <c r="BA137" s="8">
        <f>$AY137&gt;margin_threshold_inr_t</f>
        <v/>
      </c>
      <c r="BB137" s="8">
        <f>$Q137+$AE137</f>
        <v/>
      </c>
      <c r="BC137" s="18">
        <f>$AT137-$AQ137</f>
        <v/>
      </c>
      <c r="BD137" s="18">
        <f>$AY137-$BC137*($BB137/$P137-1)</f>
        <v/>
      </c>
      <c r="BE137" s="18">
        <f>$AY137-(conv_step_5a-conversion_cost_inr_t)*$AU137</f>
        <v/>
      </c>
      <c r="BF137" s="8">
        <f>$BA137</f>
        <v/>
      </c>
      <c r="BG137" s="8">
        <f>$BD137&gt;margin_threshold_inr_t</f>
        <v/>
      </c>
      <c r="BH137" s="8">
        <f>$BE137&gt;margin_threshold_inr_t</f>
        <v/>
      </c>
      <c r="BI137" s="8">
        <f>AND($BF137,$BG137,$BH137)</f>
        <v/>
      </c>
      <c r="BJ137" s="8">
        <f>IF($BI137,1,0)</f>
        <v/>
      </c>
    </row>
    <row r="138">
      <c r="A138" s="11" t="n">
        <v>44722</v>
      </c>
      <c r="B138" s="11" t="n">
        <v>44722</v>
      </c>
      <c r="C138" s="7" t="inlineStr">
        <is>
          <t>zorba</t>
        </is>
      </c>
      <c r="D138" s="7" t="inlineStr">
        <is>
          <t>JEA_NSA</t>
        </is>
      </c>
      <c r="E138" s="17" t="b">
        <v>1</v>
      </c>
      <c r="F138" s="16">
        <f>INDEX(Market_Weekly!$E$6:$E$48,MATCH($A138,Market_Weekly!$A$6:$A$48,0))</f>
        <v/>
      </c>
      <c r="G138" s="16">
        <f>INDEX(Market_Weekly!$D$6:$D$48,MATCH($A138,Market_Weekly!$A$6:$A$48,0))</f>
        <v/>
      </c>
      <c r="H138" s="16">
        <f>INDEX(Market_Weekly!$G$6:$G$48,MATCH($A138,Market_Weekly!$A$6:$A$48,0))</f>
        <v/>
      </c>
      <c r="I138" s="8">
        <f>INDEX(Market_Weekly!$H$6:$H$48,MATCH($A138,Market_Weekly!$A$6:$A$48,0))</f>
        <v/>
      </c>
      <c r="J138" s="8">
        <f>INDEX(Market_Weekly!$Q$6:$Q$48,MATCH($A138,Market_Weekly!$A$6:$A$48,0))</f>
        <v/>
      </c>
      <c r="K138" s="8">
        <f>INDEX(Market_Weekly!$V$6:$V$48,MATCH($A138,Market_Weekly!$A$6:$A$48,0))</f>
        <v/>
      </c>
      <c r="L138" s="16">
        <f>IF($D138="JEA_NSA",INDEX(Market_Weekly!$N$6:$N$48,MATCH($A138,Market_Weekly!$A$6:$A$48,0)),INDEX(Market_Weekly!$O$6:$O$48,MATCH($A138,Market_Weekly!$A$6:$A$48,0)))</f>
        <v/>
      </c>
      <c r="M138" s="8">
        <f>IF($D138="JEA_NSA","M1","M2")</f>
        <v/>
      </c>
      <c r="N138" s="16">
        <f>IF($D138="JEA_NSA",INDEX(Market_Weekly!$L$6:$L$48,MATCH($A138,Market_Weekly!$A$6:$A$48,0)),INDEX(Market_Weekly!$M$6:$M$48,MATCH($A138,Market_Weekly!$A$6:$A$48,0)))</f>
        <v/>
      </c>
      <c r="O138" s="15">
        <f>INDEX(Market_Weekly!$P$6:$P$48,MATCH($A138,Market_Weekly!$A$6:$A$48,0))</f>
        <v/>
      </c>
      <c r="P138" s="8">
        <f>INDEX(Market_Weekly!$R$6:$T$48,MATCH($A138,Market_Weekly!$A$6:$A$48,0),MATCH("grade_factor_"&amp;$C138,Market_Weekly!$R$5:$T$5,0))</f>
        <v/>
      </c>
      <c r="Q138" s="8">
        <f>INDEX(Market_Weekly!$U$6:$U$48,MATCH($A138,Market_Weekly!$A$6:$A$48,0))</f>
        <v/>
      </c>
      <c r="R138" s="8">
        <f>IF($D138="JEA_NSA","20ft","40ft")</f>
        <v/>
      </c>
      <c r="S138" s="8">
        <f>IF($D138="JEA_NSA","nsa","mun")</f>
        <v/>
      </c>
      <c r="T138" s="8">
        <f>IF($D138="JEA_NSA","jea_nsa","usec_mun")</f>
        <v/>
      </c>
      <c r="U138" s="16">
        <f>INDEX(param_values,MATCH("container_payload_mt_"&amp;$R138,param_keys,0))</f>
        <v/>
      </c>
      <c r="V138" s="16">
        <f>INDEX(param_values,MATCH("container_payload_mt_"&amp;$R138&amp;"_"&amp;$C138,param_keys,0))</f>
        <v/>
      </c>
      <c r="W138" s="16">
        <f>INDEX(param_values,MATCH("container_payload_mt_20ft_"&amp;$C138,param_keys,0))</f>
        <v/>
      </c>
      <c r="X138" s="18">
        <f>INDEX(param_values,MATCH("port_cf_charges_inr_t_"&amp;$S138,param_keys,0))</f>
        <v/>
      </c>
      <c r="Y138" s="8">
        <f>INDEX(param_values,MATCH(IF($D138="JEA_NSA","psic_required_uae_origin","psic_required_safe_origin_designated_port"),param_keys,0))</f>
        <v/>
      </c>
      <c r="Z138" s="19">
        <f>INDEX(param_values,MATCH("finance_days_"&amp;$T138,param_keys,0))</f>
        <v/>
      </c>
      <c r="AA138" s="15">
        <f>INDEX(param_values,MATCH("moisture_frac_"&amp;$C138,param_keys,0))</f>
        <v/>
      </c>
      <c r="AB138" s="15">
        <f>INDEX(param_values,MATCH("contamination_frac_"&amp;$C138,param_keys,0))</f>
        <v/>
      </c>
      <c r="AC138" s="15">
        <f>INDEX(param_values,MATCH("metal_yield_frac_"&amp;$C138,param_keys,0))</f>
        <v/>
      </c>
      <c r="AD138" s="15">
        <f>INDEX(param_values,MATCH("heavies_frac_"&amp;$C138,param_keys,0))</f>
        <v/>
      </c>
      <c r="AE138" s="8">
        <f>INDEX(param_values,MATCH("grade_factor_diff_"&amp;$C138,param_keys,0))</f>
        <v/>
      </c>
      <c r="AF138" s="16">
        <f>$F138*$P138</f>
        <v/>
      </c>
      <c r="AG138" s="8">
        <f>$U138/$V138</f>
        <v/>
      </c>
      <c r="AH138" s="16">
        <f>$L138*$AG138</f>
        <v/>
      </c>
      <c r="AI138" s="16">
        <f>$AF138-$AH138</f>
        <v/>
      </c>
      <c r="AJ138" s="16">
        <f>insurance_rate*insured_value_uplift*$AF138</f>
        <v/>
      </c>
      <c r="AK138" s="16">
        <f>$AF138+$AJ138</f>
        <v/>
      </c>
      <c r="AL138" s="18">
        <f>$AK138*$J138</f>
        <v/>
      </c>
      <c r="AM138" s="18">
        <f>$AK138*$I138</f>
        <v/>
      </c>
      <c r="AN138" s="18">
        <f>$AL138*bcd_scrap_hs7602</f>
        <v/>
      </c>
      <c r="AO138" s="18">
        <f>$AN138*sws_rate_on_bcd</f>
        <v/>
      </c>
      <c r="AP138" s="18">
        <f>($AL138+$AN138+$AO138)*igst_rate_hs7602</f>
        <v/>
      </c>
      <c r="AQ138" s="18">
        <f>$X138*$AG138+IF($Y138,psic_cost_usd_per_box*$H138/$W138,0)</f>
        <v/>
      </c>
      <c r="AR138" s="18">
        <f>($AM138+$AN138+$AO138)*$Z138/day_count_inr*$O138</f>
        <v/>
      </c>
      <c r="AS138" s="18">
        <f>$AP138*igst_credit_lag_days/day_count_inr*$O138</f>
        <v/>
      </c>
      <c r="AT138" s="18">
        <f>$AM138+$AN138+$AO138+$AQ138+$AR138+$AS138+IF(igst_itc_available,0,$AP138)</f>
        <v/>
      </c>
      <c r="AU138" s="15">
        <f>(1-$AA138)*(1-$AB138)*$AC138</f>
        <v/>
      </c>
      <c r="AV138" s="18">
        <f>$N138*kg_per_mt+domestic_anchor_premium_inr_t</f>
        <v/>
      </c>
      <c r="AW138" s="18">
        <f>(1-$AA138)*$AD138*heavies_net_value_frac_of_lme_al*$F138*$H138</f>
        <v/>
      </c>
      <c r="AX138" s="18">
        <f>conversion_cost_inr_t*$AU138</f>
        <v/>
      </c>
      <c r="AY138" s="18">
        <f>$AV138*$AU138+$AW138-$AT138-$AX138</f>
        <v/>
      </c>
      <c r="AZ138" s="16">
        <f>$AY138/$H138</f>
        <v/>
      </c>
      <c r="BA138" s="8">
        <f>$AY138&gt;margin_threshold_inr_t</f>
        <v/>
      </c>
      <c r="BB138" s="8">
        <f>$Q138+$AE138</f>
        <v/>
      </c>
      <c r="BC138" s="18">
        <f>$AT138-$AQ138</f>
        <v/>
      </c>
      <c r="BD138" s="18">
        <f>$AY138-$BC138*($BB138/$P138-1)</f>
        <v/>
      </c>
      <c r="BE138" s="18">
        <f>$AY138-(conv_step_5a-conversion_cost_inr_t)*$AU138</f>
        <v/>
      </c>
      <c r="BF138" s="8">
        <f>$BA138</f>
        <v/>
      </c>
      <c r="BG138" s="8">
        <f>$BD138&gt;margin_threshold_inr_t</f>
        <v/>
      </c>
      <c r="BH138" s="8">
        <f>$BE138&gt;margin_threshold_inr_t</f>
        <v/>
      </c>
      <c r="BI138" s="8">
        <f>AND($BF138,$BG138,$BH138)</f>
        <v/>
      </c>
      <c r="BJ138" s="8">
        <f>IF($BI138,1,0)</f>
        <v/>
      </c>
    </row>
    <row r="139">
      <c r="A139" s="11" t="n">
        <v>44722</v>
      </c>
      <c r="B139" s="11" t="n">
        <v>44722</v>
      </c>
      <c r="C139" s="7" t="inlineStr">
        <is>
          <t>zorba</t>
        </is>
      </c>
      <c r="D139" s="7" t="inlineStr">
        <is>
          <t>USEC_MUN</t>
        </is>
      </c>
      <c r="E139" s="17" t="b">
        <v>1</v>
      </c>
      <c r="F139" s="16">
        <f>INDEX(Market_Weekly!$E$6:$E$48,MATCH($A139,Market_Weekly!$A$6:$A$48,0))</f>
        <v/>
      </c>
      <c r="G139" s="16">
        <f>INDEX(Market_Weekly!$D$6:$D$48,MATCH($A139,Market_Weekly!$A$6:$A$48,0))</f>
        <v/>
      </c>
      <c r="H139" s="16">
        <f>INDEX(Market_Weekly!$G$6:$G$48,MATCH($A139,Market_Weekly!$A$6:$A$48,0))</f>
        <v/>
      </c>
      <c r="I139" s="8">
        <f>INDEX(Market_Weekly!$H$6:$H$48,MATCH($A139,Market_Weekly!$A$6:$A$48,0))</f>
        <v/>
      </c>
      <c r="J139" s="8">
        <f>INDEX(Market_Weekly!$Q$6:$Q$48,MATCH($A139,Market_Weekly!$A$6:$A$48,0))</f>
        <v/>
      </c>
      <c r="K139" s="8">
        <f>INDEX(Market_Weekly!$V$6:$V$48,MATCH($A139,Market_Weekly!$A$6:$A$48,0))</f>
        <v/>
      </c>
      <c r="L139" s="16">
        <f>IF($D139="JEA_NSA",INDEX(Market_Weekly!$N$6:$N$48,MATCH($A139,Market_Weekly!$A$6:$A$48,0)),INDEX(Market_Weekly!$O$6:$O$48,MATCH($A139,Market_Weekly!$A$6:$A$48,0)))</f>
        <v/>
      </c>
      <c r="M139" s="8">
        <f>IF($D139="JEA_NSA","M1","M2")</f>
        <v/>
      </c>
      <c r="N139" s="16">
        <f>IF($D139="JEA_NSA",INDEX(Market_Weekly!$L$6:$L$48,MATCH($A139,Market_Weekly!$A$6:$A$48,0)),INDEX(Market_Weekly!$M$6:$M$48,MATCH($A139,Market_Weekly!$A$6:$A$48,0)))</f>
        <v/>
      </c>
      <c r="O139" s="15">
        <f>INDEX(Market_Weekly!$P$6:$P$48,MATCH($A139,Market_Weekly!$A$6:$A$48,0))</f>
        <v/>
      </c>
      <c r="P139" s="8">
        <f>INDEX(Market_Weekly!$R$6:$T$48,MATCH($A139,Market_Weekly!$A$6:$A$48,0),MATCH("grade_factor_"&amp;$C139,Market_Weekly!$R$5:$T$5,0))</f>
        <v/>
      </c>
      <c r="Q139" s="8">
        <f>INDEX(Market_Weekly!$U$6:$U$48,MATCH($A139,Market_Weekly!$A$6:$A$48,0))</f>
        <v/>
      </c>
      <c r="R139" s="8">
        <f>IF($D139="JEA_NSA","20ft","40ft")</f>
        <v/>
      </c>
      <c r="S139" s="8">
        <f>IF($D139="JEA_NSA","nsa","mun")</f>
        <v/>
      </c>
      <c r="T139" s="8">
        <f>IF($D139="JEA_NSA","jea_nsa","usec_mun")</f>
        <v/>
      </c>
      <c r="U139" s="16">
        <f>INDEX(param_values,MATCH("container_payload_mt_"&amp;$R139,param_keys,0))</f>
        <v/>
      </c>
      <c r="V139" s="16">
        <f>INDEX(param_values,MATCH("container_payload_mt_"&amp;$R139&amp;"_"&amp;$C139,param_keys,0))</f>
        <v/>
      </c>
      <c r="W139" s="16">
        <f>INDEX(param_values,MATCH("container_payload_mt_20ft_"&amp;$C139,param_keys,0))</f>
        <v/>
      </c>
      <c r="X139" s="18">
        <f>INDEX(param_values,MATCH("port_cf_charges_inr_t_"&amp;$S139,param_keys,0))</f>
        <v/>
      </c>
      <c r="Y139" s="8">
        <f>INDEX(param_values,MATCH(IF($D139="JEA_NSA","psic_required_uae_origin","psic_required_safe_origin_designated_port"),param_keys,0))</f>
        <v/>
      </c>
      <c r="Z139" s="19">
        <f>INDEX(param_values,MATCH("finance_days_"&amp;$T139,param_keys,0))</f>
        <v/>
      </c>
      <c r="AA139" s="15">
        <f>INDEX(param_values,MATCH("moisture_frac_"&amp;$C139,param_keys,0))</f>
        <v/>
      </c>
      <c r="AB139" s="15">
        <f>INDEX(param_values,MATCH("contamination_frac_"&amp;$C139,param_keys,0))</f>
        <v/>
      </c>
      <c r="AC139" s="15">
        <f>INDEX(param_values,MATCH("metal_yield_frac_"&amp;$C139,param_keys,0))</f>
        <v/>
      </c>
      <c r="AD139" s="15">
        <f>INDEX(param_values,MATCH("heavies_frac_"&amp;$C139,param_keys,0))</f>
        <v/>
      </c>
      <c r="AE139" s="8">
        <f>INDEX(param_values,MATCH("grade_factor_diff_"&amp;$C139,param_keys,0))</f>
        <v/>
      </c>
      <c r="AF139" s="16">
        <f>$F139*$P139</f>
        <v/>
      </c>
      <c r="AG139" s="8">
        <f>$U139/$V139</f>
        <v/>
      </c>
      <c r="AH139" s="16">
        <f>$L139*$AG139</f>
        <v/>
      </c>
      <c r="AI139" s="16">
        <f>$AF139-$AH139</f>
        <v/>
      </c>
      <c r="AJ139" s="16">
        <f>insurance_rate*insured_value_uplift*$AF139</f>
        <v/>
      </c>
      <c r="AK139" s="16">
        <f>$AF139+$AJ139</f>
        <v/>
      </c>
      <c r="AL139" s="18">
        <f>$AK139*$J139</f>
        <v/>
      </c>
      <c r="AM139" s="18">
        <f>$AK139*$I139</f>
        <v/>
      </c>
      <c r="AN139" s="18">
        <f>$AL139*bcd_scrap_hs7602</f>
        <v/>
      </c>
      <c r="AO139" s="18">
        <f>$AN139*sws_rate_on_bcd</f>
        <v/>
      </c>
      <c r="AP139" s="18">
        <f>($AL139+$AN139+$AO139)*igst_rate_hs7602</f>
        <v/>
      </c>
      <c r="AQ139" s="18">
        <f>$X139*$AG139+IF($Y139,psic_cost_usd_per_box*$H139/$W139,0)</f>
        <v/>
      </c>
      <c r="AR139" s="18">
        <f>($AM139+$AN139+$AO139)*$Z139/day_count_inr*$O139</f>
        <v/>
      </c>
      <c r="AS139" s="18">
        <f>$AP139*igst_credit_lag_days/day_count_inr*$O139</f>
        <v/>
      </c>
      <c r="AT139" s="18">
        <f>$AM139+$AN139+$AO139+$AQ139+$AR139+$AS139+IF(igst_itc_available,0,$AP139)</f>
        <v/>
      </c>
      <c r="AU139" s="15">
        <f>(1-$AA139)*(1-$AB139)*$AC139</f>
        <v/>
      </c>
      <c r="AV139" s="18">
        <f>$N139*kg_per_mt+domestic_anchor_premium_inr_t</f>
        <v/>
      </c>
      <c r="AW139" s="18">
        <f>(1-$AA139)*$AD139*heavies_net_value_frac_of_lme_al*$F139*$H139</f>
        <v/>
      </c>
      <c r="AX139" s="18">
        <f>conversion_cost_inr_t*$AU139</f>
        <v/>
      </c>
      <c r="AY139" s="18">
        <f>$AV139*$AU139+$AW139-$AT139-$AX139</f>
        <v/>
      </c>
      <c r="AZ139" s="16">
        <f>$AY139/$H139</f>
        <v/>
      </c>
      <c r="BA139" s="8">
        <f>$AY139&gt;margin_threshold_inr_t</f>
        <v/>
      </c>
      <c r="BB139" s="8">
        <f>$Q139+$AE139</f>
        <v/>
      </c>
      <c r="BC139" s="18">
        <f>$AT139-$AQ139</f>
        <v/>
      </c>
      <c r="BD139" s="18">
        <f>$AY139-$BC139*($BB139/$P139-1)</f>
        <v/>
      </c>
      <c r="BE139" s="18">
        <f>$AY139-(conv_step_5a-conversion_cost_inr_t)*$AU139</f>
        <v/>
      </c>
      <c r="BF139" s="8">
        <f>$BA139</f>
        <v/>
      </c>
      <c r="BG139" s="8">
        <f>$BD139&gt;margin_threshold_inr_t</f>
        <v/>
      </c>
      <c r="BH139" s="8">
        <f>$BE139&gt;margin_threshold_inr_t</f>
        <v/>
      </c>
      <c r="BI139" s="8">
        <f>AND($BF139,$BG139,$BH139)</f>
        <v/>
      </c>
      <c r="BJ139" s="8">
        <f>IF($BI139,1,0)</f>
        <v/>
      </c>
    </row>
    <row r="140">
      <c r="A140" s="11" t="n">
        <v>44722</v>
      </c>
      <c r="B140" s="11" t="n">
        <v>44722</v>
      </c>
      <c r="C140" s="7" t="inlineStr">
        <is>
          <t>taint_tabor</t>
        </is>
      </c>
      <c r="D140" s="7" t="inlineStr">
        <is>
          <t>JEA_NSA</t>
        </is>
      </c>
      <c r="E140" s="17" t="b">
        <v>1</v>
      </c>
      <c r="F140" s="16">
        <f>INDEX(Market_Weekly!$E$6:$E$48,MATCH($A140,Market_Weekly!$A$6:$A$48,0))</f>
        <v/>
      </c>
      <c r="G140" s="16">
        <f>INDEX(Market_Weekly!$D$6:$D$48,MATCH($A140,Market_Weekly!$A$6:$A$48,0))</f>
        <v/>
      </c>
      <c r="H140" s="16">
        <f>INDEX(Market_Weekly!$G$6:$G$48,MATCH($A140,Market_Weekly!$A$6:$A$48,0))</f>
        <v/>
      </c>
      <c r="I140" s="8">
        <f>INDEX(Market_Weekly!$H$6:$H$48,MATCH($A140,Market_Weekly!$A$6:$A$48,0))</f>
        <v/>
      </c>
      <c r="J140" s="8">
        <f>INDEX(Market_Weekly!$Q$6:$Q$48,MATCH($A140,Market_Weekly!$A$6:$A$48,0))</f>
        <v/>
      </c>
      <c r="K140" s="8">
        <f>INDEX(Market_Weekly!$V$6:$V$48,MATCH($A140,Market_Weekly!$A$6:$A$48,0))</f>
        <v/>
      </c>
      <c r="L140" s="16">
        <f>IF($D140="JEA_NSA",INDEX(Market_Weekly!$N$6:$N$48,MATCH($A140,Market_Weekly!$A$6:$A$48,0)),INDEX(Market_Weekly!$O$6:$O$48,MATCH($A140,Market_Weekly!$A$6:$A$48,0)))</f>
        <v/>
      </c>
      <c r="M140" s="8">
        <f>IF($D140="JEA_NSA","M1","M2")</f>
        <v/>
      </c>
      <c r="N140" s="16">
        <f>IF($D140="JEA_NSA",INDEX(Market_Weekly!$L$6:$L$48,MATCH($A140,Market_Weekly!$A$6:$A$48,0)),INDEX(Market_Weekly!$M$6:$M$48,MATCH($A140,Market_Weekly!$A$6:$A$48,0)))</f>
        <v/>
      </c>
      <c r="O140" s="15">
        <f>INDEX(Market_Weekly!$P$6:$P$48,MATCH($A140,Market_Weekly!$A$6:$A$48,0))</f>
        <v/>
      </c>
      <c r="P140" s="8">
        <f>INDEX(Market_Weekly!$R$6:$T$48,MATCH($A140,Market_Weekly!$A$6:$A$48,0),MATCH("grade_factor_"&amp;$C140,Market_Weekly!$R$5:$T$5,0))</f>
        <v/>
      </c>
      <c r="Q140" s="8">
        <f>INDEX(Market_Weekly!$U$6:$U$48,MATCH($A140,Market_Weekly!$A$6:$A$48,0))</f>
        <v/>
      </c>
      <c r="R140" s="8">
        <f>IF($D140="JEA_NSA","20ft","40ft")</f>
        <v/>
      </c>
      <c r="S140" s="8">
        <f>IF($D140="JEA_NSA","nsa","mun")</f>
        <v/>
      </c>
      <c r="T140" s="8">
        <f>IF($D140="JEA_NSA","jea_nsa","usec_mun")</f>
        <v/>
      </c>
      <c r="U140" s="16">
        <f>INDEX(param_values,MATCH("container_payload_mt_"&amp;$R140,param_keys,0))</f>
        <v/>
      </c>
      <c r="V140" s="16">
        <f>INDEX(param_values,MATCH("container_payload_mt_"&amp;$R140&amp;"_"&amp;$C140,param_keys,0))</f>
        <v/>
      </c>
      <c r="W140" s="16">
        <f>INDEX(param_values,MATCH("container_payload_mt_20ft_"&amp;$C140,param_keys,0))</f>
        <v/>
      </c>
      <c r="X140" s="18">
        <f>INDEX(param_values,MATCH("port_cf_charges_inr_t_"&amp;$S140,param_keys,0))</f>
        <v/>
      </c>
      <c r="Y140" s="8">
        <f>INDEX(param_values,MATCH(IF($D140="JEA_NSA","psic_required_uae_origin","psic_required_safe_origin_designated_port"),param_keys,0))</f>
        <v/>
      </c>
      <c r="Z140" s="19">
        <f>INDEX(param_values,MATCH("finance_days_"&amp;$T140,param_keys,0))</f>
        <v/>
      </c>
      <c r="AA140" s="15">
        <f>INDEX(param_values,MATCH("moisture_frac_"&amp;$C140,param_keys,0))</f>
        <v/>
      </c>
      <c r="AB140" s="15">
        <f>INDEX(param_values,MATCH("contamination_frac_"&amp;$C140,param_keys,0))</f>
        <v/>
      </c>
      <c r="AC140" s="15">
        <f>INDEX(param_values,MATCH("metal_yield_frac_"&amp;$C140,param_keys,0))</f>
        <v/>
      </c>
      <c r="AD140" s="15">
        <f>INDEX(param_values,MATCH("heavies_frac_"&amp;$C140,param_keys,0))</f>
        <v/>
      </c>
      <c r="AE140" s="8">
        <f>INDEX(param_values,MATCH("grade_factor_diff_"&amp;$C140,param_keys,0))</f>
        <v/>
      </c>
      <c r="AF140" s="16">
        <f>$F140*$P140</f>
        <v/>
      </c>
      <c r="AG140" s="8">
        <f>$U140/$V140</f>
        <v/>
      </c>
      <c r="AH140" s="16">
        <f>$L140*$AG140</f>
        <v/>
      </c>
      <c r="AI140" s="16">
        <f>$AF140-$AH140</f>
        <v/>
      </c>
      <c r="AJ140" s="16">
        <f>insurance_rate*insured_value_uplift*$AF140</f>
        <v/>
      </c>
      <c r="AK140" s="16">
        <f>$AF140+$AJ140</f>
        <v/>
      </c>
      <c r="AL140" s="18">
        <f>$AK140*$J140</f>
        <v/>
      </c>
      <c r="AM140" s="18">
        <f>$AK140*$I140</f>
        <v/>
      </c>
      <c r="AN140" s="18">
        <f>$AL140*bcd_scrap_hs7602</f>
        <v/>
      </c>
      <c r="AO140" s="18">
        <f>$AN140*sws_rate_on_bcd</f>
        <v/>
      </c>
      <c r="AP140" s="18">
        <f>($AL140+$AN140+$AO140)*igst_rate_hs7602</f>
        <v/>
      </c>
      <c r="AQ140" s="18">
        <f>$X140*$AG140+IF($Y140,psic_cost_usd_per_box*$H140/$W140,0)</f>
        <v/>
      </c>
      <c r="AR140" s="18">
        <f>($AM140+$AN140+$AO140)*$Z140/day_count_inr*$O140</f>
        <v/>
      </c>
      <c r="AS140" s="18">
        <f>$AP140*igst_credit_lag_days/day_count_inr*$O140</f>
        <v/>
      </c>
      <c r="AT140" s="18">
        <f>$AM140+$AN140+$AO140+$AQ140+$AR140+$AS140+IF(igst_itc_available,0,$AP140)</f>
        <v/>
      </c>
      <c r="AU140" s="15">
        <f>(1-$AA140)*(1-$AB140)*$AC140</f>
        <v/>
      </c>
      <c r="AV140" s="18">
        <f>$N140*kg_per_mt+domestic_anchor_premium_inr_t</f>
        <v/>
      </c>
      <c r="AW140" s="18">
        <f>(1-$AA140)*$AD140*heavies_net_value_frac_of_lme_al*$F140*$H140</f>
        <v/>
      </c>
      <c r="AX140" s="18">
        <f>conversion_cost_inr_t*$AU140</f>
        <v/>
      </c>
      <c r="AY140" s="18">
        <f>$AV140*$AU140+$AW140-$AT140-$AX140</f>
        <v/>
      </c>
      <c r="AZ140" s="16">
        <f>$AY140/$H140</f>
        <v/>
      </c>
      <c r="BA140" s="8">
        <f>$AY140&gt;margin_threshold_inr_t</f>
        <v/>
      </c>
      <c r="BB140" s="8">
        <f>$Q140+$AE140</f>
        <v/>
      </c>
      <c r="BC140" s="18">
        <f>$AT140-$AQ140</f>
        <v/>
      </c>
      <c r="BD140" s="18">
        <f>$AY140-$BC140*($BB140/$P140-1)</f>
        <v/>
      </c>
      <c r="BE140" s="18">
        <f>$AY140-(conv_step_5a-conversion_cost_inr_t)*$AU140</f>
        <v/>
      </c>
      <c r="BF140" s="8">
        <f>$BA140</f>
        <v/>
      </c>
      <c r="BG140" s="8">
        <f>$BD140&gt;margin_threshold_inr_t</f>
        <v/>
      </c>
      <c r="BH140" s="8">
        <f>$BE140&gt;margin_threshold_inr_t</f>
        <v/>
      </c>
      <c r="BI140" s="8">
        <f>AND($BF140,$BG140,$BH140)</f>
        <v/>
      </c>
      <c r="BJ140" s="8">
        <f>IF($BI140,1,0)</f>
        <v/>
      </c>
    </row>
    <row r="141">
      <c r="A141" s="11" t="n">
        <v>44722</v>
      </c>
      <c r="B141" s="11" t="n">
        <v>44722</v>
      </c>
      <c r="C141" s="7" t="inlineStr">
        <is>
          <t>taint_tabor</t>
        </is>
      </c>
      <c r="D141" s="7" t="inlineStr">
        <is>
          <t>USEC_MUN</t>
        </is>
      </c>
      <c r="E141" s="17" t="b">
        <v>1</v>
      </c>
      <c r="F141" s="16">
        <f>INDEX(Market_Weekly!$E$6:$E$48,MATCH($A141,Market_Weekly!$A$6:$A$48,0))</f>
        <v/>
      </c>
      <c r="G141" s="16">
        <f>INDEX(Market_Weekly!$D$6:$D$48,MATCH($A141,Market_Weekly!$A$6:$A$48,0))</f>
        <v/>
      </c>
      <c r="H141" s="16">
        <f>INDEX(Market_Weekly!$G$6:$G$48,MATCH($A141,Market_Weekly!$A$6:$A$48,0))</f>
        <v/>
      </c>
      <c r="I141" s="8">
        <f>INDEX(Market_Weekly!$H$6:$H$48,MATCH($A141,Market_Weekly!$A$6:$A$48,0))</f>
        <v/>
      </c>
      <c r="J141" s="8">
        <f>INDEX(Market_Weekly!$Q$6:$Q$48,MATCH($A141,Market_Weekly!$A$6:$A$48,0))</f>
        <v/>
      </c>
      <c r="K141" s="8">
        <f>INDEX(Market_Weekly!$V$6:$V$48,MATCH($A141,Market_Weekly!$A$6:$A$48,0))</f>
        <v/>
      </c>
      <c r="L141" s="16">
        <f>IF($D141="JEA_NSA",INDEX(Market_Weekly!$N$6:$N$48,MATCH($A141,Market_Weekly!$A$6:$A$48,0)),INDEX(Market_Weekly!$O$6:$O$48,MATCH($A141,Market_Weekly!$A$6:$A$48,0)))</f>
        <v/>
      </c>
      <c r="M141" s="8">
        <f>IF($D141="JEA_NSA","M1","M2")</f>
        <v/>
      </c>
      <c r="N141" s="16">
        <f>IF($D141="JEA_NSA",INDEX(Market_Weekly!$L$6:$L$48,MATCH($A141,Market_Weekly!$A$6:$A$48,0)),INDEX(Market_Weekly!$M$6:$M$48,MATCH($A141,Market_Weekly!$A$6:$A$48,0)))</f>
        <v/>
      </c>
      <c r="O141" s="15">
        <f>INDEX(Market_Weekly!$P$6:$P$48,MATCH($A141,Market_Weekly!$A$6:$A$48,0))</f>
        <v/>
      </c>
      <c r="P141" s="8">
        <f>INDEX(Market_Weekly!$R$6:$T$48,MATCH($A141,Market_Weekly!$A$6:$A$48,0),MATCH("grade_factor_"&amp;$C141,Market_Weekly!$R$5:$T$5,0))</f>
        <v/>
      </c>
      <c r="Q141" s="8">
        <f>INDEX(Market_Weekly!$U$6:$U$48,MATCH($A141,Market_Weekly!$A$6:$A$48,0))</f>
        <v/>
      </c>
      <c r="R141" s="8">
        <f>IF($D141="JEA_NSA","20ft","40ft")</f>
        <v/>
      </c>
      <c r="S141" s="8">
        <f>IF($D141="JEA_NSA","nsa","mun")</f>
        <v/>
      </c>
      <c r="T141" s="8">
        <f>IF($D141="JEA_NSA","jea_nsa","usec_mun")</f>
        <v/>
      </c>
      <c r="U141" s="16">
        <f>INDEX(param_values,MATCH("container_payload_mt_"&amp;$R141,param_keys,0))</f>
        <v/>
      </c>
      <c r="V141" s="16">
        <f>INDEX(param_values,MATCH("container_payload_mt_"&amp;$R141&amp;"_"&amp;$C141,param_keys,0))</f>
        <v/>
      </c>
      <c r="W141" s="16">
        <f>INDEX(param_values,MATCH("container_payload_mt_20ft_"&amp;$C141,param_keys,0))</f>
        <v/>
      </c>
      <c r="X141" s="18">
        <f>INDEX(param_values,MATCH("port_cf_charges_inr_t_"&amp;$S141,param_keys,0))</f>
        <v/>
      </c>
      <c r="Y141" s="8">
        <f>INDEX(param_values,MATCH(IF($D141="JEA_NSA","psic_required_uae_origin","psic_required_safe_origin_designated_port"),param_keys,0))</f>
        <v/>
      </c>
      <c r="Z141" s="19">
        <f>INDEX(param_values,MATCH("finance_days_"&amp;$T141,param_keys,0))</f>
        <v/>
      </c>
      <c r="AA141" s="15">
        <f>INDEX(param_values,MATCH("moisture_frac_"&amp;$C141,param_keys,0))</f>
        <v/>
      </c>
      <c r="AB141" s="15">
        <f>INDEX(param_values,MATCH("contamination_frac_"&amp;$C141,param_keys,0))</f>
        <v/>
      </c>
      <c r="AC141" s="15">
        <f>INDEX(param_values,MATCH("metal_yield_frac_"&amp;$C141,param_keys,0))</f>
        <v/>
      </c>
      <c r="AD141" s="15">
        <f>INDEX(param_values,MATCH("heavies_frac_"&amp;$C141,param_keys,0))</f>
        <v/>
      </c>
      <c r="AE141" s="8">
        <f>INDEX(param_values,MATCH("grade_factor_diff_"&amp;$C141,param_keys,0))</f>
        <v/>
      </c>
      <c r="AF141" s="16">
        <f>$F141*$P141</f>
        <v/>
      </c>
      <c r="AG141" s="8">
        <f>$U141/$V141</f>
        <v/>
      </c>
      <c r="AH141" s="16">
        <f>$L141*$AG141</f>
        <v/>
      </c>
      <c r="AI141" s="16">
        <f>$AF141-$AH141</f>
        <v/>
      </c>
      <c r="AJ141" s="16">
        <f>insurance_rate*insured_value_uplift*$AF141</f>
        <v/>
      </c>
      <c r="AK141" s="16">
        <f>$AF141+$AJ141</f>
        <v/>
      </c>
      <c r="AL141" s="18">
        <f>$AK141*$J141</f>
        <v/>
      </c>
      <c r="AM141" s="18">
        <f>$AK141*$I141</f>
        <v/>
      </c>
      <c r="AN141" s="18">
        <f>$AL141*bcd_scrap_hs7602</f>
        <v/>
      </c>
      <c r="AO141" s="18">
        <f>$AN141*sws_rate_on_bcd</f>
        <v/>
      </c>
      <c r="AP141" s="18">
        <f>($AL141+$AN141+$AO141)*igst_rate_hs7602</f>
        <v/>
      </c>
      <c r="AQ141" s="18">
        <f>$X141*$AG141+IF($Y141,psic_cost_usd_per_box*$H141/$W141,0)</f>
        <v/>
      </c>
      <c r="AR141" s="18">
        <f>($AM141+$AN141+$AO141)*$Z141/day_count_inr*$O141</f>
        <v/>
      </c>
      <c r="AS141" s="18">
        <f>$AP141*igst_credit_lag_days/day_count_inr*$O141</f>
        <v/>
      </c>
      <c r="AT141" s="18">
        <f>$AM141+$AN141+$AO141+$AQ141+$AR141+$AS141+IF(igst_itc_available,0,$AP141)</f>
        <v/>
      </c>
      <c r="AU141" s="15">
        <f>(1-$AA141)*(1-$AB141)*$AC141</f>
        <v/>
      </c>
      <c r="AV141" s="18">
        <f>$N141*kg_per_mt+domestic_anchor_premium_inr_t</f>
        <v/>
      </c>
      <c r="AW141" s="18">
        <f>(1-$AA141)*$AD141*heavies_net_value_frac_of_lme_al*$F141*$H141</f>
        <v/>
      </c>
      <c r="AX141" s="18">
        <f>conversion_cost_inr_t*$AU141</f>
        <v/>
      </c>
      <c r="AY141" s="18">
        <f>$AV141*$AU141+$AW141-$AT141-$AX141</f>
        <v/>
      </c>
      <c r="AZ141" s="16">
        <f>$AY141/$H141</f>
        <v/>
      </c>
      <c r="BA141" s="8">
        <f>$AY141&gt;margin_threshold_inr_t</f>
        <v/>
      </c>
      <c r="BB141" s="8">
        <f>$Q141+$AE141</f>
        <v/>
      </c>
      <c r="BC141" s="18">
        <f>$AT141-$AQ141</f>
        <v/>
      </c>
      <c r="BD141" s="18">
        <f>$AY141-$BC141*($BB141/$P141-1)</f>
        <v/>
      </c>
      <c r="BE141" s="18">
        <f>$AY141-(conv_step_5a-conversion_cost_inr_t)*$AU141</f>
        <v/>
      </c>
      <c r="BF141" s="8">
        <f>$BA141</f>
        <v/>
      </c>
      <c r="BG141" s="8">
        <f>$BD141&gt;margin_threshold_inr_t</f>
        <v/>
      </c>
      <c r="BH141" s="8">
        <f>$BE141&gt;margin_threshold_inr_t</f>
        <v/>
      </c>
      <c r="BI141" s="8">
        <f>AND($BF141,$BG141,$BH141)</f>
        <v/>
      </c>
      <c r="BJ141" s="8">
        <f>IF($BI141,1,0)</f>
        <v/>
      </c>
    </row>
    <row r="142">
      <c r="A142" s="11" t="n">
        <v>44722</v>
      </c>
      <c r="B142" s="11" t="n">
        <v>44722</v>
      </c>
      <c r="C142" s="7" t="inlineStr">
        <is>
          <t>tense</t>
        </is>
      </c>
      <c r="D142" s="7" t="inlineStr">
        <is>
          <t>JEA_NSA</t>
        </is>
      </c>
      <c r="E142" s="17" t="b">
        <v>1</v>
      </c>
      <c r="F142" s="16">
        <f>INDEX(Market_Weekly!$E$6:$E$48,MATCH($A142,Market_Weekly!$A$6:$A$48,0))</f>
        <v/>
      </c>
      <c r="G142" s="16">
        <f>INDEX(Market_Weekly!$D$6:$D$48,MATCH($A142,Market_Weekly!$A$6:$A$48,0))</f>
        <v/>
      </c>
      <c r="H142" s="16">
        <f>INDEX(Market_Weekly!$G$6:$G$48,MATCH($A142,Market_Weekly!$A$6:$A$48,0))</f>
        <v/>
      </c>
      <c r="I142" s="8">
        <f>INDEX(Market_Weekly!$H$6:$H$48,MATCH($A142,Market_Weekly!$A$6:$A$48,0))</f>
        <v/>
      </c>
      <c r="J142" s="8">
        <f>INDEX(Market_Weekly!$Q$6:$Q$48,MATCH($A142,Market_Weekly!$A$6:$A$48,0))</f>
        <v/>
      </c>
      <c r="K142" s="8">
        <f>INDEX(Market_Weekly!$V$6:$V$48,MATCH($A142,Market_Weekly!$A$6:$A$48,0))</f>
        <v/>
      </c>
      <c r="L142" s="16">
        <f>IF($D142="JEA_NSA",INDEX(Market_Weekly!$N$6:$N$48,MATCH($A142,Market_Weekly!$A$6:$A$48,0)),INDEX(Market_Weekly!$O$6:$O$48,MATCH($A142,Market_Weekly!$A$6:$A$48,0)))</f>
        <v/>
      </c>
      <c r="M142" s="8">
        <f>IF($D142="JEA_NSA","M1","M2")</f>
        <v/>
      </c>
      <c r="N142" s="16">
        <f>IF($D142="JEA_NSA",INDEX(Market_Weekly!$L$6:$L$48,MATCH($A142,Market_Weekly!$A$6:$A$48,0)),INDEX(Market_Weekly!$M$6:$M$48,MATCH($A142,Market_Weekly!$A$6:$A$48,0)))</f>
        <v/>
      </c>
      <c r="O142" s="15">
        <f>INDEX(Market_Weekly!$P$6:$P$48,MATCH($A142,Market_Weekly!$A$6:$A$48,0))</f>
        <v/>
      </c>
      <c r="P142" s="8">
        <f>INDEX(Market_Weekly!$R$6:$T$48,MATCH($A142,Market_Weekly!$A$6:$A$48,0),MATCH("grade_factor_"&amp;$C142,Market_Weekly!$R$5:$T$5,0))</f>
        <v/>
      </c>
      <c r="Q142" s="8">
        <f>INDEX(Market_Weekly!$U$6:$U$48,MATCH($A142,Market_Weekly!$A$6:$A$48,0))</f>
        <v/>
      </c>
      <c r="R142" s="8">
        <f>IF($D142="JEA_NSA","20ft","40ft")</f>
        <v/>
      </c>
      <c r="S142" s="8">
        <f>IF($D142="JEA_NSA","nsa","mun")</f>
        <v/>
      </c>
      <c r="T142" s="8">
        <f>IF($D142="JEA_NSA","jea_nsa","usec_mun")</f>
        <v/>
      </c>
      <c r="U142" s="16">
        <f>INDEX(param_values,MATCH("container_payload_mt_"&amp;$R142,param_keys,0))</f>
        <v/>
      </c>
      <c r="V142" s="16">
        <f>INDEX(param_values,MATCH("container_payload_mt_"&amp;$R142&amp;"_"&amp;$C142,param_keys,0))</f>
        <v/>
      </c>
      <c r="W142" s="16">
        <f>INDEX(param_values,MATCH("container_payload_mt_20ft_"&amp;$C142,param_keys,0))</f>
        <v/>
      </c>
      <c r="X142" s="18">
        <f>INDEX(param_values,MATCH("port_cf_charges_inr_t_"&amp;$S142,param_keys,0))</f>
        <v/>
      </c>
      <c r="Y142" s="8">
        <f>INDEX(param_values,MATCH(IF($D142="JEA_NSA","psic_required_uae_origin","psic_required_safe_origin_designated_port"),param_keys,0))</f>
        <v/>
      </c>
      <c r="Z142" s="19">
        <f>INDEX(param_values,MATCH("finance_days_"&amp;$T142,param_keys,0))</f>
        <v/>
      </c>
      <c r="AA142" s="15">
        <f>INDEX(param_values,MATCH("moisture_frac_"&amp;$C142,param_keys,0))</f>
        <v/>
      </c>
      <c r="AB142" s="15">
        <f>INDEX(param_values,MATCH("contamination_frac_"&amp;$C142,param_keys,0))</f>
        <v/>
      </c>
      <c r="AC142" s="15">
        <f>INDEX(param_values,MATCH("metal_yield_frac_"&amp;$C142,param_keys,0))</f>
        <v/>
      </c>
      <c r="AD142" s="15">
        <f>INDEX(param_values,MATCH("heavies_frac_"&amp;$C142,param_keys,0))</f>
        <v/>
      </c>
      <c r="AE142" s="8">
        <f>INDEX(param_values,MATCH("grade_factor_diff_"&amp;$C142,param_keys,0))</f>
        <v/>
      </c>
      <c r="AF142" s="16">
        <f>$F142*$P142</f>
        <v/>
      </c>
      <c r="AG142" s="8">
        <f>$U142/$V142</f>
        <v/>
      </c>
      <c r="AH142" s="16">
        <f>$L142*$AG142</f>
        <v/>
      </c>
      <c r="AI142" s="16">
        <f>$AF142-$AH142</f>
        <v/>
      </c>
      <c r="AJ142" s="16">
        <f>insurance_rate*insured_value_uplift*$AF142</f>
        <v/>
      </c>
      <c r="AK142" s="16">
        <f>$AF142+$AJ142</f>
        <v/>
      </c>
      <c r="AL142" s="18">
        <f>$AK142*$J142</f>
        <v/>
      </c>
      <c r="AM142" s="18">
        <f>$AK142*$I142</f>
        <v/>
      </c>
      <c r="AN142" s="18">
        <f>$AL142*bcd_scrap_hs7602</f>
        <v/>
      </c>
      <c r="AO142" s="18">
        <f>$AN142*sws_rate_on_bcd</f>
        <v/>
      </c>
      <c r="AP142" s="18">
        <f>($AL142+$AN142+$AO142)*igst_rate_hs7602</f>
        <v/>
      </c>
      <c r="AQ142" s="18">
        <f>$X142*$AG142+IF($Y142,psic_cost_usd_per_box*$H142/$W142,0)</f>
        <v/>
      </c>
      <c r="AR142" s="18">
        <f>($AM142+$AN142+$AO142)*$Z142/day_count_inr*$O142</f>
        <v/>
      </c>
      <c r="AS142" s="18">
        <f>$AP142*igst_credit_lag_days/day_count_inr*$O142</f>
        <v/>
      </c>
      <c r="AT142" s="18">
        <f>$AM142+$AN142+$AO142+$AQ142+$AR142+$AS142+IF(igst_itc_available,0,$AP142)</f>
        <v/>
      </c>
      <c r="AU142" s="15">
        <f>(1-$AA142)*(1-$AB142)*$AC142</f>
        <v/>
      </c>
      <c r="AV142" s="18">
        <f>$N142*kg_per_mt+domestic_anchor_premium_inr_t</f>
        <v/>
      </c>
      <c r="AW142" s="18">
        <f>(1-$AA142)*$AD142*heavies_net_value_frac_of_lme_al*$F142*$H142</f>
        <v/>
      </c>
      <c r="AX142" s="18">
        <f>conversion_cost_inr_t*$AU142</f>
        <v/>
      </c>
      <c r="AY142" s="18">
        <f>$AV142*$AU142+$AW142-$AT142-$AX142</f>
        <v/>
      </c>
      <c r="AZ142" s="16">
        <f>$AY142/$H142</f>
        <v/>
      </c>
      <c r="BA142" s="8">
        <f>$AY142&gt;margin_threshold_inr_t</f>
        <v/>
      </c>
      <c r="BB142" s="8">
        <f>$Q142+$AE142</f>
        <v/>
      </c>
      <c r="BC142" s="18">
        <f>$AT142-$AQ142</f>
        <v/>
      </c>
      <c r="BD142" s="18">
        <f>$AY142-$BC142*($BB142/$P142-1)</f>
        <v/>
      </c>
      <c r="BE142" s="18">
        <f>$AY142-(conv_step_5a-conversion_cost_inr_t)*$AU142</f>
        <v/>
      </c>
      <c r="BF142" s="8">
        <f>$BA142</f>
        <v/>
      </c>
      <c r="BG142" s="8">
        <f>$BD142&gt;margin_threshold_inr_t</f>
        <v/>
      </c>
      <c r="BH142" s="8">
        <f>$BE142&gt;margin_threshold_inr_t</f>
        <v/>
      </c>
      <c r="BI142" s="8">
        <f>AND($BF142,$BG142,$BH142)</f>
        <v/>
      </c>
      <c r="BJ142" s="8">
        <f>IF($BI142,1,0)</f>
        <v/>
      </c>
    </row>
    <row r="143">
      <c r="A143" s="11" t="n">
        <v>44722</v>
      </c>
      <c r="B143" s="11" t="n">
        <v>44722</v>
      </c>
      <c r="C143" s="7" t="inlineStr">
        <is>
          <t>tense</t>
        </is>
      </c>
      <c r="D143" s="7" t="inlineStr">
        <is>
          <t>USEC_MUN</t>
        </is>
      </c>
      <c r="E143" s="17" t="b">
        <v>1</v>
      </c>
      <c r="F143" s="16">
        <f>INDEX(Market_Weekly!$E$6:$E$48,MATCH($A143,Market_Weekly!$A$6:$A$48,0))</f>
        <v/>
      </c>
      <c r="G143" s="16">
        <f>INDEX(Market_Weekly!$D$6:$D$48,MATCH($A143,Market_Weekly!$A$6:$A$48,0))</f>
        <v/>
      </c>
      <c r="H143" s="16">
        <f>INDEX(Market_Weekly!$G$6:$G$48,MATCH($A143,Market_Weekly!$A$6:$A$48,0))</f>
        <v/>
      </c>
      <c r="I143" s="8">
        <f>INDEX(Market_Weekly!$H$6:$H$48,MATCH($A143,Market_Weekly!$A$6:$A$48,0))</f>
        <v/>
      </c>
      <c r="J143" s="8">
        <f>INDEX(Market_Weekly!$Q$6:$Q$48,MATCH($A143,Market_Weekly!$A$6:$A$48,0))</f>
        <v/>
      </c>
      <c r="K143" s="8">
        <f>INDEX(Market_Weekly!$V$6:$V$48,MATCH($A143,Market_Weekly!$A$6:$A$48,0))</f>
        <v/>
      </c>
      <c r="L143" s="16">
        <f>IF($D143="JEA_NSA",INDEX(Market_Weekly!$N$6:$N$48,MATCH($A143,Market_Weekly!$A$6:$A$48,0)),INDEX(Market_Weekly!$O$6:$O$48,MATCH($A143,Market_Weekly!$A$6:$A$48,0)))</f>
        <v/>
      </c>
      <c r="M143" s="8">
        <f>IF($D143="JEA_NSA","M1","M2")</f>
        <v/>
      </c>
      <c r="N143" s="16">
        <f>IF($D143="JEA_NSA",INDEX(Market_Weekly!$L$6:$L$48,MATCH($A143,Market_Weekly!$A$6:$A$48,0)),INDEX(Market_Weekly!$M$6:$M$48,MATCH($A143,Market_Weekly!$A$6:$A$48,0)))</f>
        <v/>
      </c>
      <c r="O143" s="15">
        <f>INDEX(Market_Weekly!$P$6:$P$48,MATCH($A143,Market_Weekly!$A$6:$A$48,0))</f>
        <v/>
      </c>
      <c r="P143" s="8">
        <f>INDEX(Market_Weekly!$R$6:$T$48,MATCH($A143,Market_Weekly!$A$6:$A$48,0),MATCH("grade_factor_"&amp;$C143,Market_Weekly!$R$5:$T$5,0))</f>
        <v/>
      </c>
      <c r="Q143" s="8">
        <f>INDEX(Market_Weekly!$U$6:$U$48,MATCH($A143,Market_Weekly!$A$6:$A$48,0))</f>
        <v/>
      </c>
      <c r="R143" s="8">
        <f>IF($D143="JEA_NSA","20ft","40ft")</f>
        <v/>
      </c>
      <c r="S143" s="8">
        <f>IF($D143="JEA_NSA","nsa","mun")</f>
        <v/>
      </c>
      <c r="T143" s="8">
        <f>IF($D143="JEA_NSA","jea_nsa","usec_mun")</f>
        <v/>
      </c>
      <c r="U143" s="16">
        <f>INDEX(param_values,MATCH("container_payload_mt_"&amp;$R143,param_keys,0))</f>
        <v/>
      </c>
      <c r="V143" s="16">
        <f>INDEX(param_values,MATCH("container_payload_mt_"&amp;$R143&amp;"_"&amp;$C143,param_keys,0))</f>
        <v/>
      </c>
      <c r="W143" s="16">
        <f>INDEX(param_values,MATCH("container_payload_mt_20ft_"&amp;$C143,param_keys,0))</f>
        <v/>
      </c>
      <c r="X143" s="18">
        <f>INDEX(param_values,MATCH("port_cf_charges_inr_t_"&amp;$S143,param_keys,0))</f>
        <v/>
      </c>
      <c r="Y143" s="8">
        <f>INDEX(param_values,MATCH(IF($D143="JEA_NSA","psic_required_uae_origin","psic_required_safe_origin_designated_port"),param_keys,0))</f>
        <v/>
      </c>
      <c r="Z143" s="19">
        <f>INDEX(param_values,MATCH("finance_days_"&amp;$T143,param_keys,0))</f>
        <v/>
      </c>
      <c r="AA143" s="15">
        <f>INDEX(param_values,MATCH("moisture_frac_"&amp;$C143,param_keys,0))</f>
        <v/>
      </c>
      <c r="AB143" s="15">
        <f>INDEX(param_values,MATCH("contamination_frac_"&amp;$C143,param_keys,0))</f>
        <v/>
      </c>
      <c r="AC143" s="15">
        <f>INDEX(param_values,MATCH("metal_yield_frac_"&amp;$C143,param_keys,0))</f>
        <v/>
      </c>
      <c r="AD143" s="15">
        <f>INDEX(param_values,MATCH("heavies_frac_"&amp;$C143,param_keys,0))</f>
        <v/>
      </c>
      <c r="AE143" s="8">
        <f>INDEX(param_values,MATCH("grade_factor_diff_"&amp;$C143,param_keys,0))</f>
        <v/>
      </c>
      <c r="AF143" s="16">
        <f>$F143*$P143</f>
        <v/>
      </c>
      <c r="AG143" s="8">
        <f>$U143/$V143</f>
        <v/>
      </c>
      <c r="AH143" s="16">
        <f>$L143*$AG143</f>
        <v/>
      </c>
      <c r="AI143" s="16">
        <f>$AF143-$AH143</f>
        <v/>
      </c>
      <c r="AJ143" s="16">
        <f>insurance_rate*insured_value_uplift*$AF143</f>
        <v/>
      </c>
      <c r="AK143" s="16">
        <f>$AF143+$AJ143</f>
        <v/>
      </c>
      <c r="AL143" s="18">
        <f>$AK143*$J143</f>
        <v/>
      </c>
      <c r="AM143" s="18">
        <f>$AK143*$I143</f>
        <v/>
      </c>
      <c r="AN143" s="18">
        <f>$AL143*bcd_scrap_hs7602</f>
        <v/>
      </c>
      <c r="AO143" s="18">
        <f>$AN143*sws_rate_on_bcd</f>
        <v/>
      </c>
      <c r="AP143" s="18">
        <f>($AL143+$AN143+$AO143)*igst_rate_hs7602</f>
        <v/>
      </c>
      <c r="AQ143" s="18">
        <f>$X143*$AG143+IF($Y143,psic_cost_usd_per_box*$H143/$W143,0)</f>
        <v/>
      </c>
      <c r="AR143" s="18">
        <f>($AM143+$AN143+$AO143)*$Z143/day_count_inr*$O143</f>
        <v/>
      </c>
      <c r="AS143" s="18">
        <f>$AP143*igst_credit_lag_days/day_count_inr*$O143</f>
        <v/>
      </c>
      <c r="AT143" s="18">
        <f>$AM143+$AN143+$AO143+$AQ143+$AR143+$AS143+IF(igst_itc_available,0,$AP143)</f>
        <v/>
      </c>
      <c r="AU143" s="15">
        <f>(1-$AA143)*(1-$AB143)*$AC143</f>
        <v/>
      </c>
      <c r="AV143" s="18">
        <f>$N143*kg_per_mt+domestic_anchor_premium_inr_t</f>
        <v/>
      </c>
      <c r="AW143" s="18">
        <f>(1-$AA143)*$AD143*heavies_net_value_frac_of_lme_al*$F143*$H143</f>
        <v/>
      </c>
      <c r="AX143" s="18">
        <f>conversion_cost_inr_t*$AU143</f>
        <v/>
      </c>
      <c r="AY143" s="18">
        <f>$AV143*$AU143+$AW143-$AT143-$AX143</f>
        <v/>
      </c>
      <c r="AZ143" s="16">
        <f>$AY143/$H143</f>
        <v/>
      </c>
      <c r="BA143" s="8">
        <f>$AY143&gt;margin_threshold_inr_t</f>
        <v/>
      </c>
      <c r="BB143" s="8">
        <f>$Q143+$AE143</f>
        <v/>
      </c>
      <c r="BC143" s="18">
        <f>$AT143-$AQ143</f>
        <v/>
      </c>
      <c r="BD143" s="18">
        <f>$AY143-$BC143*($BB143/$P143-1)</f>
        <v/>
      </c>
      <c r="BE143" s="18">
        <f>$AY143-(conv_step_5a-conversion_cost_inr_t)*$AU143</f>
        <v/>
      </c>
      <c r="BF143" s="8">
        <f>$BA143</f>
        <v/>
      </c>
      <c r="BG143" s="8">
        <f>$BD143&gt;margin_threshold_inr_t</f>
        <v/>
      </c>
      <c r="BH143" s="8">
        <f>$BE143&gt;margin_threshold_inr_t</f>
        <v/>
      </c>
      <c r="BI143" s="8">
        <f>AND($BF143,$BG143,$BH143)</f>
        <v/>
      </c>
      <c r="BJ143" s="8">
        <f>IF($BI143,1,0)</f>
        <v/>
      </c>
    </row>
    <row r="144">
      <c r="A144" s="11" t="n">
        <v>44729</v>
      </c>
      <c r="B144" s="11" t="n">
        <v>44729</v>
      </c>
      <c r="C144" s="7" t="inlineStr">
        <is>
          <t>zorba</t>
        </is>
      </c>
      <c r="D144" s="7" t="inlineStr">
        <is>
          <t>JEA_NSA</t>
        </is>
      </c>
      <c r="E144" s="17" t="b">
        <v>1</v>
      </c>
      <c r="F144" s="16">
        <f>INDEX(Market_Weekly!$E$6:$E$48,MATCH($A144,Market_Weekly!$A$6:$A$48,0))</f>
        <v/>
      </c>
      <c r="G144" s="16">
        <f>INDEX(Market_Weekly!$D$6:$D$48,MATCH($A144,Market_Weekly!$A$6:$A$48,0))</f>
        <v/>
      </c>
      <c r="H144" s="16">
        <f>INDEX(Market_Weekly!$G$6:$G$48,MATCH($A144,Market_Weekly!$A$6:$A$48,0))</f>
        <v/>
      </c>
      <c r="I144" s="8">
        <f>INDEX(Market_Weekly!$H$6:$H$48,MATCH($A144,Market_Weekly!$A$6:$A$48,0))</f>
        <v/>
      </c>
      <c r="J144" s="8">
        <f>INDEX(Market_Weekly!$Q$6:$Q$48,MATCH($A144,Market_Weekly!$A$6:$A$48,0))</f>
        <v/>
      </c>
      <c r="K144" s="8">
        <f>INDEX(Market_Weekly!$V$6:$V$48,MATCH($A144,Market_Weekly!$A$6:$A$48,0))</f>
        <v/>
      </c>
      <c r="L144" s="16">
        <f>IF($D144="JEA_NSA",INDEX(Market_Weekly!$N$6:$N$48,MATCH($A144,Market_Weekly!$A$6:$A$48,0)),INDEX(Market_Weekly!$O$6:$O$48,MATCH($A144,Market_Weekly!$A$6:$A$48,0)))</f>
        <v/>
      </c>
      <c r="M144" s="8">
        <f>IF($D144="JEA_NSA","M1","M2")</f>
        <v/>
      </c>
      <c r="N144" s="16">
        <f>IF($D144="JEA_NSA",INDEX(Market_Weekly!$L$6:$L$48,MATCH($A144,Market_Weekly!$A$6:$A$48,0)),INDEX(Market_Weekly!$M$6:$M$48,MATCH($A144,Market_Weekly!$A$6:$A$48,0)))</f>
        <v/>
      </c>
      <c r="O144" s="15">
        <f>INDEX(Market_Weekly!$P$6:$P$48,MATCH($A144,Market_Weekly!$A$6:$A$48,0))</f>
        <v/>
      </c>
      <c r="P144" s="8">
        <f>INDEX(Market_Weekly!$R$6:$T$48,MATCH($A144,Market_Weekly!$A$6:$A$48,0),MATCH("grade_factor_"&amp;$C144,Market_Weekly!$R$5:$T$5,0))</f>
        <v/>
      </c>
      <c r="Q144" s="8">
        <f>INDEX(Market_Weekly!$U$6:$U$48,MATCH($A144,Market_Weekly!$A$6:$A$48,0))</f>
        <v/>
      </c>
      <c r="R144" s="8">
        <f>IF($D144="JEA_NSA","20ft","40ft")</f>
        <v/>
      </c>
      <c r="S144" s="8">
        <f>IF($D144="JEA_NSA","nsa","mun")</f>
        <v/>
      </c>
      <c r="T144" s="8">
        <f>IF($D144="JEA_NSA","jea_nsa","usec_mun")</f>
        <v/>
      </c>
      <c r="U144" s="16">
        <f>INDEX(param_values,MATCH("container_payload_mt_"&amp;$R144,param_keys,0))</f>
        <v/>
      </c>
      <c r="V144" s="16">
        <f>INDEX(param_values,MATCH("container_payload_mt_"&amp;$R144&amp;"_"&amp;$C144,param_keys,0))</f>
        <v/>
      </c>
      <c r="W144" s="16">
        <f>INDEX(param_values,MATCH("container_payload_mt_20ft_"&amp;$C144,param_keys,0))</f>
        <v/>
      </c>
      <c r="X144" s="18">
        <f>INDEX(param_values,MATCH("port_cf_charges_inr_t_"&amp;$S144,param_keys,0))</f>
        <v/>
      </c>
      <c r="Y144" s="8">
        <f>INDEX(param_values,MATCH(IF($D144="JEA_NSA","psic_required_uae_origin","psic_required_safe_origin_designated_port"),param_keys,0))</f>
        <v/>
      </c>
      <c r="Z144" s="19">
        <f>INDEX(param_values,MATCH("finance_days_"&amp;$T144,param_keys,0))</f>
        <v/>
      </c>
      <c r="AA144" s="15">
        <f>INDEX(param_values,MATCH("moisture_frac_"&amp;$C144,param_keys,0))</f>
        <v/>
      </c>
      <c r="AB144" s="15">
        <f>INDEX(param_values,MATCH("contamination_frac_"&amp;$C144,param_keys,0))</f>
        <v/>
      </c>
      <c r="AC144" s="15">
        <f>INDEX(param_values,MATCH("metal_yield_frac_"&amp;$C144,param_keys,0))</f>
        <v/>
      </c>
      <c r="AD144" s="15">
        <f>INDEX(param_values,MATCH("heavies_frac_"&amp;$C144,param_keys,0))</f>
        <v/>
      </c>
      <c r="AE144" s="8">
        <f>INDEX(param_values,MATCH("grade_factor_diff_"&amp;$C144,param_keys,0))</f>
        <v/>
      </c>
      <c r="AF144" s="16">
        <f>$F144*$P144</f>
        <v/>
      </c>
      <c r="AG144" s="8">
        <f>$U144/$V144</f>
        <v/>
      </c>
      <c r="AH144" s="16">
        <f>$L144*$AG144</f>
        <v/>
      </c>
      <c r="AI144" s="16">
        <f>$AF144-$AH144</f>
        <v/>
      </c>
      <c r="AJ144" s="16">
        <f>insurance_rate*insured_value_uplift*$AF144</f>
        <v/>
      </c>
      <c r="AK144" s="16">
        <f>$AF144+$AJ144</f>
        <v/>
      </c>
      <c r="AL144" s="18">
        <f>$AK144*$J144</f>
        <v/>
      </c>
      <c r="AM144" s="18">
        <f>$AK144*$I144</f>
        <v/>
      </c>
      <c r="AN144" s="18">
        <f>$AL144*bcd_scrap_hs7602</f>
        <v/>
      </c>
      <c r="AO144" s="18">
        <f>$AN144*sws_rate_on_bcd</f>
        <v/>
      </c>
      <c r="AP144" s="18">
        <f>($AL144+$AN144+$AO144)*igst_rate_hs7602</f>
        <v/>
      </c>
      <c r="AQ144" s="18">
        <f>$X144*$AG144+IF($Y144,psic_cost_usd_per_box*$H144/$W144,0)</f>
        <v/>
      </c>
      <c r="AR144" s="18">
        <f>($AM144+$AN144+$AO144)*$Z144/day_count_inr*$O144</f>
        <v/>
      </c>
      <c r="AS144" s="18">
        <f>$AP144*igst_credit_lag_days/day_count_inr*$O144</f>
        <v/>
      </c>
      <c r="AT144" s="18">
        <f>$AM144+$AN144+$AO144+$AQ144+$AR144+$AS144+IF(igst_itc_available,0,$AP144)</f>
        <v/>
      </c>
      <c r="AU144" s="15">
        <f>(1-$AA144)*(1-$AB144)*$AC144</f>
        <v/>
      </c>
      <c r="AV144" s="18">
        <f>$N144*kg_per_mt+domestic_anchor_premium_inr_t</f>
        <v/>
      </c>
      <c r="AW144" s="18">
        <f>(1-$AA144)*$AD144*heavies_net_value_frac_of_lme_al*$F144*$H144</f>
        <v/>
      </c>
      <c r="AX144" s="18">
        <f>conversion_cost_inr_t*$AU144</f>
        <v/>
      </c>
      <c r="AY144" s="18">
        <f>$AV144*$AU144+$AW144-$AT144-$AX144</f>
        <v/>
      </c>
      <c r="AZ144" s="16">
        <f>$AY144/$H144</f>
        <v/>
      </c>
      <c r="BA144" s="8">
        <f>$AY144&gt;margin_threshold_inr_t</f>
        <v/>
      </c>
      <c r="BB144" s="8">
        <f>$Q144+$AE144</f>
        <v/>
      </c>
      <c r="BC144" s="18">
        <f>$AT144-$AQ144</f>
        <v/>
      </c>
      <c r="BD144" s="18">
        <f>$AY144-$BC144*($BB144/$P144-1)</f>
        <v/>
      </c>
      <c r="BE144" s="18">
        <f>$AY144-(conv_step_5a-conversion_cost_inr_t)*$AU144</f>
        <v/>
      </c>
      <c r="BF144" s="8">
        <f>$BA144</f>
        <v/>
      </c>
      <c r="BG144" s="8">
        <f>$BD144&gt;margin_threshold_inr_t</f>
        <v/>
      </c>
      <c r="BH144" s="8">
        <f>$BE144&gt;margin_threshold_inr_t</f>
        <v/>
      </c>
      <c r="BI144" s="8">
        <f>AND($BF144,$BG144,$BH144)</f>
        <v/>
      </c>
      <c r="BJ144" s="8">
        <f>IF($BI144,1,0)</f>
        <v/>
      </c>
    </row>
    <row r="145">
      <c r="A145" s="11" t="n">
        <v>44729</v>
      </c>
      <c r="B145" s="11" t="n">
        <v>44729</v>
      </c>
      <c r="C145" s="7" t="inlineStr">
        <is>
          <t>zorba</t>
        </is>
      </c>
      <c r="D145" s="7" t="inlineStr">
        <is>
          <t>USEC_MUN</t>
        </is>
      </c>
      <c r="E145" s="17" t="b">
        <v>1</v>
      </c>
      <c r="F145" s="16">
        <f>INDEX(Market_Weekly!$E$6:$E$48,MATCH($A145,Market_Weekly!$A$6:$A$48,0))</f>
        <v/>
      </c>
      <c r="G145" s="16">
        <f>INDEX(Market_Weekly!$D$6:$D$48,MATCH($A145,Market_Weekly!$A$6:$A$48,0))</f>
        <v/>
      </c>
      <c r="H145" s="16">
        <f>INDEX(Market_Weekly!$G$6:$G$48,MATCH($A145,Market_Weekly!$A$6:$A$48,0))</f>
        <v/>
      </c>
      <c r="I145" s="8">
        <f>INDEX(Market_Weekly!$H$6:$H$48,MATCH($A145,Market_Weekly!$A$6:$A$48,0))</f>
        <v/>
      </c>
      <c r="J145" s="8">
        <f>INDEX(Market_Weekly!$Q$6:$Q$48,MATCH($A145,Market_Weekly!$A$6:$A$48,0))</f>
        <v/>
      </c>
      <c r="K145" s="8">
        <f>INDEX(Market_Weekly!$V$6:$V$48,MATCH($A145,Market_Weekly!$A$6:$A$48,0))</f>
        <v/>
      </c>
      <c r="L145" s="16">
        <f>IF($D145="JEA_NSA",INDEX(Market_Weekly!$N$6:$N$48,MATCH($A145,Market_Weekly!$A$6:$A$48,0)),INDEX(Market_Weekly!$O$6:$O$48,MATCH($A145,Market_Weekly!$A$6:$A$48,0)))</f>
        <v/>
      </c>
      <c r="M145" s="8">
        <f>IF($D145="JEA_NSA","M1","M2")</f>
        <v/>
      </c>
      <c r="N145" s="16">
        <f>IF($D145="JEA_NSA",INDEX(Market_Weekly!$L$6:$L$48,MATCH($A145,Market_Weekly!$A$6:$A$48,0)),INDEX(Market_Weekly!$M$6:$M$48,MATCH($A145,Market_Weekly!$A$6:$A$48,0)))</f>
        <v/>
      </c>
      <c r="O145" s="15">
        <f>INDEX(Market_Weekly!$P$6:$P$48,MATCH($A145,Market_Weekly!$A$6:$A$48,0))</f>
        <v/>
      </c>
      <c r="P145" s="8">
        <f>INDEX(Market_Weekly!$R$6:$T$48,MATCH($A145,Market_Weekly!$A$6:$A$48,0),MATCH("grade_factor_"&amp;$C145,Market_Weekly!$R$5:$T$5,0))</f>
        <v/>
      </c>
      <c r="Q145" s="8">
        <f>INDEX(Market_Weekly!$U$6:$U$48,MATCH($A145,Market_Weekly!$A$6:$A$48,0))</f>
        <v/>
      </c>
      <c r="R145" s="8">
        <f>IF($D145="JEA_NSA","20ft","40ft")</f>
        <v/>
      </c>
      <c r="S145" s="8">
        <f>IF($D145="JEA_NSA","nsa","mun")</f>
        <v/>
      </c>
      <c r="T145" s="8">
        <f>IF($D145="JEA_NSA","jea_nsa","usec_mun")</f>
        <v/>
      </c>
      <c r="U145" s="16">
        <f>INDEX(param_values,MATCH("container_payload_mt_"&amp;$R145,param_keys,0))</f>
        <v/>
      </c>
      <c r="V145" s="16">
        <f>INDEX(param_values,MATCH("container_payload_mt_"&amp;$R145&amp;"_"&amp;$C145,param_keys,0))</f>
        <v/>
      </c>
      <c r="W145" s="16">
        <f>INDEX(param_values,MATCH("container_payload_mt_20ft_"&amp;$C145,param_keys,0))</f>
        <v/>
      </c>
      <c r="X145" s="18">
        <f>INDEX(param_values,MATCH("port_cf_charges_inr_t_"&amp;$S145,param_keys,0))</f>
        <v/>
      </c>
      <c r="Y145" s="8">
        <f>INDEX(param_values,MATCH(IF($D145="JEA_NSA","psic_required_uae_origin","psic_required_safe_origin_designated_port"),param_keys,0))</f>
        <v/>
      </c>
      <c r="Z145" s="19">
        <f>INDEX(param_values,MATCH("finance_days_"&amp;$T145,param_keys,0))</f>
        <v/>
      </c>
      <c r="AA145" s="15">
        <f>INDEX(param_values,MATCH("moisture_frac_"&amp;$C145,param_keys,0))</f>
        <v/>
      </c>
      <c r="AB145" s="15">
        <f>INDEX(param_values,MATCH("contamination_frac_"&amp;$C145,param_keys,0))</f>
        <v/>
      </c>
      <c r="AC145" s="15">
        <f>INDEX(param_values,MATCH("metal_yield_frac_"&amp;$C145,param_keys,0))</f>
        <v/>
      </c>
      <c r="AD145" s="15">
        <f>INDEX(param_values,MATCH("heavies_frac_"&amp;$C145,param_keys,0))</f>
        <v/>
      </c>
      <c r="AE145" s="8">
        <f>INDEX(param_values,MATCH("grade_factor_diff_"&amp;$C145,param_keys,0))</f>
        <v/>
      </c>
      <c r="AF145" s="16">
        <f>$F145*$P145</f>
        <v/>
      </c>
      <c r="AG145" s="8">
        <f>$U145/$V145</f>
        <v/>
      </c>
      <c r="AH145" s="16">
        <f>$L145*$AG145</f>
        <v/>
      </c>
      <c r="AI145" s="16">
        <f>$AF145-$AH145</f>
        <v/>
      </c>
      <c r="AJ145" s="16">
        <f>insurance_rate*insured_value_uplift*$AF145</f>
        <v/>
      </c>
      <c r="AK145" s="16">
        <f>$AF145+$AJ145</f>
        <v/>
      </c>
      <c r="AL145" s="18">
        <f>$AK145*$J145</f>
        <v/>
      </c>
      <c r="AM145" s="18">
        <f>$AK145*$I145</f>
        <v/>
      </c>
      <c r="AN145" s="18">
        <f>$AL145*bcd_scrap_hs7602</f>
        <v/>
      </c>
      <c r="AO145" s="18">
        <f>$AN145*sws_rate_on_bcd</f>
        <v/>
      </c>
      <c r="AP145" s="18">
        <f>($AL145+$AN145+$AO145)*igst_rate_hs7602</f>
        <v/>
      </c>
      <c r="AQ145" s="18">
        <f>$X145*$AG145+IF($Y145,psic_cost_usd_per_box*$H145/$W145,0)</f>
        <v/>
      </c>
      <c r="AR145" s="18">
        <f>($AM145+$AN145+$AO145)*$Z145/day_count_inr*$O145</f>
        <v/>
      </c>
      <c r="AS145" s="18">
        <f>$AP145*igst_credit_lag_days/day_count_inr*$O145</f>
        <v/>
      </c>
      <c r="AT145" s="18">
        <f>$AM145+$AN145+$AO145+$AQ145+$AR145+$AS145+IF(igst_itc_available,0,$AP145)</f>
        <v/>
      </c>
      <c r="AU145" s="15">
        <f>(1-$AA145)*(1-$AB145)*$AC145</f>
        <v/>
      </c>
      <c r="AV145" s="18">
        <f>$N145*kg_per_mt+domestic_anchor_premium_inr_t</f>
        <v/>
      </c>
      <c r="AW145" s="18">
        <f>(1-$AA145)*$AD145*heavies_net_value_frac_of_lme_al*$F145*$H145</f>
        <v/>
      </c>
      <c r="AX145" s="18">
        <f>conversion_cost_inr_t*$AU145</f>
        <v/>
      </c>
      <c r="AY145" s="18">
        <f>$AV145*$AU145+$AW145-$AT145-$AX145</f>
        <v/>
      </c>
      <c r="AZ145" s="16">
        <f>$AY145/$H145</f>
        <v/>
      </c>
      <c r="BA145" s="8">
        <f>$AY145&gt;margin_threshold_inr_t</f>
        <v/>
      </c>
      <c r="BB145" s="8">
        <f>$Q145+$AE145</f>
        <v/>
      </c>
      <c r="BC145" s="18">
        <f>$AT145-$AQ145</f>
        <v/>
      </c>
      <c r="BD145" s="18">
        <f>$AY145-$BC145*($BB145/$P145-1)</f>
        <v/>
      </c>
      <c r="BE145" s="18">
        <f>$AY145-(conv_step_5a-conversion_cost_inr_t)*$AU145</f>
        <v/>
      </c>
      <c r="BF145" s="8">
        <f>$BA145</f>
        <v/>
      </c>
      <c r="BG145" s="8">
        <f>$BD145&gt;margin_threshold_inr_t</f>
        <v/>
      </c>
      <c r="BH145" s="8">
        <f>$BE145&gt;margin_threshold_inr_t</f>
        <v/>
      </c>
      <c r="BI145" s="8">
        <f>AND($BF145,$BG145,$BH145)</f>
        <v/>
      </c>
      <c r="BJ145" s="8">
        <f>IF($BI145,1,0)</f>
        <v/>
      </c>
    </row>
    <row r="146">
      <c r="A146" s="11" t="n">
        <v>44729</v>
      </c>
      <c r="B146" s="11" t="n">
        <v>44729</v>
      </c>
      <c r="C146" s="7" t="inlineStr">
        <is>
          <t>taint_tabor</t>
        </is>
      </c>
      <c r="D146" s="7" t="inlineStr">
        <is>
          <t>JEA_NSA</t>
        </is>
      </c>
      <c r="E146" s="17" t="b">
        <v>1</v>
      </c>
      <c r="F146" s="16">
        <f>INDEX(Market_Weekly!$E$6:$E$48,MATCH($A146,Market_Weekly!$A$6:$A$48,0))</f>
        <v/>
      </c>
      <c r="G146" s="16">
        <f>INDEX(Market_Weekly!$D$6:$D$48,MATCH($A146,Market_Weekly!$A$6:$A$48,0))</f>
        <v/>
      </c>
      <c r="H146" s="16">
        <f>INDEX(Market_Weekly!$G$6:$G$48,MATCH($A146,Market_Weekly!$A$6:$A$48,0))</f>
        <v/>
      </c>
      <c r="I146" s="8">
        <f>INDEX(Market_Weekly!$H$6:$H$48,MATCH($A146,Market_Weekly!$A$6:$A$48,0))</f>
        <v/>
      </c>
      <c r="J146" s="8">
        <f>INDEX(Market_Weekly!$Q$6:$Q$48,MATCH($A146,Market_Weekly!$A$6:$A$48,0))</f>
        <v/>
      </c>
      <c r="K146" s="8">
        <f>INDEX(Market_Weekly!$V$6:$V$48,MATCH($A146,Market_Weekly!$A$6:$A$48,0))</f>
        <v/>
      </c>
      <c r="L146" s="16">
        <f>IF($D146="JEA_NSA",INDEX(Market_Weekly!$N$6:$N$48,MATCH($A146,Market_Weekly!$A$6:$A$48,0)),INDEX(Market_Weekly!$O$6:$O$48,MATCH($A146,Market_Weekly!$A$6:$A$48,0)))</f>
        <v/>
      </c>
      <c r="M146" s="8">
        <f>IF($D146="JEA_NSA","M1","M2")</f>
        <v/>
      </c>
      <c r="N146" s="16">
        <f>IF($D146="JEA_NSA",INDEX(Market_Weekly!$L$6:$L$48,MATCH($A146,Market_Weekly!$A$6:$A$48,0)),INDEX(Market_Weekly!$M$6:$M$48,MATCH($A146,Market_Weekly!$A$6:$A$48,0)))</f>
        <v/>
      </c>
      <c r="O146" s="15">
        <f>INDEX(Market_Weekly!$P$6:$P$48,MATCH($A146,Market_Weekly!$A$6:$A$48,0))</f>
        <v/>
      </c>
      <c r="P146" s="8">
        <f>INDEX(Market_Weekly!$R$6:$T$48,MATCH($A146,Market_Weekly!$A$6:$A$48,0),MATCH("grade_factor_"&amp;$C146,Market_Weekly!$R$5:$T$5,0))</f>
        <v/>
      </c>
      <c r="Q146" s="8">
        <f>INDEX(Market_Weekly!$U$6:$U$48,MATCH($A146,Market_Weekly!$A$6:$A$48,0))</f>
        <v/>
      </c>
      <c r="R146" s="8">
        <f>IF($D146="JEA_NSA","20ft","40ft")</f>
        <v/>
      </c>
      <c r="S146" s="8">
        <f>IF($D146="JEA_NSA","nsa","mun")</f>
        <v/>
      </c>
      <c r="T146" s="8">
        <f>IF($D146="JEA_NSA","jea_nsa","usec_mun")</f>
        <v/>
      </c>
      <c r="U146" s="16">
        <f>INDEX(param_values,MATCH("container_payload_mt_"&amp;$R146,param_keys,0))</f>
        <v/>
      </c>
      <c r="V146" s="16">
        <f>INDEX(param_values,MATCH("container_payload_mt_"&amp;$R146&amp;"_"&amp;$C146,param_keys,0))</f>
        <v/>
      </c>
      <c r="W146" s="16">
        <f>INDEX(param_values,MATCH("container_payload_mt_20ft_"&amp;$C146,param_keys,0))</f>
        <v/>
      </c>
      <c r="X146" s="18">
        <f>INDEX(param_values,MATCH("port_cf_charges_inr_t_"&amp;$S146,param_keys,0))</f>
        <v/>
      </c>
      <c r="Y146" s="8">
        <f>INDEX(param_values,MATCH(IF($D146="JEA_NSA","psic_required_uae_origin","psic_required_safe_origin_designated_port"),param_keys,0))</f>
        <v/>
      </c>
      <c r="Z146" s="19">
        <f>INDEX(param_values,MATCH("finance_days_"&amp;$T146,param_keys,0))</f>
        <v/>
      </c>
      <c r="AA146" s="15">
        <f>INDEX(param_values,MATCH("moisture_frac_"&amp;$C146,param_keys,0))</f>
        <v/>
      </c>
      <c r="AB146" s="15">
        <f>INDEX(param_values,MATCH("contamination_frac_"&amp;$C146,param_keys,0))</f>
        <v/>
      </c>
      <c r="AC146" s="15">
        <f>INDEX(param_values,MATCH("metal_yield_frac_"&amp;$C146,param_keys,0))</f>
        <v/>
      </c>
      <c r="AD146" s="15">
        <f>INDEX(param_values,MATCH("heavies_frac_"&amp;$C146,param_keys,0))</f>
        <v/>
      </c>
      <c r="AE146" s="8">
        <f>INDEX(param_values,MATCH("grade_factor_diff_"&amp;$C146,param_keys,0))</f>
        <v/>
      </c>
      <c r="AF146" s="16">
        <f>$F146*$P146</f>
        <v/>
      </c>
      <c r="AG146" s="8">
        <f>$U146/$V146</f>
        <v/>
      </c>
      <c r="AH146" s="16">
        <f>$L146*$AG146</f>
        <v/>
      </c>
      <c r="AI146" s="16">
        <f>$AF146-$AH146</f>
        <v/>
      </c>
      <c r="AJ146" s="16">
        <f>insurance_rate*insured_value_uplift*$AF146</f>
        <v/>
      </c>
      <c r="AK146" s="16">
        <f>$AF146+$AJ146</f>
        <v/>
      </c>
      <c r="AL146" s="18">
        <f>$AK146*$J146</f>
        <v/>
      </c>
      <c r="AM146" s="18">
        <f>$AK146*$I146</f>
        <v/>
      </c>
      <c r="AN146" s="18">
        <f>$AL146*bcd_scrap_hs7602</f>
        <v/>
      </c>
      <c r="AO146" s="18">
        <f>$AN146*sws_rate_on_bcd</f>
        <v/>
      </c>
      <c r="AP146" s="18">
        <f>($AL146+$AN146+$AO146)*igst_rate_hs7602</f>
        <v/>
      </c>
      <c r="AQ146" s="18">
        <f>$X146*$AG146+IF($Y146,psic_cost_usd_per_box*$H146/$W146,0)</f>
        <v/>
      </c>
      <c r="AR146" s="18">
        <f>($AM146+$AN146+$AO146)*$Z146/day_count_inr*$O146</f>
        <v/>
      </c>
      <c r="AS146" s="18">
        <f>$AP146*igst_credit_lag_days/day_count_inr*$O146</f>
        <v/>
      </c>
      <c r="AT146" s="18">
        <f>$AM146+$AN146+$AO146+$AQ146+$AR146+$AS146+IF(igst_itc_available,0,$AP146)</f>
        <v/>
      </c>
      <c r="AU146" s="15">
        <f>(1-$AA146)*(1-$AB146)*$AC146</f>
        <v/>
      </c>
      <c r="AV146" s="18">
        <f>$N146*kg_per_mt+domestic_anchor_premium_inr_t</f>
        <v/>
      </c>
      <c r="AW146" s="18">
        <f>(1-$AA146)*$AD146*heavies_net_value_frac_of_lme_al*$F146*$H146</f>
        <v/>
      </c>
      <c r="AX146" s="18">
        <f>conversion_cost_inr_t*$AU146</f>
        <v/>
      </c>
      <c r="AY146" s="18">
        <f>$AV146*$AU146+$AW146-$AT146-$AX146</f>
        <v/>
      </c>
      <c r="AZ146" s="16">
        <f>$AY146/$H146</f>
        <v/>
      </c>
      <c r="BA146" s="8">
        <f>$AY146&gt;margin_threshold_inr_t</f>
        <v/>
      </c>
      <c r="BB146" s="8">
        <f>$Q146+$AE146</f>
        <v/>
      </c>
      <c r="BC146" s="18">
        <f>$AT146-$AQ146</f>
        <v/>
      </c>
      <c r="BD146" s="18">
        <f>$AY146-$BC146*($BB146/$P146-1)</f>
        <v/>
      </c>
      <c r="BE146" s="18">
        <f>$AY146-(conv_step_5a-conversion_cost_inr_t)*$AU146</f>
        <v/>
      </c>
      <c r="BF146" s="8">
        <f>$BA146</f>
        <v/>
      </c>
      <c r="BG146" s="8">
        <f>$BD146&gt;margin_threshold_inr_t</f>
        <v/>
      </c>
      <c r="BH146" s="8">
        <f>$BE146&gt;margin_threshold_inr_t</f>
        <v/>
      </c>
      <c r="BI146" s="8">
        <f>AND($BF146,$BG146,$BH146)</f>
        <v/>
      </c>
      <c r="BJ146" s="8">
        <f>IF($BI146,1,0)</f>
        <v/>
      </c>
    </row>
    <row r="147">
      <c r="A147" s="11" t="n">
        <v>44729</v>
      </c>
      <c r="B147" s="11" t="n">
        <v>44729</v>
      </c>
      <c r="C147" s="7" t="inlineStr">
        <is>
          <t>taint_tabor</t>
        </is>
      </c>
      <c r="D147" s="7" t="inlineStr">
        <is>
          <t>USEC_MUN</t>
        </is>
      </c>
      <c r="E147" s="17" t="b">
        <v>1</v>
      </c>
      <c r="F147" s="16">
        <f>INDEX(Market_Weekly!$E$6:$E$48,MATCH($A147,Market_Weekly!$A$6:$A$48,0))</f>
        <v/>
      </c>
      <c r="G147" s="16">
        <f>INDEX(Market_Weekly!$D$6:$D$48,MATCH($A147,Market_Weekly!$A$6:$A$48,0))</f>
        <v/>
      </c>
      <c r="H147" s="16">
        <f>INDEX(Market_Weekly!$G$6:$G$48,MATCH($A147,Market_Weekly!$A$6:$A$48,0))</f>
        <v/>
      </c>
      <c r="I147" s="8">
        <f>INDEX(Market_Weekly!$H$6:$H$48,MATCH($A147,Market_Weekly!$A$6:$A$48,0))</f>
        <v/>
      </c>
      <c r="J147" s="8">
        <f>INDEX(Market_Weekly!$Q$6:$Q$48,MATCH($A147,Market_Weekly!$A$6:$A$48,0))</f>
        <v/>
      </c>
      <c r="K147" s="8">
        <f>INDEX(Market_Weekly!$V$6:$V$48,MATCH($A147,Market_Weekly!$A$6:$A$48,0))</f>
        <v/>
      </c>
      <c r="L147" s="16">
        <f>IF($D147="JEA_NSA",INDEX(Market_Weekly!$N$6:$N$48,MATCH($A147,Market_Weekly!$A$6:$A$48,0)),INDEX(Market_Weekly!$O$6:$O$48,MATCH($A147,Market_Weekly!$A$6:$A$48,0)))</f>
        <v/>
      </c>
      <c r="M147" s="8">
        <f>IF($D147="JEA_NSA","M1","M2")</f>
        <v/>
      </c>
      <c r="N147" s="16">
        <f>IF($D147="JEA_NSA",INDEX(Market_Weekly!$L$6:$L$48,MATCH($A147,Market_Weekly!$A$6:$A$48,0)),INDEX(Market_Weekly!$M$6:$M$48,MATCH($A147,Market_Weekly!$A$6:$A$48,0)))</f>
        <v/>
      </c>
      <c r="O147" s="15">
        <f>INDEX(Market_Weekly!$P$6:$P$48,MATCH($A147,Market_Weekly!$A$6:$A$48,0))</f>
        <v/>
      </c>
      <c r="P147" s="8">
        <f>INDEX(Market_Weekly!$R$6:$T$48,MATCH($A147,Market_Weekly!$A$6:$A$48,0),MATCH("grade_factor_"&amp;$C147,Market_Weekly!$R$5:$T$5,0))</f>
        <v/>
      </c>
      <c r="Q147" s="8">
        <f>INDEX(Market_Weekly!$U$6:$U$48,MATCH($A147,Market_Weekly!$A$6:$A$48,0))</f>
        <v/>
      </c>
      <c r="R147" s="8">
        <f>IF($D147="JEA_NSA","20ft","40ft")</f>
        <v/>
      </c>
      <c r="S147" s="8">
        <f>IF($D147="JEA_NSA","nsa","mun")</f>
        <v/>
      </c>
      <c r="T147" s="8">
        <f>IF($D147="JEA_NSA","jea_nsa","usec_mun")</f>
        <v/>
      </c>
      <c r="U147" s="16">
        <f>INDEX(param_values,MATCH("container_payload_mt_"&amp;$R147,param_keys,0))</f>
        <v/>
      </c>
      <c r="V147" s="16">
        <f>INDEX(param_values,MATCH("container_payload_mt_"&amp;$R147&amp;"_"&amp;$C147,param_keys,0))</f>
        <v/>
      </c>
      <c r="W147" s="16">
        <f>INDEX(param_values,MATCH("container_payload_mt_20ft_"&amp;$C147,param_keys,0))</f>
        <v/>
      </c>
      <c r="X147" s="18">
        <f>INDEX(param_values,MATCH("port_cf_charges_inr_t_"&amp;$S147,param_keys,0))</f>
        <v/>
      </c>
      <c r="Y147" s="8">
        <f>INDEX(param_values,MATCH(IF($D147="JEA_NSA","psic_required_uae_origin","psic_required_safe_origin_designated_port"),param_keys,0))</f>
        <v/>
      </c>
      <c r="Z147" s="19">
        <f>INDEX(param_values,MATCH("finance_days_"&amp;$T147,param_keys,0))</f>
        <v/>
      </c>
      <c r="AA147" s="15">
        <f>INDEX(param_values,MATCH("moisture_frac_"&amp;$C147,param_keys,0))</f>
        <v/>
      </c>
      <c r="AB147" s="15">
        <f>INDEX(param_values,MATCH("contamination_frac_"&amp;$C147,param_keys,0))</f>
        <v/>
      </c>
      <c r="AC147" s="15">
        <f>INDEX(param_values,MATCH("metal_yield_frac_"&amp;$C147,param_keys,0))</f>
        <v/>
      </c>
      <c r="AD147" s="15">
        <f>INDEX(param_values,MATCH("heavies_frac_"&amp;$C147,param_keys,0))</f>
        <v/>
      </c>
      <c r="AE147" s="8">
        <f>INDEX(param_values,MATCH("grade_factor_diff_"&amp;$C147,param_keys,0))</f>
        <v/>
      </c>
      <c r="AF147" s="16">
        <f>$F147*$P147</f>
        <v/>
      </c>
      <c r="AG147" s="8">
        <f>$U147/$V147</f>
        <v/>
      </c>
      <c r="AH147" s="16">
        <f>$L147*$AG147</f>
        <v/>
      </c>
      <c r="AI147" s="16">
        <f>$AF147-$AH147</f>
        <v/>
      </c>
      <c r="AJ147" s="16">
        <f>insurance_rate*insured_value_uplift*$AF147</f>
        <v/>
      </c>
      <c r="AK147" s="16">
        <f>$AF147+$AJ147</f>
        <v/>
      </c>
      <c r="AL147" s="18">
        <f>$AK147*$J147</f>
        <v/>
      </c>
      <c r="AM147" s="18">
        <f>$AK147*$I147</f>
        <v/>
      </c>
      <c r="AN147" s="18">
        <f>$AL147*bcd_scrap_hs7602</f>
        <v/>
      </c>
      <c r="AO147" s="18">
        <f>$AN147*sws_rate_on_bcd</f>
        <v/>
      </c>
      <c r="AP147" s="18">
        <f>($AL147+$AN147+$AO147)*igst_rate_hs7602</f>
        <v/>
      </c>
      <c r="AQ147" s="18">
        <f>$X147*$AG147+IF($Y147,psic_cost_usd_per_box*$H147/$W147,0)</f>
        <v/>
      </c>
      <c r="AR147" s="18">
        <f>($AM147+$AN147+$AO147)*$Z147/day_count_inr*$O147</f>
        <v/>
      </c>
      <c r="AS147" s="18">
        <f>$AP147*igst_credit_lag_days/day_count_inr*$O147</f>
        <v/>
      </c>
      <c r="AT147" s="18">
        <f>$AM147+$AN147+$AO147+$AQ147+$AR147+$AS147+IF(igst_itc_available,0,$AP147)</f>
        <v/>
      </c>
      <c r="AU147" s="15">
        <f>(1-$AA147)*(1-$AB147)*$AC147</f>
        <v/>
      </c>
      <c r="AV147" s="18">
        <f>$N147*kg_per_mt+domestic_anchor_premium_inr_t</f>
        <v/>
      </c>
      <c r="AW147" s="18">
        <f>(1-$AA147)*$AD147*heavies_net_value_frac_of_lme_al*$F147*$H147</f>
        <v/>
      </c>
      <c r="AX147" s="18">
        <f>conversion_cost_inr_t*$AU147</f>
        <v/>
      </c>
      <c r="AY147" s="18">
        <f>$AV147*$AU147+$AW147-$AT147-$AX147</f>
        <v/>
      </c>
      <c r="AZ147" s="16">
        <f>$AY147/$H147</f>
        <v/>
      </c>
      <c r="BA147" s="8">
        <f>$AY147&gt;margin_threshold_inr_t</f>
        <v/>
      </c>
      <c r="BB147" s="8">
        <f>$Q147+$AE147</f>
        <v/>
      </c>
      <c r="BC147" s="18">
        <f>$AT147-$AQ147</f>
        <v/>
      </c>
      <c r="BD147" s="18">
        <f>$AY147-$BC147*($BB147/$P147-1)</f>
        <v/>
      </c>
      <c r="BE147" s="18">
        <f>$AY147-(conv_step_5a-conversion_cost_inr_t)*$AU147</f>
        <v/>
      </c>
      <c r="BF147" s="8">
        <f>$BA147</f>
        <v/>
      </c>
      <c r="BG147" s="8">
        <f>$BD147&gt;margin_threshold_inr_t</f>
        <v/>
      </c>
      <c r="BH147" s="8">
        <f>$BE147&gt;margin_threshold_inr_t</f>
        <v/>
      </c>
      <c r="BI147" s="8">
        <f>AND($BF147,$BG147,$BH147)</f>
        <v/>
      </c>
      <c r="BJ147" s="8">
        <f>IF($BI147,1,0)</f>
        <v/>
      </c>
    </row>
    <row r="148">
      <c r="A148" s="11" t="n">
        <v>44729</v>
      </c>
      <c r="B148" s="11" t="n">
        <v>44729</v>
      </c>
      <c r="C148" s="7" t="inlineStr">
        <is>
          <t>tense</t>
        </is>
      </c>
      <c r="D148" s="7" t="inlineStr">
        <is>
          <t>JEA_NSA</t>
        </is>
      </c>
      <c r="E148" s="17" t="b">
        <v>1</v>
      </c>
      <c r="F148" s="16">
        <f>INDEX(Market_Weekly!$E$6:$E$48,MATCH($A148,Market_Weekly!$A$6:$A$48,0))</f>
        <v/>
      </c>
      <c r="G148" s="16">
        <f>INDEX(Market_Weekly!$D$6:$D$48,MATCH($A148,Market_Weekly!$A$6:$A$48,0))</f>
        <v/>
      </c>
      <c r="H148" s="16">
        <f>INDEX(Market_Weekly!$G$6:$G$48,MATCH($A148,Market_Weekly!$A$6:$A$48,0))</f>
        <v/>
      </c>
      <c r="I148" s="8">
        <f>INDEX(Market_Weekly!$H$6:$H$48,MATCH($A148,Market_Weekly!$A$6:$A$48,0))</f>
        <v/>
      </c>
      <c r="J148" s="8">
        <f>INDEX(Market_Weekly!$Q$6:$Q$48,MATCH($A148,Market_Weekly!$A$6:$A$48,0))</f>
        <v/>
      </c>
      <c r="K148" s="8">
        <f>INDEX(Market_Weekly!$V$6:$V$48,MATCH($A148,Market_Weekly!$A$6:$A$48,0))</f>
        <v/>
      </c>
      <c r="L148" s="16">
        <f>IF($D148="JEA_NSA",INDEX(Market_Weekly!$N$6:$N$48,MATCH($A148,Market_Weekly!$A$6:$A$48,0)),INDEX(Market_Weekly!$O$6:$O$48,MATCH($A148,Market_Weekly!$A$6:$A$48,0)))</f>
        <v/>
      </c>
      <c r="M148" s="8">
        <f>IF($D148="JEA_NSA","M1","M2")</f>
        <v/>
      </c>
      <c r="N148" s="16">
        <f>IF($D148="JEA_NSA",INDEX(Market_Weekly!$L$6:$L$48,MATCH($A148,Market_Weekly!$A$6:$A$48,0)),INDEX(Market_Weekly!$M$6:$M$48,MATCH($A148,Market_Weekly!$A$6:$A$48,0)))</f>
        <v/>
      </c>
      <c r="O148" s="15">
        <f>INDEX(Market_Weekly!$P$6:$P$48,MATCH($A148,Market_Weekly!$A$6:$A$48,0))</f>
        <v/>
      </c>
      <c r="P148" s="8">
        <f>INDEX(Market_Weekly!$R$6:$T$48,MATCH($A148,Market_Weekly!$A$6:$A$48,0),MATCH("grade_factor_"&amp;$C148,Market_Weekly!$R$5:$T$5,0))</f>
        <v/>
      </c>
      <c r="Q148" s="8">
        <f>INDEX(Market_Weekly!$U$6:$U$48,MATCH($A148,Market_Weekly!$A$6:$A$48,0))</f>
        <v/>
      </c>
      <c r="R148" s="8">
        <f>IF($D148="JEA_NSA","20ft","40ft")</f>
        <v/>
      </c>
      <c r="S148" s="8">
        <f>IF($D148="JEA_NSA","nsa","mun")</f>
        <v/>
      </c>
      <c r="T148" s="8">
        <f>IF($D148="JEA_NSA","jea_nsa","usec_mun")</f>
        <v/>
      </c>
      <c r="U148" s="16">
        <f>INDEX(param_values,MATCH("container_payload_mt_"&amp;$R148,param_keys,0))</f>
        <v/>
      </c>
      <c r="V148" s="16">
        <f>INDEX(param_values,MATCH("container_payload_mt_"&amp;$R148&amp;"_"&amp;$C148,param_keys,0))</f>
        <v/>
      </c>
      <c r="W148" s="16">
        <f>INDEX(param_values,MATCH("container_payload_mt_20ft_"&amp;$C148,param_keys,0))</f>
        <v/>
      </c>
      <c r="X148" s="18">
        <f>INDEX(param_values,MATCH("port_cf_charges_inr_t_"&amp;$S148,param_keys,0))</f>
        <v/>
      </c>
      <c r="Y148" s="8">
        <f>INDEX(param_values,MATCH(IF($D148="JEA_NSA","psic_required_uae_origin","psic_required_safe_origin_designated_port"),param_keys,0))</f>
        <v/>
      </c>
      <c r="Z148" s="19">
        <f>INDEX(param_values,MATCH("finance_days_"&amp;$T148,param_keys,0))</f>
        <v/>
      </c>
      <c r="AA148" s="15">
        <f>INDEX(param_values,MATCH("moisture_frac_"&amp;$C148,param_keys,0))</f>
        <v/>
      </c>
      <c r="AB148" s="15">
        <f>INDEX(param_values,MATCH("contamination_frac_"&amp;$C148,param_keys,0))</f>
        <v/>
      </c>
      <c r="AC148" s="15">
        <f>INDEX(param_values,MATCH("metal_yield_frac_"&amp;$C148,param_keys,0))</f>
        <v/>
      </c>
      <c r="AD148" s="15">
        <f>INDEX(param_values,MATCH("heavies_frac_"&amp;$C148,param_keys,0))</f>
        <v/>
      </c>
      <c r="AE148" s="8">
        <f>INDEX(param_values,MATCH("grade_factor_diff_"&amp;$C148,param_keys,0))</f>
        <v/>
      </c>
      <c r="AF148" s="16">
        <f>$F148*$P148</f>
        <v/>
      </c>
      <c r="AG148" s="8">
        <f>$U148/$V148</f>
        <v/>
      </c>
      <c r="AH148" s="16">
        <f>$L148*$AG148</f>
        <v/>
      </c>
      <c r="AI148" s="16">
        <f>$AF148-$AH148</f>
        <v/>
      </c>
      <c r="AJ148" s="16">
        <f>insurance_rate*insured_value_uplift*$AF148</f>
        <v/>
      </c>
      <c r="AK148" s="16">
        <f>$AF148+$AJ148</f>
        <v/>
      </c>
      <c r="AL148" s="18">
        <f>$AK148*$J148</f>
        <v/>
      </c>
      <c r="AM148" s="18">
        <f>$AK148*$I148</f>
        <v/>
      </c>
      <c r="AN148" s="18">
        <f>$AL148*bcd_scrap_hs7602</f>
        <v/>
      </c>
      <c r="AO148" s="18">
        <f>$AN148*sws_rate_on_bcd</f>
        <v/>
      </c>
      <c r="AP148" s="18">
        <f>($AL148+$AN148+$AO148)*igst_rate_hs7602</f>
        <v/>
      </c>
      <c r="AQ148" s="18">
        <f>$X148*$AG148+IF($Y148,psic_cost_usd_per_box*$H148/$W148,0)</f>
        <v/>
      </c>
      <c r="AR148" s="18">
        <f>($AM148+$AN148+$AO148)*$Z148/day_count_inr*$O148</f>
        <v/>
      </c>
      <c r="AS148" s="18">
        <f>$AP148*igst_credit_lag_days/day_count_inr*$O148</f>
        <v/>
      </c>
      <c r="AT148" s="18">
        <f>$AM148+$AN148+$AO148+$AQ148+$AR148+$AS148+IF(igst_itc_available,0,$AP148)</f>
        <v/>
      </c>
      <c r="AU148" s="15">
        <f>(1-$AA148)*(1-$AB148)*$AC148</f>
        <v/>
      </c>
      <c r="AV148" s="18">
        <f>$N148*kg_per_mt+domestic_anchor_premium_inr_t</f>
        <v/>
      </c>
      <c r="AW148" s="18">
        <f>(1-$AA148)*$AD148*heavies_net_value_frac_of_lme_al*$F148*$H148</f>
        <v/>
      </c>
      <c r="AX148" s="18">
        <f>conversion_cost_inr_t*$AU148</f>
        <v/>
      </c>
      <c r="AY148" s="18">
        <f>$AV148*$AU148+$AW148-$AT148-$AX148</f>
        <v/>
      </c>
      <c r="AZ148" s="16">
        <f>$AY148/$H148</f>
        <v/>
      </c>
      <c r="BA148" s="8">
        <f>$AY148&gt;margin_threshold_inr_t</f>
        <v/>
      </c>
      <c r="BB148" s="8">
        <f>$Q148+$AE148</f>
        <v/>
      </c>
      <c r="BC148" s="18">
        <f>$AT148-$AQ148</f>
        <v/>
      </c>
      <c r="BD148" s="18">
        <f>$AY148-$BC148*($BB148/$P148-1)</f>
        <v/>
      </c>
      <c r="BE148" s="18">
        <f>$AY148-(conv_step_5a-conversion_cost_inr_t)*$AU148</f>
        <v/>
      </c>
      <c r="BF148" s="8">
        <f>$BA148</f>
        <v/>
      </c>
      <c r="BG148" s="8">
        <f>$BD148&gt;margin_threshold_inr_t</f>
        <v/>
      </c>
      <c r="BH148" s="8">
        <f>$BE148&gt;margin_threshold_inr_t</f>
        <v/>
      </c>
      <c r="BI148" s="8">
        <f>AND($BF148,$BG148,$BH148)</f>
        <v/>
      </c>
      <c r="BJ148" s="8">
        <f>IF($BI148,1,0)</f>
        <v/>
      </c>
    </row>
    <row r="149">
      <c r="A149" s="11" t="n">
        <v>44729</v>
      </c>
      <c r="B149" s="11" t="n">
        <v>44729</v>
      </c>
      <c r="C149" s="7" t="inlineStr">
        <is>
          <t>tense</t>
        </is>
      </c>
      <c r="D149" s="7" t="inlineStr">
        <is>
          <t>USEC_MUN</t>
        </is>
      </c>
      <c r="E149" s="17" t="b">
        <v>1</v>
      </c>
      <c r="F149" s="16">
        <f>INDEX(Market_Weekly!$E$6:$E$48,MATCH($A149,Market_Weekly!$A$6:$A$48,0))</f>
        <v/>
      </c>
      <c r="G149" s="16">
        <f>INDEX(Market_Weekly!$D$6:$D$48,MATCH($A149,Market_Weekly!$A$6:$A$48,0))</f>
        <v/>
      </c>
      <c r="H149" s="16">
        <f>INDEX(Market_Weekly!$G$6:$G$48,MATCH($A149,Market_Weekly!$A$6:$A$48,0))</f>
        <v/>
      </c>
      <c r="I149" s="8">
        <f>INDEX(Market_Weekly!$H$6:$H$48,MATCH($A149,Market_Weekly!$A$6:$A$48,0))</f>
        <v/>
      </c>
      <c r="J149" s="8">
        <f>INDEX(Market_Weekly!$Q$6:$Q$48,MATCH($A149,Market_Weekly!$A$6:$A$48,0))</f>
        <v/>
      </c>
      <c r="K149" s="8">
        <f>INDEX(Market_Weekly!$V$6:$V$48,MATCH($A149,Market_Weekly!$A$6:$A$48,0))</f>
        <v/>
      </c>
      <c r="L149" s="16">
        <f>IF($D149="JEA_NSA",INDEX(Market_Weekly!$N$6:$N$48,MATCH($A149,Market_Weekly!$A$6:$A$48,0)),INDEX(Market_Weekly!$O$6:$O$48,MATCH($A149,Market_Weekly!$A$6:$A$48,0)))</f>
        <v/>
      </c>
      <c r="M149" s="8">
        <f>IF($D149="JEA_NSA","M1","M2")</f>
        <v/>
      </c>
      <c r="N149" s="16">
        <f>IF($D149="JEA_NSA",INDEX(Market_Weekly!$L$6:$L$48,MATCH($A149,Market_Weekly!$A$6:$A$48,0)),INDEX(Market_Weekly!$M$6:$M$48,MATCH($A149,Market_Weekly!$A$6:$A$48,0)))</f>
        <v/>
      </c>
      <c r="O149" s="15">
        <f>INDEX(Market_Weekly!$P$6:$P$48,MATCH($A149,Market_Weekly!$A$6:$A$48,0))</f>
        <v/>
      </c>
      <c r="P149" s="8">
        <f>INDEX(Market_Weekly!$R$6:$T$48,MATCH($A149,Market_Weekly!$A$6:$A$48,0),MATCH("grade_factor_"&amp;$C149,Market_Weekly!$R$5:$T$5,0))</f>
        <v/>
      </c>
      <c r="Q149" s="8">
        <f>INDEX(Market_Weekly!$U$6:$U$48,MATCH($A149,Market_Weekly!$A$6:$A$48,0))</f>
        <v/>
      </c>
      <c r="R149" s="8">
        <f>IF($D149="JEA_NSA","20ft","40ft")</f>
        <v/>
      </c>
      <c r="S149" s="8">
        <f>IF($D149="JEA_NSA","nsa","mun")</f>
        <v/>
      </c>
      <c r="T149" s="8">
        <f>IF($D149="JEA_NSA","jea_nsa","usec_mun")</f>
        <v/>
      </c>
      <c r="U149" s="16">
        <f>INDEX(param_values,MATCH("container_payload_mt_"&amp;$R149,param_keys,0))</f>
        <v/>
      </c>
      <c r="V149" s="16">
        <f>INDEX(param_values,MATCH("container_payload_mt_"&amp;$R149&amp;"_"&amp;$C149,param_keys,0))</f>
        <v/>
      </c>
      <c r="W149" s="16">
        <f>INDEX(param_values,MATCH("container_payload_mt_20ft_"&amp;$C149,param_keys,0))</f>
        <v/>
      </c>
      <c r="X149" s="18">
        <f>INDEX(param_values,MATCH("port_cf_charges_inr_t_"&amp;$S149,param_keys,0))</f>
        <v/>
      </c>
      <c r="Y149" s="8">
        <f>INDEX(param_values,MATCH(IF($D149="JEA_NSA","psic_required_uae_origin","psic_required_safe_origin_designated_port"),param_keys,0))</f>
        <v/>
      </c>
      <c r="Z149" s="19">
        <f>INDEX(param_values,MATCH("finance_days_"&amp;$T149,param_keys,0))</f>
        <v/>
      </c>
      <c r="AA149" s="15">
        <f>INDEX(param_values,MATCH("moisture_frac_"&amp;$C149,param_keys,0))</f>
        <v/>
      </c>
      <c r="AB149" s="15">
        <f>INDEX(param_values,MATCH("contamination_frac_"&amp;$C149,param_keys,0))</f>
        <v/>
      </c>
      <c r="AC149" s="15">
        <f>INDEX(param_values,MATCH("metal_yield_frac_"&amp;$C149,param_keys,0))</f>
        <v/>
      </c>
      <c r="AD149" s="15">
        <f>INDEX(param_values,MATCH("heavies_frac_"&amp;$C149,param_keys,0))</f>
        <v/>
      </c>
      <c r="AE149" s="8">
        <f>INDEX(param_values,MATCH("grade_factor_diff_"&amp;$C149,param_keys,0))</f>
        <v/>
      </c>
      <c r="AF149" s="16">
        <f>$F149*$P149</f>
        <v/>
      </c>
      <c r="AG149" s="8">
        <f>$U149/$V149</f>
        <v/>
      </c>
      <c r="AH149" s="16">
        <f>$L149*$AG149</f>
        <v/>
      </c>
      <c r="AI149" s="16">
        <f>$AF149-$AH149</f>
        <v/>
      </c>
      <c r="AJ149" s="16">
        <f>insurance_rate*insured_value_uplift*$AF149</f>
        <v/>
      </c>
      <c r="AK149" s="16">
        <f>$AF149+$AJ149</f>
        <v/>
      </c>
      <c r="AL149" s="18">
        <f>$AK149*$J149</f>
        <v/>
      </c>
      <c r="AM149" s="18">
        <f>$AK149*$I149</f>
        <v/>
      </c>
      <c r="AN149" s="18">
        <f>$AL149*bcd_scrap_hs7602</f>
        <v/>
      </c>
      <c r="AO149" s="18">
        <f>$AN149*sws_rate_on_bcd</f>
        <v/>
      </c>
      <c r="AP149" s="18">
        <f>($AL149+$AN149+$AO149)*igst_rate_hs7602</f>
        <v/>
      </c>
      <c r="AQ149" s="18">
        <f>$X149*$AG149+IF($Y149,psic_cost_usd_per_box*$H149/$W149,0)</f>
        <v/>
      </c>
      <c r="AR149" s="18">
        <f>($AM149+$AN149+$AO149)*$Z149/day_count_inr*$O149</f>
        <v/>
      </c>
      <c r="AS149" s="18">
        <f>$AP149*igst_credit_lag_days/day_count_inr*$O149</f>
        <v/>
      </c>
      <c r="AT149" s="18">
        <f>$AM149+$AN149+$AO149+$AQ149+$AR149+$AS149+IF(igst_itc_available,0,$AP149)</f>
        <v/>
      </c>
      <c r="AU149" s="15">
        <f>(1-$AA149)*(1-$AB149)*$AC149</f>
        <v/>
      </c>
      <c r="AV149" s="18">
        <f>$N149*kg_per_mt+domestic_anchor_premium_inr_t</f>
        <v/>
      </c>
      <c r="AW149" s="18">
        <f>(1-$AA149)*$AD149*heavies_net_value_frac_of_lme_al*$F149*$H149</f>
        <v/>
      </c>
      <c r="AX149" s="18">
        <f>conversion_cost_inr_t*$AU149</f>
        <v/>
      </c>
      <c r="AY149" s="18">
        <f>$AV149*$AU149+$AW149-$AT149-$AX149</f>
        <v/>
      </c>
      <c r="AZ149" s="16">
        <f>$AY149/$H149</f>
        <v/>
      </c>
      <c r="BA149" s="8">
        <f>$AY149&gt;margin_threshold_inr_t</f>
        <v/>
      </c>
      <c r="BB149" s="8">
        <f>$Q149+$AE149</f>
        <v/>
      </c>
      <c r="BC149" s="18">
        <f>$AT149-$AQ149</f>
        <v/>
      </c>
      <c r="BD149" s="18">
        <f>$AY149-$BC149*($BB149/$P149-1)</f>
        <v/>
      </c>
      <c r="BE149" s="18">
        <f>$AY149-(conv_step_5a-conversion_cost_inr_t)*$AU149</f>
        <v/>
      </c>
      <c r="BF149" s="8">
        <f>$BA149</f>
        <v/>
      </c>
      <c r="BG149" s="8">
        <f>$BD149&gt;margin_threshold_inr_t</f>
        <v/>
      </c>
      <c r="BH149" s="8">
        <f>$BE149&gt;margin_threshold_inr_t</f>
        <v/>
      </c>
      <c r="BI149" s="8">
        <f>AND($BF149,$BG149,$BH149)</f>
        <v/>
      </c>
      <c r="BJ149" s="8">
        <f>IF($BI149,1,0)</f>
        <v/>
      </c>
    </row>
    <row r="150">
      <c r="A150" s="11" t="n">
        <v>44736</v>
      </c>
      <c r="B150" s="11" t="n">
        <v>44736</v>
      </c>
      <c r="C150" s="7" t="inlineStr">
        <is>
          <t>zorba</t>
        </is>
      </c>
      <c r="D150" s="7" t="inlineStr">
        <is>
          <t>JEA_NSA</t>
        </is>
      </c>
      <c r="E150" s="17" t="b">
        <v>1</v>
      </c>
      <c r="F150" s="16">
        <f>INDEX(Market_Weekly!$E$6:$E$48,MATCH($A150,Market_Weekly!$A$6:$A$48,0))</f>
        <v/>
      </c>
      <c r="G150" s="16">
        <f>INDEX(Market_Weekly!$D$6:$D$48,MATCH($A150,Market_Weekly!$A$6:$A$48,0))</f>
        <v/>
      </c>
      <c r="H150" s="16">
        <f>INDEX(Market_Weekly!$G$6:$G$48,MATCH($A150,Market_Weekly!$A$6:$A$48,0))</f>
        <v/>
      </c>
      <c r="I150" s="8">
        <f>INDEX(Market_Weekly!$H$6:$H$48,MATCH($A150,Market_Weekly!$A$6:$A$48,0))</f>
        <v/>
      </c>
      <c r="J150" s="8">
        <f>INDEX(Market_Weekly!$Q$6:$Q$48,MATCH($A150,Market_Weekly!$A$6:$A$48,0))</f>
        <v/>
      </c>
      <c r="K150" s="8">
        <f>INDEX(Market_Weekly!$V$6:$V$48,MATCH($A150,Market_Weekly!$A$6:$A$48,0))</f>
        <v/>
      </c>
      <c r="L150" s="16">
        <f>IF($D150="JEA_NSA",INDEX(Market_Weekly!$N$6:$N$48,MATCH($A150,Market_Weekly!$A$6:$A$48,0)),INDEX(Market_Weekly!$O$6:$O$48,MATCH($A150,Market_Weekly!$A$6:$A$48,0)))</f>
        <v/>
      </c>
      <c r="M150" s="8">
        <f>IF($D150="JEA_NSA","M1","M2")</f>
        <v/>
      </c>
      <c r="N150" s="16">
        <f>IF($D150="JEA_NSA",INDEX(Market_Weekly!$L$6:$L$48,MATCH($A150,Market_Weekly!$A$6:$A$48,0)),INDEX(Market_Weekly!$M$6:$M$48,MATCH($A150,Market_Weekly!$A$6:$A$48,0)))</f>
        <v/>
      </c>
      <c r="O150" s="15">
        <f>INDEX(Market_Weekly!$P$6:$P$48,MATCH($A150,Market_Weekly!$A$6:$A$48,0))</f>
        <v/>
      </c>
      <c r="P150" s="8">
        <f>INDEX(Market_Weekly!$R$6:$T$48,MATCH($A150,Market_Weekly!$A$6:$A$48,0),MATCH("grade_factor_"&amp;$C150,Market_Weekly!$R$5:$T$5,0))</f>
        <v/>
      </c>
      <c r="Q150" s="8">
        <f>INDEX(Market_Weekly!$U$6:$U$48,MATCH($A150,Market_Weekly!$A$6:$A$48,0))</f>
        <v/>
      </c>
      <c r="R150" s="8">
        <f>IF($D150="JEA_NSA","20ft","40ft")</f>
        <v/>
      </c>
      <c r="S150" s="8">
        <f>IF($D150="JEA_NSA","nsa","mun")</f>
        <v/>
      </c>
      <c r="T150" s="8">
        <f>IF($D150="JEA_NSA","jea_nsa","usec_mun")</f>
        <v/>
      </c>
      <c r="U150" s="16">
        <f>INDEX(param_values,MATCH("container_payload_mt_"&amp;$R150,param_keys,0))</f>
        <v/>
      </c>
      <c r="V150" s="16">
        <f>INDEX(param_values,MATCH("container_payload_mt_"&amp;$R150&amp;"_"&amp;$C150,param_keys,0))</f>
        <v/>
      </c>
      <c r="W150" s="16">
        <f>INDEX(param_values,MATCH("container_payload_mt_20ft_"&amp;$C150,param_keys,0))</f>
        <v/>
      </c>
      <c r="X150" s="18">
        <f>INDEX(param_values,MATCH("port_cf_charges_inr_t_"&amp;$S150,param_keys,0))</f>
        <v/>
      </c>
      <c r="Y150" s="8">
        <f>INDEX(param_values,MATCH(IF($D150="JEA_NSA","psic_required_uae_origin","psic_required_safe_origin_designated_port"),param_keys,0))</f>
        <v/>
      </c>
      <c r="Z150" s="19">
        <f>INDEX(param_values,MATCH("finance_days_"&amp;$T150,param_keys,0))</f>
        <v/>
      </c>
      <c r="AA150" s="15">
        <f>INDEX(param_values,MATCH("moisture_frac_"&amp;$C150,param_keys,0))</f>
        <v/>
      </c>
      <c r="AB150" s="15">
        <f>INDEX(param_values,MATCH("contamination_frac_"&amp;$C150,param_keys,0))</f>
        <v/>
      </c>
      <c r="AC150" s="15">
        <f>INDEX(param_values,MATCH("metal_yield_frac_"&amp;$C150,param_keys,0))</f>
        <v/>
      </c>
      <c r="AD150" s="15">
        <f>INDEX(param_values,MATCH("heavies_frac_"&amp;$C150,param_keys,0))</f>
        <v/>
      </c>
      <c r="AE150" s="8">
        <f>INDEX(param_values,MATCH("grade_factor_diff_"&amp;$C150,param_keys,0))</f>
        <v/>
      </c>
      <c r="AF150" s="16">
        <f>$F150*$P150</f>
        <v/>
      </c>
      <c r="AG150" s="8">
        <f>$U150/$V150</f>
        <v/>
      </c>
      <c r="AH150" s="16">
        <f>$L150*$AG150</f>
        <v/>
      </c>
      <c r="AI150" s="16">
        <f>$AF150-$AH150</f>
        <v/>
      </c>
      <c r="AJ150" s="16">
        <f>insurance_rate*insured_value_uplift*$AF150</f>
        <v/>
      </c>
      <c r="AK150" s="16">
        <f>$AF150+$AJ150</f>
        <v/>
      </c>
      <c r="AL150" s="18">
        <f>$AK150*$J150</f>
        <v/>
      </c>
      <c r="AM150" s="18">
        <f>$AK150*$I150</f>
        <v/>
      </c>
      <c r="AN150" s="18">
        <f>$AL150*bcd_scrap_hs7602</f>
        <v/>
      </c>
      <c r="AO150" s="18">
        <f>$AN150*sws_rate_on_bcd</f>
        <v/>
      </c>
      <c r="AP150" s="18">
        <f>($AL150+$AN150+$AO150)*igst_rate_hs7602</f>
        <v/>
      </c>
      <c r="AQ150" s="18">
        <f>$X150*$AG150+IF($Y150,psic_cost_usd_per_box*$H150/$W150,0)</f>
        <v/>
      </c>
      <c r="AR150" s="18">
        <f>($AM150+$AN150+$AO150)*$Z150/day_count_inr*$O150</f>
        <v/>
      </c>
      <c r="AS150" s="18">
        <f>$AP150*igst_credit_lag_days/day_count_inr*$O150</f>
        <v/>
      </c>
      <c r="AT150" s="18">
        <f>$AM150+$AN150+$AO150+$AQ150+$AR150+$AS150+IF(igst_itc_available,0,$AP150)</f>
        <v/>
      </c>
      <c r="AU150" s="15">
        <f>(1-$AA150)*(1-$AB150)*$AC150</f>
        <v/>
      </c>
      <c r="AV150" s="18">
        <f>$N150*kg_per_mt+domestic_anchor_premium_inr_t</f>
        <v/>
      </c>
      <c r="AW150" s="18">
        <f>(1-$AA150)*$AD150*heavies_net_value_frac_of_lme_al*$F150*$H150</f>
        <v/>
      </c>
      <c r="AX150" s="18">
        <f>conversion_cost_inr_t*$AU150</f>
        <v/>
      </c>
      <c r="AY150" s="18">
        <f>$AV150*$AU150+$AW150-$AT150-$AX150</f>
        <v/>
      </c>
      <c r="AZ150" s="16">
        <f>$AY150/$H150</f>
        <v/>
      </c>
      <c r="BA150" s="8">
        <f>$AY150&gt;margin_threshold_inr_t</f>
        <v/>
      </c>
      <c r="BB150" s="8">
        <f>$Q150+$AE150</f>
        <v/>
      </c>
      <c r="BC150" s="18">
        <f>$AT150-$AQ150</f>
        <v/>
      </c>
      <c r="BD150" s="18">
        <f>$AY150-$BC150*($BB150/$P150-1)</f>
        <v/>
      </c>
      <c r="BE150" s="18">
        <f>$AY150-(conv_step_5a-conversion_cost_inr_t)*$AU150</f>
        <v/>
      </c>
      <c r="BF150" s="8">
        <f>$BA150</f>
        <v/>
      </c>
      <c r="BG150" s="8">
        <f>$BD150&gt;margin_threshold_inr_t</f>
        <v/>
      </c>
      <c r="BH150" s="8">
        <f>$BE150&gt;margin_threshold_inr_t</f>
        <v/>
      </c>
      <c r="BI150" s="8">
        <f>AND($BF150,$BG150,$BH150)</f>
        <v/>
      </c>
      <c r="BJ150" s="8">
        <f>IF($BI150,1,0)</f>
        <v/>
      </c>
    </row>
    <row r="151">
      <c r="A151" s="11" t="n">
        <v>44736</v>
      </c>
      <c r="B151" s="11" t="n">
        <v>44736</v>
      </c>
      <c r="C151" s="7" t="inlineStr">
        <is>
          <t>zorba</t>
        </is>
      </c>
      <c r="D151" s="7" t="inlineStr">
        <is>
          <t>USEC_MUN</t>
        </is>
      </c>
      <c r="E151" s="17" t="b">
        <v>1</v>
      </c>
      <c r="F151" s="16">
        <f>INDEX(Market_Weekly!$E$6:$E$48,MATCH($A151,Market_Weekly!$A$6:$A$48,0))</f>
        <v/>
      </c>
      <c r="G151" s="16">
        <f>INDEX(Market_Weekly!$D$6:$D$48,MATCH($A151,Market_Weekly!$A$6:$A$48,0))</f>
        <v/>
      </c>
      <c r="H151" s="16">
        <f>INDEX(Market_Weekly!$G$6:$G$48,MATCH($A151,Market_Weekly!$A$6:$A$48,0))</f>
        <v/>
      </c>
      <c r="I151" s="8">
        <f>INDEX(Market_Weekly!$H$6:$H$48,MATCH($A151,Market_Weekly!$A$6:$A$48,0))</f>
        <v/>
      </c>
      <c r="J151" s="8">
        <f>INDEX(Market_Weekly!$Q$6:$Q$48,MATCH($A151,Market_Weekly!$A$6:$A$48,0))</f>
        <v/>
      </c>
      <c r="K151" s="8">
        <f>INDEX(Market_Weekly!$V$6:$V$48,MATCH($A151,Market_Weekly!$A$6:$A$48,0))</f>
        <v/>
      </c>
      <c r="L151" s="16">
        <f>IF($D151="JEA_NSA",INDEX(Market_Weekly!$N$6:$N$48,MATCH($A151,Market_Weekly!$A$6:$A$48,0)),INDEX(Market_Weekly!$O$6:$O$48,MATCH($A151,Market_Weekly!$A$6:$A$48,0)))</f>
        <v/>
      </c>
      <c r="M151" s="8">
        <f>IF($D151="JEA_NSA","M1","M2")</f>
        <v/>
      </c>
      <c r="N151" s="16">
        <f>IF($D151="JEA_NSA",INDEX(Market_Weekly!$L$6:$L$48,MATCH($A151,Market_Weekly!$A$6:$A$48,0)),INDEX(Market_Weekly!$M$6:$M$48,MATCH($A151,Market_Weekly!$A$6:$A$48,0)))</f>
        <v/>
      </c>
      <c r="O151" s="15">
        <f>INDEX(Market_Weekly!$P$6:$P$48,MATCH($A151,Market_Weekly!$A$6:$A$48,0))</f>
        <v/>
      </c>
      <c r="P151" s="8">
        <f>INDEX(Market_Weekly!$R$6:$T$48,MATCH($A151,Market_Weekly!$A$6:$A$48,0),MATCH("grade_factor_"&amp;$C151,Market_Weekly!$R$5:$T$5,0))</f>
        <v/>
      </c>
      <c r="Q151" s="8">
        <f>INDEX(Market_Weekly!$U$6:$U$48,MATCH($A151,Market_Weekly!$A$6:$A$48,0))</f>
        <v/>
      </c>
      <c r="R151" s="8">
        <f>IF($D151="JEA_NSA","20ft","40ft")</f>
        <v/>
      </c>
      <c r="S151" s="8">
        <f>IF($D151="JEA_NSA","nsa","mun")</f>
        <v/>
      </c>
      <c r="T151" s="8">
        <f>IF($D151="JEA_NSA","jea_nsa","usec_mun")</f>
        <v/>
      </c>
      <c r="U151" s="16">
        <f>INDEX(param_values,MATCH("container_payload_mt_"&amp;$R151,param_keys,0))</f>
        <v/>
      </c>
      <c r="V151" s="16">
        <f>INDEX(param_values,MATCH("container_payload_mt_"&amp;$R151&amp;"_"&amp;$C151,param_keys,0))</f>
        <v/>
      </c>
      <c r="W151" s="16">
        <f>INDEX(param_values,MATCH("container_payload_mt_20ft_"&amp;$C151,param_keys,0))</f>
        <v/>
      </c>
      <c r="X151" s="18">
        <f>INDEX(param_values,MATCH("port_cf_charges_inr_t_"&amp;$S151,param_keys,0))</f>
        <v/>
      </c>
      <c r="Y151" s="8">
        <f>INDEX(param_values,MATCH(IF($D151="JEA_NSA","psic_required_uae_origin","psic_required_safe_origin_designated_port"),param_keys,0))</f>
        <v/>
      </c>
      <c r="Z151" s="19">
        <f>INDEX(param_values,MATCH("finance_days_"&amp;$T151,param_keys,0))</f>
        <v/>
      </c>
      <c r="AA151" s="15">
        <f>INDEX(param_values,MATCH("moisture_frac_"&amp;$C151,param_keys,0))</f>
        <v/>
      </c>
      <c r="AB151" s="15">
        <f>INDEX(param_values,MATCH("contamination_frac_"&amp;$C151,param_keys,0))</f>
        <v/>
      </c>
      <c r="AC151" s="15">
        <f>INDEX(param_values,MATCH("metal_yield_frac_"&amp;$C151,param_keys,0))</f>
        <v/>
      </c>
      <c r="AD151" s="15">
        <f>INDEX(param_values,MATCH("heavies_frac_"&amp;$C151,param_keys,0))</f>
        <v/>
      </c>
      <c r="AE151" s="8">
        <f>INDEX(param_values,MATCH("grade_factor_diff_"&amp;$C151,param_keys,0))</f>
        <v/>
      </c>
      <c r="AF151" s="16">
        <f>$F151*$P151</f>
        <v/>
      </c>
      <c r="AG151" s="8">
        <f>$U151/$V151</f>
        <v/>
      </c>
      <c r="AH151" s="16">
        <f>$L151*$AG151</f>
        <v/>
      </c>
      <c r="AI151" s="16">
        <f>$AF151-$AH151</f>
        <v/>
      </c>
      <c r="AJ151" s="16">
        <f>insurance_rate*insured_value_uplift*$AF151</f>
        <v/>
      </c>
      <c r="AK151" s="16">
        <f>$AF151+$AJ151</f>
        <v/>
      </c>
      <c r="AL151" s="18">
        <f>$AK151*$J151</f>
        <v/>
      </c>
      <c r="AM151" s="18">
        <f>$AK151*$I151</f>
        <v/>
      </c>
      <c r="AN151" s="18">
        <f>$AL151*bcd_scrap_hs7602</f>
        <v/>
      </c>
      <c r="AO151" s="18">
        <f>$AN151*sws_rate_on_bcd</f>
        <v/>
      </c>
      <c r="AP151" s="18">
        <f>($AL151+$AN151+$AO151)*igst_rate_hs7602</f>
        <v/>
      </c>
      <c r="AQ151" s="18">
        <f>$X151*$AG151+IF($Y151,psic_cost_usd_per_box*$H151/$W151,0)</f>
        <v/>
      </c>
      <c r="AR151" s="18">
        <f>($AM151+$AN151+$AO151)*$Z151/day_count_inr*$O151</f>
        <v/>
      </c>
      <c r="AS151" s="18">
        <f>$AP151*igst_credit_lag_days/day_count_inr*$O151</f>
        <v/>
      </c>
      <c r="AT151" s="18">
        <f>$AM151+$AN151+$AO151+$AQ151+$AR151+$AS151+IF(igst_itc_available,0,$AP151)</f>
        <v/>
      </c>
      <c r="AU151" s="15">
        <f>(1-$AA151)*(1-$AB151)*$AC151</f>
        <v/>
      </c>
      <c r="AV151" s="18">
        <f>$N151*kg_per_mt+domestic_anchor_premium_inr_t</f>
        <v/>
      </c>
      <c r="AW151" s="18">
        <f>(1-$AA151)*$AD151*heavies_net_value_frac_of_lme_al*$F151*$H151</f>
        <v/>
      </c>
      <c r="AX151" s="18">
        <f>conversion_cost_inr_t*$AU151</f>
        <v/>
      </c>
      <c r="AY151" s="18">
        <f>$AV151*$AU151+$AW151-$AT151-$AX151</f>
        <v/>
      </c>
      <c r="AZ151" s="16">
        <f>$AY151/$H151</f>
        <v/>
      </c>
      <c r="BA151" s="8">
        <f>$AY151&gt;margin_threshold_inr_t</f>
        <v/>
      </c>
      <c r="BB151" s="8">
        <f>$Q151+$AE151</f>
        <v/>
      </c>
      <c r="BC151" s="18">
        <f>$AT151-$AQ151</f>
        <v/>
      </c>
      <c r="BD151" s="18">
        <f>$AY151-$BC151*($BB151/$P151-1)</f>
        <v/>
      </c>
      <c r="BE151" s="18">
        <f>$AY151-(conv_step_5a-conversion_cost_inr_t)*$AU151</f>
        <v/>
      </c>
      <c r="BF151" s="8">
        <f>$BA151</f>
        <v/>
      </c>
      <c r="BG151" s="8">
        <f>$BD151&gt;margin_threshold_inr_t</f>
        <v/>
      </c>
      <c r="BH151" s="8">
        <f>$BE151&gt;margin_threshold_inr_t</f>
        <v/>
      </c>
      <c r="BI151" s="8">
        <f>AND($BF151,$BG151,$BH151)</f>
        <v/>
      </c>
      <c r="BJ151" s="8">
        <f>IF($BI151,1,0)</f>
        <v/>
      </c>
    </row>
    <row r="152">
      <c r="A152" s="11" t="n">
        <v>44736</v>
      </c>
      <c r="B152" s="11" t="n">
        <v>44736</v>
      </c>
      <c r="C152" s="7" t="inlineStr">
        <is>
          <t>taint_tabor</t>
        </is>
      </c>
      <c r="D152" s="7" t="inlineStr">
        <is>
          <t>JEA_NSA</t>
        </is>
      </c>
      <c r="E152" s="17" t="b">
        <v>1</v>
      </c>
      <c r="F152" s="16">
        <f>INDEX(Market_Weekly!$E$6:$E$48,MATCH($A152,Market_Weekly!$A$6:$A$48,0))</f>
        <v/>
      </c>
      <c r="G152" s="16">
        <f>INDEX(Market_Weekly!$D$6:$D$48,MATCH($A152,Market_Weekly!$A$6:$A$48,0))</f>
        <v/>
      </c>
      <c r="H152" s="16">
        <f>INDEX(Market_Weekly!$G$6:$G$48,MATCH($A152,Market_Weekly!$A$6:$A$48,0))</f>
        <v/>
      </c>
      <c r="I152" s="8">
        <f>INDEX(Market_Weekly!$H$6:$H$48,MATCH($A152,Market_Weekly!$A$6:$A$48,0))</f>
        <v/>
      </c>
      <c r="J152" s="8">
        <f>INDEX(Market_Weekly!$Q$6:$Q$48,MATCH($A152,Market_Weekly!$A$6:$A$48,0))</f>
        <v/>
      </c>
      <c r="K152" s="8">
        <f>INDEX(Market_Weekly!$V$6:$V$48,MATCH($A152,Market_Weekly!$A$6:$A$48,0))</f>
        <v/>
      </c>
      <c r="L152" s="16">
        <f>IF($D152="JEA_NSA",INDEX(Market_Weekly!$N$6:$N$48,MATCH($A152,Market_Weekly!$A$6:$A$48,0)),INDEX(Market_Weekly!$O$6:$O$48,MATCH($A152,Market_Weekly!$A$6:$A$48,0)))</f>
        <v/>
      </c>
      <c r="M152" s="8">
        <f>IF($D152="JEA_NSA","M1","M2")</f>
        <v/>
      </c>
      <c r="N152" s="16">
        <f>IF($D152="JEA_NSA",INDEX(Market_Weekly!$L$6:$L$48,MATCH($A152,Market_Weekly!$A$6:$A$48,0)),INDEX(Market_Weekly!$M$6:$M$48,MATCH($A152,Market_Weekly!$A$6:$A$48,0)))</f>
        <v/>
      </c>
      <c r="O152" s="15">
        <f>INDEX(Market_Weekly!$P$6:$P$48,MATCH($A152,Market_Weekly!$A$6:$A$48,0))</f>
        <v/>
      </c>
      <c r="P152" s="8">
        <f>INDEX(Market_Weekly!$R$6:$T$48,MATCH($A152,Market_Weekly!$A$6:$A$48,0),MATCH("grade_factor_"&amp;$C152,Market_Weekly!$R$5:$T$5,0))</f>
        <v/>
      </c>
      <c r="Q152" s="8">
        <f>INDEX(Market_Weekly!$U$6:$U$48,MATCH($A152,Market_Weekly!$A$6:$A$48,0))</f>
        <v/>
      </c>
      <c r="R152" s="8">
        <f>IF($D152="JEA_NSA","20ft","40ft")</f>
        <v/>
      </c>
      <c r="S152" s="8">
        <f>IF($D152="JEA_NSA","nsa","mun")</f>
        <v/>
      </c>
      <c r="T152" s="8">
        <f>IF($D152="JEA_NSA","jea_nsa","usec_mun")</f>
        <v/>
      </c>
      <c r="U152" s="16">
        <f>INDEX(param_values,MATCH("container_payload_mt_"&amp;$R152,param_keys,0))</f>
        <v/>
      </c>
      <c r="V152" s="16">
        <f>INDEX(param_values,MATCH("container_payload_mt_"&amp;$R152&amp;"_"&amp;$C152,param_keys,0))</f>
        <v/>
      </c>
      <c r="W152" s="16">
        <f>INDEX(param_values,MATCH("container_payload_mt_20ft_"&amp;$C152,param_keys,0))</f>
        <v/>
      </c>
      <c r="X152" s="18">
        <f>INDEX(param_values,MATCH("port_cf_charges_inr_t_"&amp;$S152,param_keys,0))</f>
        <v/>
      </c>
      <c r="Y152" s="8">
        <f>INDEX(param_values,MATCH(IF($D152="JEA_NSA","psic_required_uae_origin","psic_required_safe_origin_designated_port"),param_keys,0))</f>
        <v/>
      </c>
      <c r="Z152" s="19">
        <f>INDEX(param_values,MATCH("finance_days_"&amp;$T152,param_keys,0))</f>
        <v/>
      </c>
      <c r="AA152" s="15">
        <f>INDEX(param_values,MATCH("moisture_frac_"&amp;$C152,param_keys,0))</f>
        <v/>
      </c>
      <c r="AB152" s="15">
        <f>INDEX(param_values,MATCH("contamination_frac_"&amp;$C152,param_keys,0))</f>
        <v/>
      </c>
      <c r="AC152" s="15">
        <f>INDEX(param_values,MATCH("metal_yield_frac_"&amp;$C152,param_keys,0))</f>
        <v/>
      </c>
      <c r="AD152" s="15">
        <f>INDEX(param_values,MATCH("heavies_frac_"&amp;$C152,param_keys,0))</f>
        <v/>
      </c>
      <c r="AE152" s="8">
        <f>INDEX(param_values,MATCH("grade_factor_diff_"&amp;$C152,param_keys,0))</f>
        <v/>
      </c>
      <c r="AF152" s="16">
        <f>$F152*$P152</f>
        <v/>
      </c>
      <c r="AG152" s="8">
        <f>$U152/$V152</f>
        <v/>
      </c>
      <c r="AH152" s="16">
        <f>$L152*$AG152</f>
        <v/>
      </c>
      <c r="AI152" s="16">
        <f>$AF152-$AH152</f>
        <v/>
      </c>
      <c r="AJ152" s="16">
        <f>insurance_rate*insured_value_uplift*$AF152</f>
        <v/>
      </c>
      <c r="AK152" s="16">
        <f>$AF152+$AJ152</f>
        <v/>
      </c>
      <c r="AL152" s="18">
        <f>$AK152*$J152</f>
        <v/>
      </c>
      <c r="AM152" s="18">
        <f>$AK152*$I152</f>
        <v/>
      </c>
      <c r="AN152" s="18">
        <f>$AL152*bcd_scrap_hs7602</f>
        <v/>
      </c>
      <c r="AO152" s="18">
        <f>$AN152*sws_rate_on_bcd</f>
        <v/>
      </c>
      <c r="AP152" s="18">
        <f>($AL152+$AN152+$AO152)*igst_rate_hs7602</f>
        <v/>
      </c>
      <c r="AQ152" s="18">
        <f>$X152*$AG152+IF($Y152,psic_cost_usd_per_box*$H152/$W152,0)</f>
        <v/>
      </c>
      <c r="AR152" s="18">
        <f>($AM152+$AN152+$AO152)*$Z152/day_count_inr*$O152</f>
        <v/>
      </c>
      <c r="AS152" s="18">
        <f>$AP152*igst_credit_lag_days/day_count_inr*$O152</f>
        <v/>
      </c>
      <c r="AT152" s="18">
        <f>$AM152+$AN152+$AO152+$AQ152+$AR152+$AS152+IF(igst_itc_available,0,$AP152)</f>
        <v/>
      </c>
      <c r="AU152" s="15">
        <f>(1-$AA152)*(1-$AB152)*$AC152</f>
        <v/>
      </c>
      <c r="AV152" s="18">
        <f>$N152*kg_per_mt+domestic_anchor_premium_inr_t</f>
        <v/>
      </c>
      <c r="AW152" s="18">
        <f>(1-$AA152)*$AD152*heavies_net_value_frac_of_lme_al*$F152*$H152</f>
        <v/>
      </c>
      <c r="AX152" s="18">
        <f>conversion_cost_inr_t*$AU152</f>
        <v/>
      </c>
      <c r="AY152" s="18">
        <f>$AV152*$AU152+$AW152-$AT152-$AX152</f>
        <v/>
      </c>
      <c r="AZ152" s="16">
        <f>$AY152/$H152</f>
        <v/>
      </c>
      <c r="BA152" s="8">
        <f>$AY152&gt;margin_threshold_inr_t</f>
        <v/>
      </c>
      <c r="BB152" s="8">
        <f>$Q152+$AE152</f>
        <v/>
      </c>
      <c r="BC152" s="18">
        <f>$AT152-$AQ152</f>
        <v/>
      </c>
      <c r="BD152" s="18">
        <f>$AY152-$BC152*($BB152/$P152-1)</f>
        <v/>
      </c>
      <c r="BE152" s="18">
        <f>$AY152-(conv_step_5a-conversion_cost_inr_t)*$AU152</f>
        <v/>
      </c>
      <c r="BF152" s="8">
        <f>$BA152</f>
        <v/>
      </c>
      <c r="BG152" s="8">
        <f>$BD152&gt;margin_threshold_inr_t</f>
        <v/>
      </c>
      <c r="BH152" s="8">
        <f>$BE152&gt;margin_threshold_inr_t</f>
        <v/>
      </c>
      <c r="BI152" s="8">
        <f>AND($BF152,$BG152,$BH152)</f>
        <v/>
      </c>
      <c r="BJ152" s="8">
        <f>IF($BI152,1,0)</f>
        <v/>
      </c>
    </row>
    <row r="153">
      <c r="A153" s="11" t="n">
        <v>44736</v>
      </c>
      <c r="B153" s="11" t="n">
        <v>44736</v>
      </c>
      <c r="C153" s="7" t="inlineStr">
        <is>
          <t>taint_tabor</t>
        </is>
      </c>
      <c r="D153" s="7" t="inlineStr">
        <is>
          <t>USEC_MUN</t>
        </is>
      </c>
      <c r="E153" s="17" t="b">
        <v>1</v>
      </c>
      <c r="F153" s="16">
        <f>INDEX(Market_Weekly!$E$6:$E$48,MATCH($A153,Market_Weekly!$A$6:$A$48,0))</f>
        <v/>
      </c>
      <c r="G153" s="16">
        <f>INDEX(Market_Weekly!$D$6:$D$48,MATCH($A153,Market_Weekly!$A$6:$A$48,0))</f>
        <v/>
      </c>
      <c r="H153" s="16">
        <f>INDEX(Market_Weekly!$G$6:$G$48,MATCH($A153,Market_Weekly!$A$6:$A$48,0))</f>
        <v/>
      </c>
      <c r="I153" s="8">
        <f>INDEX(Market_Weekly!$H$6:$H$48,MATCH($A153,Market_Weekly!$A$6:$A$48,0))</f>
        <v/>
      </c>
      <c r="J153" s="8">
        <f>INDEX(Market_Weekly!$Q$6:$Q$48,MATCH($A153,Market_Weekly!$A$6:$A$48,0))</f>
        <v/>
      </c>
      <c r="K153" s="8">
        <f>INDEX(Market_Weekly!$V$6:$V$48,MATCH($A153,Market_Weekly!$A$6:$A$48,0))</f>
        <v/>
      </c>
      <c r="L153" s="16">
        <f>IF($D153="JEA_NSA",INDEX(Market_Weekly!$N$6:$N$48,MATCH($A153,Market_Weekly!$A$6:$A$48,0)),INDEX(Market_Weekly!$O$6:$O$48,MATCH($A153,Market_Weekly!$A$6:$A$48,0)))</f>
        <v/>
      </c>
      <c r="M153" s="8">
        <f>IF($D153="JEA_NSA","M1","M2")</f>
        <v/>
      </c>
      <c r="N153" s="16">
        <f>IF($D153="JEA_NSA",INDEX(Market_Weekly!$L$6:$L$48,MATCH($A153,Market_Weekly!$A$6:$A$48,0)),INDEX(Market_Weekly!$M$6:$M$48,MATCH($A153,Market_Weekly!$A$6:$A$48,0)))</f>
        <v/>
      </c>
      <c r="O153" s="15">
        <f>INDEX(Market_Weekly!$P$6:$P$48,MATCH($A153,Market_Weekly!$A$6:$A$48,0))</f>
        <v/>
      </c>
      <c r="P153" s="8">
        <f>INDEX(Market_Weekly!$R$6:$T$48,MATCH($A153,Market_Weekly!$A$6:$A$48,0),MATCH("grade_factor_"&amp;$C153,Market_Weekly!$R$5:$T$5,0))</f>
        <v/>
      </c>
      <c r="Q153" s="8">
        <f>INDEX(Market_Weekly!$U$6:$U$48,MATCH($A153,Market_Weekly!$A$6:$A$48,0))</f>
        <v/>
      </c>
      <c r="R153" s="8">
        <f>IF($D153="JEA_NSA","20ft","40ft")</f>
        <v/>
      </c>
      <c r="S153" s="8">
        <f>IF($D153="JEA_NSA","nsa","mun")</f>
        <v/>
      </c>
      <c r="T153" s="8">
        <f>IF($D153="JEA_NSA","jea_nsa","usec_mun")</f>
        <v/>
      </c>
      <c r="U153" s="16">
        <f>INDEX(param_values,MATCH("container_payload_mt_"&amp;$R153,param_keys,0))</f>
        <v/>
      </c>
      <c r="V153" s="16">
        <f>INDEX(param_values,MATCH("container_payload_mt_"&amp;$R153&amp;"_"&amp;$C153,param_keys,0))</f>
        <v/>
      </c>
      <c r="W153" s="16">
        <f>INDEX(param_values,MATCH("container_payload_mt_20ft_"&amp;$C153,param_keys,0))</f>
        <v/>
      </c>
      <c r="X153" s="18">
        <f>INDEX(param_values,MATCH("port_cf_charges_inr_t_"&amp;$S153,param_keys,0))</f>
        <v/>
      </c>
      <c r="Y153" s="8">
        <f>INDEX(param_values,MATCH(IF($D153="JEA_NSA","psic_required_uae_origin","psic_required_safe_origin_designated_port"),param_keys,0))</f>
        <v/>
      </c>
      <c r="Z153" s="19">
        <f>INDEX(param_values,MATCH("finance_days_"&amp;$T153,param_keys,0))</f>
        <v/>
      </c>
      <c r="AA153" s="15">
        <f>INDEX(param_values,MATCH("moisture_frac_"&amp;$C153,param_keys,0))</f>
        <v/>
      </c>
      <c r="AB153" s="15">
        <f>INDEX(param_values,MATCH("contamination_frac_"&amp;$C153,param_keys,0))</f>
        <v/>
      </c>
      <c r="AC153" s="15">
        <f>INDEX(param_values,MATCH("metal_yield_frac_"&amp;$C153,param_keys,0))</f>
        <v/>
      </c>
      <c r="AD153" s="15">
        <f>INDEX(param_values,MATCH("heavies_frac_"&amp;$C153,param_keys,0))</f>
        <v/>
      </c>
      <c r="AE153" s="8">
        <f>INDEX(param_values,MATCH("grade_factor_diff_"&amp;$C153,param_keys,0))</f>
        <v/>
      </c>
      <c r="AF153" s="16">
        <f>$F153*$P153</f>
        <v/>
      </c>
      <c r="AG153" s="8">
        <f>$U153/$V153</f>
        <v/>
      </c>
      <c r="AH153" s="16">
        <f>$L153*$AG153</f>
        <v/>
      </c>
      <c r="AI153" s="16">
        <f>$AF153-$AH153</f>
        <v/>
      </c>
      <c r="AJ153" s="16">
        <f>insurance_rate*insured_value_uplift*$AF153</f>
        <v/>
      </c>
      <c r="AK153" s="16">
        <f>$AF153+$AJ153</f>
        <v/>
      </c>
      <c r="AL153" s="18">
        <f>$AK153*$J153</f>
        <v/>
      </c>
      <c r="AM153" s="18">
        <f>$AK153*$I153</f>
        <v/>
      </c>
      <c r="AN153" s="18">
        <f>$AL153*bcd_scrap_hs7602</f>
        <v/>
      </c>
      <c r="AO153" s="18">
        <f>$AN153*sws_rate_on_bcd</f>
        <v/>
      </c>
      <c r="AP153" s="18">
        <f>($AL153+$AN153+$AO153)*igst_rate_hs7602</f>
        <v/>
      </c>
      <c r="AQ153" s="18">
        <f>$X153*$AG153+IF($Y153,psic_cost_usd_per_box*$H153/$W153,0)</f>
        <v/>
      </c>
      <c r="AR153" s="18">
        <f>($AM153+$AN153+$AO153)*$Z153/day_count_inr*$O153</f>
        <v/>
      </c>
      <c r="AS153" s="18">
        <f>$AP153*igst_credit_lag_days/day_count_inr*$O153</f>
        <v/>
      </c>
      <c r="AT153" s="18">
        <f>$AM153+$AN153+$AO153+$AQ153+$AR153+$AS153+IF(igst_itc_available,0,$AP153)</f>
        <v/>
      </c>
      <c r="AU153" s="15">
        <f>(1-$AA153)*(1-$AB153)*$AC153</f>
        <v/>
      </c>
      <c r="AV153" s="18">
        <f>$N153*kg_per_mt+domestic_anchor_premium_inr_t</f>
        <v/>
      </c>
      <c r="AW153" s="18">
        <f>(1-$AA153)*$AD153*heavies_net_value_frac_of_lme_al*$F153*$H153</f>
        <v/>
      </c>
      <c r="AX153" s="18">
        <f>conversion_cost_inr_t*$AU153</f>
        <v/>
      </c>
      <c r="AY153" s="18">
        <f>$AV153*$AU153+$AW153-$AT153-$AX153</f>
        <v/>
      </c>
      <c r="AZ153" s="16">
        <f>$AY153/$H153</f>
        <v/>
      </c>
      <c r="BA153" s="8">
        <f>$AY153&gt;margin_threshold_inr_t</f>
        <v/>
      </c>
      <c r="BB153" s="8">
        <f>$Q153+$AE153</f>
        <v/>
      </c>
      <c r="BC153" s="18">
        <f>$AT153-$AQ153</f>
        <v/>
      </c>
      <c r="BD153" s="18">
        <f>$AY153-$BC153*($BB153/$P153-1)</f>
        <v/>
      </c>
      <c r="BE153" s="18">
        <f>$AY153-(conv_step_5a-conversion_cost_inr_t)*$AU153</f>
        <v/>
      </c>
      <c r="BF153" s="8">
        <f>$BA153</f>
        <v/>
      </c>
      <c r="BG153" s="8">
        <f>$BD153&gt;margin_threshold_inr_t</f>
        <v/>
      </c>
      <c r="BH153" s="8">
        <f>$BE153&gt;margin_threshold_inr_t</f>
        <v/>
      </c>
      <c r="BI153" s="8">
        <f>AND($BF153,$BG153,$BH153)</f>
        <v/>
      </c>
      <c r="BJ153" s="8">
        <f>IF($BI153,1,0)</f>
        <v/>
      </c>
    </row>
    <row r="154">
      <c r="A154" s="11" t="n">
        <v>44736</v>
      </c>
      <c r="B154" s="11" t="n">
        <v>44736</v>
      </c>
      <c r="C154" s="7" t="inlineStr">
        <is>
          <t>tense</t>
        </is>
      </c>
      <c r="D154" s="7" t="inlineStr">
        <is>
          <t>JEA_NSA</t>
        </is>
      </c>
      <c r="E154" s="17" t="b">
        <v>1</v>
      </c>
      <c r="F154" s="16">
        <f>INDEX(Market_Weekly!$E$6:$E$48,MATCH($A154,Market_Weekly!$A$6:$A$48,0))</f>
        <v/>
      </c>
      <c r="G154" s="16">
        <f>INDEX(Market_Weekly!$D$6:$D$48,MATCH($A154,Market_Weekly!$A$6:$A$48,0))</f>
        <v/>
      </c>
      <c r="H154" s="16">
        <f>INDEX(Market_Weekly!$G$6:$G$48,MATCH($A154,Market_Weekly!$A$6:$A$48,0))</f>
        <v/>
      </c>
      <c r="I154" s="8">
        <f>INDEX(Market_Weekly!$H$6:$H$48,MATCH($A154,Market_Weekly!$A$6:$A$48,0))</f>
        <v/>
      </c>
      <c r="J154" s="8">
        <f>INDEX(Market_Weekly!$Q$6:$Q$48,MATCH($A154,Market_Weekly!$A$6:$A$48,0))</f>
        <v/>
      </c>
      <c r="K154" s="8">
        <f>INDEX(Market_Weekly!$V$6:$V$48,MATCH($A154,Market_Weekly!$A$6:$A$48,0))</f>
        <v/>
      </c>
      <c r="L154" s="16">
        <f>IF($D154="JEA_NSA",INDEX(Market_Weekly!$N$6:$N$48,MATCH($A154,Market_Weekly!$A$6:$A$48,0)),INDEX(Market_Weekly!$O$6:$O$48,MATCH($A154,Market_Weekly!$A$6:$A$48,0)))</f>
        <v/>
      </c>
      <c r="M154" s="8">
        <f>IF($D154="JEA_NSA","M1","M2")</f>
        <v/>
      </c>
      <c r="N154" s="16">
        <f>IF($D154="JEA_NSA",INDEX(Market_Weekly!$L$6:$L$48,MATCH($A154,Market_Weekly!$A$6:$A$48,0)),INDEX(Market_Weekly!$M$6:$M$48,MATCH($A154,Market_Weekly!$A$6:$A$48,0)))</f>
        <v/>
      </c>
      <c r="O154" s="15">
        <f>INDEX(Market_Weekly!$P$6:$P$48,MATCH($A154,Market_Weekly!$A$6:$A$48,0))</f>
        <v/>
      </c>
      <c r="P154" s="8">
        <f>INDEX(Market_Weekly!$R$6:$T$48,MATCH($A154,Market_Weekly!$A$6:$A$48,0),MATCH("grade_factor_"&amp;$C154,Market_Weekly!$R$5:$T$5,0))</f>
        <v/>
      </c>
      <c r="Q154" s="8">
        <f>INDEX(Market_Weekly!$U$6:$U$48,MATCH($A154,Market_Weekly!$A$6:$A$48,0))</f>
        <v/>
      </c>
      <c r="R154" s="8">
        <f>IF($D154="JEA_NSA","20ft","40ft")</f>
        <v/>
      </c>
      <c r="S154" s="8">
        <f>IF($D154="JEA_NSA","nsa","mun")</f>
        <v/>
      </c>
      <c r="T154" s="8">
        <f>IF($D154="JEA_NSA","jea_nsa","usec_mun")</f>
        <v/>
      </c>
      <c r="U154" s="16">
        <f>INDEX(param_values,MATCH("container_payload_mt_"&amp;$R154,param_keys,0))</f>
        <v/>
      </c>
      <c r="V154" s="16">
        <f>INDEX(param_values,MATCH("container_payload_mt_"&amp;$R154&amp;"_"&amp;$C154,param_keys,0))</f>
        <v/>
      </c>
      <c r="W154" s="16">
        <f>INDEX(param_values,MATCH("container_payload_mt_20ft_"&amp;$C154,param_keys,0))</f>
        <v/>
      </c>
      <c r="X154" s="18">
        <f>INDEX(param_values,MATCH("port_cf_charges_inr_t_"&amp;$S154,param_keys,0))</f>
        <v/>
      </c>
      <c r="Y154" s="8">
        <f>INDEX(param_values,MATCH(IF($D154="JEA_NSA","psic_required_uae_origin","psic_required_safe_origin_designated_port"),param_keys,0))</f>
        <v/>
      </c>
      <c r="Z154" s="19">
        <f>INDEX(param_values,MATCH("finance_days_"&amp;$T154,param_keys,0))</f>
        <v/>
      </c>
      <c r="AA154" s="15">
        <f>INDEX(param_values,MATCH("moisture_frac_"&amp;$C154,param_keys,0))</f>
        <v/>
      </c>
      <c r="AB154" s="15">
        <f>INDEX(param_values,MATCH("contamination_frac_"&amp;$C154,param_keys,0))</f>
        <v/>
      </c>
      <c r="AC154" s="15">
        <f>INDEX(param_values,MATCH("metal_yield_frac_"&amp;$C154,param_keys,0))</f>
        <v/>
      </c>
      <c r="AD154" s="15">
        <f>INDEX(param_values,MATCH("heavies_frac_"&amp;$C154,param_keys,0))</f>
        <v/>
      </c>
      <c r="AE154" s="8">
        <f>INDEX(param_values,MATCH("grade_factor_diff_"&amp;$C154,param_keys,0))</f>
        <v/>
      </c>
      <c r="AF154" s="16">
        <f>$F154*$P154</f>
        <v/>
      </c>
      <c r="AG154" s="8">
        <f>$U154/$V154</f>
        <v/>
      </c>
      <c r="AH154" s="16">
        <f>$L154*$AG154</f>
        <v/>
      </c>
      <c r="AI154" s="16">
        <f>$AF154-$AH154</f>
        <v/>
      </c>
      <c r="AJ154" s="16">
        <f>insurance_rate*insured_value_uplift*$AF154</f>
        <v/>
      </c>
      <c r="AK154" s="16">
        <f>$AF154+$AJ154</f>
        <v/>
      </c>
      <c r="AL154" s="18">
        <f>$AK154*$J154</f>
        <v/>
      </c>
      <c r="AM154" s="18">
        <f>$AK154*$I154</f>
        <v/>
      </c>
      <c r="AN154" s="18">
        <f>$AL154*bcd_scrap_hs7602</f>
        <v/>
      </c>
      <c r="AO154" s="18">
        <f>$AN154*sws_rate_on_bcd</f>
        <v/>
      </c>
      <c r="AP154" s="18">
        <f>($AL154+$AN154+$AO154)*igst_rate_hs7602</f>
        <v/>
      </c>
      <c r="AQ154" s="18">
        <f>$X154*$AG154+IF($Y154,psic_cost_usd_per_box*$H154/$W154,0)</f>
        <v/>
      </c>
      <c r="AR154" s="18">
        <f>($AM154+$AN154+$AO154)*$Z154/day_count_inr*$O154</f>
        <v/>
      </c>
      <c r="AS154" s="18">
        <f>$AP154*igst_credit_lag_days/day_count_inr*$O154</f>
        <v/>
      </c>
      <c r="AT154" s="18">
        <f>$AM154+$AN154+$AO154+$AQ154+$AR154+$AS154+IF(igst_itc_available,0,$AP154)</f>
        <v/>
      </c>
      <c r="AU154" s="15">
        <f>(1-$AA154)*(1-$AB154)*$AC154</f>
        <v/>
      </c>
      <c r="AV154" s="18">
        <f>$N154*kg_per_mt+domestic_anchor_premium_inr_t</f>
        <v/>
      </c>
      <c r="AW154" s="18">
        <f>(1-$AA154)*$AD154*heavies_net_value_frac_of_lme_al*$F154*$H154</f>
        <v/>
      </c>
      <c r="AX154" s="18">
        <f>conversion_cost_inr_t*$AU154</f>
        <v/>
      </c>
      <c r="AY154" s="18">
        <f>$AV154*$AU154+$AW154-$AT154-$AX154</f>
        <v/>
      </c>
      <c r="AZ154" s="16">
        <f>$AY154/$H154</f>
        <v/>
      </c>
      <c r="BA154" s="8">
        <f>$AY154&gt;margin_threshold_inr_t</f>
        <v/>
      </c>
      <c r="BB154" s="8">
        <f>$Q154+$AE154</f>
        <v/>
      </c>
      <c r="BC154" s="18">
        <f>$AT154-$AQ154</f>
        <v/>
      </c>
      <c r="BD154" s="18">
        <f>$AY154-$BC154*($BB154/$P154-1)</f>
        <v/>
      </c>
      <c r="BE154" s="18">
        <f>$AY154-(conv_step_5a-conversion_cost_inr_t)*$AU154</f>
        <v/>
      </c>
      <c r="BF154" s="8">
        <f>$BA154</f>
        <v/>
      </c>
      <c r="BG154" s="8">
        <f>$BD154&gt;margin_threshold_inr_t</f>
        <v/>
      </c>
      <c r="BH154" s="8">
        <f>$BE154&gt;margin_threshold_inr_t</f>
        <v/>
      </c>
      <c r="BI154" s="8">
        <f>AND($BF154,$BG154,$BH154)</f>
        <v/>
      </c>
      <c r="BJ154" s="8">
        <f>IF($BI154,1,0)</f>
        <v/>
      </c>
    </row>
    <row r="155">
      <c r="A155" s="11" t="n">
        <v>44736</v>
      </c>
      <c r="B155" s="11" t="n">
        <v>44736</v>
      </c>
      <c r="C155" s="7" t="inlineStr">
        <is>
          <t>tense</t>
        </is>
      </c>
      <c r="D155" s="7" t="inlineStr">
        <is>
          <t>USEC_MUN</t>
        </is>
      </c>
      <c r="E155" s="17" t="b">
        <v>1</v>
      </c>
      <c r="F155" s="16">
        <f>INDEX(Market_Weekly!$E$6:$E$48,MATCH($A155,Market_Weekly!$A$6:$A$48,0))</f>
        <v/>
      </c>
      <c r="G155" s="16">
        <f>INDEX(Market_Weekly!$D$6:$D$48,MATCH($A155,Market_Weekly!$A$6:$A$48,0))</f>
        <v/>
      </c>
      <c r="H155" s="16">
        <f>INDEX(Market_Weekly!$G$6:$G$48,MATCH($A155,Market_Weekly!$A$6:$A$48,0))</f>
        <v/>
      </c>
      <c r="I155" s="8">
        <f>INDEX(Market_Weekly!$H$6:$H$48,MATCH($A155,Market_Weekly!$A$6:$A$48,0))</f>
        <v/>
      </c>
      <c r="J155" s="8">
        <f>INDEX(Market_Weekly!$Q$6:$Q$48,MATCH($A155,Market_Weekly!$A$6:$A$48,0))</f>
        <v/>
      </c>
      <c r="K155" s="8">
        <f>INDEX(Market_Weekly!$V$6:$V$48,MATCH($A155,Market_Weekly!$A$6:$A$48,0))</f>
        <v/>
      </c>
      <c r="L155" s="16">
        <f>IF($D155="JEA_NSA",INDEX(Market_Weekly!$N$6:$N$48,MATCH($A155,Market_Weekly!$A$6:$A$48,0)),INDEX(Market_Weekly!$O$6:$O$48,MATCH($A155,Market_Weekly!$A$6:$A$48,0)))</f>
        <v/>
      </c>
      <c r="M155" s="8">
        <f>IF($D155="JEA_NSA","M1","M2")</f>
        <v/>
      </c>
      <c r="N155" s="16">
        <f>IF($D155="JEA_NSA",INDEX(Market_Weekly!$L$6:$L$48,MATCH($A155,Market_Weekly!$A$6:$A$48,0)),INDEX(Market_Weekly!$M$6:$M$48,MATCH($A155,Market_Weekly!$A$6:$A$48,0)))</f>
        <v/>
      </c>
      <c r="O155" s="15">
        <f>INDEX(Market_Weekly!$P$6:$P$48,MATCH($A155,Market_Weekly!$A$6:$A$48,0))</f>
        <v/>
      </c>
      <c r="P155" s="8">
        <f>INDEX(Market_Weekly!$R$6:$T$48,MATCH($A155,Market_Weekly!$A$6:$A$48,0),MATCH("grade_factor_"&amp;$C155,Market_Weekly!$R$5:$T$5,0))</f>
        <v/>
      </c>
      <c r="Q155" s="8">
        <f>INDEX(Market_Weekly!$U$6:$U$48,MATCH($A155,Market_Weekly!$A$6:$A$48,0))</f>
        <v/>
      </c>
      <c r="R155" s="8">
        <f>IF($D155="JEA_NSA","20ft","40ft")</f>
        <v/>
      </c>
      <c r="S155" s="8">
        <f>IF($D155="JEA_NSA","nsa","mun")</f>
        <v/>
      </c>
      <c r="T155" s="8">
        <f>IF($D155="JEA_NSA","jea_nsa","usec_mun")</f>
        <v/>
      </c>
      <c r="U155" s="16">
        <f>INDEX(param_values,MATCH("container_payload_mt_"&amp;$R155,param_keys,0))</f>
        <v/>
      </c>
      <c r="V155" s="16">
        <f>INDEX(param_values,MATCH("container_payload_mt_"&amp;$R155&amp;"_"&amp;$C155,param_keys,0))</f>
        <v/>
      </c>
      <c r="W155" s="16">
        <f>INDEX(param_values,MATCH("container_payload_mt_20ft_"&amp;$C155,param_keys,0))</f>
        <v/>
      </c>
      <c r="X155" s="18">
        <f>INDEX(param_values,MATCH("port_cf_charges_inr_t_"&amp;$S155,param_keys,0))</f>
        <v/>
      </c>
      <c r="Y155" s="8">
        <f>INDEX(param_values,MATCH(IF($D155="JEA_NSA","psic_required_uae_origin","psic_required_safe_origin_designated_port"),param_keys,0))</f>
        <v/>
      </c>
      <c r="Z155" s="19">
        <f>INDEX(param_values,MATCH("finance_days_"&amp;$T155,param_keys,0))</f>
        <v/>
      </c>
      <c r="AA155" s="15">
        <f>INDEX(param_values,MATCH("moisture_frac_"&amp;$C155,param_keys,0))</f>
        <v/>
      </c>
      <c r="AB155" s="15">
        <f>INDEX(param_values,MATCH("contamination_frac_"&amp;$C155,param_keys,0))</f>
        <v/>
      </c>
      <c r="AC155" s="15">
        <f>INDEX(param_values,MATCH("metal_yield_frac_"&amp;$C155,param_keys,0))</f>
        <v/>
      </c>
      <c r="AD155" s="15">
        <f>INDEX(param_values,MATCH("heavies_frac_"&amp;$C155,param_keys,0))</f>
        <v/>
      </c>
      <c r="AE155" s="8">
        <f>INDEX(param_values,MATCH("grade_factor_diff_"&amp;$C155,param_keys,0))</f>
        <v/>
      </c>
      <c r="AF155" s="16">
        <f>$F155*$P155</f>
        <v/>
      </c>
      <c r="AG155" s="8">
        <f>$U155/$V155</f>
        <v/>
      </c>
      <c r="AH155" s="16">
        <f>$L155*$AG155</f>
        <v/>
      </c>
      <c r="AI155" s="16">
        <f>$AF155-$AH155</f>
        <v/>
      </c>
      <c r="AJ155" s="16">
        <f>insurance_rate*insured_value_uplift*$AF155</f>
        <v/>
      </c>
      <c r="AK155" s="16">
        <f>$AF155+$AJ155</f>
        <v/>
      </c>
      <c r="AL155" s="18">
        <f>$AK155*$J155</f>
        <v/>
      </c>
      <c r="AM155" s="18">
        <f>$AK155*$I155</f>
        <v/>
      </c>
      <c r="AN155" s="18">
        <f>$AL155*bcd_scrap_hs7602</f>
        <v/>
      </c>
      <c r="AO155" s="18">
        <f>$AN155*sws_rate_on_bcd</f>
        <v/>
      </c>
      <c r="AP155" s="18">
        <f>($AL155+$AN155+$AO155)*igst_rate_hs7602</f>
        <v/>
      </c>
      <c r="AQ155" s="18">
        <f>$X155*$AG155+IF($Y155,psic_cost_usd_per_box*$H155/$W155,0)</f>
        <v/>
      </c>
      <c r="AR155" s="18">
        <f>($AM155+$AN155+$AO155)*$Z155/day_count_inr*$O155</f>
        <v/>
      </c>
      <c r="AS155" s="18">
        <f>$AP155*igst_credit_lag_days/day_count_inr*$O155</f>
        <v/>
      </c>
      <c r="AT155" s="18">
        <f>$AM155+$AN155+$AO155+$AQ155+$AR155+$AS155+IF(igst_itc_available,0,$AP155)</f>
        <v/>
      </c>
      <c r="AU155" s="15">
        <f>(1-$AA155)*(1-$AB155)*$AC155</f>
        <v/>
      </c>
      <c r="AV155" s="18">
        <f>$N155*kg_per_mt+domestic_anchor_premium_inr_t</f>
        <v/>
      </c>
      <c r="AW155" s="18">
        <f>(1-$AA155)*$AD155*heavies_net_value_frac_of_lme_al*$F155*$H155</f>
        <v/>
      </c>
      <c r="AX155" s="18">
        <f>conversion_cost_inr_t*$AU155</f>
        <v/>
      </c>
      <c r="AY155" s="18">
        <f>$AV155*$AU155+$AW155-$AT155-$AX155</f>
        <v/>
      </c>
      <c r="AZ155" s="16">
        <f>$AY155/$H155</f>
        <v/>
      </c>
      <c r="BA155" s="8">
        <f>$AY155&gt;margin_threshold_inr_t</f>
        <v/>
      </c>
      <c r="BB155" s="8">
        <f>$Q155+$AE155</f>
        <v/>
      </c>
      <c r="BC155" s="18">
        <f>$AT155-$AQ155</f>
        <v/>
      </c>
      <c r="BD155" s="18">
        <f>$AY155-$BC155*($BB155/$P155-1)</f>
        <v/>
      </c>
      <c r="BE155" s="18">
        <f>$AY155-(conv_step_5a-conversion_cost_inr_t)*$AU155</f>
        <v/>
      </c>
      <c r="BF155" s="8">
        <f>$BA155</f>
        <v/>
      </c>
      <c r="BG155" s="8">
        <f>$BD155&gt;margin_threshold_inr_t</f>
        <v/>
      </c>
      <c r="BH155" s="8">
        <f>$BE155&gt;margin_threshold_inr_t</f>
        <v/>
      </c>
      <c r="BI155" s="8">
        <f>AND($BF155,$BG155,$BH155)</f>
        <v/>
      </c>
      <c r="BJ155" s="8">
        <f>IF($BI155,1,0)</f>
        <v/>
      </c>
    </row>
    <row r="156">
      <c r="A156" s="11" t="n">
        <v>44743</v>
      </c>
      <c r="B156" s="11" t="n">
        <v>44743</v>
      </c>
      <c r="C156" s="7" t="inlineStr">
        <is>
          <t>zorba</t>
        </is>
      </c>
      <c r="D156" s="7" t="inlineStr">
        <is>
          <t>JEA_NSA</t>
        </is>
      </c>
      <c r="E156" s="17" t="b">
        <v>1</v>
      </c>
      <c r="F156" s="16">
        <f>INDEX(Market_Weekly!$E$6:$E$48,MATCH($A156,Market_Weekly!$A$6:$A$48,0))</f>
        <v/>
      </c>
      <c r="G156" s="16">
        <f>INDEX(Market_Weekly!$D$6:$D$48,MATCH($A156,Market_Weekly!$A$6:$A$48,0))</f>
        <v/>
      </c>
      <c r="H156" s="16">
        <f>INDEX(Market_Weekly!$G$6:$G$48,MATCH($A156,Market_Weekly!$A$6:$A$48,0))</f>
        <v/>
      </c>
      <c r="I156" s="8">
        <f>INDEX(Market_Weekly!$H$6:$H$48,MATCH($A156,Market_Weekly!$A$6:$A$48,0))</f>
        <v/>
      </c>
      <c r="J156" s="8">
        <f>INDEX(Market_Weekly!$Q$6:$Q$48,MATCH($A156,Market_Weekly!$A$6:$A$48,0))</f>
        <v/>
      </c>
      <c r="K156" s="8">
        <f>INDEX(Market_Weekly!$V$6:$V$48,MATCH($A156,Market_Weekly!$A$6:$A$48,0))</f>
        <v/>
      </c>
      <c r="L156" s="16">
        <f>IF($D156="JEA_NSA",INDEX(Market_Weekly!$N$6:$N$48,MATCH($A156,Market_Weekly!$A$6:$A$48,0)),INDEX(Market_Weekly!$O$6:$O$48,MATCH($A156,Market_Weekly!$A$6:$A$48,0)))</f>
        <v/>
      </c>
      <c r="M156" s="8">
        <f>IF($D156="JEA_NSA","M1","M2")</f>
        <v/>
      </c>
      <c r="N156" s="16">
        <f>IF($D156="JEA_NSA",INDEX(Market_Weekly!$L$6:$L$48,MATCH($A156,Market_Weekly!$A$6:$A$48,0)),INDEX(Market_Weekly!$M$6:$M$48,MATCH($A156,Market_Weekly!$A$6:$A$48,0)))</f>
        <v/>
      </c>
      <c r="O156" s="15">
        <f>INDEX(Market_Weekly!$P$6:$P$48,MATCH($A156,Market_Weekly!$A$6:$A$48,0))</f>
        <v/>
      </c>
      <c r="P156" s="8">
        <f>INDEX(Market_Weekly!$R$6:$T$48,MATCH($A156,Market_Weekly!$A$6:$A$48,0),MATCH("grade_factor_"&amp;$C156,Market_Weekly!$R$5:$T$5,0))</f>
        <v/>
      </c>
      <c r="Q156" s="8">
        <f>INDEX(Market_Weekly!$U$6:$U$48,MATCH($A156,Market_Weekly!$A$6:$A$48,0))</f>
        <v/>
      </c>
      <c r="R156" s="8">
        <f>IF($D156="JEA_NSA","20ft","40ft")</f>
        <v/>
      </c>
      <c r="S156" s="8">
        <f>IF($D156="JEA_NSA","nsa","mun")</f>
        <v/>
      </c>
      <c r="T156" s="8">
        <f>IF($D156="JEA_NSA","jea_nsa","usec_mun")</f>
        <v/>
      </c>
      <c r="U156" s="16">
        <f>INDEX(param_values,MATCH("container_payload_mt_"&amp;$R156,param_keys,0))</f>
        <v/>
      </c>
      <c r="V156" s="16">
        <f>INDEX(param_values,MATCH("container_payload_mt_"&amp;$R156&amp;"_"&amp;$C156,param_keys,0))</f>
        <v/>
      </c>
      <c r="W156" s="16">
        <f>INDEX(param_values,MATCH("container_payload_mt_20ft_"&amp;$C156,param_keys,0))</f>
        <v/>
      </c>
      <c r="X156" s="18">
        <f>INDEX(param_values,MATCH("port_cf_charges_inr_t_"&amp;$S156,param_keys,0))</f>
        <v/>
      </c>
      <c r="Y156" s="8">
        <f>INDEX(param_values,MATCH(IF($D156="JEA_NSA","psic_required_uae_origin","psic_required_safe_origin_designated_port"),param_keys,0))</f>
        <v/>
      </c>
      <c r="Z156" s="19">
        <f>INDEX(param_values,MATCH("finance_days_"&amp;$T156,param_keys,0))</f>
        <v/>
      </c>
      <c r="AA156" s="15">
        <f>INDEX(param_values,MATCH("moisture_frac_"&amp;$C156,param_keys,0))</f>
        <v/>
      </c>
      <c r="AB156" s="15">
        <f>INDEX(param_values,MATCH("contamination_frac_"&amp;$C156,param_keys,0))</f>
        <v/>
      </c>
      <c r="AC156" s="15">
        <f>INDEX(param_values,MATCH("metal_yield_frac_"&amp;$C156,param_keys,0))</f>
        <v/>
      </c>
      <c r="AD156" s="15">
        <f>INDEX(param_values,MATCH("heavies_frac_"&amp;$C156,param_keys,0))</f>
        <v/>
      </c>
      <c r="AE156" s="8">
        <f>INDEX(param_values,MATCH("grade_factor_diff_"&amp;$C156,param_keys,0))</f>
        <v/>
      </c>
      <c r="AF156" s="16">
        <f>$F156*$P156</f>
        <v/>
      </c>
      <c r="AG156" s="8">
        <f>$U156/$V156</f>
        <v/>
      </c>
      <c r="AH156" s="16">
        <f>$L156*$AG156</f>
        <v/>
      </c>
      <c r="AI156" s="16">
        <f>$AF156-$AH156</f>
        <v/>
      </c>
      <c r="AJ156" s="16">
        <f>insurance_rate*insured_value_uplift*$AF156</f>
        <v/>
      </c>
      <c r="AK156" s="16">
        <f>$AF156+$AJ156</f>
        <v/>
      </c>
      <c r="AL156" s="18">
        <f>$AK156*$J156</f>
        <v/>
      </c>
      <c r="AM156" s="18">
        <f>$AK156*$I156</f>
        <v/>
      </c>
      <c r="AN156" s="18">
        <f>$AL156*bcd_scrap_hs7602</f>
        <v/>
      </c>
      <c r="AO156" s="18">
        <f>$AN156*sws_rate_on_bcd</f>
        <v/>
      </c>
      <c r="AP156" s="18">
        <f>($AL156+$AN156+$AO156)*igst_rate_hs7602</f>
        <v/>
      </c>
      <c r="AQ156" s="18">
        <f>$X156*$AG156+IF($Y156,psic_cost_usd_per_box*$H156/$W156,0)</f>
        <v/>
      </c>
      <c r="AR156" s="18">
        <f>($AM156+$AN156+$AO156)*$Z156/day_count_inr*$O156</f>
        <v/>
      </c>
      <c r="AS156" s="18">
        <f>$AP156*igst_credit_lag_days/day_count_inr*$O156</f>
        <v/>
      </c>
      <c r="AT156" s="18">
        <f>$AM156+$AN156+$AO156+$AQ156+$AR156+$AS156+IF(igst_itc_available,0,$AP156)</f>
        <v/>
      </c>
      <c r="AU156" s="15">
        <f>(1-$AA156)*(1-$AB156)*$AC156</f>
        <v/>
      </c>
      <c r="AV156" s="18">
        <f>$N156*kg_per_mt+domestic_anchor_premium_inr_t</f>
        <v/>
      </c>
      <c r="AW156" s="18">
        <f>(1-$AA156)*$AD156*heavies_net_value_frac_of_lme_al*$F156*$H156</f>
        <v/>
      </c>
      <c r="AX156" s="18">
        <f>conversion_cost_inr_t*$AU156</f>
        <v/>
      </c>
      <c r="AY156" s="18">
        <f>$AV156*$AU156+$AW156-$AT156-$AX156</f>
        <v/>
      </c>
      <c r="AZ156" s="16">
        <f>$AY156/$H156</f>
        <v/>
      </c>
      <c r="BA156" s="8">
        <f>$AY156&gt;margin_threshold_inr_t</f>
        <v/>
      </c>
      <c r="BB156" s="8">
        <f>$Q156+$AE156</f>
        <v/>
      </c>
      <c r="BC156" s="18">
        <f>$AT156-$AQ156</f>
        <v/>
      </c>
      <c r="BD156" s="18">
        <f>$AY156-$BC156*($BB156/$P156-1)</f>
        <v/>
      </c>
      <c r="BE156" s="18">
        <f>$AY156-(conv_step_5a-conversion_cost_inr_t)*$AU156</f>
        <v/>
      </c>
      <c r="BF156" s="8">
        <f>$BA156</f>
        <v/>
      </c>
      <c r="BG156" s="8">
        <f>$BD156&gt;margin_threshold_inr_t</f>
        <v/>
      </c>
      <c r="BH156" s="8">
        <f>$BE156&gt;margin_threshold_inr_t</f>
        <v/>
      </c>
      <c r="BI156" s="8">
        <f>AND($BF156,$BG156,$BH156)</f>
        <v/>
      </c>
      <c r="BJ156" s="8">
        <f>IF($BI156,1,0)</f>
        <v/>
      </c>
    </row>
    <row r="157">
      <c r="A157" s="11" t="n">
        <v>44743</v>
      </c>
      <c r="B157" s="11" t="n">
        <v>44743</v>
      </c>
      <c r="C157" s="7" t="inlineStr">
        <is>
          <t>zorba</t>
        </is>
      </c>
      <c r="D157" s="7" t="inlineStr">
        <is>
          <t>USEC_MUN</t>
        </is>
      </c>
      <c r="E157" s="17" t="b">
        <v>1</v>
      </c>
      <c r="F157" s="16">
        <f>INDEX(Market_Weekly!$E$6:$E$48,MATCH($A157,Market_Weekly!$A$6:$A$48,0))</f>
        <v/>
      </c>
      <c r="G157" s="16">
        <f>INDEX(Market_Weekly!$D$6:$D$48,MATCH($A157,Market_Weekly!$A$6:$A$48,0))</f>
        <v/>
      </c>
      <c r="H157" s="16">
        <f>INDEX(Market_Weekly!$G$6:$G$48,MATCH($A157,Market_Weekly!$A$6:$A$48,0))</f>
        <v/>
      </c>
      <c r="I157" s="8">
        <f>INDEX(Market_Weekly!$H$6:$H$48,MATCH($A157,Market_Weekly!$A$6:$A$48,0))</f>
        <v/>
      </c>
      <c r="J157" s="8">
        <f>INDEX(Market_Weekly!$Q$6:$Q$48,MATCH($A157,Market_Weekly!$A$6:$A$48,0))</f>
        <v/>
      </c>
      <c r="K157" s="8">
        <f>INDEX(Market_Weekly!$V$6:$V$48,MATCH($A157,Market_Weekly!$A$6:$A$48,0))</f>
        <v/>
      </c>
      <c r="L157" s="16">
        <f>IF($D157="JEA_NSA",INDEX(Market_Weekly!$N$6:$N$48,MATCH($A157,Market_Weekly!$A$6:$A$48,0)),INDEX(Market_Weekly!$O$6:$O$48,MATCH($A157,Market_Weekly!$A$6:$A$48,0)))</f>
        <v/>
      </c>
      <c r="M157" s="8">
        <f>IF($D157="JEA_NSA","M1","M2")</f>
        <v/>
      </c>
      <c r="N157" s="16">
        <f>IF($D157="JEA_NSA",INDEX(Market_Weekly!$L$6:$L$48,MATCH($A157,Market_Weekly!$A$6:$A$48,0)),INDEX(Market_Weekly!$M$6:$M$48,MATCH($A157,Market_Weekly!$A$6:$A$48,0)))</f>
        <v/>
      </c>
      <c r="O157" s="15">
        <f>INDEX(Market_Weekly!$P$6:$P$48,MATCH($A157,Market_Weekly!$A$6:$A$48,0))</f>
        <v/>
      </c>
      <c r="P157" s="8">
        <f>INDEX(Market_Weekly!$R$6:$T$48,MATCH($A157,Market_Weekly!$A$6:$A$48,0),MATCH("grade_factor_"&amp;$C157,Market_Weekly!$R$5:$T$5,0))</f>
        <v/>
      </c>
      <c r="Q157" s="8">
        <f>INDEX(Market_Weekly!$U$6:$U$48,MATCH($A157,Market_Weekly!$A$6:$A$48,0))</f>
        <v/>
      </c>
      <c r="R157" s="8">
        <f>IF($D157="JEA_NSA","20ft","40ft")</f>
        <v/>
      </c>
      <c r="S157" s="8">
        <f>IF($D157="JEA_NSA","nsa","mun")</f>
        <v/>
      </c>
      <c r="T157" s="8">
        <f>IF($D157="JEA_NSA","jea_nsa","usec_mun")</f>
        <v/>
      </c>
      <c r="U157" s="16">
        <f>INDEX(param_values,MATCH("container_payload_mt_"&amp;$R157,param_keys,0))</f>
        <v/>
      </c>
      <c r="V157" s="16">
        <f>INDEX(param_values,MATCH("container_payload_mt_"&amp;$R157&amp;"_"&amp;$C157,param_keys,0))</f>
        <v/>
      </c>
      <c r="W157" s="16">
        <f>INDEX(param_values,MATCH("container_payload_mt_20ft_"&amp;$C157,param_keys,0))</f>
        <v/>
      </c>
      <c r="X157" s="18">
        <f>INDEX(param_values,MATCH("port_cf_charges_inr_t_"&amp;$S157,param_keys,0))</f>
        <v/>
      </c>
      <c r="Y157" s="8">
        <f>INDEX(param_values,MATCH(IF($D157="JEA_NSA","psic_required_uae_origin","psic_required_safe_origin_designated_port"),param_keys,0))</f>
        <v/>
      </c>
      <c r="Z157" s="19">
        <f>INDEX(param_values,MATCH("finance_days_"&amp;$T157,param_keys,0))</f>
        <v/>
      </c>
      <c r="AA157" s="15">
        <f>INDEX(param_values,MATCH("moisture_frac_"&amp;$C157,param_keys,0))</f>
        <v/>
      </c>
      <c r="AB157" s="15">
        <f>INDEX(param_values,MATCH("contamination_frac_"&amp;$C157,param_keys,0))</f>
        <v/>
      </c>
      <c r="AC157" s="15">
        <f>INDEX(param_values,MATCH("metal_yield_frac_"&amp;$C157,param_keys,0))</f>
        <v/>
      </c>
      <c r="AD157" s="15">
        <f>INDEX(param_values,MATCH("heavies_frac_"&amp;$C157,param_keys,0))</f>
        <v/>
      </c>
      <c r="AE157" s="8">
        <f>INDEX(param_values,MATCH("grade_factor_diff_"&amp;$C157,param_keys,0))</f>
        <v/>
      </c>
      <c r="AF157" s="16">
        <f>$F157*$P157</f>
        <v/>
      </c>
      <c r="AG157" s="8">
        <f>$U157/$V157</f>
        <v/>
      </c>
      <c r="AH157" s="16">
        <f>$L157*$AG157</f>
        <v/>
      </c>
      <c r="AI157" s="16">
        <f>$AF157-$AH157</f>
        <v/>
      </c>
      <c r="AJ157" s="16">
        <f>insurance_rate*insured_value_uplift*$AF157</f>
        <v/>
      </c>
      <c r="AK157" s="16">
        <f>$AF157+$AJ157</f>
        <v/>
      </c>
      <c r="AL157" s="18">
        <f>$AK157*$J157</f>
        <v/>
      </c>
      <c r="AM157" s="18">
        <f>$AK157*$I157</f>
        <v/>
      </c>
      <c r="AN157" s="18">
        <f>$AL157*bcd_scrap_hs7602</f>
        <v/>
      </c>
      <c r="AO157" s="18">
        <f>$AN157*sws_rate_on_bcd</f>
        <v/>
      </c>
      <c r="AP157" s="18">
        <f>($AL157+$AN157+$AO157)*igst_rate_hs7602</f>
        <v/>
      </c>
      <c r="AQ157" s="18">
        <f>$X157*$AG157+IF($Y157,psic_cost_usd_per_box*$H157/$W157,0)</f>
        <v/>
      </c>
      <c r="AR157" s="18">
        <f>($AM157+$AN157+$AO157)*$Z157/day_count_inr*$O157</f>
        <v/>
      </c>
      <c r="AS157" s="18">
        <f>$AP157*igst_credit_lag_days/day_count_inr*$O157</f>
        <v/>
      </c>
      <c r="AT157" s="18">
        <f>$AM157+$AN157+$AO157+$AQ157+$AR157+$AS157+IF(igst_itc_available,0,$AP157)</f>
        <v/>
      </c>
      <c r="AU157" s="15">
        <f>(1-$AA157)*(1-$AB157)*$AC157</f>
        <v/>
      </c>
      <c r="AV157" s="18">
        <f>$N157*kg_per_mt+domestic_anchor_premium_inr_t</f>
        <v/>
      </c>
      <c r="AW157" s="18">
        <f>(1-$AA157)*$AD157*heavies_net_value_frac_of_lme_al*$F157*$H157</f>
        <v/>
      </c>
      <c r="AX157" s="18">
        <f>conversion_cost_inr_t*$AU157</f>
        <v/>
      </c>
      <c r="AY157" s="18">
        <f>$AV157*$AU157+$AW157-$AT157-$AX157</f>
        <v/>
      </c>
      <c r="AZ157" s="16">
        <f>$AY157/$H157</f>
        <v/>
      </c>
      <c r="BA157" s="8">
        <f>$AY157&gt;margin_threshold_inr_t</f>
        <v/>
      </c>
      <c r="BB157" s="8">
        <f>$Q157+$AE157</f>
        <v/>
      </c>
      <c r="BC157" s="18">
        <f>$AT157-$AQ157</f>
        <v/>
      </c>
      <c r="BD157" s="18">
        <f>$AY157-$BC157*($BB157/$P157-1)</f>
        <v/>
      </c>
      <c r="BE157" s="18">
        <f>$AY157-(conv_step_5a-conversion_cost_inr_t)*$AU157</f>
        <v/>
      </c>
      <c r="BF157" s="8">
        <f>$BA157</f>
        <v/>
      </c>
      <c r="BG157" s="8">
        <f>$BD157&gt;margin_threshold_inr_t</f>
        <v/>
      </c>
      <c r="BH157" s="8">
        <f>$BE157&gt;margin_threshold_inr_t</f>
        <v/>
      </c>
      <c r="BI157" s="8">
        <f>AND($BF157,$BG157,$BH157)</f>
        <v/>
      </c>
      <c r="BJ157" s="8">
        <f>IF($BI157,1,0)</f>
        <v/>
      </c>
    </row>
    <row r="158">
      <c r="A158" s="11" t="n">
        <v>44743</v>
      </c>
      <c r="B158" s="11" t="n">
        <v>44743</v>
      </c>
      <c r="C158" s="7" t="inlineStr">
        <is>
          <t>taint_tabor</t>
        </is>
      </c>
      <c r="D158" s="7" t="inlineStr">
        <is>
          <t>JEA_NSA</t>
        </is>
      </c>
      <c r="E158" s="17" t="b">
        <v>1</v>
      </c>
      <c r="F158" s="16">
        <f>INDEX(Market_Weekly!$E$6:$E$48,MATCH($A158,Market_Weekly!$A$6:$A$48,0))</f>
        <v/>
      </c>
      <c r="G158" s="16">
        <f>INDEX(Market_Weekly!$D$6:$D$48,MATCH($A158,Market_Weekly!$A$6:$A$48,0))</f>
        <v/>
      </c>
      <c r="H158" s="16">
        <f>INDEX(Market_Weekly!$G$6:$G$48,MATCH($A158,Market_Weekly!$A$6:$A$48,0))</f>
        <v/>
      </c>
      <c r="I158" s="8">
        <f>INDEX(Market_Weekly!$H$6:$H$48,MATCH($A158,Market_Weekly!$A$6:$A$48,0))</f>
        <v/>
      </c>
      <c r="J158" s="8">
        <f>INDEX(Market_Weekly!$Q$6:$Q$48,MATCH($A158,Market_Weekly!$A$6:$A$48,0))</f>
        <v/>
      </c>
      <c r="K158" s="8">
        <f>INDEX(Market_Weekly!$V$6:$V$48,MATCH($A158,Market_Weekly!$A$6:$A$48,0))</f>
        <v/>
      </c>
      <c r="L158" s="16">
        <f>IF($D158="JEA_NSA",INDEX(Market_Weekly!$N$6:$N$48,MATCH($A158,Market_Weekly!$A$6:$A$48,0)),INDEX(Market_Weekly!$O$6:$O$48,MATCH($A158,Market_Weekly!$A$6:$A$48,0)))</f>
        <v/>
      </c>
      <c r="M158" s="8">
        <f>IF($D158="JEA_NSA","M1","M2")</f>
        <v/>
      </c>
      <c r="N158" s="16">
        <f>IF($D158="JEA_NSA",INDEX(Market_Weekly!$L$6:$L$48,MATCH($A158,Market_Weekly!$A$6:$A$48,0)),INDEX(Market_Weekly!$M$6:$M$48,MATCH($A158,Market_Weekly!$A$6:$A$48,0)))</f>
        <v/>
      </c>
      <c r="O158" s="15">
        <f>INDEX(Market_Weekly!$P$6:$P$48,MATCH($A158,Market_Weekly!$A$6:$A$48,0))</f>
        <v/>
      </c>
      <c r="P158" s="8">
        <f>INDEX(Market_Weekly!$R$6:$T$48,MATCH($A158,Market_Weekly!$A$6:$A$48,0),MATCH("grade_factor_"&amp;$C158,Market_Weekly!$R$5:$T$5,0))</f>
        <v/>
      </c>
      <c r="Q158" s="8">
        <f>INDEX(Market_Weekly!$U$6:$U$48,MATCH($A158,Market_Weekly!$A$6:$A$48,0))</f>
        <v/>
      </c>
      <c r="R158" s="8">
        <f>IF($D158="JEA_NSA","20ft","40ft")</f>
        <v/>
      </c>
      <c r="S158" s="8">
        <f>IF($D158="JEA_NSA","nsa","mun")</f>
        <v/>
      </c>
      <c r="T158" s="8">
        <f>IF($D158="JEA_NSA","jea_nsa","usec_mun")</f>
        <v/>
      </c>
      <c r="U158" s="16">
        <f>INDEX(param_values,MATCH("container_payload_mt_"&amp;$R158,param_keys,0))</f>
        <v/>
      </c>
      <c r="V158" s="16">
        <f>INDEX(param_values,MATCH("container_payload_mt_"&amp;$R158&amp;"_"&amp;$C158,param_keys,0))</f>
        <v/>
      </c>
      <c r="W158" s="16">
        <f>INDEX(param_values,MATCH("container_payload_mt_20ft_"&amp;$C158,param_keys,0))</f>
        <v/>
      </c>
      <c r="X158" s="18">
        <f>INDEX(param_values,MATCH("port_cf_charges_inr_t_"&amp;$S158,param_keys,0))</f>
        <v/>
      </c>
      <c r="Y158" s="8">
        <f>INDEX(param_values,MATCH(IF($D158="JEA_NSA","psic_required_uae_origin","psic_required_safe_origin_designated_port"),param_keys,0))</f>
        <v/>
      </c>
      <c r="Z158" s="19">
        <f>INDEX(param_values,MATCH("finance_days_"&amp;$T158,param_keys,0))</f>
        <v/>
      </c>
      <c r="AA158" s="15">
        <f>INDEX(param_values,MATCH("moisture_frac_"&amp;$C158,param_keys,0))</f>
        <v/>
      </c>
      <c r="AB158" s="15">
        <f>INDEX(param_values,MATCH("contamination_frac_"&amp;$C158,param_keys,0))</f>
        <v/>
      </c>
      <c r="AC158" s="15">
        <f>INDEX(param_values,MATCH("metal_yield_frac_"&amp;$C158,param_keys,0))</f>
        <v/>
      </c>
      <c r="AD158" s="15">
        <f>INDEX(param_values,MATCH("heavies_frac_"&amp;$C158,param_keys,0))</f>
        <v/>
      </c>
      <c r="AE158" s="8">
        <f>INDEX(param_values,MATCH("grade_factor_diff_"&amp;$C158,param_keys,0))</f>
        <v/>
      </c>
      <c r="AF158" s="16">
        <f>$F158*$P158</f>
        <v/>
      </c>
      <c r="AG158" s="8">
        <f>$U158/$V158</f>
        <v/>
      </c>
      <c r="AH158" s="16">
        <f>$L158*$AG158</f>
        <v/>
      </c>
      <c r="AI158" s="16">
        <f>$AF158-$AH158</f>
        <v/>
      </c>
      <c r="AJ158" s="16">
        <f>insurance_rate*insured_value_uplift*$AF158</f>
        <v/>
      </c>
      <c r="AK158" s="16">
        <f>$AF158+$AJ158</f>
        <v/>
      </c>
      <c r="AL158" s="18">
        <f>$AK158*$J158</f>
        <v/>
      </c>
      <c r="AM158" s="18">
        <f>$AK158*$I158</f>
        <v/>
      </c>
      <c r="AN158" s="18">
        <f>$AL158*bcd_scrap_hs7602</f>
        <v/>
      </c>
      <c r="AO158" s="18">
        <f>$AN158*sws_rate_on_bcd</f>
        <v/>
      </c>
      <c r="AP158" s="18">
        <f>($AL158+$AN158+$AO158)*igst_rate_hs7602</f>
        <v/>
      </c>
      <c r="AQ158" s="18">
        <f>$X158*$AG158+IF($Y158,psic_cost_usd_per_box*$H158/$W158,0)</f>
        <v/>
      </c>
      <c r="AR158" s="18">
        <f>($AM158+$AN158+$AO158)*$Z158/day_count_inr*$O158</f>
        <v/>
      </c>
      <c r="AS158" s="18">
        <f>$AP158*igst_credit_lag_days/day_count_inr*$O158</f>
        <v/>
      </c>
      <c r="AT158" s="18">
        <f>$AM158+$AN158+$AO158+$AQ158+$AR158+$AS158+IF(igst_itc_available,0,$AP158)</f>
        <v/>
      </c>
      <c r="AU158" s="15">
        <f>(1-$AA158)*(1-$AB158)*$AC158</f>
        <v/>
      </c>
      <c r="AV158" s="18">
        <f>$N158*kg_per_mt+domestic_anchor_premium_inr_t</f>
        <v/>
      </c>
      <c r="AW158" s="18">
        <f>(1-$AA158)*$AD158*heavies_net_value_frac_of_lme_al*$F158*$H158</f>
        <v/>
      </c>
      <c r="AX158" s="18">
        <f>conversion_cost_inr_t*$AU158</f>
        <v/>
      </c>
      <c r="AY158" s="18">
        <f>$AV158*$AU158+$AW158-$AT158-$AX158</f>
        <v/>
      </c>
      <c r="AZ158" s="16">
        <f>$AY158/$H158</f>
        <v/>
      </c>
      <c r="BA158" s="8">
        <f>$AY158&gt;margin_threshold_inr_t</f>
        <v/>
      </c>
      <c r="BB158" s="8">
        <f>$Q158+$AE158</f>
        <v/>
      </c>
      <c r="BC158" s="18">
        <f>$AT158-$AQ158</f>
        <v/>
      </c>
      <c r="BD158" s="18">
        <f>$AY158-$BC158*($BB158/$P158-1)</f>
        <v/>
      </c>
      <c r="BE158" s="18">
        <f>$AY158-(conv_step_5a-conversion_cost_inr_t)*$AU158</f>
        <v/>
      </c>
      <c r="BF158" s="8">
        <f>$BA158</f>
        <v/>
      </c>
      <c r="BG158" s="8">
        <f>$BD158&gt;margin_threshold_inr_t</f>
        <v/>
      </c>
      <c r="BH158" s="8">
        <f>$BE158&gt;margin_threshold_inr_t</f>
        <v/>
      </c>
      <c r="BI158" s="8">
        <f>AND($BF158,$BG158,$BH158)</f>
        <v/>
      </c>
      <c r="BJ158" s="8">
        <f>IF($BI158,1,0)</f>
        <v/>
      </c>
    </row>
    <row r="159">
      <c r="A159" s="11" t="n">
        <v>44743</v>
      </c>
      <c r="B159" s="11" t="n">
        <v>44743</v>
      </c>
      <c r="C159" s="7" t="inlineStr">
        <is>
          <t>taint_tabor</t>
        </is>
      </c>
      <c r="D159" s="7" t="inlineStr">
        <is>
          <t>USEC_MUN</t>
        </is>
      </c>
      <c r="E159" s="17" t="b">
        <v>1</v>
      </c>
      <c r="F159" s="16">
        <f>INDEX(Market_Weekly!$E$6:$E$48,MATCH($A159,Market_Weekly!$A$6:$A$48,0))</f>
        <v/>
      </c>
      <c r="G159" s="16">
        <f>INDEX(Market_Weekly!$D$6:$D$48,MATCH($A159,Market_Weekly!$A$6:$A$48,0))</f>
        <v/>
      </c>
      <c r="H159" s="16">
        <f>INDEX(Market_Weekly!$G$6:$G$48,MATCH($A159,Market_Weekly!$A$6:$A$48,0))</f>
        <v/>
      </c>
      <c r="I159" s="8">
        <f>INDEX(Market_Weekly!$H$6:$H$48,MATCH($A159,Market_Weekly!$A$6:$A$48,0))</f>
        <v/>
      </c>
      <c r="J159" s="8">
        <f>INDEX(Market_Weekly!$Q$6:$Q$48,MATCH($A159,Market_Weekly!$A$6:$A$48,0))</f>
        <v/>
      </c>
      <c r="K159" s="8">
        <f>INDEX(Market_Weekly!$V$6:$V$48,MATCH($A159,Market_Weekly!$A$6:$A$48,0))</f>
        <v/>
      </c>
      <c r="L159" s="16">
        <f>IF($D159="JEA_NSA",INDEX(Market_Weekly!$N$6:$N$48,MATCH($A159,Market_Weekly!$A$6:$A$48,0)),INDEX(Market_Weekly!$O$6:$O$48,MATCH($A159,Market_Weekly!$A$6:$A$48,0)))</f>
        <v/>
      </c>
      <c r="M159" s="8">
        <f>IF($D159="JEA_NSA","M1","M2")</f>
        <v/>
      </c>
      <c r="N159" s="16">
        <f>IF($D159="JEA_NSA",INDEX(Market_Weekly!$L$6:$L$48,MATCH($A159,Market_Weekly!$A$6:$A$48,0)),INDEX(Market_Weekly!$M$6:$M$48,MATCH($A159,Market_Weekly!$A$6:$A$48,0)))</f>
        <v/>
      </c>
      <c r="O159" s="15">
        <f>INDEX(Market_Weekly!$P$6:$P$48,MATCH($A159,Market_Weekly!$A$6:$A$48,0))</f>
        <v/>
      </c>
      <c r="P159" s="8">
        <f>INDEX(Market_Weekly!$R$6:$T$48,MATCH($A159,Market_Weekly!$A$6:$A$48,0),MATCH("grade_factor_"&amp;$C159,Market_Weekly!$R$5:$T$5,0))</f>
        <v/>
      </c>
      <c r="Q159" s="8">
        <f>INDEX(Market_Weekly!$U$6:$U$48,MATCH($A159,Market_Weekly!$A$6:$A$48,0))</f>
        <v/>
      </c>
      <c r="R159" s="8">
        <f>IF($D159="JEA_NSA","20ft","40ft")</f>
        <v/>
      </c>
      <c r="S159" s="8">
        <f>IF($D159="JEA_NSA","nsa","mun")</f>
        <v/>
      </c>
      <c r="T159" s="8">
        <f>IF($D159="JEA_NSA","jea_nsa","usec_mun")</f>
        <v/>
      </c>
      <c r="U159" s="16">
        <f>INDEX(param_values,MATCH("container_payload_mt_"&amp;$R159,param_keys,0))</f>
        <v/>
      </c>
      <c r="V159" s="16">
        <f>INDEX(param_values,MATCH("container_payload_mt_"&amp;$R159&amp;"_"&amp;$C159,param_keys,0))</f>
        <v/>
      </c>
      <c r="W159" s="16">
        <f>INDEX(param_values,MATCH("container_payload_mt_20ft_"&amp;$C159,param_keys,0))</f>
        <v/>
      </c>
      <c r="X159" s="18">
        <f>INDEX(param_values,MATCH("port_cf_charges_inr_t_"&amp;$S159,param_keys,0))</f>
        <v/>
      </c>
      <c r="Y159" s="8">
        <f>INDEX(param_values,MATCH(IF($D159="JEA_NSA","psic_required_uae_origin","psic_required_safe_origin_designated_port"),param_keys,0))</f>
        <v/>
      </c>
      <c r="Z159" s="19">
        <f>INDEX(param_values,MATCH("finance_days_"&amp;$T159,param_keys,0))</f>
        <v/>
      </c>
      <c r="AA159" s="15">
        <f>INDEX(param_values,MATCH("moisture_frac_"&amp;$C159,param_keys,0))</f>
        <v/>
      </c>
      <c r="AB159" s="15">
        <f>INDEX(param_values,MATCH("contamination_frac_"&amp;$C159,param_keys,0))</f>
        <v/>
      </c>
      <c r="AC159" s="15">
        <f>INDEX(param_values,MATCH("metal_yield_frac_"&amp;$C159,param_keys,0))</f>
        <v/>
      </c>
      <c r="AD159" s="15">
        <f>INDEX(param_values,MATCH("heavies_frac_"&amp;$C159,param_keys,0))</f>
        <v/>
      </c>
      <c r="AE159" s="8">
        <f>INDEX(param_values,MATCH("grade_factor_diff_"&amp;$C159,param_keys,0))</f>
        <v/>
      </c>
      <c r="AF159" s="16">
        <f>$F159*$P159</f>
        <v/>
      </c>
      <c r="AG159" s="8">
        <f>$U159/$V159</f>
        <v/>
      </c>
      <c r="AH159" s="16">
        <f>$L159*$AG159</f>
        <v/>
      </c>
      <c r="AI159" s="16">
        <f>$AF159-$AH159</f>
        <v/>
      </c>
      <c r="AJ159" s="16">
        <f>insurance_rate*insured_value_uplift*$AF159</f>
        <v/>
      </c>
      <c r="AK159" s="16">
        <f>$AF159+$AJ159</f>
        <v/>
      </c>
      <c r="AL159" s="18">
        <f>$AK159*$J159</f>
        <v/>
      </c>
      <c r="AM159" s="18">
        <f>$AK159*$I159</f>
        <v/>
      </c>
      <c r="AN159" s="18">
        <f>$AL159*bcd_scrap_hs7602</f>
        <v/>
      </c>
      <c r="AO159" s="18">
        <f>$AN159*sws_rate_on_bcd</f>
        <v/>
      </c>
      <c r="AP159" s="18">
        <f>($AL159+$AN159+$AO159)*igst_rate_hs7602</f>
        <v/>
      </c>
      <c r="AQ159" s="18">
        <f>$X159*$AG159+IF($Y159,psic_cost_usd_per_box*$H159/$W159,0)</f>
        <v/>
      </c>
      <c r="AR159" s="18">
        <f>($AM159+$AN159+$AO159)*$Z159/day_count_inr*$O159</f>
        <v/>
      </c>
      <c r="AS159" s="18">
        <f>$AP159*igst_credit_lag_days/day_count_inr*$O159</f>
        <v/>
      </c>
      <c r="AT159" s="18">
        <f>$AM159+$AN159+$AO159+$AQ159+$AR159+$AS159+IF(igst_itc_available,0,$AP159)</f>
        <v/>
      </c>
      <c r="AU159" s="15">
        <f>(1-$AA159)*(1-$AB159)*$AC159</f>
        <v/>
      </c>
      <c r="AV159" s="18">
        <f>$N159*kg_per_mt+domestic_anchor_premium_inr_t</f>
        <v/>
      </c>
      <c r="AW159" s="18">
        <f>(1-$AA159)*$AD159*heavies_net_value_frac_of_lme_al*$F159*$H159</f>
        <v/>
      </c>
      <c r="AX159" s="18">
        <f>conversion_cost_inr_t*$AU159</f>
        <v/>
      </c>
      <c r="AY159" s="18">
        <f>$AV159*$AU159+$AW159-$AT159-$AX159</f>
        <v/>
      </c>
      <c r="AZ159" s="16">
        <f>$AY159/$H159</f>
        <v/>
      </c>
      <c r="BA159" s="8">
        <f>$AY159&gt;margin_threshold_inr_t</f>
        <v/>
      </c>
      <c r="BB159" s="8">
        <f>$Q159+$AE159</f>
        <v/>
      </c>
      <c r="BC159" s="18">
        <f>$AT159-$AQ159</f>
        <v/>
      </c>
      <c r="BD159" s="18">
        <f>$AY159-$BC159*($BB159/$P159-1)</f>
        <v/>
      </c>
      <c r="BE159" s="18">
        <f>$AY159-(conv_step_5a-conversion_cost_inr_t)*$AU159</f>
        <v/>
      </c>
      <c r="BF159" s="8">
        <f>$BA159</f>
        <v/>
      </c>
      <c r="BG159" s="8">
        <f>$BD159&gt;margin_threshold_inr_t</f>
        <v/>
      </c>
      <c r="BH159" s="8">
        <f>$BE159&gt;margin_threshold_inr_t</f>
        <v/>
      </c>
      <c r="BI159" s="8">
        <f>AND($BF159,$BG159,$BH159)</f>
        <v/>
      </c>
      <c r="BJ159" s="8">
        <f>IF($BI159,1,0)</f>
        <v/>
      </c>
    </row>
    <row r="160">
      <c r="A160" s="11" t="n">
        <v>44743</v>
      </c>
      <c r="B160" s="11" t="n">
        <v>44743</v>
      </c>
      <c r="C160" s="7" t="inlineStr">
        <is>
          <t>tense</t>
        </is>
      </c>
      <c r="D160" s="7" t="inlineStr">
        <is>
          <t>JEA_NSA</t>
        </is>
      </c>
      <c r="E160" s="17" t="b">
        <v>1</v>
      </c>
      <c r="F160" s="16">
        <f>INDEX(Market_Weekly!$E$6:$E$48,MATCH($A160,Market_Weekly!$A$6:$A$48,0))</f>
        <v/>
      </c>
      <c r="G160" s="16">
        <f>INDEX(Market_Weekly!$D$6:$D$48,MATCH($A160,Market_Weekly!$A$6:$A$48,0))</f>
        <v/>
      </c>
      <c r="H160" s="16">
        <f>INDEX(Market_Weekly!$G$6:$G$48,MATCH($A160,Market_Weekly!$A$6:$A$48,0))</f>
        <v/>
      </c>
      <c r="I160" s="8">
        <f>INDEX(Market_Weekly!$H$6:$H$48,MATCH($A160,Market_Weekly!$A$6:$A$48,0))</f>
        <v/>
      </c>
      <c r="J160" s="8">
        <f>INDEX(Market_Weekly!$Q$6:$Q$48,MATCH($A160,Market_Weekly!$A$6:$A$48,0))</f>
        <v/>
      </c>
      <c r="K160" s="8">
        <f>INDEX(Market_Weekly!$V$6:$V$48,MATCH($A160,Market_Weekly!$A$6:$A$48,0))</f>
        <v/>
      </c>
      <c r="L160" s="16">
        <f>IF($D160="JEA_NSA",INDEX(Market_Weekly!$N$6:$N$48,MATCH($A160,Market_Weekly!$A$6:$A$48,0)),INDEX(Market_Weekly!$O$6:$O$48,MATCH($A160,Market_Weekly!$A$6:$A$48,0)))</f>
        <v/>
      </c>
      <c r="M160" s="8">
        <f>IF($D160="JEA_NSA","M1","M2")</f>
        <v/>
      </c>
      <c r="N160" s="16">
        <f>IF($D160="JEA_NSA",INDEX(Market_Weekly!$L$6:$L$48,MATCH($A160,Market_Weekly!$A$6:$A$48,0)),INDEX(Market_Weekly!$M$6:$M$48,MATCH($A160,Market_Weekly!$A$6:$A$48,0)))</f>
        <v/>
      </c>
      <c r="O160" s="15">
        <f>INDEX(Market_Weekly!$P$6:$P$48,MATCH($A160,Market_Weekly!$A$6:$A$48,0))</f>
        <v/>
      </c>
      <c r="P160" s="8">
        <f>INDEX(Market_Weekly!$R$6:$T$48,MATCH($A160,Market_Weekly!$A$6:$A$48,0),MATCH("grade_factor_"&amp;$C160,Market_Weekly!$R$5:$T$5,0))</f>
        <v/>
      </c>
      <c r="Q160" s="8">
        <f>INDEX(Market_Weekly!$U$6:$U$48,MATCH($A160,Market_Weekly!$A$6:$A$48,0))</f>
        <v/>
      </c>
      <c r="R160" s="8">
        <f>IF($D160="JEA_NSA","20ft","40ft")</f>
        <v/>
      </c>
      <c r="S160" s="8">
        <f>IF($D160="JEA_NSA","nsa","mun")</f>
        <v/>
      </c>
      <c r="T160" s="8">
        <f>IF($D160="JEA_NSA","jea_nsa","usec_mun")</f>
        <v/>
      </c>
      <c r="U160" s="16">
        <f>INDEX(param_values,MATCH("container_payload_mt_"&amp;$R160,param_keys,0))</f>
        <v/>
      </c>
      <c r="V160" s="16">
        <f>INDEX(param_values,MATCH("container_payload_mt_"&amp;$R160&amp;"_"&amp;$C160,param_keys,0))</f>
        <v/>
      </c>
      <c r="W160" s="16">
        <f>INDEX(param_values,MATCH("container_payload_mt_20ft_"&amp;$C160,param_keys,0))</f>
        <v/>
      </c>
      <c r="X160" s="18">
        <f>INDEX(param_values,MATCH("port_cf_charges_inr_t_"&amp;$S160,param_keys,0))</f>
        <v/>
      </c>
      <c r="Y160" s="8">
        <f>INDEX(param_values,MATCH(IF($D160="JEA_NSA","psic_required_uae_origin","psic_required_safe_origin_designated_port"),param_keys,0))</f>
        <v/>
      </c>
      <c r="Z160" s="19">
        <f>INDEX(param_values,MATCH("finance_days_"&amp;$T160,param_keys,0))</f>
        <v/>
      </c>
      <c r="AA160" s="15">
        <f>INDEX(param_values,MATCH("moisture_frac_"&amp;$C160,param_keys,0))</f>
        <v/>
      </c>
      <c r="AB160" s="15">
        <f>INDEX(param_values,MATCH("contamination_frac_"&amp;$C160,param_keys,0))</f>
        <v/>
      </c>
      <c r="AC160" s="15">
        <f>INDEX(param_values,MATCH("metal_yield_frac_"&amp;$C160,param_keys,0))</f>
        <v/>
      </c>
      <c r="AD160" s="15">
        <f>INDEX(param_values,MATCH("heavies_frac_"&amp;$C160,param_keys,0))</f>
        <v/>
      </c>
      <c r="AE160" s="8">
        <f>INDEX(param_values,MATCH("grade_factor_diff_"&amp;$C160,param_keys,0))</f>
        <v/>
      </c>
      <c r="AF160" s="16">
        <f>$F160*$P160</f>
        <v/>
      </c>
      <c r="AG160" s="8">
        <f>$U160/$V160</f>
        <v/>
      </c>
      <c r="AH160" s="16">
        <f>$L160*$AG160</f>
        <v/>
      </c>
      <c r="AI160" s="16">
        <f>$AF160-$AH160</f>
        <v/>
      </c>
      <c r="AJ160" s="16">
        <f>insurance_rate*insured_value_uplift*$AF160</f>
        <v/>
      </c>
      <c r="AK160" s="16">
        <f>$AF160+$AJ160</f>
        <v/>
      </c>
      <c r="AL160" s="18">
        <f>$AK160*$J160</f>
        <v/>
      </c>
      <c r="AM160" s="18">
        <f>$AK160*$I160</f>
        <v/>
      </c>
      <c r="AN160" s="18">
        <f>$AL160*bcd_scrap_hs7602</f>
        <v/>
      </c>
      <c r="AO160" s="18">
        <f>$AN160*sws_rate_on_bcd</f>
        <v/>
      </c>
      <c r="AP160" s="18">
        <f>($AL160+$AN160+$AO160)*igst_rate_hs7602</f>
        <v/>
      </c>
      <c r="AQ160" s="18">
        <f>$X160*$AG160+IF($Y160,psic_cost_usd_per_box*$H160/$W160,0)</f>
        <v/>
      </c>
      <c r="AR160" s="18">
        <f>($AM160+$AN160+$AO160)*$Z160/day_count_inr*$O160</f>
        <v/>
      </c>
      <c r="AS160" s="18">
        <f>$AP160*igst_credit_lag_days/day_count_inr*$O160</f>
        <v/>
      </c>
      <c r="AT160" s="18">
        <f>$AM160+$AN160+$AO160+$AQ160+$AR160+$AS160+IF(igst_itc_available,0,$AP160)</f>
        <v/>
      </c>
      <c r="AU160" s="15">
        <f>(1-$AA160)*(1-$AB160)*$AC160</f>
        <v/>
      </c>
      <c r="AV160" s="18">
        <f>$N160*kg_per_mt+domestic_anchor_premium_inr_t</f>
        <v/>
      </c>
      <c r="AW160" s="18">
        <f>(1-$AA160)*$AD160*heavies_net_value_frac_of_lme_al*$F160*$H160</f>
        <v/>
      </c>
      <c r="AX160" s="18">
        <f>conversion_cost_inr_t*$AU160</f>
        <v/>
      </c>
      <c r="AY160" s="18">
        <f>$AV160*$AU160+$AW160-$AT160-$AX160</f>
        <v/>
      </c>
      <c r="AZ160" s="16">
        <f>$AY160/$H160</f>
        <v/>
      </c>
      <c r="BA160" s="8">
        <f>$AY160&gt;margin_threshold_inr_t</f>
        <v/>
      </c>
      <c r="BB160" s="8">
        <f>$Q160+$AE160</f>
        <v/>
      </c>
      <c r="BC160" s="18">
        <f>$AT160-$AQ160</f>
        <v/>
      </c>
      <c r="BD160" s="18">
        <f>$AY160-$BC160*($BB160/$P160-1)</f>
        <v/>
      </c>
      <c r="BE160" s="18">
        <f>$AY160-(conv_step_5a-conversion_cost_inr_t)*$AU160</f>
        <v/>
      </c>
      <c r="BF160" s="8">
        <f>$BA160</f>
        <v/>
      </c>
      <c r="BG160" s="8">
        <f>$BD160&gt;margin_threshold_inr_t</f>
        <v/>
      </c>
      <c r="BH160" s="8">
        <f>$BE160&gt;margin_threshold_inr_t</f>
        <v/>
      </c>
      <c r="BI160" s="8">
        <f>AND($BF160,$BG160,$BH160)</f>
        <v/>
      </c>
      <c r="BJ160" s="8">
        <f>IF($BI160,1,0)</f>
        <v/>
      </c>
    </row>
    <row r="161">
      <c r="A161" s="11" t="n">
        <v>44743</v>
      </c>
      <c r="B161" s="11" t="n">
        <v>44743</v>
      </c>
      <c r="C161" s="7" t="inlineStr">
        <is>
          <t>tense</t>
        </is>
      </c>
      <c r="D161" s="7" t="inlineStr">
        <is>
          <t>USEC_MUN</t>
        </is>
      </c>
      <c r="E161" s="17" t="b">
        <v>1</v>
      </c>
      <c r="F161" s="16">
        <f>INDEX(Market_Weekly!$E$6:$E$48,MATCH($A161,Market_Weekly!$A$6:$A$48,0))</f>
        <v/>
      </c>
      <c r="G161" s="16">
        <f>INDEX(Market_Weekly!$D$6:$D$48,MATCH($A161,Market_Weekly!$A$6:$A$48,0))</f>
        <v/>
      </c>
      <c r="H161" s="16">
        <f>INDEX(Market_Weekly!$G$6:$G$48,MATCH($A161,Market_Weekly!$A$6:$A$48,0))</f>
        <v/>
      </c>
      <c r="I161" s="8">
        <f>INDEX(Market_Weekly!$H$6:$H$48,MATCH($A161,Market_Weekly!$A$6:$A$48,0))</f>
        <v/>
      </c>
      <c r="J161" s="8">
        <f>INDEX(Market_Weekly!$Q$6:$Q$48,MATCH($A161,Market_Weekly!$A$6:$A$48,0))</f>
        <v/>
      </c>
      <c r="K161" s="8">
        <f>INDEX(Market_Weekly!$V$6:$V$48,MATCH($A161,Market_Weekly!$A$6:$A$48,0))</f>
        <v/>
      </c>
      <c r="L161" s="16">
        <f>IF($D161="JEA_NSA",INDEX(Market_Weekly!$N$6:$N$48,MATCH($A161,Market_Weekly!$A$6:$A$48,0)),INDEX(Market_Weekly!$O$6:$O$48,MATCH($A161,Market_Weekly!$A$6:$A$48,0)))</f>
        <v/>
      </c>
      <c r="M161" s="8">
        <f>IF($D161="JEA_NSA","M1","M2")</f>
        <v/>
      </c>
      <c r="N161" s="16">
        <f>IF($D161="JEA_NSA",INDEX(Market_Weekly!$L$6:$L$48,MATCH($A161,Market_Weekly!$A$6:$A$48,0)),INDEX(Market_Weekly!$M$6:$M$48,MATCH($A161,Market_Weekly!$A$6:$A$48,0)))</f>
        <v/>
      </c>
      <c r="O161" s="15">
        <f>INDEX(Market_Weekly!$P$6:$P$48,MATCH($A161,Market_Weekly!$A$6:$A$48,0))</f>
        <v/>
      </c>
      <c r="P161" s="8">
        <f>INDEX(Market_Weekly!$R$6:$T$48,MATCH($A161,Market_Weekly!$A$6:$A$48,0),MATCH("grade_factor_"&amp;$C161,Market_Weekly!$R$5:$T$5,0))</f>
        <v/>
      </c>
      <c r="Q161" s="8">
        <f>INDEX(Market_Weekly!$U$6:$U$48,MATCH($A161,Market_Weekly!$A$6:$A$48,0))</f>
        <v/>
      </c>
      <c r="R161" s="8">
        <f>IF($D161="JEA_NSA","20ft","40ft")</f>
        <v/>
      </c>
      <c r="S161" s="8">
        <f>IF($D161="JEA_NSA","nsa","mun")</f>
        <v/>
      </c>
      <c r="T161" s="8">
        <f>IF($D161="JEA_NSA","jea_nsa","usec_mun")</f>
        <v/>
      </c>
      <c r="U161" s="16">
        <f>INDEX(param_values,MATCH("container_payload_mt_"&amp;$R161,param_keys,0))</f>
        <v/>
      </c>
      <c r="V161" s="16">
        <f>INDEX(param_values,MATCH("container_payload_mt_"&amp;$R161&amp;"_"&amp;$C161,param_keys,0))</f>
        <v/>
      </c>
      <c r="W161" s="16">
        <f>INDEX(param_values,MATCH("container_payload_mt_20ft_"&amp;$C161,param_keys,0))</f>
        <v/>
      </c>
      <c r="X161" s="18">
        <f>INDEX(param_values,MATCH("port_cf_charges_inr_t_"&amp;$S161,param_keys,0))</f>
        <v/>
      </c>
      <c r="Y161" s="8">
        <f>INDEX(param_values,MATCH(IF($D161="JEA_NSA","psic_required_uae_origin","psic_required_safe_origin_designated_port"),param_keys,0))</f>
        <v/>
      </c>
      <c r="Z161" s="19">
        <f>INDEX(param_values,MATCH("finance_days_"&amp;$T161,param_keys,0))</f>
        <v/>
      </c>
      <c r="AA161" s="15">
        <f>INDEX(param_values,MATCH("moisture_frac_"&amp;$C161,param_keys,0))</f>
        <v/>
      </c>
      <c r="AB161" s="15">
        <f>INDEX(param_values,MATCH("contamination_frac_"&amp;$C161,param_keys,0))</f>
        <v/>
      </c>
      <c r="AC161" s="15">
        <f>INDEX(param_values,MATCH("metal_yield_frac_"&amp;$C161,param_keys,0))</f>
        <v/>
      </c>
      <c r="AD161" s="15">
        <f>INDEX(param_values,MATCH("heavies_frac_"&amp;$C161,param_keys,0))</f>
        <v/>
      </c>
      <c r="AE161" s="8">
        <f>INDEX(param_values,MATCH("grade_factor_diff_"&amp;$C161,param_keys,0))</f>
        <v/>
      </c>
      <c r="AF161" s="16">
        <f>$F161*$P161</f>
        <v/>
      </c>
      <c r="AG161" s="8">
        <f>$U161/$V161</f>
        <v/>
      </c>
      <c r="AH161" s="16">
        <f>$L161*$AG161</f>
        <v/>
      </c>
      <c r="AI161" s="16">
        <f>$AF161-$AH161</f>
        <v/>
      </c>
      <c r="AJ161" s="16">
        <f>insurance_rate*insured_value_uplift*$AF161</f>
        <v/>
      </c>
      <c r="AK161" s="16">
        <f>$AF161+$AJ161</f>
        <v/>
      </c>
      <c r="AL161" s="18">
        <f>$AK161*$J161</f>
        <v/>
      </c>
      <c r="AM161" s="18">
        <f>$AK161*$I161</f>
        <v/>
      </c>
      <c r="AN161" s="18">
        <f>$AL161*bcd_scrap_hs7602</f>
        <v/>
      </c>
      <c r="AO161" s="18">
        <f>$AN161*sws_rate_on_bcd</f>
        <v/>
      </c>
      <c r="AP161" s="18">
        <f>($AL161+$AN161+$AO161)*igst_rate_hs7602</f>
        <v/>
      </c>
      <c r="AQ161" s="18">
        <f>$X161*$AG161+IF($Y161,psic_cost_usd_per_box*$H161/$W161,0)</f>
        <v/>
      </c>
      <c r="AR161" s="18">
        <f>($AM161+$AN161+$AO161)*$Z161/day_count_inr*$O161</f>
        <v/>
      </c>
      <c r="AS161" s="18">
        <f>$AP161*igst_credit_lag_days/day_count_inr*$O161</f>
        <v/>
      </c>
      <c r="AT161" s="18">
        <f>$AM161+$AN161+$AO161+$AQ161+$AR161+$AS161+IF(igst_itc_available,0,$AP161)</f>
        <v/>
      </c>
      <c r="AU161" s="15">
        <f>(1-$AA161)*(1-$AB161)*$AC161</f>
        <v/>
      </c>
      <c r="AV161" s="18">
        <f>$N161*kg_per_mt+domestic_anchor_premium_inr_t</f>
        <v/>
      </c>
      <c r="AW161" s="18">
        <f>(1-$AA161)*$AD161*heavies_net_value_frac_of_lme_al*$F161*$H161</f>
        <v/>
      </c>
      <c r="AX161" s="18">
        <f>conversion_cost_inr_t*$AU161</f>
        <v/>
      </c>
      <c r="AY161" s="18">
        <f>$AV161*$AU161+$AW161-$AT161-$AX161</f>
        <v/>
      </c>
      <c r="AZ161" s="16">
        <f>$AY161/$H161</f>
        <v/>
      </c>
      <c r="BA161" s="8">
        <f>$AY161&gt;margin_threshold_inr_t</f>
        <v/>
      </c>
      <c r="BB161" s="8">
        <f>$Q161+$AE161</f>
        <v/>
      </c>
      <c r="BC161" s="18">
        <f>$AT161-$AQ161</f>
        <v/>
      </c>
      <c r="BD161" s="18">
        <f>$AY161-$BC161*($BB161/$P161-1)</f>
        <v/>
      </c>
      <c r="BE161" s="18">
        <f>$AY161-(conv_step_5a-conversion_cost_inr_t)*$AU161</f>
        <v/>
      </c>
      <c r="BF161" s="8">
        <f>$BA161</f>
        <v/>
      </c>
      <c r="BG161" s="8">
        <f>$BD161&gt;margin_threshold_inr_t</f>
        <v/>
      </c>
      <c r="BH161" s="8">
        <f>$BE161&gt;margin_threshold_inr_t</f>
        <v/>
      </c>
      <c r="BI161" s="8">
        <f>AND($BF161,$BG161,$BH161)</f>
        <v/>
      </c>
      <c r="BJ161" s="8">
        <f>IF($BI161,1,0)</f>
        <v/>
      </c>
    </row>
    <row r="162">
      <c r="A162" s="11" t="n">
        <v>44750</v>
      </c>
      <c r="B162" s="11" t="n">
        <v>44750</v>
      </c>
      <c r="C162" s="7" t="inlineStr">
        <is>
          <t>zorba</t>
        </is>
      </c>
      <c r="D162" s="7" t="inlineStr">
        <is>
          <t>JEA_NSA</t>
        </is>
      </c>
      <c r="E162" s="17" t="b">
        <v>1</v>
      </c>
      <c r="F162" s="16">
        <f>INDEX(Market_Weekly!$E$6:$E$48,MATCH($A162,Market_Weekly!$A$6:$A$48,0))</f>
        <v/>
      </c>
      <c r="G162" s="16">
        <f>INDEX(Market_Weekly!$D$6:$D$48,MATCH($A162,Market_Weekly!$A$6:$A$48,0))</f>
        <v/>
      </c>
      <c r="H162" s="16">
        <f>INDEX(Market_Weekly!$G$6:$G$48,MATCH($A162,Market_Weekly!$A$6:$A$48,0))</f>
        <v/>
      </c>
      <c r="I162" s="8">
        <f>INDEX(Market_Weekly!$H$6:$H$48,MATCH($A162,Market_Weekly!$A$6:$A$48,0))</f>
        <v/>
      </c>
      <c r="J162" s="8">
        <f>INDEX(Market_Weekly!$Q$6:$Q$48,MATCH($A162,Market_Weekly!$A$6:$A$48,0))</f>
        <v/>
      </c>
      <c r="K162" s="8">
        <f>INDEX(Market_Weekly!$V$6:$V$48,MATCH($A162,Market_Weekly!$A$6:$A$48,0))</f>
        <v/>
      </c>
      <c r="L162" s="16">
        <f>IF($D162="JEA_NSA",INDEX(Market_Weekly!$N$6:$N$48,MATCH($A162,Market_Weekly!$A$6:$A$48,0)),INDEX(Market_Weekly!$O$6:$O$48,MATCH($A162,Market_Weekly!$A$6:$A$48,0)))</f>
        <v/>
      </c>
      <c r="M162" s="8">
        <f>IF($D162="JEA_NSA","M1","M2")</f>
        <v/>
      </c>
      <c r="N162" s="16">
        <f>IF($D162="JEA_NSA",INDEX(Market_Weekly!$L$6:$L$48,MATCH($A162,Market_Weekly!$A$6:$A$48,0)),INDEX(Market_Weekly!$M$6:$M$48,MATCH($A162,Market_Weekly!$A$6:$A$48,0)))</f>
        <v/>
      </c>
      <c r="O162" s="15">
        <f>INDEX(Market_Weekly!$P$6:$P$48,MATCH($A162,Market_Weekly!$A$6:$A$48,0))</f>
        <v/>
      </c>
      <c r="P162" s="8">
        <f>INDEX(Market_Weekly!$R$6:$T$48,MATCH($A162,Market_Weekly!$A$6:$A$48,0),MATCH("grade_factor_"&amp;$C162,Market_Weekly!$R$5:$T$5,0))</f>
        <v/>
      </c>
      <c r="Q162" s="8">
        <f>INDEX(Market_Weekly!$U$6:$U$48,MATCH($A162,Market_Weekly!$A$6:$A$48,0))</f>
        <v/>
      </c>
      <c r="R162" s="8">
        <f>IF($D162="JEA_NSA","20ft","40ft")</f>
        <v/>
      </c>
      <c r="S162" s="8">
        <f>IF($D162="JEA_NSA","nsa","mun")</f>
        <v/>
      </c>
      <c r="T162" s="8">
        <f>IF($D162="JEA_NSA","jea_nsa","usec_mun")</f>
        <v/>
      </c>
      <c r="U162" s="16">
        <f>INDEX(param_values,MATCH("container_payload_mt_"&amp;$R162,param_keys,0))</f>
        <v/>
      </c>
      <c r="V162" s="16">
        <f>INDEX(param_values,MATCH("container_payload_mt_"&amp;$R162&amp;"_"&amp;$C162,param_keys,0))</f>
        <v/>
      </c>
      <c r="W162" s="16">
        <f>INDEX(param_values,MATCH("container_payload_mt_20ft_"&amp;$C162,param_keys,0))</f>
        <v/>
      </c>
      <c r="X162" s="18">
        <f>INDEX(param_values,MATCH("port_cf_charges_inr_t_"&amp;$S162,param_keys,0))</f>
        <v/>
      </c>
      <c r="Y162" s="8">
        <f>INDEX(param_values,MATCH(IF($D162="JEA_NSA","psic_required_uae_origin","psic_required_safe_origin_designated_port"),param_keys,0))</f>
        <v/>
      </c>
      <c r="Z162" s="19">
        <f>INDEX(param_values,MATCH("finance_days_"&amp;$T162,param_keys,0))</f>
        <v/>
      </c>
      <c r="AA162" s="15">
        <f>INDEX(param_values,MATCH("moisture_frac_"&amp;$C162,param_keys,0))</f>
        <v/>
      </c>
      <c r="AB162" s="15">
        <f>INDEX(param_values,MATCH("contamination_frac_"&amp;$C162,param_keys,0))</f>
        <v/>
      </c>
      <c r="AC162" s="15">
        <f>INDEX(param_values,MATCH("metal_yield_frac_"&amp;$C162,param_keys,0))</f>
        <v/>
      </c>
      <c r="AD162" s="15">
        <f>INDEX(param_values,MATCH("heavies_frac_"&amp;$C162,param_keys,0))</f>
        <v/>
      </c>
      <c r="AE162" s="8">
        <f>INDEX(param_values,MATCH("grade_factor_diff_"&amp;$C162,param_keys,0))</f>
        <v/>
      </c>
      <c r="AF162" s="16">
        <f>$F162*$P162</f>
        <v/>
      </c>
      <c r="AG162" s="8">
        <f>$U162/$V162</f>
        <v/>
      </c>
      <c r="AH162" s="16">
        <f>$L162*$AG162</f>
        <v/>
      </c>
      <c r="AI162" s="16">
        <f>$AF162-$AH162</f>
        <v/>
      </c>
      <c r="AJ162" s="16">
        <f>insurance_rate*insured_value_uplift*$AF162</f>
        <v/>
      </c>
      <c r="AK162" s="16">
        <f>$AF162+$AJ162</f>
        <v/>
      </c>
      <c r="AL162" s="18">
        <f>$AK162*$J162</f>
        <v/>
      </c>
      <c r="AM162" s="18">
        <f>$AK162*$I162</f>
        <v/>
      </c>
      <c r="AN162" s="18">
        <f>$AL162*bcd_scrap_hs7602</f>
        <v/>
      </c>
      <c r="AO162" s="18">
        <f>$AN162*sws_rate_on_bcd</f>
        <v/>
      </c>
      <c r="AP162" s="18">
        <f>($AL162+$AN162+$AO162)*igst_rate_hs7602</f>
        <v/>
      </c>
      <c r="AQ162" s="18">
        <f>$X162*$AG162+IF($Y162,psic_cost_usd_per_box*$H162/$W162,0)</f>
        <v/>
      </c>
      <c r="AR162" s="18">
        <f>($AM162+$AN162+$AO162)*$Z162/day_count_inr*$O162</f>
        <v/>
      </c>
      <c r="AS162" s="18">
        <f>$AP162*igst_credit_lag_days/day_count_inr*$O162</f>
        <v/>
      </c>
      <c r="AT162" s="18">
        <f>$AM162+$AN162+$AO162+$AQ162+$AR162+$AS162+IF(igst_itc_available,0,$AP162)</f>
        <v/>
      </c>
      <c r="AU162" s="15">
        <f>(1-$AA162)*(1-$AB162)*$AC162</f>
        <v/>
      </c>
      <c r="AV162" s="18">
        <f>$N162*kg_per_mt+domestic_anchor_premium_inr_t</f>
        <v/>
      </c>
      <c r="AW162" s="18">
        <f>(1-$AA162)*$AD162*heavies_net_value_frac_of_lme_al*$F162*$H162</f>
        <v/>
      </c>
      <c r="AX162" s="18">
        <f>conversion_cost_inr_t*$AU162</f>
        <v/>
      </c>
      <c r="AY162" s="18">
        <f>$AV162*$AU162+$AW162-$AT162-$AX162</f>
        <v/>
      </c>
      <c r="AZ162" s="16">
        <f>$AY162/$H162</f>
        <v/>
      </c>
      <c r="BA162" s="8">
        <f>$AY162&gt;margin_threshold_inr_t</f>
        <v/>
      </c>
      <c r="BB162" s="8">
        <f>$Q162+$AE162</f>
        <v/>
      </c>
      <c r="BC162" s="18">
        <f>$AT162-$AQ162</f>
        <v/>
      </c>
      <c r="BD162" s="18">
        <f>$AY162-$BC162*($BB162/$P162-1)</f>
        <v/>
      </c>
      <c r="BE162" s="18">
        <f>$AY162-(conv_step_5a-conversion_cost_inr_t)*$AU162</f>
        <v/>
      </c>
      <c r="BF162" s="8">
        <f>$BA162</f>
        <v/>
      </c>
      <c r="BG162" s="8">
        <f>$BD162&gt;margin_threshold_inr_t</f>
        <v/>
      </c>
      <c r="BH162" s="8">
        <f>$BE162&gt;margin_threshold_inr_t</f>
        <v/>
      </c>
      <c r="BI162" s="8">
        <f>AND($BF162,$BG162,$BH162)</f>
        <v/>
      </c>
      <c r="BJ162" s="8">
        <f>IF($BI162,1,0)</f>
        <v/>
      </c>
    </row>
    <row r="163">
      <c r="A163" s="11" t="n">
        <v>44750</v>
      </c>
      <c r="B163" s="11" t="n">
        <v>44750</v>
      </c>
      <c r="C163" s="7" t="inlineStr">
        <is>
          <t>zorba</t>
        </is>
      </c>
      <c r="D163" s="7" t="inlineStr">
        <is>
          <t>USEC_MUN</t>
        </is>
      </c>
      <c r="E163" s="17" t="b">
        <v>1</v>
      </c>
      <c r="F163" s="16">
        <f>INDEX(Market_Weekly!$E$6:$E$48,MATCH($A163,Market_Weekly!$A$6:$A$48,0))</f>
        <v/>
      </c>
      <c r="G163" s="16">
        <f>INDEX(Market_Weekly!$D$6:$D$48,MATCH($A163,Market_Weekly!$A$6:$A$48,0))</f>
        <v/>
      </c>
      <c r="H163" s="16">
        <f>INDEX(Market_Weekly!$G$6:$G$48,MATCH($A163,Market_Weekly!$A$6:$A$48,0))</f>
        <v/>
      </c>
      <c r="I163" s="8">
        <f>INDEX(Market_Weekly!$H$6:$H$48,MATCH($A163,Market_Weekly!$A$6:$A$48,0))</f>
        <v/>
      </c>
      <c r="J163" s="8">
        <f>INDEX(Market_Weekly!$Q$6:$Q$48,MATCH($A163,Market_Weekly!$A$6:$A$48,0))</f>
        <v/>
      </c>
      <c r="K163" s="8">
        <f>INDEX(Market_Weekly!$V$6:$V$48,MATCH($A163,Market_Weekly!$A$6:$A$48,0))</f>
        <v/>
      </c>
      <c r="L163" s="16">
        <f>IF($D163="JEA_NSA",INDEX(Market_Weekly!$N$6:$N$48,MATCH($A163,Market_Weekly!$A$6:$A$48,0)),INDEX(Market_Weekly!$O$6:$O$48,MATCH($A163,Market_Weekly!$A$6:$A$48,0)))</f>
        <v/>
      </c>
      <c r="M163" s="8">
        <f>IF($D163="JEA_NSA","M1","M2")</f>
        <v/>
      </c>
      <c r="N163" s="16">
        <f>IF($D163="JEA_NSA",INDEX(Market_Weekly!$L$6:$L$48,MATCH($A163,Market_Weekly!$A$6:$A$48,0)),INDEX(Market_Weekly!$M$6:$M$48,MATCH($A163,Market_Weekly!$A$6:$A$48,0)))</f>
        <v/>
      </c>
      <c r="O163" s="15">
        <f>INDEX(Market_Weekly!$P$6:$P$48,MATCH($A163,Market_Weekly!$A$6:$A$48,0))</f>
        <v/>
      </c>
      <c r="P163" s="8">
        <f>INDEX(Market_Weekly!$R$6:$T$48,MATCH($A163,Market_Weekly!$A$6:$A$48,0),MATCH("grade_factor_"&amp;$C163,Market_Weekly!$R$5:$T$5,0))</f>
        <v/>
      </c>
      <c r="Q163" s="8">
        <f>INDEX(Market_Weekly!$U$6:$U$48,MATCH($A163,Market_Weekly!$A$6:$A$48,0))</f>
        <v/>
      </c>
      <c r="R163" s="8">
        <f>IF($D163="JEA_NSA","20ft","40ft")</f>
        <v/>
      </c>
      <c r="S163" s="8">
        <f>IF($D163="JEA_NSA","nsa","mun")</f>
        <v/>
      </c>
      <c r="T163" s="8">
        <f>IF($D163="JEA_NSA","jea_nsa","usec_mun")</f>
        <v/>
      </c>
      <c r="U163" s="16">
        <f>INDEX(param_values,MATCH("container_payload_mt_"&amp;$R163,param_keys,0))</f>
        <v/>
      </c>
      <c r="V163" s="16">
        <f>INDEX(param_values,MATCH("container_payload_mt_"&amp;$R163&amp;"_"&amp;$C163,param_keys,0))</f>
        <v/>
      </c>
      <c r="W163" s="16">
        <f>INDEX(param_values,MATCH("container_payload_mt_20ft_"&amp;$C163,param_keys,0))</f>
        <v/>
      </c>
      <c r="X163" s="18">
        <f>INDEX(param_values,MATCH("port_cf_charges_inr_t_"&amp;$S163,param_keys,0))</f>
        <v/>
      </c>
      <c r="Y163" s="8">
        <f>INDEX(param_values,MATCH(IF($D163="JEA_NSA","psic_required_uae_origin","psic_required_safe_origin_designated_port"),param_keys,0))</f>
        <v/>
      </c>
      <c r="Z163" s="19">
        <f>INDEX(param_values,MATCH("finance_days_"&amp;$T163,param_keys,0))</f>
        <v/>
      </c>
      <c r="AA163" s="15">
        <f>INDEX(param_values,MATCH("moisture_frac_"&amp;$C163,param_keys,0))</f>
        <v/>
      </c>
      <c r="AB163" s="15">
        <f>INDEX(param_values,MATCH("contamination_frac_"&amp;$C163,param_keys,0))</f>
        <v/>
      </c>
      <c r="AC163" s="15">
        <f>INDEX(param_values,MATCH("metal_yield_frac_"&amp;$C163,param_keys,0))</f>
        <v/>
      </c>
      <c r="AD163" s="15">
        <f>INDEX(param_values,MATCH("heavies_frac_"&amp;$C163,param_keys,0))</f>
        <v/>
      </c>
      <c r="AE163" s="8">
        <f>INDEX(param_values,MATCH("grade_factor_diff_"&amp;$C163,param_keys,0))</f>
        <v/>
      </c>
      <c r="AF163" s="16">
        <f>$F163*$P163</f>
        <v/>
      </c>
      <c r="AG163" s="8">
        <f>$U163/$V163</f>
        <v/>
      </c>
      <c r="AH163" s="16">
        <f>$L163*$AG163</f>
        <v/>
      </c>
      <c r="AI163" s="16">
        <f>$AF163-$AH163</f>
        <v/>
      </c>
      <c r="AJ163" s="16">
        <f>insurance_rate*insured_value_uplift*$AF163</f>
        <v/>
      </c>
      <c r="AK163" s="16">
        <f>$AF163+$AJ163</f>
        <v/>
      </c>
      <c r="AL163" s="18">
        <f>$AK163*$J163</f>
        <v/>
      </c>
      <c r="AM163" s="18">
        <f>$AK163*$I163</f>
        <v/>
      </c>
      <c r="AN163" s="18">
        <f>$AL163*bcd_scrap_hs7602</f>
        <v/>
      </c>
      <c r="AO163" s="18">
        <f>$AN163*sws_rate_on_bcd</f>
        <v/>
      </c>
      <c r="AP163" s="18">
        <f>($AL163+$AN163+$AO163)*igst_rate_hs7602</f>
        <v/>
      </c>
      <c r="AQ163" s="18">
        <f>$X163*$AG163+IF($Y163,psic_cost_usd_per_box*$H163/$W163,0)</f>
        <v/>
      </c>
      <c r="AR163" s="18">
        <f>($AM163+$AN163+$AO163)*$Z163/day_count_inr*$O163</f>
        <v/>
      </c>
      <c r="AS163" s="18">
        <f>$AP163*igst_credit_lag_days/day_count_inr*$O163</f>
        <v/>
      </c>
      <c r="AT163" s="18">
        <f>$AM163+$AN163+$AO163+$AQ163+$AR163+$AS163+IF(igst_itc_available,0,$AP163)</f>
        <v/>
      </c>
      <c r="AU163" s="15">
        <f>(1-$AA163)*(1-$AB163)*$AC163</f>
        <v/>
      </c>
      <c r="AV163" s="18">
        <f>$N163*kg_per_mt+domestic_anchor_premium_inr_t</f>
        <v/>
      </c>
      <c r="AW163" s="18">
        <f>(1-$AA163)*$AD163*heavies_net_value_frac_of_lme_al*$F163*$H163</f>
        <v/>
      </c>
      <c r="AX163" s="18">
        <f>conversion_cost_inr_t*$AU163</f>
        <v/>
      </c>
      <c r="AY163" s="18">
        <f>$AV163*$AU163+$AW163-$AT163-$AX163</f>
        <v/>
      </c>
      <c r="AZ163" s="16">
        <f>$AY163/$H163</f>
        <v/>
      </c>
      <c r="BA163" s="8">
        <f>$AY163&gt;margin_threshold_inr_t</f>
        <v/>
      </c>
      <c r="BB163" s="8">
        <f>$Q163+$AE163</f>
        <v/>
      </c>
      <c r="BC163" s="18">
        <f>$AT163-$AQ163</f>
        <v/>
      </c>
      <c r="BD163" s="18">
        <f>$AY163-$BC163*($BB163/$P163-1)</f>
        <v/>
      </c>
      <c r="BE163" s="18">
        <f>$AY163-(conv_step_5a-conversion_cost_inr_t)*$AU163</f>
        <v/>
      </c>
      <c r="BF163" s="8">
        <f>$BA163</f>
        <v/>
      </c>
      <c r="BG163" s="8">
        <f>$BD163&gt;margin_threshold_inr_t</f>
        <v/>
      </c>
      <c r="BH163" s="8">
        <f>$BE163&gt;margin_threshold_inr_t</f>
        <v/>
      </c>
      <c r="BI163" s="8">
        <f>AND($BF163,$BG163,$BH163)</f>
        <v/>
      </c>
      <c r="BJ163" s="8">
        <f>IF($BI163,1,0)</f>
        <v/>
      </c>
    </row>
    <row r="164">
      <c r="A164" s="11" t="n">
        <v>44750</v>
      </c>
      <c r="B164" s="11" t="n">
        <v>44750</v>
      </c>
      <c r="C164" s="7" t="inlineStr">
        <is>
          <t>taint_tabor</t>
        </is>
      </c>
      <c r="D164" s="7" t="inlineStr">
        <is>
          <t>JEA_NSA</t>
        </is>
      </c>
      <c r="E164" s="17" t="b">
        <v>1</v>
      </c>
      <c r="F164" s="16">
        <f>INDEX(Market_Weekly!$E$6:$E$48,MATCH($A164,Market_Weekly!$A$6:$A$48,0))</f>
        <v/>
      </c>
      <c r="G164" s="16">
        <f>INDEX(Market_Weekly!$D$6:$D$48,MATCH($A164,Market_Weekly!$A$6:$A$48,0))</f>
        <v/>
      </c>
      <c r="H164" s="16">
        <f>INDEX(Market_Weekly!$G$6:$G$48,MATCH($A164,Market_Weekly!$A$6:$A$48,0))</f>
        <v/>
      </c>
      <c r="I164" s="8">
        <f>INDEX(Market_Weekly!$H$6:$H$48,MATCH($A164,Market_Weekly!$A$6:$A$48,0))</f>
        <v/>
      </c>
      <c r="J164" s="8">
        <f>INDEX(Market_Weekly!$Q$6:$Q$48,MATCH($A164,Market_Weekly!$A$6:$A$48,0))</f>
        <v/>
      </c>
      <c r="K164" s="8">
        <f>INDEX(Market_Weekly!$V$6:$V$48,MATCH($A164,Market_Weekly!$A$6:$A$48,0))</f>
        <v/>
      </c>
      <c r="L164" s="16">
        <f>IF($D164="JEA_NSA",INDEX(Market_Weekly!$N$6:$N$48,MATCH($A164,Market_Weekly!$A$6:$A$48,0)),INDEX(Market_Weekly!$O$6:$O$48,MATCH($A164,Market_Weekly!$A$6:$A$48,0)))</f>
        <v/>
      </c>
      <c r="M164" s="8">
        <f>IF($D164="JEA_NSA","M1","M2")</f>
        <v/>
      </c>
      <c r="N164" s="16">
        <f>IF($D164="JEA_NSA",INDEX(Market_Weekly!$L$6:$L$48,MATCH($A164,Market_Weekly!$A$6:$A$48,0)),INDEX(Market_Weekly!$M$6:$M$48,MATCH($A164,Market_Weekly!$A$6:$A$48,0)))</f>
        <v/>
      </c>
      <c r="O164" s="15">
        <f>INDEX(Market_Weekly!$P$6:$P$48,MATCH($A164,Market_Weekly!$A$6:$A$48,0))</f>
        <v/>
      </c>
      <c r="P164" s="8">
        <f>INDEX(Market_Weekly!$R$6:$T$48,MATCH($A164,Market_Weekly!$A$6:$A$48,0),MATCH("grade_factor_"&amp;$C164,Market_Weekly!$R$5:$T$5,0))</f>
        <v/>
      </c>
      <c r="Q164" s="8">
        <f>INDEX(Market_Weekly!$U$6:$U$48,MATCH($A164,Market_Weekly!$A$6:$A$48,0))</f>
        <v/>
      </c>
      <c r="R164" s="8">
        <f>IF($D164="JEA_NSA","20ft","40ft")</f>
        <v/>
      </c>
      <c r="S164" s="8">
        <f>IF($D164="JEA_NSA","nsa","mun")</f>
        <v/>
      </c>
      <c r="T164" s="8">
        <f>IF($D164="JEA_NSA","jea_nsa","usec_mun")</f>
        <v/>
      </c>
      <c r="U164" s="16">
        <f>INDEX(param_values,MATCH("container_payload_mt_"&amp;$R164,param_keys,0))</f>
        <v/>
      </c>
      <c r="V164" s="16">
        <f>INDEX(param_values,MATCH("container_payload_mt_"&amp;$R164&amp;"_"&amp;$C164,param_keys,0))</f>
        <v/>
      </c>
      <c r="W164" s="16">
        <f>INDEX(param_values,MATCH("container_payload_mt_20ft_"&amp;$C164,param_keys,0))</f>
        <v/>
      </c>
      <c r="X164" s="18">
        <f>INDEX(param_values,MATCH("port_cf_charges_inr_t_"&amp;$S164,param_keys,0))</f>
        <v/>
      </c>
      <c r="Y164" s="8">
        <f>INDEX(param_values,MATCH(IF($D164="JEA_NSA","psic_required_uae_origin","psic_required_safe_origin_designated_port"),param_keys,0))</f>
        <v/>
      </c>
      <c r="Z164" s="19">
        <f>INDEX(param_values,MATCH("finance_days_"&amp;$T164,param_keys,0))</f>
        <v/>
      </c>
      <c r="AA164" s="15">
        <f>INDEX(param_values,MATCH("moisture_frac_"&amp;$C164,param_keys,0))</f>
        <v/>
      </c>
      <c r="AB164" s="15">
        <f>INDEX(param_values,MATCH("contamination_frac_"&amp;$C164,param_keys,0))</f>
        <v/>
      </c>
      <c r="AC164" s="15">
        <f>INDEX(param_values,MATCH("metal_yield_frac_"&amp;$C164,param_keys,0))</f>
        <v/>
      </c>
      <c r="AD164" s="15">
        <f>INDEX(param_values,MATCH("heavies_frac_"&amp;$C164,param_keys,0))</f>
        <v/>
      </c>
      <c r="AE164" s="8">
        <f>INDEX(param_values,MATCH("grade_factor_diff_"&amp;$C164,param_keys,0))</f>
        <v/>
      </c>
      <c r="AF164" s="16">
        <f>$F164*$P164</f>
        <v/>
      </c>
      <c r="AG164" s="8">
        <f>$U164/$V164</f>
        <v/>
      </c>
      <c r="AH164" s="16">
        <f>$L164*$AG164</f>
        <v/>
      </c>
      <c r="AI164" s="16">
        <f>$AF164-$AH164</f>
        <v/>
      </c>
      <c r="AJ164" s="16">
        <f>insurance_rate*insured_value_uplift*$AF164</f>
        <v/>
      </c>
      <c r="AK164" s="16">
        <f>$AF164+$AJ164</f>
        <v/>
      </c>
      <c r="AL164" s="18">
        <f>$AK164*$J164</f>
        <v/>
      </c>
      <c r="AM164" s="18">
        <f>$AK164*$I164</f>
        <v/>
      </c>
      <c r="AN164" s="18">
        <f>$AL164*bcd_scrap_hs7602</f>
        <v/>
      </c>
      <c r="AO164" s="18">
        <f>$AN164*sws_rate_on_bcd</f>
        <v/>
      </c>
      <c r="AP164" s="18">
        <f>($AL164+$AN164+$AO164)*igst_rate_hs7602</f>
        <v/>
      </c>
      <c r="AQ164" s="18">
        <f>$X164*$AG164+IF($Y164,psic_cost_usd_per_box*$H164/$W164,0)</f>
        <v/>
      </c>
      <c r="AR164" s="18">
        <f>($AM164+$AN164+$AO164)*$Z164/day_count_inr*$O164</f>
        <v/>
      </c>
      <c r="AS164" s="18">
        <f>$AP164*igst_credit_lag_days/day_count_inr*$O164</f>
        <v/>
      </c>
      <c r="AT164" s="18">
        <f>$AM164+$AN164+$AO164+$AQ164+$AR164+$AS164+IF(igst_itc_available,0,$AP164)</f>
        <v/>
      </c>
      <c r="AU164" s="15">
        <f>(1-$AA164)*(1-$AB164)*$AC164</f>
        <v/>
      </c>
      <c r="AV164" s="18">
        <f>$N164*kg_per_mt+domestic_anchor_premium_inr_t</f>
        <v/>
      </c>
      <c r="AW164" s="18">
        <f>(1-$AA164)*$AD164*heavies_net_value_frac_of_lme_al*$F164*$H164</f>
        <v/>
      </c>
      <c r="AX164" s="18">
        <f>conversion_cost_inr_t*$AU164</f>
        <v/>
      </c>
      <c r="AY164" s="18">
        <f>$AV164*$AU164+$AW164-$AT164-$AX164</f>
        <v/>
      </c>
      <c r="AZ164" s="16">
        <f>$AY164/$H164</f>
        <v/>
      </c>
      <c r="BA164" s="8">
        <f>$AY164&gt;margin_threshold_inr_t</f>
        <v/>
      </c>
      <c r="BB164" s="8">
        <f>$Q164+$AE164</f>
        <v/>
      </c>
      <c r="BC164" s="18">
        <f>$AT164-$AQ164</f>
        <v/>
      </c>
      <c r="BD164" s="18">
        <f>$AY164-$BC164*($BB164/$P164-1)</f>
        <v/>
      </c>
      <c r="BE164" s="18">
        <f>$AY164-(conv_step_5a-conversion_cost_inr_t)*$AU164</f>
        <v/>
      </c>
      <c r="BF164" s="8">
        <f>$BA164</f>
        <v/>
      </c>
      <c r="BG164" s="8">
        <f>$BD164&gt;margin_threshold_inr_t</f>
        <v/>
      </c>
      <c r="BH164" s="8">
        <f>$BE164&gt;margin_threshold_inr_t</f>
        <v/>
      </c>
      <c r="BI164" s="8">
        <f>AND($BF164,$BG164,$BH164)</f>
        <v/>
      </c>
      <c r="BJ164" s="8">
        <f>IF($BI164,1,0)</f>
        <v/>
      </c>
    </row>
    <row r="165">
      <c r="A165" s="11" t="n">
        <v>44750</v>
      </c>
      <c r="B165" s="11" t="n">
        <v>44750</v>
      </c>
      <c r="C165" s="7" t="inlineStr">
        <is>
          <t>taint_tabor</t>
        </is>
      </c>
      <c r="D165" s="7" t="inlineStr">
        <is>
          <t>USEC_MUN</t>
        </is>
      </c>
      <c r="E165" s="17" t="b">
        <v>1</v>
      </c>
      <c r="F165" s="16">
        <f>INDEX(Market_Weekly!$E$6:$E$48,MATCH($A165,Market_Weekly!$A$6:$A$48,0))</f>
        <v/>
      </c>
      <c r="G165" s="16">
        <f>INDEX(Market_Weekly!$D$6:$D$48,MATCH($A165,Market_Weekly!$A$6:$A$48,0))</f>
        <v/>
      </c>
      <c r="H165" s="16">
        <f>INDEX(Market_Weekly!$G$6:$G$48,MATCH($A165,Market_Weekly!$A$6:$A$48,0))</f>
        <v/>
      </c>
      <c r="I165" s="8">
        <f>INDEX(Market_Weekly!$H$6:$H$48,MATCH($A165,Market_Weekly!$A$6:$A$48,0))</f>
        <v/>
      </c>
      <c r="J165" s="8">
        <f>INDEX(Market_Weekly!$Q$6:$Q$48,MATCH($A165,Market_Weekly!$A$6:$A$48,0))</f>
        <v/>
      </c>
      <c r="K165" s="8">
        <f>INDEX(Market_Weekly!$V$6:$V$48,MATCH($A165,Market_Weekly!$A$6:$A$48,0))</f>
        <v/>
      </c>
      <c r="L165" s="16">
        <f>IF($D165="JEA_NSA",INDEX(Market_Weekly!$N$6:$N$48,MATCH($A165,Market_Weekly!$A$6:$A$48,0)),INDEX(Market_Weekly!$O$6:$O$48,MATCH($A165,Market_Weekly!$A$6:$A$48,0)))</f>
        <v/>
      </c>
      <c r="M165" s="8">
        <f>IF($D165="JEA_NSA","M1","M2")</f>
        <v/>
      </c>
      <c r="N165" s="16">
        <f>IF($D165="JEA_NSA",INDEX(Market_Weekly!$L$6:$L$48,MATCH($A165,Market_Weekly!$A$6:$A$48,0)),INDEX(Market_Weekly!$M$6:$M$48,MATCH($A165,Market_Weekly!$A$6:$A$48,0)))</f>
        <v/>
      </c>
      <c r="O165" s="15">
        <f>INDEX(Market_Weekly!$P$6:$P$48,MATCH($A165,Market_Weekly!$A$6:$A$48,0))</f>
        <v/>
      </c>
      <c r="P165" s="8">
        <f>INDEX(Market_Weekly!$R$6:$T$48,MATCH($A165,Market_Weekly!$A$6:$A$48,0),MATCH("grade_factor_"&amp;$C165,Market_Weekly!$R$5:$T$5,0))</f>
        <v/>
      </c>
      <c r="Q165" s="8">
        <f>INDEX(Market_Weekly!$U$6:$U$48,MATCH($A165,Market_Weekly!$A$6:$A$48,0))</f>
        <v/>
      </c>
      <c r="R165" s="8">
        <f>IF($D165="JEA_NSA","20ft","40ft")</f>
        <v/>
      </c>
      <c r="S165" s="8">
        <f>IF($D165="JEA_NSA","nsa","mun")</f>
        <v/>
      </c>
      <c r="T165" s="8">
        <f>IF($D165="JEA_NSA","jea_nsa","usec_mun")</f>
        <v/>
      </c>
      <c r="U165" s="16">
        <f>INDEX(param_values,MATCH("container_payload_mt_"&amp;$R165,param_keys,0))</f>
        <v/>
      </c>
      <c r="V165" s="16">
        <f>INDEX(param_values,MATCH("container_payload_mt_"&amp;$R165&amp;"_"&amp;$C165,param_keys,0))</f>
        <v/>
      </c>
      <c r="W165" s="16">
        <f>INDEX(param_values,MATCH("container_payload_mt_20ft_"&amp;$C165,param_keys,0))</f>
        <v/>
      </c>
      <c r="X165" s="18">
        <f>INDEX(param_values,MATCH("port_cf_charges_inr_t_"&amp;$S165,param_keys,0))</f>
        <v/>
      </c>
      <c r="Y165" s="8">
        <f>INDEX(param_values,MATCH(IF($D165="JEA_NSA","psic_required_uae_origin","psic_required_safe_origin_designated_port"),param_keys,0))</f>
        <v/>
      </c>
      <c r="Z165" s="19">
        <f>INDEX(param_values,MATCH("finance_days_"&amp;$T165,param_keys,0))</f>
        <v/>
      </c>
      <c r="AA165" s="15">
        <f>INDEX(param_values,MATCH("moisture_frac_"&amp;$C165,param_keys,0))</f>
        <v/>
      </c>
      <c r="AB165" s="15">
        <f>INDEX(param_values,MATCH("contamination_frac_"&amp;$C165,param_keys,0))</f>
        <v/>
      </c>
      <c r="AC165" s="15">
        <f>INDEX(param_values,MATCH("metal_yield_frac_"&amp;$C165,param_keys,0))</f>
        <v/>
      </c>
      <c r="AD165" s="15">
        <f>INDEX(param_values,MATCH("heavies_frac_"&amp;$C165,param_keys,0))</f>
        <v/>
      </c>
      <c r="AE165" s="8">
        <f>INDEX(param_values,MATCH("grade_factor_diff_"&amp;$C165,param_keys,0))</f>
        <v/>
      </c>
      <c r="AF165" s="16">
        <f>$F165*$P165</f>
        <v/>
      </c>
      <c r="AG165" s="8">
        <f>$U165/$V165</f>
        <v/>
      </c>
      <c r="AH165" s="16">
        <f>$L165*$AG165</f>
        <v/>
      </c>
      <c r="AI165" s="16">
        <f>$AF165-$AH165</f>
        <v/>
      </c>
      <c r="AJ165" s="16">
        <f>insurance_rate*insured_value_uplift*$AF165</f>
        <v/>
      </c>
      <c r="AK165" s="16">
        <f>$AF165+$AJ165</f>
        <v/>
      </c>
      <c r="AL165" s="18">
        <f>$AK165*$J165</f>
        <v/>
      </c>
      <c r="AM165" s="18">
        <f>$AK165*$I165</f>
        <v/>
      </c>
      <c r="AN165" s="18">
        <f>$AL165*bcd_scrap_hs7602</f>
        <v/>
      </c>
      <c r="AO165" s="18">
        <f>$AN165*sws_rate_on_bcd</f>
        <v/>
      </c>
      <c r="AP165" s="18">
        <f>($AL165+$AN165+$AO165)*igst_rate_hs7602</f>
        <v/>
      </c>
      <c r="AQ165" s="18">
        <f>$X165*$AG165+IF($Y165,psic_cost_usd_per_box*$H165/$W165,0)</f>
        <v/>
      </c>
      <c r="AR165" s="18">
        <f>($AM165+$AN165+$AO165)*$Z165/day_count_inr*$O165</f>
        <v/>
      </c>
      <c r="AS165" s="18">
        <f>$AP165*igst_credit_lag_days/day_count_inr*$O165</f>
        <v/>
      </c>
      <c r="AT165" s="18">
        <f>$AM165+$AN165+$AO165+$AQ165+$AR165+$AS165+IF(igst_itc_available,0,$AP165)</f>
        <v/>
      </c>
      <c r="AU165" s="15">
        <f>(1-$AA165)*(1-$AB165)*$AC165</f>
        <v/>
      </c>
      <c r="AV165" s="18">
        <f>$N165*kg_per_mt+domestic_anchor_premium_inr_t</f>
        <v/>
      </c>
      <c r="AW165" s="18">
        <f>(1-$AA165)*$AD165*heavies_net_value_frac_of_lme_al*$F165*$H165</f>
        <v/>
      </c>
      <c r="AX165" s="18">
        <f>conversion_cost_inr_t*$AU165</f>
        <v/>
      </c>
      <c r="AY165" s="18">
        <f>$AV165*$AU165+$AW165-$AT165-$AX165</f>
        <v/>
      </c>
      <c r="AZ165" s="16">
        <f>$AY165/$H165</f>
        <v/>
      </c>
      <c r="BA165" s="8">
        <f>$AY165&gt;margin_threshold_inr_t</f>
        <v/>
      </c>
      <c r="BB165" s="8">
        <f>$Q165+$AE165</f>
        <v/>
      </c>
      <c r="BC165" s="18">
        <f>$AT165-$AQ165</f>
        <v/>
      </c>
      <c r="BD165" s="18">
        <f>$AY165-$BC165*($BB165/$P165-1)</f>
        <v/>
      </c>
      <c r="BE165" s="18">
        <f>$AY165-(conv_step_5a-conversion_cost_inr_t)*$AU165</f>
        <v/>
      </c>
      <c r="BF165" s="8">
        <f>$BA165</f>
        <v/>
      </c>
      <c r="BG165" s="8">
        <f>$BD165&gt;margin_threshold_inr_t</f>
        <v/>
      </c>
      <c r="BH165" s="8">
        <f>$BE165&gt;margin_threshold_inr_t</f>
        <v/>
      </c>
      <c r="BI165" s="8">
        <f>AND($BF165,$BG165,$BH165)</f>
        <v/>
      </c>
      <c r="BJ165" s="8">
        <f>IF($BI165,1,0)</f>
        <v/>
      </c>
    </row>
    <row r="166">
      <c r="A166" s="11" t="n">
        <v>44750</v>
      </c>
      <c r="B166" s="11" t="n">
        <v>44750</v>
      </c>
      <c r="C166" s="7" t="inlineStr">
        <is>
          <t>tense</t>
        </is>
      </c>
      <c r="D166" s="7" t="inlineStr">
        <is>
          <t>JEA_NSA</t>
        </is>
      </c>
      <c r="E166" s="17" t="b">
        <v>1</v>
      </c>
      <c r="F166" s="16">
        <f>INDEX(Market_Weekly!$E$6:$E$48,MATCH($A166,Market_Weekly!$A$6:$A$48,0))</f>
        <v/>
      </c>
      <c r="G166" s="16">
        <f>INDEX(Market_Weekly!$D$6:$D$48,MATCH($A166,Market_Weekly!$A$6:$A$48,0))</f>
        <v/>
      </c>
      <c r="H166" s="16">
        <f>INDEX(Market_Weekly!$G$6:$G$48,MATCH($A166,Market_Weekly!$A$6:$A$48,0))</f>
        <v/>
      </c>
      <c r="I166" s="8">
        <f>INDEX(Market_Weekly!$H$6:$H$48,MATCH($A166,Market_Weekly!$A$6:$A$48,0))</f>
        <v/>
      </c>
      <c r="J166" s="8">
        <f>INDEX(Market_Weekly!$Q$6:$Q$48,MATCH($A166,Market_Weekly!$A$6:$A$48,0))</f>
        <v/>
      </c>
      <c r="K166" s="8">
        <f>INDEX(Market_Weekly!$V$6:$V$48,MATCH($A166,Market_Weekly!$A$6:$A$48,0))</f>
        <v/>
      </c>
      <c r="L166" s="16">
        <f>IF($D166="JEA_NSA",INDEX(Market_Weekly!$N$6:$N$48,MATCH($A166,Market_Weekly!$A$6:$A$48,0)),INDEX(Market_Weekly!$O$6:$O$48,MATCH($A166,Market_Weekly!$A$6:$A$48,0)))</f>
        <v/>
      </c>
      <c r="M166" s="8">
        <f>IF($D166="JEA_NSA","M1","M2")</f>
        <v/>
      </c>
      <c r="N166" s="16">
        <f>IF($D166="JEA_NSA",INDEX(Market_Weekly!$L$6:$L$48,MATCH($A166,Market_Weekly!$A$6:$A$48,0)),INDEX(Market_Weekly!$M$6:$M$48,MATCH($A166,Market_Weekly!$A$6:$A$48,0)))</f>
        <v/>
      </c>
      <c r="O166" s="15">
        <f>INDEX(Market_Weekly!$P$6:$P$48,MATCH($A166,Market_Weekly!$A$6:$A$48,0))</f>
        <v/>
      </c>
      <c r="P166" s="8">
        <f>INDEX(Market_Weekly!$R$6:$T$48,MATCH($A166,Market_Weekly!$A$6:$A$48,0),MATCH("grade_factor_"&amp;$C166,Market_Weekly!$R$5:$T$5,0))</f>
        <v/>
      </c>
      <c r="Q166" s="8">
        <f>INDEX(Market_Weekly!$U$6:$U$48,MATCH($A166,Market_Weekly!$A$6:$A$48,0))</f>
        <v/>
      </c>
      <c r="R166" s="8">
        <f>IF($D166="JEA_NSA","20ft","40ft")</f>
        <v/>
      </c>
      <c r="S166" s="8">
        <f>IF($D166="JEA_NSA","nsa","mun")</f>
        <v/>
      </c>
      <c r="T166" s="8">
        <f>IF($D166="JEA_NSA","jea_nsa","usec_mun")</f>
        <v/>
      </c>
      <c r="U166" s="16">
        <f>INDEX(param_values,MATCH("container_payload_mt_"&amp;$R166,param_keys,0))</f>
        <v/>
      </c>
      <c r="V166" s="16">
        <f>INDEX(param_values,MATCH("container_payload_mt_"&amp;$R166&amp;"_"&amp;$C166,param_keys,0))</f>
        <v/>
      </c>
      <c r="W166" s="16">
        <f>INDEX(param_values,MATCH("container_payload_mt_20ft_"&amp;$C166,param_keys,0))</f>
        <v/>
      </c>
      <c r="X166" s="18">
        <f>INDEX(param_values,MATCH("port_cf_charges_inr_t_"&amp;$S166,param_keys,0))</f>
        <v/>
      </c>
      <c r="Y166" s="8">
        <f>INDEX(param_values,MATCH(IF($D166="JEA_NSA","psic_required_uae_origin","psic_required_safe_origin_designated_port"),param_keys,0))</f>
        <v/>
      </c>
      <c r="Z166" s="19">
        <f>INDEX(param_values,MATCH("finance_days_"&amp;$T166,param_keys,0))</f>
        <v/>
      </c>
      <c r="AA166" s="15">
        <f>INDEX(param_values,MATCH("moisture_frac_"&amp;$C166,param_keys,0))</f>
        <v/>
      </c>
      <c r="AB166" s="15">
        <f>INDEX(param_values,MATCH("contamination_frac_"&amp;$C166,param_keys,0))</f>
        <v/>
      </c>
      <c r="AC166" s="15">
        <f>INDEX(param_values,MATCH("metal_yield_frac_"&amp;$C166,param_keys,0))</f>
        <v/>
      </c>
      <c r="AD166" s="15">
        <f>INDEX(param_values,MATCH("heavies_frac_"&amp;$C166,param_keys,0))</f>
        <v/>
      </c>
      <c r="AE166" s="8">
        <f>INDEX(param_values,MATCH("grade_factor_diff_"&amp;$C166,param_keys,0))</f>
        <v/>
      </c>
      <c r="AF166" s="16">
        <f>$F166*$P166</f>
        <v/>
      </c>
      <c r="AG166" s="8">
        <f>$U166/$V166</f>
        <v/>
      </c>
      <c r="AH166" s="16">
        <f>$L166*$AG166</f>
        <v/>
      </c>
      <c r="AI166" s="16">
        <f>$AF166-$AH166</f>
        <v/>
      </c>
      <c r="AJ166" s="16">
        <f>insurance_rate*insured_value_uplift*$AF166</f>
        <v/>
      </c>
      <c r="AK166" s="16">
        <f>$AF166+$AJ166</f>
        <v/>
      </c>
      <c r="AL166" s="18">
        <f>$AK166*$J166</f>
        <v/>
      </c>
      <c r="AM166" s="18">
        <f>$AK166*$I166</f>
        <v/>
      </c>
      <c r="AN166" s="18">
        <f>$AL166*bcd_scrap_hs7602</f>
        <v/>
      </c>
      <c r="AO166" s="18">
        <f>$AN166*sws_rate_on_bcd</f>
        <v/>
      </c>
      <c r="AP166" s="18">
        <f>($AL166+$AN166+$AO166)*igst_rate_hs7602</f>
        <v/>
      </c>
      <c r="AQ166" s="18">
        <f>$X166*$AG166+IF($Y166,psic_cost_usd_per_box*$H166/$W166,0)</f>
        <v/>
      </c>
      <c r="AR166" s="18">
        <f>($AM166+$AN166+$AO166)*$Z166/day_count_inr*$O166</f>
        <v/>
      </c>
      <c r="AS166" s="18">
        <f>$AP166*igst_credit_lag_days/day_count_inr*$O166</f>
        <v/>
      </c>
      <c r="AT166" s="18">
        <f>$AM166+$AN166+$AO166+$AQ166+$AR166+$AS166+IF(igst_itc_available,0,$AP166)</f>
        <v/>
      </c>
      <c r="AU166" s="15">
        <f>(1-$AA166)*(1-$AB166)*$AC166</f>
        <v/>
      </c>
      <c r="AV166" s="18">
        <f>$N166*kg_per_mt+domestic_anchor_premium_inr_t</f>
        <v/>
      </c>
      <c r="AW166" s="18">
        <f>(1-$AA166)*$AD166*heavies_net_value_frac_of_lme_al*$F166*$H166</f>
        <v/>
      </c>
      <c r="AX166" s="18">
        <f>conversion_cost_inr_t*$AU166</f>
        <v/>
      </c>
      <c r="AY166" s="18">
        <f>$AV166*$AU166+$AW166-$AT166-$AX166</f>
        <v/>
      </c>
      <c r="AZ166" s="16">
        <f>$AY166/$H166</f>
        <v/>
      </c>
      <c r="BA166" s="8">
        <f>$AY166&gt;margin_threshold_inr_t</f>
        <v/>
      </c>
      <c r="BB166" s="8">
        <f>$Q166+$AE166</f>
        <v/>
      </c>
      <c r="BC166" s="18">
        <f>$AT166-$AQ166</f>
        <v/>
      </c>
      <c r="BD166" s="18">
        <f>$AY166-$BC166*($BB166/$P166-1)</f>
        <v/>
      </c>
      <c r="BE166" s="18">
        <f>$AY166-(conv_step_5a-conversion_cost_inr_t)*$AU166</f>
        <v/>
      </c>
      <c r="BF166" s="8">
        <f>$BA166</f>
        <v/>
      </c>
      <c r="BG166" s="8">
        <f>$BD166&gt;margin_threshold_inr_t</f>
        <v/>
      </c>
      <c r="BH166" s="8">
        <f>$BE166&gt;margin_threshold_inr_t</f>
        <v/>
      </c>
      <c r="BI166" s="8">
        <f>AND($BF166,$BG166,$BH166)</f>
        <v/>
      </c>
      <c r="BJ166" s="8">
        <f>IF($BI166,1,0)</f>
        <v/>
      </c>
    </row>
    <row r="167">
      <c r="A167" s="11" t="n">
        <v>44750</v>
      </c>
      <c r="B167" s="11" t="n">
        <v>44750</v>
      </c>
      <c r="C167" s="7" t="inlineStr">
        <is>
          <t>tense</t>
        </is>
      </c>
      <c r="D167" s="7" t="inlineStr">
        <is>
          <t>USEC_MUN</t>
        </is>
      </c>
      <c r="E167" s="17" t="b">
        <v>1</v>
      </c>
      <c r="F167" s="16">
        <f>INDEX(Market_Weekly!$E$6:$E$48,MATCH($A167,Market_Weekly!$A$6:$A$48,0))</f>
        <v/>
      </c>
      <c r="G167" s="16">
        <f>INDEX(Market_Weekly!$D$6:$D$48,MATCH($A167,Market_Weekly!$A$6:$A$48,0))</f>
        <v/>
      </c>
      <c r="H167" s="16">
        <f>INDEX(Market_Weekly!$G$6:$G$48,MATCH($A167,Market_Weekly!$A$6:$A$48,0))</f>
        <v/>
      </c>
      <c r="I167" s="8">
        <f>INDEX(Market_Weekly!$H$6:$H$48,MATCH($A167,Market_Weekly!$A$6:$A$48,0))</f>
        <v/>
      </c>
      <c r="J167" s="8">
        <f>INDEX(Market_Weekly!$Q$6:$Q$48,MATCH($A167,Market_Weekly!$A$6:$A$48,0))</f>
        <v/>
      </c>
      <c r="K167" s="8">
        <f>INDEX(Market_Weekly!$V$6:$V$48,MATCH($A167,Market_Weekly!$A$6:$A$48,0))</f>
        <v/>
      </c>
      <c r="L167" s="16">
        <f>IF($D167="JEA_NSA",INDEX(Market_Weekly!$N$6:$N$48,MATCH($A167,Market_Weekly!$A$6:$A$48,0)),INDEX(Market_Weekly!$O$6:$O$48,MATCH($A167,Market_Weekly!$A$6:$A$48,0)))</f>
        <v/>
      </c>
      <c r="M167" s="8">
        <f>IF($D167="JEA_NSA","M1","M2")</f>
        <v/>
      </c>
      <c r="N167" s="16">
        <f>IF($D167="JEA_NSA",INDEX(Market_Weekly!$L$6:$L$48,MATCH($A167,Market_Weekly!$A$6:$A$48,0)),INDEX(Market_Weekly!$M$6:$M$48,MATCH($A167,Market_Weekly!$A$6:$A$48,0)))</f>
        <v/>
      </c>
      <c r="O167" s="15">
        <f>INDEX(Market_Weekly!$P$6:$P$48,MATCH($A167,Market_Weekly!$A$6:$A$48,0))</f>
        <v/>
      </c>
      <c r="P167" s="8">
        <f>INDEX(Market_Weekly!$R$6:$T$48,MATCH($A167,Market_Weekly!$A$6:$A$48,0),MATCH("grade_factor_"&amp;$C167,Market_Weekly!$R$5:$T$5,0))</f>
        <v/>
      </c>
      <c r="Q167" s="8">
        <f>INDEX(Market_Weekly!$U$6:$U$48,MATCH($A167,Market_Weekly!$A$6:$A$48,0))</f>
        <v/>
      </c>
      <c r="R167" s="8">
        <f>IF($D167="JEA_NSA","20ft","40ft")</f>
        <v/>
      </c>
      <c r="S167" s="8">
        <f>IF($D167="JEA_NSA","nsa","mun")</f>
        <v/>
      </c>
      <c r="T167" s="8">
        <f>IF($D167="JEA_NSA","jea_nsa","usec_mun")</f>
        <v/>
      </c>
      <c r="U167" s="16">
        <f>INDEX(param_values,MATCH("container_payload_mt_"&amp;$R167,param_keys,0))</f>
        <v/>
      </c>
      <c r="V167" s="16">
        <f>INDEX(param_values,MATCH("container_payload_mt_"&amp;$R167&amp;"_"&amp;$C167,param_keys,0))</f>
        <v/>
      </c>
      <c r="W167" s="16">
        <f>INDEX(param_values,MATCH("container_payload_mt_20ft_"&amp;$C167,param_keys,0))</f>
        <v/>
      </c>
      <c r="X167" s="18">
        <f>INDEX(param_values,MATCH("port_cf_charges_inr_t_"&amp;$S167,param_keys,0))</f>
        <v/>
      </c>
      <c r="Y167" s="8">
        <f>INDEX(param_values,MATCH(IF($D167="JEA_NSA","psic_required_uae_origin","psic_required_safe_origin_designated_port"),param_keys,0))</f>
        <v/>
      </c>
      <c r="Z167" s="19">
        <f>INDEX(param_values,MATCH("finance_days_"&amp;$T167,param_keys,0))</f>
        <v/>
      </c>
      <c r="AA167" s="15">
        <f>INDEX(param_values,MATCH("moisture_frac_"&amp;$C167,param_keys,0))</f>
        <v/>
      </c>
      <c r="AB167" s="15">
        <f>INDEX(param_values,MATCH("contamination_frac_"&amp;$C167,param_keys,0))</f>
        <v/>
      </c>
      <c r="AC167" s="15">
        <f>INDEX(param_values,MATCH("metal_yield_frac_"&amp;$C167,param_keys,0))</f>
        <v/>
      </c>
      <c r="AD167" s="15">
        <f>INDEX(param_values,MATCH("heavies_frac_"&amp;$C167,param_keys,0))</f>
        <v/>
      </c>
      <c r="AE167" s="8">
        <f>INDEX(param_values,MATCH("grade_factor_diff_"&amp;$C167,param_keys,0))</f>
        <v/>
      </c>
      <c r="AF167" s="16">
        <f>$F167*$P167</f>
        <v/>
      </c>
      <c r="AG167" s="8">
        <f>$U167/$V167</f>
        <v/>
      </c>
      <c r="AH167" s="16">
        <f>$L167*$AG167</f>
        <v/>
      </c>
      <c r="AI167" s="16">
        <f>$AF167-$AH167</f>
        <v/>
      </c>
      <c r="AJ167" s="16">
        <f>insurance_rate*insured_value_uplift*$AF167</f>
        <v/>
      </c>
      <c r="AK167" s="16">
        <f>$AF167+$AJ167</f>
        <v/>
      </c>
      <c r="AL167" s="18">
        <f>$AK167*$J167</f>
        <v/>
      </c>
      <c r="AM167" s="18">
        <f>$AK167*$I167</f>
        <v/>
      </c>
      <c r="AN167" s="18">
        <f>$AL167*bcd_scrap_hs7602</f>
        <v/>
      </c>
      <c r="AO167" s="18">
        <f>$AN167*sws_rate_on_bcd</f>
        <v/>
      </c>
      <c r="AP167" s="18">
        <f>($AL167+$AN167+$AO167)*igst_rate_hs7602</f>
        <v/>
      </c>
      <c r="AQ167" s="18">
        <f>$X167*$AG167+IF($Y167,psic_cost_usd_per_box*$H167/$W167,0)</f>
        <v/>
      </c>
      <c r="AR167" s="18">
        <f>($AM167+$AN167+$AO167)*$Z167/day_count_inr*$O167</f>
        <v/>
      </c>
      <c r="AS167" s="18">
        <f>$AP167*igst_credit_lag_days/day_count_inr*$O167</f>
        <v/>
      </c>
      <c r="AT167" s="18">
        <f>$AM167+$AN167+$AO167+$AQ167+$AR167+$AS167+IF(igst_itc_available,0,$AP167)</f>
        <v/>
      </c>
      <c r="AU167" s="15">
        <f>(1-$AA167)*(1-$AB167)*$AC167</f>
        <v/>
      </c>
      <c r="AV167" s="18">
        <f>$N167*kg_per_mt+domestic_anchor_premium_inr_t</f>
        <v/>
      </c>
      <c r="AW167" s="18">
        <f>(1-$AA167)*$AD167*heavies_net_value_frac_of_lme_al*$F167*$H167</f>
        <v/>
      </c>
      <c r="AX167" s="18">
        <f>conversion_cost_inr_t*$AU167</f>
        <v/>
      </c>
      <c r="AY167" s="18">
        <f>$AV167*$AU167+$AW167-$AT167-$AX167</f>
        <v/>
      </c>
      <c r="AZ167" s="16">
        <f>$AY167/$H167</f>
        <v/>
      </c>
      <c r="BA167" s="8">
        <f>$AY167&gt;margin_threshold_inr_t</f>
        <v/>
      </c>
      <c r="BB167" s="8">
        <f>$Q167+$AE167</f>
        <v/>
      </c>
      <c r="BC167" s="18">
        <f>$AT167-$AQ167</f>
        <v/>
      </c>
      <c r="BD167" s="18">
        <f>$AY167-$BC167*($BB167/$P167-1)</f>
        <v/>
      </c>
      <c r="BE167" s="18">
        <f>$AY167-(conv_step_5a-conversion_cost_inr_t)*$AU167</f>
        <v/>
      </c>
      <c r="BF167" s="8">
        <f>$BA167</f>
        <v/>
      </c>
      <c r="BG167" s="8">
        <f>$BD167&gt;margin_threshold_inr_t</f>
        <v/>
      </c>
      <c r="BH167" s="8">
        <f>$BE167&gt;margin_threshold_inr_t</f>
        <v/>
      </c>
      <c r="BI167" s="8">
        <f>AND($BF167,$BG167,$BH167)</f>
        <v/>
      </c>
      <c r="BJ167" s="8">
        <f>IF($BI167,1,0)</f>
        <v/>
      </c>
    </row>
    <row r="168">
      <c r="A168" s="11" t="n">
        <v>44757</v>
      </c>
      <c r="B168" s="11" t="n">
        <v>44757</v>
      </c>
      <c r="C168" s="7" t="inlineStr">
        <is>
          <t>zorba</t>
        </is>
      </c>
      <c r="D168" s="7" t="inlineStr">
        <is>
          <t>JEA_NSA</t>
        </is>
      </c>
      <c r="E168" s="17" t="b">
        <v>1</v>
      </c>
      <c r="F168" s="16">
        <f>INDEX(Market_Weekly!$E$6:$E$48,MATCH($A168,Market_Weekly!$A$6:$A$48,0))</f>
        <v/>
      </c>
      <c r="G168" s="16">
        <f>INDEX(Market_Weekly!$D$6:$D$48,MATCH($A168,Market_Weekly!$A$6:$A$48,0))</f>
        <v/>
      </c>
      <c r="H168" s="16">
        <f>INDEX(Market_Weekly!$G$6:$G$48,MATCH($A168,Market_Weekly!$A$6:$A$48,0))</f>
        <v/>
      </c>
      <c r="I168" s="8">
        <f>INDEX(Market_Weekly!$H$6:$H$48,MATCH($A168,Market_Weekly!$A$6:$A$48,0))</f>
        <v/>
      </c>
      <c r="J168" s="8">
        <f>INDEX(Market_Weekly!$Q$6:$Q$48,MATCH($A168,Market_Weekly!$A$6:$A$48,0))</f>
        <v/>
      </c>
      <c r="K168" s="8">
        <f>INDEX(Market_Weekly!$V$6:$V$48,MATCH($A168,Market_Weekly!$A$6:$A$48,0))</f>
        <v/>
      </c>
      <c r="L168" s="16">
        <f>IF($D168="JEA_NSA",INDEX(Market_Weekly!$N$6:$N$48,MATCH($A168,Market_Weekly!$A$6:$A$48,0)),INDEX(Market_Weekly!$O$6:$O$48,MATCH($A168,Market_Weekly!$A$6:$A$48,0)))</f>
        <v/>
      </c>
      <c r="M168" s="8">
        <f>IF($D168="JEA_NSA","M1","M2")</f>
        <v/>
      </c>
      <c r="N168" s="16">
        <f>IF($D168="JEA_NSA",INDEX(Market_Weekly!$L$6:$L$48,MATCH($A168,Market_Weekly!$A$6:$A$48,0)),INDEX(Market_Weekly!$M$6:$M$48,MATCH($A168,Market_Weekly!$A$6:$A$48,0)))</f>
        <v/>
      </c>
      <c r="O168" s="15">
        <f>INDEX(Market_Weekly!$P$6:$P$48,MATCH($A168,Market_Weekly!$A$6:$A$48,0))</f>
        <v/>
      </c>
      <c r="P168" s="8">
        <f>INDEX(Market_Weekly!$R$6:$T$48,MATCH($A168,Market_Weekly!$A$6:$A$48,0),MATCH("grade_factor_"&amp;$C168,Market_Weekly!$R$5:$T$5,0))</f>
        <v/>
      </c>
      <c r="Q168" s="8">
        <f>INDEX(Market_Weekly!$U$6:$U$48,MATCH($A168,Market_Weekly!$A$6:$A$48,0))</f>
        <v/>
      </c>
      <c r="R168" s="8">
        <f>IF($D168="JEA_NSA","20ft","40ft")</f>
        <v/>
      </c>
      <c r="S168" s="8">
        <f>IF($D168="JEA_NSA","nsa","mun")</f>
        <v/>
      </c>
      <c r="T168" s="8">
        <f>IF($D168="JEA_NSA","jea_nsa","usec_mun")</f>
        <v/>
      </c>
      <c r="U168" s="16">
        <f>INDEX(param_values,MATCH("container_payload_mt_"&amp;$R168,param_keys,0))</f>
        <v/>
      </c>
      <c r="V168" s="16">
        <f>INDEX(param_values,MATCH("container_payload_mt_"&amp;$R168&amp;"_"&amp;$C168,param_keys,0))</f>
        <v/>
      </c>
      <c r="W168" s="16">
        <f>INDEX(param_values,MATCH("container_payload_mt_20ft_"&amp;$C168,param_keys,0))</f>
        <v/>
      </c>
      <c r="X168" s="18">
        <f>INDEX(param_values,MATCH("port_cf_charges_inr_t_"&amp;$S168,param_keys,0))</f>
        <v/>
      </c>
      <c r="Y168" s="8">
        <f>INDEX(param_values,MATCH(IF($D168="JEA_NSA","psic_required_uae_origin","psic_required_safe_origin_designated_port"),param_keys,0))</f>
        <v/>
      </c>
      <c r="Z168" s="19">
        <f>INDEX(param_values,MATCH("finance_days_"&amp;$T168,param_keys,0))</f>
        <v/>
      </c>
      <c r="AA168" s="15">
        <f>INDEX(param_values,MATCH("moisture_frac_"&amp;$C168,param_keys,0))</f>
        <v/>
      </c>
      <c r="AB168" s="15">
        <f>INDEX(param_values,MATCH("contamination_frac_"&amp;$C168,param_keys,0))</f>
        <v/>
      </c>
      <c r="AC168" s="15">
        <f>INDEX(param_values,MATCH("metal_yield_frac_"&amp;$C168,param_keys,0))</f>
        <v/>
      </c>
      <c r="AD168" s="15">
        <f>INDEX(param_values,MATCH("heavies_frac_"&amp;$C168,param_keys,0))</f>
        <v/>
      </c>
      <c r="AE168" s="8">
        <f>INDEX(param_values,MATCH("grade_factor_diff_"&amp;$C168,param_keys,0))</f>
        <v/>
      </c>
      <c r="AF168" s="16">
        <f>$F168*$P168</f>
        <v/>
      </c>
      <c r="AG168" s="8">
        <f>$U168/$V168</f>
        <v/>
      </c>
      <c r="AH168" s="16">
        <f>$L168*$AG168</f>
        <v/>
      </c>
      <c r="AI168" s="16">
        <f>$AF168-$AH168</f>
        <v/>
      </c>
      <c r="AJ168" s="16">
        <f>insurance_rate*insured_value_uplift*$AF168</f>
        <v/>
      </c>
      <c r="AK168" s="16">
        <f>$AF168+$AJ168</f>
        <v/>
      </c>
      <c r="AL168" s="18">
        <f>$AK168*$J168</f>
        <v/>
      </c>
      <c r="AM168" s="18">
        <f>$AK168*$I168</f>
        <v/>
      </c>
      <c r="AN168" s="18">
        <f>$AL168*bcd_scrap_hs7602</f>
        <v/>
      </c>
      <c r="AO168" s="18">
        <f>$AN168*sws_rate_on_bcd</f>
        <v/>
      </c>
      <c r="AP168" s="18">
        <f>($AL168+$AN168+$AO168)*igst_rate_hs7602</f>
        <v/>
      </c>
      <c r="AQ168" s="18">
        <f>$X168*$AG168+IF($Y168,psic_cost_usd_per_box*$H168/$W168,0)</f>
        <v/>
      </c>
      <c r="AR168" s="18">
        <f>($AM168+$AN168+$AO168)*$Z168/day_count_inr*$O168</f>
        <v/>
      </c>
      <c r="AS168" s="18">
        <f>$AP168*igst_credit_lag_days/day_count_inr*$O168</f>
        <v/>
      </c>
      <c r="AT168" s="18">
        <f>$AM168+$AN168+$AO168+$AQ168+$AR168+$AS168+IF(igst_itc_available,0,$AP168)</f>
        <v/>
      </c>
      <c r="AU168" s="15">
        <f>(1-$AA168)*(1-$AB168)*$AC168</f>
        <v/>
      </c>
      <c r="AV168" s="18">
        <f>$N168*kg_per_mt+domestic_anchor_premium_inr_t</f>
        <v/>
      </c>
      <c r="AW168" s="18">
        <f>(1-$AA168)*$AD168*heavies_net_value_frac_of_lme_al*$F168*$H168</f>
        <v/>
      </c>
      <c r="AX168" s="18">
        <f>conversion_cost_inr_t*$AU168</f>
        <v/>
      </c>
      <c r="AY168" s="18">
        <f>$AV168*$AU168+$AW168-$AT168-$AX168</f>
        <v/>
      </c>
      <c r="AZ168" s="16">
        <f>$AY168/$H168</f>
        <v/>
      </c>
      <c r="BA168" s="8">
        <f>$AY168&gt;margin_threshold_inr_t</f>
        <v/>
      </c>
      <c r="BB168" s="8">
        <f>$Q168+$AE168</f>
        <v/>
      </c>
      <c r="BC168" s="18">
        <f>$AT168-$AQ168</f>
        <v/>
      </c>
      <c r="BD168" s="18">
        <f>$AY168-$BC168*($BB168/$P168-1)</f>
        <v/>
      </c>
      <c r="BE168" s="18">
        <f>$AY168-(conv_step_5a-conversion_cost_inr_t)*$AU168</f>
        <v/>
      </c>
      <c r="BF168" s="8">
        <f>$BA168</f>
        <v/>
      </c>
      <c r="BG168" s="8">
        <f>$BD168&gt;margin_threshold_inr_t</f>
        <v/>
      </c>
      <c r="BH168" s="8">
        <f>$BE168&gt;margin_threshold_inr_t</f>
        <v/>
      </c>
      <c r="BI168" s="8">
        <f>AND($BF168,$BG168,$BH168)</f>
        <v/>
      </c>
      <c r="BJ168" s="8">
        <f>IF($BI168,1,0)</f>
        <v/>
      </c>
    </row>
    <row r="169">
      <c r="A169" s="11" t="n">
        <v>44757</v>
      </c>
      <c r="B169" s="11" t="n">
        <v>44757</v>
      </c>
      <c r="C169" s="7" t="inlineStr">
        <is>
          <t>zorba</t>
        </is>
      </c>
      <c r="D169" s="7" t="inlineStr">
        <is>
          <t>USEC_MUN</t>
        </is>
      </c>
      <c r="E169" s="17" t="b">
        <v>1</v>
      </c>
      <c r="F169" s="16">
        <f>INDEX(Market_Weekly!$E$6:$E$48,MATCH($A169,Market_Weekly!$A$6:$A$48,0))</f>
        <v/>
      </c>
      <c r="G169" s="16">
        <f>INDEX(Market_Weekly!$D$6:$D$48,MATCH($A169,Market_Weekly!$A$6:$A$48,0))</f>
        <v/>
      </c>
      <c r="H169" s="16">
        <f>INDEX(Market_Weekly!$G$6:$G$48,MATCH($A169,Market_Weekly!$A$6:$A$48,0))</f>
        <v/>
      </c>
      <c r="I169" s="8">
        <f>INDEX(Market_Weekly!$H$6:$H$48,MATCH($A169,Market_Weekly!$A$6:$A$48,0))</f>
        <v/>
      </c>
      <c r="J169" s="8">
        <f>INDEX(Market_Weekly!$Q$6:$Q$48,MATCH($A169,Market_Weekly!$A$6:$A$48,0))</f>
        <v/>
      </c>
      <c r="K169" s="8">
        <f>INDEX(Market_Weekly!$V$6:$V$48,MATCH($A169,Market_Weekly!$A$6:$A$48,0))</f>
        <v/>
      </c>
      <c r="L169" s="16">
        <f>IF($D169="JEA_NSA",INDEX(Market_Weekly!$N$6:$N$48,MATCH($A169,Market_Weekly!$A$6:$A$48,0)),INDEX(Market_Weekly!$O$6:$O$48,MATCH($A169,Market_Weekly!$A$6:$A$48,0)))</f>
        <v/>
      </c>
      <c r="M169" s="8">
        <f>IF($D169="JEA_NSA","M1","M2")</f>
        <v/>
      </c>
      <c r="N169" s="16">
        <f>IF($D169="JEA_NSA",INDEX(Market_Weekly!$L$6:$L$48,MATCH($A169,Market_Weekly!$A$6:$A$48,0)),INDEX(Market_Weekly!$M$6:$M$48,MATCH($A169,Market_Weekly!$A$6:$A$48,0)))</f>
        <v/>
      </c>
      <c r="O169" s="15">
        <f>INDEX(Market_Weekly!$P$6:$P$48,MATCH($A169,Market_Weekly!$A$6:$A$48,0))</f>
        <v/>
      </c>
      <c r="P169" s="8">
        <f>INDEX(Market_Weekly!$R$6:$T$48,MATCH($A169,Market_Weekly!$A$6:$A$48,0),MATCH("grade_factor_"&amp;$C169,Market_Weekly!$R$5:$T$5,0))</f>
        <v/>
      </c>
      <c r="Q169" s="8">
        <f>INDEX(Market_Weekly!$U$6:$U$48,MATCH($A169,Market_Weekly!$A$6:$A$48,0))</f>
        <v/>
      </c>
      <c r="R169" s="8">
        <f>IF($D169="JEA_NSA","20ft","40ft")</f>
        <v/>
      </c>
      <c r="S169" s="8">
        <f>IF($D169="JEA_NSA","nsa","mun")</f>
        <v/>
      </c>
      <c r="T169" s="8">
        <f>IF($D169="JEA_NSA","jea_nsa","usec_mun")</f>
        <v/>
      </c>
      <c r="U169" s="16">
        <f>INDEX(param_values,MATCH("container_payload_mt_"&amp;$R169,param_keys,0))</f>
        <v/>
      </c>
      <c r="V169" s="16">
        <f>INDEX(param_values,MATCH("container_payload_mt_"&amp;$R169&amp;"_"&amp;$C169,param_keys,0))</f>
        <v/>
      </c>
      <c r="W169" s="16">
        <f>INDEX(param_values,MATCH("container_payload_mt_20ft_"&amp;$C169,param_keys,0))</f>
        <v/>
      </c>
      <c r="X169" s="18">
        <f>INDEX(param_values,MATCH("port_cf_charges_inr_t_"&amp;$S169,param_keys,0))</f>
        <v/>
      </c>
      <c r="Y169" s="8">
        <f>INDEX(param_values,MATCH(IF($D169="JEA_NSA","psic_required_uae_origin","psic_required_safe_origin_designated_port"),param_keys,0))</f>
        <v/>
      </c>
      <c r="Z169" s="19">
        <f>INDEX(param_values,MATCH("finance_days_"&amp;$T169,param_keys,0))</f>
        <v/>
      </c>
      <c r="AA169" s="15">
        <f>INDEX(param_values,MATCH("moisture_frac_"&amp;$C169,param_keys,0))</f>
        <v/>
      </c>
      <c r="AB169" s="15">
        <f>INDEX(param_values,MATCH("contamination_frac_"&amp;$C169,param_keys,0))</f>
        <v/>
      </c>
      <c r="AC169" s="15">
        <f>INDEX(param_values,MATCH("metal_yield_frac_"&amp;$C169,param_keys,0))</f>
        <v/>
      </c>
      <c r="AD169" s="15">
        <f>INDEX(param_values,MATCH("heavies_frac_"&amp;$C169,param_keys,0))</f>
        <v/>
      </c>
      <c r="AE169" s="8">
        <f>INDEX(param_values,MATCH("grade_factor_diff_"&amp;$C169,param_keys,0))</f>
        <v/>
      </c>
      <c r="AF169" s="16">
        <f>$F169*$P169</f>
        <v/>
      </c>
      <c r="AG169" s="8">
        <f>$U169/$V169</f>
        <v/>
      </c>
      <c r="AH169" s="16">
        <f>$L169*$AG169</f>
        <v/>
      </c>
      <c r="AI169" s="16">
        <f>$AF169-$AH169</f>
        <v/>
      </c>
      <c r="AJ169" s="16">
        <f>insurance_rate*insured_value_uplift*$AF169</f>
        <v/>
      </c>
      <c r="AK169" s="16">
        <f>$AF169+$AJ169</f>
        <v/>
      </c>
      <c r="AL169" s="18">
        <f>$AK169*$J169</f>
        <v/>
      </c>
      <c r="AM169" s="18">
        <f>$AK169*$I169</f>
        <v/>
      </c>
      <c r="AN169" s="18">
        <f>$AL169*bcd_scrap_hs7602</f>
        <v/>
      </c>
      <c r="AO169" s="18">
        <f>$AN169*sws_rate_on_bcd</f>
        <v/>
      </c>
      <c r="AP169" s="18">
        <f>($AL169+$AN169+$AO169)*igst_rate_hs7602</f>
        <v/>
      </c>
      <c r="AQ169" s="18">
        <f>$X169*$AG169+IF($Y169,psic_cost_usd_per_box*$H169/$W169,0)</f>
        <v/>
      </c>
      <c r="AR169" s="18">
        <f>($AM169+$AN169+$AO169)*$Z169/day_count_inr*$O169</f>
        <v/>
      </c>
      <c r="AS169" s="18">
        <f>$AP169*igst_credit_lag_days/day_count_inr*$O169</f>
        <v/>
      </c>
      <c r="AT169" s="18">
        <f>$AM169+$AN169+$AO169+$AQ169+$AR169+$AS169+IF(igst_itc_available,0,$AP169)</f>
        <v/>
      </c>
      <c r="AU169" s="15">
        <f>(1-$AA169)*(1-$AB169)*$AC169</f>
        <v/>
      </c>
      <c r="AV169" s="18">
        <f>$N169*kg_per_mt+domestic_anchor_premium_inr_t</f>
        <v/>
      </c>
      <c r="AW169" s="18">
        <f>(1-$AA169)*$AD169*heavies_net_value_frac_of_lme_al*$F169*$H169</f>
        <v/>
      </c>
      <c r="AX169" s="18">
        <f>conversion_cost_inr_t*$AU169</f>
        <v/>
      </c>
      <c r="AY169" s="18">
        <f>$AV169*$AU169+$AW169-$AT169-$AX169</f>
        <v/>
      </c>
      <c r="AZ169" s="16">
        <f>$AY169/$H169</f>
        <v/>
      </c>
      <c r="BA169" s="8">
        <f>$AY169&gt;margin_threshold_inr_t</f>
        <v/>
      </c>
      <c r="BB169" s="8">
        <f>$Q169+$AE169</f>
        <v/>
      </c>
      <c r="BC169" s="18">
        <f>$AT169-$AQ169</f>
        <v/>
      </c>
      <c r="BD169" s="18">
        <f>$AY169-$BC169*($BB169/$P169-1)</f>
        <v/>
      </c>
      <c r="BE169" s="18">
        <f>$AY169-(conv_step_5a-conversion_cost_inr_t)*$AU169</f>
        <v/>
      </c>
      <c r="BF169" s="8">
        <f>$BA169</f>
        <v/>
      </c>
      <c r="BG169" s="8">
        <f>$BD169&gt;margin_threshold_inr_t</f>
        <v/>
      </c>
      <c r="BH169" s="8">
        <f>$BE169&gt;margin_threshold_inr_t</f>
        <v/>
      </c>
      <c r="BI169" s="8">
        <f>AND($BF169,$BG169,$BH169)</f>
        <v/>
      </c>
      <c r="BJ169" s="8">
        <f>IF($BI169,1,0)</f>
        <v/>
      </c>
    </row>
    <row r="170">
      <c r="A170" s="11" t="n">
        <v>44757</v>
      </c>
      <c r="B170" s="11" t="n">
        <v>44757</v>
      </c>
      <c r="C170" s="7" t="inlineStr">
        <is>
          <t>taint_tabor</t>
        </is>
      </c>
      <c r="D170" s="7" t="inlineStr">
        <is>
          <t>JEA_NSA</t>
        </is>
      </c>
      <c r="E170" s="17" t="b">
        <v>1</v>
      </c>
      <c r="F170" s="16">
        <f>INDEX(Market_Weekly!$E$6:$E$48,MATCH($A170,Market_Weekly!$A$6:$A$48,0))</f>
        <v/>
      </c>
      <c r="G170" s="16">
        <f>INDEX(Market_Weekly!$D$6:$D$48,MATCH($A170,Market_Weekly!$A$6:$A$48,0))</f>
        <v/>
      </c>
      <c r="H170" s="16">
        <f>INDEX(Market_Weekly!$G$6:$G$48,MATCH($A170,Market_Weekly!$A$6:$A$48,0))</f>
        <v/>
      </c>
      <c r="I170" s="8">
        <f>INDEX(Market_Weekly!$H$6:$H$48,MATCH($A170,Market_Weekly!$A$6:$A$48,0))</f>
        <v/>
      </c>
      <c r="J170" s="8">
        <f>INDEX(Market_Weekly!$Q$6:$Q$48,MATCH($A170,Market_Weekly!$A$6:$A$48,0))</f>
        <v/>
      </c>
      <c r="K170" s="8">
        <f>INDEX(Market_Weekly!$V$6:$V$48,MATCH($A170,Market_Weekly!$A$6:$A$48,0))</f>
        <v/>
      </c>
      <c r="L170" s="16">
        <f>IF($D170="JEA_NSA",INDEX(Market_Weekly!$N$6:$N$48,MATCH($A170,Market_Weekly!$A$6:$A$48,0)),INDEX(Market_Weekly!$O$6:$O$48,MATCH($A170,Market_Weekly!$A$6:$A$48,0)))</f>
        <v/>
      </c>
      <c r="M170" s="8">
        <f>IF($D170="JEA_NSA","M1","M2")</f>
        <v/>
      </c>
      <c r="N170" s="16">
        <f>IF($D170="JEA_NSA",INDEX(Market_Weekly!$L$6:$L$48,MATCH($A170,Market_Weekly!$A$6:$A$48,0)),INDEX(Market_Weekly!$M$6:$M$48,MATCH($A170,Market_Weekly!$A$6:$A$48,0)))</f>
        <v/>
      </c>
      <c r="O170" s="15">
        <f>INDEX(Market_Weekly!$P$6:$P$48,MATCH($A170,Market_Weekly!$A$6:$A$48,0))</f>
        <v/>
      </c>
      <c r="P170" s="8">
        <f>INDEX(Market_Weekly!$R$6:$T$48,MATCH($A170,Market_Weekly!$A$6:$A$48,0),MATCH("grade_factor_"&amp;$C170,Market_Weekly!$R$5:$T$5,0))</f>
        <v/>
      </c>
      <c r="Q170" s="8">
        <f>INDEX(Market_Weekly!$U$6:$U$48,MATCH($A170,Market_Weekly!$A$6:$A$48,0))</f>
        <v/>
      </c>
      <c r="R170" s="8">
        <f>IF($D170="JEA_NSA","20ft","40ft")</f>
        <v/>
      </c>
      <c r="S170" s="8">
        <f>IF($D170="JEA_NSA","nsa","mun")</f>
        <v/>
      </c>
      <c r="T170" s="8">
        <f>IF($D170="JEA_NSA","jea_nsa","usec_mun")</f>
        <v/>
      </c>
      <c r="U170" s="16">
        <f>INDEX(param_values,MATCH("container_payload_mt_"&amp;$R170,param_keys,0))</f>
        <v/>
      </c>
      <c r="V170" s="16">
        <f>INDEX(param_values,MATCH("container_payload_mt_"&amp;$R170&amp;"_"&amp;$C170,param_keys,0))</f>
        <v/>
      </c>
      <c r="W170" s="16">
        <f>INDEX(param_values,MATCH("container_payload_mt_20ft_"&amp;$C170,param_keys,0))</f>
        <v/>
      </c>
      <c r="X170" s="18">
        <f>INDEX(param_values,MATCH("port_cf_charges_inr_t_"&amp;$S170,param_keys,0))</f>
        <v/>
      </c>
      <c r="Y170" s="8">
        <f>INDEX(param_values,MATCH(IF($D170="JEA_NSA","psic_required_uae_origin","psic_required_safe_origin_designated_port"),param_keys,0))</f>
        <v/>
      </c>
      <c r="Z170" s="19">
        <f>INDEX(param_values,MATCH("finance_days_"&amp;$T170,param_keys,0))</f>
        <v/>
      </c>
      <c r="AA170" s="15">
        <f>INDEX(param_values,MATCH("moisture_frac_"&amp;$C170,param_keys,0))</f>
        <v/>
      </c>
      <c r="AB170" s="15">
        <f>INDEX(param_values,MATCH("contamination_frac_"&amp;$C170,param_keys,0))</f>
        <v/>
      </c>
      <c r="AC170" s="15">
        <f>INDEX(param_values,MATCH("metal_yield_frac_"&amp;$C170,param_keys,0))</f>
        <v/>
      </c>
      <c r="AD170" s="15">
        <f>INDEX(param_values,MATCH("heavies_frac_"&amp;$C170,param_keys,0))</f>
        <v/>
      </c>
      <c r="AE170" s="8">
        <f>INDEX(param_values,MATCH("grade_factor_diff_"&amp;$C170,param_keys,0))</f>
        <v/>
      </c>
      <c r="AF170" s="16">
        <f>$F170*$P170</f>
        <v/>
      </c>
      <c r="AG170" s="8">
        <f>$U170/$V170</f>
        <v/>
      </c>
      <c r="AH170" s="16">
        <f>$L170*$AG170</f>
        <v/>
      </c>
      <c r="AI170" s="16">
        <f>$AF170-$AH170</f>
        <v/>
      </c>
      <c r="AJ170" s="16">
        <f>insurance_rate*insured_value_uplift*$AF170</f>
        <v/>
      </c>
      <c r="AK170" s="16">
        <f>$AF170+$AJ170</f>
        <v/>
      </c>
      <c r="AL170" s="18">
        <f>$AK170*$J170</f>
        <v/>
      </c>
      <c r="AM170" s="18">
        <f>$AK170*$I170</f>
        <v/>
      </c>
      <c r="AN170" s="18">
        <f>$AL170*bcd_scrap_hs7602</f>
        <v/>
      </c>
      <c r="AO170" s="18">
        <f>$AN170*sws_rate_on_bcd</f>
        <v/>
      </c>
      <c r="AP170" s="18">
        <f>($AL170+$AN170+$AO170)*igst_rate_hs7602</f>
        <v/>
      </c>
      <c r="AQ170" s="18">
        <f>$X170*$AG170+IF($Y170,psic_cost_usd_per_box*$H170/$W170,0)</f>
        <v/>
      </c>
      <c r="AR170" s="18">
        <f>($AM170+$AN170+$AO170)*$Z170/day_count_inr*$O170</f>
        <v/>
      </c>
      <c r="AS170" s="18">
        <f>$AP170*igst_credit_lag_days/day_count_inr*$O170</f>
        <v/>
      </c>
      <c r="AT170" s="18">
        <f>$AM170+$AN170+$AO170+$AQ170+$AR170+$AS170+IF(igst_itc_available,0,$AP170)</f>
        <v/>
      </c>
      <c r="AU170" s="15">
        <f>(1-$AA170)*(1-$AB170)*$AC170</f>
        <v/>
      </c>
      <c r="AV170" s="18">
        <f>$N170*kg_per_mt+domestic_anchor_premium_inr_t</f>
        <v/>
      </c>
      <c r="AW170" s="18">
        <f>(1-$AA170)*$AD170*heavies_net_value_frac_of_lme_al*$F170*$H170</f>
        <v/>
      </c>
      <c r="AX170" s="18">
        <f>conversion_cost_inr_t*$AU170</f>
        <v/>
      </c>
      <c r="AY170" s="18">
        <f>$AV170*$AU170+$AW170-$AT170-$AX170</f>
        <v/>
      </c>
      <c r="AZ170" s="16">
        <f>$AY170/$H170</f>
        <v/>
      </c>
      <c r="BA170" s="8">
        <f>$AY170&gt;margin_threshold_inr_t</f>
        <v/>
      </c>
      <c r="BB170" s="8">
        <f>$Q170+$AE170</f>
        <v/>
      </c>
      <c r="BC170" s="18">
        <f>$AT170-$AQ170</f>
        <v/>
      </c>
      <c r="BD170" s="18">
        <f>$AY170-$BC170*($BB170/$P170-1)</f>
        <v/>
      </c>
      <c r="BE170" s="18">
        <f>$AY170-(conv_step_5a-conversion_cost_inr_t)*$AU170</f>
        <v/>
      </c>
      <c r="BF170" s="8">
        <f>$BA170</f>
        <v/>
      </c>
      <c r="BG170" s="8">
        <f>$BD170&gt;margin_threshold_inr_t</f>
        <v/>
      </c>
      <c r="BH170" s="8">
        <f>$BE170&gt;margin_threshold_inr_t</f>
        <v/>
      </c>
      <c r="BI170" s="8">
        <f>AND($BF170,$BG170,$BH170)</f>
        <v/>
      </c>
      <c r="BJ170" s="8">
        <f>IF($BI170,1,0)</f>
        <v/>
      </c>
    </row>
    <row r="171">
      <c r="A171" s="11" t="n">
        <v>44757</v>
      </c>
      <c r="B171" s="11" t="n">
        <v>44757</v>
      </c>
      <c r="C171" s="7" t="inlineStr">
        <is>
          <t>taint_tabor</t>
        </is>
      </c>
      <c r="D171" s="7" t="inlineStr">
        <is>
          <t>USEC_MUN</t>
        </is>
      </c>
      <c r="E171" s="17" t="b">
        <v>1</v>
      </c>
      <c r="F171" s="16">
        <f>INDEX(Market_Weekly!$E$6:$E$48,MATCH($A171,Market_Weekly!$A$6:$A$48,0))</f>
        <v/>
      </c>
      <c r="G171" s="16">
        <f>INDEX(Market_Weekly!$D$6:$D$48,MATCH($A171,Market_Weekly!$A$6:$A$48,0))</f>
        <v/>
      </c>
      <c r="H171" s="16">
        <f>INDEX(Market_Weekly!$G$6:$G$48,MATCH($A171,Market_Weekly!$A$6:$A$48,0))</f>
        <v/>
      </c>
      <c r="I171" s="8">
        <f>INDEX(Market_Weekly!$H$6:$H$48,MATCH($A171,Market_Weekly!$A$6:$A$48,0))</f>
        <v/>
      </c>
      <c r="J171" s="8">
        <f>INDEX(Market_Weekly!$Q$6:$Q$48,MATCH($A171,Market_Weekly!$A$6:$A$48,0))</f>
        <v/>
      </c>
      <c r="K171" s="8">
        <f>INDEX(Market_Weekly!$V$6:$V$48,MATCH($A171,Market_Weekly!$A$6:$A$48,0))</f>
        <v/>
      </c>
      <c r="L171" s="16">
        <f>IF($D171="JEA_NSA",INDEX(Market_Weekly!$N$6:$N$48,MATCH($A171,Market_Weekly!$A$6:$A$48,0)),INDEX(Market_Weekly!$O$6:$O$48,MATCH($A171,Market_Weekly!$A$6:$A$48,0)))</f>
        <v/>
      </c>
      <c r="M171" s="8">
        <f>IF($D171="JEA_NSA","M1","M2")</f>
        <v/>
      </c>
      <c r="N171" s="16">
        <f>IF($D171="JEA_NSA",INDEX(Market_Weekly!$L$6:$L$48,MATCH($A171,Market_Weekly!$A$6:$A$48,0)),INDEX(Market_Weekly!$M$6:$M$48,MATCH($A171,Market_Weekly!$A$6:$A$48,0)))</f>
        <v/>
      </c>
      <c r="O171" s="15">
        <f>INDEX(Market_Weekly!$P$6:$P$48,MATCH($A171,Market_Weekly!$A$6:$A$48,0))</f>
        <v/>
      </c>
      <c r="P171" s="8">
        <f>INDEX(Market_Weekly!$R$6:$T$48,MATCH($A171,Market_Weekly!$A$6:$A$48,0),MATCH("grade_factor_"&amp;$C171,Market_Weekly!$R$5:$T$5,0))</f>
        <v/>
      </c>
      <c r="Q171" s="8">
        <f>INDEX(Market_Weekly!$U$6:$U$48,MATCH($A171,Market_Weekly!$A$6:$A$48,0))</f>
        <v/>
      </c>
      <c r="R171" s="8">
        <f>IF($D171="JEA_NSA","20ft","40ft")</f>
        <v/>
      </c>
      <c r="S171" s="8">
        <f>IF($D171="JEA_NSA","nsa","mun")</f>
        <v/>
      </c>
      <c r="T171" s="8">
        <f>IF($D171="JEA_NSA","jea_nsa","usec_mun")</f>
        <v/>
      </c>
      <c r="U171" s="16">
        <f>INDEX(param_values,MATCH("container_payload_mt_"&amp;$R171,param_keys,0))</f>
        <v/>
      </c>
      <c r="V171" s="16">
        <f>INDEX(param_values,MATCH("container_payload_mt_"&amp;$R171&amp;"_"&amp;$C171,param_keys,0))</f>
        <v/>
      </c>
      <c r="W171" s="16">
        <f>INDEX(param_values,MATCH("container_payload_mt_20ft_"&amp;$C171,param_keys,0))</f>
        <v/>
      </c>
      <c r="X171" s="18">
        <f>INDEX(param_values,MATCH("port_cf_charges_inr_t_"&amp;$S171,param_keys,0))</f>
        <v/>
      </c>
      <c r="Y171" s="8">
        <f>INDEX(param_values,MATCH(IF($D171="JEA_NSA","psic_required_uae_origin","psic_required_safe_origin_designated_port"),param_keys,0))</f>
        <v/>
      </c>
      <c r="Z171" s="19">
        <f>INDEX(param_values,MATCH("finance_days_"&amp;$T171,param_keys,0))</f>
        <v/>
      </c>
      <c r="AA171" s="15">
        <f>INDEX(param_values,MATCH("moisture_frac_"&amp;$C171,param_keys,0))</f>
        <v/>
      </c>
      <c r="AB171" s="15">
        <f>INDEX(param_values,MATCH("contamination_frac_"&amp;$C171,param_keys,0))</f>
        <v/>
      </c>
      <c r="AC171" s="15">
        <f>INDEX(param_values,MATCH("metal_yield_frac_"&amp;$C171,param_keys,0))</f>
        <v/>
      </c>
      <c r="AD171" s="15">
        <f>INDEX(param_values,MATCH("heavies_frac_"&amp;$C171,param_keys,0))</f>
        <v/>
      </c>
      <c r="AE171" s="8">
        <f>INDEX(param_values,MATCH("grade_factor_diff_"&amp;$C171,param_keys,0))</f>
        <v/>
      </c>
      <c r="AF171" s="16">
        <f>$F171*$P171</f>
        <v/>
      </c>
      <c r="AG171" s="8">
        <f>$U171/$V171</f>
        <v/>
      </c>
      <c r="AH171" s="16">
        <f>$L171*$AG171</f>
        <v/>
      </c>
      <c r="AI171" s="16">
        <f>$AF171-$AH171</f>
        <v/>
      </c>
      <c r="AJ171" s="16">
        <f>insurance_rate*insured_value_uplift*$AF171</f>
        <v/>
      </c>
      <c r="AK171" s="16">
        <f>$AF171+$AJ171</f>
        <v/>
      </c>
      <c r="AL171" s="18">
        <f>$AK171*$J171</f>
        <v/>
      </c>
      <c r="AM171" s="18">
        <f>$AK171*$I171</f>
        <v/>
      </c>
      <c r="AN171" s="18">
        <f>$AL171*bcd_scrap_hs7602</f>
        <v/>
      </c>
      <c r="AO171" s="18">
        <f>$AN171*sws_rate_on_bcd</f>
        <v/>
      </c>
      <c r="AP171" s="18">
        <f>($AL171+$AN171+$AO171)*igst_rate_hs7602</f>
        <v/>
      </c>
      <c r="AQ171" s="18">
        <f>$X171*$AG171+IF($Y171,psic_cost_usd_per_box*$H171/$W171,0)</f>
        <v/>
      </c>
      <c r="AR171" s="18">
        <f>($AM171+$AN171+$AO171)*$Z171/day_count_inr*$O171</f>
        <v/>
      </c>
      <c r="AS171" s="18">
        <f>$AP171*igst_credit_lag_days/day_count_inr*$O171</f>
        <v/>
      </c>
      <c r="AT171" s="18">
        <f>$AM171+$AN171+$AO171+$AQ171+$AR171+$AS171+IF(igst_itc_available,0,$AP171)</f>
        <v/>
      </c>
      <c r="AU171" s="15">
        <f>(1-$AA171)*(1-$AB171)*$AC171</f>
        <v/>
      </c>
      <c r="AV171" s="18">
        <f>$N171*kg_per_mt+domestic_anchor_premium_inr_t</f>
        <v/>
      </c>
      <c r="AW171" s="18">
        <f>(1-$AA171)*$AD171*heavies_net_value_frac_of_lme_al*$F171*$H171</f>
        <v/>
      </c>
      <c r="AX171" s="18">
        <f>conversion_cost_inr_t*$AU171</f>
        <v/>
      </c>
      <c r="AY171" s="18">
        <f>$AV171*$AU171+$AW171-$AT171-$AX171</f>
        <v/>
      </c>
      <c r="AZ171" s="16">
        <f>$AY171/$H171</f>
        <v/>
      </c>
      <c r="BA171" s="8">
        <f>$AY171&gt;margin_threshold_inr_t</f>
        <v/>
      </c>
      <c r="BB171" s="8">
        <f>$Q171+$AE171</f>
        <v/>
      </c>
      <c r="BC171" s="18">
        <f>$AT171-$AQ171</f>
        <v/>
      </c>
      <c r="BD171" s="18">
        <f>$AY171-$BC171*($BB171/$P171-1)</f>
        <v/>
      </c>
      <c r="BE171" s="18">
        <f>$AY171-(conv_step_5a-conversion_cost_inr_t)*$AU171</f>
        <v/>
      </c>
      <c r="BF171" s="8">
        <f>$BA171</f>
        <v/>
      </c>
      <c r="BG171" s="8">
        <f>$BD171&gt;margin_threshold_inr_t</f>
        <v/>
      </c>
      <c r="BH171" s="8">
        <f>$BE171&gt;margin_threshold_inr_t</f>
        <v/>
      </c>
      <c r="BI171" s="8">
        <f>AND($BF171,$BG171,$BH171)</f>
        <v/>
      </c>
      <c r="BJ171" s="8">
        <f>IF($BI171,1,0)</f>
        <v/>
      </c>
    </row>
    <row r="172">
      <c r="A172" s="11" t="n">
        <v>44757</v>
      </c>
      <c r="B172" s="11" t="n">
        <v>44757</v>
      </c>
      <c r="C172" s="7" t="inlineStr">
        <is>
          <t>tense</t>
        </is>
      </c>
      <c r="D172" s="7" t="inlineStr">
        <is>
          <t>JEA_NSA</t>
        </is>
      </c>
      <c r="E172" s="17" t="b">
        <v>1</v>
      </c>
      <c r="F172" s="16">
        <f>INDEX(Market_Weekly!$E$6:$E$48,MATCH($A172,Market_Weekly!$A$6:$A$48,0))</f>
        <v/>
      </c>
      <c r="G172" s="16">
        <f>INDEX(Market_Weekly!$D$6:$D$48,MATCH($A172,Market_Weekly!$A$6:$A$48,0))</f>
        <v/>
      </c>
      <c r="H172" s="16">
        <f>INDEX(Market_Weekly!$G$6:$G$48,MATCH($A172,Market_Weekly!$A$6:$A$48,0))</f>
        <v/>
      </c>
      <c r="I172" s="8">
        <f>INDEX(Market_Weekly!$H$6:$H$48,MATCH($A172,Market_Weekly!$A$6:$A$48,0))</f>
        <v/>
      </c>
      <c r="J172" s="8">
        <f>INDEX(Market_Weekly!$Q$6:$Q$48,MATCH($A172,Market_Weekly!$A$6:$A$48,0))</f>
        <v/>
      </c>
      <c r="K172" s="8">
        <f>INDEX(Market_Weekly!$V$6:$V$48,MATCH($A172,Market_Weekly!$A$6:$A$48,0))</f>
        <v/>
      </c>
      <c r="L172" s="16">
        <f>IF($D172="JEA_NSA",INDEX(Market_Weekly!$N$6:$N$48,MATCH($A172,Market_Weekly!$A$6:$A$48,0)),INDEX(Market_Weekly!$O$6:$O$48,MATCH($A172,Market_Weekly!$A$6:$A$48,0)))</f>
        <v/>
      </c>
      <c r="M172" s="8">
        <f>IF($D172="JEA_NSA","M1","M2")</f>
        <v/>
      </c>
      <c r="N172" s="16">
        <f>IF($D172="JEA_NSA",INDEX(Market_Weekly!$L$6:$L$48,MATCH($A172,Market_Weekly!$A$6:$A$48,0)),INDEX(Market_Weekly!$M$6:$M$48,MATCH($A172,Market_Weekly!$A$6:$A$48,0)))</f>
        <v/>
      </c>
      <c r="O172" s="15">
        <f>INDEX(Market_Weekly!$P$6:$P$48,MATCH($A172,Market_Weekly!$A$6:$A$48,0))</f>
        <v/>
      </c>
      <c r="P172" s="8">
        <f>INDEX(Market_Weekly!$R$6:$T$48,MATCH($A172,Market_Weekly!$A$6:$A$48,0),MATCH("grade_factor_"&amp;$C172,Market_Weekly!$R$5:$T$5,0))</f>
        <v/>
      </c>
      <c r="Q172" s="8">
        <f>INDEX(Market_Weekly!$U$6:$U$48,MATCH($A172,Market_Weekly!$A$6:$A$48,0))</f>
        <v/>
      </c>
      <c r="R172" s="8">
        <f>IF($D172="JEA_NSA","20ft","40ft")</f>
        <v/>
      </c>
      <c r="S172" s="8">
        <f>IF($D172="JEA_NSA","nsa","mun")</f>
        <v/>
      </c>
      <c r="T172" s="8">
        <f>IF($D172="JEA_NSA","jea_nsa","usec_mun")</f>
        <v/>
      </c>
      <c r="U172" s="16">
        <f>INDEX(param_values,MATCH("container_payload_mt_"&amp;$R172,param_keys,0))</f>
        <v/>
      </c>
      <c r="V172" s="16">
        <f>INDEX(param_values,MATCH("container_payload_mt_"&amp;$R172&amp;"_"&amp;$C172,param_keys,0))</f>
        <v/>
      </c>
      <c r="W172" s="16">
        <f>INDEX(param_values,MATCH("container_payload_mt_20ft_"&amp;$C172,param_keys,0))</f>
        <v/>
      </c>
      <c r="X172" s="18">
        <f>INDEX(param_values,MATCH("port_cf_charges_inr_t_"&amp;$S172,param_keys,0))</f>
        <v/>
      </c>
      <c r="Y172" s="8">
        <f>INDEX(param_values,MATCH(IF($D172="JEA_NSA","psic_required_uae_origin","psic_required_safe_origin_designated_port"),param_keys,0))</f>
        <v/>
      </c>
      <c r="Z172" s="19">
        <f>INDEX(param_values,MATCH("finance_days_"&amp;$T172,param_keys,0))</f>
        <v/>
      </c>
      <c r="AA172" s="15">
        <f>INDEX(param_values,MATCH("moisture_frac_"&amp;$C172,param_keys,0))</f>
        <v/>
      </c>
      <c r="AB172" s="15">
        <f>INDEX(param_values,MATCH("contamination_frac_"&amp;$C172,param_keys,0))</f>
        <v/>
      </c>
      <c r="AC172" s="15">
        <f>INDEX(param_values,MATCH("metal_yield_frac_"&amp;$C172,param_keys,0))</f>
        <v/>
      </c>
      <c r="AD172" s="15">
        <f>INDEX(param_values,MATCH("heavies_frac_"&amp;$C172,param_keys,0))</f>
        <v/>
      </c>
      <c r="AE172" s="8">
        <f>INDEX(param_values,MATCH("grade_factor_diff_"&amp;$C172,param_keys,0))</f>
        <v/>
      </c>
      <c r="AF172" s="16">
        <f>$F172*$P172</f>
        <v/>
      </c>
      <c r="AG172" s="8">
        <f>$U172/$V172</f>
        <v/>
      </c>
      <c r="AH172" s="16">
        <f>$L172*$AG172</f>
        <v/>
      </c>
      <c r="AI172" s="16">
        <f>$AF172-$AH172</f>
        <v/>
      </c>
      <c r="AJ172" s="16">
        <f>insurance_rate*insured_value_uplift*$AF172</f>
        <v/>
      </c>
      <c r="AK172" s="16">
        <f>$AF172+$AJ172</f>
        <v/>
      </c>
      <c r="AL172" s="18">
        <f>$AK172*$J172</f>
        <v/>
      </c>
      <c r="AM172" s="18">
        <f>$AK172*$I172</f>
        <v/>
      </c>
      <c r="AN172" s="18">
        <f>$AL172*bcd_scrap_hs7602</f>
        <v/>
      </c>
      <c r="AO172" s="18">
        <f>$AN172*sws_rate_on_bcd</f>
        <v/>
      </c>
      <c r="AP172" s="18">
        <f>($AL172+$AN172+$AO172)*igst_rate_hs7602</f>
        <v/>
      </c>
      <c r="AQ172" s="18">
        <f>$X172*$AG172+IF($Y172,psic_cost_usd_per_box*$H172/$W172,0)</f>
        <v/>
      </c>
      <c r="AR172" s="18">
        <f>($AM172+$AN172+$AO172)*$Z172/day_count_inr*$O172</f>
        <v/>
      </c>
      <c r="AS172" s="18">
        <f>$AP172*igst_credit_lag_days/day_count_inr*$O172</f>
        <v/>
      </c>
      <c r="AT172" s="18">
        <f>$AM172+$AN172+$AO172+$AQ172+$AR172+$AS172+IF(igst_itc_available,0,$AP172)</f>
        <v/>
      </c>
      <c r="AU172" s="15">
        <f>(1-$AA172)*(1-$AB172)*$AC172</f>
        <v/>
      </c>
      <c r="AV172" s="18">
        <f>$N172*kg_per_mt+domestic_anchor_premium_inr_t</f>
        <v/>
      </c>
      <c r="AW172" s="18">
        <f>(1-$AA172)*$AD172*heavies_net_value_frac_of_lme_al*$F172*$H172</f>
        <v/>
      </c>
      <c r="AX172" s="18">
        <f>conversion_cost_inr_t*$AU172</f>
        <v/>
      </c>
      <c r="AY172" s="18">
        <f>$AV172*$AU172+$AW172-$AT172-$AX172</f>
        <v/>
      </c>
      <c r="AZ172" s="16">
        <f>$AY172/$H172</f>
        <v/>
      </c>
      <c r="BA172" s="8">
        <f>$AY172&gt;margin_threshold_inr_t</f>
        <v/>
      </c>
      <c r="BB172" s="8">
        <f>$Q172+$AE172</f>
        <v/>
      </c>
      <c r="BC172" s="18">
        <f>$AT172-$AQ172</f>
        <v/>
      </c>
      <c r="BD172" s="18">
        <f>$AY172-$BC172*($BB172/$P172-1)</f>
        <v/>
      </c>
      <c r="BE172" s="18">
        <f>$AY172-(conv_step_5a-conversion_cost_inr_t)*$AU172</f>
        <v/>
      </c>
      <c r="BF172" s="8">
        <f>$BA172</f>
        <v/>
      </c>
      <c r="BG172" s="8">
        <f>$BD172&gt;margin_threshold_inr_t</f>
        <v/>
      </c>
      <c r="BH172" s="8">
        <f>$BE172&gt;margin_threshold_inr_t</f>
        <v/>
      </c>
      <c r="BI172" s="8">
        <f>AND($BF172,$BG172,$BH172)</f>
        <v/>
      </c>
      <c r="BJ172" s="8">
        <f>IF($BI172,1,0)</f>
        <v/>
      </c>
    </row>
    <row r="173">
      <c r="A173" s="11" t="n">
        <v>44757</v>
      </c>
      <c r="B173" s="11" t="n">
        <v>44757</v>
      </c>
      <c r="C173" s="7" t="inlineStr">
        <is>
          <t>tense</t>
        </is>
      </c>
      <c r="D173" s="7" t="inlineStr">
        <is>
          <t>USEC_MUN</t>
        </is>
      </c>
      <c r="E173" s="17" t="b">
        <v>1</v>
      </c>
      <c r="F173" s="16">
        <f>INDEX(Market_Weekly!$E$6:$E$48,MATCH($A173,Market_Weekly!$A$6:$A$48,0))</f>
        <v/>
      </c>
      <c r="G173" s="16">
        <f>INDEX(Market_Weekly!$D$6:$D$48,MATCH($A173,Market_Weekly!$A$6:$A$48,0))</f>
        <v/>
      </c>
      <c r="H173" s="16">
        <f>INDEX(Market_Weekly!$G$6:$G$48,MATCH($A173,Market_Weekly!$A$6:$A$48,0))</f>
        <v/>
      </c>
      <c r="I173" s="8">
        <f>INDEX(Market_Weekly!$H$6:$H$48,MATCH($A173,Market_Weekly!$A$6:$A$48,0))</f>
        <v/>
      </c>
      <c r="J173" s="8">
        <f>INDEX(Market_Weekly!$Q$6:$Q$48,MATCH($A173,Market_Weekly!$A$6:$A$48,0))</f>
        <v/>
      </c>
      <c r="K173" s="8">
        <f>INDEX(Market_Weekly!$V$6:$V$48,MATCH($A173,Market_Weekly!$A$6:$A$48,0))</f>
        <v/>
      </c>
      <c r="L173" s="16">
        <f>IF($D173="JEA_NSA",INDEX(Market_Weekly!$N$6:$N$48,MATCH($A173,Market_Weekly!$A$6:$A$48,0)),INDEX(Market_Weekly!$O$6:$O$48,MATCH($A173,Market_Weekly!$A$6:$A$48,0)))</f>
        <v/>
      </c>
      <c r="M173" s="8">
        <f>IF($D173="JEA_NSA","M1","M2")</f>
        <v/>
      </c>
      <c r="N173" s="16">
        <f>IF($D173="JEA_NSA",INDEX(Market_Weekly!$L$6:$L$48,MATCH($A173,Market_Weekly!$A$6:$A$48,0)),INDEX(Market_Weekly!$M$6:$M$48,MATCH($A173,Market_Weekly!$A$6:$A$48,0)))</f>
        <v/>
      </c>
      <c r="O173" s="15">
        <f>INDEX(Market_Weekly!$P$6:$P$48,MATCH($A173,Market_Weekly!$A$6:$A$48,0))</f>
        <v/>
      </c>
      <c r="P173" s="8">
        <f>INDEX(Market_Weekly!$R$6:$T$48,MATCH($A173,Market_Weekly!$A$6:$A$48,0),MATCH("grade_factor_"&amp;$C173,Market_Weekly!$R$5:$T$5,0))</f>
        <v/>
      </c>
      <c r="Q173" s="8">
        <f>INDEX(Market_Weekly!$U$6:$U$48,MATCH($A173,Market_Weekly!$A$6:$A$48,0))</f>
        <v/>
      </c>
      <c r="R173" s="8">
        <f>IF($D173="JEA_NSA","20ft","40ft")</f>
        <v/>
      </c>
      <c r="S173" s="8">
        <f>IF($D173="JEA_NSA","nsa","mun")</f>
        <v/>
      </c>
      <c r="T173" s="8">
        <f>IF($D173="JEA_NSA","jea_nsa","usec_mun")</f>
        <v/>
      </c>
      <c r="U173" s="16">
        <f>INDEX(param_values,MATCH("container_payload_mt_"&amp;$R173,param_keys,0))</f>
        <v/>
      </c>
      <c r="V173" s="16">
        <f>INDEX(param_values,MATCH("container_payload_mt_"&amp;$R173&amp;"_"&amp;$C173,param_keys,0))</f>
        <v/>
      </c>
      <c r="W173" s="16">
        <f>INDEX(param_values,MATCH("container_payload_mt_20ft_"&amp;$C173,param_keys,0))</f>
        <v/>
      </c>
      <c r="X173" s="18">
        <f>INDEX(param_values,MATCH("port_cf_charges_inr_t_"&amp;$S173,param_keys,0))</f>
        <v/>
      </c>
      <c r="Y173" s="8">
        <f>INDEX(param_values,MATCH(IF($D173="JEA_NSA","psic_required_uae_origin","psic_required_safe_origin_designated_port"),param_keys,0))</f>
        <v/>
      </c>
      <c r="Z173" s="19">
        <f>INDEX(param_values,MATCH("finance_days_"&amp;$T173,param_keys,0))</f>
        <v/>
      </c>
      <c r="AA173" s="15">
        <f>INDEX(param_values,MATCH("moisture_frac_"&amp;$C173,param_keys,0))</f>
        <v/>
      </c>
      <c r="AB173" s="15">
        <f>INDEX(param_values,MATCH("contamination_frac_"&amp;$C173,param_keys,0))</f>
        <v/>
      </c>
      <c r="AC173" s="15">
        <f>INDEX(param_values,MATCH("metal_yield_frac_"&amp;$C173,param_keys,0))</f>
        <v/>
      </c>
      <c r="AD173" s="15">
        <f>INDEX(param_values,MATCH("heavies_frac_"&amp;$C173,param_keys,0))</f>
        <v/>
      </c>
      <c r="AE173" s="8">
        <f>INDEX(param_values,MATCH("grade_factor_diff_"&amp;$C173,param_keys,0))</f>
        <v/>
      </c>
      <c r="AF173" s="16">
        <f>$F173*$P173</f>
        <v/>
      </c>
      <c r="AG173" s="8">
        <f>$U173/$V173</f>
        <v/>
      </c>
      <c r="AH173" s="16">
        <f>$L173*$AG173</f>
        <v/>
      </c>
      <c r="AI173" s="16">
        <f>$AF173-$AH173</f>
        <v/>
      </c>
      <c r="AJ173" s="16">
        <f>insurance_rate*insured_value_uplift*$AF173</f>
        <v/>
      </c>
      <c r="AK173" s="16">
        <f>$AF173+$AJ173</f>
        <v/>
      </c>
      <c r="AL173" s="18">
        <f>$AK173*$J173</f>
        <v/>
      </c>
      <c r="AM173" s="18">
        <f>$AK173*$I173</f>
        <v/>
      </c>
      <c r="AN173" s="18">
        <f>$AL173*bcd_scrap_hs7602</f>
        <v/>
      </c>
      <c r="AO173" s="18">
        <f>$AN173*sws_rate_on_bcd</f>
        <v/>
      </c>
      <c r="AP173" s="18">
        <f>($AL173+$AN173+$AO173)*igst_rate_hs7602</f>
        <v/>
      </c>
      <c r="AQ173" s="18">
        <f>$X173*$AG173+IF($Y173,psic_cost_usd_per_box*$H173/$W173,0)</f>
        <v/>
      </c>
      <c r="AR173" s="18">
        <f>($AM173+$AN173+$AO173)*$Z173/day_count_inr*$O173</f>
        <v/>
      </c>
      <c r="AS173" s="18">
        <f>$AP173*igst_credit_lag_days/day_count_inr*$O173</f>
        <v/>
      </c>
      <c r="AT173" s="18">
        <f>$AM173+$AN173+$AO173+$AQ173+$AR173+$AS173+IF(igst_itc_available,0,$AP173)</f>
        <v/>
      </c>
      <c r="AU173" s="15">
        <f>(1-$AA173)*(1-$AB173)*$AC173</f>
        <v/>
      </c>
      <c r="AV173" s="18">
        <f>$N173*kg_per_mt+domestic_anchor_premium_inr_t</f>
        <v/>
      </c>
      <c r="AW173" s="18">
        <f>(1-$AA173)*$AD173*heavies_net_value_frac_of_lme_al*$F173*$H173</f>
        <v/>
      </c>
      <c r="AX173" s="18">
        <f>conversion_cost_inr_t*$AU173</f>
        <v/>
      </c>
      <c r="AY173" s="18">
        <f>$AV173*$AU173+$AW173-$AT173-$AX173</f>
        <v/>
      </c>
      <c r="AZ173" s="16">
        <f>$AY173/$H173</f>
        <v/>
      </c>
      <c r="BA173" s="8">
        <f>$AY173&gt;margin_threshold_inr_t</f>
        <v/>
      </c>
      <c r="BB173" s="8">
        <f>$Q173+$AE173</f>
        <v/>
      </c>
      <c r="BC173" s="18">
        <f>$AT173-$AQ173</f>
        <v/>
      </c>
      <c r="BD173" s="18">
        <f>$AY173-$BC173*($BB173/$P173-1)</f>
        <v/>
      </c>
      <c r="BE173" s="18">
        <f>$AY173-(conv_step_5a-conversion_cost_inr_t)*$AU173</f>
        <v/>
      </c>
      <c r="BF173" s="8">
        <f>$BA173</f>
        <v/>
      </c>
      <c r="BG173" s="8">
        <f>$BD173&gt;margin_threshold_inr_t</f>
        <v/>
      </c>
      <c r="BH173" s="8">
        <f>$BE173&gt;margin_threshold_inr_t</f>
        <v/>
      </c>
      <c r="BI173" s="8">
        <f>AND($BF173,$BG173,$BH173)</f>
        <v/>
      </c>
      <c r="BJ173" s="8">
        <f>IF($BI173,1,0)</f>
        <v/>
      </c>
    </row>
    <row r="174">
      <c r="A174" s="11" t="n">
        <v>44764</v>
      </c>
      <c r="B174" s="11" t="n">
        <v>44764</v>
      </c>
      <c r="C174" s="7" t="inlineStr">
        <is>
          <t>zorba</t>
        </is>
      </c>
      <c r="D174" s="7" t="inlineStr">
        <is>
          <t>JEA_NSA</t>
        </is>
      </c>
      <c r="E174" s="17" t="b">
        <v>1</v>
      </c>
      <c r="F174" s="16">
        <f>INDEX(Market_Weekly!$E$6:$E$48,MATCH($A174,Market_Weekly!$A$6:$A$48,0))</f>
        <v/>
      </c>
      <c r="G174" s="16">
        <f>INDEX(Market_Weekly!$D$6:$D$48,MATCH($A174,Market_Weekly!$A$6:$A$48,0))</f>
        <v/>
      </c>
      <c r="H174" s="16">
        <f>INDEX(Market_Weekly!$G$6:$G$48,MATCH($A174,Market_Weekly!$A$6:$A$48,0))</f>
        <v/>
      </c>
      <c r="I174" s="8">
        <f>INDEX(Market_Weekly!$H$6:$H$48,MATCH($A174,Market_Weekly!$A$6:$A$48,0))</f>
        <v/>
      </c>
      <c r="J174" s="8">
        <f>INDEX(Market_Weekly!$Q$6:$Q$48,MATCH($A174,Market_Weekly!$A$6:$A$48,0))</f>
        <v/>
      </c>
      <c r="K174" s="8">
        <f>INDEX(Market_Weekly!$V$6:$V$48,MATCH($A174,Market_Weekly!$A$6:$A$48,0))</f>
        <v/>
      </c>
      <c r="L174" s="16">
        <f>IF($D174="JEA_NSA",INDEX(Market_Weekly!$N$6:$N$48,MATCH($A174,Market_Weekly!$A$6:$A$48,0)),INDEX(Market_Weekly!$O$6:$O$48,MATCH($A174,Market_Weekly!$A$6:$A$48,0)))</f>
        <v/>
      </c>
      <c r="M174" s="8">
        <f>IF($D174="JEA_NSA","M1","M2")</f>
        <v/>
      </c>
      <c r="N174" s="16">
        <f>IF($D174="JEA_NSA",INDEX(Market_Weekly!$L$6:$L$48,MATCH($A174,Market_Weekly!$A$6:$A$48,0)),INDEX(Market_Weekly!$M$6:$M$48,MATCH($A174,Market_Weekly!$A$6:$A$48,0)))</f>
        <v/>
      </c>
      <c r="O174" s="15">
        <f>INDEX(Market_Weekly!$P$6:$P$48,MATCH($A174,Market_Weekly!$A$6:$A$48,0))</f>
        <v/>
      </c>
      <c r="P174" s="8">
        <f>INDEX(Market_Weekly!$R$6:$T$48,MATCH($A174,Market_Weekly!$A$6:$A$48,0),MATCH("grade_factor_"&amp;$C174,Market_Weekly!$R$5:$T$5,0))</f>
        <v/>
      </c>
      <c r="Q174" s="8">
        <f>INDEX(Market_Weekly!$U$6:$U$48,MATCH($A174,Market_Weekly!$A$6:$A$48,0))</f>
        <v/>
      </c>
      <c r="R174" s="8">
        <f>IF($D174="JEA_NSA","20ft","40ft")</f>
        <v/>
      </c>
      <c r="S174" s="8">
        <f>IF($D174="JEA_NSA","nsa","mun")</f>
        <v/>
      </c>
      <c r="T174" s="8">
        <f>IF($D174="JEA_NSA","jea_nsa","usec_mun")</f>
        <v/>
      </c>
      <c r="U174" s="16">
        <f>INDEX(param_values,MATCH("container_payload_mt_"&amp;$R174,param_keys,0))</f>
        <v/>
      </c>
      <c r="V174" s="16">
        <f>INDEX(param_values,MATCH("container_payload_mt_"&amp;$R174&amp;"_"&amp;$C174,param_keys,0))</f>
        <v/>
      </c>
      <c r="W174" s="16">
        <f>INDEX(param_values,MATCH("container_payload_mt_20ft_"&amp;$C174,param_keys,0))</f>
        <v/>
      </c>
      <c r="X174" s="18">
        <f>INDEX(param_values,MATCH("port_cf_charges_inr_t_"&amp;$S174,param_keys,0))</f>
        <v/>
      </c>
      <c r="Y174" s="8">
        <f>INDEX(param_values,MATCH(IF($D174="JEA_NSA","psic_required_uae_origin","psic_required_safe_origin_designated_port"),param_keys,0))</f>
        <v/>
      </c>
      <c r="Z174" s="19">
        <f>INDEX(param_values,MATCH("finance_days_"&amp;$T174,param_keys,0))</f>
        <v/>
      </c>
      <c r="AA174" s="15">
        <f>INDEX(param_values,MATCH("moisture_frac_"&amp;$C174,param_keys,0))</f>
        <v/>
      </c>
      <c r="AB174" s="15">
        <f>INDEX(param_values,MATCH("contamination_frac_"&amp;$C174,param_keys,0))</f>
        <v/>
      </c>
      <c r="AC174" s="15">
        <f>INDEX(param_values,MATCH("metal_yield_frac_"&amp;$C174,param_keys,0))</f>
        <v/>
      </c>
      <c r="AD174" s="15">
        <f>INDEX(param_values,MATCH("heavies_frac_"&amp;$C174,param_keys,0))</f>
        <v/>
      </c>
      <c r="AE174" s="8">
        <f>INDEX(param_values,MATCH("grade_factor_diff_"&amp;$C174,param_keys,0))</f>
        <v/>
      </c>
      <c r="AF174" s="16">
        <f>$F174*$P174</f>
        <v/>
      </c>
      <c r="AG174" s="8">
        <f>$U174/$V174</f>
        <v/>
      </c>
      <c r="AH174" s="16">
        <f>$L174*$AG174</f>
        <v/>
      </c>
      <c r="AI174" s="16">
        <f>$AF174-$AH174</f>
        <v/>
      </c>
      <c r="AJ174" s="16">
        <f>insurance_rate*insured_value_uplift*$AF174</f>
        <v/>
      </c>
      <c r="AK174" s="16">
        <f>$AF174+$AJ174</f>
        <v/>
      </c>
      <c r="AL174" s="18">
        <f>$AK174*$J174</f>
        <v/>
      </c>
      <c r="AM174" s="18">
        <f>$AK174*$I174</f>
        <v/>
      </c>
      <c r="AN174" s="18">
        <f>$AL174*bcd_scrap_hs7602</f>
        <v/>
      </c>
      <c r="AO174" s="18">
        <f>$AN174*sws_rate_on_bcd</f>
        <v/>
      </c>
      <c r="AP174" s="18">
        <f>($AL174+$AN174+$AO174)*igst_rate_hs7602</f>
        <v/>
      </c>
      <c r="AQ174" s="18">
        <f>$X174*$AG174+IF($Y174,psic_cost_usd_per_box*$H174/$W174,0)</f>
        <v/>
      </c>
      <c r="AR174" s="18">
        <f>($AM174+$AN174+$AO174)*$Z174/day_count_inr*$O174</f>
        <v/>
      </c>
      <c r="AS174" s="18">
        <f>$AP174*igst_credit_lag_days/day_count_inr*$O174</f>
        <v/>
      </c>
      <c r="AT174" s="18">
        <f>$AM174+$AN174+$AO174+$AQ174+$AR174+$AS174+IF(igst_itc_available,0,$AP174)</f>
        <v/>
      </c>
      <c r="AU174" s="15">
        <f>(1-$AA174)*(1-$AB174)*$AC174</f>
        <v/>
      </c>
      <c r="AV174" s="18">
        <f>$N174*kg_per_mt+domestic_anchor_premium_inr_t</f>
        <v/>
      </c>
      <c r="AW174" s="18">
        <f>(1-$AA174)*$AD174*heavies_net_value_frac_of_lme_al*$F174*$H174</f>
        <v/>
      </c>
      <c r="AX174" s="18">
        <f>conversion_cost_inr_t*$AU174</f>
        <v/>
      </c>
      <c r="AY174" s="18">
        <f>$AV174*$AU174+$AW174-$AT174-$AX174</f>
        <v/>
      </c>
      <c r="AZ174" s="16">
        <f>$AY174/$H174</f>
        <v/>
      </c>
      <c r="BA174" s="8">
        <f>$AY174&gt;margin_threshold_inr_t</f>
        <v/>
      </c>
      <c r="BB174" s="8">
        <f>$Q174+$AE174</f>
        <v/>
      </c>
      <c r="BC174" s="18">
        <f>$AT174-$AQ174</f>
        <v/>
      </c>
      <c r="BD174" s="18">
        <f>$AY174-$BC174*($BB174/$P174-1)</f>
        <v/>
      </c>
      <c r="BE174" s="18">
        <f>$AY174-(conv_step_5a-conversion_cost_inr_t)*$AU174</f>
        <v/>
      </c>
      <c r="BF174" s="8">
        <f>$BA174</f>
        <v/>
      </c>
      <c r="BG174" s="8">
        <f>$BD174&gt;margin_threshold_inr_t</f>
        <v/>
      </c>
      <c r="BH174" s="8">
        <f>$BE174&gt;margin_threshold_inr_t</f>
        <v/>
      </c>
      <c r="BI174" s="8">
        <f>AND($BF174,$BG174,$BH174)</f>
        <v/>
      </c>
      <c r="BJ174" s="8">
        <f>IF($BI174,1,0)</f>
        <v/>
      </c>
    </row>
    <row r="175">
      <c r="A175" s="11" t="n">
        <v>44764</v>
      </c>
      <c r="B175" s="11" t="n">
        <v>44764</v>
      </c>
      <c r="C175" s="7" t="inlineStr">
        <is>
          <t>zorba</t>
        </is>
      </c>
      <c r="D175" s="7" t="inlineStr">
        <is>
          <t>USEC_MUN</t>
        </is>
      </c>
      <c r="E175" s="17" t="b">
        <v>1</v>
      </c>
      <c r="F175" s="16">
        <f>INDEX(Market_Weekly!$E$6:$E$48,MATCH($A175,Market_Weekly!$A$6:$A$48,0))</f>
        <v/>
      </c>
      <c r="G175" s="16">
        <f>INDEX(Market_Weekly!$D$6:$D$48,MATCH($A175,Market_Weekly!$A$6:$A$48,0))</f>
        <v/>
      </c>
      <c r="H175" s="16">
        <f>INDEX(Market_Weekly!$G$6:$G$48,MATCH($A175,Market_Weekly!$A$6:$A$48,0))</f>
        <v/>
      </c>
      <c r="I175" s="8">
        <f>INDEX(Market_Weekly!$H$6:$H$48,MATCH($A175,Market_Weekly!$A$6:$A$48,0))</f>
        <v/>
      </c>
      <c r="J175" s="8">
        <f>INDEX(Market_Weekly!$Q$6:$Q$48,MATCH($A175,Market_Weekly!$A$6:$A$48,0))</f>
        <v/>
      </c>
      <c r="K175" s="8">
        <f>INDEX(Market_Weekly!$V$6:$V$48,MATCH($A175,Market_Weekly!$A$6:$A$48,0))</f>
        <v/>
      </c>
      <c r="L175" s="16">
        <f>IF($D175="JEA_NSA",INDEX(Market_Weekly!$N$6:$N$48,MATCH($A175,Market_Weekly!$A$6:$A$48,0)),INDEX(Market_Weekly!$O$6:$O$48,MATCH($A175,Market_Weekly!$A$6:$A$48,0)))</f>
        <v/>
      </c>
      <c r="M175" s="8">
        <f>IF($D175="JEA_NSA","M1","M2")</f>
        <v/>
      </c>
      <c r="N175" s="16">
        <f>IF($D175="JEA_NSA",INDEX(Market_Weekly!$L$6:$L$48,MATCH($A175,Market_Weekly!$A$6:$A$48,0)),INDEX(Market_Weekly!$M$6:$M$48,MATCH($A175,Market_Weekly!$A$6:$A$48,0)))</f>
        <v/>
      </c>
      <c r="O175" s="15">
        <f>INDEX(Market_Weekly!$P$6:$P$48,MATCH($A175,Market_Weekly!$A$6:$A$48,0))</f>
        <v/>
      </c>
      <c r="P175" s="8">
        <f>INDEX(Market_Weekly!$R$6:$T$48,MATCH($A175,Market_Weekly!$A$6:$A$48,0),MATCH("grade_factor_"&amp;$C175,Market_Weekly!$R$5:$T$5,0))</f>
        <v/>
      </c>
      <c r="Q175" s="8">
        <f>INDEX(Market_Weekly!$U$6:$U$48,MATCH($A175,Market_Weekly!$A$6:$A$48,0))</f>
        <v/>
      </c>
      <c r="R175" s="8">
        <f>IF($D175="JEA_NSA","20ft","40ft")</f>
        <v/>
      </c>
      <c r="S175" s="8">
        <f>IF($D175="JEA_NSA","nsa","mun")</f>
        <v/>
      </c>
      <c r="T175" s="8">
        <f>IF($D175="JEA_NSA","jea_nsa","usec_mun")</f>
        <v/>
      </c>
      <c r="U175" s="16">
        <f>INDEX(param_values,MATCH("container_payload_mt_"&amp;$R175,param_keys,0))</f>
        <v/>
      </c>
      <c r="V175" s="16">
        <f>INDEX(param_values,MATCH("container_payload_mt_"&amp;$R175&amp;"_"&amp;$C175,param_keys,0))</f>
        <v/>
      </c>
      <c r="W175" s="16">
        <f>INDEX(param_values,MATCH("container_payload_mt_20ft_"&amp;$C175,param_keys,0))</f>
        <v/>
      </c>
      <c r="X175" s="18">
        <f>INDEX(param_values,MATCH("port_cf_charges_inr_t_"&amp;$S175,param_keys,0))</f>
        <v/>
      </c>
      <c r="Y175" s="8">
        <f>INDEX(param_values,MATCH(IF($D175="JEA_NSA","psic_required_uae_origin","psic_required_safe_origin_designated_port"),param_keys,0))</f>
        <v/>
      </c>
      <c r="Z175" s="19">
        <f>INDEX(param_values,MATCH("finance_days_"&amp;$T175,param_keys,0))</f>
        <v/>
      </c>
      <c r="AA175" s="15">
        <f>INDEX(param_values,MATCH("moisture_frac_"&amp;$C175,param_keys,0))</f>
        <v/>
      </c>
      <c r="AB175" s="15">
        <f>INDEX(param_values,MATCH("contamination_frac_"&amp;$C175,param_keys,0))</f>
        <v/>
      </c>
      <c r="AC175" s="15">
        <f>INDEX(param_values,MATCH("metal_yield_frac_"&amp;$C175,param_keys,0))</f>
        <v/>
      </c>
      <c r="AD175" s="15">
        <f>INDEX(param_values,MATCH("heavies_frac_"&amp;$C175,param_keys,0))</f>
        <v/>
      </c>
      <c r="AE175" s="8">
        <f>INDEX(param_values,MATCH("grade_factor_diff_"&amp;$C175,param_keys,0))</f>
        <v/>
      </c>
      <c r="AF175" s="16">
        <f>$F175*$P175</f>
        <v/>
      </c>
      <c r="AG175" s="8">
        <f>$U175/$V175</f>
        <v/>
      </c>
      <c r="AH175" s="16">
        <f>$L175*$AG175</f>
        <v/>
      </c>
      <c r="AI175" s="16">
        <f>$AF175-$AH175</f>
        <v/>
      </c>
      <c r="AJ175" s="16">
        <f>insurance_rate*insured_value_uplift*$AF175</f>
        <v/>
      </c>
      <c r="AK175" s="16">
        <f>$AF175+$AJ175</f>
        <v/>
      </c>
      <c r="AL175" s="18">
        <f>$AK175*$J175</f>
        <v/>
      </c>
      <c r="AM175" s="18">
        <f>$AK175*$I175</f>
        <v/>
      </c>
      <c r="AN175" s="18">
        <f>$AL175*bcd_scrap_hs7602</f>
        <v/>
      </c>
      <c r="AO175" s="18">
        <f>$AN175*sws_rate_on_bcd</f>
        <v/>
      </c>
      <c r="AP175" s="18">
        <f>($AL175+$AN175+$AO175)*igst_rate_hs7602</f>
        <v/>
      </c>
      <c r="AQ175" s="18">
        <f>$X175*$AG175+IF($Y175,psic_cost_usd_per_box*$H175/$W175,0)</f>
        <v/>
      </c>
      <c r="AR175" s="18">
        <f>($AM175+$AN175+$AO175)*$Z175/day_count_inr*$O175</f>
        <v/>
      </c>
      <c r="AS175" s="18">
        <f>$AP175*igst_credit_lag_days/day_count_inr*$O175</f>
        <v/>
      </c>
      <c r="AT175" s="18">
        <f>$AM175+$AN175+$AO175+$AQ175+$AR175+$AS175+IF(igst_itc_available,0,$AP175)</f>
        <v/>
      </c>
      <c r="AU175" s="15">
        <f>(1-$AA175)*(1-$AB175)*$AC175</f>
        <v/>
      </c>
      <c r="AV175" s="18">
        <f>$N175*kg_per_mt+domestic_anchor_premium_inr_t</f>
        <v/>
      </c>
      <c r="AW175" s="18">
        <f>(1-$AA175)*$AD175*heavies_net_value_frac_of_lme_al*$F175*$H175</f>
        <v/>
      </c>
      <c r="AX175" s="18">
        <f>conversion_cost_inr_t*$AU175</f>
        <v/>
      </c>
      <c r="AY175" s="18">
        <f>$AV175*$AU175+$AW175-$AT175-$AX175</f>
        <v/>
      </c>
      <c r="AZ175" s="16">
        <f>$AY175/$H175</f>
        <v/>
      </c>
      <c r="BA175" s="8">
        <f>$AY175&gt;margin_threshold_inr_t</f>
        <v/>
      </c>
      <c r="BB175" s="8">
        <f>$Q175+$AE175</f>
        <v/>
      </c>
      <c r="BC175" s="18">
        <f>$AT175-$AQ175</f>
        <v/>
      </c>
      <c r="BD175" s="18">
        <f>$AY175-$BC175*($BB175/$P175-1)</f>
        <v/>
      </c>
      <c r="BE175" s="18">
        <f>$AY175-(conv_step_5a-conversion_cost_inr_t)*$AU175</f>
        <v/>
      </c>
      <c r="BF175" s="8">
        <f>$BA175</f>
        <v/>
      </c>
      <c r="BG175" s="8">
        <f>$BD175&gt;margin_threshold_inr_t</f>
        <v/>
      </c>
      <c r="BH175" s="8">
        <f>$BE175&gt;margin_threshold_inr_t</f>
        <v/>
      </c>
      <c r="BI175" s="8">
        <f>AND($BF175,$BG175,$BH175)</f>
        <v/>
      </c>
      <c r="BJ175" s="8">
        <f>IF($BI175,1,0)</f>
        <v/>
      </c>
    </row>
    <row r="176">
      <c r="A176" s="11" t="n">
        <v>44764</v>
      </c>
      <c r="B176" s="11" t="n">
        <v>44764</v>
      </c>
      <c r="C176" s="7" t="inlineStr">
        <is>
          <t>taint_tabor</t>
        </is>
      </c>
      <c r="D176" s="7" t="inlineStr">
        <is>
          <t>JEA_NSA</t>
        </is>
      </c>
      <c r="E176" s="17" t="b">
        <v>1</v>
      </c>
      <c r="F176" s="16">
        <f>INDEX(Market_Weekly!$E$6:$E$48,MATCH($A176,Market_Weekly!$A$6:$A$48,0))</f>
        <v/>
      </c>
      <c r="G176" s="16">
        <f>INDEX(Market_Weekly!$D$6:$D$48,MATCH($A176,Market_Weekly!$A$6:$A$48,0))</f>
        <v/>
      </c>
      <c r="H176" s="16">
        <f>INDEX(Market_Weekly!$G$6:$G$48,MATCH($A176,Market_Weekly!$A$6:$A$48,0))</f>
        <v/>
      </c>
      <c r="I176" s="8">
        <f>INDEX(Market_Weekly!$H$6:$H$48,MATCH($A176,Market_Weekly!$A$6:$A$48,0))</f>
        <v/>
      </c>
      <c r="J176" s="8">
        <f>INDEX(Market_Weekly!$Q$6:$Q$48,MATCH($A176,Market_Weekly!$A$6:$A$48,0))</f>
        <v/>
      </c>
      <c r="K176" s="8">
        <f>INDEX(Market_Weekly!$V$6:$V$48,MATCH($A176,Market_Weekly!$A$6:$A$48,0))</f>
        <v/>
      </c>
      <c r="L176" s="16">
        <f>IF($D176="JEA_NSA",INDEX(Market_Weekly!$N$6:$N$48,MATCH($A176,Market_Weekly!$A$6:$A$48,0)),INDEX(Market_Weekly!$O$6:$O$48,MATCH($A176,Market_Weekly!$A$6:$A$48,0)))</f>
        <v/>
      </c>
      <c r="M176" s="8">
        <f>IF($D176="JEA_NSA","M1","M2")</f>
        <v/>
      </c>
      <c r="N176" s="16">
        <f>IF($D176="JEA_NSA",INDEX(Market_Weekly!$L$6:$L$48,MATCH($A176,Market_Weekly!$A$6:$A$48,0)),INDEX(Market_Weekly!$M$6:$M$48,MATCH($A176,Market_Weekly!$A$6:$A$48,0)))</f>
        <v/>
      </c>
      <c r="O176" s="15">
        <f>INDEX(Market_Weekly!$P$6:$P$48,MATCH($A176,Market_Weekly!$A$6:$A$48,0))</f>
        <v/>
      </c>
      <c r="P176" s="8">
        <f>INDEX(Market_Weekly!$R$6:$T$48,MATCH($A176,Market_Weekly!$A$6:$A$48,0),MATCH("grade_factor_"&amp;$C176,Market_Weekly!$R$5:$T$5,0))</f>
        <v/>
      </c>
      <c r="Q176" s="8">
        <f>INDEX(Market_Weekly!$U$6:$U$48,MATCH($A176,Market_Weekly!$A$6:$A$48,0))</f>
        <v/>
      </c>
      <c r="R176" s="8">
        <f>IF($D176="JEA_NSA","20ft","40ft")</f>
        <v/>
      </c>
      <c r="S176" s="8">
        <f>IF($D176="JEA_NSA","nsa","mun")</f>
        <v/>
      </c>
      <c r="T176" s="8">
        <f>IF($D176="JEA_NSA","jea_nsa","usec_mun")</f>
        <v/>
      </c>
      <c r="U176" s="16">
        <f>INDEX(param_values,MATCH("container_payload_mt_"&amp;$R176,param_keys,0))</f>
        <v/>
      </c>
      <c r="V176" s="16">
        <f>INDEX(param_values,MATCH("container_payload_mt_"&amp;$R176&amp;"_"&amp;$C176,param_keys,0))</f>
        <v/>
      </c>
      <c r="W176" s="16">
        <f>INDEX(param_values,MATCH("container_payload_mt_20ft_"&amp;$C176,param_keys,0))</f>
        <v/>
      </c>
      <c r="X176" s="18">
        <f>INDEX(param_values,MATCH("port_cf_charges_inr_t_"&amp;$S176,param_keys,0))</f>
        <v/>
      </c>
      <c r="Y176" s="8">
        <f>INDEX(param_values,MATCH(IF($D176="JEA_NSA","psic_required_uae_origin","psic_required_safe_origin_designated_port"),param_keys,0))</f>
        <v/>
      </c>
      <c r="Z176" s="19">
        <f>INDEX(param_values,MATCH("finance_days_"&amp;$T176,param_keys,0))</f>
        <v/>
      </c>
      <c r="AA176" s="15">
        <f>INDEX(param_values,MATCH("moisture_frac_"&amp;$C176,param_keys,0))</f>
        <v/>
      </c>
      <c r="AB176" s="15">
        <f>INDEX(param_values,MATCH("contamination_frac_"&amp;$C176,param_keys,0))</f>
        <v/>
      </c>
      <c r="AC176" s="15">
        <f>INDEX(param_values,MATCH("metal_yield_frac_"&amp;$C176,param_keys,0))</f>
        <v/>
      </c>
      <c r="AD176" s="15">
        <f>INDEX(param_values,MATCH("heavies_frac_"&amp;$C176,param_keys,0))</f>
        <v/>
      </c>
      <c r="AE176" s="8">
        <f>INDEX(param_values,MATCH("grade_factor_diff_"&amp;$C176,param_keys,0))</f>
        <v/>
      </c>
      <c r="AF176" s="16">
        <f>$F176*$P176</f>
        <v/>
      </c>
      <c r="AG176" s="8">
        <f>$U176/$V176</f>
        <v/>
      </c>
      <c r="AH176" s="16">
        <f>$L176*$AG176</f>
        <v/>
      </c>
      <c r="AI176" s="16">
        <f>$AF176-$AH176</f>
        <v/>
      </c>
      <c r="AJ176" s="16">
        <f>insurance_rate*insured_value_uplift*$AF176</f>
        <v/>
      </c>
      <c r="AK176" s="16">
        <f>$AF176+$AJ176</f>
        <v/>
      </c>
      <c r="AL176" s="18">
        <f>$AK176*$J176</f>
        <v/>
      </c>
      <c r="AM176" s="18">
        <f>$AK176*$I176</f>
        <v/>
      </c>
      <c r="AN176" s="18">
        <f>$AL176*bcd_scrap_hs7602</f>
        <v/>
      </c>
      <c r="AO176" s="18">
        <f>$AN176*sws_rate_on_bcd</f>
        <v/>
      </c>
      <c r="AP176" s="18">
        <f>($AL176+$AN176+$AO176)*igst_rate_hs7602</f>
        <v/>
      </c>
      <c r="AQ176" s="18">
        <f>$X176*$AG176+IF($Y176,psic_cost_usd_per_box*$H176/$W176,0)</f>
        <v/>
      </c>
      <c r="AR176" s="18">
        <f>($AM176+$AN176+$AO176)*$Z176/day_count_inr*$O176</f>
        <v/>
      </c>
      <c r="AS176" s="18">
        <f>$AP176*igst_credit_lag_days/day_count_inr*$O176</f>
        <v/>
      </c>
      <c r="AT176" s="18">
        <f>$AM176+$AN176+$AO176+$AQ176+$AR176+$AS176+IF(igst_itc_available,0,$AP176)</f>
        <v/>
      </c>
      <c r="AU176" s="15">
        <f>(1-$AA176)*(1-$AB176)*$AC176</f>
        <v/>
      </c>
      <c r="AV176" s="18">
        <f>$N176*kg_per_mt+domestic_anchor_premium_inr_t</f>
        <v/>
      </c>
      <c r="AW176" s="18">
        <f>(1-$AA176)*$AD176*heavies_net_value_frac_of_lme_al*$F176*$H176</f>
        <v/>
      </c>
      <c r="AX176" s="18">
        <f>conversion_cost_inr_t*$AU176</f>
        <v/>
      </c>
      <c r="AY176" s="18">
        <f>$AV176*$AU176+$AW176-$AT176-$AX176</f>
        <v/>
      </c>
      <c r="AZ176" s="16">
        <f>$AY176/$H176</f>
        <v/>
      </c>
      <c r="BA176" s="8">
        <f>$AY176&gt;margin_threshold_inr_t</f>
        <v/>
      </c>
      <c r="BB176" s="8">
        <f>$Q176+$AE176</f>
        <v/>
      </c>
      <c r="BC176" s="18">
        <f>$AT176-$AQ176</f>
        <v/>
      </c>
      <c r="BD176" s="18">
        <f>$AY176-$BC176*($BB176/$P176-1)</f>
        <v/>
      </c>
      <c r="BE176" s="18">
        <f>$AY176-(conv_step_5a-conversion_cost_inr_t)*$AU176</f>
        <v/>
      </c>
      <c r="BF176" s="8">
        <f>$BA176</f>
        <v/>
      </c>
      <c r="BG176" s="8">
        <f>$BD176&gt;margin_threshold_inr_t</f>
        <v/>
      </c>
      <c r="BH176" s="8">
        <f>$BE176&gt;margin_threshold_inr_t</f>
        <v/>
      </c>
      <c r="BI176" s="8">
        <f>AND($BF176,$BG176,$BH176)</f>
        <v/>
      </c>
      <c r="BJ176" s="8">
        <f>IF($BI176,1,0)</f>
        <v/>
      </c>
    </row>
    <row r="177">
      <c r="A177" s="11" t="n">
        <v>44764</v>
      </c>
      <c r="B177" s="11" t="n">
        <v>44764</v>
      </c>
      <c r="C177" s="7" t="inlineStr">
        <is>
          <t>taint_tabor</t>
        </is>
      </c>
      <c r="D177" s="7" t="inlineStr">
        <is>
          <t>USEC_MUN</t>
        </is>
      </c>
      <c r="E177" s="17" t="b">
        <v>1</v>
      </c>
      <c r="F177" s="16">
        <f>INDEX(Market_Weekly!$E$6:$E$48,MATCH($A177,Market_Weekly!$A$6:$A$48,0))</f>
        <v/>
      </c>
      <c r="G177" s="16">
        <f>INDEX(Market_Weekly!$D$6:$D$48,MATCH($A177,Market_Weekly!$A$6:$A$48,0))</f>
        <v/>
      </c>
      <c r="H177" s="16">
        <f>INDEX(Market_Weekly!$G$6:$G$48,MATCH($A177,Market_Weekly!$A$6:$A$48,0))</f>
        <v/>
      </c>
      <c r="I177" s="8">
        <f>INDEX(Market_Weekly!$H$6:$H$48,MATCH($A177,Market_Weekly!$A$6:$A$48,0))</f>
        <v/>
      </c>
      <c r="J177" s="8">
        <f>INDEX(Market_Weekly!$Q$6:$Q$48,MATCH($A177,Market_Weekly!$A$6:$A$48,0))</f>
        <v/>
      </c>
      <c r="K177" s="8">
        <f>INDEX(Market_Weekly!$V$6:$V$48,MATCH($A177,Market_Weekly!$A$6:$A$48,0))</f>
        <v/>
      </c>
      <c r="L177" s="16">
        <f>IF($D177="JEA_NSA",INDEX(Market_Weekly!$N$6:$N$48,MATCH($A177,Market_Weekly!$A$6:$A$48,0)),INDEX(Market_Weekly!$O$6:$O$48,MATCH($A177,Market_Weekly!$A$6:$A$48,0)))</f>
        <v/>
      </c>
      <c r="M177" s="8">
        <f>IF($D177="JEA_NSA","M1","M2")</f>
        <v/>
      </c>
      <c r="N177" s="16">
        <f>IF($D177="JEA_NSA",INDEX(Market_Weekly!$L$6:$L$48,MATCH($A177,Market_Weekly!$A$6:$A$48,0)),INDEX(Market_Weekly!$M$6:$M$48,MATCH($A177,Market_Weekly!$A$6:$A$48,0)))</f>
        <v/>
      </c>
      <c r="O177" s="15">
        <f>INDEX(Market_Weekly!$P$6:$P$48,MATCH($A177,Market_Weekly!$A$6:$A$48,0))</f>
        <v/>
      </c>
      <c r="P177" s="8">
        <f>INDEX(Market_Weekly!$R$6:$T$48,MATCH($A177,Market_Weekly!$A$6:$A$48,0),MATCH("grade_factor_"&amp;$C177,Market_Weekly!$R$5:$T$5,0))</f>
        <v/>
      </c>
      <c r="Q177" s="8">
        <f>INDEX(Market_Weekly!$U$6:$U$48,MATCH($A177,Market_Weekly!$A$6:$A$48,0))</f>
        <v/>
      </c>
      <c r="R177" s="8">
        <f>IF($D177="JEA_NSA","20ft","40ft")</f>
        <v/>
      </c>
      <c r="S177" s="8">
        <f>IF($D177="JEA_NSA","nsa","mun")</f>
        <v/>
      </c>
      <c r="T177" s="8">
        <f>IF($D177="JEA_NSA","jea_nsa","usec_mun")</f>
        <v/>
      </c>
      <c r="U177" s="16">
        <f>INDEX(param_values,MATCH("container_payload_mt_"&amp;$R177,param_keys,0))</f>
        <v/>
      </c>
      <c r="V177" s="16">
        <f>INDEX(param_values,MATCH("container_payload_mt_"&amp;$R177&amp;"_"&amp;$C177,param_keys,0))</f>
        <v/>
      </c>
      <c r="W177" s="16">
        <f>INDEX(param_values,MATCH("container_payload_mt_20ft_"&amp;$C177,param_keys,0))</f>
        <v/>
      </c>
      <c r="X177" s="18">
        <f>INDEX(param_values,MATCH("port_cf_charges_inr_t_"&amp;$S177,param_keys,0))</f>
        <v/>
      </c>
      <c r="Y177" s="8">
        <f>INDEX(param_values,MATCH(IF($D177="JEA_NSA","psic_required_uae_origin","psic_required_safe_origin_designated_port"),param_keys,0))</f>
        <v/>
      </c>
      <c r="Z177" s="19">
        <f>INDEX(param_values,MATCH("finance_days_"&amp;$T177,param_keys,0))</f>
        <v/>
      </c>
      <c r="AA177" s="15">
        <f>INDEX(param_values,MATCH("moisture_frac_"&amp;$C177,param_keys,0))</f>
        <v/>
      </c>
      <c r="AB177" s="15">
        <f>INDEX(param_values,MATCH("contamination_frac_"&amp;$C177,param_keys,0))</f>
        <v/>
      </c>
      <c r="AC177" s="15">
        <f>INDEX(param_values,MATCH("metal_yield_frac_"&amp;$C177,param_keys,0))</f>
        <v/>
      </c>
      <c r="AD177" s="15">
        <f>INDEX(param_values,MATCH("heavies_frac_"&amp;$C177,param_keys,0))</f>
        <v/>
      </c>
      <c r="AE177" s="8">
        <f>INDEX(param_values,MATCH("grade_factor_diff_"&amp;$C177,param_keys,0))</f>
        <v/>
      </c>
      <c r="AF177" s="16">
        <f>$F177*$P177</f>
        <v/>
      </c>
      <c r="AG177" s="8">
        <f>$U177/$V177</f>
        <v/>
      </c>
      <c r="AH177" s="16">
        <f>$L177*$AG177</f>
        <v/>
      </c>
      <c r="AI177" s="16">
        <f>$AF177-$AH177</f>
        <v/>
      </c>
      <c r="AJ177" s="16">
        <f>insurance_rate*insured_value_uplift*$AF177</f>
        <v/>
      </c>
      <c r="AK177" s="16">
        <f>$AF177+$AJ177</f>
        <v/>
      </c>
      <c r="AL177" s="18">
        <f>$AK177*$J177</f>
        <v/>
      </c>
      <c r="AM177" s="18">
        <f>$AK177*$I177</f>
        <v/>
      </c>
      <c r="AN177" s="18">
        <f>$AL177*bcd_scrap_hs7602</f>
        <v/>
      </c>
      <c r="AO177" s="18">
        <f>$AN177*sws_rate_on_bcd</f>
        <v/>
      </c>
      <c r="AP177" s="18">
        <f>($AL177+$AN177+$AO177)*igst_rate_hs7602</f>
        <v/>
      </c>
      <c r="AQ177" s="18">
        <f>$X177*$AG177+IF($Y177,psic_cost_usd_per_box*$H177/$W177,0)</f>
        <v/>
      </c>
      <c r="AR177" s="18">
        <f>($AM177+$AN177+$AO177)*$Z177/day_count_inr*$O177</f>
        <v/>
      </c>
      <c r="AS177" s="18">
        <f>$AP177*igst_credit_lag_days/day_count_inr*$O177</f>
        <v/>
      </c>
      <c r="AT177" s="18">
        <f>$AM177+$AN177+$AO177+$AQ177+$AR177+$AS177+IF(igst_itc_available,0,$AP177)</f>
        <v/>
      </c>
      <c r="AU177" s="15">
        <f>(1-$AA177)*(1-$AB177)*$AC177</f>
        <v/>
      </c>
      <c r="AV177" s="18">
        <f>$N177*kg_per_mt+domestic_anchor_premium_inr_t</f>
        <v/>
      </c>
      <c r="AW177" s="18">
        <f>(1-$AA177)*$AD177*heavies_net_value_frac_of_lme_al*$F177*$H177</f>
        <v/>
      </c>
      <c r="AX177" s="18">
        <f>conversion_cost_inr_t*$AU177</f>
        <v/>
      </c>
      <c r="AY177" s="18">
        <f>$AV177*$AU177+$AW177-$AT177-$AX177</f>
        <v/>
      </c>
      <c r="AZ177" s="16">
        <f>$AY177/$H177</f>
        <v/>
      </c>
      <c r="BA177" s="8">
        <f>$AY177&gt;margin_threshold_inr_t</f>
        <v/>
      </c>
      <c r="BB177" s="8">
        <f>$Q177+$AE177</f>
        <v/>
      </c>
      <c r="BC177" s="18">
        <f>$AT177-$AQ177</f>
        <v/>
      </c>
      <c r="BD177" s="18">
        <f>$AY177-$BC177*($BB177/$P177-1)</f>
        <v/>
      </c>
      <c r="BE177" s="18">
        <f>$AY177-(conv_step_5a-conversion_cost_inr_t)*$AU177</f>
        <v/>
      </c>
      <c r="BF177" s="8">
        <f>$BA177</f>
        <v/>
      </c>
      <c r="BG177" s="8">
        <f>$BD177&gt;margin_threshold_inr_t</f>
        <v/>
      </c>
      <c r="BH177" s="8">
        <f>$BE177&gt;margin_threshold_inr_t</f>
        <v/>
      </c>
      <c r="BI177" s="8">
        <f>AND($BF177,$BG177,$BH177)</f>
        <v/>
      </c>
      <c r="BJ177" s="8">
        <f>IF($BI177,1,0)</f>
        <v/>
      </c>
    </row>
    <row r="178">
      <c r="A178" s="11" t="n">
        <v>44764</v>
      </c>
      <c r="B178" s="11" t="n">
        <v>44764</v>
      </c>
      <c r="C178" s="7" t="inlineStr">
        <is>
          <t>tense</t>
        </is>
      </c>
      <c r="D178" s="7" t="inlineStr">
        <is>
          <t>JEA_NSA</t>
        </is>
      </c>
      <c r="E178" s="17" t="b">
        <v>1</v>
      </c>
      <c r="F178" s="16">
        <f>INDEX(Market_Weekly!$E$6:$E$48,MATCH($A178,Market_Weekly!$A$6:$A$48,0))</f>
        <v/>
      </c>
      <c r="G178" s="16">
        <f>INDEX(Market_Weekly!$D$6:$D$48,MATCH($A178,Market_Weekly!$A$6:$A$48,0))</f>
        <v/>
      </c>
      <c r="H178" s="16">
        <f>INDEX(Market_Weekly!$G$6:$G$48,MATCH($A178,Market_Weekly!$A$6:$A$48,0))</f>
        <v/>
      </c>
      <c r="I178" s="8">
        <f>INDEX(Market_Weekly!$H$6:$H$48,MATCH($A178,Market_Weekly!$A$6:$A$48,0))</f>
        <v/>
      </c>
      <c r="J178" s="8">
        <f>INDEX(Market_Weekly!$Q$6:$Q$48,MATCH($A178,Market_Weekly!$A$6:$A$48,0))</f>
        <v/>
      </c>
      <c r="K178" s="8">
        <f>INDEX(Market_Weekly!$V$6:$V$48,MATCH($A178,Market_Weekly!$A$6:$A$48,0))</f>
        <v/>
      </c>
      <c r="L178" s="16">
        <f>IF($D178="JEA_NSA",INDEX(Market_Weekly!$N$6:$N$48,MATCH($A178,Market_Weekly!$A$6:$A$48,0)),INDEX(Market_Weekly!$O$6:$O$48,MATCH($A178,Market_Weekly!$A$6:$A$48,0)))</f>
        <v/>
      </c>
      <c r="M178" s="8">
        <f>IF($D178="JEA_NSA","M1","M2")</f>
        <v/>
      </c>
      <c r="N178" s="16">
        <f>IF($D178="JEA_NSA",INDEX(Market_Weekly!$L$6:$L$48,MATCH($A178,Market_Weekly!$A$6:$A$48,0)),INDEX(Market_Weekly!$M$6:$M$48,MATCH($A178,Market_Weekly!$A$6:$A$48,0)))</f>
        <v/>
      </c>
      <c r="O178" s="15">
        <f>INDEX(Market_Weekly!$P$6:$P$48,MATCH($A178,Market_Weekly!$A$6:$A$48,0))</f>
        <v/>
      </c>
      <c r="P178" s="8">
        <f>INDEX(Market_Weekly!$R$6:$T$48,MATCH($A178,Market_Weekly!$A$6:$A$48,0),MATCH("grade_factor_"&amp;$C178,Market_Weekly!$R$5:$T$5,0))</f>
        <v/>
      </c>
      <c r="Q178" s="8">
        <f>INDEX(Market_Weekly!$U$6:$U$48,MATCH($A178,Market_Weekly!$A$6:$A$48,0))</f>
        <v/>
      </c>
      <c r="R178" s="8">
        <f>IF($D178="JEA_NSA","20ft","40ft")</f>
        <v/>
      </c>
      <c r="S178" s="8">
        <f>IF($D178="JEA_NSA","nsa","mun")</f>
        <v/>
      </c>
      <c r="T178" s="8">
        <f>IF($D178="JEA_NSA","jea_nsa","usec_mun")</f>
        <v/>
      </c>
      <c r="U178" s="16">
        <f>INDEX(param_values,MATCH("container_payload_mt_"&amp;$R178,param_keys,0))</f>
        <v/>
      </c>
      <c r="V178" s="16">
        <f>INDEX(param_values,MATCH("container_payload_mt_"&amp;$R178&amp;"_"&amp;$C178,param_keys,0))</f>
        <v/>
      </c>
      <c r="W178" s="16">
        <f>INDEX(param_values,MATCH("container_payload_mt_20ft_"&amp;$C178,param_keys,0))</f>
        <v/>
      </c>
      <c r="X178" s="18">
        <f>INDEX(param_values,MATCH("port_cf_charges_inr_t_"&amp;$S178,param_keys,0))</f>
        <v/>
      </c>
      <c r="Y178" s="8">
        <f>INDEX(param_values,MATCH(IF($D178="JEA_NSA","psic_required_uae_origin","psic_required_safe_origin_designated_port"),param_keys,0))</f>
        <v/>
      </c>
      <c r="Z178" s="19">
        <f>INDEX(param_values,MATCH("finance_days_"&amp;$T178,param_keys,0))</f>
        <v/>
      </c>
      <c r="AA178" s="15">
        <f>INDEX(param_values,MATCH("moisture_frac_"&amp;$C178,param_keys,0))</f>
        <v/>
      </c>
      <c r="AB178" s="15">
        <f>INDEX(param_values,MATCH("contamination_frac_"&amp;$C178,param_keys,0))</f>
        <v/>
      </c>
      <c r="AC178" s="15">
        <f>INDEX(param_values,MATCH("metal_yield_frac_"&amp;$C178,param_keys,0))</f>
        <v/>
      </c>
      <c r="AD178" s="15">
        <f>INDEX(param_values,MATCH("heavies_frac_"&amp;$C178,param_keys,0))</f>
        <v/>
      </c>
      <c r="AE178" s="8">
        <f>INDEX(param_values,MATCH("grade_factor_diff_"&amp;$C178,param_keys,0))</f>
        <v/>
      </c>
      <c r="AF178" s="16">
        <f>$F178*$P178</f>
        <v/>
      </c>
      <c r="AG178" s="8">
        <f>$U178/$V178</f>
        <v/>
      </c>
      <c r="AH178" s="16">
        <f>$L178*$AG178</f>
        <v/>
      </c>
      <c r="AI178" s="16">
        <f>$AF178-$AH178</f>
        <v/>
      </c>
      <c r="AJ178" s="16">
        <f>insurance_rate*insured_value_uplift*$AF178</f>
        <v/>
      </c>
      <c r="AK178" s="16">
        <f>$AF178+$AJ178</f>
        <v/>
      </c>
      <c r="AL178" s="18">
        <f>$AK178*$J178</f>
        <v/>
      </c>
      <c r="AM178" s="18">
        <f>$AK178*$I178</f>
        <v/>
      </c>
      <c r="AN178" s="18">
        <f>$AL178*bcd_scrap_hs7602</f>
        <v/>
      </c>
      <c r="AO178" s="18">
        <f>$AN178*sws_rate_on_bcd</f>
        <v/>
      </c>
      <c r="AP178" s="18">
        <f>($AL178+$AN178+$AO178)*igst_rate_hs7602</f>
        <v/>
      </c>
      <c r="AQ178" s="18">
        <f>$X178*$AG178+IF($Y178,psic_cost_usd_per_box*$H178/$W178,0)</f>
        <v/>
      </c>
      <c r="AR178" s="18">
        <f>($AM178+$AN178+$AO178)*$Z178/day_count_inr*$O178</f>
        <v/>
      </c>
      <c r="AS178" s="18">
        <f>$AP178*igst_credit_lag_days/day_count_inr*$O178</f>
        <v/>
      </c>
      <c r="AT178" s="18">
        <f>$AM178+$AN178+$AO178+$AQ178+$AR178+$AS178+IF(igst_itc_available,0,$AP178)</f>
        <v/>
      </c>
      <c r="AU178" s="15">
        <f>(1-$AA178)*(1-$AB178)*$AC178</f>
        <v/>
      </c>
      <c r="AV178" s="18">
        <f>$N178*kg_per_mt+domestic_anchor_premium_inr_t</f>
        <v/>
      </c>
      <c r="AW178" s="18">
        <f>(1-$AA178)*$AD178*heavies_net_value_frac_of_lme_al*$F178*$H178</f>
        <v/>
      </c>
      <c r="AX178" s="18">
        <f>conversion_cost_inr_t*$AU178</f>
        <v/>
      </c>
      <c r="AY178" s="18">
        <f>$AV178*$AU178+$AW178-$AT178-$AX178</f>
        <v/>
      </c>
      <c r="AZ178" s="16">
        <f>$AY178/$H178</f>
        <v/>
      </c>
      <c r="BA178" s="8">
        <f>$AY178&gt;margin_threshold_inr_t</f>
        <v/>
      </c>
      <c r="BB178" s="8">
        <f>$Q178+$AE178</f>
        <v/>
      </c>
      <c r="BC178" s="18">
        <f>$AT178-$AQ178</f>
        <v/>
      </c>
      <c r="BD178" s="18">
        <f>$AY178-$BC178*($BB178/$P178-1)</f>
        <v/>
      </c>
      <c r="BE178" s="18">
        <f>$AY178-(conv_step_5a-conversion_cost_inr_t)*$AU178</f>
        <v/>
      </c>
      <c r="BF178" s="8">
        <f>$BA178</f>
        <v/>
      </c>
      <c r="BG178" s="8">
        <f>$BD178&gt;margin_threshold_inr_t</f>
        <v/>
      </c>
      <c r="BH178" s="8">
        <f>$BE178&gt;margin_threshold_inr_t</f>
        <v/>
      </c>
      <c r="BI178" s="8">
        <f>AND($BF178,$BG178,$BH178)</f>
        <v/>
      </c>
      <c r="BJ178" s="8">
        <f>IF($BI178,1,0)</f>
        <v/>
      </c>
    </row>
    <row r="179">
      <c r="A179" s="11" t="n">
        <v>44764</v>
      </c>
      <c r="B179" s="11" t="n">
        <v>44764</v>
      </c>
      <c r="C179" s="7" t="inlineStr">
        <is>
          <t>tense</t>
        </is>
      </c>
      <c r="D179" s="7" t="inlineStr">
        <is>
          <t>USEC_MUN</t>
        </is>
      </c>
      <c r="E179" s="17" t="b">
        <v>1</v>
      </c>
      <c r="F179" s="16">
        <f>INDEX(Market_Weekly!$E$6:$E$48,MATCH($A179,Market_Weekly!$A$6:$A$48,0))</f>
        <v/>
      </c>
      <c r="G179" s="16">
        <f>INDEX(Market_Weekly!$D$6:$D$48,MATCH($A179,Market_Weekly!$A$6:$A$48,0))</f>
        <v/>
      </c>
      <c r="H179" s="16">
        <f>INDEX(Market_Weekly!$G$6:$G$48,MATCH($A179,Market_Weekly!$A$6:$A$48,0))</f>
        <v/>
      </c>
      <c r="I179" s="8">
        <f>INDEX(Market_Weekly!$H$6:$H$48,MATCH($A179,Market_Weekly!$A$6:$A$48,0))</f>
        <v/>
      </c>
      <c r="J179" s="8">
        <f>INDEX(Market_Weekly!$Q$6:$Q$48,MATCH($A179,Market_Weekly!$A$6:$A$48,0))</f>
        <v/>
      </c>
      <c r="K179" s="8">
        <f>INDEX(Market_Weekly!$V$6:$V$48,MATCH($A179,Market_Weekly!$A$6:$A$48,0))</f>
        <v/>
      </c>
      <c r="L179" s="16">
        <f>IF($D179="JEA_NSA",INDEX(Market_Weekly!$N$6:$N$48,MATCH($A179,Market_Weekly!$A$6:$A$48,0)),INDEX(Market_Weekly!$O$6:$O$48,MATCH($A179,Market_Weekly!$A$6:$A$48,0)))</f>
        <v/>
      </c>
      <c r="M179" s="8">
        <f>IF($D179="JEA_NSA","M1","M2")</f>
        <v/>
      </c>
      <c r="N179" s="16">
        <f>IF($D179="JEA_NSA",INDEX(Market_Weekly!$L$6:$L$48,MATCH($A179,Market_Weekly!$A$6:$A$48,0)),INDEX(Market_Weekly!$M$6:$M$48,MATCH($A179,Market_Weekly!$A$6:$A$48,0)))</f>
        <v/>
      </c>
      <c r="O179" s="15">
        <f>INDEX(Market_Weekly!$P$6:$P$48,MATCH($A179,Market_Weekly!$A$6:$A$48,0))</f>
        <v/>
      </c>
      <c r="P179" s="8">
        <f>INDEX(Market_Weekly!$R$6:$T$48,MATCH($A179,Market_Weekly!$A$6:$A$48,0),MATCH("grade_factor_"&amp;$C179,Market_Weekly!$R$5:$T$5,0))</f>
        <v/>
      </c>
      <c r="Q179" s="8">
        <f>INDEX(Market_Weekly!$U$6:$U$48,MATCH($A179,Market_Weekly!$A$6:$A$48,0))</f>
        <v/>
      </c>
      <c r="R179" s="8">
        <f>IF($D179="JEA_NSA","20ft","40ft")</f>
        <v/>
      </c>
      <c r="S179" s="8">
        <f>IF($D179="JEA_NSA","nsa","mun")</f>
        <v/>
      </c>
      <c r="T179" s="8">
        <f>IF($D179="JEA_NSA","jea_nsa","usec_mun")</f>
        <v/>
      </c>
      <c r="U179" s="16">
        <f>INDEX(param_values,MATCH("container_payload_mt_"&amp;$R179,param_keys,0))</f>
        <v/>
      </c>
      <c r="V179" s="16">
        <f>INDEX(param_values,MATCH("container_payload_mt_"&amp;$R179&amp;"_"&amp;$C179,param_keys,0))</f>
        <v/>
      </c>
      <c r="W179" s="16">
        <f>INDEX(param_values,MATCH("container_payload_mt_20ft_"&amp;$C179,param_keys,0))</f>
        <v/>
      </c>
      <c r="X179" s="18">
        <f>INDEX(param_values,MATCH("port_cf_charges_inr_t_"&amp;$S179,param_keys,0))</f>
        <v/>
      </c>
      <c r="Y179" s="8">
        <f>INDEX(param_values,MATCH(IF($D179="JEA_NSA","psic_required_uae_origin","psic_required_safe_origin_designated_port"),param_keys,0))</f>
        <v/>
      </c>
      <c r="Z179" s="19">
        <f>INDEX(param_values,MATCH("finance_days_"&amp;$T179,param_keys,0))</f>
        <v/>
      </c>
      <c r="AA179" s="15">
        <f>INDEX(param_values,MATCH("moisture_frac_"&amp;$C179,param_keys,0))</f>
        <v/>
      </c>
      <c r="AB179" s="15">
        <f>INDEX(param_values,MATCH("contamination_frac_"&amp;$C179,param_keys,0))</f>
        <v/>
      </c>
      <c r="AC179" s="15">
        <f>INDEX(param_values,MATCH("metal_yield_frac_"&amp;$C179,param_keys,0))</f>
        <v/>
      </c>
      <c r="AD179" s="15">
        <f>INDEX(param_values,MATCH("heavies_frac_"&amp;$C179,param_keys,0))</f>
        <v/>
      </c>
      <c r="AE179" s="8">
        <f>INDEX(param_values,MATCH("grade_factor_diff_"&amp;$C179,param_keys,0))</f>
        <v/>
      </c>
      <c r="AF179" s="16">
        <f>$F179*$P179</f>
        <v/>
      </c>
      <c r="AG179" s="8">
        <f>$U179/$V179</f>
        <v/>
      </c>
      <c r="AH179" s="16">
        <f>$L179*$AG179</f>
        <v/>
      </c>
      <c r="AI179" s="16">
        <f>$AF179-$AH179</f>
        <v/>
      </c>
      <c r="AJ179" s="16">
        <f>insurance_rate*insured_value_uplift*$AF179</f>
        <v/>
      </c>
      <c r="AK179" s="16">
        <f>$AF179+$AJ179</f>
        <v/>
      </c>
      <c r="AL179" s="18">
        <f>$AK179*$J179</f>
        <v/>
      </c>
      <c r="AM179" s="18">
        <f>$AK179*$I179</f>
        <v/>
      </c>
      <c r="AN179" s="18">
        <f>$AL179*bcd_scrap_hs7602</f>
        <v/>
      </c>
      <c r="AO179" s="18">
        <f>$AN179*sws_rate_on_bcd</f>
        <v/>
      </c>
      <c r="AP179" s="18">
        <f>($AL179+$AN179+$AO179)*igst_rate_hs7602</f>
        <v/>
      </c>
      <c r="AQ179" s="18">
        <f>$X179*$AG179+IF($Y179,psic_cost_usd_per_box*$H179/$W179,0)</f>
        <v/>
      </c>
      <c r="AR179" s="18">
        <f>($AM179+$AN179+$AO179)*$Z179/day_count_inr*$O179</f>
        <v/>
      </c>
      <c r="AS179" s="18">
        <f>$AP179*igst_credit_lag_days/day_count_inr*$O179</f>
        <v/>
      </c>
      <c r="AT179" s="18">
        <f>$AM179+$AN179+$AO179+$AQ179+$AR179+$AS179+IF(igst_itc_available,0,$AP179)</f>
        <v/>
      </c>
      <c r="AU179" s="15">
        <f>(1-$AA179)*(1-$AB179)*$AC179</f>
        <v/>
      </c>
      <c r="AV179" s="18">
        <f>$N179*kg_per_mt+domestic_anchor_premium_inr_t</f>
        <v/>
      </c>
      <c r="AW179" s="18">
        <f>(1-$AA179)*$AD179*heavies_net_value_frac_of_lme_al*$F179*$H179</f>
        <v/>
      </c>
      <c r="AX179" s="18">
        <f>conversion_cost_inr_t*$AU179</f>
        <v/>
      </c>
      <c r="AY179" s="18">
        <f>$AV179*$AU179+$AW179-$AT179-$AX179</f>
        <v/>
      </c>
      <c r="AZ179" s="16">
        <f>$AY179/$H179</f>
        <v/>
      </c>
      <c r="BA179" s="8">
        <f>$AY179&gt;margin_threshold_inr_t</f>
        <v/>
      </c>
      <c r="BB179" s="8">
        <f>$Q179+$AE179</f>
        <v/>
      </c>
      <c r="BC179" s="18">
        <f>$AT179-$AQ179</f>
        <v/>
      </c>
      <c r="BD179" s="18">
        <f>$AY179-$BC179*($BB179/$P179-1)</f>
        <v/>
      </c>
      <c r="BE179" s="18">
        <f>$AY179-(conv_step_5a-conversion_cost_inr_t)*$AU179</f>
        <v/>
      </c>
      <c r="BF179" s="8">
        <f>$BA179</f>
        <v/>
      </c>
      <c r="BG179" s="8">
        <f>$BD179&gt;margin_threshold_inr_t</f>
        <v/>
      </c>
      <c r="BH179" s="8">
        <f>$BE179&gt;margin_threshold_inr_t</f>
        <v/>
      </c>
      <c r="BI179" s="8">
        <f>AND($BF179,$BG179,$BH179)</f>
        <v/>
      </c>
      <c r="BJ179" s="8">
        <f>IF($BI179,1,0)</f>
        <v/>
      </c>
    </row>
    <row r="180">
      <c r="A180" s="11" t="n">
        <v>44771</v>
      </c>
      <c r="B180" s="11" t="n">
        <v>44771</v>
      </c>
      <c r="C180" s="7" t="inlineStr">
        <is>
          <t>zorba</t>
        </is>
      </c>
      <c r="D180" s="7" t="inlineStr">
        <is>
          <t>JEA_NSA</t>
        </is>
      </c>
      <c r="E180" s="17" t="b">
        <v>1</v>
      </c>
      <c r="F180" s="16">
        <f>INDEX(Market_Weekly!$E$6:$E$48,MATCH($A180,Market_Weekly!$A$6:$A$48,0))</f>
        <v/>
      </c>
      <c r="G180" s="16">
        <f>INDEX(Market_Weekly!$D$6:$D$48,MATCH($A180,Market_Weekly!$A$6:$A$48,0))</f>
        <v/>
      </c>
      <c r="H180" s="16">
        <f>INDEX(Market_Weekly!$G$6:$G$48,MATCH($A180,Market_Weekly!$A$6:$A$48,0))</f>
        <v/>
      </c>
      <c r="I180" s="8">
        <f>INDEX(Market_Weekly!$H$6:$H$48,MATCH($A180,Market_Weekly!$A$6:$A$48,0))</f>
        <v/>
      </c>
      <c r="J180" s="8">
        <f>INDEX(Market_Weekly!$Q$6:$Q$48,MATCH($A180,Market_Weekly!$A$6:$A$48,0))</f>
        <v/>
      </c>
      <c r="K180" s="8">
        <f>INDEX(Market_Weekly!$V$6:$V$48,MATCH($A180,Market_Weekly!$A$6:$A$48,0))</f>
        <v/>
      </c>
      <c r="L180" s="16">
        <f>IF($D180="JEA_NSA",INDEX(Market_Weekly!$N$6:$N$48,MATCH($A180,Market_Weekly!$A$6:$A$48,0)),INDEX(Market_Weekly!$O$6:$O$48,MATCH($A180,Market_Weekly!$A$6:$A$48,0)))</f>
        <v/>
      </c>
      <c r="M180" s="8">
        <f>IF($D180="JEA_NSA","M1","M2")</f>
        <v/>
      </c>
      <c r="N180" s="16">
        <f>IF($D180="JEA_NSA",INDEX(Market_Weekly!$L$6:$L$48,MATCH($A180,Market_Weekly!$A$6:$A$48,0)),INDEX(Market_Weekly!$M$6:$M$48,MATCH($A180,Market_Weekly!$A$6:$A$48,0)))</f>
        <v/>
      </c>
      <c r="O180" s="15">
        <f>INDEX(Market_Weekly!$P$6:$P$48,MATCH($A180,Market_Weekly!$A$6:$A$48,0))</f>
        <v/>
      </c>
      <c r="P180" s="8">
        <f>INDEX(Market_Weekly!$R$6:$T$48,MATCH($A180,Market_Weekly!$A$6:$A$48,0),MATCH("grade_factor_"&amp;$C180,Market_Weekly!$R$5:$T$5,0))</f>
        <v/>
      </c>
      <c r="Q180" s="8">
        <f>INDEX(Market_Weekly!$U$6:$U$48,MATCH($A180,Market_Weekly!$A$6:$A$48,0))</f>
        <v/>
      </c>
      <c r="R180" s="8">
        <f>IF($D180="JEA_NSA","20ft","40ft")</f>
        <v/>
      </c>
      <c r="S180" s="8">
        <f>IF($D180="JEA_NSA","nsa","mun")</f>
        <v/>
      </c>
      <c r="T180" s="8">
        <f>IF($D180="JEA_NSA","jea_nsa","usec_mun")</f>
        <v/>
      </c>
      <c r="U180" s="16">
        <f>INDEX(param_values,MATCH("container_payload_mt_"&amp;$R180,param_keys,0))</f>
        <v/>
      </c>
      <c r="V180" s="16">
        <f>INDEX(param_values,MATCH("container_payload_mt_"&amp;$R180&amp;"_"&amp;$C180,param_keys,0))</f>
        <v/>
      </c>
      <c r="W180" s="16">
        <f>INDEX(param_values,MATCH("container_payload_mt_20ft_"&amp;$C180,param_keys,0))</f>
        <v/>
      </c>
      <c r="X180" s="18">
        <f>INDEX(param_values,MATCH("port_cf_charges_inr_t_"&amp;$S180,param_keys,0))</f>
        <v/>
      </c>
      <c r="Y180" s="8">
        <f>INDEX(param_values,MATCH(IF($D180="JEA_NSA","psic_required_uae_origin","psic_required_safe_origin_designated_port"),param_keys,0))</f>
        <v/>
      </c>
      <c r="Z180" s="19">
        <f>INDEX(param_values,MATCH("finance_days_"&amp;$T180,param_keys,0))</f>
        <v/>
      </c>
      <c r="AA180" s="15">
        <f>INDEX(param_values,MATCH("moisture_frac_"&amp;$C180,param_keys,0))</f>
        <v/>
      </c>
      <c r="AB180" s="15">
        <f>INDEX(param_values,MATCH("contamination_frac_"&amp;$C180,param_keys,0))</f>
        <v/>
      </c>
      <c r="AC180" s="15">
        <f>INDEX(param_values,MATCH("metal_yield_frac_"&amp;$C180,param_keys,0))</f>
        <v/>
      </c>
      <c r="AD180" s="15">
        <f>INDEX(param_values,MATCH("heavies_frac_"&amp;$C180,param_keys,0))</f>
        <v/>
      </c>
      <c r="AE180" s="8">
        <f>INDEX(param_values,MATCH("grade_factor_diff_"&amp;$C180,param_keys,0))</f>
        <v/>
      </c>
      <c r="AF180" s="16">
        <f>$F180*$P180</f>
        <v/>
      </c>
      <c r="AG180" s="8">
        <f>$U180/$V180</f>
        <v/>
      </c>
      <c r="AH180" s="16">
        <f>$L180*$AG180</f>
        <v/>
      </c>
      <c r="AI180" s="16">
        <f>$AF180-$AH180</f>
        <v/>
      </c>
      <c r="AJ180" s="16">
        <f>insurance_rate*insured_value_uplift*$AF180</f>
        <v/>
      </c>
      <c r="AK180" s="16">
        <f>$AF180+$AJ180</f>
        <v/>
      </c>
      <c r="AL180" s="18">
        <f>$AK180*$J180</f>
        <v/>
      </c>
      <c r="AM180" s="18">
        <f>$AK180*$I180</f>
        <v/>
      </c>
      <c r="AN180" s="18">
        <f>$AL180*bcd_scrap_hs7602</f>
        <v/>
      </c>
      <c r="AO180" s="18">
        <f>$AN180*sws_rate_on_bcd</f>
        <v/>
      </c>
      <c r="AP180" s="18">
        <f>($AL180+$AN180+$AO180)*igst_rate_hs7602</f>
        <v/>
      </c>
      <c r="AQ180" s="18">
        <f>$X180*$AG180+IF($Y180,psic_cost_usd_per_box*$H180/$W180,0)</f>
        <v/>
      </c>
      <c r="AR180" s="18">
        <f>($AM180+$AN180+$AO180)*$Z180/day_count_inr*$O180</f>
        <v/>
      </c>
      <c r="AS180" s="18">
        <f>$AP180*igst_credit_lag_days/day_count_inr*$O180</f>
        <v/>
      </c>
      <c r="AT180" s="18">
        <f>$AM180+$AN180+$AO180+$AQ180+$AR180+$AS180+IF(igst_itc_available,0,$AP180)</f>
        <v/>
      </c>
      <c r="AU180" s="15">
        <f>(1-$AA180)*(1-$AB180)*$AC180</f>
        <v/>
      </c>
      <c r="AV180" s="18">
        <f>$N180*kg_per_mt+domestic_anchor_premium_inr_t</f>
        <v/>
      </c>
      <c r="AW180" s="18">
        <f>(1-$AA180)*$AD180*heavies_net_value_frac_of_lme_al*$F180*$H180</f>
        <v/>
      </c>
      <c r="AX180" s="18">
        <f>conversion_cost_inr_t*$AU180</f>
        <v/>
      </c>
      <c r="AY180" s="18">
        <f>$AV180*$AU180+$AW180-$AT180-$AX180</f>
        <v/>
      </c>
      <c r="AZ180" s="16">
        <f>$AY180/$H180</f>
        <v/>
      </c>
      <c r="BA180" s="8">
        <f>$AY180&gt;margin_threshold_inr_t</f>
        <v/>
      </c>
      <c r="BB180" s="8">
        <f>$Q180+$AE180</f>
        <v/>
      </c>
      <c r="BC180" s="18">
        <f>$AT180-$AQ180</f>
        <v/>
      </c>
      <c r="BD180" s="18">
        <f>$AY180-$BC180*($BB180/$P180-1)</f>
        <v/>
      </c>
      <c r="BE180" s="18">
        <f>$AY180-(conv_step_5a-conversion_cost_inr_t)*$AU180</f>
        <v/>
      </c>
      <c r="BF180" s="8">
        <f>$BA180</f>
        <v/>
      </c>
      <c r="BG180" s="8">
        <f>$BD180&gt;margin_threshold_inr_t</f>
        <v/>
      </c>
      <c r="BH180" s="8">
        <f>$BE180&gt;margin_threshold_inr_t</f>
        <v/>
      </c>
      <c r="BI180" s="8">
        <f>AND($BF180,$BG180,$BH180)</f>
        <v/>
      </c>
      <c r="BJ180" s="8">
        <f>IF($BI180,1,0)</f>
        <v/>
      </c>
    </row>
    <row r="181">
      <c r="A181" s="11" t="n">
        <v>44771</v>
      </c>
      <c r="B181" s="11" t="n">
        <v>44771</v>
      </c>
      <c r="C181" s="7" t="inlineStr">
        <is>
          <t>zorba</t>
        </is>
      </c>
      <c r="D181" s="7" t="inlineStr">
        <is>
          <t>USEC_MUN</t>
        </is>
      </c>
      <c r="E181" s="17" t="b">
        <v>1</v>
      </c>
      <c r="F181" s="16">
        <f>INDEX(Market_Weekly!$E$6:$E$48,MATCH($A181,Market_Weekly!$A$6:$A$48,0))</f>
        <v/>
      </c>
      <c r="G181" s="16">
        <f>INDEX(Market_Weekly!$D$6:$D$48,MATCH($A181,Market_Weekly!$A$6:$A$48,0))</f>
        <v/>
      </c>
      <c r="H181" s="16">
        <f>INDEX(Market_Weekly!$G$6:$G$48,MATCH($A181,Market_Weekly!$A$6:$A$48,0))</f>
        <v/>
      </c>
      <c r="I181" s="8">
        <f>INDEX(Market_Weekly!$H$6:$H$48,MATCH($A181,Market_Weekly!$A$6:$A$48,0))</f>
        <v/>
      </c>
      <c r="J181" s="8">
        <f>INDEX(Market_Weekly!$Q$6:$Q$48,MATCH($A181,Market_Weekly!$A$6:$A$48,0))</f>
        <v/>
      </c>
      <c r="K181" s="8">
        <f>INDEX(Market_Weekly!$V$6:$V$48,MATCH($A181,Market_Weekly!$A$6:$A$48,0))</f>
        <v/>
      </c>
      <c r="L181" s="16">
        <f>IF($D181="JEA_NSA",INDEX(Market_Weekly!$N$6:$N$48,MATCH($A181,Market_Weekly!$A$6:$A$48,0)),INDEX(Market_Weekly!$O$6:$O$48,MATCH($A181,Market_Weekly!$A$6:$A$48,0)))</f>
        <v/>
      </c>
      <c r="M181" s="8">
        <f>IF($D181="JEA_NSA","M1","M2")</f>
        <v/>
      </c>
      <c r="N181" s="16">
        <f>IF($D181="JEA_NSA",INDEX(Market_Weekly!$L$6:$L$48,MATCH($A181,Market_Weekly!$A$6:$A$48,0)),INDEX(Market_Weekly!$M$6:$M$48,MATCH($A181,Market_Weekly!$A$6:$A$48,0)))</f>
        <v/>
      </c>
      <c r="O181" s="15">
        <f>INDEX(Market_Weekly!$P$6:$P$48,MATCH($A181,Market_Weekly!$A$6:$A$48,0))</f>
        <v/>
      </c>
      <c r="P181" s="8">
        <f>INDEX(Market_Weekly!$R$6:$T$48,MATCH($A181,Market_Weekly!$A$6:$A$48,0),MATCH("grade_factor_"&amp;$C181,Market_Weekly!$R$5:$T$5,0))</f>
        <v/>
      </c>
      <c r="Q181" s="8">
        <f>INDEX(Market_Weekly!$U$6:$U$48,MATCH($A181,Market_Weekly!$A$6:$A$48,0))</f>
        <v/>
      </c>
      <c r="R181" s="8">
        <f>IF($D181="JEA_NSA","20ft","40ft")</f>
        <v/>
      </c>
      <c r="S181" s="8">
        <f>IF($D181="JEA_NSA","nsa","mun")</f>
        <v/>
      </c>
      <c r="T181" s="8">
        <f>IF($D181="JEA_NSA","jea_nsa","usec_mun")</f>
        <v/>
      </c>
      <c r="U181" s="16">
        <f>INDEX(param_values,MATCH("container_payload_mt_"&amp;$R181,param_keys,0))</f>
        <v/>
      </c>
      <c r="V181" s="16">
        <f>INDEX(param_values,MATCH("container_payload_mt_"&amp;$R181&amp;"_"&amp;$C181,param_keys,0))</f>
        <v/>
      </c>
      <c r="W181" s="16">
        <f>INDEX(param_values,MATCH("container_payload_mt_20ft_"&amp;$C181,param_keys,0))</f>
        <v/>
      </c>
      <c r="X181" s="18">
        <f>INDEX(param_values,MATCH("port_cf_charges_inr_t_"&amp;$S181,param_keys,0))</f>
        <v/>
      </c>
      <c r="Y181" s="8">
        <f>INDEX(param_values,MATCH(IF($D181="JEA_NSA","psic_required_uae_origin","psic_required_safe_origin_designated_port"),param_keys,0))</f>
        <v/>
      </c>
      <c r="Z181" s="19">
        <f>INDEX(param_values,MATCH("finance_days_"&amp;$T181,param_keys,0))</f>
        <v/>
      </c>
      <c r="AA181" s="15">
        <f>INDEX(param_values,MATCH("moisture_frac_"&amp;$C181,param_keys,0))</f>
        <v/>
      </c>
      <c r="AB181" s="15">
        <f>INDEX(param_values,MATCH("contamination_frac_"&amp;$C181,param_keys,0))</f>
        <v/>
      </c>
      <c r="AC181" s="15">
        <f>INDEX(param_values,MATCH("metal_yield_frac_"&amp;$C181,param_keys,0))</f>
        <v/>
      </c>
      <c r="AD181" s="15">
        <f>INDEX(param_values,MATCH("heavies_frac_"&amp;$C181,param_keys,0))</f>
        <v/>
      </c>
      <c r="AE181" s="8">
        <f>INDEX(param_values,MATCH("grade_factor_diff_"&amp;$C181,param_keys,0))</f>
        <v/>
      </c>
      <c r="AF181" s="16">
        <f>$F181*$P181</f>
        <v/>
      </c>
      <c r="AG181" s="8">
        <f>$U181/$V181</f>
        <v/>
      </c>
      <c r="AH181" s="16">
        <f>$L181*$AG181</f>
        <v/>
      </c>
      <c r="AI181" s="16">
        <f>$AF181-$AH181</f>
        <v/>
      </c>
      <c r="AJ181" s="16">
        <f>insurance_rate*insured_value_uplift*$AF181</f>
        <v/>
      </c>
      <c r="AK181" s="16">
        <f>$AF181+$AJ181</f>
        <v/>
      </c>
      <c r="AL181" s="18">
        <f>$AK181*$J181</f>
        <v/>
      </c>
      <c r="AM181" s="18">
        <f>$AK181*$I181</f>
        <v/>
      </c>
      <c r="AN181" s="18">
        <f>$AL181*bcd_scrap_hs7602</f>
        <v/>
      </c>
      <c r="AO181" s="18">
        <f>$AN181*sws_rate_on_bcd</f>
        <v/>
      </c>
      <c r="AP181" s="18">
        <f>($AL181+$AN181+$AO181)*igst_rate_hs7602</f>
        <v/>
      </c>
      <c r="AQ181" s="18">
        <f>$X181*$AG181+IF($Y181,psic_cost_usd_per_box*$H181/$W181,0)</f>
        <v/>
      </c>
      <c r="AR181" s="18">
        <f>($AM181+$AN181+$AO181)*$Z181/day_count_inr*$O181</f>
        <v/>
      </c>
      <c r="AS181" s="18">
        <f>$AP181*igst_credit_lag_days/day_count_inr*$O181</f>
        <v/>
      </c>
      <c r="AT181" s="18">
        <f>$AM181+$AN181+$AO181+$AQ181+$AR181+$AS181+IF(igst_itc_available,0,$AP181)</f>
        <v/>
      </c>
      <c r="AU181" s="15">
        <f>(1-$AA181)*(1-$AB181)*$AC181</f>
        <v/>
      </c>
      <c r="AV181" s="18">
        <f>$N181*kg_per_mt+domestic_anchor_premium_inr_t</f>
        <v/>
      </c>
      <c r="AW181" s="18">
        <f>(1-$AA181)*$AD181*heavies_net_value_frac_of_lme_al*$F181*$H181</f>
        <v/>
      </c>
      <c r="AX181" s="18">
        <f>conversion_cost_inr_t*$AU181</f>
        <v/>
      </c>
      <c r="AY181" s="18">
        <f>$AV181*$AU181+$AW181-$AT181-$AX181</f>
        <v/>
      </c>
      <c r="AZ181" s="16">
        <f>$AY181/$H181</f>
        <v/>
      </c>
      <c r="BA181" s="8">
        <f>$AY181&gt;margin_threshold_inr_t</f>
        <v/>
      </c>
      <c r="BB181" s="8">
        <f>$Q181+$AE181</f>
        <v/>
      </c>
      <c r="BC181" s="18">
        <f>$AT181-$AQ181</f>
        <v/>
      </c>
      <c r="BD181" s="18">
        <f>$AY181-$BC181*($BB181/$P181-1)</f>
        <v/>
      </c>
      <c r="BE181" s="18">
        <f>$AY181-(conv_step_5a-conversion_cost_inr_t)*$AU181</f>
        <v/>
      </c>
      <c r="BF181" s="8">
        <f>$BA181</f>
        <v/>
      </c>
      <c r="BG181" s="8">
        <f>$BD181&gt;margin_threshold_inr_t</f>
        <v/>
      </c>
      <c r="BH181" s="8">
        <f>$BE181&gt;margin_threshold_inr_t</f>
        <v/>
      </c>
      <c r="BI181" s="8">
        <f>AND($BF181,$BG181,$BH181)</f>
        <v/>
      </c>
      <c r="BJ181" s="8">
        <f>IF($BI181,1,0)</f>
        <v/>
      </c>
    </row>
    <row r="182">
      <c r="A182" s="11" t="n">
        <v>44771</v>
      </c>
      <c r="B182" s="11" t="n">
        <v>44771</v>
      </c>
      <c r="C182" s="7" t="inlineStr">
        <is>
          <t>taint_tabor</t>
        </is>
      </c>
      <c r="D182" s="7" t="inlineStr">
        <is>
          <t>JEA_NSA</t>
        </is>
      </c>
      <c r="E182" s="17" t="b">
        <v>1</v>
      </c>
      <c r="F182" s="16">
        <f>INDEX(Market_Weekly!$E$6:$E$48,MATCH($A182,Market_Weekly!$A$6:$A$48,0))</f>
        <v/>
      </c>
      <c r="G182" s="16">
        <f>INDEX(Market_Weekly!$D$6:$D$48,MATCH($A182,Market_Weekly!$A$6:$A$48,0))</f>
        <v/>
      </c>
      <c r="H182" s="16">
        <f>INDEX(Market_Weekly!$G$6:$G$48,MATCH($A182,Market_Weekly!$A$6:$A$48,0))</f>
        <v/>
      </c>
      <c r="I182" s="8">
        <f>INDEX(Market_Weekly!$H$6:$H$48,MATCH($A182,Market_Weekly!$A$6:$A$48,0))</f>
        <v/>
      </c>
      <c r="J182" s="8">
        <f>INDEX(Market_Weekly!$Q$6:$Q$48,MATCH($A182,Market_Weekly!$A$6:$A$48,0))</f>
        <v/>
      </c>
      <c r="K182" s="8">
        <f>INDEX(Market_Weekly!$V$6:$V$48,MATCH($A182,Market_Weekly!$A$6:$A$48,0))</f>
        <v/>
      </c>
      <c r="L182" s="16">
        <f>IF($D182="JEA_NSA",INDEX(Market_Weekly!$N$6:$N$48,MATCH($A182,Market_Weekly!$A$6:$A$48,0)),INDEX(Market_Weekly!$O$6:$O$48,MATCH($A182,Market_Weekly!$A$6:$A$48,0)))</f>
        <v/>
      </c>
      <c r="M182" s="8">
        <f>IF($D182="JEA_NSA","M1","M2")</f>
        <v/>
      </c>
      <c r="N182" s="16">
        <f>IF($D182="JEA_NSA",INDEX(Market_Weekly!$L$6:$L$48,MATCH($A182,Market_Weekly!$A$6:$A$48,0)),INDEX(Market_Weekly!$M$6:$M$48,MATCH($A182,Market_Weekly!$A$6:$A$48,0)))</f>
        <v/>
      </c>
      <c r="O182" s="15">
        <f>INDEX(Market_Weekly!$P$6:$P$48,MATCH($A182,Market_Weekly!$A$6:$A$48,0))</f>
        <v/>
      </c>
      <c r="P182" s="8">
        <f>INDEX(Market_Weekly!$R$6:$T$48,MATCH($A182,Market_Weekly!$A$6:$A$48,0),MATCH("grade_factor_"&amp;$C182,Market_Weekly!$R$5:$T$5,0))</f>
        <v/>
      </c>
      <c r="Q182" s="8">
        <f>INDEX(Market_Weekly!$U$6:$U$48,MATCH($A182,Market_Weekly!$A$6:$A$48,0))</f>
        <v/>
      </c>
      <c r="R182" s="8">
        <f>IF($D182="JEA_NSA","20ft","40ft")</f>
        <v/>
      </c>
      <c r="S182" s="8">
        <f>IF($D182="JEA_NSA","nsa","mun")</f>
        <v/>
      </c>
      <c r="T182" s="8">
        <f>IF($D182="JEA_NSA","jea_nsa","usec_mun")</f>
        <v/>
      </c>
      <c r="U182" s="16">
        <f>INDEX(param_values,MATCH("container_payload_mt_"&amp;$R182,param_keys,0))</f>
        <v/>
      </c>
      <c r="V182" s="16">
        <f>INDEX(param_values,MATCH("container_payload_mt_"&amp;$R182&amp;"_"&amp;$C182,param_keys,0))</f>
        <v/>
      </c>
      <c r="W182" s="16">
        <f>INDEX(param_values,MATCH("container_payload_mt_20ft_"&amp;$C182,param_keys,0))</f>
        <v/>
      </c>
      <c r="X182" s="18">
        <f>INDEX(param_values,MATCH("port_cf_charges_inr_t_"&amp;$S182,param_keys,0))</f>
        <v/>
      </c>
      <c r="Y182" s="8">
        <f>INDEX(param_values,MATCH(IF($D182="JEA_NSA","psic_required_uae_origin","psic_required_safe_origin_designated_port"),param_keys,0))</f>
        <v/>
      </c>
      <c r="Z182" s="19">
        <f>INDEX(param_values,MATCH("finance_days_"&amp;$T182,param_keys,0))</f>
        <v/>
      </c>
      <c r="AA182" s="15">
        <f>INDEX(param_values,MATCH("moisture_frac_"&amp;$C182,param_keys,0))</f>
        <v/>
      </c>
      <c r="AB182" s="15">
        <f>INDEX(param_values,MATCH("contamination_frac_"&amp;$C182,param_keys,0))</f>
        <v/>
      </c>
      <c r="AC182" s="15">
        <f>INDEX(param_values,MATCH("metal_yield_frac_"&amp;$C182,param_keys,0))</f>
        <v/>
      </c>
      <c r="AD182" s="15">
        <f>INDEX(param_values,MATCH("heavies_frac_"&amp;$C182,param_keys,0))</f>
        <v/>
      </c>
      <c r="AE182" s="8">
        <f>INDEX(param_values,MATCH("grade_factor_diff_"&amp;$C182,param_keys,0))</f>
        <v/>
      </c>
      <c r="AF182" s="16">
        <f>$F182*$P182</f>
        <v/>
      </c>
      <c r="AG182" s="8">
        <f>$U182/$V182</f>
        <v/>
      </c>
      <c r="AH182" s="16">
        <f>$L182*$AG182</f>
        <v/>
      </c>
      <c r="AI182" s="16">
        <f>$AF182-$AH182</f>
        <v/>
      </c>
      <c r="AJ182" s="16">
        <f>insurance_rate*insured_value_uplift*$AF182</f>
        <v/>
      </c>
      <c r="AK182" s="16">
        <f>$AF182+$AJ182</f>
        <v/>
      </c>
      <c r="AL182" s="18">
        <f>$AK182*$J182</f>
        <v/>
      </c>
      <c r="AM182" s="18">
        <f>$AK182*$I182</f>
        <v/>
      </c>
      <c r="AN182" s="18">
        <f>$AL182*bcd_scrap_hs7602</f>
        <v/>
      </c>
      <c r="AO182" s="18">
        <f>$AN182*sws_rate_on_bcd</f>
        <v/>
      </c>
      <c r="AP182" s="18">
        <f>($AL182+$AN182+$AO182)*igst_rate_hs7602</f>
        <v/>
      </c>
      <c r="AQ182" s="18">
        <f>$X182*$AG182+IF($Y182,psic_cost_usd_per_box*$H182/$W182,0)</f>
        <v/>
      </c>
      <c r="AR182" s="18">
        <f>($AM182+$AN182+$AO182)*$Z182/day_count_inr*$O182</f>
        <v/>
      </c>
      <c r="AS182" s="18">
        <f>$AP182*igst_credit_lag_days/day_count_inr*$O182</f>
        <v/>
      </c>
      <c r="AT182" s="18">
        <f>$AM182+$AN182+$AO182+$AQ182+$AR182+$AS182+IF(igst_itc_available,0,$AP182)</f>
        <v/>
      </c>
      <c r="AU182" s="15">
        <f>(1-$AA182)*(1-$AB182)*$AC182</f>
        <v/>
      </c>
      <c r="AV182" s="18">
        <f>$N182*kg_per_mt+domestic_anchor_premium_inr_t</f>
        <v/>
      </c>
      <c r="AW182" s="18">
        <f>(1-$AA182)*$AD182*heavies_net_value_frac_of_lme_al*$F182*$H182</f>
        <v/>
      </c>
      <c r="AX182" s="18">
        <f>conversion_cost_inr_t*$AU182</f>
        <v/>
      </c>
      <c r="AY182" s="18">
        <f>$AV182*$AU182+$AW182-$AT182-$AX182</f>
        <v/>
      </c>
      <c r="AZ182" s="16">
        <f>$AY182/$H182</f>
        <v/>
      </c>
      <c r="BA182" s="8">
        <f>$AY182&gt;margin_threshold_inr_t</f>
        <v/>
      </c>
      <c r="BB182" s="8">
        <f>$Q182+$AE182</f>
        <v/>
      </c>
      <c r="BC182" s="18">
        <f>$AT182-$AQ182</f>
        <v/>
      </c>
      <c r="BD182" s="18">
        <f>$AY182-$BC182*($BB182/$P182-1)</f>
        <v/>
      </c>
      <c r="BE182" s="18">
        <f>$AY182-(conv_step_5a-conversion_cost_inr_t)*$AU182</f>
        <v/>
      </c>
      <c r="BF182" s="8">
        <f>$BA182</f>
        <v/>
      </c>
      <c r="BG182" s="8">
        <f>$BD182&gt;margin_threshold_inr_t</f>
        <v/>
      </c>
      <c r="BH182" s="8">
        <f>$BE182&gt;margin_threshold_inr_t</f>
        <v/>
      </c>
      <c r="BI182" s="8">
        <f>AND($BF182,$BG182,$BH182)</f>
        <v/>
      </c>
      <c r="BJ182" s="8">
        <f>IF($BI182,1,0)</f>
        <v/>
      </c>
    </row>
    <row r="183">
      <c r="A183" s="11" t="n">
        <v>44771</v>
      </c>
      <c r="B183" s="11" t="n">
        <v>44771</v>
      </c>
      <c r="C183" s="7" t="inlineStr">
        <is>
          <t>taint_tabor</t>
        </is>
      </c>
      <c r="D183" s="7" t="inlineStr">
        <is>
          <t>USEC_MUN</t>
        </is>
      </c>
      <c r="E183" s="17" t="b">
        <v>1</v>
      </c>
      <c r="F183" s="16">
        <f>INDEX(Market_Weekly!$E$6:$E$48,MATCH($A183,Market_Weekly!$A$6:$A$48,0))</f>
        <v/>
      </c>
      <c r="G183" s="16">
        <f>INDEX(Market_Weekly!$D$6:$D$48,MATCH($A183,Market_Weekly!$A$6:$A$48,0))</f>
        <v/>
      </c>
      <c r="H183" s="16">
        <f>INDEX(Market_Weekly!$G$6:$G$48,MATCH($A183,Market_Weekly!$A$6:$A$48,0))</f>
        <v/>
      </c>
      <c r="I183" s="8">
        <f>INDEX(Market_Weekly!$H$6:$H$48,MATCH($A183,Market_Weekly!$A$6:$A$48,0))</f>
        <v/>
      </c>
      <c r="J183" s="8">
        <f>INDEX(Market_Weekly!$Q$6:$Q$48,MATCH($A183,Market_Weekly!$A$6:$A$48,0))</f>
        <v/>
      </c>
      <c r="K183" s="8">
        <f>INDEX(Market_Weekly!$V$6:$V$48,MATCH($A183,Market_Weekly!$A$6:$A$48,0))</f>
        <v/>
      </c>
      <c r="L183" s="16">
        <f>IF($D183="JEA_NSA",INDEX(Market_Weekly!$N$6:$N$48,MATCH($A183,Market_Weekly!$A$6:$A$48,0)),INDEX(Market_Weekly!$O$6:$O$48,MATCH($A183,Market_Weekly!$A$6:$A$48,0)))</f>
        <v/>
      </c>
      <c r="M183" s="8">
        <f>IF($D183="JEA_NSA","M1","M2")</f>
        <v/>
      </c>
      <c r="N183" s="16">
        <f>IF($D183="JEA_NSA",INDEX(Market_Weekly!$L$6:$L$48,MATCH($A183,Market_Weekly!$A$6:$A$48,0)),INDEX(Market_Weekly!$M$6:$M$48,MATCH($A183,Market_Weekly!$A$6:$A$48,0)))</f>
        <v/>
      </c>
      <c r="O183" s="15">
        <f>INDEX(Market_Weekly!$P$6:$P$48,MATCH($A183,Market_Weekly!$A$6:$A$48,0))</f>
        <v/>
      </c>
      <c r="P183" s="8">
        <f>INDEX(Market_Weekly!$R$6:$T$48,MATCH($A183,Market_Weekly!$A$6:$A$48,0),MATCH("grade_factor_"&amp;$C183,Market_Weekly!$R$5:$T$5,0))</f>
        <v/>
      </c>
      <c r="Q183" s="8">
        <f>INDEX(Market_Weekly!$U$6:$U$48,MATCH($A183,Market_Weekly!$A$6:$A$48,0))</f>
        <v/>
      </c>
      <c r="R183" s="8">
        <f>IF($D183="JEA_NSA","20ft","40ft")</f>
        <v/>
      </c>
      <c r="S183" s="8">
        <f>IF($D183="JEA_NSA","nsa","mun")</f>
        <v/>
      </c>
      <c r="T183" s="8">
        <f>IF($D183="JEA_NSA","jea_nsa","usec_mun")</f>
        <v/>
      </c>
      <c r="U183" s="16">
        <f>INDEX(param_values,MATCH("container_payload_mt_"&amp;$R183,param_keys,0))</f>
        <v/>
      </c>
      <c r="V183" s="16">
        <f>INDEX(param_values,MATCH("container_payload_mt_"&amp;$R183&amp;"_"&amp;$C183,param_keys,0))</f>
        <v/>
      </c>
      <c r="W183" s="16">
        <f>INDEX(param_values,MATCH("container_payload_mt_20ft_"&amp;$C183,param_keys,0))</f>
        <v/>
      </c>
      <c r="X183" s="18">
        <f>INDEX(param_values,MATCH("port_cf_charges_inr_t_"&amp;$S183,param_keys,0))</f>
        <v/>
      </c>
      <c r="Y183" s="8">
        <f>INDEX(param_values,MATCH(IF($D183="JEA_NSA","psic_required_uae_origin","psic_required_safe_origin_designated_port"),param_keys,0))</f>
        <v/>
      </c>
      <c r="Z183" s="19">
        <f>INDEX(param_values,MATCH("finance_days_"&amp;$T183,param_keys,0))</f>
        <v/>
      </c>
      <c r="AA183" s="15">
        <f>INDEX(param_values,MATCH("moisture_frac_"&amp;$C183,param_keys,0))</f>
        <v/>
      </c>
      <c r="AB183" s="15">
        <f>INDEX(param_values,MATCH("contamination_frac_"&amp;$C183,param_keys,0))</f>
        <v/>
      </c>
      <c r="AC183" s="15">
        <f>INDEX(param_values,MATCH("metal_yield_frac_"&amp;$C183,param_keys,0))</f>
        <v/>
      </c>
      <c r="AD183" s="15">
        <f>INDEX(param_values,MATCH("heavies_frac_"&amp;$C183,param_keys,0))</f>
        <v/>
      </c>
      <c r="AE183" s="8">
        <f>INDEX(param_values,MATCH("grade_factor_diff_"&amp;$C183,param_keys,0))</f>
        <v/>
      </c>
      <c r="AF183" s="16">
        <f>$F183*$P183</f>
        <v/>
      </c>
      <c r="AG183" s="8">
        <f>$U183/$V183</f>
        <v/>
      </c>
      <c r="AH183" s="16">
        <f>$L183*$AG183</f>
        <v/>
      </c>
      <c r="AI183" s="16">
        <f>$AF183-$AH183</f>
        <v/>
      </c>
      <c r="AJ183" s="16">
        <f>insurance_rate*insured_value_uplift*$AF183</f>
        <v/>
      </c>
      <c r="AK183" s="16">
        <f>$AF183+$AJ183</f>
        <v/>
      </c>
      <c r="AL183" s="18">
        <f>$AK183*$J183</f>
        <v/>
      </c>
      <c r="AM183" s="18">
        <f>$AK183*$I183</f>
        <v/>
      </c>
      <c r="AN183" s="18">
        <f>$AL183*bcd_scrap_hs7602</f>
        <v/>
      </c>
      <c r="AO183" s="18">
        <f>$AN183*sws_rate_on_bcd</f>
        <v/>
      </c>
      <c r="AP183" s="18">
        <f>($AL183+$AN183+$AO183)*igst_rate_hs7602</f>
        <v/>
      </c>
      <c r="AQ183" s="18">
        <f>$X183*$AG183+IF($Y183,psic_cost_usd_per_box*$H183/$W183,0)</f>
        <v/>
      </c>
      <c r="AR183" s="18">
        <f>($AM183+$AN183+$AO183)*$Z183/day_count_inr*$O183</f>
        <v/>
      </c>
      <c r="AS183" s="18">
        <f>$AP183*igst_credit_lag_days/day_count_inr*$O183</f>
        <v/>
      </c>
      <c r="AT183" s="18">
        <f>$AM183+$AN183+$AO183+$AQ183+$AR183+$AS183+IF(igst_itc_available,0,$AP183)</f>
        <v/>
      </c>
      <c r="AU183" s="15">
        <f>(1-$AA183)*(1-$AB183)*$AC183</f>
        <v/>
      </c>
      <c r="AV183" s="18">
        <f>$N183*kg_per_mt+domestic_anchor_premium_inr_t</f>
        <v/>
      </c>
      <c r="AW183" s="18">
        <f>(1-$AA183)*$AD183*heavies_net_value_frac_of_lme_al*$F183*$H183</f>
        <v/>
      </c>
      <c r="AX183" s="18">
        <f>conversion_cost_inr_t*$AU183</f>
        <v/>
      </c>
      <c r="AY183" s="18">
        <f>$AV183*$AU183+$AW183-$AT183-$AX183</f>
        <v/>
      </c>
      <c r="AZ183" s="16">
        <f>$AY183/$H183</f>
        <v/>
      </c>
      <c r="BA183" s="8">
        <f>$AY183&gt;margin_threshold_inr_t</f>
        <v/>
      </c>
      <c r="BB183" s="8">
        <f>$Q183+$AE183</f>
        <v/>
      </c>
      <c r="BC183" s="18">
        <f>$AT183-$AQ183</f>
        <v/>
      </c>
      <c r="BD183" s="18">
        <f>$AY183-$BC183*($BB183/$P183-1)</f>
        <v/>
      </c>
      <c r="BE183" s="18">
        <f>$AY183-(conv_step_5a-conversion_cost_inr_t)*$AU183</f>
        <v/>
      </c>
      <c r="BF183" s="8">
        <f>$BA183</f>
        <v/>
      </c>
      <c r="BG183" s="8">
        <f>$BD183&gt;margin_threshold_inr_t</f>
        <v/>
      </c>
      <c r="BH183" s="8">
        <f>$BE183&gt;margin_threshold_inr_t</f>
        <v/>
      </c>
      <c r="BI183" s="8">
        <f>AND($BF183,$BG183,$BH183)</f>
        <v/>
      </c>
      <c r="BJ183" s="8">
        <f>IF($BI183,1,0)</f>
        <v/>
      </c>
    </row>
    <row r="184">
      <c r="A184" s="11" t="n">
        <v>44771</v>
      </c>
      <c r="B184" s="11" t="n">
        <v>44771</v>
      </c>
      <c r="C184" s="7" t="inlineStr">
        <is>
          <t>tense</t>
        </is>
      </c>
      <c r="D184" s="7" t="inlineStr">
        <is>
          <t>JEA_NSA</t>
        </is>
      </c>
      <c r="E184" s="17" t="b">
        <v>1</v>
      </c>
      <c r="F184" s="16">
        <f>INDEX(Market_Weekly!$E$6:$E$48,MATCH($A184,Market_Weekly!$A$6:$A$48,0))</f>
        <v/>
      </c>
      <c r="G184" s="16">
        <f>INDEX(Market_Weekly!$D$6:$D$48,MATCH($A184,Market_Weekly!$A$6:$A$48,0))</f>
        <v/>
      </c>
      <c r="H184" s="16">
        <f>INDEX(Market_Weekly!$G$6:$G$48,MATCH($A184,Market_Weekly!$A$6:$A$48,0))</f>
        <v/>
      </c>
      <c r="I184" s="8">
        <f>INDEX(Market_Weekly!$H$6:$H$48,MATCH($A184,Market_Weekly!$A$6:$A$48,0))</f>
        <v/>
      </c>
      <c r="J184" s="8">
        <f>INDEX(Market_Weekly!$Q$6:$Q$48,MATCH($A184,Market_Weekly!$A$6:$A$48,0))</f>
        <v/>
      </c>
      <c r="K184" s="8">
        <f>INDEX(Market_Weekly!$V$6:$V$48,MATCH($A184,Market_Weekly!$A$6:$A$48,0))</f>
        <v/>
      </c>
      <c r="L184" s="16">
        <f>IF($D184="JEA_NSA",INDEX(Market_Weekly!$N$6:$N$48,MATCH($A184,Market_Weekly!$A$6:$A$48,0)),INDEX(Market_Weekly!$O$6:$O$48,MATCH($A184,Market_Weekly!$A$6:$A$48,0)))</f>
        <v/>
      </c>
      <c r="M184" s="8">
        <f>IF($D184="JEA_NSA","M1","M2")</f>
        <v/>
      </c>
      <c r="N184" s="16">
        <f>IF($D184="JEA_NSA",INDEX(Market_Weekly!$L$6:$L$48,MATCH($A184,Market_Weekly!$A$6:$A$48,0)),INDEX(Market_Weekly!$M$6:$M$48,MATCH($A184,Market_Weekly!$A$6:$A$48,0)))</f>
        <v/>
      </c>
      <c r="O184" s="15">
        <f>INDEX(Market_Weekly!$P$6:$P$48,MATCH($A184,Market_Weekly!$A$6:$A$48,0))</f>
        <v/>
      </c>
      <c r="P184" s="8">
        <f>INDEX(Market_Weekly!$R$6:$T$48,MATCH($A184,Market_Weekly!$A$6:$A$48,0),MATCH("grade_factor_"&amp;$C184,Market_Weekly!$R$5:$T$5,0))</f>
        <v/>
      </c>
      <c r="Q184" s="8">
        <f>INDEX(Market_Weekly!$U$6:$U$48,MATCH($A184,Market_Weekly!$A$6:$A$48,0))</f>
        <v/>
      </c>
      <c r="R184" s="8">
        <f>IF($D184="JEA_NSA","20ft","40ft")</f>
        <v/>
      </c>
      <c r="S184" s="8">
        <f>IF($D184="JEA_NSA","nsa","mun")</f>
        <v/>
      </c>
      <c r="T184" s="8">
        <f>IF($D184="JEA_NSA","jea_nsa","usec_mun")</f>
        <v/>
      </c>
      <c r="U184" s="16">
        <f>INDEX(param_values,MATCH("container_payload_mt_"&amp;$R184,param_keys,0))</f>
        <v/>
      </c>
      <c r="V184" s="16">
        <f>INDEX(param_values,MATCH("container_payload_mt_"&amp;$R184&amp;"_"&amp;$C184,param_keys,0))</f>
        <v/>
      </c>
      <c r="W184" s="16">
        <f>INDEX(param_values,MATCH("container_payload_mt_20ft_"&amp;$C184,param_keys,0))</f>
        <v/>
      </c>
      <c r="X184" s="18">
        <f>INDEX(param_values,MATCH("port_cf_charges_inr_t_"&amp;$S184,param_keys,0))</f>
        <v/>
      </c>
      <c r="Y184" s="8">
        <f>INDEX(param_values,MATCH(IF($D184="JEA_NSA","psic_required_uae_origin","psic_required_safe_origin_designated_port"),param_keys,0))</f>
        <v/>
      </c>
      <c r="Z184" s="19">
        <f>INDEX(param_values,MATCH("finance_days_"&amp;$T184,param_keys,0))</f>
        <v/>
      </c>
      <c r="AA184" s="15">
        <f>INDEX(param_values,MATCH("moisture_frac_"&amp;$C184,param_keys,0))</f>
        <v/>
      </c>
      <c r="AB184" s="15">
        <f>INDEX(param_values,MATCH("contamination_frac_"&amp;$C184,param_keys,0))</f>
        <v/>
      </c>
      <c r="AC184" s="15">
        <f>INDEX(param_values,MATCH("metal_yield_frac_"&amp;$C184,param_keys,0))</f>
        <v/>
      </c>
      <c r="AD184" s="15">
        <f>INDEX(param_values,MATCH("heavies_frac_"&amp;$C184,param_keys,0))</f>
        <v/>
      </c>
      <c r="AE184" s="8">
        <f>INDEX(param_values,MATCH("grade_factor_diff_"&amp;$C184,param_keys,0))</f>
        <v/>
      </c>
      <c r="AF184" s="16">
        <f>$F184*$P184</f>
        <v/>
      </c>
      <c r="AG184" s="8">
        <f>$U184/$V184</f>
        <v/>
      </c>
      <c r="AH184" s="16">
        <f>$L184*$AG184</f>
        <v/>
      </c>
      <c r="AI184" s="16">
        <f>$AF184-$AH184</f>
        <v/>
      </c>
      <c r="AJ184" s="16">
        <f>insurance_rate*insured_value_uplift*$AF184</f>
        <v/>
      </c>
      <c r="AK184" s="16">
        <f>$AF184+$AJ184</f>
        <v/>
      </c>
      <c r="AL184" s="18">
        <f>$AK184*$J184</f>
        <v/>
      </c>
      <c r="AM184" s="18">
        <f>$AK184*$I184</f>
        <v/>
      </c>
      <c r="AN184" s="18">
        <f>$AL184*bcd_scrap_hs7602</f>
        <v/>
      </c>
      <c r="AO184" s="18">
        <f>$AN184*sws_rate_on_bcd</f>
        <v/>
      </c>
      <c r="AP184" s="18">
        <f>($AL184+$AN184+$AO184)*igst_rate_hs7602</f>
        <v/>
      </c>
      <c r="AQ184" s="18">
        <f>$X184*$AG184+IF($Y184,psic_cost_usd_per_box*$H184/$W184,0)</f>
        <v/>
      </c>
      <c r="AR184" s="18">
        <f>($AM184+$AN184+$AO184)*$Z184/day_count_inr*$O184</f>
        <v/>
      </c>
      <c r="AS184" s="18">
        <f>$AP184*igst_credit_lag_days/day_count_inr*$O184</f>
        <v/>
      </c>
      <c r="AT184" s="18">
        <f>$AM184+$AN184+$AO184+$AQ184+$AR184+$AS184+IF(igst_itc_available,0,$AP184)</f>
        <v/>
      </c>
      <c r="AU184" s="15">
        <f>(1-$AA184)*(1-$AB184)*$AC184</f>
        <v/>
      </c>
      <c r="AV184" s="18">
        <f>$N184*kg_per_mt+domestic_anchor_premium_inr_t</f>
        <v/>
      </c>
      <c r="AW184" s="18">
        <f>(1-$AA184)*$AD184*heavies_net_value_frac_of_lme_al*$F184*$H184</f>
        <v/>
      </c>
      <c r="AX184" s="18">
        <f>conversion_cost_inr_t*$AU184</f>
        <v/>
      </c>
      <c r="AY184" s="18">
        <f>$AV184*$AU184+$AW184-$AT184-$AX184</f>
        <v/>
      </c>
      <c r="AZ184" s="16">
        <f>$AY184/$H184</f>
        <v/>
      </c>
      <c r="BA184" s="8">
        <f>$AY184&gt;margin_threshold_inr_t</f>
        <v/>
      </c>
      <c r="BB184" s="8">
        <f>$Q184+$AE184</f>
        <v/>
      </c>
      <c r="BC184" s="18">
        <f>$AT184-$AQ184</f>
        <v/>
      </c>
      <c r="BD184" s="18">
        <f>$AY184-$BC184*($BB184/$P184-1)</f>
        <v/>
      </c>
      <c r="BE184" s="18">
        <f>$AY184-(conv_step_5a-conversion_cost_inr_t)*$AU184</f>
        <v/>
      </c>
      <c r="BF184" s="8">
        <f>$BA184</f>
        <v/>
      </c>
      <c r="BG184" s="8">
        <f>$BD184&gt;margin_threshold_inr_t</f>
        <v/>
      </c>
      <c r="BH184" s="8">
        <f>$BE184&gt;margin_threshold_inr_t</f>
        <v/>
      </c>
      <c r="BI184" s="8">
        <f>AND($BF184,$BG184,$BH184)</f>
        <v/>
      </c>
      <c r="BJ184" s="8">
        <f>IF($BI184,1,0)</f>
        <v/>
      </c>
    </row>
    <row r="185">
      <c r="A185" s="11" t="n">
        <v>44771</v>
      </c>
      <c r="B185" s="11" t="n">
        <v>44771</v>
      </c>
      <c r="C185" s="7" t="inlineStr">
        <is>
          <t>tense</t>
        </is>
      </c>
      <c r="D185" s="7" t="inlineStr">
        <is>
          <t>USEC_MUN</t>
        </is>
      </c>
      <c r="E185" s="17" t="b">
        <v>1</v>
      </c>
      <c r="F185" s="16">
        <f>INDEX(Market_Weekly!$E$6:$E$48,MATCH($A185,Market_Weekly!$A$6:$A$48,0))</f>
        <v/>
      </c>
      <c r="G185" s="16">
        <f>INDEX(Market_Weekly!$D$6:$D$48,MATCH($A185,Market_Weekly!$A$6:$A$48,0))</f>
        <v/>
      </c>
      <c r="H185" s="16">
        <f>INDEX(Market_Weekly!$G$6:$G$48,MATCH($A185,Market_Weekly!$A$6:$A$48,0))</f>
        <v/>
      </c>
      <c r="I185" s="8">
        <f>INDEX(Market_Weekly!$H$6:$H$48,MATCH($A185,Market_Weekly!$A$6:$A$48,0))</f>
        <v/>
      </c>
      <c r="J185" s="8">
        <f>INDEX(Market_Weekly!$Q$6:$Q$48,MATCH($A185,Market_Weekly!$A$6:$A$48,0))</f>
        <v/>
      </c>
      <c r="K185" s="8">
        <f>INDEX(Market_Weekly!$V$6:$V$48,MATCH($A185,Market_Weekly!$A$6:$A$48,0))</f>
        <v/>
      </c>
      <c r="L185" s="16">
        <f>IF($D185="JEA_NSA",INDEX(Market_Weekly!$N$6:$N$48,MATCH($A185,Market_Weekly!$A$6:$A$48,0)),INDEX(Market_Weekly!$O$6:$O$48,MATCH($A185,Market_Weekly!$A$6:$A$48,0)))</f>
        <v/>
      </c>
      <c r="M185" s="8">
        <f>IF($D185="JEA_NSA","M1","M2")</f>
        <v/>
      </c>
      <c r="N185" s="16">
        <f>IF($D185="JEA_NSA",INDEX(Market_Weekly!$L$6:$L$48,MATCH($A185,Market_Weekly!$A$6:$A$48,0)),INDEX(Market_Weekly!$M$6:$M$48,MATCH($A185,Market_Weekly!$A$6:$A$48,0)))</f>
        <v/>
      </c>
      <c r="O185" s="15">
        <f>INDEX(Market_Weekly!$P$6:$P$48,MATCH($A185,Market_Weekly!$A$6:$A$48,0))</f>
        <v/>
      </c>
      <c r="P185" s="8">
        <f>INDEX(Market_Weekly!$R$6:$T$48,MATCH($A185,Market_Weekly!$A$6:$A$48,0),MATCH("grade_factor_"&amp;$C185,Market_Weekly!$R$5:$T$5,0))</f>
        <v/>
      </c>
      <c r="Q185" s="8">
        <f>INDEX(Market_Weekly!$U$6:$U$48,MATCH($A185,Market_Weekly!$A$6:$A$48,0))</f>
        <v/>
      </c>
      <c r="R185" s="8">
        <f>IF($D185="JEA_NSA","20ft","40ft")</f>
        <v/>
      </c>
      <c r="S185" s="8">
        <f>IF($D185="JEA_NSA","nsa","mun")</f>
        <v/>
      </c>
      <c r="T185" s="8">
        <f>IF($D185="JEA_NSA","jea_nsa","usec_mun")</f>
        <v/>
      </c>
      <c r="U185" s="16">
        <f>INDEX(param_values,MATCH("container_payload_mt_"&amp;$R185,param_keys,0))</f>
        <v/>
      </c>
      <c r="V185" s="16">
        <f>INDEX(param_values,MATCH("container_payload_mt_"&amp;$R185&amp;"_"&amp;$C185,param_keys,0))</f>
        <v/>
      </c>
      <c r="W185" s="16">
        <f>INDEX(param_values,MATCH("container_payload_mt_20ft_"&amp;$C185,param_keys,0))</f>
        <v/>
      </c>
      <c r="X185" s="18">
        <f>INDEX(param_values,MATCH("port_cf_charges_inr_t_"&amp;$S185,param_keys,0))</f>
        <v/>
      </c>
      <c r="Y185" s="8">
        <f>INDEX(param_values,MATCH(IF($D185="JEA_NSA","psic_required_uae_origin","psic_required_safe_origin_designated_port"),param_keys,0))</f>
        <v/>
      </c>
      <c r="Z185" s="19">
        <f>INDEX(param_values,MATCH("finance_days_"&amp;$T185,param_keys,0))</f>
        <v/>
      </c>
      <c r="AA185" s="15">
        <f>INDEX(param_values,MATCH("moisture_frac_"&amp;$C185,param_keys,0))</f>
        <v/>
      </c>
      <c r="AB185" s="15">
        <f>INDEX(param_values,MATCH("contamination_frac_"&amp;$C185,param_keys,0))</f>
        <v/>
      </c>
      <c r="AC185" s="15">
        <f>INDEX(param_values,MATCH("metal_yield_frac_"&amp;$C185,param_keys,0))</f>
        <v/>
      </c>
      <c r="AD185" s="15">
        <f>INDEX(param_values,MATCH("heavies_frac_"&amp;$C185,param_keys,0))</f>
        <v/>
      </c>
      <c r="AE185" s="8">
        <f>INDEX(param_values,MATCH("grade_factor_diff_"&amp;$C185,param_keys,0))</f>
        <v/>
      </c>
      <c r="AF185" s="16">
        <f>$F185*$P185</f>
        <v/>
      </c>
      <c r="AG185" s="8">
        <f>$U185/$V185</f>
        <v/>
      </c>
      <c r="AH185" s="16">
        <f>$L185*$AG185</f>
        <v/>
      </c>
      <c r="AI185" s="16">
        <f>$AF185-$AH185</f>
        <v/>
      </c>
      <c r="AJ185" s="16">
        <f>insurance_rate*insured_value_uplift*$AF185</f>
        <v/>
      </c>
      <c r="AK185" s="16">
        <f>$AF185+$AJ185</f>
        <v/>
      </c>
      <c r="AL185" s="18">
        <f>$AK185*$J185</f>
        <v/>
      </c>
      <c r="AM185" s="18">
        <f>$AK185*$I185</f>
        <v/>
      </c>
      <c r="AN185" s="18">
        <f>$AL185*bcd_scrap_hs7602</f>
        <v/>
      </c>
      <c r="AO185" s="18">
        <f>$AN185*sws_rate_on_bcd</f>
        <v/>
      </c>
      <c r="AP185" s="18">
        <f>($AL185+$AN185+$AO185)*igst_rate_hs7602</f>
        <v/>
      </c>
      <c r="AQ185" s="18">
        <f>$X185*$AG185+IF($Y185,psic_cost_usd_per_box*$H185/$W185,0)</f>
        <v/>
      </c>
      <c r="AR185" s="18">
        <f>($AM185+$AN185+$AO185)*$Z185/day_count_inr*$O185</f>
        <v/>
      </c>
      <c r="AS185" s="18">
        <f>$AP185*igst_credit_lag_days/day_count_inr*$O185</f>
        <v/>
      </c>
      <c r="AT185" s="18">
        <f>$AM185+$AN185+$AO185+$AQ185+$AR185+$AS185+IF(igst_itc_available,0,$AP185)</f>
        <v/>
      </c>
      <c r="AU185" s="15">
        <f>(1-$AA185)*(1-$AB185)*$AC185</f>
        <v/>
      </c>
      <c r="AV185" s="18">
        <f>$N185*kg_per_mt+domestic_anchor_premium_inr_t</f>
        <v/>
      </c>
      <c r="AW185" s="18">
        <f>(1-$AA185)*$AD185*heavies_net_value_frac_of_lme_al*$F185*$H185</f>
        <v/>
      </c>
      <c r="AX185" s="18">
        <f>conversion_cost_inr_t*$AU185</f>
        <v/>
      </c>
      <c r="AY185" s="18">
        <f>$AV185*$AU185+$AW185-$AT185-$AX185</f>
        <v/>
      </c>
      <c r="AZ185" s="16">
        <f>$AY185/$H185</f>
        <v/>
      </c>
      <c r="BA185" s="8">
        <f>$AY185&gt;margin_threshold_inr_t</f>
        <v/>
      </c>
      <c r="BB185" s="8">
        <f>$Q185+$AE185</f>
        <v/>
      </c>
      <c r="BC185" s="18">
        <f>$AT185-$AQ185</f>
        <v/>
      </c>
      <c r="BD185" s="18">
        <f>$AY185-$BC185*($BB185/$P185-1)</f>
        <v/>
      </c>
      <c r="BE185" s="18">
        <f>$AY185-(conv_step_5a-conversion_cost_inr_t)*$AU185</f>
        <v/>
      </c>
      <c r="BF185" s="8">
        <f>$BA185</f>
        <v/>
      </c>
      <c r="BG185" s="8">
        <f>$BD185&gt;margin_threshold_inr_t</f>
        <v/>
      </c>
      <c r="BH185" s="8">
        <f>$BE185&gt;margin_threshold_inr_t</f>
        <v/>
      </c>
      <c r="BI185" s="8">
        <f>AND($BF185,$BG185,$BH185)</f>
        <v/>
      </c>
      <c r="BJ185" s="8">
        <f>IF($BI185,1,0)</f>
        <v/>
      </c>
    </row>
    <row r="186">
      <c r="A186" s="11" t="n">
        <v>44778</v>
      </c>
      <c r="B186" s="11" t="n">
        <v>44778</v>
      </c>
      <c r="C186" s="7" t="inlineStr">
        <is>
          <t>zorba</t>
        </is>
      </c>
      <c r="D186" s="7" t="inlineStr">
        <is>
          <t>JEA_NSA</t>
        </is>
      </c>
      <c r="E186" s="17" t="b">
        <v>1</v>
      </c>
      <c r="F186" s="16">
        <f>INDEX(Market_Weekly!$E$6:$E$48,MATCH($A186,Market_Weekly!$A$6:$A$48,0))</f>
        <v/>
      </c>
      <c r="G186" s="16">
        <f>INDEX(Market_Weekly!$D$6:$D$48,MATCH($A186,Market_Weekly!$A$6:$A$48,0))</f>
        <v/>
      </c>
      <c r="H186" s="16">
        <f>INDEX(Market_Weekly!$G$6:$G$48,MATCH($A186,Market_Weekly!$A$6:$A$48,0))</f>
        <v/>
      </c>
      <c r="I186" s="8">
        <f>INDEX(Market_Weekly!$H$6:$H$48,MATCH($A186,Market_Weekly!$A$6:$A$48,0))</f>
        <v/>
      </c>
      <c r="J186" s="8">
        <f>INDEX(Market_Weekly!$Q$6:$Q$48,MATCH($A186,Market_Weekly!$A$6:$A$48,0))</f>
        <v/>
      </c>
      <c r="K186" s="8">
        <f>INDEX(Market_Weekly!$V$6:$V$48,MATCH($A186,Market_Weekly!$A$6:$A$48,0))</f>
        <v/>
      </c>
      <c r="L186" s="16">
        <f>IF($D186="JEA_NSA",INDEX(Market_Weekly!$N$6:$N$48,MATCH($A186,Market_Weekly!$A$6:$A$48,0)),INDEX(Market_Weekly!$O$6:$O$48,MATCH($A186,Market_Weekly!$A$6:$A$48,0)))</f>
        <v/>
      </c>
      <c r="M186" s="8">
        <f>IF($D186="JEA_NSA","M1","M2")</f>
        <v/>
      </c>
      <c r="N186" s="16">
        <f>IF($D186="JEA_NSA",INDEX(Market_Weekly!$L$6:$L$48,MATCH($A186,Market_Weekly!$A$6:$A$48,0)),INDEX(Market_Weekly!$M$6:$M$48,MATCH($A186,Market_Weekly!$A$6:$A$48,0)))</f>
        <v/>
      </c>
      <c r="O186" s="15">
        <f>INDEX(Market_Weekly!$P$6:$P$48,MATCH($A186,Market_Weekly!$A$6:$A$48,0))</f>
        <v/>
      </c>
      <c r="P186" s="8">
        <f>INDEX(Market_Weekly!$R$6:$T$48,MATCH($A186,Market_Weekly!$A$6:$A$48,0),MATCH("grade_factor_"&amp;$C186,Market_Weekly!$R$5:$T$5,0))</f>
        <v/>
      </c>
      <c r="Q186" s="8">
        <f>INDEX(Market_Weekly!$U$6:$U$48,MATCH($A186,Market_Weekly!$A$6:$A$48,0))</f>
        <v/>
      </c>
      <c r="R186" s="8">
        <f>IF($D186="JEA_NSA","20ft","40ft")</f>
        <v/>
      </c>
      <c r="S186" s="8">
        <f>IF($D186="JEA_NSA","nsa","mun")</f>
        <v/>
      </c>
      <c r="T186" s="8">
        <f>IF($D186="JEA_NSA","jea_nsa","usec_mun")</f>
        <v/>
      </c>
      <c r="U186" s="16">
        <f>INDEX(param_values,MATCH("container_payload_mt_"&amp;$R186,param_keys,0))</f>
        <v/>
      </c>
      <c r="V186" s="16">
        <f>INDEX(param_values,MATCH("container_payload_mt_"&amp;$R186&amp;"_"&amp;$C186,param_keys,0))</f>
        <v/>
      </c>
      <c r="W186" s="16">
        <f>INDEX(param_values,MATCH("container_payload_mt_20ft_"&amp;$C186,param_keys,0))</f>
        <v/>
      </c>
      <c r="X186" s="18">
        <f>INDEX(param_values,MATCH("port_cf_charges_inr_t_"&amp;$S186,param_keys,0))</f>
        <v/>
      </c>
      <c r="Y186" s="8">
        <f>INDEX(param_values,MATCH(IF($D186="JEA_NSA","psic_required_uae_origin","psic_required_safe_origin_designated_port"),param_keys,0))</f>
        <v/>
      </c>
      <c r="Z186" s="19">
        <f>INDEX(param_values,MATCH("finance_days_"&amp;$T186,param_keys,0))</f>
        <v/>
      </c>
      <c r="AA186" s="15">
        <f>INDEX(param_values,MATCH("moisture_frac_"&amp;$C186,param_keys,0))</f>
        <v/>
      </c>
      <c r="AB186" s="15">
        <f>INDEX(param_values,MATCH("contamination_frac_"&amp;$C186,param_keys,0))</f>
        <v/>
      </c>
      <c r="AC186" s="15">
        <f>INDEX(param_values,MATCH("metal_yield_frac_"&amp;$C186,param_keys,0))</f>
        <v/>
      </c>
      <c r="AD186" s="15">
        <f>INDEX(param_values,MATCH("heavies_frac_"&amp;$C186,param_keys,0))</f>
        <v/>
      </c>
      <c r="AE186" s="8">
        <f>INDEX(param_values,MATCH("grade_factor_diff_"&amp;$C186,param_keys,0))</f>
        <v/>
      </c>
      <c r="AF186" s="16">
        <f>$F186*$P186</f>
        <v/>
      </c>
      <c r="AG186" s="8">
        <f>$U186/$V186</f>
        <v/>
      </c>
      <c r="AH186" s="16">
        <f>$L186*$AG186</f>
        <v/>
      </c>
      <c r="AI186" s="16">
        <f>$AF186-$AH186</f>
        <v/>
      </c>
      <c r="AJ186" s="16">
        <f>insurance_rate*insured_value_uplift*$AF186</f>
        <v/>
      </c>
      <c r="AK186" s="16">
        <f>$AF186+$AJ186</f>
        <v/>
      </c>
      <c r="AL186" s="18">
        <f>$AK186*$J186</f>
        <v/>
      </c>
      <c r="AM186" s="18">
        <f>$AK186*$I186</f>
        <v/>
      </c>
      <c r="AN186" s="18">
        <f>$AL186*bcd_scrap_hs7602</f>
        <v/>
      </c>
      <c r="AO186" s="18">
        <f>$AN186*sws_rate_on_bcd</f>
        <v/>
      </c>
      <c r="AP186" s="18">
        <f>($AL186+$AN186+$AO186)*igst_rate_hs7602</f>
        <v/>
      </c>
      <c r="AQ186" s="18">
        <f>$X186*$AG186+IF($Y186,psic_cost_usd_per_box*$H186/$W186,0)</f>
        <v/>
      </c>
      <c r="AR186" s="18">
        <f>($AM186+$AN186+$AO186)*$Z186/day_count_inr*$O186</f>
        <v/>
      </c>
      <c r="AS186" s="18">
        <f>$AP186*igst_credit_lag_days/day_count_inr*$O186</f>
        <v/>
      </c>
      <c r="AT186" s="18">
        <f>$AM186+$AN186+$AO186+$AQ186+$AR186+$AS186+IF(igst_itc_available,0,$AP186)</f>
        <v/>
      </c>
      <c r="AU186" s="15">
        <f>(1-$AA186)*(1-$AB186)*$AC186</f>
        <v/>
      </c>
      <c r="AV186" s="18">
        <f>$N186*kg_per_mt+domestic_anchor_premium_inr_t</f>
        <v/>
      </c>
      <c r="AW186" s="18">
        <f>(1-$AA186)*$AD186*heavies_net_value_frac_of_lme_al*$F186*$H186</f>
        <v/>
      </c>
      <c r="AX186" s="18">
        <f>conversion_cost_inr_t*$AU186</f>
        <v/>
      </c>
      <c r="AY186" s="18">
        <f>$AV186*$AU186+$AW186-$AT186-$AX186</f>
        <v/>
      </c>
      <c r="AZ186" s="16">
        <f>$AY186/$H186</f>
        <v/>
      </c>
      <c r="BA186" s="8">
        <f>$AY186&gt;margin_threshold_inr_t</f>
        <v/>
      </c>
      <c r="BB186" s="8">
        <f>$Q186+$AE186</f>
        <v/>
      </c>
      <c r="BC186" s="18">
        <f>$AT186-$AQ186</f>
        <v/>
      </c>
      <c r="BD186" s="18">
        <f>$AY186-$BC186*($BB186/$P186-1)</f>
        <v/>
      </c>
      <c r="BE186" s="18">
        <f>$AY186-(conv_step_5a-conversion_cost_inr_t)*$AU186</f>
        <v/>
      </c>
      <c r="BF186" s="8">
        <f>$BA186</f>
        <v/>
      </c>
      <c r="BG186" s="8">
        <f>$BD186&gt;margin_threshold_inr_t</f>
        <v/>
      </c>
      <c r="BH186" s="8">
        <f>$BE186&gt;margin_threshold_inr_t</f>
        <v/>
      </c>
      <c r="BI186" s="8">
        <f>AND($BF186,$BG186,$BH186)</f>
        <v/>
      </c>
      <c r="BJ186" s="8">
        <f>IF($BI186,1,0)</f>
        <v/>
      </c>
    </row>
    <row r="187">
      <c r="A187" s="11" t="n">
        <v>44778</v>
      </c>
      <c r="B187" s="11" t="n">
        <v>44778</v>
      </c>
      <c r="C187" s="7" t="inlineStr">
        <is>
          <t>zorba</t>
        </is>
      </c>
      <c r="D187" s="7" t="inlineStr">
        <is>
          <t>USEC_MUN</t>
        </is>
      </c>
      <c r="E187" s="17" t="b">
        <v>1</v>
      </c>
      <c r="F187" s="16">
        <f>INDEX(Market_Weekly!$E$6:$E$48,MATCH($A187,Market_Weekly!$A$6:$A$48,0))</f>
        <v/>
      </c>
      <c r="G187" s="16">
        <f>INDEX(Market_Weekly!$D$6:$D$48,MATCH($A187,Market_Weekly!$A$6:$A$48,0))</f>
        <v/>
      </c>
      <c r="H187" s="16">
        <f>INDEX(Market_Weekly!$G$6:$G$48,MATCH($A187,Market_Weekly!$A$6:$A$48,0))</f>
        <v/>
      </c>
      <c r="I187" s="8">
        <f>INDEX(Market_Weekly!$H$6:$H$48,MATCH($A187,Market_Weekly!$A$6:$A$48,0))</f>
        <v/>
      </c>
      <c r="J187" s="8">
        <f>INDEX(Market_Weekly!$Q$6:$Q$48,MATCH($A187,Market_Weekly!$A$6:$A$48,0))</f>
        <v/>
      </c>
      <c r="K187" s="8">
        <f>INDEX(Market_Weekly!$V$6:$V$48,MATCH($A187,Market_Weekly!$A$6:$A$48,0))</f>
        <v/>
      </c>
      <c r="L187" s="16">
        <f>IF($D187="JEA_NSA",INDEX(Market_Weekly!$N$6:$N$48,MATCH($A187,Market_Weekly!$A$6:$A$48,0)),INDEX(Market_Weekly!$O$6:$O$48,MATCH($A187,Market_Weekly!$A$6:$A$48,0)))</f>
        <v/>
      </c>
      <c r="M187" s="8">
        <f>IF($D187="JEA_NSA","M1","M2")</f>
        <v/>
      </c>
      <c r="N187" s="16">
        <f>IF($D187="JEA_NSA",INDEX(Market_Weekly!$L$6:$L$48,MATCH($A187,Market_Weekly!$A$6:$A$48,0)),INDEX(Market_Weekly!$M$6:$M$48,MATCH($A187,Market_Weekly!$A$6:$A$48,0)))</f>
        <v/>
      </c>
      <c r="O187" s="15">
        <f>INDEX(Market_Weekly!$P$6:$P$48,MATCH($A187,Market_Weekly!$A$6:$A$48,0))</f>
        <v/>
      </c>
      <c r="P187" s="8">
        <f>INDEX(Market_Weekly!$R$6:$T$48,MATCH($A187,Market_Weekly!$A$6:$A$48,0),MATCH("grade_factor_"&amp;$C187,Market_Weekly!$R$5:$T$5,0))</f>
        <v/>
      </c>
      <c r="Q187" s="8">
        <f>INDEX(Market_Weekly!$U$6:$U$48,MATCH($A187,Market_Weekly!$A$6:$A$48,0))</f>
        <v/>
      </c>
      <c r="R187" s="8">
        <f>IF($D187="JEA_NSA","20ft","40ft")</f>
        <v/>
      </c>
      <c r="S187" s="8">
        <f>IF($D187="JEA_NSA","nsa","mun")</f>
        <v/>
      </c>
      <c r="T187" s="8">
        <f>IF($D187="JEA_NSA","jea_nsa","usec_mun")</f>
        <v/>
      </c>
      <c r="U187" s="16">
        <f>INDEX(param_values,MATCH("container_payload_mt_"&amp;$R187,param_keys,0))</f>
        <v/>
      </c>
      <c r="V187" s="16">
        <f>INDEX(param_values,MATCH("container_payload_mt_"&amp;$R187&amp;"_"&amp;$C187,param_keys,0))</f>
        <v/>
      </c>
      <c r="W187" s="16">
        <f>INDEX(param_values,MATCH("container_payload_mt_20ft_"&amp;$C187,param_keys,0))</f>
        <v/>
      </c>
      <c r="X187" s="18">
        <f>INDEX(param_values,MATCH("port_cf_charges_inr_t_"&amp;$S187,param_keys,0))</f>
        <v/>
      </c>
      <c r="Y187" s="8">
        <f>INDEX(param_values,MATCH(IF($D187="JEA_NSA","psic_required_uae_origin","psic_required_safe_origin_designated_port"),param_keys,0))</f>
        <v/>
      </c>
      <c r="Z187" s="19">
        <f>INDEX(param_values,MATCH("finance_days_"&amp;$T187,param_keys,0))</f>
        <v/>
      </c>
      <c r="AA187" s="15">
        <f>INDEX(param_values,MATCH("moisture_frac_"&amp;$C187,param_keys,0))</f>
        <v/>
      </c>
      <c r="AB187" s="15">
        <f>INDEX(param_values,MATCH("contamination_frac_"&amp;$C187,param_keys,0))</f>
        <v/>
      </c>
      <c r="AC187" s="15">
        <f>INDEX(param_values,MATCH("metal_yield_frac_"&amp;$C187,param_keys,0))</f>
        <v/>
      </c>
      <c r="AD187" s="15">
        <f>INDEX(param_values,MATCH("heavies_frac_"&amp;$C187,param_keys,0))</f>
        <v/>
      </c>
      <c r="AE187" s="8">
        <f>INDEX(param_values,MATCH("grade_factor_diff_"&amp;$C187,param_keys,0))</f>
        <v/>
      </c>
      <c r="AF187" s="16">
        <f>$F187*$P187</f>
        <v/>
      </c>
      <c r="AG187" s="8">
        <f>$U187/$V187</f>
        <v/>
      </c>
      <c r="AH187" s="16">
        <f>$L187*$AG187</f>
        <v/>
      </c>
      <c r="AI187" s="16">
        <f>$AF187-$AH187</f>
        <v/>
      </c>
      <c r="AJ187" s="16">
        <f>insurance_rate*insured_value_uplift*$AF187</f>
        <v/>
      </c>
      <c r="AK187" s="16">
        <f>$AF187+$AJ187</f>
        <v/>
      </c>
      <c r="AL187" s="18">
        <f>$AK187*$J187</f>
        <v/>
      </c>
      <c r="AM187" s="18">
        <f>$AK187*$I187</f>
        <v/>
      </c>
      <c r="AN187" s="18">
        <f>$AL187*bcd_scrap_hs7602</f>
        <v/>
      </c>
      <c r="AO187" s="18">
        <f>$AN187*sws_rate_on_bcd</f>
        <v/>
      </c>
      <c r="AP187" s="18">
        <f>($AL187+$AN187+$AO187)*igst_rate_hs7602</f>
        <v/>
      </c>
      <c r="AQ187" s="18">
        <f>$X187*$AG187+IF($Y187,psic_cost_usd_per_box*$H187/$W187,0)</f>
        <v/>
      </c>
      <c r="AR187" s="18">
        <f>($AM187+$AN187+$AO187)*$Z187/day_count_inr*$O187</f>
        <v/>
      </c>
      <c r="AS187" s="18">
        <f>$AP187*igst_credit_lag_days/day_count_inr*$O187</f>
        <v/>
      </c>
      <c r="AT187" s="18">
        <f>$AM187+$AN187+$AO187+$AQ187+$AR187+$AS187+IF(igst_itc_available,0,$AP187)</f>
        <v/>
      </c>
      <c r="AU187" s="15">
        <f>(1-$AA187)*(1-$AB187)*$AC187</f>
        <v/>
      </c>
      <c r="AV187" s="18">
        <f>$N187*kg_per_mt+domestic_anchor_premium_inr_t</f>
        <v/>
      </c>
      <c r="AW187" s="18">
        <f>(1-$AA187)*$AD187*heavies_net_value_frac_of_lme_al*$F187*$H187</f>
        <v/>
      </c>
      <c r="AX187" s="18">
        <f>conversion_cost_inr_t*$AU187</f>
        <v/>
      </c>
      <c r="AY187" s="18">
        <f>$AV187*$AU187+$AW187-$AT187-$AX187</f>
        <v/>
      </c>
      <c r="AZ187" s="16">
        <f>$AY187/$H187</f>
        <v/>
      </c>
      <c r="BA187" s="8">
        <f>$AY187&gt;margin_threshold_inr_t</f>
        <v/>
      </c>
      <c r="BB187" s="8">
        <f>$Q187+$AE187</f>
        <v/>
      </c>
      <c r="BC187" s="18">
        <f>$AT187-$AQ187</f>
        <v/>
      </c>
      <c r="BD187" s="18">
        <f>$AY187-$BC187*($BB187/$P187-1)</f>
        <v/>
      </c>
      <c r="BE187" s="18">
        <f>$AY187-(conv_step_5a-conversion_cost_inr_t)*$AU187</f>
        <v/>
      </c>
      <c r="BF187" s="8">
        <f>$BA187</f>
        <v/>
      </c>
      <c r="BG187" s="8">
        <f>$BD187&gt;margin_threshold_inr_t</f>
        <v/>
      </c>
      <c r="BH187" s="8">
        <f>$BE187&gt;margin_threshold_inr_t</f>
        <v/>
      </c>
      <c r="BI187" s="8">
        <f>AND($BF187,$BG187,$BH187)</f>
        <v/>
      </c>
      <c r="BJ187" s="8">
        <f>IF($BI187,1,0)</f>
        <v/>
      </c>
    </row>
    <row r="188">
      <c r="A188" s="11" t="n">
        <v>44778</v>
      </c>
      <c r="B188" s="11" t="n">
        <v>44778</v>
      </c>
      <c r="C188" s="7" t="inlineStr">
        <is>
          <t>taint_tabor</t>
        </is>
      </c>
      <c r="D188" s="7" t="inlineStr">
        <is>
          <t>JEA_NSA</t>
        </is>
      </c>
      <c r="E188" s="17" t="b">
        <v>1</v>
      </c>
      <c r="F188" s="16">
        <f>INDEX(Market_Weekly!$E$6:$E$48,MATCH($A188,Market_Weekly!$A$6:$A$48,0))</f>
        <v/>
      </c>
      <c r="G188" s="16">
        <f>INDEX(Market_Weekly!$D$6:$D$48,MATCH($A188,Market_Weekly!$A$6:$A$48,0))</f>
        <v/>
      </c>
      <c r="H188" s="16">
        <f>INDEX(Market_Weekly!$G$6:$G$48,MATCH($A188,Market_Weekly!$A$6:$A$48,0))</f>
        <v/>
      </c>
      <c r="I188" s="8">
        <f>INDEX(Market_Weekly!$H$6:$H$48,MATCH($A188,Market_Weekly!$A$6:$A$48,0))</f>
        <v/>
      </c>
      <c r="J188" s="8">
        <f>INDEX(Market_Weekly!$Q$6:$Q$48,MATCH($A188,Market_Weekly!$A$6:$A$48,0))</f>
        <v/>
      </c>
      <c r="K188" s="8">
        <f>INDEX(Market_Weekly!$V$6:$V$48,MATCH($A188,Market_Weekly!$A$6:$A$48,0))</f>
        <v/>
      </c>
      <c r="L188" s="16">
        <f>IF($D188="JEA_NSA",INDEX(Market_Weekly!$N$6:$N$48,MATCH($A188,Market_Weekly!$A$6:$A$48,0)),INDEX(Market_Weekly!$O$6:$O$48,MATCH($A188,Market_Weekly!$A$6:$A$48,0)))</f>
        <v/>
      </c>
      <c r="M188" s="8">
        <f>IF($D188="JEA_NSA","M1","M2")</f>
        <v/>
      </c>
      <c r="N188" s="16">
        <f>IF($D188="JEA_NSA",INDEX(Market_Weekly!$L$6:$L$48,MATCH($A188,Market_Weekly!$A$6:$A$48,0)),INDEX(Market_Weekly!$M$6:$M$48,MATCH($A188,Market_Weekly!$A$6:$A$48,0)))</f>
        <v/>
      </c>
      <c r="O188" s="15">
        <f>INDEX(Market_Weekly!$P$6:$P$48,MATCH($A188,Market_Weekly!$A$6:$A$48,0))</f>
        <v/>
      </c>
      <c r="P188" s="8">
        <f>INDEX(Market_Weekly!$R$6:$T$48,MATCH($A188,Market_Weekly!$A$6:$A$48,0),MATCH("grade_factor_"&amp;$C188,Market_Weekly!$R$5:$T$5,0))</f>
        <v/>
      </c>
      <c r="Q188" s="8">
        <f>INDEX(Market_Weekly!$U$6:$U$48,MATCH($A188,Market_Weekly!$A$6:$A$48,0))</f>
        <v/>
      </c>
      <c r="R188" s="8">
        <f>IF($D188="JEA_NSA","20ft","40ft")</f>
        <v/>
      </c>
      <c r="S188" s="8">
        <f>IF($D188="JEA_NSA","nsa","mun")</f>
        <v/>
      </c>
      <c r="T188" s="8">
        <f>IF($D188="JEA_NSA","jea_nsa","usec_mun")</f>
        <v/>
      </c>
      <c r="U188" s="16">
        <f>INDEX(param_values,MATCH("container_payload_mt_"&amp;$R188,param_keys,0))</f>
        <v/>
      </c>
      <c r="V188" s="16">
        <f>INDEX(param_values,MATCH("container_payload_mt_"&amp;$R188&amp;"_"&amp;$C188,param_keys,0))</f>
        <v/>
      </c>
      <c r="W188" s="16">
        <f>INDEX(param_values,MATCH("container_payload_mt_20ft_"&amp;$C188,param_keys,0))</f>
        <v/>
      </c>
      <c r="X188" s="18">
        <f>INDEX(param_values,MATCH("port_cf_charges_inr_t_"&amp;$S188,param_keys,0))</f>
        <v/>
      </c>
      <c r="Y188" s="8">
        <f>INDEX(param_values,MATCH(IF($D188="JEA_NSA","psic_required_uae_origin","psic_required_safe_origin_designated_port"),param_keys,0))</f>
        <v/>
      </c>
      <c r="Z188" s="19">
        <f>INDEX(param_values,MATCH("finance_days_"&amp;$T188,param_keys,0))</f>
        <v/>
      </c>
      <c r="AA188" s="15">
        <f>INDEX(param_values,MATCH("moisture_frac_"&amp;$C188,param_keys,0))</f>
        <v/>
      </c>
      <c r="AB188" s="15">
        <f>INDEX(param_values,MATCH("contamination_frac_"&amp;$C188,param_keys,0))</f>
        <v/>
      </c>
      <c r="AC188" s="15">
        <f>INDEX(param_values,MATCH("metal_yield_frac_"&amp;$C188,param_keys,0))</f>
        <v/>
      </c>
      <c r="AD188" s="15">
        <f>INDEX(param_values,MATCH("heavies_frac_"&amp;$C188,param_keys,0))</f>
        <v/>
      </c>
      <c r="AE188" s="8">
        <f>INDEX(param_values,MATCH("grade_factor_diff_"&amp;$C188,param_keys,0))</f>
        <v/>
      </c>
      <c r="AF188" s="16">
        <f>$F188*$P188</f>
        <v/>
      </c>
      <c r="AG188" s="8">
        <f>$U188/$V188</f>
        <v/>
      </c>
      <c r="AH188" s="16">
        <f>$L188*$AG188</f>
        <v/>
      </c>
      <c r="AI188" s="16">
        <f>$AF188-$AH188</f>
        <v/>
      </c>
      <c r="AJ188" s="16">
        <f>insurance_rate*insured_value_uplift*$AF188</f>
        <v/>
      </c>
      <c r="AK188" s="16">
        <f>$AF188+$AJ188</f>
        <v/>
      </c>
      <c r="AL188" s="18">
        <f>$AK188*$J188</f>
        <v/>
      </c>
      <c r="AM188" s="18">
        <f>$AK188*$I188</f>
        <v/>
      </c>
      <c r="AN188" s="18">
        <f>$AL188*bcd_scrap_hs7602</f>
        <v/>
      </c>
      <c r="AO188" s="18">
        <f>$AN188*sws_rate_on_bcd</f>
        <v/>
      </c>
      <c r="AP188" s="18">
        <f>($AL188+$AN188+$AO188)*igst_rate_hs7602</f>
        <v/>
      </c>
      <c r="AQ188" s="18">
        <f>$X188*$AG188+IF($Y188,psic_cost_usd_per_box*$H188/$W188,0)</f>
        <v/>
      </c>
      <c r="AR188" s="18">
        <f>($AM188+$AN188+$AO188)*$Z188/day_count_inr*$O188</f>
        <v/>
      </c>
      <c r="AS188" s="18">
        <f>$AP188*igst_credit_lag_days/day_count_inr*$O188</f>
        <v/>
      </c>
      <c r="AT188" s="18">
        <f>$AM188+$AN188+$AO188+$AQ188+$AR188+$AS188+IF(igst_itc_available,0,$AP188)</f>
        <v/>
      </c>
      <c r="AU188" s="15">
        <f>(1-$AA188)*(1-$AB188)*$AC188</f>
        <v/>
      </c>
      <c r="AV188" s="18">
        <f>$N188*kg_per_mt+domestic_anchor_premium_inr_t</f>
        <v/>
      </c>
      <c r="AW188" s="18">
        <f>(1-$AA188)*$AD188*heavies_net_value_frac_of_lme_al*$F188*$H188</f>
        <v/>
      </c>
      <c r="AX188" s="18">
        <f>conversion_cost_inr_t*$AU188</f>
        <v/>
      </c>
      <c r="AY188" s="18">
        <f>$AV188*$AU188+$AW188-$AT188-$AX188</f>
        <v/>
      </c>
      <c r="AZ188" s="16">
        <f>$AY188/$H188</f>
        <v/>
      </c>
      <c r="BA188" s="8">
        <f>$AY188&gt;margin_threshold_inr_t</f>
        <v/>
      </c>
      <c r="BB188" s="8">
        <f>$Q188+$AE188</f>
        <v/>
      </c>
      <c r="BC188" s="18">
        <f>$AT188-$AQ188</f>
        <v/>
      </c>
      <c r="BD188" s="18">
        <f>$AY188-$BC188*($BB188/$P188-1)</f>
        <v/>
      </c>
      <c r="BE188" s="18">
        <f>$AY188-(conv_step_5a-conversion_cost_inr_t)*$AU188</f>
        <v/>
      </c>
      <c r="BF188" s="8">
        <f>$BA188</f>
        <v/>
      </c>
      <c r="BG188" s="8">
        <f>$BD188&gt;margin_threshold_inr_t</f>
        <v/>
      </c>
      <c r="BH188" s="8">
        <f>$BE188&gt;margin_threshold_inr_t</f>
        <v/>
      </c>
      <c r="BI188" s="8">
        <f>AND($BF188,$BG188,$BH188)</f>
        <v/>
      </c>
      <c r="BJ188" s="8">
        <f>IF($BI188,1,0)</f>
        <v/>
      </c>
    </row>
    <row r="189">
      <c r="A189" s="11" t="n">
        <v>44778</v>
      </c>
      <c r="B189" s="11" t="n">
        <v>44778</v>
      </c>
      <c r="C189" s="7" t="inlineStr">
        <is>
          <t>taint_tabor</t>
        </is>
      </c>
      <c r="D189" s="7" t="inlineStr">
        <is>
          <t>USEC_MUN</t>
        </is>
      </c>
      <c r="E189" s="17" t="b">
        <v>1</v>
      </c>
      <c r="F189" s="16">
        <f>INDEX(Market_Weekly!$E$6:$E$48,MATCH($A189,Market_Weekly!$A$6:$A$48,0))</f>
        <v/>
      </c>
      <c r="G189" s="16">
        <f>INDEX(Market_Weekly!$D$6:$D$48,MATCH($A189,Market_Weekly!$A$6:$A$48,0))</f>
        <v/>
      </c>
      <c r="H189" s="16">
        <f>INDEX(Market_Weekly!$G$6:$G$48,MATCH($A189,Market_Weekly!$A$6:$A$48,0))</f>
        <v/>
      </c>
      <c r="I189" s="8">
        <f>INDEX(Market_Weekly!$H$6:$H$48,MATCH($A189,Market_Weekly!$A$6:$A$48,0))</f>
        <v/>
      </c>
      <c r="J189" s="8">
        <f>INDEX(Market_Weekly!$Q$6:$Q$48,MATCH($A189,Market_Weekly!$A$6:$A$48,0))</f>
        <v/>
      </c>
      <c r="K189" s="8">
        <f>INDEX(Market_Weekly!$V$6:$V$48,MATCH($A189,Market_Weekly!$A$6:$A$48,0))</f>
        <v/>
      </c>
      <c r="L189" s="16">
        <f>IF($D189="JEA_NSA",INDEX(Market_Weekly!$N$6:$N$48,MATCH($A189,Market_Weekly!$A$6:$A$48,0)),INDEX(Market_Weekly!$O$6:$O$48,MATCH($A189,Market_Weekly!$A$6:$A$48,0)))</f>
        <v/>
      </c>
      <c r="M189" s="8">
        <f>IF($D189="JEA_NSA","M1","M2")</f>
        <v/>
      </c>
      <c r="N189" s="16">
        <f>IF($D189="JEA_NSA",INDEX(Market_Weekly!$L$6:$L$48,MATCH($A189,Market_Weekly!$A$6:$A$48,0)),INDEX(Market_Weekly!$M$6:$M$48,MATCH($A189,Market_Weekly!$A$6:$A$48,0)))</f>
        <v/>
      </c>
      <c r="O189" s="15">
        <f>INDEX(Market_Weekly!$P$6:$P$48,MATCH($A189,Market_Weekly!$A$6:$A$48,0))</f>
        <v/>
      </c>
      <c r="P189" s="8">
        <f>INDEX(Market_Weekly!$R$6:$T$48,MATCH($A189,Market_Weekly!$A$6:$A$48,0),MATCH("grade_factor_"&amp;$C189,Market_Weekly!$R$5:$T$5,0))</f>
        <v/>
      </c>
      <c r="Q189" s="8">
        <f>INDEX(Market_Weekly!$U$6:$U$48,MATCH($A189,Market_Weekly!$A$6:$A$48,0))</f>
        <v/>
      </c>
      <c r="R189" s="8">
        <f>IF($D189="JEA_NSA","20ft","40ft")</f>
        <v/>
      </c>
      <c r="S189" s="8">
        <f>IF($D189="JEA_NSA","nsa","mun")</f>
        <v/>
      </c>
      <c r="T189" s="8">
        <f>IF($D189="JEA_NSA","jea_nsa","usec_mun")</f>
        <v/>
      </c>
      <c r="U189" s="16">
        <f>INDEX(param_values,MATCH("container_payload_mt_"&amp;$R189,param_keys,0))</f>
        <v/>
      </c>
      <c r="V189" s="16">
        <f>INDEX(param_values,MATCH("container_payload_mt_"&amp;$R189&amp;"_"&amp;$C189,param_keys,0))</f>
        <v/>
      </c>
      <c r="W189" s="16">
        <f>INDEX(param_values,MATCH("container_payload_mt_20ft_"&amp;$C189,param_keys,0))</f>
        <v/>
      </c>
      <c r="X189" s="18">
        <f>INDEX(param_values,MATCH("port_cf_charges_inr_t_"&amp;$S189,param_keys,0))</f>
        <v/>
      </c>
      <c r="Y189" s="8">
        <f>INDEX(param_values,MATCH(IF($D189="JEA_NSA","psic_required_uae_origin","psic_required_safe_origin_designated_port"),param_keys,0))</f>
        <v/>
      </c>
      <c r="Z189" s="19">
        <f>INDEX(param_values,MATCH("finance_days_"&amp;$T189,param_keys,0))</f>
        <v/>
      </c>
      <c r="AA189" s="15">
        <f>INDEX(param_values,MATCH("moisture_frac_"&amp;$C189,param_keys,0))</f>
        <v/>
      </c>
      <c r="AB189" s="15">
        <f>INDEX(param_values,MATCH("contamination_frac_"&amp;$C189,param_keys,0))</f>
        <v/>
      </c>
      <c r="AC189" s="15">
        <f>INDEX(param_values,MATCH("metal_yield_frac_"&amp;$C189,param_keys,0))</f>
        <v/>
      </c>
      <c r="AD189" s="15">
        <f>INDEX(param_values,MATCH("heavies_frac_"&amp;$C189,param_keys,0))</f>
        <v/>
      </c>
      <c r="AE189" s="8">
        <f>INDEX(param_values,MATCH("grade_factor_diff_"&amp;$C189,param_keys,0))</f>
        <v/>
      </c>
      <c r="AF189" s="16">
        <f>$F189*$P189</f>
        <v/>
      </c>
      <c r="AG189" s="8">
        <f>$U189/$V189</f>
        <v/>
      </c>
      <c r="AH189" s="16">
        <f>$L189*$AG189</f>
        <v/>
      </c>
      <c r="AI189" s="16">
        <f>$AF189-$AH189</f>
        <v/>
      </c>
      <c r="AJ189" s="16">
        <f>insurance_rate*insured_value_uplift*$AF189</f>
        <v/>
      </c>
      <c r="AK189" s="16">
        <f>$AF189+$AJ189</f>
        <v/>
      </c>
      <c r="AL189" s="18">
        <f>$AK189*$J189</f>
        <v/>
      </c>
      <c r="AM189" s="18">
        <f>$AK189*$I189</f>
        <v/>
      </c>
      <c r="AN189" s="18">
        <f>$AL189*bcd_scrap_hs7602</f>
        <v/>
      </c>
      <c r="AO189" s="18">
        <f>$AN189*sws_rate_on_bcd</f>
        <v/>
      </c>
      <c r="AP189" s="18">
        <f>($AL189+$AN189+$AO189)*igst_rate_hs7602</f>
        <v/>
      </c>
      <c r="AQ189" s="18">
        <f>$X189*$AG189+IF($Y189,psic_cost_usd_per_box*$H189/$W189,0)</f>
        <v/>
      </c>
      <c r="AR189" s="18">
        <f>($AM189+$AN189+$AO189)*$Z189/day_count_inr*$O189</f>
        <v/>
      </c>
      <c r="AS189" s="18">
        <f>$AP189*igst_credit_lag_days/day_count_inr*$O189</f>
        <v/>
      </c>
      <c r="AT189" s="18">
        <f>$AM189+$AN189+$AO189+$AQ189+$AR189+$AS189+IF(igst_itc_available,0,$AP189)</f>
        <v/>
      </c>
      <c r="AU189" s="15">
        <f>(1-$AA189)*(1-$AB189)*$AC189</f>
        <v/>
      </c>
      <c r="AV189" s="18">
        <f>$N189*kg_per_mt+domestic_anchor_premium_inr_t</f>
        <v/>
      </c>
      <c r="AW189" s="18">
        <f>(1-$AA189)*$AD189*heavies_net_value_frac_of_lme_al*$F189*$H189</f>
        <v/>
      </c>
      <c r="AX189" s="18">
        <f>conversion_cost_inr_t*$AU189</f>
        <v/>
      </c>
      <c r="AY189" s="18">
        <f>$AV189*$AU189+$AW189-$AT189-$AX189</f>
        <v/>
      </c>
      <c r="AZ189" s="16">
        <f>$AY189/$H189</f>
        <v/>
      </c>
      <c r="BA189" s="8">
        <f>$AY189&gt;margin_threshold_inr_t</f>
        <v/>
      </c>
      <c r="BB189" s="8">
        <f>$Q189+$AE189</f>
        <v/>
      </c>
      <c r="BC189" s="18">
        <f>$AT189-$AQ189</f>
        <v/>
      </c>
      <c r="BD189" s="18">
        <f>$AY189-$BC189*($BB189/$P189-1)</f>
        <v/>
      </c>
      <c r="BE189" s="18">
        <f>$AY189-(conv_step_5a-conversion_cost_inr_t)*$AU189</f>
        <v/>
      </c>
      <c r="BF189" s="8">
        <f>$BA189</f>
        <v/>
      </c>
      <c r="BG189" s="8">
        <f>$BD189&gt;margin_threshold_inr_t</f>
        <v/>
      </c>
      <c r="BH189" s="8">
        <f>$BE189&gt;margin_threshold_inr_t</f>
        <v/>
      </c>
      <c r="BI189" s="8">
        <f>AND($BF189,$BG189,$BH189)</f>
        <v/>
      </c>
      <c r="BJ189" s="8">
        <f>IF($BI189,1,0)</f>
        <v/>
      </c>
    </row>
    <row r="190">
      <c r="A190" s="11" t="n">
        <v>44778</v>
      </c>
      <c r="B190" s="11" t="n">
        <v>44778</v>
      </c>
      <c r="C190" s="7" t="inlineStr">
        <is>
          <t>tense</t>
        </is>
      </c>
      <c r="D190" s="7" t="inlineStr">
        <is>
          <t>JEA_NSA</t>
        </is>
      </c>
      <c r="E190" s="17" t="b">
        <v>1</v>
      </c>
      <c r="F190" s="16">
        <f>INDEX(Market_Weekly!$E$6:$E$48,MATCH($A190,Market_Weekly!$A$6:$A$48,0))</f>
        <v/>
      </c>
      <c r="G190" s="16">
        <f>INDEX(Market_Weekly!$D$6:$D$48,MATCH($A190,Market_Weekly!$A$6:$A$48,0))</f>
        <v/>
      </c>
      <c r="H190" s="16">
        <f>INDEX(Market_Weekly!$G$6:$G$48,MATCH($A190,Market_Weekly!$A$6:$A$48,0))</f>
        <v/>
      </c>
      <c r="I190" s="8">
        <f>INDEX(Market_Weekly!$H$6:$H$48,MATCH($A190,Market_Weekly!$A$6:$A$48,0))</f>
        <v/>
      </c>
      <c r="J190" s="8">
        <f>INDEX(Market_Weekly!$Q$6:$Q$48,MATCH($A190,Market_Weekly!$A$6:$A$48,0))</f>
        <v/>
      </c>
      <c r="K190" s="8">
        <f>INDEX(Market_Weekly!$V$6:$V$48,MATCH($A190,Market_Weekly!$A$6:$A$48,0))</f>
        <v/>
      </c>
      <c r="L190" s="16">
        <f>IF($D190="JEA_NSA",INDEX(Market_Weekly!$N$6:$N$48,MATCH($A190,Market_Weekly!$A$6:$A$48,0)),INDEX(Market_Weekly!$O$6:$O$48,MATCH($A190,Market_Weekly!$A$6:$A$48,0)))</f>
        <v/>
      </c>
      <c r="M190" s="8">
        <f>IF($D190="JEA_NSA","M1","M2")</f>
        <v/>
      </c>
      <c r="N190" s="16">
        <f>IF($D190="JEA_NSA",INDEX(Market_Weekly!$L$6:$L$48,MATCH($A190,Market_Weekly!$A$6:$A$48,0)),INDEX(Market_Weekly!$M$6:$M$48,MATCH($A190,Market_Weekly!$A$6:$A$48,0)))</f>
        <v/>
      </c>
      <c r="O190" s="15">
        <f>INDEX(Market_Weekly!$P$6:$P$48,MATCH($A190,Market_Weekly!$A$6:$A$48,0))</f>
        <v/>
      </c>
      <c r="P190" s="8">
        <f>INDEX(Market_Weekly!$R$6:$T$48,MATCH($A190,Market_Weekly!$A$6:$A$48,0),MATCH("grade_factor_"&amp;$C190,Market_Weekly!$R$5:$T$5,0))</f>
        <v/>
      </c>
      <c r="Q190" s="8">
        <f>INDEX(Market_Weekly!$U$6:$U$48,MATCH($A190,Market_Weekly!$A$6:$A$48,0))</f>
        <v/>
      </c>
      <c r="R190" s="8">
        <f>IF($D190="JEA_NSA","20ft","40ft")</f>
        <v/>
      </c>
      <c r="S190" s="8">
        <f>IF($D190="JEA_NSA","nsa","mun")</f>
        <v/>
      </c>
      <c r="T190" s="8">
        <f>IF($D190="JEA_NSA","jea_nsa","usec_mun")</f>
        <v/>
      </c>
      <c r="U190" s="16">
        <f>INDEX(param_values,MATCH("container_payload_mt_"&amp;$R190,param_keys,0))</f>
        <v/>
      </c>
      <c r="V190" s="16">
        <f>INDEX(param_values,MATCH("container_payload_mt_"&amp;$R190&amp;"_"&amp;$C190,param_keys,0))</f>
        <v/>
      </c>
      <c r="W190" s="16">
        <f>INDEX(param_values,MATCH("container_payload_mt_20ft_"&amp;$C190,param_keys,0))</f>
        <v/>
      </c>
      <c r="X190" s="18">
        <f>INDEX(param_values,MATCH("port_cf_charges_inr_t_"&amp;$S190,param_keys,0))</f>
        <v/>
      </c>
      <c r="Y190" s="8">
        <f>INDEX(param_values,MATCH(IF($D190="JEA_NSA","psic_required_uae_origin","psic_required_safe_origin_designated_port"),param_keys,0))</f>
        <v/>
      </c>
      <c r="Z190" s="19">
        <f>INDEX(param_values,MATCH("finance_days_"&amp;$T190,param_keys,0))</f>
        <v/>
      </c>
      <c r="AA190" s="15">
        <f>INDEX(param_values,MATCH("moisture_frac_"&amp;$C190,param_keys,0))</f>
        <v/>
      </c>
      <c r="AB190" s="15">
        <f>INDEX(param_values,MATCH("contamination_frac_"&amp;$C190,param_keys,0))</f>
        <v/>
      </c>
      <c r="AC190" s="15">
        <f>INDEX(param_values,MATCH("metal_yield_frac_"&amp;$C190,param_keys,0))</f>
        <v/>
      </c>
      <c r="AD190" s="15">
        <f>INDEX(param_values,MATCH("heavies_frac_"&amp;$C190,param_keys,0))</f>
        <v/>
      </c>
      <c r="AE190" s="8">
        <f>INDEX(param_values,MATCH("grade_factor_diff_"&amp;$C190,param_keys,0))</f>
        <v/>
      </c>
      <c r="AF190" s="16">
        <f>$F190*$P190</f>
        <v/>
      </c>
      <c r="AG190" s="8">
        <f>$U190/$V190</f>
        <v/>
      </c>
      <c r="AH190" s="16">
        <f>$L190*$AG190</f>
        <v/>
      </c>
      <c r="AI190" s="16">
        <f>$AF190-$AH190</f>
        <v/>
      </c>
      <c r="AJ190" s="16">
        <f>insurance_rate*insured_value_uplift*$AF190</f>
        <v/>
      </c>
      <c r="AK190" s="16">
        <f>$AF190+$AJ190</f>
        <v/>
      </c>
      <c r="AL190" s="18">
        <f>$AK190*$J190</f>
        <v/>
      </c>
      <c r="AM190" s="18">
        <f>$AK190*$I190</f>
        <v/>
      </c>
      <c r="AN190" s="18">
        <f>$AL190*bcd_scrap_hs7602</f>
        <v/>
      </c>
      <c r="AO190" s="18">
        <f>$AN190*sws_rate_on_bcd</f>
        <v/>
      </c>
      <c r="AP190" s="18">
        <f>($AL190+$AN190+$AO190)*igst_rate_hs7602</f>
        <v/>
      </c>
      <c r="AQ190" s="18">
        <f>$X190*$AG190+IF($Y190,psic_cost_usd_per_box*$H190/$W190,0)</f>
        <v/>
      </c>
      <c r="AR190" s="18">
        <f>($AM190+$AN190+$AO190)*$Z190/day_count_inr*$O190</f>
        <v/>
      </c>
      <c r="AS190" s="18">
        <f>$AP190*igst_credit_lag_days/day_count_inr*$O190</f>
        <v/>
      </c>
      <c r="AT190" s="18">
        <f>$AM190+$AN190+$AO190+$AQ190+$AR190+$AS190+IF(igst_itc_available,0,$AP190)</f>
        <v/>
      </c>
      <c r="AU190" s="15">
        <f>(1-$AA190)*(1-$AB190)*$AC190</f>
        <v/>
      </c>
      <c r="AV190" s="18">
        <f>$N190*kg_per_mt+domestic_anchor_premium_inr_t</f>
        <v/>
      </c>
      <c r="AW190" s="18">
        <f>(1-$AA190)*$AD190*heavies_net_value_frac_of_lme_al*$F190*$H190</f>
        <v/>
      </c>
      <c r="AX190" s="18">
        <f>conversion_cost_inr_t*$AU190</f>
        <v/>
      </c>
      <c r="AY190" s="18">
        <f>$AV190*$AU190+$AW190-$AT190-$AX190</f>
        <v/>
      </c>
      <c r="AZ190" s="16">
        <f>$AY190/$H190</f>
        <v/>
      </c>
      <c r="BA190" s="8">
        <f>$AY190&gt;margin_threshold_inr_t</f>
        <v/>
      </c>
      <c r="BB190" s="8">
        <f>$Q190+$AE190</f>
        <v/>
      </c>
      <c r="BC190" s="18">
        <f>$AT190-$AQ190</f>
        <v/>
      </c>
      <c r="BD190" s="18">
        <f>$AY190-$BC190*($BB190/$P190-1)</f>
        <v/>
      </c>
      <c r="BE190" s="18">
        <f>$AY190-(conv_step_5a-conversion_cost_inr_t)*$AU190</f>
        <v/>
      </c>
      <c r="BF190" s="8">
        <f>$BA190</f>
        <v/>
      </c>
      <c r="BG190" s="8">
        <f>$BD190&gt;margin_threshold_inr_t</f>
        <v/>
      </c>
      <c r="BH190" s="8">
        <f>$BE190&gt;margin_threshold_inr_t</f>
        <v/>
      </c>
      <c r="BI190" s="8">
        <f>AND($BF190,$BG190,$BH190)</f>
        <v/>
      </c>
      <c r="BJ190" s="8">
        <f>IF($BI190,1,0)</f>
        <v/>
      </c>
    </row>
    <row r="191">
      <c r="A191" s="11" t="n">
        <v>44778</v>
      </c>
      <c r="B191" s="11" t="n">
        <v>44778</v>
      </c>
      <c r="C191" s="7" t="inlineStr">
        <is>
          <t>tense</t>
        </is>
      </c>
      <c r="D191" s="7" t="inlineStr">
        <is>
          <t>USEC_MUN</t>
        </is>
      </c>
      <c r="E191" s="17" t="b">
        <v>1</v>
      </c>
      <c r="F191" s="16">
        <f>INDEX(Market_Weekly!$E$6:$E$48,MATCH($A191,Market_Weekly!$A$6:$A$48,0))</f>
        <v/>
      </c>
      <c r="G191" s="16">
        <f>INDEX(Market_Weekly!$D$6:$D$48,MATCH($A191,Market_Weekly!$A$6:$A$48,0))</f>
        <v/>
      </c>
      <c r="H191" s="16">
        <f>INDEX(Market_Weekly!$G$6:$G$48,MATCH($A191,Market_Weekly!$A$6:$A$48,0))</f>
        <v/>
      </c>
      <c r="I191" s="8">
        <f>INDEX(Market_Weekly!$H$6:$H$48,MATCH($A191,Market_Weekly!$A$6:$A$48,0))</f>
        <v/>
      </c>
      <c r="J191" s="8">
        <f>INDEX(Market_Weekly!$Q$6:$Q$48,MATCH($A191,Market_Weekly!$A$6:$A$48,0))</f>
        <v/>
      </c>
      <c r="K191" s="8">
        <f>INDEX(Market_Weekly!$V$6:$V$48,MATCH($A191,Market_Weekly!$A$6:$A$48,0))</f>
        <v/>
      </c>
      <c r="L191" s="16">
        <f>IF($D191="JEA_NSA",INDEX(Market_Weekly!$N$6:$N$48,MATCH($A191,Market_Weekly!$A$6:$A$48,0)),INDEX(Market_Weekly!$O$6:$O$48,MATCH($A191,Market_Weekly!$A$6:$A$48,0)))</f>
        <v/>
      </c>
      <c r="M191" s="8">
        <f>IF($D191="JEA_NSA","M1","M2")</f>
        <v/>
      </c>
      <c r="N191" s="16">
        <f>IF($D191="JEA_NSA",INDEX(Market_Weekly!$L$6:$L$48,MATCH($A191,Market_Weekly!$A$6:$A$48,0)),INDEX(Market_Weekly!$M$6:$M$48,MATCH($A191,Market_Weekly!$A$6:$A$48,0)))</f>
        <v/>
      </c>
      <c r="O191" s="15">
        <f>INDEX(Market_Weekly!$P$6:$P$48,MATCH($A191,Market_Weekly!$A$6:$A$48,0))</f>
        <v/>
      </c>
      <c r="P191" s="8">
        <f>INDEX(Market_Weekly!$R$6:$T$48,MATCH($A191,Market_Weekly!$A$6:$A$48,0),MATCH("grade_factor_"&amp;$C191,Market_Weekly!$R$5:$T$5,0))</f>
        <v/>
      </c>
      <c r="Q191" s="8">
        <f>INDEX(Market_Weekly!$U$6:$U$48,MATCH($A191,Market_Weekly!$A$6:$A$48,0))</f>
        <v/>
      </c>
      <c r="R191" s="8">
        <f>IF($D191="JEA_NSA","20ft","40ft")</f>
        <v/>
      </c>
      <c r="S191" s="8">
        <f>IF($D191="JEA_NSA","nsa","mun")</f>
        <v/>
      </c>
      <c r="T191" s="8">
        <f>IF($D191="JEA_NSA","jea_nsa","usec_mun")</f>
        <v/>
      </c>
      <c r="U191" s="16">
        <f>INDEX(param_values,MATCH("container_payload_mt_"&amp;$R191,param_keys,0))</f>
        <v/>
      </c>
      <c r="V191" s="16">
        <f>INDEX(param_values,MATCH("container_payload_mt_"&amp;$R191&amp;"_"&amp;$C191,param_keys,0))</f>
        <v/>
      </c>
      <c r="W191" s="16">
        <f>INDEX(param_values,MATCH("container_payload_mt_20ft_"&amp;$C191,param_keys,0))</f>
        <v/>
      </c>
      <c r="X191" s="18">
        <f>INDEX(param_values,MATCH("port_cf_charges_inr_t_"&amp;$S191,param_keys,0))</f>
        <v/>
      </c>
      <c r="Y191" s="8">
        <f>INDEX(param_values,MATCH(IF($D191="JEA_NSA","psic_required_uae_origin","psic_required_safe_origin_designated_port"),param_keys,0))</f>
        <v/>
      </c>
      <c r="Z191" s="19">
        <f>INDEX(param_values,MATCH("finance_days_"&amp;$T191,param_keys,0))</f>
        <v/>
      </c>
      <c r="AA191" s="15">
        <f>INDEX(param_values,MATCH("moisture_frac_"&amp;$C191,param_keys,0))</f>
        <v/>
      </c>
      <c r="AB191" s="15">
        <f>INDEX(param_values,MATCH("contamination_frac_"&amp;$C191,param_keys,0))</f>
        <v/>
      </c>
      <c r="AC191" s="15">
        <f>INDEX(param_values,MATCH("metal_yield_frac_"&amp;$C191,param_keys,0))</f>
        <v/>
      </c>
      <c r="AD191" s="15">
        <f>INDEX(param_values,MATCH("heavies_frac_"&amp;$C191,param_keys,0))</f>
        <v/>
      </c>
      <c r="AE191" s="8">
        <f>INDEX(param_values,MATCH("grade_factor_diff_"&amp;$C191,param_keys,0))</f>
        <v/>
      </c>
      <c r="AF191" s="16">
        <f>$F191*$P191</f>
        <v/>
      </c>
      <c r="AG191" s="8">
        <f>$U191/$V191</f>
        <v/>
      </c>
      <c r="AH191" s="16">
        <f>$L191*$AG191</f>
        <v/>
      </c>
      <c r="AI191" s="16">
        <f>$AF191-$AH191</f>
        <v/>
      </c>
      <c r="AJ191" s="16">
        <f>insurance_rate*insured_value_uplift*$AF191</f>
        <v/>
      </c>
      <c r="AK191" s="16">
        <f>$AF191+$AJ191</f>
        <v/>
      </c>
      <c r="AL191" s="18">
        <f>$AK191*$J191</f>
        <v/>
      </c>
      <c r="AM191" s="18">
        <f>$AK191*$I191</f>
        <v/>
      </c>
      <c r="AN191" s="18">
        <f>$AL191*bcd_scrap_hs7602</f>
        <v/>
      </c>
      <c r="AO191" s="18">
        <f>$AN191*sws_rate_on_bcd</f>
        <v/>
      </c>
      <c r="AP191" s="18">
        <f>($AL191+$AN191+$AO191)*igst_rate_hs7602</f>
        <v/>
      </c>
      <c r="AQ191" s="18">
        <f>$X191*$AG191+IF($Y191,psic_cost_usd_per_box*$H191/$W191,0)</f>
        <v/>
      </c>
      <c r="AR191" s="18">
        <f>($AM191+$AN191+$AO191)*$Z191/day_count_inr*$O191</f>
        <v/>
      </c>
      <c r="AS191" s="18">
        <f>$AP191*igst_credit_lag_days/day_count_inr*$O191</f>
        <v/>
      </c>
      <c r="AT191" s="18">
        <f>$AM191+$AN191+$AO191+$AQ191+$AR191+$AS191+IF(igst_itc_available,0,$AP191)</f>
        <v/>
      </c>
      <c r="AU191" s="15">
        <f>(1-$AA191)*(1-$AB191)*$AC191</f>
        <v/>
      </c>
      <c r="AV191" s="18">
        <f>$N191*kg_per_mt+domestic_anchor_premium_inr_t</f>
        <v/>
      </c>
      <c r="AW191" s="18">
        <f>(1-$AA191)*$AD191*heavies_net_value_frac_of_lme_al*$F191*$H191</f>
        <v/>
      </c>
      <c r="AX191" s="18">
        <f>conversion_cost_inr_t*$AU191</f>
        <v/>
      </c>
      <c r="AY191" s="18">
        <f>$AV191*$AU191+$AW191-$AT191-$AX191</f>
        <v/>
      </c>
      <c r="AZ191" s="16">
        <f>$AY191/$H191</f>
        <v/>
      </c>
      <c r="BA191" s="8">
        <f>$AY191&gt;margin_threshold_inr_t</f>
        <v/>
      </c>
      <c r="BB191" s="8">
        <f>$Q191+$AE191</f>
        <v/>
      </c>
      <c r="BC191" s="18">
        <f>$AT191-$AQ191</f>
        <v/>
      </c>
      <c r="BD191" s="18">
        <f>$AY191-$BC191*($BB191/$P191-1)</f>
        <v/>
      </c>
      <c r="BE191" s="18">
        <f>$AY191-(conv_step_5a-conversion_cost_inr_t)*$AU191</f>
        <v/>
      </c>
      <c r="BF191" s="8">
        <f>$BA191</f>
        <v/>
      </c>
      <c r="BG191" s="8">
        <f>$BD191&gt;margin_threshold_inr_t</f>
        <v/>
      </c>
      <c r="BH191" s="8">
        <f>$BE191&gt;margin_threshold_inr_t</f>
        <v/>
      </c>
      <c r="BI191" s="8">
        <f>AND($BF191,$BG191,$BH191)</f>
        <v/>
      </c>
      <c r="BJ191" s="8">
        <f>IF($BI191,1,0)</f>
        <v/>
      </c>
    </row>
    <row r="192">
      <c r="A192" s="11" t="n">
        <v>44785</v>
      </c>
      <c r="B192" s="11" t="n">
        <v>44785</v>
      </c>
      <c r="C192" s="7" t="inlineStr">
        <is>
          <t>zorba</t>
        </is>
      </c>
      <c r="D192" s="7" t="inlineStr">
        <is>
          <t>JEA_NSA</t>
        </is>
      </c>
      <c r="E192" s="17" t="b">
        <v>1</v>
      </c>
      <c r="F192" s="16">
        <f>INDEX(Market_Weekly!$E$6:$E$48,MATCH($A192,Market_Weekly!$A$6:$A$48,0))</f>
        <v/>
      </c>
      <c r="G192" s="16">
        <f>INDEX(Market_Weekly!$D$6:$D$48,MATCH($A192,Market_Weekly!$A$6:$A$48,0))</f>
        <v/>
      </c>
      <c r="H192" s="16">
        <f>INDEX(Market_Weekly!$G$6:$G$48,MATCH($A192,Market_Weekly!$A$6:$A$48,0))</f>
        <v/>
      </c>
      <c r="I192" s="8">
        <f>INDEX(Market_Weekly!$H$6:$H$48,MATCH($A192,Market_Weekly!$A$6:$A$48,0))</f>
        <v/>
      </c>
      <c r="J192" s="8">
        <f>INDEX(Market_Weekly!$Q$6:$Q$48,MATCH($A192,Market_Weekly!$A$6:$A$48,0))</f>
        <v/>
      </c>
      <c r="K192" s="8">
        <f>INDEX(Market_Weekly!$V$6:$V$48,MATCH($A192,Market_Weekly!$A$6:$A$48,0))</f>
        <v/>
      </c>
      <c r="L192" s="16">
        <f>IF($D192="JEA_NSA",INDEX(Market_Weekly!$N$6:$N$48,MATCH($A192,Market_Weekly!$A$6:$A$48,0)),INDEX(Market_Weekly!$O$6:$O$48,MATCH($A192,Market_Weekly!$A$6:$A$48,0)))</f>
        <v/>
      </c>
      <c r="M192" s="8">
        <f>IF($D192="JEA_NSA","M1","M2")</f>
        <v/>
      </c>
      <c r="N192" s="16">
        <f>IF($D192="JEA_NSA",INDEX(Market_Weekly!$L$6:$L$48,MATCH($A192,Market_Weekly!$A$6:$A$48,0)),INDEX(Market_Weekly!$M$6:$M$48,MATCH($A192,Market_Weekly!$A$6:$A$48,0)))</f>
        <v/>
      </c>
      <c r="O192" s="15">
        <f>INDEX(Market_Weekly!$P$6:$P$48,MATCH($A192,Market_Weekly!$A$6:$A$48,0))</f>
        <v/>
      </c>
      <c r="P192" s="8">
        <f>INDEX(Market_Weekly!$R$6:$T$48,MATCH($A192,Market_Weekly!$A$6:$A$48,0),MATCH("grade_factor_"&amp;$C192,Market_Weekly!$R$5:$T$5,0))</f>
        <v/>
      </c>
      <c r="Q192" s="8">
        <f>INDEX(Market_Weekly!$U$6:$U$48,MATCH($A192,Market_Weekly!$A$6:$A$48,0))</f>
        <v/>
      </c>
      <c r="R192" s="8">
        <f>IF($D192="JEA_NSA","20ft","40ft")</f>
        <v/>
      </c>
      <c r="S192" s="8">
        <f>IF($D192="JEA_NSA","nsa","mun")</f>
        <v/>
      </c>
      <c r="T192" s="8">
        <f>IF($D192="JEA_NSA","jea_nsa","usec_mun")</f>
        <v/>
      </c>
      <c r="U192" s="16">
        <f>INDEX(param_values,MATCH("container_payload_mt_"&amp;$R192,param_keys,0))</f>
        <v/>
      </c>
      <c r="V192" s="16">
        <f>INDEX(param_values,MATCH("container_payload_mt_"&amp;$R192&amp;"_"&amp;$C192,param_keys,0))</f>
        <v/>
      </c>
      <c r="W192" s="16">
        <f>INDEX(param_values,MATCH("container_payload_mt_20ft_"&amp;$C192,param_keys,0))</f>
        <v/>
      </c>
      <c r="X192" s="18">
        <f>INDEX(param_values,MATCH("port_cf_charges_inr_t_"&amp;$S192,param_keys,0))</f>
        <v/>
      </c>
      <c r="Y192" s="8">
        <f>INDEX(param_values,MATCH(IF($D192="JEA_NSA","psic_required_uae_origin","psic_required_safe_origin_designated_port"),param_keys,0))</f>
        <v/>
      </c>
      <c r="Z192" s="19">
        <f>INDEX(param_values,MATCH("finance_days_"&amp;$T192,param_keys,0))</f>
        <v/>
      </c>
      <c r="AA192" s="15">
        <f>INDEX(param_values,MATCH("moisture_frac_"&amp;$C192,param_keys,0))</f>
        <v/>
      </c>
      <c r="AB192" s="15">
        <f>INDEX(param_values,MATCH("contamination_frac_"&amp;$C192,param_keys,0))</f>
        <v/>
      </c>
      <c r="AC192" s="15">
        <f>INDEX(param_values,MATCH("metal_yield_frac_"&amp;$C192,param_keys,0))</f>
        <v/>
      </c>
      <c r="AD192" s="15">
        <f>INDEX(param_values,MATCH("heavies_frac_"&amp;$C192,param_keys,0))</f>
        <v/>
      </c>
      <c r="AE192" s="8">
        <f>INDEX(param_values,MATCH("grade_factor_diff_"&amp;$C192,param_keys,0))</f>
        <v/>
      </c>
      <c r="AF192" s="16">
        <f>$F192*$P192</f>
        <v/>
      </c>
      <c r="AG192" s="8">
        <f>$U192/$V192</f>
        <v/>
      </c>
      <c r="AH192" s="16">
        <f>$L192*$AG192</f>
        <v/>
      </c>
      <c r="AI192" s="16">
        <f>$AF192-$AH192</f>
        <v/>
      </c>
      <c r="AJ192" s="16">
        <f>insurance_rate*insured_value_uplift*$AF192</f>
        <v/>
      </c>
      <c r="AK192" s="16">
        <f>$AF192+$AJ192</f>
        <v/>
      </c>
      <c r="AL192" s="18">
        <f>$AK192*$J192</f>
        <v/>
      </c>
      <c r="AM192" s="18">
        <f>$AK192*$I192</f>
        <v/>
      </c>
      <c r="AN192" s="18">
        <f>$AL192*bcd_scrap_hs7602</f>
        <v/>
      </c>
      <c r="AO192" s="18">
        <f>$AN192*sws_rate_on_bcd</f>
        <v/>
      </c>
      <c r="AP192" s="18">
        <f>($AL192+$AN192+$AO192)*igst_rate_hs7602</f>
        <v/>
      </c>
      <c r="AQ192" s="18">
        <f>$X192*$AG192+IF($Y192,psic_cost_usd_per_box*$H192/$W192,0)</f>
        <v/>
      </c>
      <c r="AR192" s="18">
        <f>($AM192+$AN192+$AO192)*$Z192/day_count_inr*$O192</f>
        <v/>
      </c>
      <c r="AS192" s="18">
        <f>$AP192*igst_credit_lag_days/day_count_inr*$O192</f>
        <v/>
      </c>
      <c r="AT192" s="18">
        <f>$AM192+$AN192+$AO192+$AQ192+$AR192+$AS192+IF(igst_itc_available,0,$AP192)</f>
        <v/>
      </c>
      <c r="AU192" s="15">
        <f>(1-$AA192)*(1-$AB192)*$AC192</f>
        <v/>
      </c>
      <c r="AV192" s="18">
        <f>$N192*kg_per_mt+domestic_anchor_premium_inr_t</f>
        <v/>
      </c>
      <c r="AW192" s="18">
        <f>(1-$AA192)*$AD192*heavies_net_value_frac_of_lme_al*$F192*$H192</f>
        <v/>
      </c>
      <c r="AX192" s="18">
        <f>conversion_cost_inr_t*$AU192</f>
        <v/>
      </c>
      <c r="AY192" s="18">
        <f>$AV192*$AU192+$AW192-$AT192-$AX192</f>
        <v/>
      </c>
      <c r="AZ192" s="16">
        <f>$AY192/$H192</f>
        <v/>
      </c>
      <c r="BA192" s="8">
        <f>$AY192&gt;margin_threshold_inr_t</f>
        <v/>
      </c>
      <c r="BB192" s="8">
        <f>$Q192+$AE192</f>
        <v/>
      </c>
      <c r="BC192" s="18">
        <f>$AT192-$AQ192</f>
        <v/>
      </c>
      <c r="BD192" s="18">
        <f>$AY192-$BC192*($BB192/$P192-1)</f>
        <v/>
      </c>
      <c r="BE192" s="18">
        <f>$AY192-(conv_step_5a-conversion_cost_inr_t)*$AU192</f>
        <v/>
      </c>
      <c r="BF192" s="8">
        <f>$BA192</f>
        <v/>
      </c>
      <c r="BG192" s="8">
        <f>$BD192&gt;margin_threshold_inr_t</f>
        <v/>
      </c>
      <c r="BH192" s="8">
        <f>$BE192&gt;margin_threshold_inr_t</f>
        <v/>
      </c>
      <c r="BI192" s="8">
        <f>AND($BF192,$BG192,$BH192)</f>
        <v/>
      </c>
      <c r="BJ192" s="8">
        <f>IF($BI192,1,0)</f>
        <v/>
      </c>
    </row>
    <row r="193">
      <c r="A193" s="11" t="n">
        <v>44785</v>
      </c>
      <c r="B193" s="11" t="n">
        <v>44785</v>
      </c>
      <c r="C193" s="7" t="inlineStr">
        <is>
          <t>zorba</t>
        </is>
      </c>
      <c r="D193" s="7" t="inlineStr">
        <is>
          <t>USEC_MUN</t>
        </is>
      </c>
      <c r="E193" s="17" t="b">
        <v>1</v>
      </c>
      <c r="F193" s="16">
        <f>INDEX(Market_Weekly!$E$6:$E$48,MATCH($A193,Market_Weekly!$A$6:$A$48,0))</f>
        <v/>
      </c>
      <c r="G193" s="16">
        <f>INDEX(Market_Weekly!$D$6:$D$48,MATCH($A193,Market_Weekly!$A$6:$A$48,0))</f>
        <v/>
      </c>
      <c r="H193" s="16">
        <f>INDEX(Market_Weekly!$G$6:$G$48,MATCH($A193,Market_Weekly!$A$6:$A$48,0))</f>
        <v/>
      </c>
      <c r="I193" s="8">
        <f>INDEX(Market_Weekly!$H$6:$H$48,MATCH($A193,Market_Weekly!$A$6:$A$48,0))</f>
        <v/>
      </c>
      <c r="J193" s="8">
        <f>INDEX(Market_Weekly!$Q$6:$Q$48,MATCH($A193,Market_Weekly!$A$6:$A$48,0))</f>
        <v/>
      </c>
      <c r="K193" s="8">
        <f>INDEX(Market_Weekly!$V$6:$V$48,MATCH($A193,Market_Weekly!$A$6:$A$48,0))</f>
        <v/>
      </c>
      <c r="L193" s="16">
        <f>IF($D193="JEA_NSA",INDEX(Market_Weekly!$N$6:$N$48,MATCH($A193,Market_Weekly!$A$6:$A$48,0)),INDEX(Market_Weekly!$O$6:$O$48,MATCH($A193,Market_Weekly!$A$6:$A$48,0)))</f>
        <v/>
      </c>
      <c r="M193" s="8">
        <f>IF($D193="JEA_NSA","M1","M2")</f>
        <v/>
      </c>
      <c r="N193" s="16">
        <f>IF($D193="JEA_NSA",INDEX(Market_Weekly!$L$6:$L$48,MATCH($A193,Market_Weekly!$A$6:$A$48,0)),INDEX(Market_Weekly!$M$6:$M$48,MATCH($A193,Market_Weekly!$A$6:$A$48,0)))</f>
        <v/>
      </c>
      <c r="O193" s="15">
        <f>INDEX(Market_Weekly!$P$6:$P$48,MATCH($A193,Market_Weekly!$A$6:$A$48,0))</f>
        <v/>
      </c>
      <c r="P193" s="8">
        <f>INDEX(Market_Weekly!$R$6:$T$48,MATCH($A193,Market_Weekly!$A$6:$A$48,0),MATCH("grade_factor_"&amp;$C193,Market_Weekly!$R$5:$T$5,0))</f>
        <v/>
      </c>
      <c r="Q193" s="8">
        <f>INDEX(Market_Weekly!$U$6:$U$48,MATCH($A193,Market_Weekly!$A$6:$A$48,0))</f>
        <v/>
      </c>
      <c r="R193" s="8">
        <f>IF($D193="JEA_NSA","20ft","40ft")</f>
        <v/>
      </c>
      <c r="S193" s="8">
        <f>IF($D193="JEA_NSA","nsa","mun")</f>
        <v/>
      </c>
      <c r="T193" s="8">
        <f>IF($D193="JEA_NSA","jea_nsa","usec_mun")</f>
        <v/>
      </c>
      <c r="U193" s="16">
        <f>INDEX(param_values,MATCH("container_payload_mt_"&amp;$R193,param_keys,0))</f>
        <v/>
      </c>
      <c r="V193" s="16">
        <f>INDEX(param_values,MATCH("container_payload_mt_"&amp;$R193&amp;"_"&amp;$C193,param_keys,0))</f>
        <v/>
      </c>
      <c r="W193" s="16">
        <f>INDEX(param_values,MATCH("container_payload_mt_20ft_"&amp;$C193,param_keys,0))</f>
        <v/>
      </c>
      <c r="X193" s="18">
        <f>INDEX(param_values,MATCH("port_cf_charges_inr_t_"&amp;$S193,param_keys,0))</f>
        <v/>
      </c>
      <c r="Y193" s="8">
        <f>INDEX(param_values,MATCH(IF($D193="JEA_NSA","psic_required_uae_origin","psic_required_safe_origin_designated_port"),param_keys,0))</f>
        <v/>
      </c>
      <c r="Z193" s="19">
        <f>INDEX(param_values,MATCH("finance_days_"&amp;$T193,param_keys,0))</f>
        <v/>
      </c>
      <c r="AA193" s="15">
        <f>INDEX(param_values,MATCH("moisture_frac_"&amp;$C193,param_keys,0))</f>
        <v/>
      </c>
      <c r="AB193" s="15">
        <f>INDEX(param_values,MATCH("contamination_frac_"&amp;$C193,param_keys,0))</f>
        <v/>
      </c>
      <c r="AC193" s="15">
        <f>INDEX(param_values,MATCH("metal_yield_frac_"&amp;$C193,param_keys,0))</f>
        <v/>
      </c>
      <c r="AD193" s="15">
        <f>INDEX(param_values,MATCH("heavies_frac_"&amp;$C193,param_keys,0))</f>
        <v/>
      </c>
      <c r="AE193" s="8">
        <f>INDEX(param_values,MATCH("grade_factor_diff_"&amp;$C193,param_keys,0))</f>
        <v/>
      </c>
      <c r="AF193" s="16">
        <f>$F193*$P193</f>
        <v/>
      </c>
      <c r="AG193" s="8">
        <f>$U193/$V193</f>
        <v/>
      </c>
      <c r="AH193" s="16">
        <f>$L193*$AG193</f>
        <v/>
      </c>
      <c r="AI193" s="16">
        <f>$AF193-$AH193</f>
        <v/>
      </c>
      <c r="AJ193" s="16">
        <f>insurance_rate*insured_value_uplift*$AF193</f>
        <v/>
      </c>
      <c r="AK193" s="16">
        <f>$AF193+$AJ193</f>
        <v/>
      </c>
      <c r="AL193" s="18">
        <f>$AK193*$J193</f>
        <v/>
      </c>
      <c r="AM193" s="18">
        <f>$AK193*$I193</f>
        <v/>
      </c>
      <c r="AN193" s="18">
        <f>$AL193*bcd_scrap_hs7602</f>
        <v/>
      </c>
      <c r="AO193" s="18">
        <f>$AN193*sws_rate_on_bcd</f>
        <v/>
      </c>
      <c r="AP193" s="18">
        <f>($AL193+$AN193+$AO193)*igst_rate_hs7602</f>
        <v/>
      </c>
      <c r="AQ193" s="18">
        <f>$X193*$AG193+IF($Y193,psic_cost_usd_per_box*$H193/$W193,0)</f>
        <v/>
      </c>
      <c r="AR193" s="18">
        <f>($AM193+$AN193+$AO193)*$Z193/day_count_inr*$O193</f>
        <v/>
      </c>
      <c r="AS193" s="18">
        <f>$AP193*igst_credit_lag_days/day_count_inr*$O193</f>
        <v/>
      </c>
      <c r="AT193" s="18">
        <f>$AM193+$AN193+$AO193+$AQ193+$AR193+$AS193+IF(igst_itc_available,0,$AP193)</f>
        <v/>
      </c>
      <c r="AU193" s="15">
        <f>(1-$AA193)*(1-$AB193)*$AC193</f>
        <v/>
      </c>
      <c r="AV193" s="18">
        <f>$N193*kg_per_mt+domestic_anchor_premium_inr_t</f>
        <v/>
      </c>
      <c r="AW193" s="18">
        <f>(1-$AA193)*$AD193*heavies_net_value_frac_of_lme_al*$F193*$H193</f>
        <v/>
      </c>
      <c r="AX193" s="18">
        <f>conversion_cost_inr_t*$AU193</f>
        <v/>
      </c>
      <c r="AY193" s="18">
        <f>$AV193*$AU193+$AW193-$AT193-$AX193</f>
        <v/>
      </c>
      <c r="AZ193" s="16">
        <f>$AY193/$H193</f>
        <v/>
      </c>
      <c r="BA193" s="8">
        <f>$AY193&gt;margin_threshold_inr_t</f>
        <v/>
      </c>
      <c r="BB193" s="8">
        <f>$Q193+$AE193</f>
        <v/>
      </c>
      <c r="BC193" s="18">
        <f>$AT193-$AQ193</f>
        <v/>
      </c>
      <c r="BD193" s="18">
        <f>$AY193-$BC193*($BB193/$P193-1)</f>
        <v/>
      </c>
      <c r="BE193" s="18">
        <f>$AY193-(conv_step_5a-conversion_cost_inr_t)*$AU193</f>
        <v/>
      </c>
      <c r="BF193" s="8">
        <f>$BA193</f>
        <v/>
      </c>
      <c r="BG193" s="8">
        <f>$BD193&gt;margin_threshold_inr_t</f>
        <v/>
      </c>
      <c r="BH193" s="8">
        <f>$BE193&gt;margin_threshold_inr_t</f>
        <v/>
      </c>
      <c r="BI193" s="8">
        <f>AND($BF193,$BG193,$BH193)</f>
        <v/>
      </c>
      <c r="BJ193" s="8">
        <f>IF($BI193,1,0)</f>
        <v/>
      </c>
    </row>
    <row r="194">
      <c r="A194" s="11" t="n">
        <v>44785</v>
      </c>
      <c r="B194" s="11" t="n">
        <v>44785</v>
      </c>
      <c r="C194" s="7" t="inlineStr">
        <is>
          <t>taint_tabor</t>
        </is>
      </c>
      <c r="D194" s="7" t="inlineStr">
        <is>
          <t>JEA_NSA</t>
        </is>
      </c>
      <c r="E194" s="17" t="b">
        <v>1</v>
      </c>
      <c r="F194" s="16">
        <f>INDEX(Market_Weekly!$E$6:$E$48,MATCH($A194,Market_Weekly!$A$6:$A$48,0))</f>
        <v/>
      </c>
      <c r="G194" s="16">
        <f>INDEX(Market_Weekly!$D$6:$D$48,MATCH($A194,Market_Weekly!$A$6:$A$48,0))</f>
        <v/>
      </c>
      <c r="H194" s="16">
        <f>INDEX(Market_Weekly!$G$6:$G$48,MATCH($A194,Market_Weekly!$A$6:$A$48,0))</f>
        <v/>
      </c>
      <c r="I194" s="8">
        <f>INDEX(Market_Weekly!$H$6:$H$48,MATCH($A194,Market_Weekly!$A$6:$A$48,0))</f>
        <v/>
      </c>
      <c r="J194" s="8">
        <f>INDEX(Market_Weekly!$Q$6:$Q$48,MATCH($A194,Market_Weekly!$A$6:$A$48,0))</f>
        <v/>
      </c>
      <c r="K194" s="8">
        <f>INDEX(Market_Weekly!$V$6:$V$48,MATCH($A194,Market_Weekly!$A$6:$A$48,0))</f>
        <v/>
      </c>
      <c r="L194" s="16">
        <f>IF($D194="JEA_NSA",INDEX(Market_Weekly!$N$6:$N$48,MATCH($A194,Market_Weekly!$A$6:$A$48,0)),INDEX(Market_Weekly!$O$6:$O$48,MATCH($A194,Market_Weekly!$A$6:$A$48,0)))</f>
        <v/>
      </c>
      <c r="M194" s="8">
        <f>IF($D194="JEA_NSA","M1","M2")</f>
        <v/>
      </c>
      <c r="N194" s="16">
        <f>IF($D194="JEA_NSA",INDEX(Market_Weekly!$L$6:$L$48,MATCH($A194,Market_Weekly!$A$6:$A$48,0)),INDEX(Market_Weekly!$M$6:$M$48,MATCH($A194,Market_Weekly!$A$6:$A$48,0)))</f>
        <v/>
      </c>
      <c r="O194" s="15">
        <f>INDEX(Market_Weekly!$P$6:$P$48,MATCH($A194,Market_Weekly!$A$6:$A$48,0))</f>
        <v/>
      </c>
      <c r="P194" s="8">
        <f>INDEX(Market_Weekly!$R$6:$T$48,MATCH($A194,Market_Weekly!$A$6:$A$48,0),MATCH("grade_factor_"&amp;$C194,Market_Weekly!$R$5:$T$5,0))</f>
        <v/>
      </c>
      <c r="Q194" s="8">
        <f>INDEX(Market_Weekly!$U$6:$U$48,MATCH($A194,Market_Weekly!$A$6:$A$48,0))</f>
        <v/>
      </c>
      <c r="R194" s="8">
        <f>IF($D194="JEA_NSA","20ft","40ft")</f>
        <v/>
      </c>
      <c r="S194" s="8">
        <f>IF($D194="JEA_NSA","nsa","mun")</f>
        <v/>
      </c>
      <c r="T194" s="8">
        <f>IF($D194="JEA_NSA","jea_nsa","usec_mun")</f>
        <v/>
      </c>
      <c r="U194" s="16">
        <f>INDEX(param_values,MATCH("container_payload_mt_"&amp;$R194,param_keys,0))</f>
        <v/>
      </c>
      <c r="V194" s="16">
        <f>INDEX(param_values,MATCH("container_payload_mt_"&amp;$R194&amp;"_"&amp;$C194,param_keys,0))</f>
        <v/>
      </c>
      <c r="W194" s="16">
        <f>INDEX(param_values,MATCH("container_payload_mt_20ft_"&amp;$C194,param_keys,0))</f>
        <v/>
      </c>
      <c r="X194" s="18">
        <f>INDEX(param_values,MATCH("port_cf_charges_inr_t_"&amp;$S194,param_keys,0))</f>
        <v/>
      </c>
      <c r="Y194" s="8">
        <f>INDEX(param_values,MATCH(IF($D194="JEA_NSA","psic_required_uae_origin","psic_required_safe_origin_designated_port"),param_keys,0))</f>
        <v/>
      </c>
      <c r="Z194" s="19">
        <f>INDEX(param_values,MATCH("finance_days_"&amp;$T194,param_keys,0))</f>
        <v/>
      </c>
      <c r="AA194" s="15">
        <f>INDEX(param_values,MATCH("moisture_frac_"&amp;$C194,param_keys,0))</f>
        <v/>
      </c>
      <c r="AB194" s="15">
        <f>INDEX(param_values,MATCH("contamination_frac_"&amp;$C194,param_keys,0))</f>
        <v/>
      </c>
      <c r="AC194" s="15">
        <f>INDEX(param_values,MATCH("metal_yield_frac_"&amp;$C194,param_keys,0))</f>
        <v/>
      </c>
      <c r="AD194" s="15">
        <f>INDEX(param_values,MATCH("heavies_frac_"&amp;$C194,param_keys,0))</f>
        <v/>
      </c>
      <c r="AE194" s="8">
        <f>INDEX(param_values,MATCH("grade_factor_diff_"&amp;$C194,param_keys,0))</f>
        <v/>
      </c>
      <c r="AF194" s="16">
        <f>$F194*$P194</f>
        <v/>
      </c>
      <c r="AG194" s="8">
        <f>$U194/$V194</f>
        <v/>
      </c>
      <c r="AH194" s="16">
        <f>$L194*$AG194</f>
        <v/>
      </c>
      <c r="AI194" s="16">
        <f>$AF194-$AH194</f>
        <v/>
      </c>
      <c r="AJ194" s="16">
        <f>insurance_rate*insured_value_uplift*$AF194</f>
        <v/>
      </c>
      <c r="AK194" s="16">
        <f>$AF194+$AJ194</f>
        <v/>
      </c>
      <c r="AL194" s="18">
        <f>$AK194*$J194</f>
        <v/>
      </c>
      <c r="AM194" s="18">
        <f>$AK194*$I194</f>
        <v/>
      </c>
      <c r="AN194" s="18">
        <f>$AL194*bcd_scrap_hs7602</f>
        <v/>
      </c>
      <c r="AO194" s="18">
        <f>$AN194*sws_rate_on_bcd</f>
        <v/>
      </c>
      <c r="AP194" s="18">
        <f>($AL194+$AN194+$AO194)*igst_rate_hs7602</f>
        <v/>
      </c>
      <c r="AQ194" s="18">
        <f>$X194*$AG194+IF($Y194,psic_cost_usd_per_box*$H194/$W194,0)</f>
        <v/>
      </c>
      <c r="AR194" s="18">
        <f>($AM194+$AN194+$AO194)*$Z194/day_count_inr*$O194</f>
        <v/>
      </c>
      <c r="AS194" s="18">
        <f>$AP194*igst_credit_lag_days/day_count_inr*$O194</f>
        <v/>
      </c>
      <c r="AT194" s="18">
        <f>$AM194+$AN194+$AO194+$AQ194+$AR194+$AS194+IF(igst_itc_available,0,$AP194)</f>
        <v/>
      </c>
      <c r="AU194" s="15">
        <f>(1-$AA194)*(1-$AB194)*$AC194</f>
        <v/>
      </c>
      <c r="AV194" s="18">
        <f>$N194*kg_per_mt+domestic_anchor_premium_inr_t</f>
        <v/>
      </c>
      <c r="AW194" s="18">
        <f>(1-$AA194)*$AD194*heavies_net_value_frac_of_lme_al*$F194*$H194</f>
        <v/>
      </c>
      <c r="AX194" s="18">
        <f>conversion_cost_inr_t*$AU194</f>
        <v/>
      </c>
      <c r="AY194" s="18">
        <f>$AV194*$AU194+$AW194-$AT194-$AX194</f>
        <v/>
      </c>
      <c r="AZ194" s="16">
        <f>$AY194/$H194</f>
        <v/>
      </c>
      <c r="BA194" s="8">
        <f>$AY194&gt;margin_threshold_inr_t</f>
        <v/>
      </c>
      <c r="BB194" s="8">
        <f>$Q194+$AE194</f>
        <v/>
      </c>
      <c r="BC194" s="18">
        <f>$AT194-$AQ194</f>
        <v/>
      </c>
      <c r="BD194" s="18">
        <f>$AY194-$BC194*($BB194/$P194-1)</f>
        <v/>
      </c>
      <c r="BE194" s="18">
        <f>$AY194-(conv_step_5a-conversion_cost_inr_t)*$AU194</f>
        <v/>
      </c>
      <c r="BF194" s="8">
        <f>$BA194</f>
        <v/>
      </c>
      <c r="BG194" s="8">
        <f>$BD194&gt;margin_threshold_inr_t</f>
        <v/>
      </c>
      <c r="BH194" s="8">
        <f>$BE194&gt;margin_threshold_inr_t</f>
        <v/>
      </c>
      <c r="BI194" s="8">
        <f>AND($BF194,$BG194,$BH194)</f>
        <v/>
      </c>
      <c r="BJ194" s="8">
        <f>IF($BI194,1,0)</f>
        <v/>
      </c>
    </row>
    <row r="195">
      <c r="A195" s="11" t="n">
        <v>44785</v>
      </c>
      <c r="B195" s="11" t="n">
        <v>44785</v>
      </c>
      <c r="C195" s="7" t="inlineStr">
        <is>
          <t>taint_tabor</t>
        </is>
      </c>
      <c r="D195" s="7" t="inlineStr">
        <is>
          <t>USEC_MUN</t>
        </is>
      </c>
      <c r="E195" s="17" t="b">
        <v>1</v>
      </c>
      <c r="F195" s="16">
        <f>INDEX(Market_Weekly!$E$6:$E$48,MATCH($A195,Market_Weekly!$A$6:$A$48,0))</f>
        <v/>
      </c>
      <c r="G195" s="16">
        <f>INDEX(Market_Weekly!$D$6:$D$48,MATCH($A195,Market_Weekly!$A$6:$A$48,0))</f>
        <v/>
      </c>
      <c r="H195" s="16">
        <f>INDEX(Market_Weekly!$G$6:$G$48,MATCH($A195,Market_Weekly!$A$6:$A$48,0))</f>
        <v/>
      </c>
      <c r="I195" s="8">
        <f>INDEX(Market_Weekly!$H$6:$H$48,MATCH($A195,Market_Weekly!$A$6:$A$48,0))</f>
        <v/>
      </c>
      <c r="J195" s="8">
        <f>INDEX(Market_Weekly!$Q$6:$Q$48,MATCH($A195,Market_Weekly!$A$6:$A$48,0))</f>
        <v/>
      </c>
      <c r="K195" s="8">
        <f>INDEX(Market_Weekly!$V$6:$V$48,MATCH($A195,Market_Weekly!$A$6:$A$48,0))</f>
        <v/>
      </c>
      <c r="L195" s="16">
        <f>IF($D195="JEA_NSA",INDEX(Market_Weekly!$N$6:$N$48,MATCH($A195,Market_Weekly!$A$6:$A$48,0)),INDEX(Market_Weekly!$O$6:$O$48,MATCH($A195,Market_Weekly!$A$6:$A$48,0)))</f>
        <v/>
      </c>
      <c r="M195" s="8">
        <f>IF($D195="JEA_NSA","M1","M2")</f>
        <v/>
      </c>
      <c r="N195" s="16">
        <f>IF($D195="JEA_NSA",INDEX(Market_Weekly!$L$6:$L$48,MATCH($A195,Market_Weekly!$A$6:$A$48,0)),INDEX(Market_Weekly!$M$6:$M$48,MATCH($A195,Market_Weekly!$A$6:$A$48,0)))</f>
        <v/>
      </c>
      <c r="O195" s="15">
        <f>INDEX(Market_Weekly!$P$6:$P$48,MATCH($A195,Market_Weekly!$A$6:$A$48,0))</f>
        <v/>
      </c>
      <c r="P195" s="8">
        <f>INDEX(Market_Weekly!$R$6:$T$48,MATCH($A195,Market_Weekly!$A$6:$A$48,0),MATCH("grade_factor_"&amp;$C195,Market_Weekly!$R$5:$T$5,0))</f>
        <v/>
      </c>
      <c r="Q195" s="8">
        <f>INDEX(Market_Weekly!$U$6:$U$48,MATCH($A195,Market_Weekly!$A$6:$A$48,0))</f>
        <v/>
      </c>
      <c r="R195" s="8">
        <f>IF($D195="JEA_NSA","20ft","40ft")</f>
        <v/>
      </c>
      <c r="S195" s="8">
        <f>IF($D195="JEA_NSA","nsa","mun")</f>
        <v/>
      </c>
      <c r="T195" s="8">
        <f>IF($D195="JEA_NSA","jea_nsa","usec_mun")</f>
        <v/>
      </c>
      <c r="U195" s="16">
        <f>INDEX(param_values,MATCH("container_payload_mt_"&amp;$R195,param_keys,0))</f>
        <v/>
      </c>
      <c r="V195" s="16">
        <f>INDEX(param_values,MATCH("container_payload_mt_"&amp;$R195&amp;"_"&amp;$C195,param_keys,0))</f>
        <v/>
      </c>
      <c r="W195" s="16">
        <f>INDEX(param_values,MATCH("container_payload_mt_20ft_"&amp;$C195,param_keys,0))</f>
        <v/>
      </c>
      <c r="X195" s="18">
        <f>INDEX(param_values,MATCH("port_cf_charges_inr_t_"&amp;$S195,param_keys,0))</f>
        <v/>
      </c>
      <c r="Y195" s="8">
        <f>INDEX(param_values,MATCH(IF($D195="JEA_NSA","psic_required_uae_origin","psic_required_safe_origin_designated_port"),param_keys,0))</f>
        <v/>
      </c>
      <c r="Z195" s="19">
        <f>INDEX(param_values,MATCH("finance_days_"&amp;$T195,param_keys,0))</f>
        <v/>
      </c>
      <c r="AA195" s="15">
        <f>INDEX(param_values,MATCH("moisture_frac_"&amp;$C195,param_keys,0))</f>
        <v/>
      </c>
      <c r="AB195" s="15">
        <f>INDEX(param_values,MATCH("contamination_frac_"&amp;$C195,param_keys,0))</f>
        <v/>
      </c>
      <c r="AC195" s="15">
        <f>INDEX(param_values,MATCH("metal_yield_frac_"&amp;$C195,param_keys,0))</f>
        <v/>
      </c>
      <c r="AD195" s="15">
        <f>INDEX(param_values,MATCH("heavies_frac_"&amp;$C195,param_keys,0))</f>
        <v/>
      </c>
      <c r="AE195" s="8">
        <f>INDEX(param_values,MATCH("grade_factor_diff_"&amp;$C195,param_keys,0))</f>
        <v/>
      </c>
      <c r="AF195" s="16">
        <f>$F195*$P195</f>
        <v/>
      </c>
      <c r="AG195" s="8">
        <f>$U195/$V195</f>
        <v/>
      </c>
      <c r="AH195" s="16">
        <f>$L195*$AG195</f>
        <v/>
      </c>
      <c r="AI195" s="16">
        <f>$AF195-$AH195</f>
        <v/>
      </c>
      <c r="AJ195" s="16">
        <f>insurance_rate*insured_value_uplift*$AF195</f>
        <v/>
      </c>
      <c r="AK195" s="16">
        <f>$AF195+$AJ195</f>
        <v/>
      </c>
      <c r="AL195" s="18">
        <f>$AK195*$J195</f>
        <v/>
      </c>
      <c r="AM195" s="18">
        <f>$AK195*$I195</f>
        <v/>
      </c>
      <c r="AN195" s="18">
        <f>$AL195*bcd_scrap_hs7602</f>
        <v/>
      </c>
      <c r="AO195" s="18">
        <f>$AN195*sws_rate_on_bcd</f>
        <v/>
      </c>
      <c r="AP195" s="18">
        <f>($AL195+$AN195+$AO195)*igst_rate_hs7602</f>
        <v/>
      </c>
      <c r="AQ195" s="18">
        <f>$X195*$AG195+IF($Y195,psic_cost_usd_per_box*$H195/$W195,0)</f>
        <v/>
      </c>
      <c r="AR195" s="18">
        <f>($AM195+$AN195+$AO195)*$Z195/day_count_inr*$O195</f>
        <v/>
      </c>
      <c r="AS195" s="18">
        <f>$AP195*igst_credit_lag_days/day_count_inr*$O195</f>
        <v/>
      </c>
      <c r="AT195" s="18">
        <f>$AM195+$AN195+$AO195+$AQ195+$AR195+$AS195+IF(igst_itc_available,0,$AP195)</f>
        <v/>
      </c>
      <c r="AU195" s="15">
        <f>(1-$AA195)*(1-$AB195)*$AC195</f>
        <v/>
      </c>
      <c r="AV195" s="18">
        <f>$N195*kg_per_mt+domestic_anchor_premium_inr_t</f>
        <v/>
      </c>
      <c r="AW195" s="18">
        <f>(1-$AA195)*$AD195*heavies_net_value_frac_of_lme_al*$F195*$H195</f>
        <v/>
      </c>
      <c r="AX195" s="18">
        <f>conversion_cost_inr_t*$AU195</f>
        <v/>
      </c>
      <c r="AY195" s="18">
        <f>$AV195*$AU195+$AW195-$AT195-$AX195</f>
        <v/>
      </c>
      <c r="AZ195" s="16">
        <f>$AY195/$H195</f>
        <v/>
      </c>
      <c r="BA195" s="8">
        <f>$AY195&gt;margin_threshold_inr_t</f>
        <v/>
      </c>
      <c r="BB195" s="8">
        <f>$Q195+$AE195</f>
        <v/>
      </c>
      <c r="BC195" s="18">
        <f>$AT195-$AQ195</f>
        <v/>
      </c>
      <c r="BD195" s="18">
        <f>$AY195-$BC195*($BB195/$P195-1)</f>
        <v/>
      </c>
      <c r="BE195" s="18">
        <f>$AY195-(conv_step_5a-conversion_cost_inr_t)*$AU195</f>
        <v/>
      </c>
      <c r="BF195" s="8">
        <f>$BA195</f>
        <v/>
      </c>
      <c r="BG195" s="8">
        <f>$BD195&gt;margin_threshold_inr_t</f>
        <v/>
      </c>
      <c r="BH195" s="8">
        <f>$BE195&gt;margin_threshold_inr_t</f>
        <v/>
      </c>
      <c r="BI195" s="8">
        <f>AND($BF195,$BG195,$BH195)</f>
        <v/>
      </c>
      <c r="BJ195" s="8">
        <f>IF($BI195,1,0)</f>
        <v/>
      </c>
    </row>
    <row r="196">
      <c r="A196" s="11" t="n">
        <v>44785</v>
      </c>
      <c r="B196" s="11" t="n">
        <v>44785</v>
      </c>
      <c r="C196" s="7" t="inlineStr">
        <is>
          <t>tense</t>
        </is>
      </c>
      <c r="D196" s="7" t="inlineStr">
        <is>
          <t>JEA_NSA</t>
        </is>
      </c>
      <c r="E196" s="17" t="b">
        <v>1</v>
      </c>
      <c r="F196" s="16">
        <f>INDEX(Market_Weekly!$E$6:$E$48,MATCH($A196,Market_Weekly!$A$6:$A$48,0))</f>
        <v/>
      </c>
      <c r="G196" s="16">
        <f>INDEX(Market_Weekly!$D$6:$D$48,MATCH($A196,Market_Weekly!$A$6:$A$48,0))</f>
        <v/>
      </c>
      <c r="H196" s="16">
        <f>INDEX(Market_Weekly!$G$6:$G$48,MATCH($A196,Market_Weekly!$A$6:$A$48,0))</f>
        <v/>
      </c>
      <c r="I196" s="8">
        <f>INDEX(Market_Weekly!$H$6:$H$48,MATCH($A196,Market_Weekly!$A$6:$A$48,0))</f>
        <v/>
      </c>
      <c r="J196" s="8">
        <f>INDEX(Market_Weekly!$Q$6:$Q$48,MATCH($A196,Market_Weekly!$A$6:$A$48,0))</f>
        <v/>
      </c>
      <c r="K196" s="8">
        <f>INDEX(Market_Weekly!$V$6:$V$48,MATCH($A196,Market_Weekly!$A$6:$A$48,0))</f>
        <v/>
      </c>
      <c r="L196" s="16">
        <f>IF($D196="JEA_NSA",INDEX(Market_Weekly!$N$6:$N$48,MATCH($A196,Market_Weekly!$A$6:$A$48,0)),INDEX(Market_Weekly!$O$6:$O$48,MATCH($A196,Market_Weekly!$A$6:$A$48,0)))</f>
        <v/>
      </c>
      <c r="M196" s="8">
        <f>IF($D196="JEA_NSA","M1","M2")</f>
        <v/>
      </c>
      <c r="N196" s="16">
        <f>IF($D196="JEA_NSA",INDEX(Market_Weekly!$L$6:$L$48,MATCH($A196,Market_Weekly!$A$6:$A$48,0)),INDEX(Market_Weekly!$M$6:$M$48,MATCH($A196,Market_Weekly!$A$6:$A$48,0)))</f>
        <v/>
      </c>
      <c r="O196" s="15">
        <f>INDEX(Market_Weekly!$P$6:$P$48,MATCH($A196,Market_Weekly!$A$6:$A$48,0))</f>
        <v/>
      </c>
      <c r="P196" s="8">
        <f>INDEX(Market_Weekly!$R$6:$T$48,MATCH($A196,Market_Weekly!$A$6:$A$48,0),MATCH("grade_factor_"&amp;$C196,Market_Weekly!$R$5:$T$5,0))</f>
        <v/>
      </c>
      <c r="Q196" s="8">
        <f>INDEX(Market_Weekly!$U$6:$U$48,MATCH($A196,Market_Weekly!$A$6:$A$48,0))</f>
        <v/>
      </c>
      <c r="R196" s="8">
        <f>IF($D196="JEA_NSA","20ft","40ft")</f>
        <v/>
      </c>
      <c r="S196" s="8">
        <f>IF($D196="JEA_NSA","nsa","mun")</f>
        <v/>
      </c>
      <c r="T196" s="8">
        <f>IF($D196="JEA_NSA","jea_nsa","usec_mun")</f>
        <v/>
      </c>
      <c r="U196" s="16">
        <f>INDEX(param_values,MATCH("container_payload_mt_"&amp;$R196,param_keys,0))</f>
        <v/>
      </c>
      <c r="V196" s="16">
        <f>INDEX(param_values,MATCH("container_payload_mt_"&amp;$R196&amp;"_"&amp;$C196,param_keys,0))</f>
        <v/>
      </c>
      <c r="W196" s="16">
        <f>INDEX(param_values,MATCH("container_payload_mt_20ft_"&amp;$C196,param_keys,0))</f>
        <v/>
      </c>
      <c r="X196" s="18">
        <f>INDEX(param_values,MATCH("port_cf_charges_inr_t_"&amp;$S196,param_keys,0))</f>
        <v/>
      </c>
      <c r="Y196" s="8">
        <f>INDEX(param_values,MATCH(IF($D196="JEA_NSA","psic_required_uae_origin","psic_required_safe_origin_designated_port"),param_keys,0))</f>
        <v/>
      </c>
      <c r="Z196" s="19">
        <f>INDEX(param_values,MATCH("finance_days_"&amp;$T196,param_keys,0))</f>
        <v/>
      </c>
      <c r="AA196" s="15">
        <f>INDEX(param_values,MATCH("moisture_frac_"&amp;$C196,param_keys,0))</f>
        <v/>
      </c>
      <c r="AB196" s="15">
        <f>INDEX(param_values,MATCH("contamination_frac_"&amp;$C196,param_keys,0))</f>
        <v/>
      </c>
      <c r="AC196" s="15">
        <f>INDEX(param_values,MATCH("metal_yield_frac_"&amp;$C196,param_keys,0))</f>
        <v/>
      </c>
      <c r="AD196" s="15">
        <f>INDEX(param_values,MATCH("heavies_frac_"&amp;$C196,param_keys,0))</f>
        <v/>
      </c>
      <c r="AE196" s="8">
        <f>INDEX(param_values,MATCH("grade_factor_diff_"&amp;$C196,param_keys,0))</f>
        <v/>
      </c>
      <c r="AF196" s="16">
        <f>$F196*$P196</f>
        <v/>
      </c>
      <c r="AG196" s="8">
        <f>$U196/$V196</f>
        <v/>
      </c>
      <c r="AH196" s="16">
        <f>$L196*$AG196</f>
        <v/>
      </c>
      <c r="AI196" s="16">
        <f>$AF196-$AH196</f>
        <v/>
      </c>
      <c r="AJ196" s="16">
        <f>insurance_rate*insured_value_uplift*$AF196</f>
        <v/>
      </c>
      <c r="AK196" s="16">
        <f>$AF196+$AJ196</f>
        <v/>
      </c>
      <c r="AL196" s="18">
        <f>$AK196*$J196</f>
        <v/>
      </c>
      <c r="AM196" s="18">
        <f>$AK196*$I196</f>
        <v/>
      </c>
      <c r="AN196" s="18">
        <f>$AL196*bcd_scrap_hs7602</f>
        <v/>
      </c>
      <c r="AO196" s="18">
        <f>$AN196*sws_rate_on_bcd</f>
        <v/>
      </c>
      <c r="AP196" s="18">
        <f>($AL196+$AN196+$AO196)*igst_rate_hs7602</f>
        <v/>
      </c>
      <c r="AQ196" s="18">
        <f>$X196*$AG196+IF($Y196,psic_cost_usd_per_box*$H196/$W196,0)</f>
        <v/>
      </c>
      <c r="AR196" s="18">
        <f>($AM196+$AN196+$AO196)*$Z196/day_count_inr*$O196</f>
        <v/>
      </c>
      <c r="AS196" s="18">
        <f>$AP196*igst_credit_lag_days/day_count_inr*$O196</f>
        <v/>
      </c>
      <c r="AT196" s="18">
        <f>$AM196+$AN196+$AO196+$AQ196+$AR196+$AS196+IF(igst_itc_available,0,$AP196)</f>
        <v/>
      </c>
      <c r="AU196" s="15">
        <f>(1-$AA196)*(1-$AB196)*$AC196</f>
        <v/>
      </c>
      <c r="AV196" s="18">
        <f>$N196*kg_per_mt+domestic_anchor_premium_inr_t</f>
        <v/>
      </c>
      <c r="AW196" s="18">
        <f>(1-$AA196)*$AD196*heavies_net_value_frac_of_lme_al*$F196*$H196</f>
        <v/>
      </c>
      <c r="AX196" s="18">
        <f>conversion_cost_inr_t*$AU196</f>
        <v/>
      </c>
      <c r="AY196" s="18">
        <f>$AV196*$AU196+$AW196-$AT196-$AX196</f>
        <v/>
      </c>
      <c r="AZ196" s="16">
        <f>$AY196/$H196</f>
        <v/>
      </c>
      <c r="BA196" s="8">
        <f>$AY196&gt;margin_threshold_inr_t</f>
        <v/>
      </c>
      <c r="BB196" s="8">
        <f>$Q196+$AE196</f>
        <v/>
      </c>
      <c r="BC196" s="18">
        <f>$AT196-$AQ196</f>
        <v/>
      </c>
      <c r="BD196" s="18">
        <f>$AY196-$BC196*($BB196/$P196-1)</f>
        <v/>
      </c>
      <c r="BE196" s="18">
        <f>$AY196-(conv_step_5a-conversion_cost_inr_t)*$AU196</f>
        <v/>
      </c>
      <c r="BF196" s="8">
        <f>$BA196</f>
        <v/>
      </c>
      <c r="BG196" s="8">
        <f>$BD196&gt;margin_threshold_inr_t</f>
        <v/>
      </c>
      <c r="BH196" s="8">
        <f>$BE196&gt;margin_threshold_inr_t</f>
        <v/>
      </c>
      <c r="BI196" s="8">
        <f>AND($BF196,$BG196,$BH196)</f>
        <v/>
      </c>
      <c r="BJ196" s="8">
        <f>IF($BI196,1,0)</f>
        <v/>
      </c>
    </row>
    <row r="197">
      <c r="A197" s="11" t="n">
        <v>44785</v>
      </c>
      <c r="B197" s="11" t="n">
        <v>44785</v>
      </c>
      <c r="C197" s="7" t="inlineStr">
        <is>
          <t>tense</t>
        </is>
      </c>
      <c r="D197" s="7" t="inlineStr">
        <is>
          <t>USEC_MUN</t>
        </is>
      </c>
      <c r="E197" s="17" t="b">
        <v>1</v>
      </c>
      <c r="F197" s="16">
        <f>INDEX(Market_Weekly!$E$6:$E$48,MATCH($A197,Market_Weekly!$A$6:$A$48,0))</f>
        <v/>
      </c>
      <c r="G197" s="16">
        <f>INDEX(Market_Weekly!$D$6:$D$48,MATCH($A197,Market_Weekly!$A$6:$A$48,0))</f>
        <v/>
      </c>
      <c r="H197" s="16">
        <f>INDEX(Market_Weekly!$G$6:$G$48,MATCH($A197,Market_Weekly!$A$6:$A$48,0))</f>
        <v/>
      </c>
      <c r="I197" s="8">
        <f>INDEX(Market_Weekly!$H$6:$H$48,MATCH($A197,Market_Weekly!$A$6:$A$48,0))</f>
        <v/>
      </c>
      <c r="J197" s="8">
        <f>INDEX(Market_Weekly!$Q$6:$Q$48,MATCH($A197,Market_Weekly!$A$6:$A$48,0))</f>
        <v/>
      </c>
      <c r="K197" s="8">
        <f>INDEX(Market_Weekly!$V$6:$V$48,MATCH($A197,Market_Weekly!$A$6:$A$48,0))</f>
        <v/>
      </c>
      <c r="L197" s="16">
        <f>IF($D197="JEA_NSA",INDEX(Market_Weekly!$N$6:$N$48,MATCH($A197,Market_Weekly!$A$6:$A$48,0)),INDEX(Market_Weekly!$O$6:$O$48,MATCH($A197,Market_Weekly!$A$6:$A$48,0)))</f>
        <v/>
      </c>
      <c r="M197" s="8">
        <f>IF($D197="JEA_NSA","M1","M2")</f>
        <v/>
      </c>
      <c r="N197" s="16">
        <f>IF($D197="JEA_NSA",INDEX(Market_Weekly!$L$6:$L$48,MATCH($A197,Market_Weekly!$A$6:$A$48,0)),INDEX(Market_Weekly!$M$6:$M$48,MATCH($A197,Market_Weekly!$A$6:$A$48,0)))</f>
        <v/>
      </c>
      <c r="O197" s="15">
        <f>INDEX(Market_Weekly!$P$6:$P$48,MATCH($A197,Market_Weekly!$A$6:$A$48,0))</f>
        <v/>
      </c>
      <c r="P197" s="8">
        <f>INDEX(Market_Weekly!$R$6:$T$48,MATCH($A197,Market_Weekly!$A$6:$A$48,0),MATCH("grade_factor_"&amp;$C197,Market_Weekly!$R$5:$T$5,0))</f>
        <v/>
      </c>
      <c r="Q197" s="8">
        <f>INDEX(Market_Weekly!$U$6:$U$48,MATCH($A197,Market_Weekly!$A$6:$A$48,0))</f>
        <v/>
      </c>
      <c r="R197" s="8">
        <f>IF($D197="JEA_NSA","20ft","40ft")</f>
        <v/>
      </c>
      <c r="S197" s="8">
        <f>IF($D197="JEA_NSA","nsa","mun")</f>
        <v/>
      </c>
      <c r="T197" s="8">
        <f>IF($D197="JEA_NSA","jea_nsa","usec_mun")</f>
        <v/>
      </c>
      <c r="U197" s="16">
        <f>INDEX(param_values,MATCH("container_payload_mt_"&amp;$R197,param_keys,0))</f>
        <v/>
      </c>
      <c r="V197" s="16">
        <f>INDEX(param_values,MATCH("container_payload_mt_"&amp;$R197&amp;"_"&amp;$C197,param_keys,0))</f>
        <v/>
      </c>
      <c r="W197" s="16">
        <f>INDEX(param_values,MATCH("container_payload_mt_20ft_"&amp;$C197,param_keys,0))</f>
        <v/>
      </c>
      <c r="X197" s="18">
        <f>INDEX(param_values,MATCH("port_cf_charges_inr_t_"&amp;$S197,param_keys,0))</f>
        <v/>
      </c>
      <c r="Y197" s="8">
        <f>INDEX(param_values,MATCH(IF($D197="JEA_NSA","psic_required_uae_origin","psic_required_safe_origin_designated_port"),param_keys,0))</f>
        <v/>
      </c>
      <c r="Z197" s="19">
        <f>INDEX(param_values,MATCH("finance_days_"&amp;$T197,param_keys,0))</f>
        <v/>
      </c>
      <c r="AA197" s="15">
        <f>INDEX(param_values,MATCH("moisture_frac_"&amp;$C197,param_keys,0))</f>
        <v/>
      </c>
      <c r="AB197" s="15">
        <f>INDEX(param_values,MATCH("contamination_frac_"&amp;$C197,param_keys,0))</f>
        <v/>
      </c>
      <c r="AC197" s="15">
        <f>INDEX(param_values,MATCH("metal_yield_frac_"&amp;$C197,param_keys,0))</f>
        <v/>
      </c>
      <c r="AD197" s="15">
        <f>INDEX(param_values,MATCH("heavies_frac_"&amp;$C197,param_keys,0))</f>
        <v/>
      </c>
      <c r="AE197" s="8">
        <f>INDEX(param_values,MATCH("grade_factor_diff_"&amp;$C197,param_keys,0))</f>
        <v/>
      </c>
      <c r="AF197" s="16">
        <f>$F197*$P197</f>
        <v/>
      </c>
      <c r="AG197" s="8">
        <f>$U197/$V197</f>
        <v/>
      </c>
      <c r="AH197" s="16">
        <f>$L197*$AG197</f>
        <v/>
      </c>
      <c r="AI197" s="16">
        <f>$AF197-$AH197</f>
        <v/>
      </c>
      <c r="AJ197" s="16">
        <f>insurance_rate*insured_value_uplift*$AF197</f>
        <v/>
      </c>
      <c r="AK197" s="16">
        <f>$AF197+$AJ197</f>
        <v/>
      </c>
      <c r="AL197" s="18">
        <f>$AK197*$J197</f>
        <v/>
      </c>
      <c r="AM197" s="18">
        <f>$AK197*$I197</f>
        <v/>
      </c>
      <c r="AN197" s="18">
        <f>$AL197*bcd_scrap_hs7602</f>
        <v/>
      </c>
      <c r="AO197" s="18">
        <f>$AN197*sws_rate_on_bcd</f>
        <v/>
      </c>
      <c r="AP197" s="18">
        <f>($AL197+$AN197+$AO197)*igst_rate_hs7602</f>
        <v/>
      </c>
      <c r="AQ197" s="18">
        <f>$X197*$AG197+IF($Y197,psic_cost_usd_per_box*$H197/$W197,0)</f>
        <v/>
      </c>
      <c r="AR197" s="18">
        <f>($AM197+$AN197+$AO197)*$Z197/day_count_inr*$O197</f>
        <v/>
      </c>
      <c r="AS197" s="18">
        <f>$AP197*igst_credit_lag_days/day_count_inr*$O197</f>
        <v/>
      </c>
      <c r="AT197" s="18">
        <f>$AM197+$AN197+$AO197+$AQ197+$AR197+$AS197+IF(igst_itc_available,0,$AP197)</f>
        <v/>
      </c>
      <c r="AU197" s="15">
        <f>(1-$AA197)*(1-$AB197)*$AC197</f>
        <v/>
      </c>
      <c r="AV197" s="18">
        <f>$N197*kg_per_mt+domestic_anchor_premium_inr_t</f>
        <v/>
      </c>
      <c r="AW197" s="18">
        <f>(1-$AA197)*$AD197*heavies_net_value_frac_of_lme_al*$F197*$H197</f>
        <v/>
      </c>
      <c r="AX197" s="18">
        <f>conversion_cost_inr_t*$AU197</f>
        <v/>
      </c>
      <c r="AY197" s="18">
        <f>$AV197*$AU197+$AW197-$AT197-$AX197</f>
        <v/>
      </c>
      <c r="AZ197" s="16">
        <f>$AY197/$H197</f>
        <v/>
      </c>
      <c r="BA197" s="8">
        <f>$AY197&gt;margin_threshold_inr_t</f>
        <v/>
      </c>
      <c r="BB197" s="8">
        <f>$Q197+$AE197</f>
        <v/>
      </c>
      <c r="BC197" s="18">
        <f>$AT197-$AQ197</f>
        <v/>
      </c>
      <c r="BD197" s="18">
        <f>$AY197-$BC197*($BB197/$P197-1)</f>
        <v/>
      </c>
      <c r="BE197" s="18">
        <f>$AY197-(conv_step_5a-conversion_cost_inr_t)*$AU197</f>
        <v/>
      </c>
      <c r="BF197" s="8">
        <f>$BA197</f>
        <v/>
      </c>
      <c r="BG197" s="8">
        <f>$BD197&gt;margin_threshold_inr_t</f>
        <v/>
      </c>
      <c r="BH197" s="8">
        <f>$BE197&gt;margin_threshold_inr_t</f>
        <v/>
      </c>
      <c r="BI197" s="8">
        <f>AND($BF197,$BG197,$BH197)</f>
        <v/>
      </c>
      <c r="BJ197" s="8">
        <f>IF($BI197,1,0)</f>
        <v/>
      </c>
    </row>
    <row r="198">
      <c r="A198" s="11" t="n">
        <v>44792</v>
      </c>
      <c r="B198" s="11" t="n">
        <v>44792</v>
      </c>
      <c r="C198" s="7" t="inlineStr">
        <is>
          <t>zorba</t>
        </is>
      </c>
      <c r="D198" s="7" t="inlineStr">
        <is>
          <t>JEA_NSA</t>
        </is>
      </c>
      <c r="E198" s="17" t="b">
        <v>1</v>
      </c>
      <c r="F198" s="16">
        <f>INDEX(Market_Weekly!$E$6:$E$48,MATCH($A198,Market_Weekly!$A$6:$A$48,0))</f>
        <v/>
      </c>
      <c r="G198" s="16">
        <f>INDEX(Market_Weekly!$D$6:$D$48,MATCH($A198,Market_Weekly!$A$6:$A$48,0))</f>
        <v/>
      </c>
      <c r="H198" s="16">
        <f>INDEX(Market_Weekly!$G$6:$G$48,MATCH($A198,Market_Weekly!$A$6:$A$48,0))</f>
        <v/>
      </c>
      <c r="I198" s="8">
        <f>INDEX(Market_Weekly!$H$6:$H$48,MATCH($A198,Market_Weekly!$A$6:$A$48,0))</f>
        <v/>
      </c>
      <c r="J198" s="8">
        <f>INDEX(Market_Weekly!$Q$6:$Q$48,MATCH($A198,Market_Weekly!$A$6:$A$48,0))</f>
        <v/>
      </c>
      <c r="K198" s="8">
        <f>INDEX(Market_Weekly!$V$6:$V$48,MATCH($A198,Market_Weekly!$A$6:$A$48,0))</f>
        <v/>
      </c>
      <c r="L198" s="16">
        <f>IF($D198="JEA_NSA",INDEX(Market_Weekly!$N$6:$N$48,MATCH($A198,Market_Weekly!$A$6:$A$48,0)),INDEX(Market_Weekly!$O$6:$O$48,MATCH($A198,Market_Weekly!$A$6:$A$48,0)))</f>
        <v/>
      </c>
      <c r="M198" s="8">
        <f>IF($D198="JEA_NSA","M1","M2")</f>
        <v/>
      </c>
      <c r="N198" s="16">
        <f>IF($D198="JEA_NSA",INDEX(Market_Weekly!$L$6:$L$48,MATCH($A198,Market_Weekly!$A$6:$A$48,0)),INDEX(Market_Weekly!$M$6:$M$48,MATCH($A198,Market_Weekly!$A$6:$A$48,0)))</f>
        <v/>
      </c>
      <c r="O198" s="15">
        <f>INDEX(Market_Weekly!$P$6:$P$48,MATCH($A198,Market_Weekly!$A$6:$A$48,0))</f>
        <v/>
      </c>
      <c r="P198" s="8">
        <f>INDEX(Market_Weekly!$R$6:$T$48,MATCH($A198,Market_Weekly!$A$6:$A$48,0),MATCH("grade_factor_"&amp;$C198,Market_Weekly!$R$5:$T$5,0))</f>
        <v/>
      </c>
      <c r="Q198" s="8">
        <f>INDEX(Market_Weekly!$U$6:$U$48,MATCH($A198,Market_Weekly!$A$6:$A$48,0))</f>
        <v/>
      </c>
      <c r="R198" s="8">
        <f>IF($D198="JEA_NSA","20ft","40ft")</f>
        <v/>
      </c>
      <c r="S198" s="8">
        <f>IF($D198="JEA_NSA","nsa","mun")</f>
        <v/>
      </c>
      <c r="T198" s="8">
        <f>IF($D198="JEA_NSA","jea_nsa","usec_mun")</f>
        <v/>
      </c>
      <c r="U198" s="16">
        <f>INDEX(param_values,MATCH("container_payload_mt_"&amp;$R198,param_keys,0))</f>
        <v/>
      </c>
      <c r="V198" s="16">
        <f>INDEX(param_values,MATCH("container_payload_mt_"&amp;$R198&amp;"_"&amp;$C198,param_keys,0))</f>
        <v/>
      </c>
      <c r="W198" s="16">
        <f>INDEX(param_values,MATCH("container_payload_mt_20ft_"&amp;$C198,param_keys,0))</f>
        <v/>
      </c>
      <c r="X198" s="18">
        <f>INDEX(param_values,MATCH("port_cf_charges_inr_t_"&amp;$S198,param_keys,0))</f>
        <v/>
      </c>
      <c r="Y198" s="8">
        <f>INDEX(param_values,MATCH(IF($D198="JEA_NSA","psic_required_uae_origin","psic_required_safe_origin_designated_port"),param_keys,0))</f>
        <v/>
      </c>
      <c r="Z198" s="19">
        <f>INDEX(param_values,MATCH("finance_days_"&amp;$T198,param_keys,0))</f>
        <v/>
      </c>
      <c r="AA198" s="15">
        <f>INDEX(param_values,MATCH("moisture_frac_"&amp;$C198,param_keys,0))</f>
        <v/>
      </c>
      <c r="AB198" s="15">
        <f>INDEX(param_values,MATCH("contamination_frac_"&amp;$C198,param_keys,0))</f>
        <v/>
      </c>
      <c r="AC198" s="15">
        <f>INDEX(param_values,MATCH("metal_yield_frac_"&amp;$C198,param_keys,0))</f>
        <v/>
      </c>
      <c r="AD198" s="15">
        <f>INDEX(param_values,MATCH("heavies_frac_"&amp;$C198,param_keys,0))</f>
        <v/>
      </c>
      <c r="AE198" s="8">
        <f>INDEX(param_values,MATCH("grade_factor_diff_"&amp;$C198,param_keys,0))</f>
        <v/>
      </c>
      <c r="AF198" s="16">
        <f>$F198*$P198</f>
        <v/>
      </c>
      <c r="AG198" s="8">
        <f>$U198/$V198</f>
        <v/>
      </c>
      <c r="AH198" s="16">
        <f>$L198*$AG198</f>
        <v/>
      </c>
      <c r="AI198" s="16">
        <f>$AF198-$AH198</f>
        <v/>
      </c>
      <c r="AJ198" s="16">
        <f>insurance_rate*insured_value_uplift*$AF198</f>
        <v/>
      </c>
      <c r="AK198" s="16">
        <f>$AF198+$AJ198</f>
        <v/>
      </c>
      <c r="AL198" s="18">
        <f>$AK198*$J198</f>
        <v/>
      </c>
      <c r="AM198" s="18">
        <f>$AK198*$I198</f>
        <v/>
      </c>
      <c r="AN198" s="18">
        <f>$AL198*bcd_scrap_hs7602</f>
        <v/>
      </c>
      <c r="AO198" s="18">
        <f>$AN198*sws_rate_on_bcd</f>
        <v/>
      </c>
      <c r="AP198" s="18">
        <f>($AL198+$AN198+$AO198)*igst_rate_hs7602</f>
        <v/>
      </c>
      <c r="AQ198" s="18">
        <f>$X198*$AG198+IF($Y198,psic_cost_usd_per_box*$H198/$W198,0)</f>
        <v/>
      </c>
      <c r="AR198" s="18">
        <f>($AM198+$AN198+$AO198)*$Z198/day_count_inr*$O198</f>
        <v/>
      </c>
      <c r="AS198" s="18">
        <f>$AP198*igst_credit_lag_days/day_count_inr*$O198</f>
        <v/>
      </c>
      <c r="AT198" s="18">
        <f>$AM198+$AN198+$AO198+$AQ198+$AR198+$AS198+IF(igst_itc_available,0,$AP198)</f>
        <v/>
      </c>
      <c r="AU198" s="15">
        <f>(1-$AA198)*(1-$AB198)*$AC198</f>
        <v/>
      </c>
      <c r="AV198" s="18">
        <f>$N198*kg_per_mt+domestic_anchor_premium_inr_t</f>
        <v/>
      </c>
      <c r="AW198" s="18">
        <f>(1-$AA198)*$AD198*heavies_net_value_frac_of_lme_al*$F198*$H198</f>
        <v/>
      </c>
      <c r="AX198" s="18">
        <f>conversion_cost_inr_t*$AU198</f>
        <v/>
      </c>
      <c r="AY198" s="18">
        <f>$AV198*$AU198+$AW198-$AT198-$AX198</f>
        <v/>
      </c>
      <c r="AZ198" s="16">
        <f>$AY198/$H198</f>
        <v/>
      </c>
      <c r="BA198" s="8">
        <f>$AY198&gt;margin_threshold_inr_t</f>
        <v/>
      </c>
      <c r="BB198" s="8">
        <f>$Q198+$AE198</f>
        <v/>
      </c>
      <c r="BC198" s="18">
        <f>$AT198-$AQ198</f>
        <v/>
      </c>
      <c r="BD198" s="18">
        <f>$AY198-$BC198*($BB198/$P198-1)</f>
        <v/>
      </c>
      <c r="BE198" s="18">
        <f>$AY198-(conv_step_5a-conversion_cost_inr_t)*$AU198</f>
        <v/>
      </c>
      <c r="BF198" s="8">
        <f>$BA198</f>
        <v/>
      </c>
      <c r="BG198" s="8">
        <f>$BD198&gt;margin_threshold_inr_t</f>
        <v/>
      </c>
      <c r="BH198" s="8">
        <f>$BE198&gt;margin_threshold_inr_t</f>
        <v/>
      </c>
      <c r="BI198" s="8">
        <f>AND($BF198,$BG198,$BH198)</f>
        <v/>
      </c>
      <c r="BJ198" s="8">
        <f>IF($BI198,1,0)</f>
        <v/>
      </c>
    </row>
    <row r="199">
      <c r="A199" s="11" t="n">
        <v>44792</v>
      </c>
      <c r="B199" s="11" t="n">
        <v>44792</v>
      </c>
      <c r="C199" s="7" t="inlineStr">
        <is>
          <t>zorba</t>
        </is>
      </c>
      <c r="D199" s="7" t="inlineStr">
        <is>
          <t>USEC_MUN</t>
        </is>
      </c>
      <c r="E199" s="17" t="b">
        <v>1</v>
      </c>
      <c r="F199" s="16">
        <f>INDEX(Market_Weekly!$E$6:$E$48,MATCH($A199,Market_Weekly!$A$6:$A$48,0))</f>
        <v/>
      </c>
      <c r="G199" s="16">
        <f>INDEX(Market_Weekly!$D$6:$D$48,MATCH($A199,Market_Weekly!$A$6:$A$48,0))</f>
        <v/>
      </c>
      <c r="H199" s="16">
        <f>INDEX(Market_Weekly!$G$6:$G$48,MATCH($A199,Market_Weekly!$A$6:$A$48,0))</f>
        <v/>
      </c>
      <c r="I199" s="8">
        <f>INDEX(Market_Weekly!$H$6:$H$48,MATCH($A199,Market_Weekly!$A$6:$A$48,0))</f>
        <v/>
      </c>
      <c r="J199" s="8">
        <f>INDEX(Market_Weekly!$Q$6:$Q$48,MATCH($A199,Market_Weekly!$A$6:$A$48,0))</f>
        <v/>
      </c>
      <c r="K199" s="8">
        <f>INDEX(Market_Weekly!$V$6:$V$48,MATCH($A199,Market_Weekly!$A$6:$A$48,0))</f>
        <v/>
      </c>
      <c r="L199" s="16">
        <f>IF($D199="JEA_NSA",INDEX(Market_Weekly!$N$6:$N$48,MATCH($A199,Market_Weekly!$A$6:$A$48,0)),INDEX(Market_Weekly!$O$6:$O$48,MATCH($A199,Market_Weekly!$A$6:$A$48,0)))</f>
        <v/>
      </c>
      <c r="M199" s="8">
        <f>IF($D199="JEA_NSA","M1","M2")</f>
        <v/>
      </c>
      <c r="N199" s="16">
        <f>IF($D199="JEA_NSA",INDEX(Market_Weekly!$L$6:$L$48,MATCH($A199,Market_Weekly!$A$6:$A$48,0)),INDEX(Market_Weekly!$M$6:$M$48,MATCH($A199,Market_Weekly!$A$6:$A$48,0)))</f>
        <v/>
      </c>
      <c r="O199" s="15">
        <f>INDEX(Market_Weekly!$P$6:$P$48,MATCH($A199,Market_Weekly!$A$6:$A$48,0))</f>
        <v/>
      </c>
      <c r="P199" s="8">
        <f>INDEX(Market_Weekly!$R$6:$T$48,MATCH($A199,Market_Weekly!$A$6:$A$48,0),MATCH("grade_factor_"&amp;$C199,Market_Weekly!$R$5:$T$5,0))</f>
        <v/>
      </c>
      <c r="Q199" s="8">
        <f>INDEX(Market_Weekly!$U$6:$U$48,MATCH($A199,Market_Weekly!$A$6:$A$48,0))</f>
        <v/>
      </c>
      <c r="R199" s="8">
        <f>IF($D199="JEA_NSA","20ft","40ft")</f>
        <v/>
      </c>
      <c r="S199" s="8">
        <f>IF($D199="JEA_NSA","nsa","mun")</f>
        <v/>
      </c>
      <c r="T199" s="8">
        <f>IF($D199="JEA_NSA","jea_nsa","usec_mun")</f>
        <v/>
      </c>
      <c r="U199" s="16">
        <f>INDEX(param_values,MATCH("container_payload_mt_"&amp;$R199,param_keys,0))</f>
        <v/>
      </c>
      <c r="V199" s="16">
        <f>INDEX(param_values,MATCH("container_payload_mt_"&amp;$R199&amp;"_"&amp;$C199,param_keys,0))</f>
        <v/>
      </c>
      <c r="W199" s="16">
        <f>INDEX(param_values,MATCH("container_payload_mt_20ft_"&amp;$C199,param_keys,0))</f>
        <v/>
      </c>
      <c r="X199" s="18">
        <f>INDEX(param_values,MATCH("port_cf_charges_inr_t_"&amp;$S199,param_keys,0))</f>
        <v/>
      </c>
      <c r="Y199" s="8">
        <f>INDEX(param_values,MATCH(IF($D199="JEA_NSA","psic_required_uae_origin","psic_required_safe_origin_designated_port"),param_keys,0))</f>
        <v/>
      </c>
      <c r="Z199" s="19">
        <f>INDEX(param_values,MATCH("finance_days_"&amp;$T199,param_keys,0))</f>
        <v/>
      </c>
      <c r="AA199" s="15">
        <f>INDEX(param_values,MATCH("moisture_frac_"&amp;$C199,param_keys,0))</f>
        <v/>
      </c>
      <c r="AB199" s="15">
        <f>INDEX(param_values,MATCH("contamination_frac_"&amp;$C199,param_keys,0))</f>
        <v/>
      </c>
      <c r="AC199" s="15">
        <f>INDEX(param_values,MATCH("metal_yield_frac_"&amp;$C199,param_keys,0))</f>
        <v/>
      </c>
      <c r="AD199" s="15">
        <f>INDEX(param_values,MATCH("heavies_frac_"&amp;$C199,param_keys,0))</f>
        <v/>
      </c>
      <c r="AE199" s="8">
        <f>INDEX(param_values,MATCH("grade_factor_diff_"&amp;$C199,param_keys,0))</f>
        <v/>
      </c>
      <c r="AF199" s="16">
        <f>$F199*$P199</f>
        <v/>
      </c>
      <c r="AG199" s="8">
        <f>$U199/$V199</f>
        <v/>
      </c>
      <c r="AH199" s="16">
        <f>$L199*$AG199</f>
        <v/>
      </c>
      <c r="AI199" s="16">
        <f>$AF199-$AH199</f>
        <v/>
      </c>
      <c r="AJ199" s="16">
        <f>insurance_rate*insured_value_uplift*$AF199</f>
        <v/>
      </c>
      <c r="AK199" s="16">
        <f>$AF199+$AJ199</f>
        <v/>
      </c>
      <c r="AL199" s="18">
        <f>$AK199*$J199</f>
        <v/>
      </c>
      <c r="AM199" s="18">
        <f>$AK199*$I199</f>
        <v/>
      </c>
      <c r="AN199" s="18">
        <f>$AL199*bcd_scrap_hs7602</f>
        <v/>
      </c>
      <c r="AO199" s="18">
        <f>$AN199*sws_rate_on_bcd</f>
        <v/>
      </c>
      <c r="AP199" s="18">
        <f>($AL199+$AN199+$AO199)*igst_rate_hs7602</f>
        <v/>
      </c>
      <c r="AQ199" s="18">
        <f>$X199*$AG199+IF($Y199,psic_cost_usd_per_box*$H199/$W199,0)</f>
        <v/>
      </c>
      <c r="AR199" s="18">
        <f>($AM199+$AN199+$AO199)*$Z199/day_count_inr*$O199</f>
        <v/>
      </c>
      <c r="AS199" s="18">
        <f>$AP199*igst_credit_lag_days/day_count_inr*$O199</f>
        <v/>
      </c>
      <c r="AT199" s="18">
        <f>$AM199+$AN199+$AO199+$AQ199+$AR199+$AS199+IF(igst_itc_available,0,$AP199)</f>
        <v/>
      </c>
      <c r="AU199" s="15">
        <f>(1-$AA199)*(1-$AB199)*$AC199</f>
        <v/>
      </c>
      <c r="AV199" s="18">
        <f>$N199*kg_per_mt+domestic_anchor_premium_inr_t</f>
        <v/>
      </c>
      <c r="AW199" s="18">
        <f>(1-$AA199)*$AD199*heavies_net_value_frac_of_lme_al*$F199*$H199</f>
        <v/>
      </c>
      <c r="AX199" s="18">
        <f>conversion_cost_inr_t*$AU199</f>
        <v/>
      </c>
      <c r="AY199" s="18">
        <f>$AV199*$AU199+$AW199-$AT199-$AX199</f>
        <v/>
      </c>
      <c r="AZ199" s="16">
        <f>$AY199/$H199</f>
        <v/>
      </c>
      <c r="BA199" s="8">
        <f>$AY199&gt;margin_threshold_inr_t</f>
        <v/>
      </c>
      <c r="BB199" s="8">
        <f>$Q199+$AE199</f>
        <v/>
      </c>
      <c r="BC199" s="18">
        <f>$AT199-$AQ199</f>
        <v/>
      </c>
      <c r="BD199" s="18">
        <f>$AY199-$BC199*($BB199/$P199-1)</f>
        <v/>
      </c>
      <c r="BE199" s="18">
        <f>$AY199-(conv_step_5a-conversion_cost_inr_t)*$AU199</f>
        <v/>
      </c>
      <c r="BF199" s="8">
        <f>$BA199</f>
        <v/>
      </c>
      <c r="BG199" s="8">
        <f>$BD199&gt;margin_threshold_inr_t</f>
        <v/>
      </c>
      <c r="BH199" s="8">
        <f>$BE199&gt;margin_threshold_inr_t</f>
        <v/>
      </c>
      <c r="BI199" s="8">
        <f>AND($BF199,$BG199,$BH199)</f>
        <v/>
      </c>
      <c r="BJ199" s="8">
        <f>IF($BI199,1,0)</f>
        <v/>
      </c>
    </row>
    <row r="200">
      <c r="A200" s="11" t="n">
        <v>44792</v>
      </c>
      <c r="B200" s="11" t="n">
        <v>44792</v>
      </c>
      <c r="C200" s="7" t="inlineStr">
        <is>
          <t>taint_tabor</t>
        </is>
      </c>
      <c r="D200" s="7" t="inlineStr">
        <is>
          <t>JEA_NSA</t>
        </is>
      </c>
      <c r="E200" s="17" t="b">
        <v>1</v>
      </c>
      <c r="F200" s="16">
        <f>INDEX(Market_Weekly!$E$6:$E$48,MATCH($A200,Market_Weekly!$A$6:$A$48,0))</f>
        <v/>
      </c>
      <c r="G200" s="16">
        <f>INDEX(Market_Weekly!$D$6:$D$48,MATCH($A200,Market_Weekly!$A$6:$A$48,0))</f>
        <v/>
      </c>
      <c r="H200" s="16">
        <f>INDEX(Market_Weekly!$G$6:$G$48,MATCH($A200,Market_Weekly!$A$6:$A$48,0))</f>
        <v/>
      </c>
      <c r="I200" s="8">
        <f>INDEX(Market_Weekly!$H$6:$H$48,MATCH($A200,Market_Weekly!$A$6:$A$48,0))</f>
        <v/>
      </c>
      <c r="J200" s="8">
        <f>INDEX(Market_Weekly!$Q$6:$Q$48,MATCH($A200,Market_Weekly!$A$6:$A$48,0))</f>
        <v/>
      </c>
      <c r="K200" s="8">
        <f>INDEX(Market_Weekly!$V$6:$V$48,MATCH($A200,Market_Weekly!$A$6:$A$48,0))</f>
        <v/>
      </c>
      <c r="L200" s="16">
        <f>IF($D200="JEA_NSA",INDEX(Market_Weekly!$N$6:$N$48,MATCH($A200,Market_Weekly!$A$6:$A$48,0)),INDEX(Market_Weekly!$O$6:$O$48,MATCH($A200,Market_Weekly!$A$6:$A$48,0)))</f>
        <v/>
      </c>
      <c r="M200" s="8">
        <f>IF($D200="JEA_NSA","M1","M2")</f>
        <v/>
      </c>
      <c r="N200" s="16">
        <f>IF($D200="JEA_NSA",INDEX(Market_Weekly!$L$6:$L$48,MATCH($A200,Market_Weekly!$A$6:$A$48,0)),INDEX(Market_Weekly!$M$6:$M$48,MATCH($A200,Market_Weekly!$A$6:$A$48,0)))</f>
        <v/>
      </c>
      <c r="O200" s="15">
        <f>INDEX(Market_Weekly!$P$6:$P$48,MATCH($A200,Market_Weekly!$A$6:$A$48,0))</f>
        <v/>
      </c>
      <c r="P200" s="8">
        <f>INDEX(Market_Weekly!$R$6:$T$48,MATCH($A200,Market_Weekly!$A$6:$A$48,0),MATCH("grade_factor_"&amp;$C200,Market_Weekly!$R$5:$T$5,0))</f>
        <v/>
      </c>
      <c r="Q200" s="8">
        <f>INDEX(Market_Weekly!$U$6:$U$48,MATCH($A200,Market_Weekly!$A$6:$A$48,0))</f>
        <v/>
      </c>
      <c r="R200" s="8">
        <f>IF($D200="JEA_NSA","20ft","40ft")</f>
        <v/>
      </c>
      <c r="S200" s="8">
        <f>IF($D200="JEA_NSA","nsa","mun")</f>
        <v/>
      </c>
      <c r="T200" s="8">
        <f>IF($D200="JEA_NSA","jea_nsa","usec_mun")</f>
        <v/>
      </c>
      <c r="U200" s="16">
        <f>INDEX(param_values,MATCH("container_payload_mt_"&amp;$R200,param_keys,0))</f>
        <v/>
      </c>
      <c r="V200" s="16">
        <f>INDEX(param_values,MATCH("container_payload_mt_"&amp;$R200&amp;"_"&amp;$C200,param_keys,0))</f>
        <v/>
      </c>
      <c r="W200" s="16">
        <f>INDEX(param_values,MATCH("container_payload_mt_20ft_"&amp;$C200,param_keys,0))</f>
        <v/>
      </c>
      <c r="X200" s="18">
        <f>INDEX(param_values,MATCH("port_cf_charges_inr_t_"&amp;$S200,param_keys,0))</f>
        <v/>
      </c>
      <c r="Y200" s="8">
        <f>INDEX(param_values,MATCH(IF($D200="JEA_NSA","psic_required_uae_origin","psic_required_safe_origin_designated_port"),param_keys,0))</f>
        <v/>
      </c>
      <c r="Z200" s="19">
        <f>INDEX(param_values,MATCH("finance_days_"&amp;$T200,param_keys,0))</f>
        <v/>
      </c>
      <c r="AA200" s="15">
        <f>INDEX(param_values,MATCH("moisture_frac_"&amp;$C200,param_keys,0))</f>
        <v/>
      </c>
      <c r="AB200" s="15">
        <f>INDEX(param_values,MATCH("contamination_frac_"&amp;$C200,param_keys,0))</f>
        <v/>
      </c>
      <c r="AC200" s="15">
        <f>INDEX(param_values,MATCH("metal_yield_frac_"&amp;$C200,param_keys,0))</f>
        <v/>
      </c>
      <c r="AD200" s="15">
        <f>INDEX(param_values,MATCH("heavies_frac_"&amp;$C200,param_keys,0))</f>
        <v/>
      </c>
      <c r="AE200" s="8">
        <f>INDEX(param_values,MATCH("grade_factor_diff_"&amp;$C200,param_keys,0))</f>
        <v/>
      </c>
      <c r="AF200" s="16">
        <f>$F200*$P200</f>
        <v/>
      </c>
      <c r="AG200" s="8">
        <f>$U200/$V200</f>
        <v/>
      </c>
      <c r="AH200" s="16">
        <f>$L200*$AG200</f>
        <v/>
      </c>
      <c r="AI200" s="16">
        <f>$AF200-$AH200</f>
        <v/>
      </c>
      <c r="AJ200" s="16">
        <f>insurance_rate*insured_value_uplift*$AF200</f>
        <v/>
      </c>
      <c r="AK200" s="16">
        <f>$AF200+$AJ200</f>
        <v/>
      </c>
      <c r="AL200" s="18">
        <f>$AK200*$J200</f>
        <v/>
      </c>
      <c r="AM200" s="18">
        <f>$AK200*$I200</f>
        <v/>
      </c>
      <c r="AN200" s="18">
        <f>$AL200*bcd_scrap_hs7602</f>
        <v/>
      </c>
      <c r="AO200" s="18">
        <f>$AN200*sws_rate_on_bcd</f>
        <v/>
      </c>
      <c r="AP200" s="18">
        <f>($AL200+$AN200+$AO200)*igst_rate_hs7602</f>
        <v/>
      </c>
      <c r="AQ200" s="18">
        <f>$X200*$AG200+IF($Y200,psic_cost_usd_per_box*$H200/$W200,0)</f>
        <v/>
      </c>
      <c r="AR200" s="18">
        <f>($AM200+$AN200+$AO200)*$Z200/day_count_inr*$O200</f>
        <v/>
      </c>
      <c r="AS200" s="18">
        <f>$AP200*igst_credit_lag_days/day_count_inr*$O200</f>
        <v/>
      </c>
      <c r="AT200" s="18">
        <f>$AM200+$AN200+$AO200+$AQ200+$AR200+$AS200+IF(igst_itc_available,0,$AP200)</f>
        <v/>
      </c>
      <c r="AU200" s="15">
        <f>(1-$AA200)*(1-$AB200)*$AC200</f>
        <v/>
      </c>
      <c r="AV200" s="18">
        <f>$N200*kg_per_mt+domestic_anchor_premium_inr_t</f>
        <v/>
      </c>
      <c r="AW200" s="18">
        <f>(1-$AA200)*$AD200*heavies_net_value_frac_of_lme_al*$F200*$H200</f>
        <v/>
      </c>
      <c r="AX200" s="18">
        <f>conversion_cost_inr_t*$AU200</f>
        <v/>
      </c>
      <c r="AY200" s="18">
        <f>$AV200*$AU200+$AW200-$AT200-$AX200</f>
        <v/>
      </c>
      <c r="AZ200" s="16">
        <f>$AY200/$H200</f>
        <v/>
      </c>
      <c r="BA200" s="8">
        <f>$AY200&gt;margin_threshold_inr_t</f>
        <v/>
      </c>
      <c r="BB200" s="8">
        <f>$Q200+$AE200</f>
        <v/>
      </c>
      <c r="BC200" s="18">
        <f>$AT200-$AQ200</f>
        <v/>
      </c>
      <c r="BD200" s="18">
        <f>$AY200-$BC200*($BB200/$P200-1)</f>
        <v/>
      </c>
      <c r="BE200" s="18">
        <f>$AY200-(conv_step_5a-conversion_cost_inr_t)*$AU200</f>
        <v/>
      </c>
      <c r="BF200" s="8">
        <f>$BA200</f>
        <v/>
      </c>
      <c r="BG200" s="8">
        <f>$BD200&gt;margin_threshold_inr_t</f>
        <v/>
      </c>
      <c r="BH200" s="8">
        <f>$BE200&gt;margin_threshold_inr_t</f>
        <v/>
      </c>
      <c r="BI200" s="8">
        <f>AND($BF200,$BG200,$BH200)</f>
        <v/>
      </c>
      <c r="BJ200" s="8">
        <f>IF($BI200,1,0)</f>
        <v/>
      </c>
    </row>
    <row r="201">
      <c r="A201" s="11" t="n">
        <v>44792</v>
      </c>
      <c r="B201" s="11" t="n">
        <v>44792</v>
      </c>
      <c r="C201" s="7" t="inlineStr">
        <is>
          <t>taint_tabor</t>
        </is>
      </c>
      <c r="D201" s="7" t="inlineStr">
        <is>
          <t>USEC_MUN</t>
        </is>
      </c>
      <c r="E201" s="17" t="b">
        <v>1</v>
      </c>
      <c r="F201" s="16">
        <f>INDEX(Market_Weekly!$E$6:$E$48,MATCH($A201,Market_Weekly!$A$6:$A$48,0))</f>
        <v/>
      </c>
      <c r="G201" s="16">
        <f>INDEX(Market_Weekly!$D$6:$D$48,MATCH($A201,Market_Weekly!$A$6:$A$48,0))</f>
        <v/>
      </c>
      <c r="H201" s="16">
        <f>INDEX(Market_Weekly!$G$6:$G$48,MATCH($A201,Market_Weekly!$A$6:$A$48,0))</f>
        <v/>
      </c>
      <c r="I201" s="8">
        <f>INDEX(Market_Weekly!$H$6:$H$48,MATCH($A201,Market_Weekly!$A$6:$A$48,0))</f>
        <v/>
      </c>
      <c r="J201" s="8">
        <f>INDEX(Market_Weekly!$Q$6:$Q$48,MATCH($A201,Market_Weekly!$A$6:$A$48,0))</f>
        <v/>
      </c>
      <c r="K201" s="8">
        <f>INDEX(Market_Weekly!$V$6:$V$48,MATCH($A201,Market_Weekly!$A$6:$A$48,0))</f>
        <v/>
      </c>
      <c r="L201" s="16">
        <f>IF($D201="JEA_NSA",INDEX(Market_Weekly!$N$6:$N$48,MATCH($A201,Market_Weekly!$A$6:$A$48,0)),INDEX(Market_Weekly!$O$6:$O$48,MATCH($A201,Market_Weekly!$A$6:$A$48,0)))</f>
        <v/>
      </c>
      <c r="M201" s="8">
        <f>IF($D201="JEA_NSA","M1","M2")</f>
        <v/>
      </c>
      <c r="N201" s="16">
        <f>IF($D201="JEA_NSA",INDEX(Market_Weekly!$L$6:$L$48,MATCH($A201,Market_Weekly!$A$6:$A$48,0)),INDEX(Market_Weekly!$M$6:$M$48,MATCH($A201,Market_Weekly!$A$6:$A$48,0)))</f>
        <v/>
      </c>
      <c r="O201" s="15">
        <f>INDEX(Market_Weekly!$P$6:$P$48,MATCH($A201,Market_Weekly!$A$6:$A$48,0))</f>
        <v/>
      </c>
      <c r="P201" s="8">
        <f>INDEX(Market_Weekly!$R$6:$T$48,MATCH($A201,Market_Weekly!$A$6:$A$48,0),MATCH("grade_factor_"&amp;$C201,Market_Weekly!$R$5:$T$5,0))</f>
        <v/>
      </c>
      <c r="Q201" s="8">
        <f>INDEX(Market_Weekly!$U$6:$U$48,MATCH($A201,Market_Weekly!$A$6:$A$48,0))</f>
        <v/>
      </c>
      <c r="R201" s="8">
        <f>IF($D201="JEA_NSA","20ft","40ft")</f>
        <v/>
      </c>
      <c r="S201" s="8">
        <f>IF($D201="JEA_NSA","nsa","mun")</f>
        <v/>
      </c>
      <c r="T201" s="8">
        <f>IF($D201="JEA_NSA","jea_nsa","usec_mun")</f>
        <v/>
      </c>
      <c r="U201" s="16">
        <f>INDEX(param_values,MATCH("container_payload_mt_"&amp;$R201,param_keys,0))</f>
        <v/>
      </c>
      <c r="V201" s="16">
        <f>INDEX(param_values,MATCH("container_payload_mt_"&amp;$R201&amp;"_"&amp;$C201,param_keys,0))</f>
        <v/>
      </c>
      <c r="W201" s="16">
        <f>INDEX(param_values,MATCH("container_payload_mt_20ft_"&amp;$C201,param_keys,0))</f>
        <v/>
      </c>
      <c r="X201" s="18">
        <f>INDEX(param_values,MATCH("port_cf_charges_inr_t_"&amp;$S201,param_keys,0))</f>
        <v/>
      </c>
      <c r="Y201" s="8">
        <f>INDEX(param_values,MATCH(IF($D201="JEA_NSA","psic_required_uae_origin","psic_required_safe_origin_designated_port"),param_keys,0))</f>
        <v/>
      </c>
      <c r="Z201" s="19">
        <f>INDEX(param_values,MATCH("finance_days_"&amp;$T201,param_keys,0))</f>
        <v/>
      </c>
      <c r="AA201" s="15">
        <f>INDEX(param_values,MATCH("moisture_frac_"&amp;$C201,param_keys,0))</f>
        <v/>
      </c>
      <c r="AB201" s="15">
        <f>INDEX(param_values,MATCH("contamination_frac_"&amp;$C201,param_keys,0))</f>
        <v/>
      </c>
      <c r="AC201" s="15">
        <f>INDEX(param_values,MATCH("metal_yield_frac_"&amp;$C201,param_keys,0))</f>
        <v/>
      </c>
      <c r="AD201" s="15">
        <f>INDEX(param_values,MATCH("heavies_frac_"&amp;$C201,param_keys,0))</f>
        <v/>
      </c>
      <c r="AE201" s="8">
        <f>INDEX(param_values,MATCH("grade_factor_diff_"&amp;$C201,param_keys,0))</f>
        <v/>
      </c>
      <c r="AF201" s="16">
        <f>$F201*$P201</f>
        <v/>
      </c>
      <c r="AG201" s="8">
        <f>$U201/$V201</f>
        <v/>
      </c>
      <c r="AH201" s="16">
        <f>$L201*$AG201</f>
        <v/>
      </c>
      <c r="AI201" s="16">
        <f>$AF201-$AH201</f>
        <v/>
      </c>
      <c r="AJ201" s="16">
        <f>insurance_rate*insured_value_uplift*$AF201</f>
        <v/>
      </c>
      <c r="AK201" s="16">
        <f>$AF201+$AJ201</f>
        <v/>
      </c>
      <c r="AL201" s="18">
        <f>$AK201*$J201</f>
        <v/>
      </c>
      <c r="AM201" s="18">
        <f>$AK201*$I201</f>
        <v/>
      </c>
      <c r="AN201" s="18">
        <f>$AL201*bcd_scrap_hs7602</f>
        <v/>
      </c>
      <c r="AO201" s="18">
        <f>$AN201*sws_rate_on_bcd</f>
        <v/>
      </c>
      <c r="AP201" s="18">
        <f>($AL201+$AN201+$AO201)*igst_rate_hs7602</f>
        <v/>
      </c>
      <c r="AQ201" s="18">
        <f>$X201*$AG201+IF($Y201,psic_cost_usd_per_box*$H201/$W201,0)</f>
        <v/>
      </c>
      <c r="AR201" s="18">
        <f>($AM201+$AN201+$AO201)*$Z201/day_count_inr*$O201</f>
        <v/>
      </c>
      <c r="AS201" s="18">
        <f>$AP201*igst_credit_lag_days/day_count_inr*$O201</f>
        <v/>
      </c>
      <c r="AT201" s="18">
        <f>$AM201+$AN201+$AO201+$AQ201+$AR201+$AS201+IF(igst_itc_available,0,$AP201)</f>
        <v/>
      </c>
      <c r="AU201" s="15">
        <f>(1-$AA201)*(1-$AB201)*$AC201</f>
        <v/>
      </c>
      <c r="AV201" s="18">
        <f>$N201*kg_per_mt+domestic_anchor_premium_inr_t</f>
        <v/>
      </c>
      <c r="AW201" s="18">
        <f>(1-$AA201)*$AD201*heavies_net_value_frac_of_lme_al*$F201*$H201</f>
        <v/>
      </c>
      <c r="AX201" s="18">
        <f>conversion_cost_inr_t*$AU201</f>
        <v/>
      </c>
      <c r="AY201" s="18">
        <f>$AV201*$AU201+$AW201-$AT201-$AX201</f>
        <v/>
      </c>
      <c r="AZ201" s="16">
        <f>$AY201/$H201</f>
        <v/>
      </c>
      <c r="BA201" s="8">
        <f>$AY201&gt;margin_threshold_inr_t</f>
        <v/>
      </c>
      <c r="BB201" s="8">
        <f>$Q201+$AE201</f>
        <v/>
      </c>
      <c r="BC201" s="18">
        <f>$AT201-$AQ201</f>
        <v/>
      </c>
      <c r="BD201" s="18">
        <f>$AY201-$BC201*($BB201/$P201-1)</f>
        <v/>
      </c>
      <c r="BE201" s="18">
        <f>$AY201-(conv_step_5a-conversion_cost_inr_t)*$AU201</f>
        <v/>
      </c>
      <c r="BF201" s="8">
        <f>$BA201</f>
        <v/>
      </c>
      <c r="BG201" s="8">
        <f>$BD201&gt;margin_threshold_inr_t</f>
        <v/>
      </c>
      <c r="BH201" s="8">
        <f>$BE201&gt;margin_threshold_inr_t</f>
        <v/>
      </c>
      <c r="BI201" s="8">
        <f>AND($BF201,$BG201,$BH201)</f>
        <v/>
      </c>
      <c r="BJ201" s="8">
        <f>IF($BI201,1,0)</f>
        <v/>
      </c>
    </row>
    <row r="202">
      <c r="A202" s="11" t="n">
        <v>44792</v>
      </c>
      <c r="B202" s="11" t="n">
        <v>44792</v>
      </c>
      <c r="C202" s="7" t="inlineStr">
        <is>
          <t>tense</t>
        </is>
      </c>
      <c r="D202" s="7" t="inlineStr">
        <is>
          <t>JEA_NSA</t>
        </is>
      </c>
      <c r="E202" s="17" t="b">
        <v>1</v>
      </c>
      <c r="F202" s="16">
        <f>INDEX(Market_Weekly!$E$6:$E$48,MATCH($A202,Market_Weekly!$A$6:$A$48,0))</f>
        <v/>
      </c>
      <c r="G202" s="16">
        <f>INDEX(Market_Weekly!$D$6:$D$48,MATCH($A202,Market_Weekly!$A$6:$A$48,0))</f>
        <v/>
      </c>
      <c r="H202" s="16">
        <f>INDEX(Market_Weekly!$G$6:$G$48,MATCH($A202,Market_Weekly!$A$6:$A$48,0))</f>
        <v/>
      </c>
      <c r="I202" s="8">
        <f>INDEX(Market_Weekly!$H$6:$H$48,MATCH($A202,Market_Weekly!$A$6:$A$48,0))</f>
        <v/>
      </c>
      <c r="J202" s="8">
        <f>INDEX(Market_Weekly!$Q$6:$Q$48,MATCH($A202,Market_Weekly!$A$6:$A$48,0))</f>
        <v/>
      </c>
      <c r="K202" s="8">
        <f>INDEX(Market_Weekly!$V$6:$V$48,MATCH($A202,Market_Weekly!$A$6:$A$48,0))</f>
        <v/>
      </c>
      <c r="L202" s="16">
        <f>IF($D202="JEA_NSA",INDEX(Market_Weekly!$N$6:$N$48,MATCH($A202,Market_Weekly!$A$6:$A$48,0)),INDEX(Market_Weekly!$O$6:$O$48,MATCH($A202,Market_Weekly!$A$6:$A$48,0)))</f>
        <v/>
      </c>
      <c r="M202" s="8">
        <f>IF($D202="JEA_NSA","M1","M2")</f>
        <v/>
      </c>
      <c r="N202" s="16">
        <f>IF($D202="JEA_NSA",INDEX(Market_Weekly!$L$6:$L$48,MATCH($A202,Market_Weekly!$A$6:$A$48,0)),INDEX(Market_Weekly!$M$6:$M$48,MATCH($A202,Market_Weekly!$A$6:$A$48,0)))</f>
        <v/>
      </c>
      <c r="O202" s="15">
        <f>INDEX(Market_Weekly!$P$6:$P$48,MATCH($A202,Market_Weekly!$A$6:$A$48,0))</f>
        <v/>
      </c>
      <c r="P202" s="8">
        <f>INDEX(Market_Weekly!$R$6:$T$48,MATCH($A202,Market_Weekly!$A$6:$A$48,0),MATCH("grade_factor_"&amp;$C202,Market_Weekly!$R$5:$T$5,0))</f>
        <v/>
      </c>
      <c r="Q202" s="8">
        <f>INDEX(Market_Weekly!$U$6:$U$48,MATCH($A202,Market_Weekly!$A$6:$A$48,0))</f>
        <v/>
      </c>
      <c r="R202" s="8">
        <f>IF($D202="JEA_NSA","20ft","40ft")</f>
        <v/>
      </c>
      <c r="S202" s="8">
        <f>IF($D202="JEA_NSA","nsa","mun")</f>
        <v/>
      </c>
      <c r="T202" s="8">
        <f>IF($D202="JEA_NSA","jea_nsa","usec_mun")</f>
        <v/>
      </c>
      <c r="U202" s="16">
        <f>INDEX(param_values,MATCH("container_payload_mt_"&amp;$R202,param_keys,0))</f>
        <v/>
      </c>
      <c r="V202" s="16">
        <f>INDEX(param_values,MATCH("container_payload_mt_"&amp;$R202&amp;"_"&amp;$C202,param_keys,0))</f>
        <v/>
      </c>
      <c r="W202" s="16">
        <f>INDEX(param_values,MATCH("container_payload_mt_20ft_"&amp;$C202,param_keys,0))</f>
        <v/>
      </c>
      <c r="X202" s="18">
        <f>INDEX(param_values,MATCH("port_cf_charges_inr_t_"&amp;$S202,param_keys,0))</f>
        <v/>
      </c>
      <c r="Y202" s="8">
        <f>INDEX(param_values,MATCH(IF($D202="JEA_NSA","psic_required_uae_origin","psic_required_safe_origin_designated_port"),param_keys,0))</f>
        <v/>
      </c>
      <c r="Z202" s="19">
        <f>INDEX(param_values,MATCH("finance_days_"&amp;$T202,param_keys,0))</f>
        <v/>
      </c>
      <c r="AA202" s="15">
        <f>INDEX(param_values,MATCH("moisture_frac_"&amp;$C202,param_keys,0))</f>
        <v/>
      </c>
      <c r="AB202" s="15">
        <f>INDEX(param_values,MATCH("contamination_frac_"&amp;$C202,param_keys,0))</f>
        <v/>
      </c>
      <c r="AC202" s="15">
        <f>INDEX(param_values,MATCH("metal_yield_frac_"&amp;$C202,param_keys,0))</f>
        <v/>
      </c>
      <c r="AD202" s="15">
        <f>INDEX(param_values,MATCH("heavies_frac_"&amp;$C202,param_keys,0))</f>
        <v/>
      </c>
      <c r="AE202" s="8">
        <f>INDEX(param_values,MATCH("grade_factor_diff_"&amp;$C202,param_keys,0))</f>
        <v/>
      </c>
      <c r="AF202" s="16">
        <f>$F202*$P202</f>
        <v/>
      </c>
      <c r="AG202" s="8">
        <f>$U202/$V202</f>
        <v/>
      </c>
      <c r="AH202" s="16">
        <f>$L202*$AG202</f>
        <v/>
      </c>
      <c r="AI202" s="16">
        <f>$AF202-$AH202</f>
        <v/>
      </c>
      <c r="AJ202" s="16">
        <f>insurance_rate*insured_value_uplift*$AF202</f>
        <v/>
      </c>
      <c r="AK202" s="16">
        <f>$AF202+$AJ202</f>
        <v/>
      </c>
      <c r="AL202" s="18">
        <f>$AK202*$J202</f>
        <v/>
      </c>
      <c r="AM202" s="18">
        <f>$AK202*$I202</f>
        <v/>
      </c>
      <c r="AN202" s="18">
        <f>$AL202*bcd_scrap_hs7602</f>
        <v/>
      </c>
      <c r="AO202" s="18">
        <f>$AN202*sws_rate_on_bcd</f>
        <v/>
      </c>
      <c r="AP202" s="18">
        <f>($AL202+$AN202+$AO202)*igst_rate_hs7602</f>
        <v/>
      </c>
      <c r="AQ202" s="18">
        <f>$X202*$AG202+IF($Y202,psic_cost_usd_per_box*$H202/$W202,0)</f>
        <v/>
      </c>
      <c r="AR202" s="18">
        <f>($AM202+$AN202+$AO202)*$Z202/day_count_inr*$O202</f>
        <v/>
      </c>
      <c r="AS202" s="18">
        <f>$AP202*igst_credit_lag_days/day_count_inr*$O202</f>
        <v/>
      </c>
      <c r="AT202" s="18">
        <f>$AM202+$AN202+$AO202+$AQ202+$AR202+$AS202+IF(igst_itc_available,0,$AP202)</f>
        <v/>
      </c>
      <c r="AU202" s="15">
        <f>(1-$AA202)*(1-$AB202)*$AC202</f>
        <v/>
      </c>
      <c r="AV202" s="18">
        <f>$N202*kg_per_mt+domestic_anchor_premium_inr_t</f>
        <v/>
      </c>
      <c r="AW202" s="18">
        <f>(1-$AA202)*$AD202*heavies_net_value_frac_of_lme_al*$F202*$H202</f>
        <v/>
      </c>
      <c r="AX202" s="18">
        <f>conversion_cost_inr_t*$AU202</f>
        <v/>
      </c>
      <c r="AY202" s="18">
        <f>$AV202*$AU202+$AW202-$AT202-$AX202</f>
        <v/>
      </c>
      <c r="AZ202" s="16">
        <f>$AY202/$H202</f>
        <v/>
      </c>
      <c r="BA202" s="8">
        <f>$AY202&gt;margin_threshold_inr_t</f>
        <v/>
      </c>
      <c r="BB202" s="8">
        <f>$Q202+$AE202</f>
        <v/>
      </c>
      <c r="BC202" s="18">
        <f>$AT202-$AQ202</f>
        <v/>
      </c>
      <c r="BD202" s="18">
        <f>$AY202-$BC202*($BB202/$P202-1)</f>
        <v/>
      </c>
      <c r="BE202" s="18">
        <f>$AY202-(conv_step_5a-conversion_cost_inr_t)*$AU202</f>
        <v/>
      </c>
      <c r="BF202" s="8">
        <f>$BA202</f>
        <v/>
      </c>
      <c r="BG202" s="8">
        <f>$BD202&gt;margin_threshold_inr_t</f>
        <v/>
      </c>
      <c r="BH202" s="8">
        <f>$BE202&gt;margin_threshold_inr_t</f>
        <v/>
      </c>
      <c r="BI202" s="8">
        <f>AND($BF202,$BG202,$BH202)</f>
        <v/>
      </c>
      <c r="BJ202" s="8">
        <f>IF($BI202,1,0)</f>
        <v/>
      </c>
    </row>
    <row r="203">
      <c r="A203" s="11" t="n">
        <v>44792</v>
      </c>
      <c r="B203" s="11" t="n">
        <v>44792</v>
      </c>
      <c r="C203" s="7" t="inlineStr">
        <is>
          <t>tense</t>
        </is>
      </c>
      <c r="D203" s="7" t="inlineStr">
        <is>
          <t>USEC_MUN</t>
        </is>
      </c>
      <c r="E203" s="17" t="b">
        <v>1</v>
      </c>
      <c r="F203" s="16">
        <f>INDEX(Market_Weekly!$E$6:$E$48,MATCH($A203,Market_Weekly!$A$6:$A$48,0))</f>
        <v/>
      </c>
      <c r="G203" s="16">
        <f>INDEX(Market_Weekly!$D$6:$D$48,MATCH($A203,Market_Weekly!$A$6:$A$48,0))</f>
        <v/>
      </c>
      <c r="H203" s="16">
        <f>INDEX(Market_Weekly!$G$6:$G$48,MATCH($A203,Market_Weekly!$A$6:$A$48,0))</f>
        <v/>
      </c>
      <c r="I203" s="8">
        <f>INDEX(Market_Weekly!$H$6:$H$48,MATCH($A203,Market_Weekly!$A$6:$A$48,0))</f>
        <v/>
      </c>
      <c r="J203" s="8">
        <f>INDEX(Market_Weekly!$Q$6:$Q$48,MATCH($A203,Market_Weekly!$A$6:$A$48,0))</f>
        <v/>
      </c>
      <c r="K203" s="8">
        <f>INDEX(Market_Weekly!$V$6:$V$48,MATCH($A203,Market_Weekly!$A$6:$A$48,0))</f>
        <v/>
      </c>
      <c r="L203" s="16">
        <f>IF($D203="JEA_NSA",INDEX(Market_Weekly!$N$6:$N$48,MATCH($A203,Market_Weekly!$A$6:$A$48,0)),INDEX(Market_Weekly!$O$6:$O$48,MATCH($A203,Market_Weekly!$A$6:$A$48,0)))</f>
        <v/>
      </c>
      <c r="M203" s="8">
        <f>IF($D203="JEA_NSA","M1","M2")</f>
        <v/>
      </c>
      <c r="N203" s="16">
        <f>IF($D203="JEA_NSA",INDEX(Market_Weekly!$L$6:$L$48,MATCH($A203,Market_Weekly!$A$6:$A$48,0)),INDEX(Market_Weekly!$M$6:$M$48,MATCH($A203,Market_Weekly!$A$6:$A$48,0)))</f>
        <v/>
      </c>
      <c r="O203" s="15">
        <f>INDEX(Market_Weekly!$P$6:$P$48,MATCH($A203,Market_Weekly!$A$6:$A$48,0))</f>
        <v/>
      </c>
      <c r="P203" s="8">
        <f>INDEX(Market_Weekly!$R$6:$T$48,MATCH($A203,Market_Weekly!$A$6:$A$48,0),MATCH("grade_factor_"&amp;$C203,Market_Weekly!$R$5:$T$5,0))</f>
        <v/>
      </c>
      <c r="Q203" s="8">
        <f>INDEX(Market_Weekly!$U$6:$U$48,MATCH($A203,Market_Weekly!$A$6:$A$48,0))</f>
        <v/>
      </c>
      <c r="R203" s="8">
        <f>IF($D203="JEA_NSA","20ft","40ft")</f>
        <v/>
      </c>
      <c r="S203" s="8">
        <f>IF($D203="JEA_NSA","nsa","mun")</f>
        <v/>
      </c>
      <c r="T203" s="8">
        <f>IF($D203="JEA_NSA","jea_nsa","usec_mun")</f>
        <v/>
      </c>
      <c r="U203" s="16">
        <f>INDEX(param_values,MATCH("container_payload_mt_"&amp;$R203,param_keys,0))</f>
        <v/>
      </c>
      <c r="V203" s="16">
        <f>INDEX(param_values,MATCH("container_payload_mt_"&amp;$R203&amp;"_"&amp;$C203,param_keys,0))</f>
        <v/>
      </c>
      <c r="W203" s="16">
        <f>INDEX(param_values,MATCH("container_payload_mt_20ft_"&amp;$C203,param_keys,0))</f>
        <v/>
      </c>
      <c r="X203" s="18">
        <f>INDEX(param_values,MATCH("port_cf_charges_inr_t_"&amp;$S203,param_keys,0))</f>
        <v/>
      </c>
      <c r="Y203" s="8">
        <f>INDEX(param_values,MATCH(IF($D203="JEA_NSA","psic_required_uae_origin","psic_required_safe_origin_designated_port"),param_keys,0))</f>
        <v/>
      </c>
      <c r="Z203" s="19">
        <f>INDEX(param_values,MATCH("finance_days_"&amp;$T203,param_keys,0))</f>
        <v/>
      </c>
      <c r="AA203" s="15">
        <f>INDEX(param_values,MATCH("moisture_frac_"&amp;$C203,param_keys,0))</f>
        <v/>
      </c>
      <c r="AB203" s="15">
        <f>INDEX(param_values,MATCH("contamination_frac_"&amp;$C203,param_keys,0))</f>
        <v/>
      </c>
      <c r="AC203" s="15">
        <f>INDEX(param_values,MATCH("metal_yield_frac_"&amp;$C203,param_keys,0))</f>
        <v/>
      </c>
      <c r="AD203" s="15">
        <f>INDEX(param_values,MATCH("heavies_frac_"&amp;$C203,param_keys,0))</f>
        <v/>
      </c>
      <c r="AE203" s="8">
        <f>INDEX(param_values,MATCH("grade_factor_diff_"&amp;$C203,param_keys,0))</f>
        <v/>
      </c>
      <c r="AF203" s="16">
        <f>$F203*$P203</f>
        <v/>
      </c>
      <c r="AG203" s="8">
        <f>$U203/$V203</f>
        <v/>
      </c>
      <c r="AH203" s="16">
        <f>$L203*$AG203</f>
        <v/>
      </c>
      <c r="AI203" s="16">
        <f>$AF203-$AH203</f>
        <v/>
      </c>
      <c r="AJ203" s="16">
        <f>insurance_rate*insured_value_uplift*$AF203</f>
        <v/>
      </c>
      <c r="AK203" s="16">
        <f>$AF203+$AJ203</f>
        <v/>
      </c>
      <c r="AL203" s="18">
        <f>$AK203*$J203</f>
        <v/>
      </c>
      <c r="AM203" s="18">
        <f>$AK203*$I203</f>
        <v/>
      </c>
      <c r="AN203" s="18">
        <f>$AL203*bcd_scrap_hs7602</f>
        <v/>
      </c>
      <c r="AO203" s="18">
        <f>$AN203*sws_rate_on_bcd</f>
        <v/>
      </c>
      <c r="AP203" s="18">
        <f>($AL203+$AN203+$AO203)*igst_rate_hs7602</f>
        <v/>
      </c>
      <c r="AQ203" s="18">
        <f>$X203*$AG203+IF($Y203,psic_cost_usd_per_box*$H203/$W203,0)</f>
        <v/>
      </c>
      <c r="AR203" s="18">
        <f>($AM203+$AN203+$AO203)*$Z203/day_count_inr*$O203</f>
        <v/>
      </c>
      <c r="AS203" s="18">
        <f>$AP203*igst_credit_lag_days/day_count_inr*$O203</f>
        <v/>
      </c>
      <c r="AT203" s="18">
        <f>$AM203+$AN203+$AO203+$AQ203+$AR203+$AS203+IF(igst_itc_available,0,$AP203)</f>
        <v/>
      </c>
      <c r="AU203" s="15">
        <f>(1-$AA203)*(1-$AB203)*$AC203</f>
        <v/>
      </c>
      <c r="AV203" s="18">
        <f>$N203*kg_per_mt+domestic_anchor_premium_inr_t</f>
        <v/>
      </c>
      <c r="AW203" s="18">
        <f>(1-$AA203)*$AD203*heavies_net_value_frac_of_lme_al*$F203*$H203</f>
        <v/>
      </c>
      <c r="AX203" s="18">
        <f>conversion_cost_inr_t*$AU203</f>
        <v/>
      </c>
      <c r="AY203" s="18">
        <f>$AV203*$AU203+$AW203-$AT203-$AX203</f>
        <v/>
      </c>
      <c r="AZ203" s="16">
        <f>$AY203/$H203</f>
        <v/>
      </c>
      <c r="BA203" s="8">
        <f>$AY203&gt;margin_threshold_inr_t</f>
        <v/>
      </c>
      <c r="BB203" s="8">
        <f>$Q203+$AE203</f>
        <v/>
      </c>
      <c r="BC203" s="18">
        <f>$AT203-$AQ203</f>
        <v/>
      </c>
      <c r="BD203" s="18">
        <f>$AY203-$BC203*($BB203/$P203-1)</f>
        <v/>
      </c>
      <c r="BE203" s="18">
        <f>$AY203-(conv_step_5a-conversion_cost_inr_t)*$AU203</f>
        <v/>
      </c>
      <c r="BF203" s="8">
        <f>$BA203</f>
        <v/>
      </c>
      <c r="BG203" s="8">
        <f>$BD203&gt;margin_threshold_inr_t</f>
        <v/>
      </c>
      <c r="BH203" s="8">
        <f>$BE203&gt;margin_threshold_inr_t</f>
        <v/>
      </c>
      <c r="BI203" s="8">
        <f>AND($BF203,$BG203,$BH203)</f>
        <v/>
      </c>
      <c r="BJ203" s="8">
        <f>IF($BI203,1,0)</f>
        <v/>
      </c>
    </row>
    <row r="204">
      <c r="A204" s="11" t="n">
        <v>44799</v>
      </c>
      <c r="B204" s="11" t="n">
        <v>44799</v>
      </c>
      <c r="C204" s="7" t="inlineStr">
        <is>
          <t>zorba</t>
        </is>
      </c>
      <c r="D204" s="7" t="inlineStr">
        <is>
          <t>JEA_NSA</t>
        </is>
      </c>
      <c r="E204" s="17" t="b">
        <v>1</v>
      </c>
      <c r="F204" s="16">
        <f>INDEX(Market_Weekly!$E$6:$E$48,MATCH($A204,Market_Weekly!$A$6:$A$48,0))</f>
        <v/>
      </c>
      <c r="G204" s="16">
        <f>INDEX(Market_Weekly!$D$6:$D$48,MATCH($A204,Market_Weekly!$A$6:$A$48,0))</f>
        <v/>
      </c>
      <c r="H204" s="16">
        <f>INDEX(Market_Weekly!$G$6:$G$48,MATCH($A204,Market_Weekly!$A$6:$A$48,0))</f>
        <v/>
      </c>
      <c r="I204" s="8">
        <f>INDEX(Market_Weekly!$H$6:$H$48,MATCH($A204,Market_Weekly!$A$6:$A$48,0))</f>
        <v/>
      </c>
      <c r="J204" s="8">
        <f>INDEX(Market_Weekly!$Q$6:$Q$48,MATCH($A204,Market_Weekly!$A$6:$A$48,0))</f>
        <v/>
      </c>
      <c r="K204" s="8">
        <f>INDEX(Market_Weekly!$V$6:$V$48,MATCH($A204,Market_Weekly!$A$6:$A$48,0))</f>
        <v/>
      </c>
      <c r="L204" s="16">
        <f>IF($D204="JEA_NSA",INDEX(Market_Weekly!$N$6:$N$48,MATCH($A204,Market_Weekly!$A$6:$A$48,0)),INDEX(Market_Weekly!$O$6:$O$48,MATCH($A204,Market_Weekly!$A$6:$A$48,0)))</f>
        <v/>
      </c>
      <c r="M204" s="8">
        <f>IF($D204="JEA_NSA","M1","M2")</f>
        <v/>
      </c>
      <c r="N204" s="16">
        <f>IF($D204="JEA_NSA",INDEX(Market_Weekly!$L$6:$L$48,MATCH($A204,Market_Weekly!$A$6:$A$48,0)),INDEX(Market_Weekly!$M$6:$M$48,MATCH($A204,Market_Weekly!$A$6:$A$48,0)))</f>
        <v/>
      </c>
      <c r="O204" s="15">
        <f>INDEX(Market_Weekly!$P$6:$P$48,MATCH($A204,Market_Weekly!$A$6:$A$48,0))</f>
        <v/>
      </c>
      <c r="P204" s="8">
        <f>INDEX(Market_Weekly!$R$6:$T$48,MATCH($A204,Market_Weekly!$A$6:$A$48,0),MATCH("grade_factor_"&amp;$C204,Market_Weekly!$R$5:$T$5,0))</f>
        <v/>
      </c>
      <c r="Q204" s="8">
        <f>INDEX(Market_Weekly!$U$6:$U$48,MATCH($A204,Market_Weekly!$A$6:$A$48,0))</f>
        <v/>
      </c>
      <c r="R204" s="8">
        <f>IF($D204="JEA_NSA","20ft","40ft")</f>
        <v/>
      </c>
      <c r="S204" s="8">
        <f>IF($D204="JEA_NSA","nsa","mun")</f>
        <v/>
      </c>
      <c r="T204" s="8">
        <f>IF($D204="JEA_NSA","jea_nsa","usec_mun")</f>
        <v/>
      </c>
      <c r="U204" s="16">
        <f>INDEX(param_values,MATCH("container_payload_mt_"&amp;$R204,param_keys,0))</f>
        <v/>
      </c>
      <c r="V204" s="16">
        <f>INDEX(param_values,MATCH("container_payload_mt_"&amp;$R204&amp;"_"&amp;$C204,param_keys,0))</f>
        <v/>
      </c>
      <c r="W204" s="16">
        <f>INDEX(param_values,MATCH("container_payload_mt_20ft_"&amp;$C204,param_keys,0))</f>
        <v/>
      </c>
      <c r="X204" s="18">
        <f>INDEX(param_values,MATCH("port_cf_charges_inr_t_"&amp;$S204,param_keys,0))</f>
        <v/>
      </c>
      <c r="Y204" s="8">
        <f>INDEX(param_values,MATCH(IF($D204="JEA_NSA","psic_required_uae_origin","psic_required_safe_origin_designated_port"),param_keys,0))</f>
        <v/>
      </c>
      <c r="Z204" s="19">
        <f>INDEX(param_values,MATCH("finance_days_"&amp;$T204,param_keys,0))</f>
        <v/>
      </c>
      <c r="AA204" s="15">
        <f>INDEX(param_values,MATCH("moisture_frac_"&amp;$C204,param_keys,0))</f>
        <v/>
      </c>
      <c r="AB204" s="15">
        <f>INDEX(param_values,MATCH("contamination_frac_"&amp;$C204,param_keys,0))</f>
        <v/>
      </c>
      <c r="AC204" s="15">
        <f>INDEX(param_values,MATCH("metal_yield_frac_"&amp;$C204,param_keys,0))</f>
        <v/>
      </c>
      <c r="AD204" s="15">
        <f>INDEX(param_values,MATCH("heavies_frac_"&amp;$C204,param_keys,0))</f>
        <v/>
      </c>
      <c r="AE204" s="8">
        <f>INDEX(param_values,MATCH("grade_factor_diff_"&amp;$C204,param_keys,0))</f>
        <v/>
      </c>
      <c r="AF204" s="16">
        <f>$F204*$P204</f>
        <v/>
      </c>
      <c r="AG204" s="8">
        <f>$U204/$V204</f>
        <v/>
      </c>
      <c r="AH204" s="16">
        <f>$L204*$AG204</f>
        <v/>
      </c>
      <c r="AI204" s="16">
        <f>$AF204-$AH204</f>
        <v/>
      </c>
      <c r="AJ204" s="16">
        <f>insurance_rate*insured_value_uplift*$AF204</f>
        <v/>
      </c>
      <c r="AK204" s="16">
        <f>$AF204+$AJ204</f>
        <v/>
      </c>
      <c r="AL204" s="18">
        <f>$AK204*$J204</f>
        <v/>
      </c>
      <c r="AM204" s="18">
        <f>$AK204*$I204</f>
        <v/>
      </c>
      <c r="AN204" s="18">
        <f>$AL204*bcd_scrap_hs7602</f>
        <v/>
      </c>
      <c r="AO204" s="18">
        <f>$AN204*sws_rate_on_bcd</f>
        <v/>
      </c>
      <c r="AP204" s="18">
        <f>($AL204+$AN204+$AO204)*igst_rate_hs7602</f>
        <v/>
      </c>
      <c r="AQ204" s="18">
        <f>$X204*$AG204+IF($Y204,psic_cost_usd_per_box*$H204/$W204,0)</f>
        <v/>
      </c>
      <c r="AR204" s="18">
        <f>($AM204+$AN204+$AO204)*$Z204/day_count_inr*$O204</f>
        <v/>
      </c>
      <c r="AS204" s="18">
        <f>$AP204*igst_credit_lag_days/day_count_inr*$O204</f>
        <v/>
      </c>
      <c r="AT204" s="18">
        <f>$AM204+$AN204+$AO204+$AQ204+$AR204+$AS204+IF(igst_itc_available,0,$AP204)</f>
        <v/>
      </c>
      <c r="AU204" s="15">
        <f>(1-$AA204)*(1-$AB204)*$AC204</f>
        <v/>
      </c>
      <c r="AV204" s="18">
        <f>$N204*kg_per_mt+domestic_anchor_premium_inr_t</f>
        <v/>
      </c>
      <c r="AW204" s="18">
        <f>(1-$AA204)*$AD204*heavies_net_value_frac_of_lme_al*$F204*$H204</f>
        <v/>
      </c>
      <c r="AX204" s="18">
        <f>conversion_cost_inr_t*$AU204</f>
        <v/>
      </c>
      <c r="AY204" s="18">
        <f>$AV204*$AU204+$AW204-$AT204-$AX204</f>
        <v/>
      </c>
      <c r="AZ204" s="16">
        <f>$AY204/$H204</f>
        <v/>
      </c>
      <c r="BA204" s="8">
        <f>$AY204&gt;margin_threshold_inr_t</f>
        <v/>
      </c>
      <c r="BB204" s="8">
        <f>$Q204+$AE204</f>
        <v/>
      </c>
      <c r="BC204" s="18">
        <f>$AT204-$AQ204</f>
        <v/>
      </c>
      <c r="BD204" s="18">
        <f>$AY204-$BC204*($BB204/$P204-1)</f>
        <v/>
      </c>
      <c r="BE204" s="18">
        <f>$AY204-(conv_step_5a-conversion_cost_inr_t)*$AU204</f>
        <v/>
      </c>
      <c r="BF204" s="8">
        <f>$BA204</f>
        <v/>
      </c>
      <c r="BG204" s="8">
        <f>$BD204&gt;margin_threshold_inr_t</f>
        <v/>
      </c>
      <c r="BH204" s="8">
        <f>$BE204&gt;margin_threshold_inr_t</f>
        <v/>
      </c>
      <c r="BI204" s="8">
        <f>AND($BF204,$BG204,$BH204)</f>
        <v/>
      </c>
      <c r="BJ204" s="8">
        <f>IF($BI204,1,0)</f>
        <v/>
      </c>
    </row>
    <row r="205">
      <c r="A205" s="11" t="n">
        <v>44799</v>
      </c>
      <c r="B205" s="11" t="n">
        <v>44799</v>
      </c>
      <c r="C205" s="7" t="inlineStr">
        <is>
          <t>zorba</t>
        </is>
      </c>
      <c r="D205" s="7" t="inlineStr">
        <is>
          <t>USEC_MUN</t>
        </is>
      </c>
      <c r="E205" s="17" t="b">
        <v>1</v>
      </c>
      <c r="F205" s="16">
        <f>INDEX(Market_Weekly!$E$6:$E$48,MATCH($A205,Market_Weekly!$A$6:$A$48,0))</f>
        <v/>
      </c>
      <c r="G205" s="16">
        <f>INDEX(Market_Weekly!$D$6:$D$48,MATCH($A205,Market_Weekly!$A$6:$A$48,0))</f>
        <v/>
      </c>
      <c r="H205" s="16">
        <f>INDEX(Market_Weekly!$G$6:$G$48,MATCH($A205,Market_Weekly!$A$6:$A$48,0))</f>
        <v/>
      </c>
      <c r="I205" s="8">
        <f>INDEX(Market_Weekly!$H$6:$H$48,MATCH($A205,Market_Weekly!$A$6:$A$48,0))</f>
        <v/>
      </c>
      <c r="J205" s="8">
        <f>INDEX(Market_Weekly!$Q$6:$Q$48,MATCH($A205,Market_Weekly!$A$6:$A$48,0))</f>
        <v/>
      </c>
      <c r="K205" s="8">
        <f>INDEX(Market_Weekly!$V$6:$V$48,MATCH($A205,Market_Weekly!$A$6:$A$48,0))</f>
        <v/>
      </c>
      <c r="L205" s="16">
        <f>IF($D205="JEA_NSA",INDEX(Market_Weekly!$N$6:$N$48,MATCH($A205,Market_Weekly!$A$6:$A$48,0)),INDEX(Market_Weekly!$O$6:$O$48,MATCH($A205,Market_Weekly!$A$6:$A$48,0)))</f>
        <v/>
      </c>
      <c r="M205" s="8">
        <f>IF($D205="JEA_NSA","M1","M2")</f>
        <v/>
      </c>
      <c r="N205" s="16">
        <f>IF($D205="JEA_NSA",INDEX(Market_Weekly!$L$6:$L$48,MATCH($A205,Market_Weekly!$A$6:$A$48,0)),INDEX(Market_Weekly!$M$6:$M$48,MATCH($A205,Market_Weekly!$A$6:$A$48,0)))</f>
        <v/>
      </c>
      <c r="O205" s="15">
        <f>INDEX(Market_Weekly!$P$6:$P$48,MATCH($A205,Market_Weekly!$A$6:$A$48,0))</f>
        <v/>
      </c>
      <c r="P205" s="8">
        <f>INDEX(Market_Weekly!$R$6:$T$48,MATCH($A205,Market_Weekly!$A$6:$A$48,0),MATCH("grade_factor_"&amp;$C205,Market_Weekly!$R$5:$T$5,0))</f>
        <v/>
      </c>
      <c r="Q205" s="8">
        <f>INDEX(Market_Weekly!$U$6:$U$48,MATCH($A205,Market_Weekly!$A$6:$A$48,0))</f>
        <v/>
      </c>
      <c r="R205" s="8">
        <f>IF($D205="JEA_NSA","20ft","40ft")</f>
        <v/>
      </c>
      <c r="S205" s="8">
        <f>IF($D205="JEA_NSA","nsa","mun")</f>
        <v/>
      </c>
      <c r="T205" s="8">
        <f>IF($D205="JEA_NSA","jea_nsa","usec_mun")</f>
        <v/>
      </c>
      <c r="U205" s="16">
        <f>INDEX(param_values,MATCH("container_payload_mt_"&amp;$R205,param_keys,0))</f>
        <v/>
      </c>
      <c r="V205" s="16">
        <f>INDEX(param_values,MATCH("container_payload_mt_"&amp;$R205&amp;"_"&amp;$C205,param_keys,0))</f>
        <v/>
      </c>
      <c r="W205" s="16">
        <f>INDEX(param_values,MATCH("container_payload_mt_20ft_"&amp;$C205,param_keys,0))</f>
        <v/>
      </c>
      <c r="X205" s="18">
        <f>INDEX(param_values,MATCH("port_cf_charges_inr_t_"&amp;$S205,param_keys,0))</f>
        <v/>
      </c>
      <c r="Y205" s="8">
        <f>INDEX(param_values,MATCH(IF($D205="JEA_NSA","psic_required_uae_origin","psic_required_safe_origin_designated_port"),param_keys,0))</f>
        <v/>
      </c>
      <c r="Z205" s="19">
        <f>INDEX(param_values,MATCH("finance_days_"&amp;$T205,param_keys,0))</f>
        <v/>
      </c>
      <c r="AA205" s="15">
        <f>INDEX(param_values,MATCH("moisture_frac_"&amp;$C205,param_keys,0))</f>
        <v/>
      </c>
      <c r="AB205" s="15">
        <f>INDEX(param_values,MATCH("contamination_frac_"&amp;$C205,param_keys,0))</f>
        <v/>
      </c>
      <c r="AC205" s="15">
        <f>INDEX(param_values,MATCH("metal_yield_frac_"&amp;$C205,param_keys,0))</f>
        <v/>
      </c>
      <c r="AD205" s="15">
        <f>INDEX(param_values,MATCH("heavies_frac_"&amp;$C205,param_keys,0))</f>
        <v/>
      </c>
      <c r="AE205" s="8">
        <f>INDEX(param_values,MATCH("grade_factor_diff_"&amp;$C205,param_keys,0))</f>
        <v/>
      </c>
      <c r="AF205" s="16">
        <f>$F205*$P205</f>
        <v/>
      </c>
      <c r="AG205" s="8">
        <f>$U205/$V205</f>
        <v/>
      </c>
      <c r="AH205" s="16">
        <f>$L205*$AG205</f>
        <v/>
      </c>
      <c r="AI205" s="16">
        <f>$AF205-$AH205</f>
        <v/>
      </c>
      <c r="AJ205" s="16">
        <f>insurance_rate*insured_value_uplift*$AF205</f>
        <v/>
      </c>
      <c r="AK205" s="16">
        <f>$AF205+$AJ205</f>
        <v/>
      </c>
      <c r="AL205" s="18">
        <f>$AK205*$J205</f>
        <v/>
      </c>
      <c r="AM205" s="18">
        <f>$AK205*$I205</f>
        <v/>
      </c>
      <c r="AN205" s="18">
        <f>$AL205*bcd_scrap_hs7602</f>
        <v/>
      </c>
      <c r="AO205" s="18">
        <f>$AN205*sws_rate_on_bcd</f>
        <v/>
      </c>
      <c r="AP205" s="18">
        <f>($AL205+$AN205+$AO205)*igst_rate_hs7602</f>
        <v/>
      </c>
      <c r="AQ205" s="18">
        <f>$X205*$AG205+IF($Y205,psic_cost_usd_per_box*$H205/$W205,0)</f>
        <v/>
      </c>
      <c r="AR205" s="18">
        <f>($AM205+$AN205+$AO205)*$Z205/day_count_inr*$O205</f>
        <v/>
      </c>
      <c r="AS205" s="18">
        <f>$AP205*igst_credit_lag_days/day_count_inr*$O205</f>
        <v/>
      </c>
      <c r="AT205" s="18">
        <f>$AM205+$AN205+$AO205+$AQ205+$AR205+$AS205+IF(igst_itc_available,0,$AP205)</f>
        <v/>
      </c>
      <c r="AU205" s="15">
        <f>(1-$AA205)*(1-$AB205)*$AC205</f>
        <v/>
      </c>
      <c r="AV205" s="18">
        <f>$N205*kg_per_mt+domestic_anchor_premium_inr_t</f>
        <v/>
      </c>
      <c r="AW205" s="18">
        <f>(1-$AA205)*$AD205*heavies_net_value_frac_of_lme_al*$F205*$H205</f>
        <v/>
      </c>
      <c r="AX205" s="18">
        <f>conversion_cost_inr_t*$AU205</f>
        <v/>
      </c>
      <c r="AY205" s="18">
        <f>$AV205*$AU205+$AW205-$AT205-$AX205</f>
        <v/>
      </c>
      <c r="AZ205" s="16">
        <f>$AY205/$H205</f>
        <v/>
      </c>
      <c r="BA205" s="8">
        <f>$AY205&gt;margin_threshold_inr_t</f>
        <v/>
      </c>
      <c r="BB205" s="8">
        <f>$Q205+$AE205</f>
        <v/>
      </c>
      <c r="BC205" s="18">
        <f>$AT205-$AQ205</f>
        <v/>
      </c>
      <c r="BD205" s="18">
        <f>$AY205-$BC205*($BB205/$P205-1)</f>
        <v/>
      </c>
      <c r="BE205" s="18">
        <f>$AY205-(conv_step_5a-conversion_cost_inr_t)*$AU205</f>
        <v/>
      </c>
      <c r="BF205" s="8">
        <f>$BA205</f>
        <v/>
      </c>
      <c r="BG205" s="8">
        <f>$BD205&gt;margin_threshold_inr_t</f>
        <v/>
      </c>
      <c r="BH205" s="8">
        <f>$BE205&gt;margin_threshold_inr_t</f>
        <v/>
      </c>
      <c r="BI205" s="8">
        <f>AND($BF205,$BG205,$BH205)</f>
        <v/>
      </c>
      <c r="BJ205" s="8">
        <f>IF($BI205,1,0)</f>
        <v/>
      </c>
    </row>
    <row r="206">
      <c r="A206" s="11" t="n">
        <v>44799</v>
      </c>
      <c r="B206" s="11" t="n">
        <v>44799</v>
      </c>
      <c r="C206" s="7" t="inlineStr">
        <is>
          <t>taint_tabor</t>
        </is>
      </c>
      <c r="D206" s="7" t="inlineStr">
        <is>
          <t>JEA_NSA</t>
        </is>
      </c>
      <c r="E206" s="17" t="b">
        <v>1</v>
      </c>
      <c r="F206" s="16">
        <f>INDEX(Market_Weekly!$E$6:$E$48,MATCH($A206,Market_Weekly!$A$6:$A$48,0))</f>
        <v/>
      </c>
      <c r="G206" s="16">
        <f>INDEX(Market_Weekly!$D$6:$D$48,MATCH($A206,Market_Weekly!$A$6:$A$48,0))</f>
        <v/>
      </c>
      <c r="H206" s="16">
        <f>INDEX(Market_Weekly!$G$6:$G$48,MATCH($A206,Market_Weekly!$A$6:$A$48,0))</f>
        <v/>
      </c>
      <c r="I206" s="8">
        <f>INDEX(Market_Weekly!$H$6:$H$48,MATCH($A206,Market_Weekly!$A$6:$A$48,0))</f>
        <v/>
      </c>
      <c r="J206" s="8">
        <f>INDEX(Market_Weekly!$Q$6:$Q$48,MATCH($A206,Market_Weekly!$A$6:$A$48,0))</f>
        <v/>
      </c>
      <c r="K206" s="8">
        <f>INDEX(Market_Weekly!$V$6:$V$48,MATCH($A206,Market_Weekly!$A$6:$A$48,0))</f>
        <v/>
      </c>
      <c r="L206" s="16">
        <f>IF($D206="JEA_NSA",INDEX(Market_Weekly!$N$6:$N$48,MATCH($A206,Market_Weekly!$A$6:$A$48,0)),INDEX(Market_Weekly!$O$6:$O$48,MATCH($A206,Market_Weekly!$A$6:$A$48,0)))</f>
        <v/>
      </c>
      <c r="M206" s="8">
        <f>IF($D206="JEA_NSA","M1","M2")</f>
        <v/>
      </c>
      <c r="N206" s="16">
        <f>IF($D206="JEA_NSA",INDEX(Market_Weekly!$L$6:$L$48,MATCH($A206,Market_Weekly!$A$6:$A$48,0)),INDEX(Market_Weekly!$M$6:$M$48,MATCH($A206,Market_Weekly!$A$6:$A$48,0)))</f>
        <v/>
      </c>
      <c r="O206" s="15">
        <f>INDEX(Market_Weekly!$P$6:$P$48,MATCH($A206,Market_Weekly!$A$6:$A$48,0))</f>
        <v/>
      </c>
      <c r="P206" s="8">
        <f>INDEX(Market_Weekly!$R$6:$T$48,MATCH($A206,Market_Weekly!$A$6:$A$48,0),MATCH("grade_factor_"&amp;$C206,Market_Weekly!$R$5:$T$5,0))</f>
        <v/>
      </c>
      <c r="Q206" s="8">
        <f>INDEX(Market_Weekly!$U$6:$U$48,MATCH($A206,Market_Weekly!$A$6:$A$48,0))</f>
        <v/>
      </c>
      <c r="R206" s="8">
        <f>IF($D206="JEA_NSA","20ft","40ft")</f>
        <v/>
      </c>
      <c r="S206" s="8">
        <f>IF($D206="JEA_NSA","nsa","mun")</f>
        <v/>
      </c>
      <c r="T206" s="8">
        <f>IF($D206="JEA_NSA","jea_nsa","usec_mun")</f>
        <v/>
      </c>
      <c r="U206" s="16">
        <f>INDEX(param_values,MATCH("container_payload_mt_"&amp;$R206,param_keys,0))</f>
        <v/>
      </c>
      <c r="V206" s="16">
        <f>INDEX(param_values,MATCH("container_payload_mt_"&amp;$R206&amp;"_"&amp;$C206,param_keys,0))</f>
        <v/>
      </c>
      <c r="W206" s="16">
        <f>INDEX(param_values,MATCH("container_payload_mt_20ft_"&amp;$C206,param_keys,0))</f>
        <v/>
      </c>
      <c r="X206" s="18">
        <f>INDEX(param_values,MATCH("port_cf_charges_inr_t_"&amp;$S206,param_keys,0))</f>
        <v/>
      </c>
      <c r="Y206" s="8">
        <f>INDEX(param_values,MATCH(IF($D206="JEA_NSA","psic_required_uae_origin","psic_required_safe_origin_designated_port"),param_keys,0))</f>
        <v/>
      </c>
      <c r="Z206" s="19">
        <f>INDEX(param_values,MATCH("finance_days_"&amp;$T206,param_keys,0))</f>
        <v/>
      </c>
      <c r="AA206" s="15">
        <f>INDEX(param_values,MATCH("moisture_frac_"&amp;$C206,param_keys,0))</f>
        <v/>
      </c>
      <c r="AB206" s="15">
        <f>INDEX(param_values,MATCH("contamination_frac_"&amp;$C206,param_keys,0))</f>
        <v/>
      </c>
      <c r="AC206" s="15">
        <f>INDEX(param_values,MATCH("metal_yield_frac_"&amp;$C206,param_keys,0))</f>
        <v/>
      </c>
      <c r="AD206" s="15">
        <f>INDEX(param_values,MATCH("heavies_frac_"&amp;$C206,param_keys,0))</f>
        <v/>
      </c>
      <c r="AE206" s="8">
        <f>INDEX(param_values,MATCH("grade_factor_diff_"&amp;$C206,param_keys,0))</f>
        <v/>
      </c>
      <c r="AF206" s="16">
        <f>$F206*$P206</f>
        <v/>
      </c>
      <c r="AG206" s="8">
        <f>$U206/$V206</f>
        <v/>
      </c>
      <c r="AH206" s="16">
        <f>$L206*$AG206</f>
        <v/>
      </c>
      <c r="AI206" s="16">
        <f>$AF206-$AH206</f>
        <v/>
      </c>
      <c r="AJ206" s="16">
        <f>insurance_rate*insured_value_uplift*$AF206</f>
        <v/>
      </c>
      <c r="AK206" s="16">
        <f>$AF206+$AJ206</f>
        <v/>
      </c>
      <c r="AL206" s="18">
        <f>$AK206*$J206</f>
        <v/>
      </c>
      <c r="AM206" s="18">
        <f>$AK206*$I206</f>
        <v/>
      </c>
      <c r="AN206" s="18">
        <f>$AL206*bcd_scrap_hs7602</f>
        <v/>
      </c>
      <c r="AO206" s="18">
        <f>$AN206*sws_rate_on_bcd</f>
        <v/>
      </c>
      <c r="AP206" s="18">
        <f>($AL206+$AN206+$AO206)*igst_rate_hs7602</f>
        <v/>
      </c>
      <c r="AQ206" s="18">
        <f>$X206*$AG206+IF($Y206,psic_cost_usd_per_box*$H206/$W206,0)</f>
        <v/>
      </c>
      <c r="AR206" s="18">
        <f>($AM206+$AN206+$AO206)*$Z206/day_count_inr*$O206</f>
        <v/>
      </c>
      <c r="AS206" s="18">
        <f>$AP206*igst_credit_lag_days/day_count_inr*$O206</f>
        <v/>
      </c>
      <c r="AT206" s="18">
        <f>$AM206+$AN206+$AO206+$AQ206+$AR206+$AS206+IF(igst_itc_available,0,$AP206)</f>
        <v/>
      </c>
      <c r="AU206" s="15">
        <f>(1-$AA206)*(1-$AB206)*$AC206</f>
        <v/>
      </c>
      <c r="AV206" s="18">
        <f>$N206*kg_per_mt+domestic_anchor_premium_inr_t</f>
        <v/>
      </c>
      <c r="AW206" s="18">
        <f>(1-$AA206)*$AD206*heavies_net_value_frac_of_lme_al*$F206*$H206</f>
        <v/>
      </c>
      <c r="AX206" s="18">
        <f>conversion_cost_inr_t*$AU206</f>
        <v/>
      </c>
      <c r="AY206" s="18">
        <f>$AV206*$AU206+$AW206-$AT206-$AX206</f>
        <v/>
      </c>
      <c r="AZ206" s="16">
        <f>$AY206/$H206</f>
        <v/>
      </c>
      <c r="BA206" s="8">
        <f>$AY206&gt;margin_threshold_inr_t</f>
        <v/>
      </c>
      <c r="BB206" s="8">
        <f>$Q206+$AE206</f>
        <v/>
      </c>
      <c r="BC206" s="18">
        <f>$AT206-$AQ206</f>
        <v/>
      </c>
      <c r="BD206" s="18">
        <f>$AY206-$BC206*($BB206/$P206-1)</f>
        <v/>
      </c>
      <c r="BE206" s="18">
        <f>$AY206-(conv_step_5a-conversion_cost_inr_t)*$AU206</f>
        <v/>
      </c>
      <c r="BF206" s="8">
        <f>$BA206</f>
        <v/>
      </c>
      <c r="BG206" s="8">
        <f>$BD206&gt;margin_threshold_inr_t</f>
        <v/>
      </c>
      <c r="BH206" s="8">
        <f>$BE206&gt;margin_threshold_inr_t</f>
        <v/>
      </c>
      <c r="BI206" s="8">
        <f>AND($BF206,$BG206,$BH206)</f>
        <v/>
      </c>
      <c r="BJ206" s="8">
        <f>IF($BI206,1,0)</f>
        <v/>
      </c>
    </row>
    <row r="207">
      <c r="A207" s="11" t="n">
        <v>44799</v>
      </c>
      <c r="B207" s="11" t="n">
        <v>44799</v>
      </c>
      <c r="C207" s="7" t="inlineStr">
        <is>
          <t>taint_tabor</t>
        </is>
      </c>
      <c r="D207" s="7" t="inlineStr">
        <is>
          <t>USEC_MUN</t>
        </is>
      </c>
      <c r="E207" s="17" t="b">
        <v>1</v>
      </c>
      <c r="F207" s="16">
        <f>INDEX(Market_Weekly!$E$6:$E$48,MATCH($A207,Market_Weekly!$A$6:$A$48,0))</f>
        <v/>
      </c>
      <c r="G207" s="16">
        <f>INDEX(Market_Weekly!$D$6:$D$48,MATCH($A207,Market_Weekly!$A$6:$A$48,0))</f>
        <v/>
      </c>
      <c r="H207" s="16">
        <f>INDEX(Market_Weekly!$G$6:$G$48,MATCH($A207,Market_Weekly!$A$6:$A$48,0))</f>
        <v/>
      </c>
      <c r="I207" s="8">
        <f>INDEX(Market_Weekly!$H$6:$H$48,MATCH($A207,Market_Weekly!$A$6:$A$48,0))</f>
        <v/>
      </c>
      <c r="J207" s="8">
        <f>INDEX(Market_Weekly!$Q$6:$Q$48,MATCH($A207,Market_Weekly!$A$6:$A$48,0))</f>
        <v/>
      </c>
      <c r="K207" s="8">
        <f>INDEX(Market_Weekly!$V$6:$V$48,MATCH($A207,Market_Weekly!$A$6:$A$48,0))</f>
        <v/>
      </c>
      <c r="L207" s="16">
        <f>IF($D207="JEA_NSA",INDEX(Market_Weekly!$N$6:$N$48,MATCH($A207,Market_Weekly!$A$6:$A$48,0)),INDEX(Market_Weekly!$O$6:$O$48,MATCH($A207,Market_Weekly!$A$6:$A$48,0)))</f>
        <v/>
      </c>
      <c r="M207" s="8">
        <f>IF($D207="JEA_NSA","M1","M2")</f>
        <v/>
      </c>
      <c r="N207" s="16">
        <f>IF($D207="JEA_NSA",INDEX(Market_Weekly!$L$6:$L$48,MATCH($A207,Market_Weekly!$A$6:$A$48,0)),INDEX(Market_Weekly!$M$6:$M$48,MATCH($A207,Market_Weekly!$A$6:$A$48,0)))</f>
        <v/>
      </c>
      <c r="O207" s="15">
        <f>INDEX(Market_Weekly!$P$6:$P$48,MATCH($A207,Market_Weekly!$A$6:$A$48,0))</f>
        <v/>
      </c>
      <c r="P207" s="8">
        <f>INDEX(Market_Weekly!$R$6:$T$48,MATCH($A207,Market_Weekly!$A$6:$A$48,0),MATCH("grade_factor_"&amp;$C207,Market_Weekly!$R$5:$T$5,0))</f>
        <v/>
      </c>
      <c r="Q207" s="8">
        <f>INDEX(Market_Weekly!$U$6:$U$48,MATCH($A207,Market_Weekly!$A$6:$A$48,0))</f>
        <v/>
      </c>
      <c r="R207" s="8">
        <f>IF($D207="JEA_NSA","20ft","40ft")</f>
        <v/>
      </c>
      <c r="S207" s="8">
        <f>IF($D207="JEA_NSA","nsa","mun")</f>
        <v/>
      </c>
      <c r="T207" s="8">
        <f>IF($D207="JEA_NSA","jea_nsa","usec_mun")</f>
        <v/>
      </c>
      <c r="U207" s="16">
        <f>INDEX(param_values,MATCH("container_payload_mt_"&amp;$R207,param_keys,0))</f>
        <v/>
      </c>
      <c r="V207" s="16">
        <f>INDEX(param_values,MATCH("container_payload_mt_"&amp;$R207&amp;"_"&amp;$C207,param_keys,0))</f>
        <v/>
      </c>
      <c r="W207" s="16">
        <f>INDEX(param_values,MATCH("container_payload_mt_20ft_"&amp;$C207,param_keys,0))</f>
        <v/>
      </c>
      <c r="X207" s="18">
        <f>INDEX(param_values,MATCH("port_cf_charges_inr_t_"&amp;$S207,param_keys,0))</f>
        <v/>
      </c>
      <c r="Y207" s="8">
        <f>INDEX(param_values,MATCH(IF($D207="JEA_NSA","psic_required_uae_origin","psic_required_safe_origin_designated_port"),param_keys,0))</f>
        <v/>
      </c>
      <c r="Z207" s="19">
        <f>INDEX(param_values,MATCH("finance_days_"&amp;$T207,param_keys,0))</f>
        <v/>
      </c>
      <c r="AA207" s="15">
        <f>INDEX(param_values,MATCH("moisture_frac_"&amp;$C207,param_keys,0))</f>
        <v/>
      </c>
      <c r="AB207" s="15">
        <f>INDEX(param_values,MATCH("contamination_frac_"&amp;$C207,param_keys,0))</f>
        <v/>
      </c>
      <c r="AC207" s="15">
        <f>INDEX(param_values,MATCH("metal_yield_frac_"&amp;$C207,param_keys,0))</f>
        <v/>
      </c>
      <c r="AD207" s="15">
        <f>INDEX(param_values,MATCH("heavies_frac_"&amp;$C207,param_keys,0))</f>
        <v/>
      </c>
      <c r="AE207" s="8">
        <f>INDEX(param_values,MATCH("grade_factor_diff_"&amp;$C207,param_keys,0))</f>
        <v/>
      </c>
      <c r="AF207" s="16">
        <f>$F207*$P207</f>
        <v/>
      </c>
      <c r="AG207" s="8">
        <f>$U207/$V207</f>
        <v/>
      </c>
      <c r="AH207" s="16">
        <f>$L207*$AG207</f>
        <v/>
      </c>
      <c r="AI207" s="16">
        <f>$AF207-$AH207</f>
        <v/>
      </c>
      <c r="AJ207" s="16">
        <f>insurance_rate*insured_value_uplift*$AF207</f>
        <v/>
      </c>
      <c r="AK207" s="16">
        <f>$AF207+$AJ207</f>
        <v/>
      </c>
      <c r="AL207" s="18">
        <f>$AK207*$J207</f>
        <v/>
      </c>
      <c r="AM207" s="18">
        <f>$AK207*$I207</f>
        <v/>
      </c>
      <c r="AN207" s="18">
        <f>$AL207*bcd_scrap_hs7602</f>
        <v/>
      </c>
      <c r="AO207" s="18">
        <f>$AN207*sws_rate_on_bcd</f>
        <v/>
      </c>
      <c r="AP207" s="18">
        <f>($AL207+$AN207+$AO207)*igst_rate_hs7602</f>
        <v/>
      </c>
      <c r="AQ207" s="18">
        <f>$X207*$AG207+IF($Y207,psic_cost_usd_per_box*$H207/$W207,0)</f>
        <v/>
      </c>
      <c r="AR207" s="18">
        <f>($AM207+$AN207+$AO207)*$Z207/day_count_inr*$O207</f>
        <v/>
      </c>
      <c r="AS207" s="18">
        <f>$AP207*igst_credit_lag_days/day_count_inr*$O207</f>
        <v/>
      </c>
      <c r="AT207" s="18">
        <f>$AM207+$AN207+$AO207+$AQ207+$AR207+$AS207+IF(igst_itc_available,0,$AP207)</f>
        <v/>
      </c>
      <c r="AU207" s="15">
        <f>(1-$AA207)*(1-$AB207)*$AC207</f>
        <v/>
      </c>
      <c r="AV207" s="18">
        <f>$N207*kg_per_mt+domestic_anchor_premium_inr_t</f>
        <v/>
      </c>
      <c r="AW207" s="18">
        <f>(1-$AA207)*$AD207*heavies_net_value_frac_of_lme_al*$F207*$H207</f>
        <v/>
      </c>
      <c r="AX207" s="18">
        <f>conversion_cost_inr_t*$AU207</f>
        <v/>
      </c>
      <c r="AY207" s="18">
        <f>$AV207*$AU207+$AW207-$AT207-$AX207</f>
        <v/>
      </c>
      <c r="AZ207" s="16">
        <f>$AY207/$H207</f>
        <v/>
      </c>
      <c r="BA207" s="8">
        <f>$AY207&gt;margin_threshold_inr_t</f>
        <v/>
      </c>
      <c r="BB207" s="8">
        <f>$Q207+$AE207</f>
        <v/>
      </c>
      <c r="BC207" s="18">
        <f>$AT207-$AQ207</f>
        <v/>
      </c>
      <c r="BD207" s="18">
        <f>$AY207-$BC207*($BB207/$P207-1)</f>
        <v/>
      </c>
      <c r="BE207" s="18">
        <f>$AY207-(conv_step_5a-conversion_cost_inr_t)*$AU207</f>
        <v/>
      </c>
      <c r="BF207" s="8">
        <f>$BA207</f>
        <v/>
      </c>
      <c r="BG207" s="8">
        <f>$BD207&gt;margin_threshold_inr_t</f>
        <v/>
      </c>
      <c r="BH207" s="8">
        <f>$BE207&gt;margin_threshold_inr_t</f>
        <v/>
      </c>
      <c r="BI207" s="8">
        <f>AND($BF207,$BG207,$BH207)</f>
        <v/>
      </c>
      <c r="BJ207" s="8">
        <f>IF($BI207,1,0)</f>
        <v/>
      </c>
    </row>
    <row r="208">
      <c r="A208" s="11" t="n">
        <v>44799</v>
      </c>
      <c r="B208" s="11" t="n">
        <v>44799</v>
      </c>
      <c r="C208" s="7" t="inlineStr">
        <is>
          <t>tense</t>
        </is>
      </c>
      <c r="D208" s="7" t="inlineStr">
        <is>
          <t>JEA_NSA</t>
        </is>
      </c>
      <c r="E208" s="17" t="b">
        <v>1</v>
      </c>
      <c r="F208" s="16">
        <f>INDEX(Market_Weekly!$E$6:$E$48,MATCH($A208,Market_Weekly!$A$6:$A$48,0))</f>
        <v/>
      </c>
      <c r="G208" s="16">
        <f>INDEX(Market_Weekly!$D$6:$D$48,MATCH($A208,Market_Weekly!$A$6:$A$48,0))</f>
        <v/>
      </c>
      <c r="H208" s="16">
        <f>INDEX(Market_Weekly!$G$6:$G$48,MATCH($A208,Market_Weekly!$A$6:$A$48,0))</f>
        <v/>
      </c>
      <c r="I208" s="8">
        <f>INDEX(Market_Weekly!$H$6:$H$48,MATCH($A208,Market_Weekly!$A$6:$A$48,0))</f>
        <v/>
      </c>
      <c r="J208" s="8">
        <f>INDEX(Market_Weekly!$Q$6:$Q$48,MATCH($A208,Market_Weekly!$A$6:$A$48,0))</f>
        <v/>
      </c>
      <c r="K208" s="8">
        <f>INDEX(Market_Weekly!$V$6:$V$48,MATCH($A208,Market_Weekly!$A$6:$A$48,0))</f>
        <v/>
      </c>
      <c r="L208" s="16">
        <f>IF($D208="JEA_NSA",INDEX(Market_Weekly!$N$6:$N$48,MATCH($A208,Market_Weekly!$A$6:$A$48,0)),INDEX(Market_Weekly!$O$6:$O$48,MATCH($A208,Market_Weekly!$A$6:$A$48,0)))</f>
        <v/>
      </c>
      <c r="M208" s="8">
        <f>IF($D208="JEA_NSA","M1","M2")</f>
        <v/>
      </c>
      <c r="N208" s="16">
        <f>IF($D208="JEA_NSA",INDEX(Market_Weekly!$L$6:$L$48,MATCH($A208,Market_Weekly!$A$6:$A$48,0)),INDEX(Market_Weekly!$M$6:$M$48,MATCH($A208,Market_Weekly!$A$6:$A$48,0)))</f>
        <v/>
      </c>
      <c r="O208" s="15">
        <f>INDEX(Market_Weekly!$P$6:$P$48,MATCH($A208,Market_Weekly!$A$6:$A$48,0))</f>
        <v/>
      </c>
      <c r="P208" s="8">
        <f>INDEX(Market_Weekly!$R$6:$T$48,MATCH($A208,Market_Weekly!$A$6:$A$48,0),MATCH("grade_factor_"&amp;$C208,Market_Weekly!$R$5:$T$5,0))</f>
        <v/>
      </c>
      <c r="Q208" s="8">
        <f>INDEX(Market_Weekly!$U$6:$U$48,MATCH($A208,Market_Weekly!$A$6:$A$48,0))</f>
        <v/>
      </c>
      <c r="R208" s="8">
        <f>IF($D208="JEA_NSA","20ft","40ft")</f>
        <v/>
      </c>
      <c r="S208" s="8">
        <f>IF($D208="JEA_NSA","nsa","mun")</f>
        <v/>
      </c>
      <c r="T208" s="8">
        <f>IF($D208="JEA_NSA","jea_nsa","usec_mun")</f>
        <v/>
      </c>
      <c r="U208" s="16">
        <f>INDEX(param_values,MATCH("container_payload_mt_"&amp;$R208,param_keys,0))</f>
        <v/>
      </c>
      <c r="V208" s="16">
        <f>INDEX(param_values,MATCH("container_payload_mt_"&amp;$R208&amp;"_"&amp;$C208,param_keys,0))</f>
        <v/>
      </c>
      <c r="W208" s="16">
        <f>INDEX(param_values,MATCH("container_payload_mt_20ft_"&amp;$C208,param_keys,0))</f>
        <v/>
      </c>
      <c r="X208" s="18">
        <f>INDEX(param_values,MATCH("port_cf_charges_inr_t_"&amp;$S208,param_keys,0))</f>
        <v/>
      </c>
      <c r="Y208" s="8">
        <f>INDEX(param_values,MATCH(IF($D208="JEA_NSA","psic_required_uae_origin","psic_required_safe_origin_designated_port"),param_keys,0))</f>
        <v/>
      </c>
      <c r="Z208" s="19">
        <f>INDEX(param_values,MATCH("finance_days_"&amp;$T208,param_keys,0))</f>
        <v/>
      </c>
      <c r="AA208" s="15">
        <f>INDEX(param_values,MATCH("moisture_frac_"&amp;$C208,param_keys,0))</f>
        <v/>
      </c>
      <c r="AB208" s="15">
        <f>INDEX(param_values,MATCH("contamination_frac_"&amp;$C208,param_keys,0))</f>
        <v/>
      </c>
      <c r="AC208" s="15">
        <f>INDEX(param_values,MATCH("metal_yield_frac_"&amp;$C208,param_keys,0))</f>
        <v/>
      </c>
      <c r="AD208" s="15">
        <f>INDEX(param_values,MATCH("heavies_frac_"&amp;$C208,param_keys,0))</f>
        <v/>
      </c>
      <c r="AE208" s="8">
        <f>INDEX(param_values,MATCH("grade_factor_diff_"&amp;$C208,param_keys,0))</f>
        <v/>
      </c>
      <c r="AF208" s="16">
        <f>$F208*$P208</f>
        <v/>
      </c>
      <c r="AG208" s="8">
        <f>$U208/$V208</f>
        <v/>
      </c>
      <c r="AH208" s="16">
        <f>$L208*$AG208</f>
        <v/>
      </c>
      <c r="AI208" s="16">
        <f>$AF208-$AH208</f>
        <v/>
      </c>
      <c r="AJ208" s="16">
        <f>insurance_rate*insured_value_uplift*$AF208</f>
        <v/>
      </c>
      <c r="AK208" s="16">
        <f>$AF208+$AJ208</f>
        <v/>
      </c>
      <c r="AL208" s="18">
        <f>$AK208*$J208</f>
        <v/>
      </c>
      <c r="AM208" s="18">
        <f>$AK208*$I208</f>
        <v/>
      </c>
      <c r="AN208" s="18">
        <f>$AL208*bcd_scrap_hs7602</f>
        <v/>
      </c>
      <c r="AO208" s="18">
        <f>$AN208*sws_rate_on_bcd</f>
        <v/>
      </c>
      <c r="AP208" s="18">
        <f>($AL208+$AN208+$AO208)*igst_rate_hs7602</f>
        <v/>
      </c>
      <c r="AQ208" s="18">
        <f>$X208*$AG208+IF($Y208,psic_cost_usd_per_box*$H208/$W208,0)</f>
        <v/>
      </c>
      <c r="AR208" s="18">
        <f>($AM208+$AN208+$AO208)*$Z208/day_count_inr*$O208</f>
        <v/>
      </c>
      <c r="AS208" s="18">
        <f>$AP208*igst_credit_lag_days/day_count_inr*$O208</f>
        <v/>
      </c>
      <c r="AT208" s="18">
        <f>$AM208+$AN208+$AO208+$AQ208+$AR208+$AS208+IF(igst_itc_available,0,$AP208)</f>
        <v/>
      </c>
      <c r="AU208" s="15">
        <f>(1-$AA208)*(1-$AB208)*$AC208</f>
        <v/>
      </c>
      <c r="AV208" s="18">
        <f>$N208*kg_per_mt+domestic_anchor_premium_inr_t</f>
        <v/>
      </c>
      <c r="AW208" s="18">
        <f>(1-$AA208)*$AD208*heavies_net_value_frac_of_lme_al*$F208*$H208</f>
        <v/>
      </c>
      <c r="AX208" s="18">
        <f>conversion_cost_inr_t*$AU208</f>
        <v/>
      </c>
      <c r="AY208" s="18">
        <f>$AV208*$AU208+$AW208-$AT208-$AX208</f>
        <v/>
      </c>
      <c r="AZ208" s="16">
        <f>$AY208/$H208</f>
        <v/>
      </c>
      <c r="BA208" s="8">
        <f>$AY208&gt;margin_threshold_inr_t</f>
        <v/>
      </c>
      <c r="BB208" s="8">
        <f>$Q208+$AE208</f>
        <v/>
      </c>
      <c r="BC208" s="18">
        <f>$AT208-$AQ208</f>
        <v/>
      </c>
      <c r="BD208" s="18">
        <f>$AY208-$BC208*($BB208/$P208-1)</f>
        <v/>
      </c>
      <c r="BE208" s="18">
        <f>$AY208-(conv_step_5a-conversion_cost_inr_t)*$AU208</f>
        <v/>
      </c>
      <c r="BF208" s="8">
        <f>$BA208</f>
        <v/>
      </c>
      <c r="BG208" s="8">
        <f>$BD208&gt;margin_threshold_inr_t</f>
        <v/>
      </c>
      <c r="BH208" s="8">
        <f>$BE208&gt;margin_threshold_inr_t</f>
        <v/>
      </c>
      <c r="BI208" s="8">
        <f>AND($BF208,$BG208,$BH208)</f>
        <v/>
      </c>
      <c r="BJ208" s="8">
        <f>IF($BI208,1,0)</f>
        <v/>
      </c>
    </row>
    <row r="209">
      <c r="A209" s="11" t="n">
        <v>44799</v>
      </c>
      <c r="B209" s="11" t="n">
        <v>44799</v>
      </c>
      <c r="C209" s="7" t="inlineStr">
        <is>
          <t>tense</t>
        </is>
      </c>
      <c r="D209" s="7" t="inlineStr">
        <is>
          <t>USEC_MUN</t>
        </is>
      </c>
      <c r="E209" s="17" t="b">
        <v>1</v>
      </c>
      <c r="F209" s="16">
        <f>INDEX(Market_Weekly!$E$6:$E$48,MATCH($A209,Market_Weekly!$A$6:$A$48,0))</f>
        <v/>
      </c>
      <c r="G209" s="16">
        <f>INDEX(Market_Weekly!$D$6:$D$48,MATCH($A209,Market_Weekly!$A$6:$A$48,0))</f>
        <v/>
      </c>
      <c r="H209" s="16">
        <f>INDEX(Market_Weekly!$G$6:$G$48,MATCH($A209,Market_Weekly!$A$6:$A$48,0))</f>
        <v/>
      </c>
      <c r="I209" s="8">
        <f>INDEX(Market_Weekly!$H$6:$H$48,MATCH($A209,Market_Weekly!$A$6:$A$48,0))</f>
        <v/>
      </c>
      <c r="J209" s="8">
        <f>INDEX(Market_Weekly!$Q$6:$Q$48,MATCH($A209,Market_Weekly!$A$6:$A$48,0))</f>
        <v/>
      </c>
      <c r="K209" s="8">
        <f>INDEX(Market_Weekly!$V$6:$V$48,MATCH($A209,Market_Weekly!$A$6:$A$48,0))</f>
        <v/>
      </c>
      <c r="L209" s="16">
        <f>IF($D209="JEA_NSA",INDEX(Market_Weekly!$N$6:$N$48,MATCH($A209,Market_Weekly!$A$6:$A$48,0)),INDEX(Market_Weekly!$O$6:$O$48,MATCH($A209,Market_Weekly!$A$6:$A$48,0)))</f>
        <v/>
      </c>
      <c r="M209" s="8">
        <f>IF($D209="JEA_NSA","M1","M2")</f>
        <v/>
      </c>
      <c r="N209" s="16">
        <f>IF($D209="JEA_NSA",INDEX(Market_Weekly!$L$6:$L$48,MATCH($A209,Market_Weekly!$A$6:$A$48,0)),INDEX(Market_Weekly!$M$6:$M$48,MATCH($A209,Market_Weekly!$A$6:$A$48,0)))</f>
        <v/>
      </c>
      <c r="O209" s="15">
        <f>INDEX(Market_Weekly!$P$6:$P$48,MATCH($A209,Market_Weekly!$A$6:$A$48,0))</f>
        <v/>
      </c>
      <c r="P209" s="8">
        <f>INDEX(Market_Weekly!$R$6:$T$48,MATCH($A209,Market_Weekly!$A$6:$A$48,0),MATCH("grade_factor_"&amp;$C209,Market_Weekly!$R$5:$T$5,0))</f>
        <v/>
      </c>
      <c r="Q209" s="8">
        <f>INDEX(Market_Weekly!$U$6:$U$48,MATCH($A209,Market_Weekly!$A$6:$A$48,0))</f>
        <v/>
      </c>
      <c r="R209" s="8">
        <f>IF($D209="JEA_NSA","20ft","40ft")</f>
        <v/>
      </c>
      <c r="S209" s="8">
        <f>IF($D209="JEA_NSA","nsa","mun")</f>
        <v/>
      </c>
      <c r="T209" s="8">
        <f>IF($D209="JEA_NSA","jea_nsa","usec_mun")</f>
        <v/>
      </c>
      <c r="U209" s="16">
        <f>INDEX(param_values,MATCH("container_payload_mt_"&amp;$R209,param_keys,0))</f>
        <v/>
      </c>
      <c r="V209" s="16">
        <f>INDEX(param_values,MATCH("container_payload_mt_"&amp;$R209&amp;"_"&amp;$C209,param_keys,0))</f>
        <v/>
      </c>
      <c r="W209" s="16">
        <f>INDEX(param_values,MATCH("container_payload_mt_20ft_"&amp;$C209,param_keys,0))</f>
        <v/>
      </c>
      <c r="X209" s="18">
        <f>INDEX(param_values,MATCH("port_cf_charges_inr_t_"&amp;$S209,param_keys,0))</f>
        <v/>
      </c>
      <c r="Y209" s="8">
        <f>INDEX(param_values,MATCH(IF($D209="JEA_NSA","psic_required_uae_origin","psic_required_safe_origin_designated_port"),param_keys,0))</f>
        <v/>
      </c>
      <c r="Z209" s="19">
        <f>INDEX(param_values,MATCH("finance_days_"&amp;$T209,param_keys,0))</f>
        <v/>
      </c>
      <c r="AA209" s="15">
        <f>INDEX(param_values,MATCH("moisture_frac_"&amp;$C209,param_keys,0))</f>
        <v/>
      </c>
      <c r="AB209" s="15">
        <f>INDEX(param_values,MATCH("contamination_frac_"&amp;$C209,param_keys,0))</f>
        <v/>
      </c>
      <c r="AC209" s="15">
        <f>INDEX(param_values,MATCH("metal_yield_frac_"&amp;$C209,param_keys,0))</f>
        <v/>
      </c>
      <c r="AD209" s="15">
        <f>INDEX(param_values,MATCH("heavies_frac_"&amp;$C209,param_keys,0))</f>
        <v/>
      </c>
      <c r="AE209" s="8">
        <f>INDEX(param_values,MATCH("grade_factor_diff_"&amp;$C209,param_keys,0))</f>
        <v/>
      </c>
      <c r="AF209" s="16">
        <f>$F209*$P209</f>
        <v/>
      </c>
      <c r="AG209" s="8">
        <f>$U209/$V209</f>
        <v/>
      </c>
      <c r="AH209" s="16">
        <f>$L209*$AG209</f>
        <v/>
      </c>
      <c r="AI209" s="16">
        <f>$AF209-$AH209</f>
        <v/>
      </c>
      <c r="AJ209" s="16">
        <f>insurance_rate*insured_value_uplift*$AF209</f>
        <v/>
      </c>
      <c r="AK209" s="16">
        <f>$AF209+$AJ209</f>
        <v/>
      </c>
      <c r="AL209" s="18">
        <f>$AK209*$J209</f>
        <v/>
      </c>
      <c r="AM209" s="18">
        <f>$AK209*$I209</f>
        <v/>
      </c>
      <c r="AN209" s="18">
        <f>$AL209*bcd_scrap_hs7602</f>
        <v/>
      </c>
      <c r="AO209" s="18">
        <f>$AN209*sws_rate_on_bcd</f>
        <v/>
      </c>
      <c r="AP209" s="18">
        <f>($AL209+$AN209+$AO209)*igst_rate_hs7602</f>
        <v/>
      </c>
      <c r="AQ209" s="18">
        <f>$X209*$AG209+IF($Y209,psic_cost_usd_per_box*$H209/$W209,0)</f>
        <v/>
      </c>
      <c r="AR209" s="18">
        <f>($AM209+$AN209+$AO209)*$Z209/day_count_inr*$O209</f>
        <v/>
      </c>
      <c r="AS209" s="18">
        <f>$AP209*igst_credit_lag_days/day_count_inr*$O209</f>
        <v/>
      </c>
      <c r="AT209" s="18">
        <f>$AM209+$AN209+$AO209+$AQ209+$AR209+$AS209+IF(igst_itc_available,0,$AP209)</f>
        <v/>
      </c>
      <c r="AU209" s="15">
        <f>(1-$AA209)*(1-$AB209)*$AC209</f>
        <v/>
      </c>
      <c r="AV209" s="18">
        <f>$N209*kg_per_mt+domestic_anchor_premium_inr_t</f>
        <v/>
      </c>
      <c r="AW209" s="18">
        <f>(1-$AA209)*$AD209*heavies_net_value_frac_of_lme_al*$F209*$H209</f>
        <v/>
      </c>
      <c r="AX209" s="18">
        <f>conversion_cost_inr_t*$AU209</f>
        <v/>
      </c>
      <c r="AY209" s="18">
        <f>$AV209*$AU209+$AW209-$AT209-$AX209</f>
        <v/>
      </c>
      <c r="AZ209" s="16">
        <f>$AY209/$H209</f>
        <v/>
      </c>
      <c r="BA209" s="8">
        <f>$AY209&gt;margin_threshold_inr_t</f>
        <v/>
      </c>
      <c r="BB209" s="8">
        <f>$Q209+$AE209</f>
        <v/>
      </c>
      <c r="BC209" s="18">
        <f>$AT209-$AQ209</f>
        <v/>
      </c>
      <c r="BD209" s="18">
        <f>$AY209-$BC209*($BB209/$P209-1)</f>
        <v/>
      </c>
      <c r="BE209" s="18">
        <f>$AY209-(conv_step_5a-conversion_cost_inr_t)*$AU209</f>
        <v/>
      </c>
      <c r="BF209" s="8">
        <f>$BA209</f>
        <v/>
      </c>
      <c r="BG209" s="8">
        <f>$BD209&gt;margin_threshold_inr_t</f>
        <v/>
      </c>
      <c r="BH209" s="8">
        <f>$BE209&gt;margin_threshold_inr_t</f>
        <v/>
      </c>
      <c r="BI209" s="8">
        <f>AND($BF209,$BG209,$BH209)</f>
        <v/>
      </c>
      <c r="BJ209" s="8">
        <f>IF($BI209,1,0)</f>
        <v/>
      </c>
    </row>
    <row r="210">
      <c r="A210" s="11" t="n">
        <v>44806</v>
      </c>
      <c r="B210" s="11" t="n">
        <v>44806</v>
      </c>
      <c r="C210" s="7" t="inlineStr">
        <is>
          <t>zorba</t>
        </is>
      </c>
      <c r="D210" s="7" t="inlineStr">
        <is>
          <t>JEA_NSA</t>
        </is>
      </c>
      <c r="E210" s="17" t="b">
        <v>1</v>
      </c>
      <c r="F210" s="16">
        <f>INDEX(Market_Weekly!$E$6:$E$48,MATCH($A210,Market_Weekly!$A$6:$A$48,0))</f>
        <v/>
      </c>
      <c r="G210" s="16">
        <f>INDEX(Market_Weekly!$D$6:$D$48,MATCH($A210,Market_Weekly!$A$6:$A$48,0))</f>
        <v/>
      </c>
      <c r="H210" s="16">
        <f>INDEX(Market_Weekly!$G$6:$G$48,MATCH($A210,Market_Weekly!$A$6:$A$48,0))</f>
        <v/>
      </c>
      <c r="I210" s="8">
        <f>INDEX(Market_Weekly!$H$6:$H$48,MATCH($A210,Market_Weekly!$A$6:$A$48,0))</f>
        <v/>
      </c>
      <c r="J210" s="8">
        <f>INDEX(Market_Weekly!$Q$6:$Q$48,MATCH($A210,Market_Weekly!$A$6:$A$48,0))</f>
        <v/>
      </c>
      <c r="K210" s="8">
        <f>INDEX(Market_Weekly!$V$6:$V$48,MATCH($A210,Market_Weekly!$A$6:$A$48,0))</f>
        <v/>
      </c>
      <c r="L210" s="16">
        <f>IF($D210="JEA_NSA",INDEX(Market_Weekly!$N$6:$N$48,MATCH($A210,Market_Weekly!$A$6:$A$48,0)),INDEX(Market_Weekly!$O$6:$O$48,MATCH($A210,Market_Weekly!$A$6:$A$48,0)))</f>
        <v/>
      </c>
      <c r="M210" s="8">
        <f>IF($D210="JEA_NSA","M1","M2")</f>
        <v/>
      </c>
      <c r="N210" s="16">
        <f>IF($D210="JEA_NSA",INDEX(Market_Weekly!$L$6:$L$48,MATCH($A210,Market_Weekly!$A$6:$A$48,0)),INDEX(Market_Weekly!$M$6:$M$48,MATCH($A210,Market_Weekly!$A$6:$A$48,0)))</f>
        <v/>
      </c>
      <c r="O210" s="15">
        <f>INDEX(Market_Weekly!$P$6:$P$48,MATCH($A210,Market_Weekly!$A$6:$A$48,0))</f>
        <v/>
      </c>
      <c r="P210" s="8">
        <f>INDEX(Market_Weekly!$R$6:$T$48,MATCH($A210,Market_Weekly!$A$6:$A$48,0),MATCH("grade_factor_"&amp;$C210,Market_Weekly!$R$5:$T$5,0))</f>
        <v/>
      </c>
      <c r="Q210" s="8">
        <f>INDEX(Market_Weekly!$U$6:$U$48,MATCH($A210,Market_Weekly!$A$6:$A$48,0))</f>
        <v/>
      </c>
      <c r="R210" s="8">
        <f>IF($D210="JEA_NSA","20ft","40ft")</f>
        <v/>
      </c>
      <c r="S210" s="8">
        <f>IF($D210="JEA_NSA","nsa","mun")</f>
        <v/>
      </c>
      <c r="T210" s="8">
        <f>IF($D210="JEA_NSA","jea_nsa","usec_mun")</f>
        <v/>
      </c>
      <c r="U210" s="16">
        <f>INDEX(param_values,MATCH("container_payload_mt_"&amp;$R210,param_keys,0))</f>
        <v/>
      </c>
      <c r="V210" s="16">
        <f>INDEX(param_values,MATCH("container_payload_mt_"&amp;$R210&amp;"_"&amp;$C210,param_keys,0))</f>
        <v/>
      </c>
      <c r="W210" s="16">
        <f>INDEX(param_values,MATCH("container_payload_mt_20ft_"&amp;$C210,param_keys,0))</f>
        <v/>
      </c>
      <c r="X210" s="18">
        <f>INDEX(param_values,MATCH("port_cf_charges_inr_t_"&amp;$S210,param_keys,0))</f>
        <v/>
      </c>
      <c r="Y210" s="8">
        <f>INDEX(param_values,MATCH(IF($D210="JEA_NSA","psic_required_uae_origin","psic_required_safe_origin_designated_port"),param_keys,0))</f>
        <v/>
      </c>
      <c r="Z210" s="19">
        <f>INDEX(param_values,MATCH("finance_days_"&amp;$T210,param_keys,0))</f>
        <v/>
      </c>
      <c r="AA210" s="15">
        <f>INDEX(param_values,MATCH("moisture_frac_"&amp;$C210,param_keys,0))</f>
        <v/>
      </c>
      <c r="AB210" s="15">
        <f>INDEX(param_values,MATCH("contamination_frac_"&amp;$C210,param_keys,0))</f>
        <v/>
      </c>
      <c r="AC210" s="15">
        <f>INDEX(param_values,MATCH("metal_yield_frac_"&amp;$C210,param_keys,0))</f>
        <v/>
      </c>
      <c r="AD210" s="15">
        <f>INDEX(param_values,MATCH("heavies_frac_"&amp;$C210,param_keys,0))</f>
        <v/>
      </c>
      <c r="AE210" s="8">
        <f>INDEX(param_values,MATCH("grade_factor_diff_"&amp;$C210,param_keys,0))</f>
        <v/>
      </c>
      <c r="AF210" s="16">
        <f>$F210*$P210</f>
        <v/>
      </c>
      <c r="AG210" s="8">
        <f>$U210/$V210</f>
        <v/>
      </c>
      <c r="AH210" s="16">
        <f>$L210*$AG210</f>
        <v/>
      </c>
      <c r="AI210" s="16">
        <f>$AF210-$AH210</f>
        <v/>
      </c>
      <c r="AJ210" s="16">
        <f>insurance_rate*insured_value_uplift*$AF210</f>
        <v/>
      </c>
      <c r="AK210" s="16">
        <f>$AF210+$AJ210</f>
        <v/>
      </c>
      <c r="AL210" s="18">
        <f>$AK210*$J210</f>
        <v/>
      </c>
      <c r="AM210" s="18">
        <f>$AK210*$I210</f>
        <v/>
      </c>
      <c r="AN210" s="18">
        <f>$AL210*bcd_scrap_hs7602</f>
        <v/>
      </c>
      <c r="AO210" s="18">
        <f>$AN210*sws_rate_on_bcd</f>
        <v/>
      </c>
      <c r="AP210" s="18">
        <f>($AL210+$AN210+$AO210)*igst_rate_hs7602</f>
        <v/>
      </c>
      <c r="AQ210" s="18">
        <f>$X210*$AG210+IF($Y210,psic_cost_usd_per_box*$H210/$W210,0)</f>
        <v/>
      </c>
      <c r="AR210" s="18">
        <f>($AM210+$AN210+$AO210)*$Z210/day_count_inr*$O210</f>
        <v/>
      </c>
      <c r="AS210" s="18">
        <f>$AP210*igst_credit_lag_days/day_count_inr*$O210</f>
        <v/>
      </c>
      <c r="AT210" s="18">
        <f>$AM210+$AN210+$AO210+$AQ210+$AR210+$AS210+IF(igst_itc_available,0,$AP210)</f>
        <v/>
      </c>
      <c r="AU210" s="15">
        <f>(1-$AA210)*(1-$AB210)*$AC210</f>
        <v/>
      </c>
      <c r="AV210" s="18">
        <f>$N210*kg_per_mt+domestic_anchor_premium_inr_t</f>
        <v/>
      </c>
      <c r="AW210" s="18">
        <f>(1-$AA210)*$AD210*heavies_net_value_frac_of_lme_al*$F210*$H210</f>
        <v/>
      </c>
      <c r="AX210" s="18">
        <f>conversion_cost_inr_t*$AU210</f>
        <v/>
      </c>
      <c r="AY210" s="18">
        <f>$AV210*$AU210+$AW210-$AT210-$AX210</f>
        <v/>
      </c>
      <c r="AZ210" s="16">
        <f>$AY210/$H210</f>
        <v/>
      </c>
      <c r="BA210" s="8">
        <f>$AY210&gt;margin_threshold_inr_t</f>
        <v/>
      </c>
      <c r="BB210" s="8">
        <f>$Q210+$AE210</f>
        <v/>
      </c>
      <c r="BC210" s="18">
        <f>$AT210-$AQ210</f>
        <v/>
      </c>
      <c r="BD210" s="18">
        <f>$AY210-$BC210*($BB210/$P210-1)</f>
        <v/>
      </c>
      <c r="BE210" s="18">
        <f>$AY210-(conv_step_5a-conversion_cost_inr_t)*$AU210</f>
        <v/>
      </c>
      <c r="BF210" s="8">
        <f>$BA210</f>
        <v/>
      </c>
      <c r="BG210" s="8">
        <f>$BD210&gt;margin_threshold_inr_t</f>
        <v/>
      </c>
      <c r="BH210" s="8">
        <f>$BE210&gt;margin_threshold_inr_t</f>
        <v/>
      </c>
      <c r="BI210" s="8">
        <f>AND($BF210,$BG210,$BH210)</f>
        <v/>
      </c>
      <c r="BJ210" s="8">
        <f>IF($BI210,1,0)</f>
        <v/>
      </c>
    </row>
    <row r="211">
      <c r="A211" s="11" t="n">
        <v>44806</v>
      </c>
      <c r="B211" s="11" t="n">
        <v>44806</v>
      </c>
      <c r="C211" s="7" t="inlineStr">
        <is>
          <t>zorba</t>
        </is>
      </c>
      <c r="D211" s="7" t="inlineStr">
        <is>
          <t>USEC_MUN</t>
        </is>
      </c>
      <c r="E211" s="17" t="b">
        <v>1</v>
      </c>
      <c r="F211" s="16">
        <f>INDEX(Market_Weekly!$E$6:$E$48,MATCH($A211,Market_Weekly!$A$6:$A$48,0))</f>
        <v/>
      </c>
      <c r="G211" s="16">
        <f>INDEX(Market_Weekly!$D$6:$D$48,MATCH($A211,Market_Weekly!$A$6:$A$48,0))</f>
        <v/>
      </c>
      <c r="H211" s="16">
        <f>INDEX(Market_Weekly!$G$6:$G$48,MATCH($A211,Market_Weekly!$A$6:$A$48,0))</f>
        <v/>
      </c>
      <c r="I211" s="8">
        <f>INDEX(Market_Weekly!$H$6:$H$48,MATCH($A211,Market_Weekly!$A$6:$A$48,0))</f>
        <v/>
      </c>
      <c r="J211" s="8">
        <f>INDEX(Market_Weekly!$Q$6:$Q$48,MATCH($A211,Market_Weekly!$A$6:$A$48,0))</f>
        <v/>
      </c>
      <c r="K211" s="8">
        <f>INDEX(Market_Weekly!$V$6:$V$48,MATCH($A211,Market_Weekly!$A$6:$A$48,0))</f>
        <v/>
      </c>
      <c r="L211" s="16">
        <f>IF($D211="JEA_NSA",INDEX(Market_Weekly!$N$6:$N$48,MATCH($A211,Market_Weekly!$A$6:$A$48,0)),INDEX(Market_Weekly!$O$6:$O$48,MATCH($A211,Market_Weekly!$A$6:$A$48,0)))</f>
        <v/>
      </c>
      <c r="M211" s="8">
        <f>IF($D211="JEA_NSA","M1","M2")</f>
        <v/>
      </c>
      <c r="N211" s="16">
        <f>IF($D211="JEA_NSA",INDEX(Market_Weekly!$L$6:$L$48,MATCH($A211,Market_Weekly!$A$6:$A$48,0)),INDEX(Market_Weekly!$M$6:$M$48,MATCH($A211,Market_Weekly!$A$6:$A$48,0)))</f>
        <v/>
      </c>
      <c r="O211" s="15">
        <f>INDEX(Market_Weekly!$P$6:$P$48,MATCH($A211,Market_Weekly!$A$6:$A$48,0))</f>
        <v/>
      </c>
      <c r="P211" s="8">
        <f>INDEX(Market_Weekly!$R$6:$T$48,MATCH($A211,Market_Weekly!$A$6:$A$48,0),MATCH("grade_factor_"&amp;$C211,Market_Weekly!$R$5:$T$5,0))</f>
        <v/>
      </c>
      <c r="Q211" s="8">
        <f>INDEX(Market_Weekly!$U$6:$U$48,MATCH($A211,Market_Weekly!$A$6:$A$48,0))</f>
        <v/>
      </c>
      <c r="R211" s="8">
        <f>IF($D211="JEA_NSA","20ft","40ft")</f>
        <v/>
      </c>
      <c r="S211" s="8">
        <f>IF($D211="JEA_NSA","nsa","mun")</f>
        <v/>
      </c>
      <c r="T211" s="8">
        <f>IF($D211="JEA_NSA","jea_nsa","usec_mun")</f>
        <v/>
      </c>
      <c r="U211" s="16">
        <f>INDEX(param_values,MATCH("container_payload_mt_"&amp;$R211,param_keys,0))</f>
        <v/>
      </c>
      <c r="V211" s="16">
        <f>INDEX(param_values,MATCH("container_payload_mt_"&amp;$R211&amp;"_"&amp;$C211,param_keys,0))</f>
        <v/>
      </c>
      <c r="W211" s="16">
        <f>INDEX(param_values,MATCH("container_payload_mt_20ft_"&amp;$C211,param_keys,0))</f>
        <v/>
      </c>
      <c r="X211" s="18">
        <f>INDEX(param_values,MATCH("port_cf_charges_inr_t_"&amp;$S211,param_keys,0))</f>
        <v/>
      </c>
      <c r="Y211" s="8">
        <f>INDEX(param_values,MATCH(IF($D211="JEA_NSA","psic_required_uae_origin","psic_required_safe_origin_designated_port"),param_keys,0))</f>
        <v/>
      </c>
      <c r="Z211" s="19">
        <f>INDEX(param_values,MATCH("finance_days_"&amp;$T211,param_keys,0))</f>
        <v/>
      </c>
      <c r="AA211" s="15">
        <f>INDEX(param_values,MATCH("moisture_frac_"&amp;$C211,param_keys,0))</f>
        <v/>
      </c>
      <c r="AB211" s="15">
        <f>INDEX(param_values,MATCH("contamination_frac_"&amp;$C211,param_keys,0))</f>
        <v/>
      </c>
      <c r="AC211" s="15">
        <f>INDEX(param_values,MATCH("metal_yield_frac_"&amp;$C211,param_keys,0))</f>
        <v/>
      </c>
      <c r="AD211" s="15">
        <f>INDEX(param_values,MATCH("heavies_frac_"&amp;$C211,param_keys,0))</f>
        <v/>
      </c>
      <c r="AE211" s="8">
        <f>INDEX(param_values,MATCH("grade_factor_diff_"&amp;$C211,param_keys,0))</f>
        <v/>
      </c>
      <c r="AF211" s="16">
        <f>$F211*$P211</f>
        <v/>
      </c>
      <c r="AG211" s="8">
        <f>$U211/$V211</f>
        <v/>
      </c>
      <c r="AH211" s="16">
        <f>$L211*$AG211</f>
        <v/>
      </c>
      <c r="AI211" s="16">
        <f>$AF211-$AH211</f>
        <v/>
      </c>
      <c r="AJ211" s="16">
        <f>insurance_rate*insured_value_uplift*$AF211</f>
        <v/>
      </c>
      <c r="AK211" s="16">
        <f>$AF211+$AJ211</f>
        <v/>
      </c>
      <c r="AL211" s="18">
        <f>$AK211*$J211</f>
        <v/>
      </c>
      <c r="AM211" s="18">
        <f>$AK211*$I211</f>
        <v/>
      </c>
      <c r="AN211" s="18">
        <f>$AL211*bcd_scrap_hs7602</f>
        <v/>
      </c>
      <c r="AO211" s="18">
        <f>$AN211*sws_rate_on_bcd</f>
        <v/>
      </c>
      <c r="AP211" s="18">
        <f>($AL211+$AN211+$AO211)*igst_rate_hs7602</f>
        <v/>
      </c>
      <c r="AQ211" s="18">
        <f>$X211*$AG211+IF($Y211,psic_cost_usd_per_box*$H211/$W211,0)</f>
        <v/>
      </c>
      <c r="AR211" s="18">
        <f>($AM211+$AN211+$AO211)*$Z211/day_count_inr*$O211</f>
        <v/>
      </c>
      <c r="AS211" s="18">
        <f>$AP211*igst_credit_lag_days/day_count_inr*$O211</f>
        <v/>
      </c>
      <c r="AT211" s="18">
        <f>$AM211+$AN211+$AO211+$AQ211+$AR211+$AS211+IF(igst_itc_available,0,$AP211)</f>
        <v/>
      </c>
      <c r="AU211" s="15">
        <f>(1-$AA211)*(1-$AB211)*$AC211</f>
        <v/>
      </c>
      <c r="AV211" s="18">
        <f>$N211*kg_per_mt+domestic_anchor_premium_inr_t</f>
        <v/>
      </c>
      <c r="AW211" s="18">
        <f>(1-$AA211)*$AD211*heavies_net_value_frac_of_lme_al*$F211*$H211</f>
        <v/>
      </c>
      <c r="AX211" s="18">
        <f>conversion_cost_inr_t*$AU211</f>
        <v/>
      </c>
      <c r="AY211" s="18">
        <f>$AV211*$AU211+$AW211-$AT211-$AX211</f>
        <v/>
      </c>
      <c r="AZ211" s="16">
        <f>$AY211/$H211</f>
        <v/>
      </c>
      <c r="BA211" s="8">
        <f>$AY211&gt;margin_threshold_inr_t</f>
        <v/>
      </c>
      <c r="BB211" s="8">
        <f>$Q211+$AE211</f>
        <v/>
      </c>
      <c r="BC211" s="18">
        <f>$AT211-$AQ211</f>
        <v/>
      </c>
      <c r="BD211" s="18">
        <f>$AY211-$BC211*($BB211/$P211-1)</f>
        <v/>
      </c>
      <c r="BE211" s="18">
        <f>$AY211-(conv_step_5a-conversion_cost_inr_t)*$AU211</f>
        <v/>
      </c>
      <c r="BF211" s="8">
        <f>$BA211</f>
        <v/>
      </c>
      <c r="BG211" s="8">
        <f>$BD211&gt;margin_threshold_inr_t</f>
        <v/>
      </c>
      <c r="BH211" s="8">
        <f>$BE211&gt;margin_threshold_inr_t</f>
        <v/>
      </c>
      <c r="BI211" s="8">
        <f>AND($BF211,$BG211,$BH211)</f>
        <v/>
      </c>
      <c r="BJ211" s="8">
        <f>IF($BI211,1,0)</f>
        <v/>
      </c>
    </row>
    <row r="212">
      <c r="A212" s="11" t="n">
        <v>44806</v>
      </c>
      <c r="B212" s="11" t="n">
        <v>44806</v>
      </c>
      <c r="C212" s="7" t="inlineStr">
        <is>
          <t>taint_tabor</t>
        </is>
      </c>
      <c r="D212" s="7" t="inlineStr">
        <is>
          <t>JEA_NSA</t>
        </is>
      </c>
      <c r="E212" s="17" t="b">
        <v>1</v>
      </c>
      <c r="F212" s="16">
        <f>INDEX(Market_Weekly!$E$6:$E$48,MATCH($A212,Market_Weekly!$A$6:$A$48,0))</f>
        <v/>
      </c>
      <c r="G212" s="16">
        <f>INDEX(Market_Weekly!$D$6:$D$48,MATCH($A212,Market_Weekly!$A$6:$A$48,0))</f>
        <v/>
      </c>
      <c r="H212" s="16">
        <f>INDEX(Market_Weekly!$G$6:$G$48,MATCH($A212,Market_Weekly!$A$6:$A$48,0))</f>
        <v/>
      </c>
      <c r="I212" s="8">
        <f>INDEX(Market_Weekly!$H$6:$H$48,MATCH($A212,Market_Weekly!$A$6:$A$48,0))</f>
        <v/>
      </c>
      <c r="J212" s="8">
        <f>INDEX(Market_Weekly!$Q$6:$Q$48,MATCH($A212,Market_Weekly!$A$6:$A$48,0))</f>
        <v/>
      </c>
      <c r="K212" s="8">
        <f>INDEX(Market_Weekly!$V$6:$V$48,MATCH($A212,Market_Weekly!$A$6:$A$48,0))</f>
        <v/>
      </c>
      <c r="L212" s="16">
        <f>IF($D212="JEA_NSA",INDEX(Market_Weekly!$N$6:$N$48,MATCH($A212,Market_Weekly!$A$6:$A$48,0)),INDEX(Market_Weekly!$O$6:$O$48,MATCH($A212,Market_Weekly!$A$6:$A$48,0)))</f>
        <v/>
      </c>
      <c r="M212" s="8">
        <f>IF($D212="JEA_NSA","M1","M2")</f>
        <v/>
      </c>
      <c r="N212" s="16">
        <f>IF($D212="JEA_NSA",INDEX(Market_Weekly!$L$6:$L$48,MATCH($A212,Market_Weekly!$A$6:$A$48,0)),INDEX(Market_Weekly!$M$6:$M$48,MATCH($A212,Market_Weekly!$A$6:$A$48,0)))</f>
        <v/>
      </c>
      <c r="O212" s="15">
        <f>INDEX(Market_Weekly!$P$6:$P$48,MATCH($A212,Market_Weekly!$A$6:$A$48,0))</f>
        <v/>
      </c>
      <c r="P212" s="8">
        <f>INDEX(Market_Weekly!$R$6:$T$48,MATCH($A212,Market_Weekly!$A$6:$A$48,0),MATCH("grade_factor_"&amp;$C212,Market_Weekly!$R$5:$T$5,0))</f>
        <v/>
      </c>
      <c r="Q212" s="8">
        <f>INDEX(Market_Weekly!$U$6:$U$48,MATCH($A212,Market_Weekly!$A$6:$A$48,0))</f>
        <v/>
      </c>
      <c r="R212" s="8">
        <f>IF($D212="JEA_NSA","20ft","40ft")</f>
        <v/>
      </c>
      <c r="S212" s="8">
        <f>IF($D212="JEA_NSA","nsa","mun")</f>
        <v/>
      </c>
      <c r="T212" s="8">
        <f>IF($D212="JEA_NSA","jea_nsa","usec_mun")</f>
        <v/>
      </c>
      <c r="U212" s="16">
        <f>INDEX(param_values,MATCH("container_payload_mt_"&amp;$R212,param_keys,0))</f>
        <v/>
      </c>
      <c r="V212" s="16">
        <f>INDEX(param_values,MATCH("container_payload_mt_"&amp;$R212&amp;"_"&amp;$C212,param_keys,0))</f>
        <v/>
      </c>
      <c r="W212" s="16">
        <f>INDEX(param_values,MATCH("container_payload_mt_20ft_"&amp;$C212,param_keys,0))</f>
        <v/>
      </c>
      <c r="X212" s="18">
        <f>INDEX(param_values,MATCH("port_cf_charges_inr_t_"&amp;$S212,param_keys,0))</f>
        <v/>
      </c>
      <c r="Y212" s="8">
        <f>INDEX(param_values,MATCH(IF($D212="JEA_NSA","psic_required_uae_origin","psic_required_safe_origin_designated_port"),param_keys,0))</f>
        <v/>
      </c>
      <c r="Z212" s="19">
        <f>INDEX(param_values,MATCH("finance_days_"&amp;$T212,param_keys,0))</f>
        <v/>
      </c>
      <c r="AA212" s="15">
        <f>INDEX(param_values,MATCH("moisture_frac_"&amp;$C212,param_keys,0))</f>
        <v/>
      </c>
      <c r="AB212" s="15">
        <f>INDEX(param_values,MATCH("contamination_frac_"&amp;$C212,param_keys,0))</f>
        <v/>
      </c>
      <c r="AC212" s="15">
        <f>INDEX(param_values,MATCH("metal_yield_frac_"&amp;$C212,param_keys,0))</f>
        <v/>
      </c>
      <c r="AD212" s="15">
        <f>INDEX(param_values,MATCH("heavies_frac_"&amp;$C212,param_keys,0))</f>
        <v/>
      </c>
      <c r="AE212" s="8">
        <f>INDEX(param_values,MATCH("grade_factor_diff_"&amp;$C212,param_keys,0))</f>
        <v/>
      </c>
      <c r="AF212" s="16">
        <f>$F212*$P212</f>
        <v/>
      </c>
      <c r="AG212" s="8">
        <f>$U212/$V212</f>
        <v/>
      </c>
      <c r="AH212" s="16">
        <f>$L212*$AG212</f>
        <v/>
      </c>
      <c r="AI212" s="16">
        <f>$AF212-$AH212</f>
        <v/>
      </c>
      <c r="AJ212" s="16">
        <f>insurance_rate*insured_value_uplift*$AF212</f>
        <v/>
      </c>
      <c r="AK212" s="16">
        <f>$AF212+$AJ212</f>
        <v/>
      </c>
      <c r="AL212" s="18">
        <f>$AK212*$J212</f>
        <v/>
      </c>
      <c r="AM212" s="18">
        <f>$AK212*$I212</f>
        <v/>
      </c>
      <c r="AN212" s="18">
        <f>$AL212*bcd_scrap_hs7602</f>
        <v/>
      </c>
      <c r="AO212" s="18">
        <f>$AN212*sws_rate_on_bcd</f>
        <v/>
      </c>
      <c r="AP212" s="18">
        <f>($AL212+$AN212+$AO212)*igst_rate_hs7602</f>
        <v/>
      </c>
      <c r="AQ212" s="18">
        <f>$X212*$AG212+IF($Y212,psic_cost_usd_per_box*$H212/$W212,0)</f>
        <v/>
      </c>
      <c r="AR212" s="18">
        <f>($AM212+$AN212+$AO212)*$Z212/day_count_inr*$O212</f>
        <v/>
      </c>
      <c r="AS212" s="18">
        <f>$AP212*igst_credit_lag_days/day_count_inr*$O212</f>
        <v/>
      </c>
      <c r="AT212" s="18">
        <f>$AM212+$AN212+$AO212+$AQ212+$AR212+$AS212+IF(igst_itc_available,0,$AP212)</f>
        <v/>
      </c>
      <c r="AU212" s="15">
        <f>(1-$AA212)*(1-$AB212)*$AC212</f>
        <v/>
      </c>
      <c r="AV212" s="18">
        <f>$N212*kg_per_mt+domestic_anchor_premium_inr_t</f>
        <v/>
      </c>
      <c r="AW212" s="18">
        <f>(1-$AA212)*$AD212*heavies_net_value_frac_of_lme_al*$F212*$H212</f>
        <v/>
      </c>
      <c r="AX212" s="18">
        <f>conversion_cost_inr_t*$AU212</f>
        <v/>
      </c>
      <c r="AY212" s="18">
        <f>$AV212*$AU212+$AW212-$AT212-$AX212</f>
        <v/>
      </c>
      <c r="AZ212" s="16">
        <f>$AY212/$H212</f>
        <v/>
      </c>
      <c r="BA212" s="8">
        <f>$AY212&gt;margin_threshold_inr_t</f>
        <v/>
      </c>
      <c r="BB212" s="8">
        <f>$Q212+$AE212</f>
        <v/>
      </c>
      <c r="BC212" s="18">
        <f>$AT212-$AQ212</f>
        <v/>
      </c>
      <c r="BD212" s="18">
        <f>$AY212-$BC212*($BB212/$P212-1)</f>
        <v/>
      </c>
      <c r="BE212" s="18">
        <f>$AY212-(conv_step_5a-conversion_cost_inr_t)*$AU212</f>
        <v/>
      </c>
      <c r="BF212" s="8">
        <f>$BA212</f>
        <v/>
      </c>
      <c r="BG212" s="8">
        <f>$BD212&gt;margin_threshold_inr_t</f>
        <v/>
      </c>
      <c r="BH212" s="8">
        <f>$BE212&gt;margin_threshold_inr_t</f>
        <v/>
      </c>
      <c r="BI212" s="8">
        <f>AND($BF212,$BG212,$BH212)</f>
        <v/>
      </c>
      <c r="BJ212" s="8">
        <f>IF($BI212,1,0)</f>
        <v/>
      </c>
    </row>
    <row r="213">
      <c r="A213" s="11" t="n">
        <v>44806</v>
      </c>
      <c r="B213" s="11" t="n">
        <v>44806</v>
      </c>
      <c r="C213" s="7" t="inlineStr">
        <is>
          <t>taint_tabor</t>
        </is>
      </c>
      <c r="D213" s="7" t="inlineStr">
        <is>
          <t>USEC_MUN</t>
        </is>
      </c>
      <c r="E213" s="17" t="b">
        <v>1</v>
      </c>
      <c r="F213" s="16">
        <f>INDEX(Market_Weekly!$E$6:$E$48,MATCH($A213,Market_Weekly!$A$6:$A$48,0))</f>
        <v/>
      </c>
      <c r="G213" s="16">
        <f>INDEX(Market_Weekly!$D$6:$D$48,MATCH($A213,Market_Weekly!$A$6:$A$48,0))</f>
        <v/>
      </c>
      <c r="H213" s="16">
        <f>INDEX(Market_Weekly!$G$6:$G$48,MATCH($A213,Market_Weekly!$A$6:$A$48,0))</f>
        <v/>
      </c>
      <c r="I213" s="8">
        <f>INDEX(Market_Weekly!$H$6:$H$48,MATCH($A213,Market_Weekly!$A$6:$A$48,0))</f>
        <v/>
      </c>
      <c r="J213" s="8">
        <f>INDEX(Market_Weekly!$Q$6:$Q$48,MATCH($A213,Market_Weekly!$A$6:$A$48,0))</f>
        <v/>
      </c>
      <c r="K213" s="8">
        <f>INDEX(Market_Weekly!$V$6:$V$48,MATCH($A213,Market_Weekly!$A$6:$A$48,0))</f>
        <v/>
      </c>
      <c r="L213" s="16">
        <f>IF($D213="JEA_NSA",INDEX(Market_Weekly!$N$6:$N$48,MATCH($A213,Market_Weekly!$A$6:$A$48,0)),INDEX(Market_Weekly!$O$6:$O$48,MATCH($A213,Market_Weekly!$A$6:$A$48,0)))</f>
        <v/>
      </c>
      <c r="M213" s="8">
        <f>IF($D213="JEA_NSA","M1","M2")</f>
        <v/>
      </c>
      <c r="N213" s="16">
        <f>IF($D213="JEA_NSA",INDEX(Market_Weekly!$L$6:$L$48,MATCH($A213,Market_Weekly!$A$6:$A$48,0)),INDEX(Market_Weekly!$M$6:$M$48,MATCH($A213,Market_Weekly!$A$6:$A$48,0)))</f>
        <v/>
      </c>
      <c r="O213" s="15">
        <f>INDEX(Market_Weekly!$P$6:$P$48,MATCH($A213,Market_Weekly!$A$6:$A$48,0))</f>
        <v/>
      </c>
      <c r="P213" s="8">
        <f>INDEX(Market_Weekly!$R$6:$T$48,MATCH($A213,Market_Weekly!$A$6:$A$48,0),MATCH("grade_factor_"&amp;$C213,Market_Weekly!$R$5:$T$5,0))</f>
        <v/>
      </c>
      <c r="Q213" s="8">
        <f>INDEX(Market_Weekly!$U$6:$U$48,MATCH($A213,Market_Weekly!$A$6:$A$48,0))</f>
        <v/>
      </c>
      <c r="R213" s="8">
        <f>IF($D213="JEA_NSA","20ft","40ft")</f>
        <v/>
      </c>
      <c r="S213" s="8">
        <f>IF($D213="JEA_NSA","nsa","mun")</f>
        <v/>
      </c>
      <c r="T213" s="8">
        <f>IF($D213="JEA_NSA","jea_nsa","usec_mun")</f>
        <v/>
      </c>
      <c r="U213" s="16">
        <f>INDEX(param_values,MATCH("container_payload_mt_"&amp;$R213,param_keys,0))</f>
        <v/>
      </c>
      <c r="V213" s="16">
        <f>INDEX(param_values,MATCH("container_payload_mt_"&amp;$R213&amp;"_"&amp;$C213,param_keys,0))</f>
        <v/>
      </c>
      <c r="W213" s="16">
        <f>INDEX(param_values,MATCH("container_payload_mt_20ft_"&amp;$C213,param_keys,0))</f>
        <v/>
      </c>
      <c r="X213" s="18">
        <f>INDEX(param_values,MATCH("port_cf_charges_inr_t_"&amp;$S213,param_keys,0))</f>
        <v/>
      </c>
      <c r="Y213" s="8">
        <f>INDEX(param_values,MATCH(IF($D213="JEA_NSA","psic_required_uae_origin","psic_required_safe_origin_designated_port"),param_keys,0))</f>
        <v/>
      </c>
      <c r="Z213" s="19">
        <f>INDEX(param_values,MATCH("finance_days_"&amp;$T213,param_keys,0))</f>
        <v/>
      </c>
      <c r="AA213" s="15">
        <f>INDEX(param_values,MATCH("moisture_frac_"&amp;$C213,param_keys,0))</f>
        <v/>
      </c>
      <c r="AB213" s="15">
        <f>INDEX(param_values,MATCH("contamination_frac_"&amp;$C213,param_keys,0))</f>
        <v/>
      </c>
      <c r="AC213" s="15">
        <f>INDEX(param_values,MATCH("metal_yield_frac_"&amp;$C213,param_keys,0))</f>
        <v/>
      </c>
      <c r="AD213" s="15">
        <f>INDEX(param_values,MATCH("heavies_frac_"&amp;$C213,param_keys,0))</f>
        <v/>
      </c>
      <c r="AE213" s="8">
        <f>INDEX(param_values,MATCH("grade_factor_diff_"&amp;$C213,param_keys,0))</f>
        <v/>
      </c>
      <c r="AF213" s="16">
        <f>$F213*$P213</f>
        <v/>
      </c>
      <c r="AG213" s="8">
        <f>$U213/$V213</f>
        <v/>
      </c>
      <c r="AH213" s="16">
        <f>$L213*$AG213</f>
        <v/>
      </c>
      <c r="AI213" s="16">
        <f>$AF213-$AH213</f>
        <v/>
      </c>
      <c r="AJ213" s="16">
        <f>insurance_rate*insured_value_uplift*$AF213</f>
        <v/>
      </c>
      <c r="AK213" s="16">
        <f>$AF213+$AJ213</f>
        <v/>
      </c>
      <c r="AL213" s="18">
        <f>$AK213*$J213</f>
        <v/>
      </c>
      <c r="AM213" s="18">
        <f>$AK213*$I213</f>
        <v/>
      </c>
      <c r="AN213" s="18">
        <f>$AL213*bcd_scrap_hs7602</f>
        <v/>
      </c>
      <c r="AO213" s="18">
        <f>$AN213*sws_rate_on_bcd</f>
        <v/>
      </c>
      <c r="AP213" s="18">
        <f>($AL213+$AN213+$AO213)*igst_rate_hs7602</f>
        <v/>
      </c>
      <c r="AQ213" s="18">
        <f>$X213*$AG213+IF($Y213,psic_cost_usd_per_box*$H213/$W213,0)</f>
        <v/>
      </c>
      <c r="AR213" s="18">
        <f>($AM213+$AN213+$AO213)*$Z213/day_count_inr*$O213</f>
        <v/>
      </c>
      <c r="AS213" s="18">
        <f>$AP213*igst_credit_lag_days/day_count_inr*$O213</f>
        <v/>
      </c>
      <c r="AT213" s="18">
        <f>$AM213+$AN213+$AO213+$AQ213+$AR213+$AS213+IF(igst_itc_available,0,$AP213)</f>
        <v/>
      </c>
      <c r="AU213" s="15">
        <f>(1-$AA213)*(1-$AB213)*$AC213</f>
        <v/>
      </c>
      <c r="AV213" s="18">
        <f>$N213*kg_per_mt+domestic_anchor_premium_inr_t</f>
        <v/>
      </c>
      <c r="AW213" s="18">
        <f>(1-$AA213)*$AD213*heavies_net_value_frac_of_lme_al*$F213*$H213</f>
        <v/>
      </c>
      <c r="AX213" s="18">
        <f>conversion_cost_inr_t*$AU213</f>
        <v/>
      </c>
      <c r="AY213" s="18">
        <f>$AV213*$AU213+$AW213-$AT213-$AX213</f>
        <v/>
      </c>
      <c r="AZ213" s="16">
        <f>$AY213/$H213</f>
        <v/>
      </c>
      <c r="BA213" s="8">
        <f>$AY213&gt;margin_threshold_inr_t</f>
        <v/>
      </c>
      <c r="BB213" s="8">
        <f>$Q213+$AE213</f>
        <v/>
      </c>
      <c r="BC213" s="18">
        <f>$AT213-$AQ213</f>
        <v/>
      </c>
      <c r="BD213" s="18">
        <f>$AY213-$BC213*($BB213/$P213-1)</f>
        <v/>
      </c>
      <c r="BE213" s="18">
        <f>$AY213-(conv_step_5a-conversion_cost_inr_t)*$AU213</f>
        <v/>
      </c>
      <c r="BF213" s="8">
        <f>$BA213</f>
        <v/>
      </c>
      <c r="BG213" s="8">
        <f>$BD213&gt;margin_threshold_inr_t</f>
        <v/>
      </c>
      <c r="BH213" s="8">
        <f>$BE213&gt;margin_threshold_inr_t</f>
        <v/>
      </c>
      <c r="BI213" s="8">
        <f>AND($BF213,$BG213,$BH213)</f>
        <v/>
      </c>
      <c r="BJ213" s="8">
        <f>IF($BI213,1,0)</f>
        <v/>
      </c>
    </row>
    <row r="214">
      <c r="A214" s="11" t="n">
        <v>44806</v>
      </c>
      <c r="B214" s="11" t="n">
        <v>44806</v>
      </c>
      <c r="C214" s="7" t="inlineStr">
        <is>
          <t>tense</t>
        </is>
      </c>
      <c r="D214" s="7" t="inlineStr">
        <is>
          <t>JEA_NSA</t>
        </is>
      </c>
      <c r="E214" s="17" t="b">
        <v>1</v>
      </c>
      <c r="F214" s="16">
        <f>INDEX(Market_Weekly!$E$6:$E$48,MATCH($A214,Market_Weekly!$A$6:$A$48,0))</f>
        <v/>
      </c>
      <c r="G214" s="16">
        <f>INDEX(Market_Weekly!$D$6:$D$48,MATCH($A214,Market_Weekly!$A$6:$A$48,0))</f>
        <v/>
      </c>
      <c r="H214" s="16">
        <f>INDEX(Market_Weekly!$G$6:$G$48,MATCH($A214,Market_Weekly!$A$6:$A$48,0))</f>
        <v/>
      </c>
      <c r="I214" s="8">
        <f>INDEX(Market_Weekly!$H$6:$H$48,MATCH($A214,Market_Weekly!$A$6:$A$48,0))</f>
        <v/>
      </c>
      <c r="J214" s="8">
        <f>INDEX(Market_Weekly!$Q$6:$Q$48,MATCH($A214,Market_Weekly!$A$6:$A$48,0))</f>
        <v/>
      </c>
      <c r="K214" s="8">
        <f>INDEX(Market_Weekly!$V$6:$V$48,MATCH($A214,Market_Weekly!$A$6:$A$48,0))</f>
        <v/>
      </c>
      <c r="L214" s="16">
        <f>IF($D214="JEA_NSA",INDEX(Market_Weekly!$N$6:$N$48,MATCH($A214,Market_Weekly!$A$6:$A$48,0)),INDEX(Market_Weekly!$O$6:$O$48,MATCH($A214,Market_Weekly!$A$6:$A$48,0)))</f>
        <v/>
      </c>
      <c r="M214" s="8">
        <f>IF($D214="JEA_NSA","M1","M2")</f>
        <v/>
      </c>
      <c r="N214" s="16">
        <f>IF($D214="JEA_NSA",INDEX(Market_Weekly!$L$6:$L$48,MATCH($A214,Market_Weekly!$A$6:$A$48,0)),INDEX(Market_Weekly!$M$6:$M$48,MATCH($A214,Market_Weekly!$A$6:$A$48,0)))</f>
        <v/>
      </c>
      <c r="O214" s="15">
        <f>INDEX(Market_Weekly!$P$6:$P$48,MATCH($A214,Market_Weekly!$A$6:$A$48,0))</f>
        <v/>
      </c>
      <c r="P214" s="8">
        <f>INDEX(Market_Weekly!$R$6:$T$48,MATCH($A214,Market_Weekly!$A$6:$A$48,0),MATCH("grade_factor_"&amp;$C214,Market_Weekly!$R$5:$T$5,0))</f>
        <v/>
      </c>
      <c r="Q214" s="8">
        <f>INDEX(Market_Weekly!$U$6:$U$48,MATCH($A214,Market_Weekly!$A$6:$A$48,0))</f>
        <v/>
      </c>
      <c r="R214" s="8">
        <f>IF($D214="JEA_NSA","20ft","40ft")</f>
        <v/>
      </c>
      <c r="S214" s="8">
        <f>IF($D214="JEA_NSA","nsa","mun")</f>
        <v/>
      </c>
      <c r="T214" s="8">
        <f>IF($D214="JEA_NSA","jea_nsa","usec_mun")</f>
        <v/>
      </c>
      <c r="U214" s="16">
        <f>INDEX(param_values,MATCH("container_payload_mt_"&amp;$R214,param_keys,0))</f>
        <v/>
      </c>
      <c r="V214" s="16">
        <f>INDEX(param_values,MATCH("container_payload_mt_"&amp;$R214&amp;"_"&amp;$C214,param_keys,0))</f>
        <v/>
      </c>
      <c r="W214" s="16">
        <f>INDEX(param_values,MATCH("container_payload_mt_20ft_"&amp;$C214,param_keys,0))</f>
        <v/>
      </c>
      <c r="X214" s="18">
        <f>INDEX(param_values,MATCH("port_cf_charges_inr_t_"&amp;$S214,param_keys,0))</f>
        <v/>
      </c>
      <c r="Y214" s="8">
        <f>INDEX(param_values,MATCH(IF($D214="JEA_NSA","psic_required_uae_origin","psic_required_safe_origin_designated_port"),param_keys,0))</f>
        <v/>
      </c>
      <c r="Z214" s="19">
        <f>INDEX(param_values,MATCH("finance_days_"&amp;$T214,param_keys,0))</f>
        <v/>
      </c>
      <c r="AA214" s="15">
        <f>INDEX(param_values,MATCH("moisture_frac_"&amp;$C214,param_keys,0))</f>
        <v/>
      </c>
      <c r="AB214" s="15">
        <f>INDEX(param_values,MATCH("contamination_frac_"&amp;$C214,param_keys,0))</f>
        <v/>
      </c>
      <c r="AC214" s="15">
        <f>INDEX(param_values,MATCH("metal_yield_frac_"&amp;$C214,param_keys,0))</f>
        <v/>
      </c>
      <c r="AD214" s="15">
        <f>INDEX(param_values,MATCH("heavies_frac_"&amp;$C214,param_keys,0))</f>
        <v/>
      </c>
      <c r="AE214" s="8">
        <f>INDEX(param_values,MATCH("grade_factor_diff_"&amp;$C214,param_keys,0))</f>
        <v/>
      </c>
      <c r="AF214" s="16">
        <f>$F214*$P214</f>
        <v/>
      </c>
      <c r="AG214" s="8">
        <f>$U214/$V214</f>
        <v/>
      </c>
      <c r="AH214" s="16">
        <f>$L214*$AG214</f>
        <v/>
      </c>
      <c r="AI214" s="16">
        <f>$AF214-$AH214</f>
        <v/>
      </c>
      <c r="AJ214" s="16">
        <f>insurance_rate*insured_value_uplift*$AF214</f>
        <v/>
      </c>
      <c r="AK214" s="16">
        <f>$AF214+$AJ214</f>
        <v/>
      </c>
      <c r="AL214" s="18">
        <f>$AK214*$J214</f>
        <v/>
      </c>
      <c r="AM214" s="18">
        <f>$AK214*$I214</f>
        <v/>
      </c>
      <c r="AN214" s="18">
        <f>$AL214*bcd_scrap_hs7602</f>
        <v/>
      </c>
      <c r="AO214" s="18">
        <f>$AN214*sws_rate_on_bcd</f>
        <v/>
      </c>
      <c r="AP214" s="18">
        <f>($AL214+$AN214+$AO214)*igst_rate_hs7602</f>
        <v/>
      </c>
      <c r="AQ214" s="18">
        <f>$X214*$AG214+IF($Y214,psic_cost_usd_per_box*$H214/$W214,0)</f>
        <v/>
      </c>
      <c r="AR214" s="18">
        <f>($AM214+$AN214+$AO214)*$Z214/day_count_inr*$O214</f>
        <v/>
      </c>
      <c r="AS214" s="18">
        <f>$AP214*igst_credit_lag_days/day_count_inr*$O214</f>
        <v/>
      </c>
      <c r="AT214" s="18">
        <f>$AM214+$AN214+$AO214+$AQ214+$AR214+$AS214+IF(igst_itc_available,0,$AP214)</f>
        <v/>
      </c>
      <c r="AU214" s="15">
        <f>(1-$AA214)*(1-$AB214)*$AC214</f>
        <v/>
      </c>
      <c r="AV214" s="18">
        <f>$N214*kg_per_mt+domestic_anchor_premium_inr_t</f>
        <v/>
      </c>
      <c r="AW214" s="18">
        <f>(1-$AA214)*$AD214*heavies_net_value_frac_of_lme_al*$F214*$H214</f>
        <v/>
      </c>
      <c r="AX214" s="18">
        <f>conversion_cost_inr_t*$AU214</f>
        <v/>
      </c>
      <c r="AY214" s="18">
        <f>$AV214*$AU214+$AW214-$AT214-$AX214</f>
        <v/>
      </c>
      <c r="AZ214" s="16">
        <f>$AY214/$H214</f>
        <v/>
      </c>
      <c r="BA214" s="8">
        <f>$AY214&gt;margin_threshold_inr_t</f>
        <v/>
      </c>
      <c r="BB214" s="8">
        <f>$Q214+$AE214</f>
        <v/>
      </c>
      <c r="BC214" s="18">
        <f>$AT214-$AQ214</f>
        <v/>
      </c>
      <c r="BD214" s="18">
        <f>$AY214-$BC214*($BB214/$P214-1)</f>
        <v/>
      </c>
      <c r="BE214" s="18">
        <f>$AY214-(conv_step_5a-conversion_cost_inr_t)*$AU214</f>
        <v/>
      </c>
      <c r="BF214" s="8">
        <f>$BA214</f>
        <v/>
      </c>
      <c r="BG214" s="8">
        <f>$BD214&gt;margin_threshold_inr_t</f>
        <v/>
      </c>
      <c r="BH214" s="8">
        <f>$BE214&gt;margin_threshold_inr_t</f>
        <v/>
      </c>
      <c r="BI214" s="8">
        <f>AND($BF214,$BG214,$BH214)</f>
        <v/>
      </c>
      <c r="BJ214" s="8">
        <f>IF($BI214,1,0)</f>
        <v/>
      </c>
    </row>
    <row r="215">
      <c r="A215" s="11" t="n">
        <v>44806</v>
      </c>
      <c r="B215" s="11" t="n">
        <v>44806</v>
      </c>
      <c r="C215" s="7" t="inlineStr">
        <is>
          <t>tense</t>
        </is>
      </c>
      <c r="D215" s="7" t="inlineStr">
        <is>
          <t>USEC_MUN</t>
        </is>
      </c>
      <c r="E215" s="17" t="b">
        <v>1</v>
      </c>
      <c r="F215" s="16">
        <f>INDEX(Market_Weekly!$E$6:$E$48,MATCH($A215,Market_Weekly!$A$6:$A$48,0))</f>
        <v/>
      </c>
      <c r="G215" s="16">
        <f>INDEX(Market_Weekly!$D$6:$D$48,MATCH($A215,Market_Weekly!$A$6:$A$48,0))</f>
        <v/>
      </c>
      <c r="H215" s="16">
        <f>INDEX(Market_Weekly!$G$6:$G$48,MATCH($A215,Market_Weekly!$A$6:$A$48,0))</f>
        <v/>
      </c>
      <c r="I215" s="8">
        <f>INDEX(Market_Weekly!$H$6:$H$48,MATCH($A215,Market_Weekly!$A$6:$A$48,0))</f>
        <v/>
      </c>
      <c r="J215" s="8">
        <f>INDEX(Market_Weekly!$Q$6:$Q$48,MATCH($A215,Market_Weekly!$A$6:$A$48,0))</f>
        <v/>
      </c>
      <c r="K215" s="8">
        <f>INDEX(Market_Weekly!$V$6:$V$48,MATCH($A215,Market_Weekly!$A$6:$A$48,0))</f>
        <v/>
      </c>
      <c r="L215" s="16">
        <f>IF($D215="JEA_NSA",INDEX(Market_Weekly!$N$6:$N$48,MATCH($A215,Market_Weekly!$A$6:$A$48,0)),INDEX(Market_Weekly!$O$6:$O$48,MATCH($A215,Market_Weekly!$A$6:$A$48,0)))</f>
        <v/>
      </c>
      <c r="M215" s="8">
        <f>IF($D215="JEA_NSA","M1","M2")</f>
        <v/>
      </c>
      <c r="N215" s="16">
        <f>IF($D215="JEA_NSA",INDEX(Market_Weekly!$L$6:$L$48,MATCH($A215,Market_Weekly!$A$6:$A$48,0)),INDEX(Market_Weekly!$M$6:$M$48,MATCH($A215,Market_Weekly!$A$6:$A$48,0)))</f>
        <v/>
      </c>
      <c r="O215" s="15">
        <f>INDEX(Market_Weekly!$P$6:$P$48,MATCH($A215,Market_Weekly!$A$6:$A$48,0))</f>
        <v/>
      </c>
      <c r="P215" s="8">
        <f>INDEX(Market_Weekly!$R$6:$T$48,MATCH($A215,Market_Weekly!$A$6:$A$48,0),MATCH("grade_factor_"&amp;$C215,Market_Weekly!$R$5:$T$5,0))</f>
        <v/>
      </c>
      <c r="Q215" s="8">
        <f>INDEX(Market_Weekly!$U$6:$U$48,MATCH($A215,Market_Weekly!$A$6:$A$48,0))</f>
        <v/>
      </c>
      <c r="R215" s="8">
        <f>IF($D215="JEA_NSA","20ft","40ft")</f>
        <v/>
      </c>
      <c r="S215" s="8">
        <f>IF($D215="JEA_NSA","nsa","mun")</f>
        <v/>
      </c>
      <c r="T215" s="8">
        <f>IF($D215="JEA_NSA","jea_nsa","usec_mun")</f>
        <v/>
      </c>
      <c r="U215" s="16">
        <f>INDEX(param_values,MATCH("container_payload_mt_"&amp;$R215,param_keys,0))</f>
        <v/>
      </c>
      <c r="V215" s="16">
        <f>INDEX(param_values,MATCH("container_payload_mt_"&amp;$R215&amp;"_"&amp;$C215,param_keys,0))</f>
        <v/>
      </c>
      <c r="W215" s="16">
        <f>INDEX(param_values,MATCH("container_payload_mt_20ft_"&amp;$C215,param_keys,0))</f>
        <v/>
      </c>
      <c r="X215" s="18">
        <f>INDEX(param_values,MATCH("port_cf_charges_inr_t_"&amp;$S215,param_keys,0))</f>
        <v/>
      </c>
      <c r="Y215" s="8">
        <f>INDEX(param_values,MATCH(IF($D215="JEA_NSA","psic_required_uae_origin","psic_required_safe_origin_designated_port"),param_keys,0))</f>
        <v/>
      </c>
      <c r="Z215" s="19">
        <f>INDEX(param_values,MATCH("finance_days_"&amp;$T215,param_keys,0))</f>
        <v/>
      </c>
      <c r="AA215" s="15">
        <f>INDEX(param_values,MATCH("moisture_frac_"&amp;$C215,param_keys,0))</f>
        <v/>
      </c>
      <c r="AB215" s="15">
        <f>INDEX(param_values,MATCH("contamination_frac_"&amp;$C215,param_keys,0))</f>
        <v/>
      </c>
      <c r="AC215" s="15">
        <f>INDEX(param_values,MATCH("metal_yield_frac_"&amp;$C215,param_keys,0))</f>
        <v/>
      </c>
      <c r="AD215" s="15">
        <f>INDEX(param_values,MATCH("heavies_frac_"&amp;$C215,param_keys,0))</f>
        <v/>
      </c>
      <c r="AE215" s="8">
        <f>INDEX(param_values,MATCH("grade_factor_diff_"&amp;$C215,param_keys,0))</f>
        <v/>
      </c>
      <c r="AF215" s="16">
        <f>$F215*$P215</f>
        <v/>
      </c>
      <c r="AG215" s="8">
        <f>$U215/$V215</f>
        <v/>
      </c>
      <c r="AH215" s="16">
        <f>$L215*$AG215</f>
        <v/>
      </c>
      <c r="AI215" s="16">
        <f>$AF215-$AH215</f>
        <v/>
      </c>
      <c r="AJ215" s="16">
        <f>insurance_rate*insured_value_uplift*$AF215</f>
        <v/>
      </c>
      <c r="AK215" s="16">
        <f>$AF215+$AJ215</f>
        <v/>
      </c>
      <c r="AL215" s="18">
        <f>$AK215*$J215</f>
        <v/>
      </c>
      <c r="AM215" s="18">
        <f>$AK215*$I215</f>
        <v/>
      </c>
      <c r="AN215" s="18">
        <f>$AL215*bcd_scrap_hs7602</f>
        <v/>
      </c>
      <c r="AO215" s="18">
        <f>$AN215*sws_rate_on_bcd</f>
        <v/>
      </c>
      <c r="AP215" s="18">
        <f>($AL215+$AN215+$AO215)*igst_rate_hs7602</f>
        <v/>
      </c>
      <c r="AQ215" s="18">
        <f>$X215*$AG215+IF($Y215,psic_cost_usd_per_box*$H215/$W215,0)</f>
        <v/>
      </c>
      <c r="AR215" s="18">
        <f>($AM215+$AN215+$AO215)*$Z215/day_count_inr*$O215</f>
        <v/>
      </c>
      <c r="AS215" s="18">
        <f>$AP215*igst_credit_lag_days/day_count_inr*$O215</f>
        <v/>
      </c>
      <c r="AT215" s="18">
        <f>$AM215+$AN215+$AO215+$AQ215+$AR215+$AS215+IF(igst_itc_available,0,$AP215)</f>
        <v/>
      </c>
      <c r="AU215" s="15">
        <f>(1-$AA215)*(1-$AB215)*$AC215</f>
        <v/>
      </c>
      <c r="AV215" s="18">
        <f>$N215*kg_per_mt+domestic_anchor_premium_inr_t</f>
        <v/>
      </c>
      <c r="AW215" s="18">
        <f>(1-$AA215)*$AD215*heavies_net_value_frac_of_lme_al*$F215*$H215</f>
        <v/>
      </c>
      <c r="AX215" s="18">
        <f>conversion_cost_inr_t*$AU215</f>
        <v/>
      </c>
      <c r="AY215" s="18">
        <f>$AV215*$AU215+$AW215-$AT215-$AX215</f>
        <v/>
      </c>
      <c r="AZ215" s="16">
        <f>$AY215/$H215</f>
        <v/>
      </c>
      <c r="BA215" s="8">
        <f>$AY215&gt;margin_threshold_inr_t</f>
        <v/>
      </c>
      <c r="BB215" s="8">
        <f>$Q215+$AE215</f>
        <v/>
      </c>
      <c r="BC215" s="18">
        <f>$AT215-$AQ215</f>
        <v/>
      </c>
      <c r="BD215" s="18">
        <f>$AY215-$BC215*($BB215/$P215-1)</f>
        <v/>
      </c>
      <c r="BE215" s="18">
        <f>$AY215-(conv_step_5a-conversion_cost_inr_t)*$AU215</f>
        <v/>
      </c>
      <c r="BF215" s="8">
        <f>$BA215</f>
        <v/>
      </c>
      <c r="BG215" s="8">
        <f>$BD215&gt;margin_threshold_inr_t</f>
        <v/>
      </c>
      <c r="BH215" s="8">
        <f>$BE215&gt;margin_threshold_inr_t</f>
        <v/>
      </c>
      <c r="BI215" s="8">
        <f>AND($BF215,$BG215,$BH215)</f>
        <v/>
      </c>
      <c r="BJ215" s="8">
        <f>IF($BI215,1,0)</f>
        <v/>
      </c>
    </row>
    <row r="216">
      <c r="A216" s="11" t="n">
        <v>44813</v>
      </c>
      <c r="B216" s="11" t="n">
        <v>44813</v>
      </c>
      <c r="C216" s="7" t="inlineStr">
        <is>
          <t>zorba</t>
        </is>
      </c>
      <c r="D216" s="7" t="inlineStr">
        <is>
          <t>JEA_NSA</t>
        </is>
      </c>
      <c r="E216" s="17" t="b">
        <v>0</v>
      </c>
      <c r="F216" s="16">
        <f>INDEX(Market_Weekly!$E$6:$E$48,MATCH($A216,Market_Weekly!$A$6:$A$48,0))</f>
        <v/>
      </c>
      <c r="G216" s="16">
        <f>INDEX(Market_Weekly!$D$6:$D$48,MATCH($A216,Market_Weekly!$A$6:$A$48,0))</f>
        <v/>
      </c>
      <c r="H216" s="16">
        <f>INDEX(Market_Weekly!$G$6:$G$48,MATCH($A216,Market_Weekly!$A$6:$A$48,0))</f>
        <v/>
      </c>
      <c r="I216" s="8">
        <f>INDEX(Market_Weekly!$H$6:$H$48,MATCH($A216,Market_Weekly!$A$6:$A$48,0))</f>
        <v/>
      </c>
      <c r="J216" s="8">
        <f>INDEX(Market_Weekly!$Q$6:$Q$48,MATCH($A216,Market_Weekly!$A$6:$A$48,0))</f>
        <v/>
      </c>
      <c r="K216" s="8">
        <f>INDEX(Market_Weekly!$V$6:$V$48,MATCH($A216,Market_Weekly!$A$6:$A$48,0))</f>
        <v/>
      </c>
      <c r="L216" s="16">
        <f>IF($D216="JEA_NSA",INDEX(Market_Weekly!$N$6:$N$48,MATCH($A216,Market_Weekly!$A$6:$A$48,0)),INDEX(Market_Weekly!$O$6:$O$48,MATCH($A216,Market_Weekly!$A$6:$A$48,0)))</f>
        <v/>
      </c>
      <c r="M216" s="8">
        <f>IF($D216="JEA_NSA","M1","M2")</f>
        <v/>
      </c>
      <c r="N216" s="16">
        <f>IF($D216="JEA_NSA",INDEX(Market_Weekly!$L$6:$L$48,MATCH($A216,Market_Weekly!$A$6:$A$48,0)),INDEX(Market_Weekly!$M$6:$M$48,MATCH($A216,Market_Weekly!$A$6:$A$48,0)))</f>
        <v/>
      </c>
      <c r="O216" s="15">
        <f>INDEX(Market_Weekly!$P$6:$P$48,MATCH($A216,Market_Weekly!$A$6:$A$48,0))</f>
        <v/>
      </c>
      <c r="P216" s="8">
        <f>INDEX(Market_Weekly!$R$6:$T$48,MATCH($A216,Market_Weekly!$A$6:$A$48,0),MATCH("grade_factor_"&amp;$C216,Market_Weekly!$R$5:$T$5,0))</f>
        <v/>
      </c>
      <c r="Q216" s="8">
        <f>INDEX(Market_Weekly!$U$6:$U$48,MATCH($A216,Market_Weekly!$A$6:$A$48,0))</f>
        <v/>
      </c>
      <c r="R216" s="8">
        <f>IF($D216="JEA_NSA","20ft","40ft")</f>
        <v/>
      </c>
      <c r="S216" s="8">
        <f>IF($D216="JEA_NSA","nsa","mun")</f>
        <v/>
      </c>
      <c r="T216" s="8">
        <f>IF($D216="JEA_NSA","jea_nsa","usec_mun")</f>
        <v/>
      </c>
      <c r="U216" s="16">
        <f>INDEX(param_values,MATCH("container_payload_mt_"&amp;$R216,param_keys,0))</f>
        <v/>
      </c>
      <c r="V216" s="16">
        <f>INDEX(param_values,MATCH("container_payload_mt_"&amp;$R216&amp;"_"&amp;$C216,param_keys,0))</f>
        <v/>
      </c>
      <c r="W216" s="16">
        <f>INDEX(param_values,MATCH("container_payload_mt_20ft_"&amp;$C216,param_keys,0))</f>
        <v/>
      </c>
      <c r="X216" s="18">
        <f>INDEX(param_values,MATCH("port_cf_charges_inr_t_"&amp;$S216,param_keys,0))</f>
        <v/>
      </c>
      <c r="Y216" s="8">
        <f>INDEX(param_values,MATCH(IF($D216="JEA_NSA","psic_required_uae_origin","psic_required_safe_origin_designated_port"),param_keys,0))</f>
        <v/>
      </c>
      <c r="Z216" s="19">
        <f>INDEX(param_values,MATCH("finance_days_"&amp;$T216,param_keys,0))</f>
        <v/>
      </c>
      <c r="AA216" s="15">
        <f>INDEX(param_values,MATCH("moisture_frac_"&amp;$C216,param_keys,0))</f>
        <v/>
      </c>
      <c r="AB216" s="15">
        <f>INDEX(param_values,MATCH("contamination_frac_"&amp;$C216,param_keys,0))</f>
        <v/>
      </c>
      <c r="AC216" s="15">
        <f>INDEX(param_values,MATCH("metal_yield_frac_"&amp;$C216,param_keys,0))</f>
        <v/>
      </c>
      <c r="AD216" s="15">
        <f>INDEX(param_values,MATCH("heavies_frac_"&amp;$C216,param_keys,0))</f>
        <v/>
      </c>
      <c r="AE216" s="8">
        <f>INDEX(param_values,MATCH("grade_factor_diff_"&amp;$C216,param_keys,0))</f>
        <v/>
      </c>
      <c r="AF216" s="16">
        <f>$F216*$P216</f>
        <v/>
      </c>
      <c r="AG216" s="8">
        <f>$U216/$V216</f>
        <v/>
      </c>
      <c r="AH216" s="16">
        <f>$L216*$AG216</f>
        <v/>
      </c>
      <c r="AI216" s="16">
        <f>$AF216-$AH216</f>
        <v/>
      </c>
      <c r="AJ216" s="16">
        <f>insurance_rate*insured_value_uplift*$AF216</f>
        <v/>
      </c>
      <c r="AK216" s="16">
        <f>$AF216+$AJ216</f>
        <v/>
      </c>
      <c r="AL216" s="18">
        <f>$AK216*$J216</f>
        <v/>
      </c>
      <c r="AM216" s="18">
        <f>$AK216*$I216</f>
        <v/>
      </c>
      <c r="AN216" s="18">
        <f>$AL216*bcd_scrap_hs7602</f>
        <v/>
      </c>
      <c r="AO216" s="18">
        <f>$AN216*sws_rate_on_bcd</f>
        <v/>
      </c>
      <c r="AP216" s="18">
        <f>($AL216+$AN216+$AO216)*igst_rate_hs7602</f>
        <v/>
      </c>
      <c r="AQ216" s="18">
        <f>$X216*$AG216+IF($Y216,psic_cost_usd_per_box*$H216/$W216,0)</f>
        <v/>
      </c>
      <c r="AR216" s="18">
        <f>($AM216+$AN216+$AO216)*$Z216/day_count_inr*$O216</f>
        <v/>
      </c>
      <c r="AS216" s="18">
        <f>$AP216*igst_credit_lag_days/day_count_inr*$O216</f>
        <v/>
      </c>
      <c r="AT216" s="18">
        <f>$AM216+$AN216+$AO216+$AQ216+$AR216+$AS216+IF(igst_itc_available,0,$AP216)</f>
        <v/>
      </c>
      <c r="AU216" s="15">
        <f>(1-$AA216)*(1-$AB216)*$AC216</f>
        <v/>
      </c>
      <c r="AV216" s="18">
        <f>$N216*kg_per_mt+domestic_anchor_premium_inr_t</f>
        <v/>
      </c>
      <c r="AW216" s="18">
        <f>(1-$AA216)*$AD216*heavies_net_value_frac_of_lme_al*$F216*$H216</f>
        <v/>
      </c>
      <c r="AX216" s="18">
        <f>conversion_cost_inr_t*$AU216</f>
        <v/>
      </c>
      <c r="AY216" s="18">
        <f>$AV216*$AU216+$AW216-$AT216-$AX216</f>
        <v/>
      </c>
      <c r="AZ216" s="16">
        <f>$AY216/$H216</f>
        <v/>
      </c>
      <c r="BA216" s="8">
        <f>$AY216&gt;margin_threshold_inr_t</f>
        <v/>
      </c>
      <c r="BB216" s="8">
        <f>$Q216+$AE216</f>
        <v/>
      </c>
      <c r="BC216" s="18">
        <f>$AT216-$AQ216</f>
        <v/>
      </c>
      <c r="BD216" s="18">
        <f>$AY216-$BC216*($BB216/$P216-1)</f>
        <v/>
      </c>
      <c r="BE216" s="18">
        <f>$AY216-(conv_step_5a-conversion_cost_inr_t)*$AU216</f>
        <v/>
      </c>
      <c r="BF216" s="8">
        <f>$BA216</f>
        <v/>
      </c>
      <c r="BG216" s="8">
        <f>$BD216&gt;margin_threshold_inr_t</f>
        <v/>
      </c>
      <c r="BH216" s="8">
        <f>$BE216&gt;margin_threshold_inr_t</f>
        <v/>
      </c>
      <c r="BI216" s="8">
        <f>AND($BF216,$BG216,$BH216)</f>
        <v/>
      </c>
      <c r="BJ216" s="8">
        <f>IF($BI216,1,0)</f>
        <v/>
      </c>
    </row>
    <row r="217">
      <c r="A217" s="11" t="n">
        <v>44813</v>
      </c>
      <c r="B217" s="11" t="n">
        <v>44813</v>
      </c>
      <c r="C217" s="7" t="inlineStr">
        <is>
          <t>zorba</t>
        </is>
      </c>
      <c r="D217" s="7" t="inlineStr">
        <is>
          <t>USEC_MUN</t>
        </is>
      </c>
      <c r="E217" s="17" t="b">
        <v>0</v>
      </c>
      <c r="F217" s="16">
        <f>INDEX(Market_Weekly!$E$6:$E$48,MATCH($A217,Market_Weekly!$A$6:$A$48,0))</f>
        <v/>
      </c>
      <c r="G217" s="16">
        <f>INDEX(Market_Weekly!$D$6:$D$48,MATCH($A217,Market_Weekly!$A$6:$A$48,0))</f>
        <v/>
      </c>
      <c r="H217" s="16">
        <f>INDEX(Market_Weekly!$G$6:$G$48,MATCH($A217,Market_Weekly!$A$6:$A$48,0))</f>
        <v/>
      </c>
      <c r="I217" s="8">
        <f>INDEX(Market_Weekly!$H$6:$H$48,MATCH($A217,Market_Weekly!$A$6:$A$48,0))</f>
        <v/>
      </c>
      <c r="J217" s="8">
        <f>INDEX(Market_Weekly!$Q$6:$Q$48,MATCH($A217,Market_Weekly!$A$6:$A$48,0))</f>
        <v/>
      </c>
      <c r="K217" s="8">
        <f>INDEX(Market_Weekly!$V$6:$V$48,MATCH($A217,Market_Weekly!$A$6:$A$48,0))</f>
        <v/>
      </c>
      <c r="L217" s="16">
        <f>IF($D217="JEA_NSA",INDEX(Market_Weekly!$N$6:$N$48,MATCH($A217,Market_Weekly!$A$6:$A$48,0)),INDEX(Market_Weekly!$O$6:$O$48,MATCH($A217,Market_Weekly!$A$6:$A$48,0)))</f>
        <v/>
      </c>
      <c r="M217" s="8">
        <f>IF($D217="JEA_NSA","M1","M2")</f>
        <v/>
      </c>
      <c r="N217" s="16">
        <f>IF($D217="JEA_NSA",INDEX(Market_Weekly!$L$6:$L$48,MATCH($A217,Market_Weekly!$A$6:$A$48,0)),INDEX(Market_Weekly!$M$6:$M$48,MATCH($A217,Market_Weekly!$A$6:$A$48,0)))</f>
        <v/>
      </c>
      <c r="O217" s="15">
        <f>INDEX(Market_Weekly!$P$6:$P$48,MATCH($A217,Market_Weekly!$A$6:$A$48,0))</f>
        <v/>
      </c>
      <c r="P217" s="8">
        <f>INDEX(Market_Weekly!$R$6:$T$48,MATCH($A217,Market_Weekly!$A$6:$A$48,0),MATCH("grade_factor_"&amp;$C217,Market_Weekly!$R$5:$T$5,0))</f>
        <v/>
      </c>
      <c r="Q217" s="8">
        <f>INDEX(Market_Weekly!$U$6:$U$48,MATCH($A217,Market_Weekly!$A$6:$A$48,0))</f>
        <v/>
      </c>
      <c r="R217" s="8">
        <f>IF($D217="JEA_NSA","20ft","40ft")</f>
        <v/>
      </c>
      <c r="S217" s="8">
        <f>IF($D217="JEA_NSA","nsa","mun")</f>
        <v/>
      </c>
      <c r="T217" s="8">
        <f>IF($D217="JEA_NSA","jea_nsa","usec_mun")</f>
        <v/>
      </c>
      <c r="U217" s="16">
        <f>INDEX(param_values,MATCH("container_payload_mt_"&amp;$R217,param_keys,0))</f>
        <v/>
      </c>
      <c r="V217" s="16">
        <f>INDEX(param_values,MATCH("container_payload_mt_"&amp;$R217&amp;"_"&amp;$C217,param_keys,0))</f>
        <v/>
      </c>
      <c r="W217" s="16">
        <f>INDEX(param_values,MATCH("container_payload_mt_20ft_"&amp;$C217,param_keys,0))</f>
        <v/>
      </c>
      <c r="X217" s="18">
        <f>INDEX(param_values,MATCH("port_cf_charges_inr_t_"&amp;$S217,param_keys,0))</f>
        <v/>
      </c>
      <c r="Y217" s="8">
        <f>INDEX(param_values,MATCH(IF($D217="JEA_NSA","psic_required_uae_origin","psic_required_safe_origin_designated_port"),param_keys,0))</f>
        <v/>
      </c>
      <c r="Z217" s="19">
        <f>INDEX(param_values,MATCH("finance_days_"&amp;$T217,param_keys,0))</f>
        <v/>
      </c>
      <c r="AA217" s="15">
        <f>INDEX(param_values,MATCH("moisture_frac_"&amp;$C217,param_keys,0))</f>
        <v/>
      </c>
      <c r="AB217" s="15">
        <f>INDEX(param_values,MATCH("contamination_frac_"&amp;$C217,param_keys,0))</f>
        <v/>
      </c>
      <c r="AC217" s="15">
        <f>INDEX(param_values,MATCH("metal_yield_frac_"&amp;$C217,param_keys,0))</f>
        <v/>
      </c>
      <c r="AD217" s="15">
        <f>INDEX(param_values,MATCH("heavies_frac_"&amp;$C217,param_keys,0))</f>
        <v/>
      </c>
      <c r="AE217" s="8">
        <f>INDEX(param_values,MATCH("grade_factor_diff_"&amp;$C217,param_keys,0))</f>
        <v/>
      </c>
      <c r="AF217" s="16">
        <f>$F217*$P217</f>
        <v/>
      </c>
      <c r="AG217" s="8">
        <f>$U217/$V217</f>
        <v/>
      </c>
      <c r="AH217" s="16">
        <f>$L217*$AG217</f>
        <v/>
      </c>
      <c r="AI217" s="16">
        <f>$AF217-$AH217</f>
        <v/>
      </c>
      <c r="AJ217" s="16">
        <f>insurance_rate*insured_value_uplift*$AF217</f>
        <v/>
      </c>
      <c r="AK217" s="16">
        <f>$AF217+$AJ217</f>
        <v/>
      </c>
      <c r="AL217" s="18">
        <f>$AK217*$J217</f>
        <v/>
      </c>
      <c r="AM217" s="18">
        <f>$AK217*$I217</f>
        <v/>
      </c>
      <c r="AN217" s="18">
        <f>$AL217*bcd_scrap_hs7602</f>
        <v/>
      </c>
      <c r="AO217" s="18">
        <f>$AN217*sws_rate_on_bcd</f>
        <v/>
      </c>
      <c r="AP217" s="18">
        <f>($AL217+$AN217+$AO217)*igst_rate_hs7602</f>
        <v/>
      </c>
      <c r="AQ217" s="18">
        <f>$X217*$AG217+IF($Y217,psic_cost_usd_per_box*$H217/$W217,0)</f>
        <v/>
      </c>
      <c r="AR217" s="18">
        <f>($AM217+$AN217+$AO217)*$Z217/day_count_inr*$O217</f>
        <v/>
      </c>
      <c r="AS217" s="18">
        <f>$AP217*igst_credit_lag_days/day_count_inr*$O217</f>
        <v/>
      </c>
      <c r="AT217" s="18">
        <f>$AM217+$AN217+$AO217+$AQ217+$AR217+$AS217+IF(igst_itc_available,0,$AP217)</f>
        <v/>
      </c>
      <c r="AU217" s="15">
        <f>(1-$AA217)*(1-$AB217)*$AC217</f>
        <v/>
      </c>
      <c r="AV217" s="18">
        <f>$N217*kg_per_mt+domestic_anchor_premium_inr_t</f>
        <v/>
      </c>
      <c r="AW217" s="18">
        <f>(1-$AA217)*$AD217*heavies_net_value_frac_of_lme_al*$F217*$H217</f>
        <v/>
      </c>
      <c r="AX217" s="18">
        <f>conversion_cost_inr_t*$AU217</f>
        <v/>
      </c>
      <c r="AY217" s="18">
        <f>$AV217*$AU217+$AW217-$AT217-$AX217</f>
        <v/>
      </c>
      <c r="AZ217" s="16">
        <f>$AY217/$H217</f>
        <v/>
      </c>
      <c r="BA217" s="8">
        <f>$AY217&gt;margin_threshold_inr_t</f>
        <v/>
      </c>
      <c r="BB217" s="8">
        <f>$Q217+$AE217</f>
        <v/>
      </c>
      <c r="BC217" s="18">
        <f>$AT217-$AQ217</f>
        <v/>
      </c>
      <c r="BD217" s="18">
        <f>$AY217-$BC217*($BB217/$P217-1)</f>
        <v/>
      </c>
      <c r="BE217" s="18">
        <f>$AY217-(conv_step_5a-conversion_cost_inr_t)*$AU217</f>
        <v/>
      </c>
      <c r="BF217" s="8">
        <f>$BA217</f>
        <v/>
      </c>
      <c r="BG217" s="8">
        <f>$BD217&gt;margin_threshold_inr_t</f>
        <v/>
      </c>
      <c r="BH217" s="8">
        <f>$BE217&gt;margin_threshold_inr_t</f>
        <v/>
      </c>
      <c r="BI217" s="8">
        <f>AND($BF217,$BG217,$BH217)</f>
        <v/>
      </c>
      <c r="BJ217" s="8">
        <f>IF($BI217,1,0)</f>
        <v/>
      </c>
    </row>
    <row r="218">
      <c r="A218" s="11" t="n">
        <v>44813</v>
      </c>
      <c r="B218" s="11" t="n">
        <v>44813</v>
      </c>
      <c r="C218" s="7" t="inlineStr">
        <is>
          <t>taint_tabor</t>
        </is>
      </c>
      <c r="D218" s="7" t="inlineStr">
        <is>
          <t>JEA_NSA</t>
        </is>
      </c>
      <c r="E218" s="17" t="b">
        <v>0</v>
      </c>
      <c r="F218" s="16">
        <f>INDEX(Market_Weekly!$E$6:$E$48,MATCH($A218,Market_Weekly!$A$6:$A$48,0))</f>
        <v/>
      </c>
      <c r="G218" s="16">
        <f>INDEX(Market_Weekly!$D$6:$D$48,MATCH($A218,Market_Weekly!$A$6:$A$48,0))</f>
        <v/>
      </c>
      <c r="H218" s="16">
        <f>INDEX(Market_Weekly!$G$6:$G$48,MATCH($A218,Market_Weekly!$A$6:$A$48,0))</f>
        <v/>
      </c>
      <c r="I218" s="8">
        <f>INDEX(Market_Weekly!$H$6:$H$48,MATCH($A218,Market_Weekly!$A$6:$A$48,0))</f>
        <v/>
      </c>
      <c r="J218" s="8">
        <f>INDEX(Market_Weekly!$Q$6:$Q$48,MATCH($A218,Market_Weekly!$A$6:$A$48,0))</f>
        <v/>
      </c>
      <c r="K218" s="8">
        <f>INDEX(Market_Weekly!$V$6:$V$48,MATCH($A218,Market_Weekly!$A$6:$A$48,0))</f>
        <v/>
      </c>
      <c r="L218" s="16">
        <f>IF($D218="JEA_NSA",INDEX(Market_Weekly!$N$6:$N$48,MATCH($A218,Market_Weekly!$A$6:$A$48,0)),INDEX(Market_Weekly!$O$6:$O$48,MATCH($A218,Market_Weekly!$A$6:$A$48,0)))</f>
        <v/>
      </c>
      <c r="M218" s="8">
        <f>IF($D218="JEA_NSA","M1","M2")</f>
        <v/>
      </c>
      <c r="N218" s="16">
        <f>IF($D218="JEA_NSA",INDEX(Market_Weekly!$L$6:$L$48,MATCH($A218,Market_Weekly!$A$6:$A$48,0)),INDEX(Market_Weekly!$M$6:$M$48,MATCH($A218,Market_Weekly!$A$6:$A$48,0)))</f>
        <v/>
      </c>
      <c r="O218" s="15">
        <f>INDEX(Market_Weekly!$P$6:$P$48,MATCH($A218,Market_Weekly!$A$6:$A$48,0))</f>
        <v/>
      </c>
      <c r="P218" s="8">
        <f>INDEX(Market_Weekly!$R$6:$T$48,MATCH($A218,Market_Weekly!$A$6:$A$48,0),MATCH("grade_factor_"&amp;$C218,Market_Weekly!$R$5:$T$5,0))</f>
        <v/>
      </c>
      <c r="Q218" s="8">
        <f>INDEX(Market_Weekly!$U$6:$U$48,MATCH($A218,Market_Weekly!$A$6:$A$48,0))</f>
        <v/>
      </c>
      <c r="R218" s="8">
        <f>IF($D218="JEA_NSA","20ft","40ft")</f>
        <v/>
      </c>
      <c r="S218" s="8">
        <f>IF($D218="JEA_NSA","nsa","mun")</f>
        <v/>
      </c>
      <c r="T218" s="8">
        <f>IF($D218="JEA_NSA","jea_nsa","usec_mun")</f>
        <v/>
      </c>
      <c r="U218" s="16">
        <f>INDEX(param_values,MATCH("container_payload_mt_"&amp;$R218,param_keys,0))</f>
        <v/>
      </c>
      <c r="V218" s="16">
        <f>INDEX(param_values,MATCH("container_payload_mt_"&amp;$R218&amp;"_"&amp;$C218,param_keys,0))</f>
        <v/>
      </c>
      <c r="W218" s="16">
        <f>INDEX(param_values,MATCH("container_payload_mt_20ft_"&amp;$C218,param_keys,0))</f>
        <v/>
      </c>
      <c r="X218" s="18">
        <f>INDEX(param_values,MATCH("port_cf_charges_inr_t_"&amp;$S218,param_keys,0))</f>
        <v/>
      </c>
      <c r="Y218" s="8">
        <f>INDEX(param_values,MATCH(IF($D218="JEA_NSA","psic_required_uae_origin","psic_required_safe_origin_designated_port"),param_keys,0))</f>
        <v/>
      </c>
      <c r="Z218" s="19">
        <f>INDEX(param_values,MATCH("finance_days_"&amp;$T218,param_keys,0))</f>
        <v/>
      </c>
      <c r="AA218" s="15">
        <f>INDEX(param_values,MATCH("moisture_frac_"&amp;$C218,param_keys,0))</f>
        <v/>
      </c>
      <c r="AB218" s="15">
        <f>INDEX(param_values,MATCH("contamination_frac_"&amp;$C218,param_keys,0))</f>
        <v/>
      </c>
      <c r="AC218" s="15">
        <f>INDEX(param_values,MATCH("metal_yield_frac_"&amp;$C218,param_keys,0))</f>
        <v/>
      </c>
      <c r="AD218" s="15">
        <f>INDEX(param_values,MATCH("heavies_frac_"&amp;$C218,param_keys,0))</f>
        <v/>
      </c>
      <c r="AE218" s="8">
        <f>INDEX(param_values,MATCH("grade_factor_diff_"&amp;$C218,param_keys,0))</f>
        <v/>
      </c>
      <c r="AF218" s="16">
        <f>$F218*$P218</f>
        <v/>
      </c>
      <c r="AG218" s="8">
        <f>$U218/$V218</f>
        <v/>
      </c>
      <c r="AH218" s="16">
        <f>$L218*$AG218</f>
        <v/>
      </c>
      <c r="AI218" s="16">
        <f>$AF218-$AH218</f>
        <v/>
      </c>
      <c r="AJ218" s="16">
        <f>insurance_rate*insured_value_uplift*$AF218</f>
        <v/>
      </c>
      <c r="AK218" s="16">
        <f>$AF218+$AJ218</f>
        <v/>
      </c>
      <c r="AL218" s="18">
        <f>$AK218*$J218</f>
        <v/>
      </c>
      <c r="AM218" s="18">
        <f>$AK218*$I218</f>
        <v/>
      </c>
      <c r="AN218" s="18">
        <f>$AL218*bcd_scrap_hs7602</f>
        <v/>
      </c>
      <c r="AO218" s="18">
        <f>$AN218*sws_rate_on_bcd</f>
        <v/>
      </c>
      <c r="AP218" s="18">
        <f>($AL218+$AN218+$AO218)*igst_rate_hs7602</f>
        <v/>
      </c>
      <c r="AQ218" s="18">
        <f>$X218*$AG218+IF($Y218,psic_cost_usd_per_box*$H218/$W218,0)</f>
        <v/>
      </c>
      <c r="AR218" s="18">
        <f>($AM218+$AN218+$AO218)*$Z218/day_count_inr*$O218</f>
        <v/>
      </c>
      <c r="AS218" s="18">
        <f>$AP218*igst_credit_lag_days/day_count_inr*$O218</f>
        <v/>
      </c>
      <c r="AT218" s="18">
        <f>$AM218+$AN218+$AO218+$AQ218+$AR218+$AS218+IF(igst_itc_available,0,$AP218)</f>
        <v/>
      </c>
      <c r="AU218" s="15">
        <f>(1-$AA218)*(1-$AB218)*$AC218</f>
        <v/>
      </c>
      <c r="AV218" s="18">
        <f>$N218*kg_per_mt+domestic_anchor_premium_inr_t</f>
        <v/>
      </c>
      <c r="AW218" s="18">
        <f>(1-$AA218)*$AD218*heavies_net_value_frac_of_lme_al*$F218*$H218</f>
        <v/>
      </c>
      <c r="AX218" s="18">
        <f>conversion_cost_inr_t*$AU218</f>
        <v/>
      </c>
      <c r="AY218" s="18">
        <f>$AV218*$AU218+$AW218-$AT218-$AX218</f>
        <v/>
      </c>
      <c r="AZ218" s="16">
        <f>$AY218/$H218</f>
        <v/>
      </c>
      <c r="BA218" s="8">
        <f>$AY218&gt;margin_threshold_inr_t</f>
        <v/>
      </c>
      <c r="BB218" s="8">
        <f>$Q218+$AE218</f>
        <v/>
      </c>
      <c r="BC218" s="18">
        <f>$AT218-$AQ218</f>
        <v/>
      </c>
      <c r="BD218" s="18">
        <f>$AY218-$BC218*($BB218/$P218-1)</f>
        <v/>
      </c>
      <c r="BE218" s="18">
        <f>$AY218-(conv_step_5a-conversion_cost_inr_t)*$AU218</f>
        <v/>
      </c>
      <c r="BF218" s="8">
        <f>$BA218</f>
        <v/>
      </c>
      <c r="BG218" s="8">
        <f>$BD218&gt;margin_threshold_inr_t</f>
        <v/>
      </c>
      <c r="BH218" s="8">
        <f>$BE218&gt;margin_threshold_inr_t</f>
        <v/>
      </c>
      <c r="BI218" s="8">
        <f>AND($BF218,$BG218,$BH218)</f>
        <v/>
      </c>
      <c r="BJ218" s="8">
        <f>IF($BI218,1,0)</f>
        <v/>
      </c>
    </row>
    <row r="219">
      <c r="A219" s="11" t="n">
        <v>44813</v>
      </c>
      <c r="B219" s="11" t="n">
        <v>44813</v>
      </c>
      <c r="C219" s="7" t="inlineStr">
        <is>
          <t>taint_tabor</t>
        </is>
      </c>
      <c r="D219" s="7" t="inlineStr">
        <is>
          <t>USEC_MUN</t>
        </is>
      </c>
      <c r="E219" s="17" t="b">
        <v>0</v>
      </c>
      <c r="F219" s="16">
        <f>INDEX(Market_Weekly!$E$6:$E$48,MATCH($A219,Market_Weekly!$A$6:$A$48,0))</f>
        <v/>
      </c>
      <c r="G219" s="16">
        <f>INDEX(Market_Weekly!$D$6:$D$48,MATCH($A219,Market_Weekly!$A$6:$A$48,0))</f>
        <v/>
      </c>
      <c r="H219" s="16">
        <f>INDEX(Market_Weekly!$G$6:$G$48,MATCH($A219,Market_Weekly!$A$6:$A$48,0))</f>
        <v/>
      </c>
      <c r="I219" s="8">
        <f>INDEX(Market_Weekly!$H$6:$H$48,MATCH($A219,Market_Weekly!$A$6:$A$48,0))</f>
        <v/>
      </c>
      <c r="J219" s="8">
        <f>INDEX(Market_Weekly!$Q$6:$Q$48,MATCH($A219,Market_Weekly!$A$6:$A$48,0))</f>
        <v/>
      </c>
      <c r="K219" s="8">
        <f>INDEX(Market_Weekly!$V$6:$V$48,MATCH($A219,Market_Weekly!$A$6:$A$48,0))</f>
        <v/>
      </c>
      <c r="L219" s="16">
        <f>IF($D219="JEA_NSA",INDEX(Market_Weekly!$N$6:$N$48,MATCH($A219,Market_Weekly!$A$6:$A$48,0)),INDEX(Market_Weekly!$O$6:$O$48,MATCH($A219,Market_Weekly!$A$6:$A$48,0)))</f>
        <v/>
      </c>
      <c r="M219" s="8">
        <f>IF($D219="JEA_NSA","M1","M2")</f>
        <v/>
      </c>
      <c r="N219" s="16">
        <f>IF($D219="JEA_NSA",INDEX(Market_Weekly!$L$6:$L$48,MATCH($A219,Market_Weekly!$A$6:$A$48,0)),INDEX(Market_Weekly!$M$6:$M$48,MATCH($A219,Market_Weekly!$A$6:$A$48,0)))</f>
        <v/>
      </c>
      <c r="O219" s="15">
        <f>INDEX(Market_Weekly!$P$6:$P$48,MATCH($A219,Market_Weekly!$A$6:$A$48,0))</f>
        <v/>
      </c>
      <c r="P219" s="8">
        <f>INDEX(Market_Weekly!$R$6:$T$48,MATCH($A219,Market_Weekly!$A$6:$A$48,0),MATCH("grade_factor_"&amp;$C219,Market_Weekly!$R$5:$T$5,0))</f>
        <v/>
      </c>
      <c r="Q219" s="8">
        <f>INDEX(Market_Weekly!$U$6:$U$48,MATCH($A219,Market_Weekly!$A$6:$A$48,0))</f>
        <v/>
      </c>
      <c r="R219" s="8">
        <f>IF($D219="JEA_NSA","20ft","40ft")</f>
        <v/>
      </c>
      <c r="S219" s="8">
        <f>IF($D219="JEA_NSA","nsa","mun")</f>
        <v/>
      </c>
      <c r="T219" s="8">
        <f>IF($D219="JEA_NSA","jea_nsa","usec_mun")</f>
        <v/>
      </c>
      <c r="U219" s="16">
        <f>INDEX(param_values,MATCH("container_payload_mt_"&amp;$R219,param_keys,0))</f>
        <v/>
      </c>
      <c r="V219" s="16">
        <f>INDEX(param_values,MATCH("container_payload_mt_"&amp;$R219&amp;"_"&amp;$C219,param_keys,0))</f>
        <v/>
      </c>
      <c r="W219" s="16">
        <f>INDEX(param_values,MATCH("container_payload_mt_20ft_"&amp;$C219,param_keys,0))</f>
        <v/>
      </c>
      <c r="X219" s="18">
        <f>INDEX(param_values,MATCH("port_cf_charges_inr_t_"&amp;$S219,param_keys,0))</f>
        <v/>
      </c>
      <c r="Y219" s="8">
        <f>INDEX(param_values,MATCH(IF($D219="JEA_NSA","psic_required_uae_origin","psic_required_safe_origin_designated_port"),param_keys,0))</f>
        <v/>
      </c>
      <c r="Z219" s="19">
        <f>INDEX(param_values,MATCH("finance_days_"&amp;$T219,param_keys,0))</f>
        <v/>
      </c>
      <c r="AA219" s="15">
        <f>INDEX(param_values,MATCH("moisture_frac_"&amp;$C219,param_keys,0))</f>
        <v/>
      </c>
      <c r="AB219" s="15">
        <f>INDEX(param_values,MATCH("contamination_frac_"&amp;$C219,param_keys,0))</f>
        <v/>
      </c>
      <c r="AC219" s="15">
        <f>INDEX(param_values,MATCH("metal_yield_frac_"&amp;$C219,param_keys,0))</f>
        <v/>
      </c>
      <c r="AD219" s="15">
        <f>INDEX(param_values,MATCH("heavies_frac_"&amp;$C219,param_keys,0))</f>
        <v/>
      </c>
      <c r="AE219" s="8">
        <f>INDEX(param_values,MATCH("grade_factor_diff_"&amp;$C219,param_keys,0))</f>
        <v/>
      </c>
      <c r="AF219" s="16">
        <f>$F219*$P219</f>
        <v/>
      </c>
      <c r="AG219" s="8">
        <f>$U219/$V219</f>
        <v/>
      </c>
      <c r="AH219" s="16">
        <f>$L219*$AG219</f>
        <v/>
      </c>
      <c r="AI219" s="16">
        <f>$AF219-$AH219</f>
        <v/>
      </c>
      <c r="AJ219" s="16">
        <f>insurance_rate*insured_value_uplift*$AF219</f>
        <v/>
      </c>
      <c r="AK219" s="16">
        <f>$AF219+$AJ219</f>
        <v/>
      </c>
      <c r="AL219" s="18">
        <f>$AK219*$J219</f>
        <v/>
      </c>
      <c r="AM219" s="18">
        <f>$AK219*$I219</f>
        <v/>
      </c>
      <c r="AN219" s="18">
        <f>$AL219*bcd_scrap_hs7602</f>
        <v/>
      </c>
      <c r="AO219" s="18">
        <f>$AN219*sws_rate_on_bcd</f>
        <v/>
      </c>
      <c r="AP219" s="18">
        <f>($AL219+$AN219+$AO219)*igst_rate_hs7602</f>
        <v/>
      </c>
      <c r="AQ219" s="18">
        <f>$X219*$AG219+IF($Y219,psic_cost_usd_per_box*$H219/$W219,0)</f>
        <v/>
      </c>
      <c r="AR219" s="18">
        <f>($AM219+$AN219+$AO219)*$Z219/day_count_inr*$O219</f>
        <v/>
      </c>
      <c r="AS219" s="18">
        <f>$AP219*igst_credit_lag_days/day_count_inr*$O219</f>
        <v/>
      </c>
      <c r="AT219" s="18">
        <f>$AM219+$AN219+$AO219+$AQ219+$AR219+$AS219+IF(igst_itc_available,0,$AP219)</f>
        <v/>
      </c>
      <c r="AU219" s="15">
        <f>(1-$AA219)*(1-$AB219)*$AC219</f>
        <v/>
      </c>
      <c r="AV219" s="18">
        <f>$N219*kg_per_mt+domestic_anchor_premium_inr_t</f>
        <v/>
      </c>
      <c r="AW219" s="18">
        <f>(1-$AA219)*$AD219*heavies_net_value_frac_of_lme_al*$F219*$H219</f>
        <v/>
      </c>
      <c r="AX219" s="18">
        <f>conversion_cost_inr_t*$AU219</f>
        <v/>
      </c>
      <c r="AY219" s="18">
        <f>$AV219*$AU219+$AW219-$AT219-$AX219</f>
        <v/>
      </c>
      <c r="AZ219" s="16">
        <f>$AY219/$H219</f>
        <v/>
      </c>
      <c r="BA219" s="8">
        <f>$AY219&gt;margin_threshold_inr_t</f>
        <v/>
      </c>
      <c r="BB219" s="8">
        <f>$Q219+$AE219</f>
        <v/>
      </c>
      <c r="BC219" s="18">
        <f>$AT219-$AQ219</f>
        <v/>
      </c>
      <c r="BD219" s="18">
        <f>$AY219-$BC219*($BB219/$P219-1)</f>
        <v/>
      </c>
      <c r="BE219" s="18">
        <f>$AY219-(conv_step_5a-conversion_cost_inr_t)*$AU219</f>
        <v/>
      </c>
      <c r="BF219" s="8">
        <f>$BA219</f>
        <v/>
      </c>
      <c r="BG219" s="8">
        <f>$BD219&gt;margin_threshold_inr_t</f>
        <v/>
      </c>
      <c r="BH219" s="8">
        <f>$BE219&gt;margin_threshold_inr_t</f>
        <v/>
      </c>
      <c r="BI219" s="8">
        <f>AND($BF219,$BG219,$BH219)</f>
        <v/>
      </c>
      <c r="BJ219" s="8">
        <f>IF($BI219,1,0)</f>
        <v/>
      </c>
    </row>
    <row r="220">
      <c r="A220" s="11" t="n">
        <v>44813</v>
      </c>
      <c r="B220" s="11" t="n">
        <v>44813</v>
      </c>
      <c r="C220" s="7" t="inlineStr">
        <is>
          <t>tense</t>
        </is>
      </c>
      <c r="D220" s="7" t="inlineStr">
        <is>
          <t>JEA_NSA</t>
        </is>
      </c>
      <c r="E220" s="17" t="b">
        <v>0</v>
      </c>
      <c r="F220" s="16">
        <f>INDEX(Market_Weekly!$E$6:$E$48,MATCH($A220,Market_Weekly!$A$6:$A$48,0))</f>
        <v/>
      </c>
      <c r="G220" s="16">
        <f>INDEX(Market_Weekly!$D$6:$D$48,MATCH($A220,Market_Weekly!$A$6:$A$48,0))</f>
        <v/>
      </c>
      <c r="H220" s="16">
        <f>INDEX(Market_Weekly!$G$6:$G$48,MATCH($A220,Market_Weekly!$A$6:$A$48,0))</f>
        <v/>
      </c>
      <c r="I220" s="8">
        <f>INDEX(Market_Weekly!$H$6:$H$48,MATCH($A220,Market_Weekly!$A$6:$A$48,0))</f>
        <v/>
      </c>
      <c r="J220" s="8">
        <f>INDEX(Market_Weekly!$Q$6:$Q$48,MATCH($A220,Market_Weekly!$A$6:$A$48,0))</f>
        <v/>
      </c>
      <c r="K220" s="8">
        <f>INDEX(Market_Weekly!$V$6:$V$48,MATCH($A220,Market_Weekly!$A$6:$A$48,0))</f>
        <v/>
      </c>
      <c r="L220" s="16">
        <f>IF($D220="JEA_NSA",INDEX(Market_Weekly!$N$6:$N$48,MATCH($A220,Market_Weekly!$A$6:$A$48,0)),INDEX(Market_Weekly!$O$6:$O$48,MATCH($A220,Market_Weekly!$A$6:$A$48,0)))</f>
        <v/>
      </c>
      <c r="M220" s="8">
        <f>IF($D220="JEA_NSA","M1","M2")</f>
        <v/>
      </c>
      <c r="N220" s="16">
        <f>IF($D220="JEA_NSA",INDEX(Market_Weekly!$L$6:$L$48,MATCH($A220,Market_Weekly!$A$6:$A$48,0)),INDEX(Market_Weekly!$M$6:$M$48,MATCH($A220,Market_Weekly!$A$6:$A$48,0)))</f>
        <v/>
      </c>
      <c r="O220" s="15">
        <f>INDEX(Market_Weekly!$P$6:$P$48,MATCH($A220,Market_Weekly!$A$6:$A$48,0))</f>
        <v/>
      </c>
      <c r="P220" s="8">
        <f>INDEX(Market_Weekly!$R$6:$T$48,MATCH($A220,Market_Weekly!$A$6:$A$48,0),MATCH("grade_factor_"&amp;$C220,Market_Weekly!$R$5:$T$5,0))</f>
        <v/>
      </c>
      <c r="Q220" s="8">
        <f>INDEX(Market_Weekly!$U$6:$U$48,MATCH($A220,Market_Weekly!$A$6:$A$48,0))</f>
        <v/>
      </c>
      <c r="R220" s="8">
        <f>IF($D220="JEA_NSA","20ft","40ft")</f>
        <v/>
      </c>
      <c r="S220" s="8">
        <f>IF($D220="JEA_NSA","nsa","mun")</f>
        <v/>
      </c>
      <c r="T220" s="8">
        <f>IF($D220="JEA_NSA","jea_nsa","usec_mun")</f>
        <v/>
      </c>
      <c r="U220" s="16">
        <f>INDEX(param_values,MATCH("container_payload_mt_"&amp;$R220,param_keys,0))</f>
        <v/>
      </c>
      <c r="V220" s="16">
        <f>INDEX(param_values,MATCH("container_payload_mt_"&amp;$R220&amp;"_"&amp;$C220,param_keys,0))</f>
        <v/>
      </c>
      <c r="W220" s="16">
        <f>INDEX(param_values,MATCH("container_payload_mt_20ft_"&amp;$C220,param_keys,0))</f>
        <v/>
      </c>
      <c r="X220" s="18">
        <f>INDEX(param_values,MATCH("port_cf_charges_inr_t_"&amp;$S220,param_keys,0))</f>
        <v/>
      </c>
      <c r="Y220" s="8">
        <f>INDEX(param_values,MATCH(IF($D220="JEA_NSA","psic_required_uae_origin","psic_required_safe_origin_designated_port"),param_keys,0))</f>
        <v/>
      </c>
      <c r="Z220" s="19">
        <f>INDEX(param_values,MATCH("finance_days_"&amp;$T220,param_keys,0))</f>
        <v/>
      </c>
      <c r="AA220" s="15">
        <f>INDEX(param_values,MATCH("moisture_frac_"&amp;$C220,param_keys,0))</f>
        <v/>
      </c>
      <c r="AB220" s="15">
        <f>INDEX(param_values,MATCH("contamination_frac_"&amp;$C220,param_keys,0))</f>
        <v/>
      </c>
      <c r="AC220" s="15">
        <f>INDEX(param_values,MATCH("metal_yield_frac_"&amp;$C220,param_keys,0))</f>
        <v/>
      </c>
      <c r="AD220" s="15">
        <f>INDEX(param_values,MATCH("heavies_frac_"&amp;$C220,param_keys,0))</f>
        <v/>
      </c>
      <c r="AE220" s="8">
        <f>INDEX(param_values,MATCH("grade_factor_diff_"&amp;$C220,param_keys,0))</f>
        <v/>
      </c>
      <c r="AF220" s="16">
        <f>$F220*$P220</f>
        <v/>
      </c>
      <c r="AG220" s="8">
        <f>$U220/$V220</f>
        <v/>
      </c>
      <c r="AH220" s="16">
        <f>$L220*$AG220</f>
        <v/>
      </c>
      <c r="AI220" s="16">
        <f>$AF220-$AH220</f>
        <v/>
      </c>
      <c r="AJ220" s="16">
        <f>insurance_rate*insured_value_uplift*$AF220</f>
        <v/>
      </c>
      <c r="AK220" s="16">
        <f>$AF220+$AJ220</f>
        <v/>
      </c>
      <c r="AL220" s="18">
        <f>$AK220*$J220</f>
        <v/>
      </c>
      <c r="AM220" s="18">
        <f>$AK220*$I220</f>
        <v/>
      </c>
      <c r="AN220" s="18">
        <f>$AL220*bcd_scrap_hs7602</f>
        <v/>
      </c>
      <c r="AO220" s="18">
        <f>$AN220*sws_rate_on_bcd</f>
        <v/>
      </c>
      <c r="AP220" s="18">
        <f>($AL220+$AN220+$AO220)*igst_rate_hs7602</f>
        <v/>
      </c>
      <c r="AQ220" s="18">
        <f>$X220*$AG220+IF($Y220,psic_cost_usd_per_box*$H220/$W220,0)</f>
        <v/>
      </c>
      <c r="AR220" s="18">
        <f>($AM220+$AN220+$AO220)*$Z220/day_count_inr*$O220</f>
        <v/>
      </c>
      <c r="AS220" s="18">
        <f>$AP220*igst_credit_lag_days/day_count_inr*$O220</f>
        <v/>
      </c>
      <c r="AT220" s="18">
        <f>$AM220+$AN220+$AO220+$AQ220+$AR220+$AS220+IF(igst_itc_available,0,$AP220)</f>
        <v/>
      </c>
      <c r="AU220" s="15">
        <f>(1-$AA220)*(1-$AB220)*$AC220</f>
        <v/>
      </c>
      <c r="AV220" s="18">
        <f>$N220*kg_per_mt+domestic_anchor_premium_inr_t</f>
        <v/>
      </c>
      <c r="AW220" s="18">
        <f>(1-$AA220)*$AD220*heavies_net_value_frac_of_lme_al*$F220*$H220</f>
        <v/>
      </c>
      <c r="AX220" s="18">
        <f>conversion_cost_inr_t*$AU220</f>
        <v/>
      </c>
      <c r="AY220" s="18">
        <f>$AV220*$AU220+$AW220-$AT220-$AX220</f>
        <v/>
      </c>
      <c r="AZ220" s="16">
        <f>$AY220/$H220</f>
        <v/>
      </c>
      <c r="BA220" s="8">
        <f>$AY220&gt;margin_threshold_inr_t</f>
        <v/>
      </c>
      <c r="BB220" s="8">
        <f>$Q220+$AE220</f>
        <v/>
      </c>
      <c r="BC220" s="18">
        <f>$AT220-$AQ220</f>
        <v/>
      </c>
      <c r="BD220" s="18">
        <f>$AY220-$BC220*($BB220/$P220-1)</f>
        <v/>
      </c>
      <c r="BE220" s="18">
        <f>$AY220-(conv_step_5a-conversion_cost_inr_t)*$AU220</f>
        <v/>
      </c>
      <c r="BF220" s="8">
        <f>$BA220</f>
        <v/>
      </c>
      <c r="BG220" s="8">
        <f>$BD220&gt;margin_threshold_inr_t</f>
        <v/>
      </c>
      <c r="BH220" s="8">
        <f>$BE220&gt;margin_threshold_inr_t</f>
        <v/>
      </c>
      <c r="BI220" s="8">
        <f>AND($BF220,$BG220,$BH220)</f>
        <v/>
      </c>
      <c r="BJ220" s="8">
        <f>IF($BI220,1,0)</f>
        <v/>
      </c>
    </row>
    <row r="221">
      <c r="A221" s="11" t="n">
        <v>44813</v>
      </c>
      <c r="B221" s="11" t="n">
        <v>44813</v>
      </c>
      <c r="C221" s="7" t="inlineStr">
        <is>
          <t>tense</t>
        </is>
      </c>
      <c r="D221" s="7" t="inlineStr">
        <is>
          <t>USEC_MUN</t>
        </is>
      </c>
      <c r="E221" s="17" t="b">
        <v>0</v>
      </c>
      <c r="F221" s="16">
        <f>INDEX(Market_Weekly!$E$6:$E$48,MATCH($A221,Market_Weekly!$A$6:$A$48,0))</f>
        <v/>
      </c>
      <c r="G221" s="16">
        <f>INDEX(Market_Weekly!$D$6:$D$48,MATCH($A221,Market_Weekly!$A$6:$A$48,0))</f>
        <v/>
      </c>
      <c r="H221" s="16">
        <f>INDEX(Market_Weekly!$G$6:$G$48,MATCH($A221,Market_Weekly!$A$6:$A$48,0))</f>
        <v/>
      </c>
      <c r="I221" s="8">
        <f>INDEX(Market_Weekly!$H$6:$H$48,MATCH($A221,Market_Weekly!$A$6:$A$48,0))</f>
        <v/>
      </c>
      <c r="J221" s="8">
        <f>INDEX(Market_Weekly!$Q$6:$Q$48,MATCH($A221,Market_Weekly!$A$6:$A$48,0))</f>
        <v/>
      </c>
      <c r="K221" s="8">
        <f>INDEX(Market_Weekly!$V$6:$V$48,MATCH($A221,Market_Weekly!$A$6:$A$48,0))</f>
        <v/>
      </c>
      <c r="L221" s="16">
        <f>IF($D221="JEA_NSA",INDEX(Market_Weekly!$N$6:$N$48,MATCH($A221,Market_Weekly!$A$6:$A$48,0)),INDEX(Market_Weekly!$O$6:$O$48,MATCH($A221,Market_Weekly!$A$6:$A$48,0)))</f>
        <v/>
      </c>
      <c r="M221" s="8">
        <f>IF($D221="JEA_NSA","M1","M2")</f>
        <v/>
      </c>
      <c r="N221" s="16">
        <f>IF($D221="JEA_NSA",INDEX(Market_Weekly!$L$6:$L$48,MATCH($A221,Market_Weekly!$A$6:$A$48,0)),INDEX(Market_Weekly!$M$6:$M$48,MATCH($A221,Market_Weekly!$A$6:$A$48,0)))</f>
        <v/>
      </c>
      <c r="O221" s="15">
        <f>INDEX(Market_Weekly!$P$6:$P$48,MATCH($A221,Market_Weekly!$A$6:$A$48,0))</f>
        <v/>
      </c>
      <c r="P221" s="8">
        <f>INDEX(Market_Weekly!$R$6:$T$48,MATCH($A221,Market_Weekly!$A$6:$A$48,0),MATCH("grade_factor_"&amp;$C221,Market_Weekly!$R$5:$T$5,0))</f>
        <v/>
      </c>
      <c r="Q221" s="8">
        <f>INDEX(Market_Weekly!$U$6:$U$48,MATCH($A221,Market_Weekly!$A$6:$A$48,0))</f>
        <v/>
      </c>
      <c r="R221" s="8">
        <f>IF($D221="JEA_NSA","20ft","40ft")</f>
        <v/>
      </c>
      <c r="S221" s="8">
        <f>IF($D221="JEA_NSA","nsa","mun")</f>
        <v/>
      </c>
      <c r="T221" s="8">
        <f>IF($D221="JEA_NSA","jea_nsa","usec_mun")</f>
        <v/>
      </c>
      <c r="U221" s="16">
        <f>INDEX(param_values,MATCH("container_payload_mt_"&amp;$R221,param_keys,0))</f>
        <v/>
      </c>
      <c r="V221" s="16">
        <f>INDEX(param_values,MATCH("container_payload_mt_"&amp;$R221&amp;"_"&amp;$C221,param_keys,0))</f>
        <v/>
      </c>
      <c r="W221" s="16">
        <f>INDEX(param_values,MATCH("container_payload_mt_20ft_"&amp;$C221,param_keys,0))</f>
        <v/>
      </c>
      <c r="X221" s="18">
        <f>INDEX(param_values,MATCH("port_cf_charges_inr_t_"&amp;$S221,param_keys,0))</f>
        <v/>
      </c>
      <c r="Y221" s="8">
        <f>INDEX(param_values,MATCH(IF($D221="JEA_NSA","psic_required_uae_origin","psic_required_safe_origin_designated_port"),param_keys,0))</f>
        <v/>
      </c>
      <c r="Z221" s="19">
        <f>INDEX(param_values,MATCH("finance_days_"&amp;$T221,param_keys,0))</f>
        <v/>
      </c>
      <c r="AA221" s="15">
        <f>INDEX(param_values,MATCH("moisture_frac_"&amp;$C221,param_keys,0))</f>
        <v/>
      </c>
      <c r="AB221" s="15">
        <f>INDEX(param_values,MATCH("contamination_frac_"&amp;$C221,param_keys,0))</f>
        <v/>
      </c>
      <c r="AC221" s="15">
        <f>INDEX(param_values,MATCH("metal_yield_frac_"&amp;$C221,param_keys,0))</f>
        <v/>
      </c>
      <c r="AD221" s="15">
        <f>INDEX(param_values,MATCH("heavies_frac_"&amp;$C221,param_keys,0))</f>
        <v/>
      </c>
      <c r="AE221" s="8">
        <f>INDEX(param_values,MATCH("grade_factor_diff_"&amp;$C221,param_keys,0))</f>
        <v/>
      </c>
      <c r="AF221" s="16">
        <f>$F221*$P221</f>
        <v/>
      </c>
      <c r="AG221" s="8">
        <f>$U221/$V221</f>
        <v/>
      </c>
      <c r="AH221" s="16">
        <f>$L221*$AG221</f>
        <v/>
      </c>
      <c r="AI221" s="16">
        <f>$AF221-$AH221</f>
        <v/>
      </c>
      <c r="AJ221" s="16">
        <f>insurance_rate*insured_value_uplift*$AF221</f>
        <v/>
      </c>
      <c r="AK221" s="16">
        <f>$AF221+$AJ221</f>
        <v/>
      </c>
      <c r="AL221" s="18">
        <f>$AK221*$J221</f>
        <v/>
      </c>
      <c r="AM221" s="18">
        <f>$AK221*$I221</f>
        <v/>
      </c>
      <c r="AN221" s="18">
        <f>$AL221*bcd_scrap_hs7602</f>
        <v/>
      </c>
      <c r="AO221" s="18">
        <f>$AN221*sws_rate_on_bcd</f>
        <v/>
      </c>
      <c r="AP221" s="18">
        <f>($AL221+$AN221+$AO221)*igst_rate_hs7602</f>
        <v/>
      </c>
      <c r="AQ221" s="18">
        <f>$X221*$AG221+IF($Y221,psic_cost_usd_per_box*$H221/$W221,0)</f>
        <v/>
      </c>
      <c r="AR221" s="18">
        <f>($AM221+$AN221+$AO221)*$Z221/day_count_inr*$O221</f>
        <v/>
      </c>
      <c r="AS221" s="18">
        <f>$AP221*igst_credit_lag_days/day_count_inr*$O221</f>
        <v/>
      </c>
      <c r="AT221" s="18">
        <f>$AM221+$AN221+$AO221+$AQ221+$AR221+$AS221+IF(igst_itc_available,0,$AP221)</f>
        <v/>
      </c>
      <c r="AU221" s="15">
        <f>(1-$AA221)*(1-$AB221)*$AC221</f>
        <v/>
      </c>
      <c r="AV221" s="18">
        <f>$N221*kg_per_mt+domestic_anchor_premium_inr_t</f>
        <v/>
      </c>
      <c r="AW221" s="18">
        <f>(1-$AA221)*$AD221*heavies_net_value_frac_of_lme_al*$F221*$H221</f>
        <v/>
      </c>
      <c r="AX221" s="18">
        <f>conversion_cost_inr_t*$AU221</f>
        <v/>
      </c>
      <c r="AY221" s="18">
        <f>$AV221*$AU221+$AW221-$AT221-$AX221</f>
        <v/>
      </c>
      <c r="AZ221" s="16">
        <f>$AY221/$H221</f>
        <v/>
      </c>
      <c r="BA221" s="8">
        <f>$AY221&gt;margin_threshold_inr_t</f>
        <v/>
      </c>
      <c r="BB221" s="8">
        <f>$Q221+$AE221</f>
        <v/>
      </c>
      <c r="BC221" s="18">
        <f>$AT221-$AQ221</f>
        <v/>
      </c>
      <c r="BD221" s="18">
        <f>$AY221-$BC221*($BB221/$P221-1)</f>
        <v/>
      </c>
      <c r="BE221" s="18">
        <f>$AY221-(conv_step_5a-conversion_cost_inr_t)*$AU221</f>
        <v/>
      </c>
      <c r="BF221" s="8">
        <f>$BA221</f>
        <v/>
      </c>
      <c r="BG221" s="8">
        <f>$BD221&gt;margin_threshold_inr_t</f>
        <v/>
      </c>
      <c r="BH221" s="8">
        <f>$BE221&gt;margin_threshold_inr_t</f>
        <v/>
      </c>
      <c r="BI221" s="8">
        <f>AND($BF221,$BG221,$BH221)</f>
        <v/>
      </c>
      <c r="BJ221" s="8">
        <f>IF($BI221,1,0)</f>
        <v/>
      </c>
    </row>
    <row r="222">
      <c r="A222" s="11" t="n">
        <v>44820</v>
      </c>
      <c r="B222" s="11" t="n">
        <v>44820</v>
      </c>
      <c r="C222" s="7" t="inlineStr">
        <is>
          <t>zorba</t>
        </is>
      </c>
      <c r="D222" s="7" t="inlineStr">
        <is>
          <t>JEA_NSA</t>
        </is>
      </c>
      <c r="E222" s="17" t="b">
        <v>0</v>
      </c>
      <c r="F222" s="16">
        <f>INDEX(Market_Weekly!$E$6:$E$48,MATCH($A222,Market_Weekly!$A$6:$A$48,0))</f>
        <v/>
      </c>
      <c r="G222" s="16">
        <f>INDEX(Market_Weekly!$D$6:$D$48,MATCH($A222,Market_Weekly!$A$6:$A$48,0))</f>
        <v/>
      </c>
      <c r="H222" s="16">
        <f>INDEX(Market_Weekly!$G$6:$G$48,MATCH($A222,Market_Weekly!$A$6:$A$48,0))</f>
        <v/>
      </c>
      <c r="I222" s="8">
        <f>INDEX(Market_Weekly!$H$6:$H$48,MATCH($A222,Market_Weekly!$A$6:$A$48,0))</f>
        <v/>
      </c>
      <c r="J222" s="8">
        <f>INDEX(Market_Weekly!$Q$6:$Q$48,MATCH($A222,Market_Weekly!$A$6:$A$48,0))</f>
        <v/>
      </c>
      <c r="K222" s="8">
        <f>INDEX(Market_Weekly!$V$6:$V$48,MATCH($A222,Market_Weekly!$A$6:$A$48,0))</f>
        <v/>
      </c>
      <c r="L222" s="16">
        <f>IF($D222="JEA_NSA",INDEX(Market_Weekly!$N$6:$N$48,MATCH($A222,Market_Weekly!$A$6:$A$48,0)),INDEX(Market_Weekly!$O$6:$O$48,MATCH($A222,Market_Weekly!$A$6:$A$48,0)))</f>
        <v/>
      </c>
      <c r="M222" s="8">
        <f>IF($D222="JEA_NSA","M1","M2")</f>
        <v/>
      </c>
      <c r="N222" s="16">
        <f>IF($D222="JEA_NSA",INDEX(Market_Weekly!$L$6:$L$48,MATCH($A222,Market_Weekly!$A$6:$A$48,0)),INDEX(Market_Weekly!$M$6:$M$48,MATCH($A222,Market_Weekly!$A$6:$A$48,0)))</f>
        <v/>
      </c>
      <c r="O222" s="15">
        <f>INDEX(Market_Weekly!$P$6:$P$48,MATCH($A222,Market_Weekly!$A$6:$A$48,0))</f>
        <v/>
      </c>
      <c r="P222" s="8">
        <f>INDEX(Market_Weekly!$R$6:$T$48,MATCH($A222,Market_Weekly!$A$6:$A$48,0),MATCH("grade_factor_"&amp;$C222,Market_Weekly!$R$5:$T$5,0))</f>
        <v/>
      </c>
      <c r="Q222" s="8">
        <f>INDEX(Market_Weekly!$U$6:$U$48,MATCH($A222,Market_Weekly!$A$6:$A$48,0))</f>
        <v/>
      </c>
      <c r="R222" s="8">
        <f>IF($D222="JEA_NSA","20ft","40ft")</f>
        <v/>
      </c>
      <c r="S222" s="8">
        <f>IF($D222="JEA_NSA","nsa","mun")</f>
        <v/>
      </c>
      <c r="T222" s="8">
        <f>IF($D222="JEA_NSA","jea_nsa","usec_mun")</f>
        <v/>
      </c>
      <c r="U222" s="16">
        <f>INDEX(param_values,MATCH("container_payload_mt_"&amp;$R222,param_keys,0))</f>
        <v/>
      </c>
      <c r="V222" s="16">
        <f>INDEX(param_values,MATCH("container_payload_mt_"&amp;$R222&amp;"_"&amp;$C222,param_keys,0))</f>
        <v/>
      </c>
      <c r="W222" s="16">
        <f>INDEX(param_values,MATCH("container_payload_mt_20ft_"&amp;$C222,param_keys,0))</f>
        <v/>
      </c>
      <c r="X222" s="18">
        <f>INDEX(param_values,MATCH("port_cf_charges_inr_t_"&amp;$S222,param_keys,0))</f>
        <v/>
      </c>
      <c r="Y222" s="8">
        <f>INDEX(param_values,MATCH(IF($D222="JEA_NSA","psic_required_uae_origin","psic_required_safe_origin_designated_port"),param_keys,0))</f>
        <v/>
      </c>
      <c r="Z222" s="19">
        <f>INDEX(param_values,MATCH("finance_days_"&amp;$T222,param_keys,0))</f>
        <v/>
      </c>
      <c r="AA222" s="15">
        <f>INDEX(param_values,MATCH("moisture_frac_"&amp;$C222,param_keys,0))</f>
        <v/>
      </c>
      <c r="AB222" s="15">
        <f>INDEX(param_values,MATCH("contamination_frac_"&amp;$C222,param_keys,0))</f>
        <v/>
      </c>
      <c r="AC222" s="15">
        <f>INDEX(param_values,MATCH("metal_yield_frac_"&amp;$C222,param_keys,0))</f>
        <v/>
      </c>
      <c r="AD222" s="15">
        <f>INDEX(param_values,MATCH("heavies_frac_"&amp;$C222,param_keys,0))</f>
        <v/>
      </c>
      <c r="AE222" s="8">
        <f>INDEX(param_values,MATCH("grade_factor_diff_"&amp;$C222,param_keys,0))</f>
        <v/>
      </c>
      <c r="AF222" s="16">
        <f>$F222*$P222</f>
        <v/>
      </c>
      <c r="AG222" s="8">
        <f>$U222/$V222</f>
        <v/>
      </c>
      <c r="AH222" s="16">
        <f>$L222*$AG222</f>
        <v/>
      </c>
      <c r="AI222" s="16">
        <f>$AF222-$AH222</f>
        <v/>
      </c>
      <c r="AJ222" s="16">
        <f>insurance_rate*insured_value_uplift*$AF222</f>
        <v/>
      </c>
      <c r="AK222" s="16">
        <f>$AF222+$AJ222</f>
        <v/>
      </c>
      <c r="AL222" s="18">
        <f>$AK222*$J222</f>
        <v/>
      </c>
      <c r="AM222" s="18">
        <f>$AK222*$I222</f>
        <v/>
      </c>
      <c r="AN222" s="18">
        <f>$AL222*bcd_scrap_hs7602</f>
        <v/>
      </c>
      <c r="AO222" s="18">
        <f>$AN222*sws_rate_on_bcd</f>
        <v/>
      </c>
      <c r="AP222" s="18">
        <f>($AL222+$AN222+$AO222)*igst_rate_hs7602</f>
        <v/>
      </c>
      <c r="AQ222" s="18">
        <f>$X222*$AG222+IF($Y222,psic_cost_usd_per_box*$H222/$W222,0)</f>
        <v/>
      </c>
      <c r="AR222" s="18">
        <f>($AM222+$AN222+$AO222)*$Z222/day_count_inr*$O222</f>
        <v/>
      </c>
      <c r="AS222" s="18">
        <f>$AP222*igst_credit_lag_days/day_count_inr*$O222</f>
        <v/>
      </c>
      <c r="AT222" s="18">
        <f>$AM222+$AN222+$AO222+$AQ222+$AR222+$AS222+IF(igst_itc_available,0,$AP222)</f>
        <v/>
      </c>
      <c r="AU222" s="15">
        <f>(1-$AA222)*(1-$AB222)*$AC222</f>
        <v/>
      </c>
      <c r="AV222" s="18">
        <f>$N222*kg_per_mt+domestic_anchor_premium_inr_t</f>
        <v/>
      </c>
      <c r="AW222" s="18">
        <f>(1-$AA222)*$AD222*heavies_net_value_frac_of_lme_al*$F222*$H222</f>
        <v/>
      </c>
      <c r="AX222" s="18">
        <f>conversion_cost_inr_t*$AU222</f>
        <v/>
      </c>
      <c r="AY222" s="18">
        <f>$AV222*$AU222+$AW222-$AT222-$AX222</f>
        <v/>
      </c>
      <c r="AZ222" s="16">
        <f>$AY222/$H222</f>
        <v/>
      </c>
      <c r="BA222" s="8">
        <f>$AY222&gt;margin_threshold_inr_t</f>
        <v/>
      </c>
      <c r="BB222" s="8">
        <f>$Q222+$AE222</f>
        <v/>
      </c>
      <c r="BC222" s="18">
        <f>$AT222-$AQ222</f>
        <v/>
      </c>
      <c r="BD222" s="18">
        <f>$AY222-$BC222*($BB222/$P222-1)</f>
        <v/>
      </c>
      <c r="BE222" s="18">
        <f>$AY222-(conv_step_5a-conversion_cost_inr_t)*$AU222</f>
        <v/>
      </c>
      <c r="BF222" s="8">
        <f>$BA222</f>
        <v/>
      </c>
      <c r="BG222" s="8">
        <f>$BD222&gt;margin_threshold_inr_t</f>
        <v/>
      </c>
      <c r="BH222" s="8">
        <f>$BE222&gt;margin_threshold_inr_t</f>
        <v/>
      </c>
      <c r="BI222" s="8">
        <f>AND($BF222,$BG222,$BH222)</f>
        <v/>
      </c>
      <c r="BJ222" s="8">
        <f>IF($BI222,1,0)</f>
        <v/>
      </c>
    </row>
    <row r="223">
      <c r="A223" s="11" t="n">
        <v>44820</v>
      </c>
      <c r="B223" s="11" t="n">
        <v>44820</v>
      </c>
      <c r="C223" s="7" t="inlineStr">
        <is>
          <t>zorba</t>
        </is>
      </c>
      <c r="D223" s="7" t="inlineStr">
        <is>
          <t>USEC_MUN</t>
        </is>
      </c>
      <c r="E223" s="17" t="b">
        <v>0</v>
      </c>
      <c r="F223" s="16">
        <f>INDEX(Market_Weekly!$E$6:$E$48,MATCH($A223,Market_Weekly!$A$6:$A$48,0))</f>
        <v/>
      </c>
      <c r="G223" s="16">
        <f>INDEX(Market_Weekly!$D$6:$D$48,MATCH($A223,Market_Weekly!$A$6:$A$48,0))</f>
        <v/>
      </c>
      <c r="H223" s="16">
        <f>INDEX(Market_Weekly!$G$6:$G$48,MATCH($A223,Market_Weekly!$A$6:$A$48,0))</f>
        <v/>
      </c>
      <c r="I223" s="8">
        <f>INDEX(Market_Weekly!$H$6:$H$48,MATCH($A223,Market_Weekly!$A$6:$A$48,0))</f>
        <v/>
      </c>
      <c r="J223" s="8">
        <f>INDEX(Market_Weekly!$Q$6:$Q$48,MATCH($A223,Market_Weekly!$A$6:$A$48,0))</f>
        <v/>
      </c>
      <c r="K223" s="8">
        <f>INDEX(Market_Weekly!$V$6:$V$48,MATCH($A223,Market_Weekly!$A$6:$A$48,0))</f>
        <v/>
      </c>
      <c r="L223" s="16">
        <f>IF($D223="JEA_NSA",INDEX(Market_Weekly!$N$6:$N$48,MATCH($A223,Market_Weekly!$A$6:$A$48,0)),INDEX(Market_Weekly!$O$6:$O$48,MATCH($A223,Market_Weekly!$A$6:$A$48,0)))</f>
        <v/>
      </c>
      <c r="M223" s="8">
        <f>IF($D223="JEA_NSA","M1","M2")</f>
        <v/>
      </c>
      <c r="N223" s="16">
        <f>IF($D223="JEA_NSA",INDEX(Market_Weekly!$L$6:$L$48,MATCH($A223,Market_Weekly!$A$6:$A$48,0)),INDEX(Market_Weekly!$M$6:$M$48,MATCH($A223,Market_Weekly!$A$6:$A$48,0)))</f>
        <v/>
      </c>
      <c r="O223" s="15">
        <f>INDEX(Market_Weekly!$P$6:$P$48,MATCH($A223,Market_Weekly!$A$6:$A$48,0))</f>
        <v/>
      </c>
      <c r="P223" s="8">
        <f>INDEX(Market_Weekly!$R$6:$T$48,MATCH($A223,Market_Weekly!$A$6:$A$48,0),MATCH("grade_factor_"&amp;$C223,Market_Weekly!$R$5:$T$5,0))</f>
        <v/>
      </c>
      <c r="Q223" s="8">
        <f>INDEX(Market_Weekly!$U$6:$U$48,MATCH($A223,Market_Weekly!$A$6:$A$48,0))</f>
        <v/>
      </c>
      <c r="R223" s="8">
        <f>IF($D223="JEA_NSA","20ft","40ft")</f>
        <v/>
      </c>
      <c r="S223" s="8">
        <f>IF($D223="JEA_NSA","nsa","mun")</f>
        <v/>
      </c>
      <c r="T223" s="8">
        <f>IF($D223="JEA_NSA","jea_nsa","usec_mun")</f>
        <v/>
      </c>
      <c r="U223" s="16">
        <f>INDEX(param_values,MATCH("container_payload_mt_"&amp;$R223,param_keys,0))</f>
        <v/>
      </c>
      <c r="V223" s="16">
        <f>INDEX(param_values,MATCH("container_payload_mt_"&amp;$R223&amp;"_"&amp;$C223,param_keys,0))</f>
        <v/>
      </c>
      <c r="W223" s="16">
        <f>INDEX(param_values,MATCH("container_payload_mt_20ft_"&amp;$C223,param_keys,0))</f>
        <v/>
      </c>
      <c r="X223" s="18">
        <f>INDEX(param_values,MATCH("port_cf_charges_inr_t_"&amp;$S223,param_keys,0))</f>
        <v/>
      </c>
      <c r="Y223" s="8">
        <f>INDEX(param_values,MATCH(IF($D223="JEA_NSA","psic_required_uae_origin","psic_required_safe_origin_designated_port"),param_keys,0))</f>
        <v/>
      </c>
      <c r="Z223" s="19">
        <f>INDEX(param_values,MATCH("finance_days_"&amp;$T223,param_keys,0))</f>
        <v/>
      </c>
      <c r="AA223" s="15">
        <f>INDEX(param_values,MATCH("moisture_frac_"&amp;$C223,param_keys,0))</f>
        <v/>
      </c>
      <c r="AB223" s="15">
        <f>INDEX(param_values,MATCH("contamination_frac_"&amp;$C223,param_keys,0))</f>
        <v/>
      </c>
      <c r="AC223" s="15">
        <f>INDEX(param_values,MATCH("metal_yield_frac_"&amp;$C223,param_keys,0))</f>
        <v/>
      </c>
      <c r="AD223" s="15">
        <f>INDEX(param_values,MATCH("heavies_frac_"&amp;$C223,param_keys,0))</f>
        <v/>
      </c>
      <c r="AE223" s="8">
        <f>INDEX(param_values,MATCH("grade_factor_diff_"&amp;$C223,param_keys,0))</f>
        <v/>
      </c>
      <c r="AF223" s="16">
        <f>$F223*$P223</f>
        <v/>
      </c>
      <c r="AG223" s="8">
        <f>$U223/$V223</f>
        <v/>
      </c>
      <c r="AH223" s="16">
        <f>$L223*$AG223</f>
        <v/>
      </c>
      <c r="AI223" s="16">
        <f>$AF223-$AH223</f>
        <v/>
      </c>
      <c r="AJ223" s="16">
        <f>insurance_rate*insured_value_uplift*$AF223</f>
        <v/>
      </c>
      <c r="AK223" s="16">
        <f>$AF223+$AJ223</f>
        <v/>
      </c>
      <c r="AL223" s="18">
        <f>$AK223*$J223</f>
        <v/>
      </c>
      <c r="AM223" s="18">
        <f>$AK223*$I223</f>
        <v/>
      </c>
      <c r="AN223" s="18">
        <f>$AL223*bcd_scrap_hs7602</f>
        <v/>
      </c>
      <c r="AO223" s="18">
        <f>$AN223*sws_rate_on_bcd</f>
        <v/>
      </c>
      <c r="AP223" s="18">
        <f>($AL223+$AN223+$AO223)*igst_rate_hs7602</f>
        <v/>
      </c>
      <c r="AQ223" s="18">
        <f>$X223*$AG223+IF($Y223,psic_cost_usd_per_box*$H223/$W223,0)</f>
        <v/>
      </c>
      <c r="AR223" s="18">
        <f>($AM223+$AN223+$AO223)*$Z223/day_count_inr*$O223</f>
        <v/>
      </c>
      <c r="AS223" s="18">
        <f>$AP223*igst_credit_lag_days/day_count_inr*$O223</f>
        <v/>
      </c>
      <c r="AT223" s="18">
        <f>$AM223+$AN223+$AO223+$AQ223+$AR223+$AS223+IF(igst_itc_available,0,$AP223)</f>
        <v/>
      </c>
      <c r="AU223" s="15">
        <f>(1-$AA223)*(1-$AB223)*$AC223</f>
        <v/>
      </c>
      <c r="AV223" s="18">
        <f>$N223*kg_per_mt+domestic_anchor_premium_inr_t</f>
        <v/>
      </c>
      <c r="AW223" s="18">
        <f>(1-$AA223)*$AD223*heavies_net_value_frac_of_lme_al*$F223*$H223</f>
        <v/>
      </c>
      <c r="AX223" s="18">
        <f>conversion_cost_inr_t*$AU223</f>
        <v/>
      </c>
      <c r="AY223" s="18">
        <f>$AV223*$AU223+$AW223-$AT223-$AX223</f>
        <v/>
      </c>
      <c r="AZ223" s="16">
        <f>$AY223/$H223</f>
        <v/>
      </c>
      <c r="BA223" s="8">
        <f>$AY223&gt;margin_threshold_inr_t</f>
        <v/>
      </c>
      <c r="BB223" s="8">
        <f>$Q223+$AE223</f>
        <v/>
      </c>
      <c r="BC223" s="18">
        <f>$AT223-$AQ223</f>
        <v/>
      </c>
      <c r="BD223" s="18">
        <f>$AY223-$BC223*($BB223/$P223-1)</f>
        <v/>
      </c>
      <c r="BE223" s="18">
        <f>$AY223-(conv_step_5a-conversion_cost_inr_t)*$AU223</f>
        <v/>
      </c>
      <c r="BF223" s="8">
        <f>$BA223</f>
        <v/>
      </c>
      <c r="BG223" s="8">
        <f>$BD223&gt;margin_threshold_inr_t</f>
        <v/>
      </c>
      <c r="BH223" s="8">
        <f>$BE223&gt;margin_threshold_inr_t</f>
        <v/>
      </c>
      <c r="BI223" s="8">
        <f>AND($BF223,$BG223,$BH223)</f>
        <v/>
      </c>
      <c r="BJ223" s="8">
        <f>IF($BI223,1,0)</f>
        <v/>
      </c>
    </row>
    <row r="224">
      <c r="A224" s="11" t="n">
        <v>44820</v>
      </c>
      <c r="B224" s="11" t="n">
        <v>44820</v>
      </c>
      <c r="C224" s="7" t="inlineStr">
        <is>
          <t>taint_tabor</t>
        </is>
      </c>
      <c r="D224" s="7" t="inlineStr">
        <is>
          <t>JEA_NSA</t>
        </is>
      </c>
      <c r="E224" s="17" t="b">
        <v>0</v>
      </c>
      <c r="F224" s="16">
        <f>INDEX(Market_Weekly!$E$6:$E$48,MATCH($A224,Market_Weekly!$A$6:$A$48,0))</f>
        <v/>
      </c>
      <c r="G224" s="16">
        <f>INDEX(Market_Weekly!$D$6:$D$48,MATCH($A224,Market_Weekly!$A$6:$A$48,0))</f>
        <v/>
      </c>
      <c r="H224" s="16">
        <f>INDEX(Market_Weekly!$G$6:$G$48,MATCH($A224,Market_Weekly!$A$6:$A$48,0))</f>
        <v/>
      </c>
      <c r="I224" s="8">
        <f>INDEX(Market_Weekly!$H$6:$H$48,MATCH($A224,Market_Weekly!$A$6:$A$48,0))</f>
        <v/>
      </c>
      <c r="J224" s="8">
        <f>INDEX(Market_Weekly!$Q$6:$Q$48,MATCH($A224,Market_Weekly!$A$6:$A$48,0))</f>
        <v/>
      </c>
      <c r="K224" s="8">
        <f>INDEX(Market_Weekly!$V$6:$V$48,MATCH($A224,Market_Weekly!$A$6:$A$48,0))</f>
        <v/>
      </c>
      <c r="L224" s="16">
        <f>IF($D224="JEA_NSA",INDEX(Market_Weekly!$N$6:$N$48,MATCH($A224,Market_Weekly!$A$6:$A$48,0)),INDEX(Market_Weekly!$O$6:$O$48,MATCH($A224,Market_Weekly!$A$6:$A$48,0)))</f>
        <v/>
      </c>
      <c r="M224" s="8">
        <f>IF($D224="JEA_NSA","M1","M2")</f>
        <v/>
      </c>
      <c r="N224" s="16">
        <f>IF($D224="JEA_NSA",INDEX(Market_Weekly!$L$6:$L$48,MATCH($A224,Market_Weekly!$A$6:$A$48,0)),INDEX(Market_Weekly!$M$6:$M$48,MATCH($A224,Market_Weekly!$A$6:$A$48,0)))</f>
        <v/>
      </c>
      <c r="O224" s="15">
        <f>INDEX(Market_Weekly!$P$6:$P$48,MATCH($A224,Market_Weekly!$A$6:$A$48,0))</f>
        <v/>
      </c>
      <c r="P224" s="8">
        <f>INDEX(Market_Weekly!$R$6:$T$48,MATCH($A224,Market_Weekly!$A$6:$A$48,0),MATCH("grade_factor_"&amp;$C224,Market_Weekly!$R$5:$T$5,0))</f>
        <v/>
      </c>
      <c r="Q224" s="8">
        <f>INDEX(Market_Weekly!$U$6:$U$48,MATCH($A224,Market_Weekly!$A$6:$A$48,0))</f>
        <v/>
      </c>
      <c r="R224" s="8">
        <f>IF($D224="JEA_NSA","20ft","40ft")</f>
        <v/>
      </c>
      <c r="S224" s="8">
        <f>IF($D224="JEA_NSA","nsa","mun")</f>
        <v/>
      </c>
      <c r="T224" s="8">
        <f>IF($D224="JEA_NSA","jea_nsa","usec_mun")</f>
        <v/>
      </c>
      <c r="U224" s="16">
        <f>INDEX(param_values,MATCH("container_payload_mt_"&amp;$R224,param_keys,0))</f>
        <v/>
      </c>
      <c r="V224" s="16">
        <f>INDEX(param_values,MATCH("container_payload_mt_"&amp;$R224&amp;"_"&amp;$C224,param_keys,0))</f>
        <v/>
      </c>
      <c r="W224" s="16">
        <f>INDEX(param_values,MATCH("container_payload_mt_20ft_"&amp;$C224,param_keys,0))</f>
        <v/>
      </c>
      <c r="X224" s="18">
        <f>INDEX(param_values,MATCH("port_cf_charges_inr_t_"&amp;$S224,param_keys,0))</f>
        <v/>
      </c>
      <c r="Y224" s="8">
        <f>INDEX(param_values,MATCH(IF($D224="JEA_NSA","psic_required_uae_origin","psic_required_safe_origin_designated_port"),param_keys,0))</f>
        <v/>
      </c>
      <c r="Z224" s="19">
        <f>INDEX(param_values,MATCH("finance_days_"&amp;$T224,param_keys,0))</f>
        <v/>
      </c>
      <c r="AA224" s="15">
        <f>INDEX(param_values,MATCH("moisture_frac_"&amp;$C224,param_keys,0))</f>
        <v/>
      </c>
      <c r="AB224" s="15">
        <f>INDEX(param_values,MATCH("contamination_frac_"&amp;$C224,param_keys,0))</f>
        <v/>
      </c>
      <c r="AC224" s="15">
        <f>INDEX(param_values,MATCH("metal_yield_frac_"&amp;$C224,param_keys,0))</f>
        <v/>
      </c>
      <c r="AD224" s="15">
        <f>INDEX(param_values,MATCH("heavies_frac_"&amp;$C224,param_keys,0))</f>
        <v/>
      </c>
      <c r="AE224" s="8">
        <f>INDEX(param_values,MATCH("grade_factor_diff_"&amp;$C224,param_keys,0))</f>
        <v/>
      </c>
      <c r="AF224" s="16">
        <f>$F224*$P224</f>
        <v/>
      </c>
      <c r="AG224" s="8">
        <f>$U224/$V224</f>
        <v/>
      </c>
      <c r="AH224" s="16">
        <f>$L224*$AG224</f>
        <v/>
      </c>
      <c r="AI224" s="16">
        <f>$AF224-$AH224</f>
        <v/>
      </c>
      <c r="AJ224" s="16">
        <f>insurance_rate*insured_value_uplift*$AF224</f>
        <v/>
      </c>
      <c r="AK224" s="16">
        <f>$AF224+$AJ224</f>
        <v/>
      </c>
      <c r="AL224" s="18">
        <f>$AK224*$J224</f>
        <v/>
      </c>
      <c r="AM224" s="18">
        <f>$AK224*$I224</f>
        <v/>
      </c>
      <c r="AN224" s="18">
        <f>$AL224*bcd_scrap_hs7602</f>
        <v/>
      </c>
      <c r="AO224" s="18">
        <f>$AN224*sws_rate_on_bcd</f>
        <v/>
      </c>
      <c r="AP224" s="18">
        <f>($AL224+$AN224+$AO224)*igst_rate_hs7602</f>
        <v/>
      </c>
      <c r="AQ224" s="18">
        <f>$X224*$AG224+IF($Y224,psic_cost_usd_per_box*$H224/$W224,0)</f>
        <v/>
      </c>
      <c r="AR224" s="18">
        <f>($AM224+$AN224+$AO224)*$Z224/day_count_inr*$O224</f>
        <v/>
      </c>
      <c r="AS224" s="18">
        <f>$AP224*igst_credit_lag_days/day_count_inr*$O224</f>
        <v/>
      </c>
      <c r="AT224" s="18">
        <f>$AM224+$AN224+$AO224+$AQ224+$AR224+$AS224+IF(igst_itc_available,0,$AP224)</f>
        <v/>
      </c>
      <c r="AU224" s="15">
        <f>(1-$AA224)*(1-$AB224)*$AC224</f>
        <v/>
      </c>
      <c r="AV224" s="18">
        <f>$N224*kg_per_mt+domestic_anchor_premium_inr_t</f>
        <v/>
      </c>
      <c r="AW224" s="18">
        <f>(1-$AA224)*$AD224*heavies_net_value_frac_of_lme_al*$F224*$H224</f>
        <v/>
      </c>
      <c r="AX224" s="18">
        <f>conversion_cost_inr_t*$AU224</f>
        <v/>
      </c>
      <c r="AY224" s="18">
        <f>$AV224*$AU224+$AW224-$AT224-$AX224</f>
        <v/>
      </c>
      <c r="AZ224" s="16">
        <f>$AY224/$H224</f>
        <v/>
      </c>
      <c r="BA224" s="8">
        <f>$AY224&gt;margin_threshold_inr_t</f>
        <v/>
      </c>
      <c r="BB224" s="8">
        <f>$Q224+$AE224</f>
        <v/>
      </c>
      <c r="BC224" s="18">
        <f>$AT224-$AQ224</f>
        <v/>
      </c>
      <c r="BD224" s="18">
        <f>$AY224-$BC224*($BB224/$P224-1)</f>
        <v/>
      </c>
      <c r="BE224" s="18">
        <f>$AY224-(conv_step_5a-conversion_cost_inr_t)*$AU224</f>
        <v/>
      </c>
      <c r="BF224" s="8">
        <f>$BA224</f>
        <v/>
      </c>
      <c r="BG224" s="8">
        <f>$BD224&gt;margin_threshold_inr_t</f>
        <v/>
      </c>
      <c r="BH224" s="8">
        <f>$BE224&gt;margin_threshold_inr_t</f>
        <v/>
      </c>
      <c r="BI224" s="8">
        <f>AND($BF224,$BG224,$BH224)</f>
        <v/>
      </c>
      <c r="BJ224" s="8">
        <f>IF($BI224,1,0)</f>
        <v/>
      </c>
    </row>
    <row r="225">
      <c r="A225" s="11" t="n">
        <v>44820</v>
      </c>
      <c r="B225" s="11" t="n">
        <v>44820</v>
      </c>
      <c r="C225" s="7" t="inlineStr">
        <is>
          <t>taint_tabor</t>
        </is>
      </c>
      <c r="D225" s="7" t="inlineStr">
        <is>
          <t>USEC_MUN</t>
        </is>
      </c>
      <c r="E225" s="17" t="b">
        <v>0</v>
      </c>
      <c r="F225" s="16">
        <f>INDEX(Market_Weekly!$E$6:$E$48,MATCH($A225,Market_Weekly!$A$6:$A$48,0))</f>
        <v/>
      </c>
      <c r="G225" s="16">
        <f>INDEX(Market_Weekly!$D$6:$D$48,MATCH($A225,Market_Weekly!$A$6:$A$48,0))</f>
        <v/>
      </c>
      <c r="H225" s="16">
        <f>INDEX(Market_Weekly!$G$6:$G$48,MATCH($A225,Market_Weekly!$A$6:$A$48,0))</f>
        <v/>
      </c>
      <c r="I225" s="8">
        <f>INDEX(Market_Weekly!$H$6:$H$48,MATCH($A225,Market_Weekly!$A$6:$A$48,0))</f>
        <v/>
      </c>
      <c r="J225" s="8">
        <f>INDEX(Market_Weekly!$Q$6:$Q$48,MATCH($A225,Market_Weekly!$A$6:$A$48,0))</f>
        <v/>
      </c>
      <c r="K225" s="8">
        <f>INDEX(Market_Weekly!$V$6:$V$48,MATCH($A225,Market_Weekly!$A$6:$A$48,0))</f>
        <v/>
      </c>
      <c r="L225" s="16">
        <f>IF($D225="JEA_NSA",INDEX(Market_Weekly!$N$6:$N$48,MATCH($A225,Market_Weekly!$A$6:$A$48,0)),INDEX(Market_Weekly!$O$6:$O$48,MATCH($A225,Market_Weekly!$A$6:$A$48,0)))</f>
        <v/>
      </c>
      <c r="M225" s="8">
        <f>IF($D225="JEA_NSA","M1","M2")</f>
        <v/>
      </c>
      <c r="N225" s="16">
        <f>IF($D225="JEA_NSA",INDEX(Market_Weekly!$L$6:$L$48,MATCH($A225,Market_Weekly!$A$6:$A$48,0)),INDEX(Market_Weekly!$M$6:$M$48,MATCH($A225,Market_Weekly!$A$6:$A$48,0)))</f>
        <v/>
      </c>
      <c r="O225" s="15">
        <f>INDEX(Market_Weekly!$P$6:$P$48,MATCH($A225,Market_Weekly!$A$6:$A$48,0))</f>
        <v/>
      </c>
      <c r="P225" s="8">
        <f>INDEX(Market_Weekly!$R$6:$T$48,MATCH($A225,Market_Weekly!$A$6:$A$48,0),MATCH("grade_factor_"&amp;$C225,Market_Weekly!$R$5:$T$5,0))</f>
        <v/>
      </c>
      <c r="Q225" s="8">
        <f>INDEX(Market_Weekly!$U$6:$U$48,MATCH($A225,Market_Weekly!$A$6:$A$48,0))</f>
        <v/>
      </c>
      <c r="R225" s="8">
        <f>IF($D225="JEA_NSA","20ft","40ft")</f>
        <v/>
      </c>
      <c r="S225" s="8">
        <f>IF($D225="JEA_NSA","nsa","mun")</f>
        <v/>
      </c>
      <c r="T225" s="8">
        <f>IF($D225="JEA_NSA","jea_nsa","usec_mun")</f>
        <v/>
      </c>
      <c r="U225" s="16">
        <f>INDEX(param_values,MATCH("container_payload_mt_"&amp;$R225,param_keys,0))</f>
        <v/>
      </c>
      <c r="V225" s="16">
        <f>INDEX(param_values,MATCH("container_payload_mt_"&amp;$R225&amp;"_"&amp;$C225,param_keys,0))</f>
        <v/>
      </c>
      <c r="W225" s="16">
        <f>INDEX(param_values,MATCH("container_payload_mt_20ft_"&amp;$C225,param_keys,0))</f>
        <v/>
      </c>
      <c r="X225" s="18">
        <f>INDEX(param_values,MATCH("port_cf_charges_inr_t_"&amp;$S225,param_keys,0))</f>
        <v/>
      </c>
      <c r="Y225" s="8">
        <f>INDEX(param_values,MATCH(IF($D225="JEA_NSA","psic_required_uae_origin","psic_required_safe_origin_designated_port"),param_keys,0))</f>
        <v/>
      </c>
      <c r="Z225" s="19">
        <f>INDEX(param_values,MATCH("finance_days_"&amp;$T225,param_keys,0))</f>
        <v/>
      </c>
      <c r="AA225" s="15">
        <f>INDEX(param_values,MATCH("moisture_frac_"&amp;$C225,param_keys,0))</f>
        <v/>
      </c>
      <c r="AB225" s="15">
        <f>INDEX(param_values,MATCH("contamination_frac_"&amp;$C225,param_keys,0))</f>
        <v/>
      </c>
      <c r="AC225" s="15">
        <f>INDEX(param_values,MATCH("metal_yield_frac_"&amp;$C225,param_keys,0))</f>
        <v/>
      </c>
      <c r="AD225" s="15">
        <f>INDEX(param_values,MATCH("heavies_frac_"&amp;$C225,param_keys,0))</f>
        <v/>
      </c>
      <c r="AE225" s="8">
        <f>INDEX(param_values,MATCH("grade_factor_diff_"&amp;$C225,param_keys,0))</f>
        <v/>
      </c>
      <c r="AF225" s="16">
        <f>$F225*$P225</f>
        <v/>
      </c>
      <c r="AG225" s="8">
        <f>$U225/$V225</f>
        <v/>
      </c>
      <c r="AH225" s="16">
        <f>$L225*$AG225</f>
        <v/>
      </c>
      <c r="AI225" s="16">
        <f>$AF225-$AH225</f>
        <v/>
      </c>
      <c r="AJ225" s="16">
        <f>insurance_rate*insured_value_uplift*$AF225</f>
        <v/>
      </c>
      <c r="AK225" s="16">
        <f>$AF225+$AJ225</f>
        <v/>
      </c>
      <c r="AL225" s="18">
        <f>$AK225*$J225</f>
        <v/>
      </c>
      <c r="AM225" s="18">
        <f>$AK225*$I225</f>
        <v/>
      </c>
      <c r="AN225" s="18">
        <f>$AL225*bcd_scrap_hs7602</f>
        <v/>
      </c>
      <c r="AO225" s="18">
        <f>$AN225*sws_rate_on_bcd</f>
        <v/>
      </c>
      <c r="AP225" s="18">
        <f>($AL225+$AN225+$AO225)*igst_rate_hs7602</f>
        <v/>
      </c>
      <c r="AQ225" s="18">
        <f>$X225*$AG225+IF($Y225,psic_cost_usd_per_box*$H225/$W225,0)</f>
        <v/>
      </c>
      <c r="AR225" s="18">
        <f>($AM225+$AN225+$AO225)*$Z225/day_count_inr*$O225</f>
        <v/>
      </c>
      <c r="AS225" s="18">
        <f>$AP225*igst_credit_lag_days/day_count_inr*$O225</f>
        <v/>
      </c>
      <c r="AT225" s="18">
        <f>$AM225+$AN225+$AO225+$AQ225+$AR225+$AS225+IF(igst_itc_available,0,$AP225)</f>
        <v/>
      </c>
      <c r="AU225" s="15">
        <f>(1-$AA225)*(1-$AB225)*$AC225</f>
        <v/>
      </c>
      <c r="AV225" s="18">
        <f>$N225*kg_per_mt+domestic_anchor_premium_inr_t</f>
        <v/>
      </c>
      <c r="AW225" s="18">
        <f>(1-$AA225)*$AD225*heavies_net_value_frac_of_lme_al*$F225*$H225</f>
        <v/>
      </c>
      <c r="AX225" s="18">
        <f>conversion_cost_inr_t*$AU225</f>
        <v/>
      </c>
      <c r="AY225" s="18">
        <f>$AV225*$AU225+$AW225-$AT225-$AX225</f>
        <v/>
      </c>
      <c r="AZ225" s="16">
        <f>$AY225/$H225</f>
        <v/>
      </c>
      <c r="BA225" s="8">
        <f>$AY225&gt;margin_threshold_inr_t</f>
        <v/>
      </c>
      <c r="BB225" s="8">
        <f>$Q225+$AE225</f>
        <v/>
      </c>
      <c r="BC225" s="18">
        <f>$AT225-$AQ225</f>
        <v/>
      </c>
      <c r="BD225" s="18">
        <f>$AY225-$BC225*($BB225/$P225-1)</f>
        <v/>
      </c>
      <c r="BE225" s="18">
        <f>$AY225-(conv_step_5a-conversion_cost_inr_t)*$AU225</f>
        <v/>
      </c>
      <c r="BF225" s="8">
        <f>$BA225</f>
        <v/>
      </c>
      <c r="BG225" s="8">
        <f>$BD225&gt;margin_threshold_inr_t</f>
        <v/>
      </c>
      <c r="BH225" s="8">
        <f>$BE225&gt;margin_threshold_inr_t</f>
        <v/>
      </c>
      <c r="BI225" s="8">
        <f>AND($BF225,$BG225,$BH225)</f>
        <v/>
      </c>
      <c r="BJ225" s="8">
        <f>IF($BI225,1,0)</f>
        <v/>
      </c>
    </row>
    <row r="226">
      <c r="A226" s="11" t="n">
        <v>44820</v>
      </c>
      <c r="B226" s="11" t="n">
        <v>44820</v>
      </c>
      <c r="C226" s="7" t="inlineStr">
        <is>
          <t>tense</t>
        </is>
      </c>
      <c r="D226" s="7" t="inlineStr">
        <is>
          <t>JEA_NSA</t>
        </is>
      </c>
      <c r="E226" s="17" t="b">
        <v>0</v>
      </c>
      <c r="F226" s="16">
        <f>INDEX(Market_Weekly!$E$6:$E$48,MATCH($A226,Market_Weekly!$A$6:$A$48,0))</f>
        <v/>
      </c>
      <c r="G226" s="16">
        <f>INDEX(Market_Weekly!$D$6:$D$48,MATCH($A226,Market_Weekly!$A$6:$A$48,0))</f>
        <v/>
      </c>
      <c r="H226" s="16">
        <f>INDEX(Market_Weekly!$G$6:$G$48,MATCH($A226,Market_Weekly!$A$6:$A$48,0))</f>
        <v/>
      </c>
      <c r="I226" s="8">
        <f>INDEX(Market_Weekly!$H$6:$H$48,MATCH($A226,Market_Weekly!$A$6:$A$48,0))</f>
        <v/>
      </c>
      <c r="J226" s="8">
        <f>INDEX(Market_Weekly!$Q$6:$Q$48,MATCH($A226,Market_Weekly!$A$6:$A$48,0))</f>
        <v/>
      </c>
      <c r="K226" s="8">
        <f>INDEX(Market_Weekly!$V$6:$V$48,MATCH($A226,Market_Weekly!$A$6:$A$48,0))</f>
        <v/>
      </c>
      <c r="L226" s="16">
        <f>IF($D226="JEA_NSA",INDEX(Market_Weekly!$N$6:$N$48,MATCH($A226,Market_Weekly!$A$6:$A$48,0)),INDEX(Market_Weekly!$O$6:$O$48,MATCH($A226,Market_Weekly!$A$6:$A$48,0)))</f>
        <v/>
      </c>
      <c r="M226" s="8">
        <f>IF($D226="JEA_NSA","M1","M2")</f>
        <v/>
      </c>
      <c r="N226" s="16">
        <f>IF($D226="JEA_NSA",INDEX(Market_Weekly!$L$6:$L$48,MATCH($A226,Market_Weekly!$A$6:$A$48,0)),INDEX(Market_Weekly!$M$6:$M$48,MATCH($A226,Market_Weekly!$A$6:$A$48,0)))</f>
        <v/>
      </c>
      <c r="O226" s="15">
        <f>INDEX(Market_Weekly!$P$6:$P$48,MATCH($A226,Market_Weekly!$A$6:$A$48,0))</f>
        <v/>
      </c>
      <c r="P226" s="8">
        <f>INDEX(Market_Weekly!$R$6:$T$48,MATCH($A226,Market_Weekly!$A$6:$A$48,0),MATCH("grade_factor_"&amp;$C226,Market_Weekly!$R$5:$T$5,0))</f>
        <v/>
      </c>
      <c r="Q226" s="8">
        <f>INDEX(Market_Weekly!$U$6:$U$48,MATCH($A226,Market_Weekly!$A$6:$A$48,0))</f>
        <v/>
      </c>
      <c r="R226" s="8">
        <f>IF($D226="JEA_NSA","20ft","40ft")</f>
        <v/>
      </c>
      <c r="S226" s="8">
        <f>IF($D226="JEA_NSA","nsa","mun")</f>
        <v/>
      </c>
      <c r="T226" s="8">
        <f>IF($D226="JEA_NSA","jea_nsa","usec_mun")</f>
        <v/>
      </c>
      <c r="U226" s="16">
        <f>INDEX(param_values,MATCH("container_payload_mt_"&amp;$R226,param_keys,0))</f>
        <v/>
      </c>
      <c r="V226" s="16">
        <f>INDEX(param_values,MATCH("container_payload_mt_"&amp;$R226&amp;"_"&amp;$C226,param_keys,0))</f>
        <v/>
      </c>
      <c r="W226" s="16">
        <f>INDEX(param_values,MATCH("container_payload_mt_20ft_"&amp;$C226,param_keys,0))</f>
        <v/>
      </c>
      <c r="X226" s="18">
        <f>INDEX(param_values,MATCH("port_cf_charges_inr_t_"&amp;$S226,param_keys,0))</f>
        <v/>
      </c>
      <c r="Y226" s="8">
        <f>INDEX(param_values,MATCH(IF($D226="JEA_NSA","psic_required_uae_origin","psic_required_safe_origin_designated_port"),param_keys,0))</f>
        <v/>
      </c>
      <c r="Z226" s="19">
        <f>INDEX(param_values,MATCH("finance_days_"&amp;$T226,param_keys,0))</f>
        <v/>
      </c>
      <c r="AA226" s="15">
        <f>INDEX(param_values,MATCH("moisture_frac_"&amp;$C226,param_keys,0))</f>
        <v/>
      </c>
      <c r="AB226" s="15">
        <f>INDEX(param_values,MATCH("contamination_frac_"&amp;$C226,param_keys,0))</f>
        <v/>
      </c>
      <c r="AC226" s="15">
        <f>INDEX(param_values,MATCH("metal_yield_frac_"&amp;$C226,param_keys,0))</f>
        <v/>
      </c>
      <c r="AD226" s="15">
        <f>INDEX(param_values,MATCH("heavies_frac_"&amp;$C226,param_keys,0))</f>
        <v/>
      </c>
      <c r="AE226" s="8">
        <f>INDEX(param_values,MATCH("grade_factor_diff_"&amp;$C226,param_keys,0))</f>
        <v/>
      </c>
      <c r="AF226" s="16">
        <f>$F226*$P226</f>
        <v/>
      </c>
      <c r="AG226" s="8">
        <f>$U226/$V226</f>
        <v/>
      </c>
      <c r="AH226" s="16">
        <f>$L226*$AG226</f>
        <v/>
      </c>
      <c r="AI226" s="16">
        <f>$AF226-$AH226</f>
        <v/>
      </c>
      <c r="AJ226" s="16">
        <f>insurance_rate*insured_value_uplift*$AF226</f>
        <v/>
      </c>
      <c r="AK226" s="16">
        <f>$AF226+$AJ226</f>
        <v/>
      </c>
      <c r="AL226" s="18">
        <f>$AK226*$J226</f>
        <v/>
      </c>
      <c r="AM226" s="18">
        <f>$AK226*$I226</f>
        <v/>
      </c>
      <c r="AN226" s="18">
        <f>$AL226*bcd_scrap_hs7602</f>
        <v/>
      </c>
      <c r="AO226" s="18">
        <f>$AN226*sws_rate_on_bcd</f>
        <v/>
      </c>
      <c r="AP226" s="18">
        <f>($AL226+$AN226+$AO226)*igst_rate_hs7602</f>
        <v/>
      </c>
      <c r="AQ226" s="18">
        <f>$X226*$AG226+IF($Y226,psic_cost_usd_per_box*$H226/$W226,0)</f>
        <v/>
      </c>
      <c r="AR226" s="18">
        <f>($AM226+$AN226+$AO226)*$Z226/day_count_inr*$O226</f>
        <v/>
      </c>
      <c r="AS226" s="18">
        <f>$AP226*igst_credit_lag_days/day_count_inr*$O226</f>
        <v/>
      </c>
      <c r="AT226" s="18">
        <f>$AM226+$AN226+$AO226+$AQ226+$AR226+$AS226+IF(igst_itc_available,0,$AP226)</f>
        <v/>
      </c>
      <c r="AU226" s="15">
        <f>(1-$AA226)*(1-$AB226)*$AC226</f>
        <v/>
      </c>
      <c r="AV226" s="18">
        <f>$N226*kg_per_mt+domestic_anchor_premium_inr_t</f>
        <v/>
      </c>
      <c r="AW226" s="18">
        <f>(1-$AA226)*$AD226*heavies_net_value_frac_of_lme_al*$F226*$H226</f>
        <v/>
      </c>
      <c r="AX226" s="18">
        <f>conversion_cost_inr_t*$AU226</f>
        <v/>
      </c>
      <c r="AY226" s="18">
        <f>$AV226*$AU226+$AW226-$AT226-$AX226</f>
        <v/>
      </c>
      <c r="AZ226" s="16">
        <f>$AY226/$H226</f>
        <v/>
      </c>
      <c r="BA226" s="8">
        <f>$AY226&gt;margin_threshold_inr_t</f>
        <v/>
      </c>
      <c r="BB226" s="8">
        <f>$Q226+$AE226</f>
        <v/>
      </c>
      <c r="BC226" s="18">
        <f>$AT226-$AQ226</f>
        <v/>
      </c>
      <c r="BD226" s="18">
        <f>$AY226-$BC226*($BB226/$P226-1)</f>
        <v/>
      </c>
      <c r="BE226" s="18">
        <f>$AY226-(conv_step_5a-conversion_cost_inr_t)*$AU226</f>
        <v/>
      </c>
      <c r="BF226" s="8">
        <f>$BA226</f>
        <v/>
      </c>
      <c r="BG226" s="8">
        <f>$BD226&gt;margin_threshold_inr_t</f>
        <v/>
      </c>
      <c r="BH226" s="8">
        <f>$BE226&gt;margin_threshold_inr_t</f>
        <v/>
      </c>
      <c r="BI226" s="8">
        <f>AND($BF226,$BG226,$BH226)</f>
        <v/>
      </c>
      <c r="BJ226" s="8">
        <f>IF($BI226,1,0)</f>
        <v/>
      </c>
    </row>
    <row r="227">
      <c r="A227" s="11" t="n">
        <v>44820</v>
      </c>
      <c r="B227" s="11" t="n">
        <v>44820</v>
      </c>
      <c r="C227" s="7" t="inlineStr">
        <is>
          <t>tense</t>
        </is>
      </c>
      <c r="D227" s="7" t="inlineStr">
        <is>
          <t>USEC_MUN</t>
        </is>
      </c>
      <c r="E227" s="17" t="b">
        <v>0</v>
      </c>
      <c r="F227" s="16">
        <f>INDEX(Market_Weekly!$E$6:$E$48,MATCH($A227,Market_Weekly!$A$6:$A$48,0))</f>
        <v/>
      </c>
      <c r="G227" s="16">
        <f>INDEX(Market_Weekly!$D$6:$D$48,MATCH($A227,Market_Weekly!$A$6:$A$48,0))</f>
        <v/>
      </c>
      <c r="H227" s="16">
        <f>INDEX(Market_Weekly!$G$6:$G$48,MATCH($A227,Market_Weekly!$A$6:$A$48,0))</f>
        <v/>
      </c>
      <c r="I227" s="8">
        <f>INDEX(Market_Weekly!$H$6:$H$48,MATCH($A227,Market_Weekly!$A$6:$A$48,0))</f>
        <v/>
      </c>
      <c r="J227" s="8">
        <f>INDEX(Market_Weekly!$Q$6:$Q$48,MATCH($A227,Market_Weekly!$A$6:$A$48,0))</f>
        <v/>
      </c>
      <c r="K227" s="8">
        <f>INDEX(Market_Weekly!$V$6:$V$48,MATCH($A227,Market_Weekly!$A$6:$A$48,0))</f>
        <v/>
      </c>
      <c r="L227" s="16">
        <f>IF($D227="JEA_NSA",INDEX(Market_Weekly!$N$6:$N$48,MATCH($A227,Market_Weekly!$A$6:$A$48,0)),INDEX(Market_Weekly!$O$6:$O$48,MATCH($A227,Market_Weekly!$A$6:$A$48,0)))</f>
        <v/>
      </c>
      <c r="M227" s="8">
        <f>IF($D227="JEA_NSA","M1","M2")</f>
        <v/>
      </c>
      <c r="N227" s="16">
        <f>IF($D227="JEA_NSA",INDEX(Market_Weekly!$L$6:$L$48,MATCH($A227,Market_Weekly!$A$6:$A$48,0)),INDEX(Market_Weekly!$M$6:$M$48,MATCH($A227,Market_Weekly!$A$6:$A$48,0)))</f>
        <v/>
      </c>
      <c r="O227" s="15">
        <f>INDEX(Market_Weekly!$P$6:$P$48,MATCH($A227,Market_Weekly!$A$6:$A$48,0))</f>
        <v/>
      </c>
      <c r="P227" s="8">
        <f>INDEX(Market_Weekly!$R$6:$T$48,MATCH($A227,Market_Weekly!$A$6:$A$48,0),MATCH("grade_factor_"&amp;$C227,Market_Weekly!$R$5:$T$5,0))</f>
        <v/>
      </c>
      <c r="Q227" s="8">
        <f>INDEX(Market_Weekly!$U$6:$U$48,MATCH($A227,Market_Weekly!$A$6:$A$48,0))</f>
        <v/>
      </c>
      <c r="R227" s="8">
        <f>IF($D227="JEA_NSA","20ft","40ft")</f>
        <v/>
      </c>
      <c r="S227" s="8">
        <f>IF($D227="JEA_NSA","nsa","mun")</f>
        <v/>
      </c>
      <c r="T227" s="8">
        <f>IF($D227="JEA_NSA","jea_nsa","usec_mun")</f>
        <v/>
      </c>
      <c r="U227" s="16">
        <f>INDEX(param_values,MATCH("container_payload_mt_"&amp;$R227,param_keys,0))</f>
        <v/>
      </c>
      <c r="V227" s="16">
        <f>INDEX(param_values,MATCH("container_payload_mt_"&amp;$R227&amp;"_"&amp;$C227,param_keys,0))</f>
        <v/>
      </c>
      <c r="W227" s="16">
        <f>INDEX(param_values,MATCH("container_payload_mt_20ft_"&amp;$C227,param_keys,0))</f>
        <v/>
      </c>
      <c r="X227" s="18">
        <f>INDEX(param_values,MATCH("port_cf_charges_inr_t_"&amp;$S227,param_keys,0))</f>
        <v/>
      </c>
      <c r="Y227" s="8">
        <f>INDEX(param_values,MATCH(IF($D227="JEA_NSA","psic_required_uae_origin","psic_required_safe_origin_designated_port"),param_keys,0))</f>
        <v/>
      </c>
      <c r="Z227" s="19">
        <f>INDEX(param_values,MATCH("finance_days_"&amp;$T227,param_keys,0))</f>
        <v/>
      </c>
      <c r="AA227" s="15">
        <f>INDEX(param_values,MATCH("moisture_frac_"&amp;$C227,param_keys,0))</f>
        <v/>
      </c>
      <c r="AB227" s="15">
        <f>INDEX(param_values,MATCH("contamination_frac_"&amp;$C227,param_keys,0))</f>
        <v/>
      </c>
      <c r="AC227" s="15">
        <f>INDEX(param_values,MATCH("metal_yield_frac_"&amp;$C227,param_keys,0))</f>
        <v/>
      </c>
      <c r="AD227" s="15">
        <f>INDEX(param_values,MATCH("heavies_frac_"&amp;$C227,param_keys,0))</f>
        <v/>
      </c>
      <c r="AE227" s="8">
        <f>INDEX(param_values,MATCH("grade_factor_diff_"&amp;$C227,param_keys,0))</f>
        <v/>
      </c>
      <c r="AF227" s="16">
        <f>$F227*$P227</f>
        <v/>
      </c>
      <c r="AG227" s="8">
        <f>$U227/$V227</f>
        <v/>
      </c>
      <c r="AH227" s="16">
        <f>$L227*$AG227</f>
        <v/>
      </c>
      <c r="AI227" s="16">
        <f>$AF227-$AH227</f>
        <v/>
      </c>
      <c r="AJ227" s="16">
        <f>insurance_rate*insured_value_uplift*$AF227</f>
        <v/>
      </c>
      <c r="AK227" s="16">
        <f>$AF227+$AJ227</f>
        <v/>
      </c>
      <c r="AL227" s="18">
        <f>$AK227*$J227</f>
        <v/>
      </c>
      <c r="AM227" s="18">
        <f>$AK227*$I227</f>
        <v/>
      </c>
      <c r="AN227" s="18">
        <f>$AL227*bcd_scrap_hs7602</f>
        <v/>
      </c>
      <c r="AO227" s="18">
        <f>$AN227*sws_rate_on_bcd</f>
        <v/>
      </c>
      <c r="AP227" s="18">
        <f>($AL227+$AN227+$AO227)*igst_rate_hs7602</f>
        <v/>
      </c>
      <c r="AQ227" s="18">
        <f>$X227*$AG227+IF($Y227,psic_cost_usd_per_box*$H227/$W227,0)</f>
        <v/>
      </c>
      <c r="AR227" s="18">
        <f>($AM227+$AN227+$AO227)*$Z227/day_count_inr*$O227</f>
        <v/>
      </c>
      <c r="AS227" s="18">
        <f>$AP227*igst_credit_lag_days/day_count_inr*$O227</f>
        <v/>
      </c>
      <c r="AT227" s="18">
        <f>$AM227+$AN227+$AO227+$AQ227+$AR227+$AS227+IF(igst_itc_available,0,$AP227)</f>
        <v/>
      </c>
      <c r="AU227" s="15">
        <f>(1-$AA227)*(1-$AB227)*$AC227</f>
        <v/>
      </c>
      <c r="AV227" s="18">
        <f>$N227*kg_per_mt+domestic_anchor_premium_inr_t</f>
        <v/>
      </c>
      <c r="AW227" s="18">
        <f>(1-$AA227)*$AD227*heavies_net_value_frac_of_lme_al*$F227*$H227</f>
        <v/>
      </c>
      <c r="AX227" s="18">
        <f>conversion_cost_inr_t*$AU227</f>
        <v/>
      </c>
      <c r="AY227" s="18">
        <f>$AV227*$AU227+$AW227-$AT227-$AX227</f>
        <v/>
      </c>
      <c r="AZ227" s="16">
        <f>$AY227/$H227</f>
        <v/>
      </c>
      <c r="BA227" s="8">
        <f>$AY227&gt;margin_threshold_inr_t</f>
        <v/>
      </c>
      <c r="BB227" s="8">
        <f>$Q227+$AE227</f>
        <v/>
      </c>
      <c r="BC227" s="18">
        <f>$AT227-$AQ227</f>
        <v/>
      </c>
      <c r="BD227" s="18">
        <f>$AY227-$BC227*($BB227/$P227-1)</f>
        <v/>
      </c>
      <c r="BE227" s="18">
        <f>$AY227-(conv_step_5a-conversion_cost_inr_t)*$AU227</f>
        <v/>
      </c>
      <c r="BF227" s="8">
        <f>$BA227</f>
        <v/>
      </c>
      <c r="BG227" s="8">
        <f>$BD227&gt;margin_threshold_inr_t</f>
        <v/>
      </c>
      <c r="BH227" s="8">
        <f>$BE227&gt;margin_threshold_inr_t</f>
        <v/>
      </c>
      <c r="BI227" s="8">
        <f>AND($BF227,$BG227,$BH227)</f>
        <v/>
      </c>
      <c r="BJ227" s="8">
        <f>IF($BI227,1,0)</f>
        <v/>
      </c>
    </row>
    <row r="228">
      <c r="A228" s="11" t="n">
        <v>44827</v>
      </c>
      <c r="B228" s="11" t="n">
        <v>44827</v>
      </c>
      <c r="C228" s="7" t="inlineStr">
        <is>
          <t>zorba</t>
        </is>
      </c>
      <c r="D228" s="7" t="inlineStr">
        <is>
          <t>JEA_NSA</t>
        </is>
      </c>
      <c r="E228" s="17" t="b">
        <v>0</v>
      </c>
      <c r="F228" s="16">
        <f>INDEX(Market_Weekly!$E$6:$E$48,MATCH($A228,Market_Weekly!$A$6:$A$48,0))</f>
        <v/>
      </c>
      <c r="G228" s="16">
        <f>INDEX(Market_Weekly!$D$6:$D$48,MATCH($A228,Market_Weekly!$A$6:$A$48,0))</f>
        <v/>
      </c>
      <c r="H228" s="16">
        <f>INDEX(Market_Weekly!$G$6:$G$48,MATCH($A228,Market_Weekly!$A$6:$A$48,0))</f>
        <v/>
      </c>
      <c r="I228" s="8">
        <f>INDEX(Market_Weekly!$H$6:$H$48,MATCH($A228,Market_Weekly!$A$6:$A$48,0))</f>
        <v/>
      </c>
      <c r="J228" s="8">
        <f>INDEX(Market_Weekly!$Q$6:$Q$48,MATCH($A228,Market_Weekly!$A$6:$A$48,0))</f>
        <v/>
      </c>
      <c r="K228" s="8">
        <f>INDEX(Market_Weekly!$V$6:$V$48,MATCH($A228,Market_Weekly!$A$6:$A$48,0))</f>
        <v/>
      </c>
      <c r="L228" s="16">
        <f>IF($D228="JEA_NSA",INDEX(Market_Weekly!$N$6:$N$48,MATCH($A228,Market_Weekly!$A$6:$A$48,0)),INDEX(Market_Weekly!$O$6:$O$48,MATCH($A228,Market_Weekly!$A$6:$A$48,0)))</f>
        <v/>
      </c>
      <c r="M228" s="8">
        <f>IF($D228="JEA_NSA","M1","M2")</f>
        <v/>
      </c>
      <c r="N228" s="16">
        <f>IF($D228="JEA_NSA",INDEX(Market_Weekly!$L$6:$L$48,MATCH($A228,Market_Weekly!$A$6:$A$48,0)),INDEX(Market_Weekly!$M$6:$M$48,MATCH($A228,Market_Weekly!$A$6:$A$48,0)))</f>
        <v/>
      </c>
      <c r="O228" s="15">
        <f>INDEX(Market_Weekly!$P$6:$P$48,MATCH($A228,Market_Weekly!$A$6:$A$48,0))</f>
        <v/>
      </c>
      <c r="P228" s="8">
        <f>INDEX(Market_Weekly!$R$6:$T$48,MATCH($A228,Market_Weekly!$A$6:$A$48,0),MATCH("grade_factor_"&amp;$C228,Market_Weekly!$R$5:$T$5,0))</f>
        <v/>
      </c>
      <c r="Q228" s="8">
        <f>INDEX(Market_Weekly!$U$6:$U$48,MATCH($A228,Market_Weekly!$A$6:$A$48,0))</f>
        <v/>
      </c>
      <c r="R228" s="8">
        <f>IF($D228="JEA_NSA","20ft","40ft")</f>
        <v/>
      </c>
      <c r="S228" s="8">
        <f>IF($D228="JEA_NSA","nsa","mun")</f>
        <v/>
      </c>
      <c r="T228" s="8">
        <f>IF($D228="JEA_NSA","jea_nsa","usec_mun")</f>
        <v/>
      </c>
      <c r="U228" s="16">
        <f>INDEX(param_values,MATCH("container_payload_mt_"&amp;$R228,param_keys,0))</f>
        <v/>
      </c>
      <c r="V228" s="16">
        <f>INDEX(param_values,MATCH("container_payload_mt_"&amp;$R228&amp;"_"&amp;$C228,param_keys,0))</f>
        <v/>
      </c>
      <c r="W228" s="16">
        <f>INDEX(param_values,MATCH("container_payload_mt_20ft_"&amp;$C228,param_keys,0))</f>
        <v/>
      </c>
      <c r="X228" s="18">
        <f>INDEX(param_values,MATCH("port_cf_charges_inr_t_"&amp;$S228,param_keys,0))</f>
        <v/>
      </c>
      <c r="Y228" s="8">
        <f>INDEX(param_values,MATCH(IF($D228="JEA_NSA","psic_required_uae_origin","psic_required_safe_origin_designated_port"),param_keys,0))</f>
        <v/>
      </c>
      <c r="Z228" s="19">
        <f>INDEX(param_values,MATCH("finance_days_"&amp;$T228,param_keys,0))</f>
        <v/>
      </c>
      <c r="AA228" s="15">
        <f>INDEX(param_values,MATCH("moisture_frac_"&amp;$C228,param_keys,0))</f>
        <v/>
      </c>
      <c r="AB228" s="15">
        <f>INDEX(param_values,MATCH("contamination_frac_"&amp;$C228,param_keys,0))</f>
        <v/>
      </c>
      <c r="AC228" s="15">
        <f>INDEX(param_values,MATCH("metal_yield_frac_"&amp;$C228,param_keys,0))</f>
        <v/>
      </c>
      <c r="AD228" s="15">
        <f>INDEX(param_values,MATCH("heavies_frac_"&amp;$C228,param_keys,0))</f>
        <v/>
      </c>
      <c r="AE228" s="8">
        <f>INDEX(param_values,MATCH("grade_factor_diff_"&amp;$C228,param_keys,0))</f>
        <v/>
      </c>
      <c r="AF228" s="16">
        <f>$F228*$P228</f>
        <v/>
      </c>
      <c r="AG228" s="8">
        <f>$U228/$V228</f>
        <v/>
      </c>
      <c r="AH228" s="16">
        <f>$L228*$AG228</f>
        <v/>
      </c>
      <c r="AI228" s="16">
        <f>$AF228-$AH228</f>
        <v/>
      </c>
      <c r="AJ228" s="16">
        <f>insurance_rate*insured_value_uplift*$AF228</f>
        <v/>
      </c>
      <c r="AK228" s="16">
        <f>$AF228+$AJ228</f>
        <v/>
      </c>
      <c r="AL228" s="18">
        <f>$AK228*$J228</f>
        <v/>
      </c>
      <c r="AM228" s="18">
        <f>$AK228*$I228</f>
        <v/>
      </c>
      <c r="AN228" s="18">
        <f>$AL228*bcd_scrap_hs7602</f>
        <v/>
      </c>
      <c r="AO228" s="18">
        <f>$AN228*sws_rate_on_bcd</f>
        <v/>
      </c>
      <c r="AP228" s="18">
        <f>($AL228+$AN228+$AO228)*igst_rate_hs7602</f>
        <v/>
      </c>
      <c r="AQ228" s="18">
        <f>$X228*$AG228+IF($Y228,psic_cost_usd_per_box*$H228/$W228,0)</f>
        <v/>
      </c>
      <c r="AR228" s="18">
        <f>($AM228+$AN228+$AO228)*$Z228/day_count_inr*$O228</f>
        <v/>
      </c>
      <c r="AS228" s="18">
        <f>$AP228*igst_credit_lag_days/day_count_inr*$O228</f>
        <v/>
      </c>
      <c r="AT228" s="18">
        <f>$AM228+$AN228+$AO228+$AQ228+$AR228+$AS228+IF(igst_itc_available,0,$AP228)</f>
        <v/>
      </c>
      <c r="AU228" s="15">
        <f>(1-$AA228)*(1-$AB228)*$AC228</f>
        <v/>
      </c>
      <c r="AV228" s="18">
        <f>$N228*kg_per_mt+domestic_anchor_premium_inr_t</f>
        <v/>
      </c>
      <c r="AW228" s="18">
        <f>(1-$AA228)*$AD228*heavies_net_value_frac_of_lme_al*$F228*$H228</f>
        <v/>
      </c>
      <c r="AX228" s="18">
        <f>conversion_cost_inr_t*$AU228</f>
        <v/>
      </c>
      <c r="AY228" s="18">
        <f>$AV228*$AU228+$AW228-$AT228-$AX228</f>
        <v/>
      </c>
      <c r="AZ228" s="16">
        <f>$AY228/$H228</f>
        <v/>
      </c>
      <c r="BA228" s="8">
        <f>$AY228&gt;margin_threshold_inr_t</f>
        <v/>
      </c>
      <c r="BB228" s="8">
        <f>$Q228+$AE228</f>
        <v/>
      </c>
      <c r="BC228" s="18">
        <f>$AT228-$AQ228</f>
        <v/>
      </c>
      <c r="BD228" s="18">
        <f>$AY228-$BC228*($BB228/$P228-1)</f>
        <v/>
      </c>
      <c r="BE228" s="18">
        <f>$AY228-(conv_step_5a-conversion_cost_inr_t)*$AU228</f>
        <v/>
      </c>
      <c r="BF228" s="8">
        <f>$BA228</f>
        <v/>
      </c>
      <c r="BG228" s="8">
        <f>$BD228&gt;margin_threshold_inr_t</f>
        <v/>
      </c>
      <c r="BH228" s="8">
        <f>$BE228&gt;margin_threshold_inr_t</f>
        <v/>
      </c>
      <c r="BI228" s="8">
        <f>AND($BF228,$BG228,$BH228)</f>
        <v/>
      </c>
      <c r="BJ228" s="8">
        <f>IF($BI228,1,0)</f>
        <v/>
      </c>
    </row>
    <row r="229">
      <c r="A229" s="11" t="n">
        <v>44827</v>
      </c>
      <c r="B229" s="11" t="n">
        <v>44827</v>
      </c>
      <c r="C229" s="7" t="inlineStr">
        <is>
          <t>zorba</t>
        </is>
      </c>
      <c r="D229" s="7" t="inlineStr">
        <is>
          <t>USEC_MUN</t>
        </is>
      </c>
      <c r="E229" s="17" t="b">
        <v>0</v>
      </c>
      <c r="F229" s="16">
        <f>INDEX(Market_Weekly!$E$6:$E$48,MATCH($A229,Market_Weekly!$A$6:$A$48,0))</f>
        <v/>
      </c>
      <c r="G229" s="16">
        <f>INDEX(Market_Weekly!$D$6:$D$48,MATCH($A229,Market_Weekly!$A$6:$A$48,0))</f>
        <v/>
      </c>
      <c r="H229" s="16">
        <f>INDEX(Market_Weekly!$G$6:$G$48,MATCH($A229,Market_Weekly!$A$6:$A$48,0))</f>
        <v/>
      </c>
      <c r="I229" s="8">
        <f>INDEX(Market_Weekly!$H$6:$H$48,MATCH($A229,Market_Weekly!$A$6:$A$48,0))</f>
        <v/>
      </c>
      <c r="J229" s="8">
        <f>INDEX(Market_Weekly!$Q$6:$Q$48,MATCH($A229,Market_Weekly!$A$6:$A$48,0))</f>
        <v/>
      </c>
      <c r="K229" s="8">
        <f>INDEX(Market_Weekly!$V$6:$V$48,MATCH($A229,Market_Weekly!$A$6:$A$48,0))</f>
        <v/>
      </c>
      <c r="L229" s="16">
        <f>IF($D229="JEA_NSA",INDEX(Market_Weekly!$N$6:$N$48,MATCH($A229,Market_Weekly!$A$6:$A$48,0)),INDEX(Market_Weekly!$O$6:$O$48,MATCH($A229,Market_Weekly!$A$6:$A$48,0)))</f>
        <v/>
      </c>
      <c r="M229" s="8">
        <f>IF($D229="JEA_NSA","M1","M2")</f>
        <v/>
      </c>
      <c r="N229" s="16">
        <f>IF($D229="JEA_NSA",INDEX(Market_Weekly!$L$6:$L$48,MATCH($A229,Market_Weekly!$A$6:$A$48,0)),INDEX(Market_Weekly!$M$6:$M$48,MATCH($A229,Market_Weekly!$A$6:$A$48,0)))</f>
        <v/>
      </c>
      <c r="O229" s="15">
        <f>INDEX(Market_Weekly!$P$6:$P$48,MATCH($A229,Market_Weekly!$A$6:$A$48,0))</f>
        <v/>
      </c>
      <c r="P229" s="8">
        <f>INDEX(Market_Weekly!$R$6:$T$48,MATCH($A229,Market_Weekly!$A$6:$A$48,0),MATCH("grade_factor_"&amp;$C229,Market_Weekly!$R$5:$T$5,0))</f>
        <v/>
      </c>
      <c r="Q229" s="8">
        <f>INDEX(Market_Weekly!$U$6:$U$48,MATCH($A229,Market_Weekly!$A$6:$A$48,0))</f>
        <v/>
      </c>
      <c r="R229" s="8">
        <f>IF($D229="JEA_NSA","20ft","40ft")</f>
        <v/>
      </c>
      <c r="S229" s="8">
        <f>IF($D229="JEA_NSA","nsa","mun")</f>
        <v/>
      </c>
      <c r="T229" s="8">
        <f>IF($D229="JEA_NSA","jea_nsa","usec_mun")</f>
        <v/>
      </c>
      <c r="U229" s="16">
        <f>INDEX(param_values,MATCH("container_payload_mt_"&amp;$R229,param_keys,0))</f>
        <v/>
      </c>
      <c r="V229" s="16">
        <f>INDEX(param_values,MATCH("container_payload_mt_"&amp;$R229&amp;"_"&amp;$C229,param_keys,0))</f>
        <v/>
      </c>
      <c r="W229" s="16">
        <f>INDEX(param_values,MATCH("container_payload_mt_20ft_"&amp;$C229,param_keys,0))</f>
        <v/>
      </c>
      <c r="X229" s="18">
        <f>INDEX(param_values,MATCH("port_cf_charges_inr_t_"&amp;$S229,param_keys,0))</f>
        <v/>
      </c>
      <c r="Y229" s="8">
        <f>INDEX(param_values,MATCH(IF($D229="JEA_NSA","psic_required_uae_origin","psic_required_safe_origin_designated_port"),param_keys,0))</f>
        <v/>
      </c>
      <c r="Z229" s="19">
        <f>INDEX(param_values,MATCH("finance_days_"&amp;$T229,param_keys,0))</f>
        <v/>
      </c>
      <c r="AA229" s="15">
        <f>INDEX(param_values,MATCH("moisture_frac_"&amp;$C229,param_keys,0))</f>
        <v/>
      </c>
      <c r="AB229" s="15">
        <f>INDEX(param_values,MATCH("contamination_frac_"&amp;$C229,param_keys,0))</f>
        <v/>
      </c>
      <c r="AC229" s="15">
        <f>INDEX(param_values,MATCH("metal_yield_frac_"&amp;$C229,param_keys,0))</f>
        <v/>
      </c>
      <c r="AD229" s="15">
        <f>INDEX(param_values,MATCH("heavies_frac_"&amp;$C229,param_keys,0))</f>
        <v/>
      </c>
      <c r="AE229" s="8">
        <f>INDEX(param_values,MATCH("grade_factor_diff_"&amp;$C229,param_keys,0))</f>
        <v/>
      </c>
      <c r="AF229" s="16">
        <f>$F229*$P229</f>
        <v/>
      </c>
      <c r="AG229" s="8">
        <f>$U229/$V229</f>
        <v/>
      </c>
      <c r="AH229" s="16">
        <f>$L229*$AG229</f>
        <v/>
      </c>
      <c r="AI229" s="16">
        <f>$AF229-$AH229</f>
        <v/>
      </c>
      <c r="AJ229" s="16">
        <f>insurance_rate*insured_value_uplift*$AF229</f>
        <v/>
      </c>
      <c r="AK229" s="16">
        <f>$AF229+$AJ229</f>
        <v/>
      </c>
      <c r="AL229" s="18">
        <f>$AK229*$J229</f>
        <v/>
      </c>
      <c r="AM229" s="18">
        <f>$AK229*$I229</f>
        <v/>
      </c>
      <c r="AN229" s="18">
        <f>$AL229*bcd_scrap_hs7602</f>
        <v/>
      </c>
      <c r="AO229" s="18">
        <f>$AN229*sws_rate_on_bcd</f>
        <v/>
      </c>
      <c r="AP229" s="18">
        <f>($AL229+$AN229+$AO229)*igst_rate_hs7602</f>
        <v/>
      </c>
      <c r="AQ229" s="18">
        <f>$X229*$AG229+IF($Y229,psic_cost_usd_per_box*$H229/$W229,0)</f>
        <v/>
      </c>
      <c r="AR229" s="18">
        <f>($AM229+$AN229+$AO229)*$Z229/day_count_inr*$O229</f>
        <v/>
      </c>
      <c r="AS229" s="18">
        <f>$AP229*igst_credit_lag_days/day_count_inr*$O229</f>
        <v/>
      </c>
      <c r="AT229" s="18">
        <f>$AM229+$AN229+$AO229+$AQ229+$AR229+$AS229+IF(igst_itc_available,0,$AP229)</f>
        <v/>
      </c>
      <c r="AU229" s="15">
        <f>(1-$AA229)*(1-$AB229)*$AC229</f>
        <v/>
      </c>
      <c r="AV229" s="18">
        <f>$N229*kg_per_mt+domestic_anchor_premium_inr_t</f>
        <v/>
      </c>
      <c r="AW229" s="18">
        <f>(1-$AA229)*$AD229*heavies_net_value_frac_of_lme_al*$F229*$H229</f>
        <v/>
      </c>
      <c r="AX229" s="18">
        <f>conversion_cost_inr_t*$AU229</f>
        <v/>
      </c>
      <c r="AY229" s="18">
        <f>$AV229*$AU229+$AW229-$AT229-$AX229</f>
        <v/>
      </c>
      <c r="AZ229" s="16">
        <f>$AY229/$H229</f>
        <v/>
      </c>
      <c r="BA229" s="8">
        <f>$AY229&gt;margin_threshold_inr_t</f>
        <v/>
      </c>
      <c r="BB229" s="8">
        <f>$Q229+$AE229</f>
        <v/>
      </c>
      <c r="BC229" s="18">
        <f>$AT229-$AQ229</f>
        <v/>
      </c>
      <c r="BD229" s="18">
        <f>$AY229-$BC229*($BB229/$P229-1)</f>
        <v/>
      </c>
      <c r="BE229" s="18">
        <f>$AY229-(conv_step_5a-conversion_cost_inr_t)*$AU229</f>
        <v/>
      </c>
      <c r="BF229" s="8">
        <f>$BA229</f>
        <v/>
      </c>
      <c r="BG229" s="8">
        <f>$BD229&gt;margin_threshold_inr_t</f>
        <v/>
      </c>
      <c r="BH229" s="8">
        <f>$BE229&gt;margin_threshold_inr_t</f>
        <v/>
      </c>
      <c r="BI229" s="8">
        <f>AND($BF229,$BG229,$BH229)</f>
        <v/>
      </c>
      <c r="BJ229" s="8">
        <f>IF($BI229,1,0)</f>
        <v/>
      </c>
    </row>
    <row r="230">
      <c r="A230" s="11" t="n">
        <v>44827</v>
      </c>
      <c r="B230" s="11" t="n">
        <v>44827</v>
      </c>
      <c r="C230" s="7" t="inlineStr">
        <is>
          <t>taint_tabor</t>
        </is>
      </c>
      <c r="D230" s="7" t="inlineStr">
        <is>
          <t>JEA_NSA</t>
        </is>
      </c>
      <c r="E230" s="17" t="b">
        <v>0</v>
      </c>
      <c r="F230" s="16">
        <f>INDEX(Market_Weekly!$E$6:$E$48,MATCH($A230,Market_Weekly!$A$6:$A$48,0))</f>
        <v/>
      </c>
      <c r="G230" s="16">
        <f>INDEX(Market_Weekly!$D$6:$D$48,MATCH($A230,Market_Weekly!$A$6:$A$48,0))</f>
        <v/>
      </c>
      <c r="H230" s="16">
        <f>INDEX(Market_Weekly!$G$6:$G$48,MATCH($A230,Market_Weekly!$A$6:$A$48,0))</f>
        <v/>
      </c>
      <c r="I230" s="8">
        <f>INDEX(Market_Weekly!$H$6:$H$48,MATCH($A230,Market_Weekly!$A$6:$A$48,0))</f>
        <v/>
      </c>
      <c r="J230" s="8">
        <f>INDEX(Market_Weekly!$Q$6:$Q$48,MATCH($A230,Market_Weekly!$A$6:$A$48,0))</f>
        <v/>
      </c>
      <c r="K230" s="8">
        <f>INDEX(Market_Weekly!$V$6:$V$48,MATCH($A230,Market_Weekly!$A$6:$A$48,0))</f>
        <v/>
      </c>
      <c r="L230" s="16">
        <f>IF($D230="JEA_NSA",INDEX(Market_Weekly!$N$6:$N$48,MATCH($A230,Market_Weekly!$A$6:$A$48,0)),INDEX(Market_Weekly!$O$6:$O$48,MATCH($A230,Market_Weekly!$A$6:$A$48,0)))</f>
        <v/>
      </c>
      <c r="M230" s="8">
        <f>IF($D230="JEA_NSA","M1","M2")</f>
        <v/>
      </c>
      <c r="N230" s="16">
        <f>IF($D230="JEA_NSA",INDEX(Market_Weekly!$L$6:$L$48,MATCH($A230,Market_Weekly!$A$6:$A$48,0)),INDEX(Market_Weekly!$M$6:$M$48,MATCH($A230,Market_Weekly!$A$6:$A$48,0)))</f>
        <v/>
      </c>
      <c r="O230" s="15">
        <f>INDEX(Market_Weekly!$P$6:$P$48,MATCH($A230,Market_Weekly!$A$6:$A$48,0))</f>
        <v/>
      </c>
      <c r="P230" s="8">
        <f>INDEX(Market_Weekly!$R$6:$T$48,MATCH($A230,Market_Weekly!$A$6:$A$48,0),MATCH("grade_factor_"&amp;$C230,Market_Weekly!$R$5:$T$5,0))</f>
        <v/>
      </c>
      <c r="Q230" s="8">
        <f>INDEX(Market_Weekly!$U$6:$U$48,MATCH($A230,Market_Weekly!$A$6:$A$48,0))</f>
        <v/>
      </c>
      <c r="R230" s="8">
        <f>IF($D230="JEA_NSA","20ft","40ft")</f>
        <v/>
      </c>
      <c r="S230" s="8">
        <f>IF($D230="JEA_NSA","nsa","mun")</f>
        <v/>
      </c>
      <c r="T230" s="8">
        <f>IF($D230="JEA_NSA","jea_nsa","usec_mun")</f>
        <v/>
      </c>
      <c r="U230" s="16">
        <f>INDEX(param_values,MATCH("container_payload_mt_"&amp;$R230,param_keys,0))</f>
        <v/>
      </c>
      <c r="V230" s="16">
        <f>INDEX(param_values,MATCH("container_payload_mt_"&amp;$R230&amp;"_"&amp;$C230,param_keys,0))</f>
        <v/>
      </c>
      <c r="W230" s="16">
        <f>INDEX(param_values,MATCH("container_payload_mt_20ft_"&amp;$C230,param_keys,0))</f>
        <v/>
      </c>
      <c r="X230" s="18">
        <f>INDEX(param_values,MATCH("port_cf_charges_inr_t_"&amp;$S230,param_keys,0))</f>
        <v/>
      </c>
      <c r="Y230" s="8">
        <f>INDEX(param_values,MATCH(IF($D230="JEA_NSA","psic_required_uae_origin","psic_required_safe_origin_designated_port"),param_keys,0))</f>
        <v/>
      </c>
      <c r="Z230" s="19">
        <f>INDEX(param_values,MATCH("finance_days_"&amp;$T230,param_keys,0))</f>
        <v/>
      </c>
      <c r="AA230" s="15">
        <f>INDEX(param_values,MATCH("moisture_frac_"&amp;$C230,param_keys,0))</f>
        <v/>
      </c>
      <c r="AB230" s="15">
        <f>INDEX(param_values,MATCH("contamination_frac_"&amp;$C230,param_keys,0))</f>
        <v/>
      </c>
      <c r="AC230" s="15">
        <f>INDEX(param_values,MATCH("metal_yield_frac_"&amp;$C230,param_keys,0))</f>
        <v/>
      </c>
      <c r="AD230" s="15">
        <f>INDEX(param_values,MATCH("heavies_frac_"&amp;$C230,param_keys,0))</f>
        <v/>
      </c>
      <c r="AE230" s="8">
        <f>INDEX(param_values,MATCH("grade_factor_diff_"&amp;$C230,param_keys,0))</f>
        <v/>
      </c>
      <c r="AF230" s="16">
        <f>$F230*$P230</f>
        <v/>
      </c>
      <c r="AG230" s="8">
        <f>$U230/$V230</f>
        <v/>
      </c>
      <c r="AH230" s="16">
        <f>$L230*$AG230</f>
        <v/>
      </c>
      <c r="AI230" s="16">
        <f>$AF230-$AH230</f>
        <v/>
      </c>
      <c r="AJ230" s="16">
        <f>insurance_rate*insured_value_uplift*$AF230</f>
        <v/>
      </c>
      <c r="AK230" s="16">
        <f>$AF230+$AJ230</f>
        <v/>
      </c>
      <c r="AL230" s="18">
        <f>$AK230*$J230</f>
        <v/>
      </c>
      <c r="AM230" s="18">
        <f>$AK230*$I230</f>
        <v/>
      </c>
      <c r="AN230" s="18">
        <f>$AL230*bcd_scrap_hs7602</f>
        <v/>
      </c>
      <c r="AO230" s="18">
        <f>$AN230*sws_rate_on_bcd</f>
        <v/>
      </c>
      <c r="AP230" s="18">
        <f>($AL230+$AN230+$AO230)*igst_rate_hs7602</f>
        <v/>
      </c>
      <c r="AQ230" s="18">
        <f>$X230*$AG230+IF($Y230,psic_cost_usd_per_box*$H230/$W230,0)</f>
        <v/>
      </c>
      <c r="AR230" s="18">
        <f>($AM230+$AN230+$AO230)*$Z230/day_count_inr*$O230</f>
        <v/>
      </c>
      <c r="AS230" s="18">
        <f>$AP230*igst_credit_lag_days/day_count_inr*$O230</f>
        <v/>
      </c>
      <c r="AT230" s="18">
        <f>$AM230+$AN230+$AO230+$AQ230+$AR230+$AS230+IF(igst_itc_available,0,$AP230)</f>
        <v/>
      </c>
      <c r="AU230" s="15">
        <f>(1-$AA230)*(1-$AB230)*$AC230</f>
        <v/>
      </c>
      <c r="AV230" s="18">
        <f>$N230*kg_per_mt+domestic_anchor_premium_inr_t</f>
        <v/>
      </c>
      <c r="AW230" s="18">
        <f>(1-$AA230)*$AD230*heavies_net_value_frac_of_lme_al*$F230*$H230</f>
        <v/>
      </c>
      <c r="AX230" s="18">
        <f>conversion_cost_inr_t*$AU230</f>
        <v/>
      </c>
      <c r="AY230" s="18">
        <f>$AV230*$AU230+$AW230-$AT230-$AX230</f>
        <v/>
      </c>
      <c r="AZ230" s="16">
        <f>$AY230/$H230</f>
        <v/>
      </c>
      <c r="BA230" s="8">
        <f>$AY230&gt;margin_threshold_inr_t</f>
        <v/>
      </c>
      <c r="BB230" s="8">
        <f>$Q230+$AE230</f>
        <v/>
      </c>
      <c r="BC230" s="18">
        <f>$AT230-$AQ230</f>
        <v/>
      </c>
      <c r="BD230" s="18">
        <f>$AY230-$BC230*($BB230/$P230-1)</f>
        <v/>
      </c>
      <c r="BE230" s="18">
        <f>$AY230-(conv_step_5a-conversion_cost_inr_t)*$AU230</f>
        <v/>
      </c>
      <c r="BF230" s="8">
        <f>$BA230</f>
        <v/>
      </c>
      <c r="BG230" s="8">
        <f>$BD230&gt;margin_threshold_inr_t</f>
        <v/>
      </c>
      <c r="BH230" s="8">
        <f>$BE230&gt;margin_threshold_inr_t</f>
        <v/>
      </c>
      <c r="BI230" s="8">
        <f>AND($BF230,$BG230,$BH230)</f>
        <v/>
      </c>
      <c r="BJ230" s="8">
        <f>IF($BI230,1,0)</f>
        <v/>
      </c>
    </row>
    <row r="231">
      <c r="A231" s="11" t="n">
        <v>44827</v>
      </c>
      <c r="B231" s="11" t="n">
        <v>44827</v>
      </c>
      <c r="C231" s="7" t="inlineStr">
        <is>
          <t>taint_tabor</t>
        </is>
      </c>
      <c r="D231" s="7" t="inlineStr">
        <is>
          <t>USEC_MUN</t>
        </is>
      </c>
      <c r="E231" s="17" t="b">
        <v>0</v>
      </c>
      <c r="F231" s="16">
        <f>INDEX(Market_Weekly!$E$6:$E$48,MATCH($A231,Market_Weekly!$A$6:$A$48,0))</f>
        <v/>
      </c>
      <c r="G231" s="16">
        <f>INDEX(Market_Weekly!$D$6:$D$48,MATCH($A231,Market_Weekly!$A$6:$A$48,0))</f>
        <v/>
      </c>
      <c r="H231" s="16">
        <f>INDEX(Market_Weekly!$G$6:$G$48,MATCH($A231,Market_Weekly!$A$6:$A$48,0))</f>
        <v/>
      </c>
      <c r="I231" s="8">
        <f>INDEX(Market_Weekly!$H$6:$H$48,MATCH($A231,Market_Weekly!$A$6:$A$48,0))</f>
        <v/>
      </c>
      <c r="J231" s="8">
        <f>INDEX(Market_Weekly!$Q$6:$Q$48,MATCH($A231,Market_Weekly!$A$6:$A$48,0))</f>
        <v/>
      </c>
      <c r="K231" s="8">
        <f>INDEX(Market_Weekly!$V$6:$V$48,MATCH($A231,Market_Weekly!$A$6:$A$48,0))</f>
        <v/>
      </c>
      <c r="L231" s="16">
        <f>IF($D231="JEA_NSA",INDEX(Market_Weekly!$N$6:$N$48,MATCH($A231,Market_Weekly!$A$6:$A$48,0)),INDEX(Market_Weekly!$O$6:$O$48,MATCH($A231,Market_Weekly!$A$6:$A$48,0)))</f>
        <v/>
      </c>
      <c r="M231" s="8">
        <f>IF($D231="JEA_NSA","M1","M2")</f>
        <v/>
      </c>
      <c r="N231" s="16">
        <f>IF($D231="JEA_NSA",INDEX(Market_Weekly!$L$6:$L$48,MATCH($A231,Market_Weekly!$A$6:$A$48,0)),INDEX(Market_Weekly!$M$6:$M$48,MATCH($A231,Market_Weekly!$A$6:$A$48,0)))</f>
        <v/>
      </c>
      <c r="O231" s="15">
        <f>INDEX(Market_Weekly!$P$6:$P$48,MATCH($A231,Market_Weekly!$A$6:$A$48,0))</f>
        <v/>
      </c>
      <c r="P231" s="8">
        <f>INDEX(Market_Weekly!$R$6:$T$48,MATCH($A231,Market_Weekly!$A$6:$A$48,0),MATCH("grade_factor_"&amp;$C231,Market_Weekly!$R$5:$T$5,0))</f>
        <v/>
      </c>
      <c r="Q231" s="8">
        <f>INDEX(Market_Weekly!$U$6:$U$48,MATCH($A231,Market_Weekly!$A$6:$A$48,0))</f>
        <v/>
      </c>
      <c r="R231" s="8">
        <f>IF($D231="JEA_NSA","20ft","40ft")</f>
        <v/>
      </c>
      <c r="S231" s="8">
        <f>IF($D231="JEA_NSA","nsa","mun")</f>
        <v/>
      </c>
      <c r="T231" s="8">
        <f>IF($D231="JEA_NSA","jea_nsa","usec_mun")</f>
        <v/>
      </c>
      <c r="U231" s="16">
        <f>INDEX(param_values,MATCH("container_payload_mt_"&amp;$R231,param_keys,0))</f>
        <v/>
      </c>
      <c r="V231" s="16">
        <f>INDEX(param_values,MATCH("container_payload_mt_"&amp;$R231&amp;"_"&amp;$C231,param_keys,0))</f>
        <v/>
      </c>
      <c r="W231" s="16">
        <f>INDEX(param_values,MATCH("container_payload_mt_20ft_"&amp;$C231,param_keys,0))</f>
        <v/>
      </c>
      <c r="X231" s="18">
        <f>INDEX(param_values,MATCH("port_cf_charges_inr_t_"&amp;$S231,param_keys,0))</f>
        <v/>
      </c>
      <c r="Y231" s="8">
        <f>INDEX(param_values,MATCH(IF($D231="JEA_NSA","psic_required_uae_origin","psic_required_safe_origin_designated_port"),param_keys,0))</f>
        <v/>
      </c>
      <c r="Z231" s="19">
        <f>INDEX(param_values,MATCH("finance_days_"&amp;$T231,param_keys,0))</f>
        <v/>
      </c>
      <c r="AA231" s="15">
        <f>INDEX(param_values,MATCH("moisture_frac_"&amp;$C231,param_keys,0))</f>
        <v/>
      </c>
      <c r="AB231" s="15">
        <f>INDEX(param_values,MATCH("contamination_frac_"&amp;$C231,param_keys,0))</f>
        <v/>
      </c>
      <c r="AC231" s="15">
        <f>INDEX(param_values,MATCH("metal_yield_frac_"&amp;$C231,param_keys,0))</f>
        <v/>
      </c>
      <c r="AD231" s="15">
        <f>INDEX(param_values,MATCH("heavies_frac_"&amp;$C231,param_keys,0))</f>
        <v/>
      </c>
      <c r="AE231" s="8">
        <f>INDEX(param_values,MATCH("grade_factor_diff_"&amp;$C231,param_keys,0))</f>
        <v/>
      </c>
      <c r="AF231" s="16">
        <f>$F231*$P231</f>
        <v/>
      </c>
      <c r="AG231" s="8">
        <f>$U231/$V231</f>
        <v/>
      </c>
      <c r="AH231" s="16">
        <f>$L231*$AG231</f>
        <v/>
      </c>
      <c r="AI231" s="16">
        <f>$AF231-$AH231</f>
        <v/>
      </c>
      <c r="AJ231" s="16">
        <f>insurance_rate*insured_value_uplift*$AF231</f>
        <v/>
      </c>
      <c r="AK231" s="16">
        <f>$AF231+$AJ231</f>
        <v/>
      </c>
      <c r="AL231" s="18">
        <f>$AK231*$J231</f>
        <v/>
      </c>
      <c r="AM231" s="18">
        <f>$AK231*$I231</f>
        <v/>
      </c>
      <c r="AN231" s="18">
        <f>$AL231*bcd_scrap_hs7602</f>
        <v/>
      </c>
      <c r="AO231" s="18">
        <f>$AN231*sws_rate_on_bcd</f>
        <v/>
      </c>
      <c r="AP231" s="18">
        <f>($AL231+$AN231+$AO231)*igst_rate_hs7602</f>
        <v/>
      </c>
      <c r="AQ231" s="18">
        <f>$X231*$AG231+IF($Y231,psic_cost_usd_per_box*$H231/$W231,0)</f>
        <v/>
      </c>
      <c r="AR231" s="18">
        <f>($AM231+$AN231+$AO231)*$Z231/day_count_inr*$O231</f>
        <v/>
      </c>
      <c r="AS231" s="18">
        <f>$AP231*igst_credit_lag_days/day_count_inr*$O231</f>
        <v/>
      </c>
      <c r="AT231" s="18">
        <f>$AM231+$AN231+$AO231+$AQ231+$AR231+$AS231+IF(igst_itc_available,0,$AP231)</f>
        <v/>
      </c>
      <c r="AU231" s="15">
        <f>(1-$AA231)*(1-$AB231)*$AC231</f>
        <v/>
      </c>
      <c r="AV231" s="18">
        <f>$N231*kg_per_mt+domestic_anchor_premium_inr_t</f>
        <v/>
      </c>
      <c r="AW231" s="18">
        <f>(1-$AA231)*$AD231*heavies_net_value_frac_of_lme_al*$F231*$H231</f>
        <v/>
      </c>
      <c r="AX231" s="18">
        <f>conversion_cost_inr_t*$AU231</f>
        <v/>
      </c>
      <c r="AY231" s="18">
        <f>$AV231*$AU231+$AW231-$AT231-$AX231</f>
        <v/>
      </c>
      <c r="AZ231" s="16">
        <f>$AY231/$H231</f>
        <v/>
      </c>
      <c r="BA231" s="8">
        <f>$AY231&gt;margin_threshold_inr_t</f>
        <v/>
      </c>
      <c r="BB231" s="8">
        <f>$Q231+$AE231</f>
        <v/>
      </c>
      <c r="BC231" s="18">
        <f>$AT231-$AQ231</f>
        <v/>
      </c>
      <c r="BD231" s="18">
        <f>$AY231-$BC231*($BB231/$P231-1)</f>
        <v/>
      </c>
      <c r="BE231" s="18">
        <f>$AY231-(conv_step_5a-conversion_cost_inr_t)*$AU231</f>
        <v/>
      </c>
      <c r="BF231" s="8">
        <f>$BA231</f>
        <v/>
      </c>
      <c r="BG231" s="8">
        <f>$BD231&gt;margin_threshold_inr_t</f>
        <v/>
      </c>
      <c r="BH231" s="8">
        <f>$BE231&gt;margin_threshold_inr_t</f>
        <v/>
      </c>
      <c r="BI231" s="8">
        <f>AND($BF231,$BG231,$BH231)</f>
        <v/>
      </c>
      <c r="BJ231" s="8">
        <f>IF($BI231,1,0)</f>
        <v/>
      </c>
    </row>
    <row r="232">
      <c r="A232" s="11" t="n">
        <v>44827</v>
      </c>
      <c r="B232" s="11" t="n">
        <v>44827</v>
      </c>
      <c r="C232" s="7" t="inlineStr">
        <is>
          <t>tense</t>
        </is>
      </c>
      <c r="D232" s="7" t="inlineStr">
        <is>
          <t>JEA_NSA</t>
        </is>
      </c>
      <c r="E232" s="17" t="b">
        <v>0</v>
      </c>
      <c r="F232" s="16">
        <f>INDEX(Market_Weekly!$E$6:$E$48,MATCH($A232,Market_Weekly!$A$6:$A$48,0))</f>
        <v/>
      </c>
      <c r="G232" s="16">
        <f>INDEX(Market_Weekly!$D$6:$D$48,MATCH($A232,Market_Weekly!$A$6:$A$48,0))</f>
        <v/>
      </c>
      <c r="H232" s="16">
        <f>INDEX(Market_Weekly!$G$6:$G$48,MATCH($A232,Market_Weekly!$A$6:$A$48,0))</f>
        <v/>
      </c>
      <c r="I232" s="8">
        <f>INDEX(Market_Weekly!$H$6:$H$48,MATCH($A232,Market_Weekly!$A$6:$A$48,0))</f>
        <v/>
      </c>
      <c r="J232" s="8">
        <f>INDEX(Market_Weekly!$Q$6:$Q$48,MATCH($A232,Market_Weekly!$A$6:$A$48,0))</f>
        <v/>
      </c>
      <c r="K232" s="8">
        <f>INDEX(Market_Weekly!$V$6:$V$48,MATCH($A232,Market_Weekly!$A$6:$A$48,0))</f>
        <v/>
      </c>
      <c r="L232" s="16">
        <f>IF($D232="JEA_NSA",INDEX(Market_Weekly!$N$6:$N$48,MATCH($A232,Market_Weekly!$A$6:$A$48,0)),INDEX(Market_Weekly!$O$6:$O$48,MATCH($A232,Market_Weekly!$A$6:$A$48,0)))</f>
        <v/>
      </c>
      <c r="M232" s="8">
        <f>IF($D232="JEA_NSA","M1","M2")</f>
        <v/>
      </c>
      <c r="N232" s="16">
        <f>IF($D232="JEA_NSA",INDEX(Market_Weekly!$L$6:$L$48,MATCH($A232,Market_Weekly!$A$6:$A$48,0)),INDEX(Market_Weekly!$M$6:$M$48,MATCH($A232,Market_Weekly!$A$6:$A$48,0)))</f>
        <v/>
      </c>
      <c r="O232" s="15">
        <f>INDEX(Market_Weekly!$P$6:$P$48,MATCH($A232,Market_Weekly!$A$6:$A$48,0))</f>
        <v/>
      </c>
      <c r="P232" s="8">
        <f>INDEX(Market_Weekly!$R$6:$T$48,MATCH($A232,Market_Weekly!$A$6:$A$48,0),MATCH("grade_factor_"&amp;$C232,Market_Weekly!$R$5:$T$5,0))</f>
        <v/>
      </c>
      <c r="Q232" s="8">
        <f>INDEX(Market_Weekly!$U$6:$U$48,MATCH($A232,Market_Weekly!$A$6:$A$48,0))</f>
        <v/>
      </c>
      <c r="R232" s="8">
        <f>IF($D232="JEA_NSA","20ft","40ft")</f>
        <v/>
      </c>
      <c r="S232" s="8">
        <f>IF($D232="JEA_NSA","nsa","mun")</f>
        <v/>
      </c>
      <c r="T232" s="8">
        <f>IF($D232="JEA_NSA","jea_nsa","usec_mun")</f>
        <v/>
      </c>
      <c r="U232" s="16">
        <f>INDEX(param_values,MATCH("container_payload_mt_"&amp;$R232,param_keys,0))</f>
        <v/>
      </c>
      <c r="V232" s="16">
        <f>INDEX(param_values,MATCH("container_payload_mt_"&amp;$R232&amp;"_"&amp;$C232,param_keys,0))</f>
        <v/>
      </c>
      <c r="W232" s="16">
        <f>INDEX(param_values,MATCH("container_payload_mt_20ft_"&amp;$C232,param_keys,0))</f>
        <v/>
      </c>
      <c r="X232" s="18">
        <f>INDEX(param_values,MATCH("port_cf_charges_inr_t_"&amp;$S232,param_keys,0))</f>
        <v/>
      </c>
      <c r="Y232" s="8">
        <f>INDEX(param_values,MATCH(IF($D232="JEA_NSA","psic_required_uae_origin","psic_required_safe_origin_designated_port"),param_keys,0))</f>
        <v/>
      </c>
      <c r="Z232" s="19">
        <f>INDEX(param_values,MATCH("finance_days_"&amp;$T232,param_keys,0))</f>
        <v/>
      </c>
      <c r="AA232" s="15">
        <f>INDEX(param_values,MATCH("moisture_frac_"&amp;$C232,param_keys,0))</f>
        <v/>
      </c>
      <c r="AB232" s="15">
        <f>INDEX(param_values,MATCH("contamination_frac_"&amp;$C232,param_keys,0))</f>
        <v/>
      </c>
      <c r="AC232" s="15">
        <f>INDEX(param_values,MATCH("metal_yield_frac_"&amp;$C232,param_keys,0))</f>
        <v/>
      </c>
      <c r="AD232" s="15">
        <f>INDEX(param_values,MATCH("heavies_frac_"&amp;$C232,param_keys,0))</f>
        <v/>
      </c>
      <c r="AE232" s="8">
        <f>INDEX(param_values,MATCH("grade_factor_diff_"&amp;$C232,param_keys,0))</f>
        <v/>
      </c>
      <c r="AF232" s="16">
        <f>$F232*$P232</f>
        <v/>
      </c>
      <c r="AG232" s="8">
        <f>$U232/$V232</f>
        <v/>
      </c>
      <c r="AH232" s="16">
        <f>$L232*$AG232</f>
        <v/>
      </c>
      <c r="AI232" s="16">
        <f>$AF232-$AH232</f>
        <v/>
      </c>
      <c r="AJ232" s="16">
        <f>insurance_rate*insured_value_uplift*$AF232</f>
        <v/>
      </c>
      <c r="AK232" s="16">
        <f>$AF232+$AJ232</f>
        <v/>
      </c>
      <c r="AL232" s="18">
        <f>$AK232*$J232</f>
        <v/>
      </c>
      <c r="AM232" s="18">
        <f>$AK232*$I232</f>
        <v/>
      </c>
      <c r="AN232" s="18">
        <f>$AL232*bcd_scrap_hs7602</f>
        <v/>
      </c>
      <c r="AO232" s="18">
        <f>$AN232*sws_rate_on_bcd</f>
        <v/>
      </c>
      <c r="AP232" s="18">
        <f>($AL232+$AN232+$AO232)*igst_rate_hs7602</f>
        <v/>
      </c>
      <c r="AQ232" s="18">
        <f>$X232*$AG232+IF($Y232,psic_cost_usd_per_box*$H232/$W232,0)</f>
        <v/>
      </c>
      <c r="AR232" s="18">
        <f>($AM232+$AN232+$AO232)*$Z232/day_count_inr*$O232</f>
        <v/>
      </c>
      <c r="AS232" s="18">
        <f>$AP232*igst_credit_lag_days/day_count_inr*$O232</f>
        <v/>
      </c>
      <c r="AT232" s="18">
        <f>$AM232+$AN232+$AO232+$AQ232+$AR232+$AS232+IF(igst_itc_available,0,$AP232)</f>
        <v/>
      </c>
      <c r="AU232" s="15">
        <f>(1-$AA232)*(1-$AB232)*$AC232</f>
        <v/>
      </c>
      <c r="AV232" s="18">
        <f>$N232*kg_per_mt+domestic_anchor_premium_inr_t</f>
        <v/>
      </c>
      <c r="AW232" s="18">
        <f>(1-$AA232)*$AD232*heavies_net_value_frac_of_lme_al*$F232*$H232</f>
        <v/>
      </c>
      <c r="AX232" s="18">
        <f>conversion_cost_inr_t*$AU232</f>
        <v/>
      </c>
      <c r="AY232" s="18">
        <f>$AV232*$AU232+$AW232-$AT232-$AX232</f>
        <v/>
      </c>
      <c r="AZ232" s="16">
        <f>$AY232/$H232</f>
        <v/>
      </c>
      <c r="BA232" s="8">
        <f>$AY232&gt;margin_threshold_inr_t</f>
        <v/>
      </c>
      <c r="BB232" s="8">
        <f>$Q232+$AE232</f>
        <v/>
      </c>
      <c r="BC232" s="18">
        <f>$AT232-$AQ232</f>
        <v/>
      </c>
      <c r="BD232" s="18">
        <f>$AY232-$BC232*($BB232/$P232-1)</f>
        <v/>
      </c>
      <c r="BE232" s="18">
        <f>$AY232-(conv_step_5a-conversion_cost_inr_t)*$AU232</f>
        <v/>
      </c>
      <c r="BF232" s="8">
        <f>$BA232</f>
        <v/>
      </c>
      <c r="BG232" s="8">
        <f>$BD232&gt;margin_threshold_inr_t</f>
        <v/>
      </c>
      <c r="BH232" s="8">
        <f>$BE232&gt;margin_threshold_inr_t</f>
        <v/>
      </c>
      <c r="BI232" s="8">
        <f>AND($BF232,$BG232,$BH232)</f>
        <v/>
      </c>
      <c r="BJ232" s="8">
        <f>IF($BI232,1,0)</f>
        <v/>
      </c>
    </row>
    <row r="233">
      <c r="A233" s="11" t="n">
        <v>44827</v>
      </c>
      <c r="B233" s="11" t="n">
        <v>44827</v>
      </c>
      <c r="C233" s="7" t="inlineStr">
        <is>
          <t>tense</t>
        </is>
      </c>
      <c r="D233" s="7" t="inlineStr">
        <is>
          <t>USEC_MUN</t>
        </is>
      </c>
      <c r="E233" s="17" t="b">
        <v>0</v>
      </c>
      <c r="F233" s="16">
        <f>INDEX(Market_Weekly!$E$6:$E$48,MATCH($A233,Market_Weekly!$A$6:$A$48,0))</f>
        <v/>
      </c>
      <c r="G233" s="16">
        <f>INDEX(Market_Weekly!$D$6:$D$48,MATCH($A233,Market_Weekly!$A$6:$A$48,0))</f>
        <v/>
      </c>
      <c r="H233" s="16">
        <f>INDEX(Market_Weekly!$G$6:$G$48,MATCH($A233,Market_Weekly!$A$6:$A$48,0))</f>
        <v/>
      </c>
      <c r="I233" s="8">
        <f>INDEX(Market_Weekly!$H$6:$H$48,MATCH($A233,Market_Weekly!$A$6:$A$48,0))</f>
        <v/>
      </c>
      <c r="J233" s="8">
        <f>INDEX(Market_Weekly!$Q$6:$Q$48,MATCH($A233,Market_Weekly!$A$6:$A$48,0))</f>
        <v/>
      </c>
      <c r="K233" s="8">
        <f>INDEX(Market_Weekly!$V$6:$V$48,MATCH($A233,Market_Weekly!$A$6:$A$48,0))</f>
        <v/>
      </c>
      <c r="L233" s="16">
        <f>IF($D233="JEA_NSA",INDEX(Market_Weekly!$N$6:$N$48,MATCH($A233,Market_Weekly!$A$6:$A$48,0)),INDEX(Market_Weekly!$O$6:$O$48,MATCH($A233,Market_Weekly!$A$6:$A$48,0)))</f>
        <v/>
      </c>
      <c r="M233" s="8">
        <f>IF($D233="JEA_NSA","M1","M2")</f>
        <v/>
      </c>
      <c r="N233" s="16">
        <f>IF($D233="JEA_NSA",INDEX(Market_Weekly!$L$6:$L$48,MATCH($A233,Market_Weekly!$A$6:$A$48,0)),INDEX(Market_Weekly!$M$6:$M$48,MATCH($A233,Market_Weekly!$A$6:$A$48,0)))</f>
        <v/>
      </c>
      <c r="O233" s="15">
        <f>INDEX(Market_Weekly!$P$6:$P$48,MATCH($A233,Market_Weekly!$A$6:$A$48,0))</f>
        <v/>
      </c>
      <c r="P233" s="8">
        <f>INDEX(Market_Weekly!$R$6:$T$48,MATCH($A233,Market_Weekly!$A$6:$A$48,0),MATCH("grade_factor_"&amp;$C233,Market_Weekly!$R$5:$T$5,0))</f>
        <v/>
      </c>
      <c r="Q233" s="8">
        <f>INDEX(Market_Weekly!$U$6:$U$48,MATCH($A233,Market_Weekly!$A$6:$A$48,0))</f>
        <v/>
      </c>
      <c r="R233" s="8">
        <f>IF($D233="JEA_NSA","20ft","40ft")</f>
        <v/>
      </c>
      <c r="S233" s="8">
        <f>IF($D233="JEA_NSA","nsa","mun")</f>
        <v/>
      </c>
      <c r="T233" s="8">
        <f>IF($D233="JEA_NSA","jea_nsa","usec_mun")</f>
        <v/>
      </c>
      <c r="U233" s="16">
        <f>INDEX(param_values,MATCH("container_payload_mt_"&amp;$R233,param_keys,0))</f>
        <v/>
      </c>
      <c r="V233" s="16">
        <f>INDEX(param_values,MATCH("container_payload_mt_"&amp;$R233&amp;"_"&amp;$C233,param_keys,0))</f>
        <v/>
      </c>
      <c r="W233" s="16">
        <f>INDEX(param_values,MATCH("container_payload_mt_20ft_"&amp;$C233,param_keys,0))</f>
        <v/>
      </c>
      <c r="X233" s="18">
        <f>INDEX(param_values,MATCH("port_cf_charges_inr_t_"&amp;$S233,param_keys,0))</f>
        <v/>
      </c>
      <c r="Y233" s="8">
        <f>INDEX(param_values,MATCH(IF($D233="JEA_NSA","psic_required_uae_origin","psic_required_safe_origin_designated_port"),param_keys,0))</f>
        <v/>
      </c>
      <c r="Z233" s="19">
        <f>INDEX(param_values,MATCH("finance_days_"&amp;$T233,param_keys,0))</f>
        <v/>
      </c>
      <c r="AA233" s="15">
        <f>INDEX(param_values,MATCH("moisture_frac_"&amp;$C233,param_keys,0))</f>
        <v/>
      </c>
      <c r="AB233" s="15">
        <f>INDEX(param_values,MATCH("contamination_frac_"&amp;$C233,param_keys,0))</f>
        <v/>
      </c>
      <c r="AC233" s="15">
        <f>INDEX(param_values,MATCH("metal_yield_frac_"&amp;$C233,param_keys,0))</f>
        <v/>
      </c>
      <c r="AD233" s="15">
        <f>INDEX(param_values,MATCH("heavies_frac_"&amp;$C233,param_keys,0))</f>
        <v/>
      </c>
      <c r="AE233" s="8">
        <f>INDEX(param_values,MATCH("grade_factor_diff_"&amp;$C233,param_keys,0))</f>
        <v/>
      </c>
      <c r="AF233" s="16">
        <f>$F233*$P233</f>
        <v/>
      </c>
      <c r="AG233" s="8">
        <f>$U233/$V233</f>
        <v/>
      </c>
      <c r="AH233" s="16">
        <f>$L233*$AG233</f>
        <v/>
      </c>
      <c r="AI233" s="16">
        <f>$AF233-$AH233</f>
        <v/>
      </c>
      <c r="AJ233" s="16">
        <f>insurance_rate*insured_value_uplift*$AF233</f>
        <v/>
      </c>
      <c r="AK233" s="16">
        <f>$AF233+$AJ233</f>
        <v/>
      </c>
      <c r="AL233" s="18">
        <f>$AK233*$J233</f>
        <v/>
      </c>
      <c r="AM233" s="18">
        <f>$AK233*$I233</f>
        <v/>
      </c>
      <c r="AN233" s="18">
        <f>$AL233*bcd_scrap_hs7602</f>
        <v/>
      </c>
      <c r="AO233" s="18">
        <f>$AN233*sws_rate_on_bcd</f>
        <v/>
      </c>
      <c r="AP233" s="18">
        <f>($AL233+$AN233+$AO233)*igst_rate_hs7602</f>
        <v/>
      </c>
      <c r="AQ233" s="18">
        <f>$X233*$AG233+IF($Y233,psic_cost_usd_per_box*$H233/$W233,0)</f>
        <v/>
      </c>
      <c r="AR233" s="18">
        <f>($AM233+$AN233+$AO233)*$Z233/day_count_inr*$O233</f>
        <v/>
      </c>
      <c r="AS233" s="18">
        <f>$AP233*igst_credit_lag_days/day_count_inr*$O233</f>
        <v/>
      </c>
      <c r="AT233" s="18">
        <f>$AM233+$AN233+$AO233+$AQ233+$AR233+$AS233+IF(igst_itc_available,0,$AP233)</f>
        <v/>
      </c>
      <c r="AU233" s="15">
        <f>(1-$AA233)*(1-$AB233)*$AC233</f>
        <v/>
      </c>
      <c r="AV233" s="18">
        <f>$N233*kg_per_mt+domestic_anchor_premium_inr_t</f>
        <v/>
      </c>
      <c r="AW233" s="18">
        <f>(1-$AA233)*$AD233*heavies_net_value_frac_of_lme_al*$F233*$H233</f>
        <v/>
      </c>
      <c r="AX233" s="18">
        <f>conversion_cost_inr_t*$AU233</f>
        <v/>
      </c>
      <c r="AY233" s="18">
        <f>$AV233*$AU233+$AW233-$AT233-$AX233</f>
        <v/>
      </c>
      <c r="AZ233" s="16">
        <f>$AY233/$H233</f>
        <v/>
      </c>
      <c r="BA233" s="8">
        <f>$AY233&gt;margin_threshold_inr_t</f>
        <v/>
      </c>
      <c r="BB233" s="8">
        <f>$Q233+$AE233</f>
        <v/>
      </c>
      <c r="BC233" s="18">
        <f>$AT233-$AQ233</f>
        <v/>
      </c>
      <c r="BD233" s="18">
        <f>$AY233-$BC233*($BB233/$P233-1)</f>
        <v/>
      </c>
      <c r="BE233" s="18">
        <f>$AY233-(conv_step_5a-conversion_cost_inr_t)*$AU233</f>
        <v/>
      </c>
      <c r="BF233" s="8">
        <f>$BA233</f>
        <v/>
      </c>
      <c r="BG233" s="8">
        <f>$BD233&gt;margin_threshold_inr_t</f>
        <v/>
      </c>
      <c r="BH233" s="8">
        <f>$BE233&gt;margin_threshold_inr_t</f>
        <v/>
      </c>
      <c r="BI233" s="8">
        <f>AND($BF233,$BG233,$BH233)</f>
        <v/>
      </c>
      <c r="BJ233" s="8">
        <f>IF($BI233,1,0)</f>
        <v/>
      </c>
    </row>
    <row r="234">
      <c r="A234" s="11" t="n">
        <v>44834</v>
      </c>
      <c r="B234" s="11" t="n">
        <v>44834</v>
      </c>
      <c r="C234" s="7" t="inlineStr">
        <is>
          <t>zorba</t>
        </is>
      </c>
      <c r="D234" s="7" t="inlineStr">
        <is>
          <t>JEA_NSA</t>
        </is>
      </c>
      <c r="E234" s="17" t="b">
        <v>0</v>
      </c>
      <c r="F234" s="16">
        <f>INDEX(Market_Weekly!$E$6:$E$48,MATCH($A234,Market_Weekly!$A$6:$A$48,0))</f>
        <v/>
      </c>
      <c r="G234" s="16">
        <f>INDEX(Market_Weekly!$D$6:$D$48,MATCH($A234,Market_Weekly!$A$6:$A$48,0))</f>
        <v/>
      </c>
      <c r="H234" s="16">
        <f>INDEX(Market_Weekly!$G$6:$G$48,MATCH($A234,Market_Weekly!$A$6:$A$48,0))</f>
        <v/>
      </c>
      <c r="I234" s="8">
        <f>INDEX(Market_Weekly!$H$6:$H$48,MATCH($A234,Market_Weekly!$A$6:$A$48,0))</f>
        <v/>
      </c>
      <c r="J234" s="8">
        <f>INDEX(Market_Weekly!$Q$6:$Q$48,MATCH($A234,Market_Weekly!$A$6:$A$48,0))</f>
        <v/>
      </c>
      <c r="K234" s="8">
        <f>INDEX(Market_Weekly!$V$6:$V$48,MATCH($A234,Market_Weekly!$A$6:$A$48,0))</f>
        <v/>
      </c>
      <c r="L234" s="16">
        <f>IF($D234="JEA_NSA",INDEX(Market_Weekly!$N$6:$N$48,MATCH($A234,Market_Weekly!$A$6:$A$48,0)),INDEX(Market_Weekly!$O$6:$O$48,MATCH($A234,Market_Weekly!$A$6:$A$48,0)))</f>
        <v/>
      </c>
      <c r="M234" s="8">
        <f>IF($D234="JEA_NSA","M1","M2")</f>
        <v/>
      </c>
      <c r="N234" s="16">
        <f>IF($D234="JEA_NSA",INDEX(Market_Weekly!$L$6:$L$48,MATCH($A234,Market_Weekly!$A$6:$A$48,0)),INDEX(Market_Weekly!$M$6:$M$48,MATCH($A234,Market_Weekly!$A$6:$A$48,0)))</f>
        <v/>
      </c>
      <c r="O234" s="15">
        <f>INDEX(Market_Weekly!$P$6:$P$48,MATCH($A234,Market_Weekly!$A$6:$A$48,0))</f>
        <v/>
      </c>
      <c r="P234" s="8">
        <f>INDEX(Market_Weekly!$R$6:$T$48,MATCH($A234,Market_Weekly!$A$6:$A$48,0),MATCH("grade_factor_"&amp;$C234,Market_Weekly!$R$5:$T$5,0))</f>
        <v/>
      </c>
      <c r="Q234" s="8">
        <f>INDEX(Market_Weekly!$U$6:$U$48,MATCH($A234,Market_Weekly!$A$6:$A$48,0))</f>
        <v/>
      </c>
      <c r="R234" s="8">
        <f>IF($D234="JEA_NSA","20ft","40ft")</f>
        <v/>
      </c>
      <c r="S234" s="8">
        <f>IF($D234="JEA_NSA","nsa","mun")</f>
        <v/>
      </c>
      <c r="T234" s="8">
        <f>IF($D234="JEA_NSA","jea_nsa","usec_mun")</f>
        <v/>
      </c>
      <c r="U234" s="16">
        <f>INDEX(param_values,MATCH("container_payload_mt_"&amp;$R234,param_keys,0))</f>
        <v/>
      </c>
      <c r="V234" s="16">
        <f>INDEX(param_values,MATCH("container_payload_mt_"&amp;$R234&amp;"_"&amp;$C234,param_keys,0))</f>
        <v/>
      </c>
      <c r="W234" s="16">
        <f>INDEX(param_values,MATCH("container_payload_mt_20ft_"&amp;$C234,param_keys,0))</f>
        <v/>
      </c>
      <c r="X234" s="18">
        <f>INDEX(param_values,MATCH("port_cf_charges_inr_t_"&amp;$S234,param_keys,0))</f>
        <v/>
      </c>
      <c r="Y234" s="8">
        <f>INDEX(param_values,MATCH(IF($D234="JEA_NSA","psic_required_uae_origin","psic_required_safe_origin_designated_port"),param_keys,0))</f>
        <v/>
      </c>
      <c r="Z234" s="19">
        <f>INDEX(param_values,MATCH("finance_days_"&amp;$T234,param_keys,0))</f>
        <v/>
      </c>
      <c r="AA234" s="15">
        <f>INDEX(param_values,MATCH("moisture_frac_"&amp;$C234,param_keys,0))</f>
        <v/>
      </c>
      <c r="AB234" s="15">
        <f>INDEX(param_values,MATCH("contamination_frac_"&amp;$C234,param_keys,0))</f>
        <v/>
      </c>
      <c r="AC234" s="15">
        <f>INDEX(param_values,MATCH("metal_yield_frac_"&amp;$C234,param_keys,0))</f>
        <v/>
      </c>
      <c r="AD234" s="15">
        <f>INDEX(param_values,MATCH("heavies_frac_"&amp;$C234,param_keys,0))</f>
        <v/>
      </c>
      <c r="AE234" s="8">
        <f>INDEX(param_values,MATCH("grade_factor_diff_"&amp;$C234,param_keys,0))</f>
        <v/>
      </c>
      <c r="AF234" s="16">
        <f>$F234*$P234</f>
        <v/>
      </c>
      <c r="AG234" s="8">
        <f>$U234/$V234</f>
        <v/>
      </c>
      <c r="AH234" s="16">
        <f>$L234*$AG234</f>
        <v/>
      </c>
      <c r="AI234" s="16">
        <f>$AF234-$AH234</f>
        <v/>
      </c>
      <c r="AJ234" s="16">
        <f>insurance_rate*insured_value_uplift*$AF234</f>
        <v/>
      </c>
      <c r="AK234" s="16">
        <f>$AF234+$AJ234</f>
        <v/>
      </c>
      <c r="AL234" s="18">
        <f>$AK234*$J234</f>
        <v/>
      </c>
      <c r="AM234" s="18">
        <f>$AK234*$I234</f>
        <v/>
      </c>
      <c r="AN234" s="18">
        <f>$AL234*bcd_scrap_hs7602</f>
        <v/>
      </c>
      <c r="AO234" s="18">
        <f>$AN234*sws_rate_on_bcd</f>
        <v/>
      </c>
      <c r="AP234" s="18">
        <f>($AL234+$AN234+$AO234)*igst_rate_hs7602</f>
        <v/>
      </c>
      <c r="AQ234" s="18">
        <f>$X234*$AG234+IF($Y234,psic_cost_usd_per_box*$H234/$W234,0)</f>
        <v/>
      </c>
      <c r="AR234" s="18">
        <f>($AM234+$AN234+$AO234)*$Z234/day_count_inr*$O234</f>
        <v/>
      </c>
      <c r="AS234" s="18">
        <f>$AP234*igst_credit_lag_days/day_count_inr*$O234</f>
        <v/>
      </c>
      <c r="AT234" s="18">
        <f>$AM234+$AN234+$AO234+$AQ234+$AR234+$AS234+IF(igst_itc_available,0,$AP234)</f>
        <v/>
      </c>
      <c r="AU234" s="15">
        <f>(1-$AA234)*(1-$AB234)*$AC234</f>
        <v/>
      </c>
      <c r="AV234" s="18">
        <f>$N234*kg_per_mt+domestic_anchor_premium_inr_t</f>
        <v/>
      </c>
      <c r="AW234" s="18">
        <f>(1-$AA234)*$AD234*heavies_net_value_frac_of_lme_al*$F234*$H234</f>
        <v/>
      </c>
      <c r="AX234" s="18">
        <f>conversion_cost_inr_t*$AU234</f>
        <v/>
      </c>
      <c r="AY234" s="18">
        <f>$AV234*$AU234+$AW234-$AT234-$AX234</f>
        <v/>
      </c>
      <c r="AZ234" s="16">
        <f>$AY234/$H234</f>
        <v/>
      </c>
      <c r="BA234" s="8">
        <f>$AY234&gt;margin_threshold_inr_t</f>
        <v/>
      </c>
      <c r="BB234" s="8">
        <f>$Q234+$AE234</f>
        <v/>
      </c>
      <c r="BC234" s="18">
        <f>$AT234-$AQ234</f>
        <v/>
      </c>
      <c r="BD234" s="18">
        <f>$AY234-$BC234*($BB234/$P234-1)</f>
        <v/>
      </c>
      <c r="BE234" s="18">
        <f>$AY234-(conv_step_5a-conversion_cost_inr_t)*$AU234</f>
        <v/>
      </c>
      <c r="BF234" s="8">
        <f>$BA234</f>
        <v/>
      </c>
      <c r="BG234" s="8">
        <f>$BD234&gt;margin_threshold_inr_t</f>
        <v/>
      </c>
      <c r="BH234" s="8">
        <f>$BE234&gt;margin_threshold_inr_t</f>
        <v/>
      </c>
      <c r="BI234" s="8">
        <f>AND($BF234,$BG234,$BH234)</f>
        <v/>
      </c>
      <c r="BJ234" s="8">
        <f>IF($BI234,1,0)</f>
        <v/>
      </c>
    </row>
    <row r="235">
      <c r="A235" s="11" t="n">
        <v>44834</v>
      </c>
      <c r="B235" s="11" t="n">
        <v>44834</v>
      </c>
      <c r="C235" s="7" t="inlineStr">
        <is>
          <t>zorba</t>
        </is>
      </c>
      <c r="D235" s="7" t="inlineStr">
        <is>
          <t>USEC_MUN</t>
        </is>
      </c>
      <c r="E235" s="17" t="b">
        <v>0</v>
      </c>
      <c r="F235" s="16">
        <f>INDEX(Market_Weekly!$E$6:$E$48,MATCH($A235,Market_Weekly!$A$6:$A$48,0))</f>
        <v/>
      </c>
      <c r="G235" s="16">
        <f>INDEX(Market_Weekly!$D$6:$D$48,MATCH($A235,Market_Weekly!$A$6:$A$48,0))</f>
        <v/>
      </c>
      <c r="H235" s="16">
        <f>INDEX(Market_Weekly!$G$6:$G$48,MATCH($A235,Market_Weekly!$A$6:$A$48,0))</f>
        <v/>
      </c>
      <c r="I235" s="8">
        <f>INDEX(Market_Weekly!$H$6:$H$48,MATCH($A235,Market_Weekly!$A$6:$A$48,0))</f>
        <v/>
      </c>
      <c r="J235" s="8">
        <f>INDEX(Market_Weekly!$Q$6:$Q$48,MATCH($A235,Market_Weekly!$A$6:$A$48,0))</f>
        <v/>
      </c>
      <c r="K235" s="8">
        <f>INDEX(Market_Weekly!$V$6:$V$48,MATCH($A235,Market_Weekly!$A$6:$A$48,0))</f>
        <v/>
      </c>
      <c r="L235" s="16">
        <f>IF($D235="JEA_NSA",INDEX(Market_Weekly!$N$6:$N$48,MATCH($A235,Market_Weekly!$A$6:$A$48,0)),INDEX(Market_Weekly!$O$6:$O$48,MATCH($A235,Market_Weekly!$A$6:$A$48,0)))</f>
        <v/>
      </c>
      <c r="M235" s="8">
        <f>IF($D235="JEA_NSA","M1","M2")</f>
        <v/>
      </c>
      <c r="N235" s="16">
        <f>IF($D235="JEA_NSA",INDEX(Market_Weekly!$L$6:$L$48,MATCH($A235,Market_Weekly!$A$6:$A$48,0)),INDEX(Market_Weekly!$M$6:$M$48,MATCH($A235,Market_Weekly!$A$6:$A$48,0)))</f>
        <v/>
      </c>
      <c r="O235" s="15">
        <f>INDEX(Market_Weekly!$P$6:$P$48,MATCH($A235,Market_Weekly!$A$6:$A$48,0))</f>
        <v/>
      </c>
      <c r="P235" s="8">
        <f>INDEX(Market_Weekly!$R$6:$T$48,MATCH($A235,Market_Weekly!$A$6:$A$48,0),MATCH("grade_factor_"&amp;$C235,Market_Weekly!$R$5:$T$5,0))</f>
        <v/>
      </c>
      <c r="Q235" s="8">
        <f>INDEX(Market_Weekly!$U$6:$U$48,MATCH($A235,Market_Weekly!$A$6:$A$48,0))</f>
        <v/>
      </c>
      <c r="R235" s="8">
        <f>IF($D235="JEA_NSA","20ft","40ft")</f>
        <v/>
      </c>
      <c r="S235" s="8">
        <f>IF($D235="JEA_NSA","nsa","mun")</f>
        <v/>
      </c>
      <c r="T235" s="8">
        <f>IF($D235="JEA_NSA","jea_nsa","usec_mun")</f>
        <v/>
      </c>
      <c r="U235" s="16">
        <f>INDEX(param_values,MATCH("container_payload_mt_"&amp;$R235,param_keys,0))</f>
        <v/>
      </c>
      <c r="V235" s="16">
        <f>INDEX(param_values,MATCH("container_payload_mt_"&amp;$R235&amp;"_"&amp;$C235,param_keys,0))</f>
        <v/>
      </c>
      <c r="W235" s="16">
        <f>INDEX(param_values,MATCH("container_payload_mt_20ft_"&amp;$C235,param_keys,0))</f>
        <v/>
      </c>
      <c r="X235" s="18">
        <f>INDEX(param_values,MATCH("port_cf_charges_inr_t_"&amp;$S235,param_keys,0))</f>
        <v/>
      </c>
      <c r="Y235" s="8">
        <f>INDEX(param_values,MATCH(IF($D235="JEA_NSA","psic_required_uae_origin","psic_required_safe_origin_designated_port"),param_keys,0))</f>
        <v/>
      </c>
      <c r="Z235" s="19">
        <f>INDEX(param_values,MATCH("finance_days_"&amp;$T235,param_keys,0))</f>
        <v/>
      </c>
      <c r="AA235" s="15">
        <f>INDEX(param_values,MATCH("moisture_frac_"&amp;$C235,param_keys,0))</f>
        <v/>
      </c>
      <c r="AB235" s="15">
        <f>INDEX(param_values,MATCH("contamination_frac_"&amp;$C235,param_keys,0))</f>
        <v/>
      </c>
      <c r="AC235" s="15">
        <f>INDEX(param_values,MATCH("metal_yield_frac_"&amp;$C235,param_keys,0))</f>
        <v/>
      </c>
      <c r="AD235" s="15">
        <f>INDEX(param_values,MATCH("heavies_frac_"&amp;$C235,param_keys,0))</f>
        <v/>
      </c>
      <c r="AE235" s="8">
        <f>INDEX(param_values,MATCH("grade_factor_diff_"&amp;$C235,param_keys,0))</f>
        <v/>
      </c>
      <c r="AF235" s="16">
        <f>$F235*$P235</f>
        <v/>
      </c>
      <c r="AG235" s="8">
        <f>$U235/$V235</f>
        <v/>
      </c>
      <c r="AH235" s="16">
        <f>$L235*$AG235</f>
        <v/>
      </c>
      <c r="AI235" s="16">
        <f>$AF235-$AH235</f>
        <v/>
      </c>
      <c r="AJ235" s="16">
        <f>insurance_rate*insured_value_uplift*$AF235</f>
        <v/>
      </c>
      <c r="AK235" s="16">
        <f>$AF235+$AJ235</f>
        <v/>
      </c>
      <c r="AL235" s="18">
        <f>$AK235*$J235</f>
        <v/>
      </c>
      <c r="AM235" s="18">
        <f>$AK235*$I235</f>
        <v/>
      </c>
      <c r="AN235" s="18">
        <f>$AL235*bcd_scrap_hs7602</f>
        <v/>
      </c>
      <c r="AO235" s="18">
        <f>$AN235*sws_rate_on_bcd</f>
        <v/>
      </c>
      <c r="AP235" s="18">
        <f>($AL235+$AN235+$AO235)*igst_rate_hs7602</f>
        <v/>
      </c>
      <c r="AQ235" s="18">
        <f>$X235*$AG235+IF($Y235,psic_cost_usd_per_box*$H235/$W235,0)</f>
        <v/>
      </c>
      <c r="AR235" s="18">
        <f>($AM235+$AN235+$AO235)*$Z235/day_count_inr*$O235</f>
        <v/>
      </c>
      <c r="AS235" s="18">
        <f>$AP235*igst_credit_lag_days/day_count_inr*$O235</f>
        <v/>
      </c>
      <c r="AT235" s="18">
        <f>$AM235+$AN235+$AO235+$AQ235+$AR235+$AS235+IF(igst_itc_available,0,$AP235)</f>
        <v/>
      </c>
      <c r="AU235" s="15">
        <f>(1-$AA235)*(1-$AB235)*$AC235</f>
        <v/>
      </c>
      <c r="AV235" s="18">
        <f>$N235*kg_per_mt+domestic_anchor_premium_inr_t</f>
        <v/>
      </c>
      <c r="AW235" s="18">
        <f>(1-$AA235)*$AD235*heavies_net_value_frac_of_lme_al*$F235*$H235</f>
        <v/>
      </c>
      <c r="AX235" s="18">
        <f>conversion_cost_inr_t*$AU235</f>
        <v/>
      </c>
      <c r="AY235" s="18">
        <f>$AV235*$AU235+$AW235-$AT235-$AX235</f>
        <v/>
      </c>
      <c r="AZ235" s="16">
        <f>$AY235/$H235</f>
        <v/>
      </c>
      <c r="BA235" s="8">
        <f>$AY235&gt;margin_threshold_inr_t</f>
        <v/>
      </c>
      <c r="BB235" s="8">
        <f>$Q235+$AE235</f>
        <v/>
      </c>
      <c r="BC235" s="18">
        <f>$AT235-$AQ235</f>
        <v/>
      </c>
      <c r="BD235" s="18">
        <f>$AY235-$BC235*($BB235/$P235-1)</f>
        <v/>
      </c>
      <c r="BE235" s="18">
        <f>$AY235-(conv_step_5a-conversion_cost_inr_t)*$AU235</f>
        <v/>
      </c>
      <c r="BF235" s="8">
        <f>$BA235</f>
        <v/>
      </c>
      <c r="BG235" s="8">
        <f>$BD235&gt;margin_threshold_inr_t</f>
        <v/>
      </c>
      <c r="BH235" s="8">
        <f>$BE235&gt;margin_threshold_inr_t</f>
        <v/>
      </c>
      <c r="BI235" s="8">
        <f>AND($BF235,$BG235,$BH235)</f>
        <v/>
      </c>
      <c r="BJ235" s="8">
        <f>IF($BI235,1,0)</f>
        <v/>
      </c>
    </row>
    <row r="236">
      <c r="A236" s="11" t="n">
        <v>44834</v>
      </c>
      <c r="B236" s="11" t="n">
        <v>44834</v>
      </c>
      <c r="C236" s="7" t="inlineStr">
        <is>
          <t>taint_tabor</t>
        </is>
      </c>
      <c r="D236" s="7" t="inlineStr">
        <is>
          <t>JEA_NSA</t>
        </is>
      </c>
      <c r="E236" s="17" t="b">
        <v>0</v>
      </c>
      <c r="F236" s="16">
        <f>INDEX(Market_Weekly!$E$6:$E$48,MATCH($A236,Market_Weekly!$A$6:$A$48,0))</f>
        <v/>
      </c>
      <c r="G236" s="16">
        <f>INDEX(Market_Weekly!$D$6:$D$48,MATCH($A236,Market_Weekly!$A$6:$A$48,0))</f>
        <v/>
      </c>
      <c r="H236" s="16">
        <f>INDEX(Market_Weekly!$G$6:$G$48,MATCH($A236,Market_Weekly!$A$6:$A$48,0))</f>
        <v/>
      </c>
      <c r="I236" s="8">
        <f>INDEX(Market_Weekly!$H$6:$H$48,MATCH($A236,Market_Weekly!$A$6:$A$48,0))</f>
        <v/>
      </c>
      <c r="J236" s="8">
        <f>INDEX(Market_Weekly!$Q$6:$Q$48,MATCH($A236,Market_Weekly!$A$6:$A$48,0))</f>
        <v/>
      </c>
      <c r="K236" s="8">
        <f>INDEX(Market_Weekly!$V$6:$V$48,MATCH($A236,Market_Weekly!$A$6:$A$48,0))</f>
        <v/>
      </c>
      <c r="L236" s="16">
        <f>IF($D236="JEA_NSA",INDEX(Market_Weekly!$N$6:$N$48,MATCH($A236,Market_Weekly!$A$6:$A$48,0)),INDEX(Market_Weekly!$O$6:$O$48,MATCH($A236,Market_Weekly!$A$6:$A$48,0)))</f>
        <v/>
      </c>
      <c r="M236" s="8">
        <f>IF($D236="JEA_NSA","M1","M2")</f>
        <v/>
      </c>
      <c r="N236" s="16">
        <f>IF($D236="JEA_NSA",INDEX(Market_Weekly!$L$6:$L$48,MATCH($A236,Market_Weekly!$A$6:$A$48,0)),INDEX(Market_Weekly!$M$6:$M$48,MATCH($A236,Market_Weekly!$A$6:$A$48,0)))</f>
        <v/>
      </c>
      <c r="O236" s="15">
        <f>INDEX(Market_Weekly!$P$6:$P$48,MATCH($A236,Market_Weekly!$A$6:$A$48,0))</f>
        <v/>
      </c>
      <c r="P236" s="8">
        <f>INDEX(Market_Weekly!$R$6:$T$48,MATCH($A236,Market_Weekly!$A$6:$A$48,0),MATCH("grade_factor_"&amp;$C236,Market_Weekly!$R$5:$T$5,0))</f>
        <v/>
      </c>
      <c r="Q236" s="8">
        <f>INDEX(Market_Weekly!$U$6:$U$48,MATCH($A236,Market_Weekly!$A$6:$A$48,0))</f>
        <v/>
      </c>
      <c r="R236" s="8">
        <f>IF($D236="JEA_NSA","20ft","40ft")</f>
        <v/>
      </c>
      <c r="S236" s="8">
        <f>IF($D236="JEA_NSA","nsa","mun")</f>
        <v/>
      </c>
      <c r="T236" s="8">
        <f>IF($D236="JEA_NSA","jea_nsa","usec_mun")</f>
        <v/>
      </c>
      <c r="U236" s="16">
        <f>INDEX(param_values,MATCH("container_payload_mt_"&amp;$R236,param_keys,0))</f>
        <v/>
      </c>
      <c r="V236" s="16">
        <f>INDEX(param_values,MATCH("container_payload_mt_"&amp;$R236&amp;"_"&amp;$C236,param_keys,0))</f>
        <v/>
      </c>
      <c r="W236" s="16">
        <f>INDEX(param_values,MATCH("container_payload_mt_20ft_"&amp;$C236,param_keys,0))</f>
        <v/>
      </c>
      <c r="X236" s="18">
        <f>INDEX(param_values,MATCH("port_cf_charges_inr_t_"&amp;$S236,param_keys,0))</f>
        <v/>
      </c>
      <c r="Y236" s="8">
        <f>INDEX(param_values,MATCH(IF($D236="JEA_NSA","psic_required_uae_origin","psic_required_safe_origin_designated_port"),param_keys,0))</f>
        <v/>
      </c>
      <c r="Z236" s="19">
        <f>INDEX(param_values,MATCH("finance_days_"&amp;$T236,param_keys,0))</f>
        <v/>
      </c>
      <c r="AA236" s="15">
        <f>INDEX(param_values,MATCH("moisture_frac_"&amp;$C236,param_keys,0))</f>
        <v/>
      </c>
      <c r="AB236" s="15">
        <f>INDEX(param_values,MATCH("contamination_frac_"&amp;$C236,param_keys,0))</f>
        <v/>
      </c>
      <c r="AC236" s="15">
        <f>INDEX(param_values,MATCH("metal_yield_frac_"&amp;$C236,param_keys,0))</f>
        <v/>
      </c>
      <c r="AD236" s="15">
        <f>INDEX(param_values,MATCH("heavies_frac_"&amp;$C236,param_keys,0))</f>
        <v/>
      </c>
      <c r="AE236" s="8">
        <f>INDEX(param_values,MATCH("grade_factor_diff_"&amp;$C236,param_keys,0))</f>
        <v/>
      </c>
      <c r="AF236" s="16">
        <f>$F236*$P236</f>
        <v/>
      </c>
      <c r="AG236" s="8">
        <f>$U236/$V236</f>
        <v/>
      </c>
      <c r="AH236" s="16">
        <f>$L236*$AG236</f>
        <v/>
      </c>
      <c r="AI236" s="16">
        <f>$AF236-$AH236</f>
        <v/>
      </c>
      <c r="AJ236" s="16">
        <f>insurance_rate*insured_value_uplift*$AF236</f>
        <v/>
      </c>
      <c r="AK236" s="16">
        <f>$AF236+$AJ236</f>
        <v/>
      </c>
      <c r="AL236" s="18">
        <f>$AK236*$J236</f>
        <v/>
      </c>
      <c r="AM236" s="18">
        <f>$AK236*$I236</f>
        <v/>
      </c>
      <c r="AN236" s="18">
        <f>$AL236*bcd_scrap_hs7602</f>
        <v/>
      </c>
      <c r="AO236" s="18">
        <f>$AN236*sws_rate_on_bcd</f>
        <v/>
      </c>
      <c r="AP236" s="18">
        <f>($AL236+$AN236+$AO236)*igst_rate_hs7602</f>
        <v/>
      </c>
      <c r="AQ236" s="18">
        <f>$X236*$AG236+IF($Y236,psic_cost_usd_per_box*$H236/$W236,0)</f>
        <v/>
      </c>
      <c r="AR236" s="18">
        <f>($AM236+$AN236+$AO236)*$Z236/day_count_inr*$O236</f>
        <v/>
      </c>
      <c r="AS236" s="18">
        <f>$AP236*igst_credit_lag_days/day_count_inr*$O236</f>
        <v/>
      </c>
      <c r="AT236" s="18">
        <f>$AM236+$AN236+$AO236+$AQ236+$AR236+$AS236+IF(igst_itc_available,0,$AP236)</f>
        <v/>
      </c>
      <c r="AU236" s="15">
        <f>(1-$AA236)*(1-$AB236)*$AC236</f>
        <v/>
      </c>
      <c r="AV236" s="18">
        <f>$N236*kg_per_mt+domestic_anchor_premium_inr_t</f>
        <v/>
      </c>
      <c r="AW236" s="18">
        <f>(1-$AA236)*$AD236*heavies_net_value_frac_of_lme_al*$F236*$H236</f>
        <v/>
      </c>
      <c r="AX236" s="18">
        <f>conversion_cost_inr_t*$AU236</f>
        <v/>
      </c>
      <c r="AY236" s="18">
        <f>$AV236*$AU236+$AW236-$AT236-$AX236</f>
        <v/>
      </c>
      <c r="AZ236" s="16">
        <f>$AY236/$H236</f>
        <v/>
      </c>
      <c r="BA236" s="8">
        <f>$AY236&gt;margin_threshold_inr_t</f>
        <v/>
      </c>
      <c r="BB236" s="8">
        <f>$Q236+$AE236</f>
        <v/>
      </c>
      <c r="BC236" s="18">
        <f>$AT236-$AQ236</f>
        <v/>
      </c>
      <c r="BD236" s="18">
        <f>$AY236-$BC236*($BB236/$P236-1)</f>
        <v/>
      </c>
      <c r="BE236" s="18">
        <f>$AY236-(conv_step_5a-conversion_cost_inr_t)*$AU236</f>
        <v/>
      </c>
      <c r="BF236" s="8">
        <f>$BA236</f>
        <v/>
      </c>
      <c r="BG236" s="8">
        <f>$BD236&gt;margin_threshold_inr_t</f>
        <v/>
      </c>
      <c r="BH236" s="8">
        <f>$BE236&gt;margin_threshold_inr_t</f>
        <v/>
      </c>
      <c r="BI236" s="8">
        <f>AND($BF236,$BG236,$BH236)</f>
        <v/>
      </c>
      <c r="BJ236" s="8">
        <f>IF($BI236,1,0)</f>
        <v/>
      </c>
    </row>
    <row r="237">
      <c r="A237" s="11" t="n">
        <v>44834</v>
      </c>
      <c r="B237" s="11" t="n">
        <v>44834</v>
      </c>
      <c r="C237" s="7" t="inlineStr">
        <is>
          <t>taint_tabor</t>
        </is>
      </c>
      <c r="D237" s="7" t="inlineStr">
        <is>
          <t>USEC_MUN</t>
        </is>
      </c>
      <c r="E237" s="17" t="b">
        <v>0</v>
      </c>
      <c r="F237" s="16">
        <f>INDEX(Market_Weekly!$E$6:$E$48,MATCH($A237,Market_Weekly!$A$6:$A$48,0))</f>
        <v/>
      </c>
      <c r="G237" s="16">
        <f>INDEX(Market_Weekly!$D$6:$D$48,MATCH($A237,Market_Weekly!$A$6:$A$48,0))</f>
        <v/>
      </c>
      <c r="H237" s="16">
        <f>INDEX(Market_Weekly!$G$6:$G$48,MATCH($A237,Market_Weekly!$A$6:$A$48,0))</f>
        <v/>
      </c>
      <c r="I237" s="8">
        <f>INDEX(Market_Weekly!$H$6:$H$48,MATCH($A237,Market_Weekly!$A$6:$A$48,0))</f>
        <v/>
      </c>
      <c r="J237" s="8">
        <f>INDEX(Market_Weekly!$Q$6:$Q$48,MATCH($A237,Market_Weekly!$A$6:$A$48,0))</f>
        <v/>
      </c>
      <c r="K237" s="8">
        <f>INDEX(Market_Weekly!$V$6:$V$48,MATCH($A237,Market_Weekly!$A$6:$A$48,0))</f>
        <v/>
      </c>
      <c r="L237" s="16">
        <f>IF($D237="JEA_NSA",INDEX(Market_Weekly!$N$6:$N$48,MATCH($A237,Market_Weekly!$A$6:$A$48,0)),INDEX(Market_Weekly!$O$6:$O$48,MATCH($A237,Market_Weekly!$A$6:$A$48,0)))</f>
        <v/>
      </c>
      <c r="M237" s="8">
        <f>IF($D237="JEA_NSA","M1","M2")</f>
        <v/>
      </c>
      <c r="N237" s="16">
        <f>IF($D237="JEA_NSA",INDEX(Market_Weekly!$L$6:$L$48,MATCH($A237,Market_Weekly!$A$6:$A$48,0)),INDEX(Market_Weekly!$M$6:$M$48,MATCH($A237,Market_Weekly!$A$6:$A$48,0)))</f>
        <v/>
      </c>
      <c r="O237" s="15">
        <f>INDEX(Market_Weekly!$P$6:$P$48,MATCH($A237,Market_Weekly!$A$6:$A$48,0))</f>
        <v/>
      </c>
      <c r="P237" s="8">
        <f>INDEX(Market_Weekly!$R$6:$T$48,MATCH($A237,Market_Weekly!$A$6:$A$48,0),MATCH("grade_factor_"&amp;$C237,Market_Weekly!$R$5:$T$5,0))</f>
        <v/>
      </c>
      <c r="Q237" s="8">
        <f>INDEX(Market_Weekly!$U$6:$U$48,MATCH($A237,Market_Weekly!$A$6:$A$48,0))</f>
        <v/>
      </c>
      <c r="R237" s="8">
        <f>IF($D237="JEA_NSA","20ft","40ft")</f>
        <v/>
      </c>
      <c r="S237" s="8">
        <f>IF($D237="JEA_NSA","nsa","mun")</f>
        <v/>
      </c>
      <c r="T237" s="8">
        <f>IF($D237="JEA_NSA","jea_nsa","usec_mun")</f>
        <v/>
      </c>
      <c r="U237" s="16">
        <f>INDEX(param_values,MATCH("container_payload_mt_"&amp;$R237,param_keys,0))</f>
        <v/>
      </c>
      <c r="V237" s="16">
        <f>INDEX(param_values,MATCH("container_payload_mt_"&amp;$R237&amp;"_"&amp;$C237,param_keys,0))</f>
        <v/>
      </c>
      <c r="W237" s="16">
        <f>INDEX(param_values,MATCH("container_payload_mt_20ft_"&amp;$C237,param_keys,0))</f>
        <v/>
      </c>
      <c r="X237" s="18">
        <f>INDEX(param_values,MATCH("port_cf_charges_inr_t_"&amp;$S237,param_keys,0))</f>
        <v/>
      </c>
      <c r="Y237" s="8">
        <f>INDEX(param_values,MATCH(IF($D237="JEA_NSA","psic_required_uae_origin","psic_required_safe_origin_designated_port"),param_keys,0))</f>
        <v/>
      </c>
      <c r="Z237" s="19">
        <f>INDEX(param_values,MATCH("finance_days_"&amp;$T237,param_keys,0))</f>
        <v/>
      </c>
      <c r="AA237" s="15">
        <f>INDEX(param_values,MATCH("moisture_frac_"&amp;$C237,param_keys,0))</f>
        <v/>
      </c>
      <c r="AB237" s="15">
        <f>INDEX(param_values,MATCH("contamination_frac_"&amp;$C237,param_keys,0))</f>
        <v/>
      </c>
      <c r="AC237" s="15">
        <f>INDEX(param_values,MATCH("metal_yield_frac_"&amp;$C237,param_keys,0))</f>
        <v/>
      </c>
      <c r="AD237" s="15">
        <f>INDEX(param_values,MATCH("heavies_frac_"&amp;$C237,param_keys,0))</f>
        <v/>
      </c>
      <c r="AE237" s="8">
        <f>INDEX(param_values,MATCH("grade_factor_diff_"&amp;$C237,param_keys,0))</f>
        <v/>
      </c>
      <c r="AF237" s="16">
        <f>$F237*$P237</f>
        <v/>
      </c>
      <c r="AG237" s="8">
        <f>$U237/$V237</f>
        <v/>
      </c>
      <c r="AH237" s="16">
        <f>$L237*$AG237</f>
        <v/>
      </c>
      <c r="AI237" s="16">
        <f>$AF237-$AH237</f>
        <v/>
      </c>
      <c r="AJ237" s="16">
        <f>insurance_rate*insured_value_uplift*$AF237</f>
        <v/>
      </c>
      <c r="AK237" s="16">
        <f>$AF237+$AJ237</f>
        <v/>
      </c>
      <c r="AL237" s="18">
        <f>$AK237*$J237</f>
        <v/>
      </c>
      <c r="AM237" s="18">
        <f>$AK237*$I237</f>
        <v/>
      </c>
      <c r="AN237" s="18">
        <f>$AL237*bcd_scrap_hs7602</f>
        <v/>
      </c>
      <c r="AO237" s="18">
        <f>$AN237*sws_rate_on_bcd</f>
        <v/>
      </c>
      <c r="AP237" s="18">
        <f>($AL237+$AN237+$AO237)*igst_rate_hs7602</f>
        <v/>
      </c>
      <c r="AQ237" s="18">
        <f>$X237*$AG237+IF($Y237,psic_cost_usd_per_box*$H237/$W237,0)</f>
        <v/>
      </c>
      <c r="AR237" s="18">
        <f>($AM237+$AN237+$AO237)*$Z237/day_count_inr*$O237</f>
        <v/>
      </c>
      <c r="AS237" s="18">
        <f>$AP237*igst_credit_lag_days/day_count_inr*$O237</f>
        <v/>
      </c>
      <c r="AT237" s="18">
        <f>$AM237+$AN237+$AO237+$AQ237+$AR237+$AS237+IF(igst_itc_available,0,$AP237)</f>
        <v/>
      </c>
      <c r="AU237" s="15">
        <f>(1-$AA237)*(1-$AB237)*$AC237</f>
        <v/>
      </c>
      <c r="AV237" s="18">
        <f>$N237*kg_per_mt+domestic_anchor_premium_inr_t</f>
        <v/>
      </c>
      <c r="AW237" s="18">
        <f>(1-$AA237)*$AD237*heavies_net_value_frac_of_lme_al*$F237*$H237</f>
        <v/>
      </c>
      <c r="AX237" s="18">
        <f>conversion_cost_inr_t*$AU237</f>
        <v/>
      </c>
      <c r="AY237" s="18">
        <f>$AV237*$AU237+$AW237-$AT237-$AX237</f>
        <v/>
      </c>
      <c r="AZ237" s="16">
        <f>$AY237/$H237</f>
        <v/>
      </c>
      <c r="BA237" s="8">
        <f>$AY237&gt;margin_threshold_inr_t</f>
        <v/>
      </c>
      <c r="BB237" s="8">
        <f>$Q237+$AE237</f>
        <v/>
      </c>
      <c r="BC237" s="18">
        <f>$AT237-$AQ237</f>
        <v/>
      </c>
      <c r="BD237" s="18">
        <f>$AY237-$BC237*($BB237/$P237-1)</f>
        <v/>
      </c>
      <c r="BE237" s="18">
        <f>$AY237-(conv_step_5a-conversion_cost_inr_t)*$AU237</f>
        <v/>
      </c>
      <c r="BF237" s="8">
        <f>$BA237</f>
        <v/>
      </c>
      <c r="BG237" s="8">
        <f>$BD237&gt;margin_threshold_inr_t</f>
        <v/>
      </c>
      <c r="BH237" s="8">
        <f>$BE237&gt;margin_threshold_inr_t</f>
        <v/>
      </c>
      <c r="BI237" s="8">
        <f>AND($BF237,$BG237,$BH237)</f>
        <v/>
      </c>
      <c r="BJ237" s="8">
        <f>IF($BI237,1,0)</f>
        <v/>
      </c>
    </row>
    <row r="238">
      <c r="A238" s="11" t="n">
        <v>44834</v>
      </c>
      <c r="B238" s="11" t="n">
        <v>44834</v>
      </c>
      <c r="C238" s="7" t="inlineStr">
        <is>
          <t>tense</t>
        </is>
      </c>
      <c r="D238" s="7" t="inlineStr">
        <is>
          <t>JEA_NSA</t>
        </is>
      </c>
      <c r="E238" s="17" t="b">
        <v>0</v>
      </c>
      <c r="F238" s="16">
        <f>INDEX(Market_Weekly!$E$6:$E$48,MATCH($A238,Market_Weekly!$A$6:$A$48,0))</f>
        <v/>
      </c>
      <c r="G238" s="16">
        <f>INDEX(Market_Weekly!$D$6:$D$48,MATCH($A238,Market_Weekly!$A$6:$A$48,0))</f>
        <v/>
      </c>
      <c r="H238" s="16">
        <f>INDEX(Market_Weekly!$G$6:$G$48,MATCH($A238,Market_Weekly!$A$6:$A$48,0))</f>
        <v/>
      </c>
      <c r="I238" s="8">
        <f>INDEX(Market_Weekly!$H$6:$H$48,MATCH($A238,Market_Weekly!$A$6:$A$48,0))</f>
        <v/>
      </c>
      <c r="J238" s="8">
        <f>INDEX(Market_Weekly!$Q$6:$Q$48,MATCH($A238,Market_Weekly!$A$6:$A$48,0))</f>
        <v/>
      </c>
      <c r="K238" s="8">
        <f>INDEX(Market_Weekly!$V$6:$V$48,MATCH($A238,Market_Weekly!$A$6:$A$48,0))</f>
        <v/>
      </c>
      <c r="L238" s="16">
        <f>IF($D238="JEA_NSA",INDEX(Market_Weekly!$N$6:$N$48,MATCH($A238,Market_Weekly!$A$6:$A$48,0)),INDEX(Market_Weekly!$O$6:$O$48,MATCH($A238,Market_Weekly!$A$6:$A$48,0)))</f>
        <v/>
      </c>
      <c r="M238" s="8">
        <f>IF($D238="JEA_NSA","M1","M2")</f>
        <v/>
      </c>
      <c r="N238" s="16">
        <f>IF($D238="JEA_NSA",INDEX(Market_Weekly!$L$6:$L$48,MATCH($A238,Market_Weekly!$A$6:$A$48,0)),INDEX(Market_Weekly!$M$6:$M$48,MATCH($A238,Market_Weekly!$A$6:$A$48,0)))</f>
        <v/>
      </c>
      <c r="O238" s="15">
        <f>INDEX(Market_Weekly!$P$6:$P$48,MATCH($A238,Market_Weekly!$A$6:$A$48,0))</f>
        <v/>
      </c>
      <c r="P238" s="8">
        <f>INDEX(Market_Weekly!$R$6:$T$48,MATCH($A238,Market_Weekly!$A$6:$A$48,0),MATCH("grade_factor_"&amp;$C238,Market_Weekly!$R$5:$T$5,0))</f>
        <v/>
      </c>
      <c r="Q238" s="8">
        <f>INDEX(Market_Weekly!$U$6:$U$48,MATCH($A238,Market_Weekly!$A$6:$A$48,0))</f>
        <v/>
      </c>
      <c r="R238" s="8">
        <f>IF($D238="JEA_NSA","20ft","40ft")</f>
        <v/>
      </c>
      <c r="S238" s="8">
        <f>IF($D238="JEA_NSA","nsa","mun")</f>
        <v/>
      </c>
      <c r="T238" s="8">
        <f>IF($D238="JEA_NSA","jea_nsa","usec_mun")</f>
        <v/>
      </c>
      <c r="U238" s="16">
        <f>INDEX(param_values,MATCH("container_payload_mt_"&amp;$R238,param_keys,0))</f>
        <v/>
      </c>
      <c r="V238" s="16">
        <f>INDEX(param_values,MATCH("container_payload_mt_"&amp;$R238&amp;"_"&amp;$C238,param_keys,0))</f>
        <v/>
      </c>
      <c r="W238" s="16">
        <f>INDEX(param_values,MATCH("container_payload_mt_20ft_"&amp;$C238,param_keys,0))</f>
        <v/>
      </c>
      <c r="X238" s="18">
        <f>INDEX(param_values,MATCH("port_cf_charges_inr_t_"&amp;$S238,param_keys,0))</f>
        <v/>
      </c>
      <c r="Y238" s="8">
        <f>INDEX(param_values,MATCH(IF($D238="JEA_NSA","psic_required_uae_origin","psic_required_safe_origin_designated_port"),param_keys,0))</f>
        <v/>
      </c>
      <c r="Z238" s="19">
        <f>INDEX(param_values,MATCH("finance_days_"&amp;$T238,param_keys,0))</f>
        <v/>
      </c>
      <c r="AA238" s="15">
        <f>INDEX(param_values,MATCH("moisture_frac_"&amp;$C238,param_keys,0))</f>
        <v/>
      </c>
      <c r="AB238" s="15">
        <f>INDEX(param_values,MATCH("contamination_frac_"&amp;$C238,param_keys,0))</f>
        <v/>
      </c>
      <c r="AC238" s="15">
        <f>INDEX(param_values,MATCH("metal_yield_frac_"&amp;$C238,param_keys,0))</f>
        <v/>
      </c>
      <c r="AD238" s="15">
        <f>INDEX(param_values,MATCH("heavies_frac_"&amp;$C238,param_keys,0))</f>
        <v/>
      </c>
      <c r="AE238" s="8">
        <f>INDEX(param_values,MATCH("grade_factor_diff_"&amp;$C238,param_keys,0))</f>
        <v/>
      </c>
      <c r="AF238" s="16">
        <f>$F238*$P238</f>
        <v/>
      </c>
      <c r="AG238" s="8">
        <f>$U238/$V238</f>
        <v/>
      </c>
      <c r="AH238" s="16">
        <f>$L238*$AG238</f>
        <v/>
      </c>
      <c r="AI238" s="16">
        <f>$AF238-$AH238</f>
        <v/>
      </c>
      <c r="AJ238" s="16">
        <f>insurance_rate*insured_value_uplift*$AF238</f>
        <v/>
      </c>
      <c r="AK238" s="16">
        <f>$AF238+$AJ238</f>
        <v/>
      </c>
      <c r="AL238" s="18">
        <f>$AK238*$J238</f>
        <v/>
      </c>
      <c r="AM238" s="18">
        <f>$AK238*$I238</f>
        <v/>
      </c>
      <c r="AN238" s="18">
        <f>$AL238*bcd_scrap_hs7602</f>
        <v/>
      </c>
      <c r="AO238" s="18">
        <f>$AN238*sws_rate_on_bcd</f>
        <v/>
      </c>
      <c r="AP238" s="18">
        <f>($AL238+$AN238+$AO238)*igst_rate_hs7602</f>
        <v/>
      </c>
      <c r="AQ238" s="18">
        <f>$X238*$AG238+IF($Y238,psic_cost_usd_per_box*$H238/$W238,0)</f>
        <v/>
      </c>
      <c r="AR238" s="18">
        <f>($AM238+$AN238+$AO238)*$Z238/day_count_inr*$O238</f>
        <v/>
      </c>
      <c r="AS238" s="18">
        <f>$AP238*igst_credit_lag_days/day_count_inr*$O238</f>
        <v/>
      </c>
      <c r="AT238" s="18">
        <f>$AM238+$AN238+$AO238+$AQ238+$AR238+$AS238+IF(igst_itc_available,0,$AP238)</f>
        <v/>
      </c>
      <c r="AU238" s="15">
        <f>(1-$AA238)*(1-$AB238)*$AC238</f>
        <v/>
      </c>
      <c r="AV238" s="18">
        <f>$N238*kg_per_mt+domestic_anchor_premium_inr_t</f>
        <v/>
      </c>
      <c r="AW238" s="18">
        <f>(1-$AA238)*$AD238*heavies_net_value_frac_of_lme_al*$F238*$H238</f>
        <v/>
      </c>
      <c r="AX238" s="18">
        <f>conversion_cost_inr_t*$AU238</f>
        <v/>
      </c>
      <c r="AY238" s="18">
        <f>$AV238*$AU238+$AW238-$AT238-$AX238</f>
        <v/>
      </c>
      <c r="AZ238" s="16">
        <f>$AY238/$H238</f>
        <v/>
      </c>
      <c r="BA238" s="8">
        <f>$AY238&gt;margin_threshold_inr_t</f>
        <v/>
      </c>
      <c r="BB238" s="8">
        <f>$Q238+$AE238</f>
        <v/>
      </c>
      <c r="BC238" s="18">
        <f>$AT238-$AQ238</f>
        <v/>
      </c>
      <c r="BD238" s="18">
        <f>$AY238-$BC238*($BB238/$P238-1)</f>
        <v/>
      </c>
      <c r="BE238" s="18">
        <f>$AY238-(conv_step_5a-conversion_cost_inr_t)*$AU238</f>
        <v/>
      </c>
      <c r="BF238" s="8">
        <f>$BA238</f>
        <v/>
      </c>
      <c r="BG238" s="8">
        <f>$BD238&gt;margin_threshold_inr_t</f>
        <v/>
      </c>
      <c r="BH238" s="8">
        <f>$BE238&gt;margin_threshold_inr_t</f>
        <v/>
      </c>
      <c r="BI238" s="8">
        <f>AND($BF238,$BG238,$BH238)</f>
        <v/>
      </c>
      <c r="BJ238" s="8">
        <f>IF($BI238,1,0)</f>
        <v/>
      </c>
    </row>
    <row r="239">
      <c r="A239" s="11" t="n">
        <v>44834</v>
      </c>
      <c r="B239" s="11" t="n">
        <v>44834</v>
      </c>
      <c r="C239" s="7" t="inlineStr">
        <is>
          <t>tense</t>
        </is>
      </c>
      <c r="D239" s="7" t="inlineStr">
        <is>
          <t>USEC_MUN</t>
        </is>
      </c>
      <c r="E239" s="17" t="b">
        <v>0</v>
      </c>
      <c r="F239" s="16">
        <f>INDEX(Market_Weekly!$E$6:$E$48,MATCH($A239,Market_Weekly!$A$6:$A$48,0))</f>
        <v/>
      </c>
      <c r="G239" s="16">
        <f>INDEX(Market_Weekly!$D$6:$D$48,MATCH($A239,Market_Weekly!$A$6:$A$48,0))</f>
        <v/>
      </c>
      <c r="H239" s="16">
        <f>INDEX(Market_Weekly!$G$6:$G$48,MATCH($A239,Market_Weekly!$A$6:$A$48,0))</f>
        <v/>
      </c>
      <c r="I239" s="8">
        <f>INDEX(Market_Weekly!$H$6:$H$48,MATCH($A239,Market_Weekly!$A$6:$A$48,0))</f>
        <v/>
      </c>
      <c r="J239" s="8">
        <f>INDEX(Market_Weekly!$Q$6:$Q$48,MATCH($A239,Market_Weekly!$A$6:$A$48,0))</f>
        <v/>
      </c>
      <c r="K239" s="8">
        <f>INDEX(Market_Weekly!$V$6:$V$48,MATCH($A239,Market_Weekly!$A$6:$A$48,0))</f>
        <v/>
      </c>
      <c r="L239" s="16">
        <f>IF($D239="JEA_NSA",INDEX(Market_Weekly!$N$6:$N$48,MATCH($A239,Market_Weekly!$A$6:$A$48,0)),INDEX(Market_Weekly!$O$6:$O$48,MATCH($A239,Market_Weekly!$A$6:$A$48,0)))</f>
        <v/>
      </c>
      <c r="M239" s="8">
        <f>IF($D239="JEA_NSA","M1","M2")</f>
        <v/>
      </c>
      <c r="N239" s="16">
        <f>IF($D239="JEA_NSA",INDEX(Market_Weekly!$L$6:$L$48,MATCH($A239,Market_Weekly!$A$6:$A$48,0)),INDEX(Market_Weekly!$M$6:$M$48,MATCH($A239,Market_Weekly!$A$6:$A$48,0)))</f>
        <v/>
      </c>
      <c r="O239" s="15">
        <f>INDEX(Market_Weekly!$P$6:$P$48,MATCH($A239,Market_Weekly!$A$6:$A$48,0))</f>
        <v/>
      </c>
      <c r="P239" s="8">
        <f>INDEX(Market_Weekly!$R$6:$T$48,MATCH($A239,Market_Weekly!$A$6:$A$48,0),MATCH("grade_factor_"&amp;$C239,Market_Weekly!$R$5:$T$5,0))</f>
        <v/>
      </c>
      <c r="Q239" s="8">
        <f>INDEX(Market_Weekly!$U$6:$U$48,MATCH($A239,Market_Weekly!$A$6:$A$48,0))</f>
        <v/>
      </c>
      <c r="R239" s="8">
        <f>IF($D239="JEA_NSA","20ft","40ft")</f>
        <v/>
      </c>
      <c r="S239" s="8">
        <f>IF($D239="JEA_NSA","nsa","mun")</f>
        <v/>
      </c>
      <c r="T239" s="8">
        <f>IF($D239="JEA_NSA","jea_nsa","usec_mun")</f>
        <v/>
      </c>
      <c r="U239" s="16">
        <f>INDEX(param_values,MATCH("container_payload_mt_"&amp;$R239,param_keys,0))</f>
        <v/>
      </c>
      <c r="V239" s="16">
        <f>INDEX(param_values,MATCH("container_payload_mt_"&amp;$R239&amp;"_"&amp;$C239,param_keys,0))</f>
        <v/>
      </c>
      <c r="W239" s="16">
        <f>INDEX(param_values,MATCH("container_payload_mt_20ft_"&amp;$C239,param_keys,0))</f>
        <v/>
      </c>
      <c r="X239" s="18">
        <f>INDEX(param_values,MATCH("port_cf_charges_inr_t_"&amp;$S239,param_keys,0))</f>
        <v/>
      </c>
      <c r="Y239" s="8">
        <f>INDEX(param_values,MATCH(IF($D239="JEA_NSA","psic_required_uae_origin","psic_required_safe_origin_designated_port"),param_keys,0))</f>
        <v/>
      </c>
      <c r="Z239" s="19">
        <f>INDEX(param_values,MATCH("finance_days_"&amp;$T239,param_keys,0))</f>
        <v/>
      </c>
      <c r="AA239" s="15">
        <f>INDEX(param_values,MATCH("moisture_frac_"&amp;$C239,param_keys,0))</f>
        <v/>
      </c>
      <c r="AB239" s="15">
        <f>INDEX(param_values,MATCH("contamination_frac_"&amp;$C239,param_keys,0))</f>
        <v/>
      </c>
      <c r="AC239" s="15">
        <f>INDEX(param_values,MATCH("metal_yield_frac_"&amp;$C239,param_keys,0))</f>
        <v/>
      </c>
      <c r="AD239" s="15">
        <f>INDEX(param_values,MATCH("heavies_frac_"&amp;$C239,param_keys,0))</f>
        <v/>
      </c>
      <c r="AE239" s="8">
        <f>INDEX(param_values,MATCH("grade_factor_diff_"&amp;$C239,param_keys,0))</f>
        <v/>
      </c>
      <c r="AF239" s="16">
        <f>$F239*$P239</f>
        <v/>
      </c>
      <c r="AG239" s="8">
        <f>$U239/$V239</f>
        <v/>
      </c>
      <c r="AH239" s="16">
        <f>$L239*$AG239</f>
        <v/>
      </c>
      <c r="AI239" s="16">
        <f>$AF239-$AH239</f>
        <v/>
      </c>
      <c r="AJ239" s="16">
        <f>insurance_rate*insured_value_uplift*$AF239</f>
        <v/>
      </c>
      <c r="AK239" s="16">
        <f>$AF239+$AJ239</f>
        <v/>
      </c>
      <c r="AL239" s="18">
        <f>$AK239*$J239</f>
        <v/>
      </c>
      <c r="AM239" s="18">
        <f>$AK239*$I239</f>
        <v/>
      </c>
      <c r="AN239" s="18">
        <f>$AL239*bcd_scrap_hs7602</f>
        <v/>
      </c>
      <c r="AO239" s="18">
        <f>$AN239*sws_rate_on_bcd</f>
        <v/>
      </c>
      <c r="AP239" s="18">
        <f>($AL239+$AN239+$AO239)*igst_rate_hs7602</f>
        <v/>
      </c>
      <c r="AQ239" s="18">
        <f>$X239*$AG239+IF($Y239,psic_cost_usd_per_box*$H239/$W239,0)</f>
        <v/>
      </c>
      <c r="AR239" s="18">
        <f>($AM239+$AN239+$AO239)*$Z239/day_count_inr*$O239</f>
        <v/>
      </c>
      <c r="AS239" s="18">
        <f>$AP239*igst_credit_lag_days/day_count_inr*$O239</f>
        <v/>
      </c>
      <c r="AT239" s="18">
        <f>$AM239+$AN239+$AO239+$AQ239+$AR239+$AS239+IF(igst_itc_available,0,$AP239)</f>
        <v/>
      </c>
      <c r="AU239" s="15">
        <f>(1-$AA239)*(1-$AB239)*$AC239</f>
        <v/>
      </c>
      <c r="AV239" s="18">
        <f>$N239*kg_per_mt+domestic_anchor_premium_inr_t</f>
        <v/>
      </c>
      <c r="AW239" s="18">
        <f>(1-$AA239)*$AD239*heavies_net_value_frac_of_lme_al*$F239*$H239</f>
        <v/>
      </c>
      <c r="AX239" s="18">
        <f>conversion_cost_inr_t*$AU239</f>
        <v/>
      </c>
      <c r="AY239" s="18">
        <f>$AV239*$AU239+$AW239-$AT239-$AX239</f>
        <v/>
      </c>
      <c r="AZ239" s="16">
        <f>$AY239/$H239</f>
        <v/>
      </c>
      <c r="BA239" s="8">
        <f>$AY239&gt;margin_threshold_inr_t</f>
        <v/>
      </c>
      <c r="BB239" s="8">
        <f>$Q239+$AE239</f>
        <v/>
      </c>
      <c r="BC239" s="18">
        <f>$AT239-$AQ239</f>
        <v/>
      </c>
      <c r="BD239" s="18">
        <f>$AY239-$BC239*($BB239/$P239-1)</f>
        <v/>
      </c>
      <c r="BE239" s="18">
        <f>$AY239-(conv_step_5a-conversion_cost_inr_t)*$AU239</f>
        <v/>
      </c>
      <c r="BF239" s="8">
        <f>$BA239</f>
        <v/>
      </c>
      <c r="BG239" s="8">
        <f>$BD239&gt;margin_threshold_inr_t</f>
        <v/>
      </c>
      <c r="BH239" s="8">
        <f>$BE239&gt;margin_threshold_inr_t</f>
        <v/>
      </c>
      <c r="BI239" s="8">
        <f>AND($BF239,$BG239,$BH239)</f>
        <v/>
      </c>
      <c r="BJ239" s="8">
        <f>IF($BI239,1,0)</f>
        <v/>
      </c>
    </row>
    <row r="240">
      <c r="A240" s="11" t="n">
        <v>44841</v>
      </c>
      <c r="B240" s="11" t="n">
        <v>44841</v>
      </c>
      <c r="C240" s="7" t="inlineStr">
        <is>
          <t>zorba</t>
        </is>
      </c>
      <c r="D240" s="7" t="inlineStr">
        <is>
          <t>JEA_NSA</t>
        </is>
      </c>
      <c r="E240" s="17" t="b">
        <v>0</v>
      </c>
      <c r="F240" s="16">
        <f>INDEX(Market_Weekly!$E$6:$E$48,MATCH($A240,Market_Weekly!$A$6:$A$48,0))</f>
        <v/>
      </c>
      <c r="G240" s="16">
        <f>INDEX(Market_Weekly!$D$6:$D$48,MATCH($A240,Market_Weekly!$A$6:$A$48,0))</f>
        <v/>
      </c>
      <c r="H240" s="16">
        <f>INDEX(Market_Weekly!$G$6:$G$48,MATCH($A240,Market_Weekly!$A$6:$A$48,0))</f>
        <v/>
      </c>
      <c r="I240" s="8">
        <f>INDEX(Market_Weekly!$H$6:$H$48,MATCH($A240,Market_Weekly!$A$6:$A$48,0))</f>
        <v/>
      </c>
      <c r="J240" s="8">
        <f>INDEX(Market_Weekly!$Q$6:$Q$48,MATCH($A240,Market_Weekly!$A$6:$A$48,0))</f>
        <v/>
      </c>
      <c r="K240" s="8">
        <f>INDEX(Market_Weekly!$V$6:$V$48,MATCH($A240,Market_Weekly!$A$6:$A$48,0))</f>
        <v/>
      </c>
      <c r="L240" s="16">
        <f>IF($D240="JEA_NSA",INDEX(Market_Weekly!$N$6:$N$48,MATCH($A240,Market_Weekly!$A$6:$A$48,0)),INDEX(Market_Weekly!$O$6:$O$48,MATCH($A240,Market_Weekly!$A$6:$A$48,0)))</f>
        <v/>
      </c>
      <c r="M240" s="8">
        <f>IF($D240="JEA_NSA","M1","M2")</f>
        <v/>
      </c>
      <c r="N240" s="16">
        <f>IF($D240="JEA_NSA",INDEX(Market_Weekly!$L$6:$L$48,MATCH($A240,Market_Weekly!$A$6:$A$48,0)),INDEX(Market_Weekly!$M$6:$M$48,MATCH($A240,Market_Weekly!$A$6:$A$48,0)))</f>
        <v/>
      </c>
      <c r="O240" s="15">
        <f>INDEX(Market_Weekly!$P$6:$P$48,MATCH($A240,Market_Weekly!$A$6:$A$48,0))</f>
        <v/>
      </c>
      <c r="P240" s="8">
        <f>INDEX(Market_Weekly!$R$6:$T$48,MATCH($A240,Market_Weekly!$A$6:$A$48,0),MATCH("grade_factor_"&amp;$C240,Market_Weekly!$R$5:$T$5,0))</f>
        <v/>
      </c>
      <c r="Q240" s="8">
        <f>INDEX(Market_Weekly!$U$6:$U$48,MATCH($A240,Market_Weekly!$A$6:$A$48,0))</f>
        <v/>
      </c>
      <c r="R240" s="8">
        <f>IF($D240="JEA_NSA","20ft","40ft")</f>
        <v/>
      </c>
      <c r="S240" s="8">
        <f>IF($D240="JEA_NSA","nsa","mun")</f>
        <v/>
      </c>
      <c r="T240" s="8">
        <f>IF($D240="JEA_NSA","jea_nsa","usec_mun")</f>
        <v/>
      </c>
      <c r="U240" s="16">
        <f>INDEX(param_values,MATCH("container_payload_mt_"&amp;$R240,param_keys,0))</f>
        <v/>
      </c>
      <c r="V240" s="16">
        <f>INDEX(param_values,MATCH("container_payload_mt_"&amp;$R240&amp;"_"&amp;$C240,param_keys,0))</f>
        <v/>
      </c>
      <c r="W240" s="16">
        <f>INDEX(param_values,MATCH("container_payload_mt_20ft_"&amp;$C240,param_keys,0))</f>
        <v/>
      </c>
      <c r="X240" s="18">
        <f>INDEX(param_values,MATCH("port_cf_charges_inr_t_"&amp;$S240,param_keys,0))</f>
        <v/>
      </c>
      <c r="Y240" s="8">
        <f>INDEX(param_values,MATCH(IF($D240="JEA_NSA","psic_required_uae_origin","psic_required_safe_origin_designated_port"),param_keys,0))</f>
        <v/>
      </c>
      <c r="Z240" s="19">
        <f>INDEX(param_values,MATCH("finance_days_"&amp;$T240,param_keys,0))</f>
        <v/>
      </c>
      <c r="AA240" s="15">
        <f>INDEX(param_values,MATCH("moisture_frac_"&amp;$C240,param_keys,0))</f>
        <v/>
      </c>
      <c r="AB240" s="15">
        <f>INDEX(param_values,MATCH("contamination_frac_"&amp;$C240,param_keys,0))</f>
        <v/>
      </c>
      <c r="AC240" s="15">
        <f>INDEX(param_values,MATCH("metal_yield_frac_"&amp;$C240,param_keys,0))</f>
        <v/>
      </c>
      <c r="AD240" s="15">
        <f>INDEX(param_values,MATCH("heavies_frac_"&amp;$C240,param_keys,0))</f>
        <v/>
      </c>
      <c r="AE240" s="8">
        <f>INDEX(param_values,MATCH("grade_factor_diff_"&amp;$C240,param_keys,0))</f>
        <v/>
      </c>
      <c r="AF240" s="16">
        <f>$F240*$P240</f>
        <v/>
      </c>
      <c r="AG240" s="8">
        <f>$U240/$V240</f>
        <v/>
      </c>
      <c r="AH240" s="16">
        <f>$L240*$AG240</f>
        <v/>
      </c>
      <c r="AI240" s="16">
        <f>$AF240-$AH240</f>
        <v/>
      </c>
      <c r="AJ240" s="16">
        <f>insurance_rate*insured_value_uplift*$AF240</f>
        <v/>
      </c>
      <c r="AK240" s="16">
        <f>$AF240+$AJ240</f>
        <v/>
      </c>
      <c r="AL240" s="18">
        <f>$AK240*$J240</f>
        <v/>
      </c>
      <c r="AM240" s="18">
        <f>$AK240*$I240</f>
        <v/>
      </c>
      <c r="AN240" s="18">
        <f>$AL240*bcd_scrap_hs7602</f>
        <v/>
      </c>
      <c r="AO240" s="18">
        <f>$AN240*sws_rate_on_bcd</f>
        <v/>
      </c>
      <c r="AP240" s="18">
        <f>($AL240+$AN240+$AO240)*igst_rate_hs7602</f>
        <v/>
      </c>
      <c r="AQ240" s="18">
        <f>$X240*$AG240+IF($Y240,psic_cost_usd_per_box*$H240/$W240,0)</f>
        <v/>
      </c>
      <c r="AR240" s="18">
        <f>($AM240+$AN240+$AO240)*$Z240/day_count_inr*$O240</f>
        <v/>
      </c>
      <c r="AS240" s="18">
        <f>$AP240*igst_credit_lag_days/day_count_inr*$O240</f>
        <v/>
      </c>
      <c r="AT240" s="18">
        <f>$AM240+$AN240+$AO240+$AQ240+$AR240+$AS240+IF(igst_itc_available,0,$AP240)</f>
        <v/>
      </c>
      <c r="AU240" s="15">
        <f>(1-$AA240)*(1-$AB240)*$AC240</f>
        <v/>
      </c>
      <c r="AV240" s="18">
        <f>$N240*kg_per_mt+domestic_anchor_premium_inr_t</f>
        <v/>
      </c>
      <c r="AW240" s="18">
        <f>(1-$AA240)*$AD240*heavies_net_value_frac_of_lme_al*$F240*$H240</f>
        <v/>
      </c>
      <c r="AX240" s="18">
        <f>conversion_cost_inr_t*$AU240</f>
        <v/>
      </c>
      <c r="AY240" s="18">
        <f>$AV240*$AU240+$AW240-$AT240-$AX240</f>
        <v/>
      </c>
      <c r="AZ240" s="16">
        <f>$AY240/$H240</f>
        <v/>
      </c>
      <c r="BA240" s="8">
        <f>$AY240&gt;margin_threshold_inr_t</f>
        <v/>
      </c>
      <c r="BB240" s="8">
        <f>$Q240+$AE240</f>
        <v/>
      </c>
      <c r="BC240" s="18">
        <f>$AT240-$AQ240</f>
        <v/>
      </c>
      <c r="BD240" s="18">
        <f>$AY240-$BC240*($BB240/$P240-1)</f>
        <v/>
      </c>
      <c r="BE240" s="18">
        <f>$AY240-(conv_step_5a-conversion_cost_inr_t)*$AU240</f>
        <v/>
      </c>
      <c r="BF240" s="8">
        <f>$BA240</f>
        <v/>
      </c>
      <c r="BG240" s="8">
        <f>$BD240&gt;margin_threshold_inr_t</f>
        <v/>
      </c>
      <c r="BH240" s="8">
        <f>$BE240&gt;margin_threshold_inr_t</f>
        <v/>
      </c>
      <c r="BI240" s="8">
        <f>AND($BF240,$BG240,$BH240)</f>
        <v/>
      </c>
      <c r="BJ240" s="8">
        <f>IF($BI240,1,0)</f>
        <v/>
      </c>
    </row>
    <row r="241">
      <c r="A241" s="11" t="n">
        <v>44841</v>
      </c>
      <c r="B241" s="11" t="n">
        <v>44841</v>
      </c>
      <c r="C241" s="7" t="inlineStr">
        <is>
          <t>zorba</t>
        </is>
      </c>
      <c r="D241" s="7" t="inlineStr">
        <is>
          <t>USEC_MUN</t>
        </is>
      </c>
      <c r="E241" s="17" t="b">
        <v>0</v>
      </c>
      <c r="F241" s="16">
        <f>INDEX(Market_Weekly!$E$6:$E$48,MATCH($A241,Market_Weekly!$A$6:$A$48,0))</f>
        <v/>
      </c>
      <c r="G241" s="16">
        <f>INDEX(Market_Weekly!$D$6:$D$48,MATCH($A241,Market_Weekly!$A$6:$A$48,0))</f>
        <v/>
      </c>
      <c r="H241" s="16">
        <f>INDEX(Market_Weekly!$G$6:$G$48,MATCH($A241,Market_Weekly!$A$6:$A$48,0))</f>
        <v/>
      </c>
      <c r="I241" s="8">
        <f>INDEX(Market_Weekly!$H$6:$H$48,MATCH($A241,Market_Weekly!$A$6:$A$48,0))</f>
        <v/>
      </c>
      <c r="J241" s="8">
        <f>INDEX(Market_Weekly!$Q$6:$Q$48,MATCH($A241,Market_Weekly!$A$6:$A$48,0))</f>
        <v/>
      </c>
      <c r="K241" s="8">
        <f>INDEX(Market_Weekly!$V$6:$V$48,MATCH($A241,Market_Weekly!$A$6:$A$48,0))</f>
        <v/>
      </c>
      <c r="L241" s="16">
        <f>IF($D241="JEA_NSA",INDEX(Market_Weekly!$N$6:$N$48,MATCH($A241,Market_Weekly!$A$6:$A$48,0)),INDEX(Market_Weekly!$O$6:$O$48,MATCH($A241,Market_Weekly!$A$6:$A$48,0)))</f>
        <v/>
      </c>
      <c r="M241" s="8">
        <f>IF($D241="JEA_NSA","M1","M2")</f>
        <v/>
      </c>
      <c r="N241" s="16">
        <f>IF($D241="JEA_NSA",INDEX(Market_Weekly!$L$6:$L$48,MATCH($A241,Market_Weekly!$A$6:$A$48,0)),INDEX(Market_Weekly!$M$6:$M$48,MATCH($A241,Market_Weekly!$A$6:$A$48,0)))</f>
        <v/>
      </c>
      <c r="O241" s="15">
        <f>INDEX(Market_Weekly!$P$6:$P$48,MATCH($A241,Market_Weekly!$A$6:$A$48,0))</f>
        <v/>
      </c>
      <c r="P241" s="8">
        <f>INDEX(Market_Weekly!$R$6:$T$48,MATCH($A241,Market_Weekly!$A$6:$A$48,0),MATCH("grade_factor_"&amp;$C241,Market_Weekly!$R$5:$T$5,0))</f>
        <v/>
      </c>
      <c r="Q241" s="8">
        <f>INDEX(Market_Weekly!$U$6:$U$48,MATCH($A241,Market_Weekly!$A$6:$A$48,0))</f>
        <v/>
      </c>
      <c r="R241" s="8">
        <f>IF($D241="JEA_NSA","20ft","40ft")</f>
        <v/>
      </c>
      <c r="S241" s="8">
        <f>IF($D241="JEA_NSA","nsa","mun")</f>
        <v/>
      </c>
      <c r="T241" s="8">
        <f>IF($D241="JEA_NSA","jea_nsa","usec_mun")</f>
        <v/>
      </c>
      <c r="U241" s="16">
        <f>INDEX(param_values,MATCH("container_payload_mt_"&amp;$R241,param_keys,0))</f>
        <v/>
      </c>
      <c r="V241" s="16">
        <f>INDEX(param_values,MATCH("container_payload_mt_"&amp;$R241&amp;"_"&amp;$C241,param_keys,0))</f>
        <v/>
      </c>
      <c r="W241" s="16">
        <f>INDEX(param_values,MATCH("container_payload_mt_20ft_"&amp;$C241,param_keys,0))</f>
        <v/>
      </c>
      <c r="X241" s="18">
        <f>INDEX(param_values,MATCH("port_cf_charges_inr_t_"&amp;$S241,param_keys,0))</f>
        <v/>
      </c>
      <c r="Y241" s="8">
        <f>INDEX(param_values,MATCH(IF($D241="JEA_NSA","psic_required_uae_origin","psic_required_safe_origin_designated_port"),param_keys,0))</f>
        <v/>
      </c>
      <c r="Z241" s="19">
        <f>INDEX(param_values,MATCH("finance_days_"&amp;$T241,param_keys,0))</f>
        <v/>
      </c>
      <c r="AA241" s="15">
        <f>INDEX(param_values,MATCH("moisture_frac_"&amp;$C241,param_keys,0))</f>
        <v/>
      </c>
      <c r="AB241" s="15">
        <f>INDEX(param_values,MATCH("contamination_frac_"&amp;$C241,param_keys,0))</f>
        <v/>
      </c>
      <c r="AC241" s="15">
        <f>INDEX(param_values,MATCH("metal_yield_frac_"&amp;$C241,param_keys,0))</f>
        <v/>
      </c>
      <c r="AD241" s="15">
        <f>INDEX(param_values,MATCH("heavies_frac_"&amp;$C241,param_keys,0))</f>
        <v/>
      </c>
      <c r="AE241" s="8">
        <f>INDEX(param_values,MATCH("grade_factor_diff_"&amp;$C241,param_keys,0))</f>
        <v/>
      </c>
      <c r="AF241" s="16">
        <f>$F241*$P241</f>
        <v/>
      </c>
      <c r="AG241" s="8">
        <f>$U241/$V241</f>
        <v/>
      </c>
      <c r="AH241" s="16">
        <f>$L241*$AG241</f>
        <v/>
      </c>
      <c r="AI241" s="16">
        <f>$AF241-$AH241</f>
        <v/>
      </c>
      <c r="AJ241" s="16">
        <f>insurance_rate*insured_value_uplift*$AF241</f>
        <v/>
      </c>
      <c r="AK241" s="16">
        <f>$AF241+$AJ241</f>
        <v/>
      </c>
      <c r="AL241" s="18">
        <f>$AK241*$J241</f>
        <v/>
      </c>
      <c r="AM241" s="18">
        <f>$AK241*$I241</f>
        <v/>
      </c>
      <c r="AN241" s="18">
        <f>$AL241*bcd_scrap_hs7602</f>
        <v/>
      </c>
      <c r="AO241" s="18">
        <f>$AN241*sws_rate_on_bcd</f>
        <v/>
      </c>
      <c r="AP241" s="18">
        <f>($AL241+$AN241+$AO241)*igst_rate_hs7602</f>
        <v/>
      </c>
      <c r="AQ241" s="18">
        <f>$X241*$AG241+IF($Y241,psic_cost_usd_per_box*$H241/$W241,0)</f>
        <v/>
      </c>
      <c r="AR241" s="18">
        <f>($AM241+$AN241+$AO241)*$Z241/day_count_inr*$O241</f>
        <v/>
      </c>
      <c r="AS241" s="18">
        <f>$AP241*igst_credit_lag_days/day_count_inr*$O241</f>
        <v/>
      </c>
      <c r="AT241" s="18">
        <f>$AM241+$AN241+$AO241+$AQ241+$AR241+$AS241+IF(igst_itc_available,0,$AP241)</f>
        <v/>
      </c>
      <c r="AU241" s="15">
        <f>(1-$AA241)*(1-$AB241)*$AC241</f>
        <v/>
      </c>
      <c r="AV241" s="18">
        <f>$N241*kg_per_mt+domestic_anchor_premium_inr_t</f>
        <v/>
      </c>
      <c r="AW241" s="18">
        <f>(1-$AA241)*$AD241*heavies_net_value_frac_of_lme_al*$F241*$H241</f>
        <v/>
      </c>
      <c r="AX241" s="18">
        <f>conversion_cost_inr_t*$AU241</f>
        <v/>
      </c>
      <c r="AY241" s="18">
        <f>$AV241*$AU241+$AW241-$AT241-$AX241</f>
        <v/>
      </c>
      <c r="AZ241" s="16">
        <f>$AY241/$H241</f>
        <v/>
      </c>
      <c r="BA241" s="8">
        <f>$AY241&gt;margin_threshold_inr_t</f>
        <v/>
      </c>
      <c r="BB241" s="8">
        <f>$Q241+$AE241</f>
        <v/>
      </c>
      <c r="BC241" s="18">
        <f>$AT241-$AQ241</f>
        <v/>
      </c>
      <c r="BD241" s="18">
        <f>$AY241-$BC241*($BB241/$P241-1)</f>
        <v/>
      </c>
      <c r="BE241" s="18">
        <f>$AY241-(conv_step_5a-conversion_cost_inr_t)*$AU241</f>
        <v/>
      </c>
      <c r="BF241" s="8">
        <f>$BA241</f>
        <v/>
      </c>
      <c r="BG241" s="8">
        <f>$BD241&gt;margin_threshold_inr_t</f>
        <v/>
      </c>
      <c r="BH241" s="8">
        <f>$BE241&gt;margin_threshold_inr_t</f>
        <v/>
      </c>
      <c r="BI241" s="8">
        <f>AND($BF241,$BG241,$BH241)</f>
        <v/>
      </c>
      <c r="BJ241" s="8">
        <f>IF($BI241,1,0)</f>
        <v/>
      </c>
    </row>
    <row r="242">
      <c r="A242" s="11" t="n">
        <v>44841</v>
      </c>
      <c r="B242" s="11" t="n">
        <v>44841</v>
      </c>
      <c r="C242" s="7" t="inlineStr">
        <is>
          <t>taint_tabor</t>
        </is>
      </c>
      <c r="D242" s="7" t="inlineStr">
        <is>
          <t>JEA_NSA</t>
        </is>
      </c>
      <c r="E242" s="17" t="b">
        <v>0</v>
      </c>
      <c r="F242" s="16">
        <f>INDEX(Market_Weekly!$E$6:$E$48,MATCH($A242,Market_Weekly!$A$6:$A$48,0))</f>
        <v/>
      </c>
      <c r="G242" s="16">
        <f>INDEX(Market_Weekly!$D$6:$D$48,MATCH($A242,Market_Weekly!$A$6:$A$48,0))</f>
        <v/>
      </c>
      <c r="H242" s="16">
        <f>INDEX(Market_Weekly!$G$6:$G$48,MATCH($A242,Market_Weekly!$A$6:$A$48,0))</f>
        <v/>
      </c>
      <c r="I242" s="8">
        <f>INDEX(Market_Weekly!$H$6:$H$48,MATCH($A242,Market_Weekly!$A$6:$A$48,0))</f>
        <v/>
      </c>
      <c r="J242" s="8">
        <f>INDEX(Market_Weekly!$Q$6:$Q$48,MATCH($A242,Market_Weekly!$A$6:$A$48,0))</f>
        <v/>
      </c>
      <c r="K242" s="8">
        <f>INDEX(Market_Weekly!$V$6:$V$48,MATCH($A242,Market_Weekly!$A$6:$A$48,0))</f>
        <v/>
      </c>
      <c r="L242" s="16">
        <f>IF($D242="JEA_NSA",INDEX(Market_Weekly!$N$6:$N$48,MATCH($A242,Market_Weekly!$A$6:$A$48,0)),INDEX(Market_Weekly!$O$6:$O$48,MATCH($A242,Market_Weekly!$A$6:$A$48,0)))</f>
        <v/>
      </c>
      <c r="M242" s="8">
        <f>IF($D242="JEA_NSA","M1","M2")</f>
        <v/>
      </c>
      <c r="N242" s="16">
        <f>IF($D242="JEA_NSA",INDEX(Market_Weekly!$L$6:$L$48,MATCH($A242,Market_Weekly!$A$6:$A$48,0)),INDEX(Market_Weekly!$M$6:$M$48,MATCH($A242,Market_Weekly!$A$6:$A$48,0)))</f>
        <v/>
      </c>
      <c r="O242" s="15">
        <f>INDEX(Market_Weekly!$P$6:$P$48,MATCH($A242,Market_Weekly!$A$6:$A$48,0))</f>
        <v/>
      </c>
      <c r="P242" s="8">
        <f>INDEX(Market_Weekly!$R$6:$T$48,MATCH($A242,Market_Weekly!$A$6:$A$48,0),MATCH("grade_factor_"&amp;$C242,Market_Weekly!$R$5:$T$5,0))</f>
        <v/>
      </c>
      <c r="Q242" s="8">
        <f>INDEX(Market_Weekly!$U$6:$U$48,MATCH($A242,Market_Weekly!$A$6:$A$48,0))</f>
        <v/>
      </c>
      <c r="R242" s="8">
        <f>IF($D242="JEA_NSA","20ft","40ft")</f>
        <v/>
      </c>
      <c r="S242" s="8">
        <f>IF($D242="JEA_NSA","nsa","mun")</f>
        <v/>
      </c>
      <c r="T242" s="8">
        <f>IF($D242="JEA_NSA","jea_nsa","usec_mun")</f>
        <v/>
      </c>
      <c r="U242" s="16">
        <f>INDEX(param_values,MATCH("container_payload_mt_"&amp;$R242,param_keys,0))</f>
        <v/>
      </c>
      <c r="V242" s="16">
        <f>INDEX(param_values,MATCH("container_payload_mt_"&amp;$R242&amp;"_"&amp;$C242,param_keys,0))</f>
        <v/>
      </c>
      <c r="W242" s="16">
        <f>INDEX(param_values,MATCH("container_payload_mt_20ft_"&amp;$C242,param_keys,0))</f>
        <v/>
      </c>
      <c r="X242" s="18">
        <f>INDEX(param_values,MATCH("port_cf_charges_inr_t_"&amp;$S242,param_keys,0))</f>
        <v/>
      </c>
      <c r="Y242" s="8">
        <f>INDEX(param_values,MATCH(IF($D242="JEA_NSA","psic_required_uae_origin","psic_required_safe_origin_designated_port"),param_keys,0))</f>
        <v/>
      </c>
      <c r="Z242" s="19">
        <f>INDEX(param_values,MATCH("finance_days_"&amp;$T242,param_keys,0))</f>
        <v/>
      </c>
      <c r="AA242" s="15">
        <f>INDEX(param_values,MATCH("moisture_frac_"&amp;$C242,param_keys,0))</f>
        <v/>
      </c>
      <c r="AB242" s="15">
        <f>INDEX(param_values,MATCH("contamination_frac_"&amp;$C242,param_keys,0))</f>
        <v/>
      </c>
      <c r="AC242" s="15">
        <f>INDEX(param_values,MATCH("metal_yield_frac_"&amp;$C242,param_keys,0))</f>
        <v/>
      </c>
      <c r="AD242" s="15">
        <f>INDEX(param_values,MATCH("heavies_frac_"&amp;$C242,param_keys,0))</f>
        <v/>
      </c>
      <c r="AE242" s="8">
        <f>INDEX(param_values,MATCH("grade_factor_diff_"&amp;$C242,param_keys,0))</f>
        <v/>
      </c>
      <c r="AF242" s="16">
        <f>$F242*$P242</f>
        <v/>
      </c>
      <c r="AG242" s="8">
        <f>$U242/$V242</f>
        <v/>
      </c>
      <c r="AH242" s="16">
        <f>$L242*$AG242</f>
        <v/>
      </c>
      <c r="AI242" s="16">
        <f>$AF242-$AH242</f>
        <v/>
      </c>
      <c r="AJ242" s="16">
        <f>insurance_rate*insured_value_uplift*$AF242</f>
        <v/>
      </c>
      <c r="AK242" s="16">
        <f>$AF242+$AJ242</f>
        <v/>
      </c>
      <c r="AL242" s="18">
        <f>$AK242*$J242</f>
        <v/>
      </c>
      <c r="AM242" s="18">
        <f>$AK242*$I242</f>
        <v/>
      </c>
      <c r="AN242" s="18">
        <f>$AL242*bcd_scrap_hs7602</f>
        <v/>
      </c>
      <c r="AO242" s="18">
        <f>$AN242*sws_rate_on_bcd</f>
        <v/>
      </c>
      <c r="AP242" s="18">
        <f>($AL242+$AN242+$AO242)*igst_rate_hs7602</f>
        <v/>
      </c>
      <c r="AQ242" s="18">
        <f>$X242*$AG242+IF($Y242,psic_cost_usd_per_box*$H242/$W242,0)</f>
        <v/>
      </c>
      <c r="AR242" s="18">
        <f>($AM242+$AN242+$AO242)*$Z242/day_count_inr*$O242</f>
        <v/>
      </c>
      <c r="AS242" s="18">
        <f>$AP242*igst_credit_lag_days/day_count_inr*$O242</f>
        <v/>
      </c>
      <c r="AT242" s="18">
        <f>$AM242+$AN242+$AO242+$AQ242+$AR242+$AS242+IF(igst_itc_available,0,$AP242)</f>
        <v/>
      </c>
      <c r="AU242" s="15">
        <f>(1-$AA242)*(1-$AB242)*$AC242</f>
        <v/>
      </c>
      <c r="AV242" s="18">
        <f>$N242*kg_per_mt+domestic_anchor_premium_inr_t</f>
        <v/>
      </c>
      <c r="AW242" s="18">
        <f>(1-$AA242)*$AD242*heavies_net_value_frac_of_lme_al*$F242*$H242</f>
        <v/>
      </c>
      <c r="AX242" s="18">
        <f>conversion_cost_inr_t*$AU242</f>
        <v/>
      </c>
      <c r="AY242" s="18">
        <f>$AV242*$AU242+$AW242-$AT242-$AX242</f>
        <v/>
      </c>
      <c r="AZ242" s="16">
        <f>$AY242/$H242</f>
        <v/>
      </c>
      <c r="BA242" s="8">
        <f>$AY242&gt;margin_threshold_inr_t</f>
        <v/>
      </c>
      <c r="BB242" s="8">
        <f>$Q242+$AE242</f>
        <v/>
      </c>
      <c r="BC242" s="18">
        <f>$AT242-$AQ242</f>
        <v/>
      </c>
      <c r="BD242" s="18">
        <f>$AY242-$BC242*($BB242/$P242-1)</f>
        <v/>
      </c>
      <c r="BE242" s="18">
        <f>$AY242-(conv_step_5a-conversion_cost_inr_t)*$AU242</f>
        <v/>
      </c>
      <c r="BF242" s="8">
        <f>$BA242</f>
        <v/>
      </c>
      <c r="BG242" s="8">
        <f>$BD242&gt;margin_threshold_inr_t</f>
        <v/>
      </c>
      <c r="BH242" s="8">
        <f>$BE242&gt;margin_threshold_inr_t</f>
        <v/>
      </c>
      <c r="BI242" s="8">
        <f>AND($BF242,$BG242,$BH242)</f>
        <v/>
      </c>
      <c r="BJ242" s="8">
        <f>IF($BI242,1,0)</f>
        <v/>
      </c>
    </row>
    <row r="243">
      <c r="A243" s="11" t="n">
        <v>44841</v>
      </c>
      <c r="B243" s="11" t="n">
        <v>44841</v>
      </c>
      <c r="C243" s="7" t="inlineStr">
        <is>
          <t>taint_tabor</t>
        </is>
      </c>
      <c r="D243" s="7" t="inlineStr">
        <is>
          <t>USEC_MUN</t>
        </is>
      </c>
      <c r="E243" s="17" t="b">
        <v>0</v>
      </c>
      <c r="F243" s="16">
        <f>INDEX(Market_Weekly!$E$6:$E$48,MATCH($A243,Market_Weekly!$A$6:$A$48,0))</f>
        <v/>
      </c>
      <c r="G243" s="16">
        <f>INDEX(Market_Weekly!$D$6:$D$48,MATCH($A243,Market_Weekly!$A$6:$A$48,0))</f>
        <v/>
      </c>
      <c r="H243" s="16">
        <f>INDEX(Market_Weekly!$G$6:$G$48,MATCH($A243,Market_Weekly!$A$6:$A$48,0))</f>
        <v/>
      </c>
      <c r="I243" s="8">
        <f>INDEX(Market_Weekly!$H$6:$H$48,MATCH($A243,Market_Weekly!$A$6:$A$48,0))</f>
        <v/>
      </c>
      <c r="J243" s="8">
        <f>INDEX(Market_Weekly!$Q$6:$Q$48,MATCH($A243,Market_Weekly!$A$6:$A$48,0))</f>
        <v/>
      </c>
      <c r="K243" s="8">
        <f>INDEX(Market_Weekly!$V$6:$V$48,MATCH($A243,Market_Weekly!$A$6:$A$48,0))</f>
        <v/>
      </c>
      <c r="L243" s="16">
        <f>IF($D243="JEA_NSA",INDEX(Market_Weekly!$N$6:$N$48,MATCH($A243,Market_Weekly!$A$6:$A$48,0)),INDEX(Market_Weekly!$O$6:$O$48,MATCH($A243,Market_Weekly!$A$6:$A$48,0)))</f>
        <v/>
      </c>
      <c r="M243" s="8">
        <f>IF($D243="JEA_NSA","M1","M2")</f>
        <v/>
      </c>
      <c r="N243" s="16">
        <f>IF($D243="JEA_NSA",INDEX(Market_Weekly!$L$6:$L$48,MATCH($A243,Market_Weekly!$A$6:$A$48,0)),INDEX(Market_Weekly!$M$6:$M$48,MATCH($A243,Market_Weekly!$A$6:$A$48,0)))</f>
        <v/>
      </c>
      <c r="O243" s="15">
        <f>INDEX(Market_Weekly!$P$6:$P$48,MATCH($A243,Market_Weekly!$A$6:$A$48,0))</f>
        <v/>
      </c>
      <c r="P243" s="8">
        <f>INDEX(Market_Weekly!$R$6:$T$48,MATCH($A243,Market_Weekly!$A$6:$A$48,0),MATCH("grade_factor_"&amp;$C243,Market_Weekly!$R$5:$T$5,0))</f>
        <v/>
      </c>
      <c r="Q243" s="8">
        <f>INDEX(Market_Weekly!$U$6:$U$48,MATCH($A243,Market_Weekly!$A$6:$A$48,0))</f>
        <v/>
      </c>
      <c r="R243" s="8">
        <f>IF($D243="JEA_NSA","20ft","40ft")</f>
        <v/>
      </c>
      <c r="S243" s="8">
        <f>IF($D243="JEA_NSA","nsa","mun")</f>
        <v/>
      </c>
      <c r="T243" s="8">
        <f>IF($D243="JEA_NSA","jea_nsa","usec_mun")</f>
        <v/>
      </c>
      <c r="U243" s="16">
        <f>INDEX(param_values,MATCH("container_payload_mt_"&amp;$R243,param_keys,0))</f>
        <v/>
      </c>
      <c r="V243" s="16">
        <f>INDEX(param_values,MATCH("container_payload_mt_"&amp;$R243&amp;"_"&amp;$C243,param_keys,0))</f>
        <v/>
      </c>
      <c r="W243" s="16">
        <f>INDEX(param_values,MATCH("container_payload_mt_20ft_"&amp;$C243,param_keys,0))</f>
        <v/>
      </c>
      <c r="X243" s="18">
        <f>INDEX(param_values,MATCH("port_cf_charges_inr_t_"&amp;$S243,param_keys,0))</f>
        <v/>
      </c>
      <c r="Y243" s="8">
        <f>INDEX(param_values,MATCH(IF($D243="JEA_NSA","psic_required_uae_origin","psic_required_safe_origin_designated_port"),param_keys,0))</f>
        <v/>
      </c>
      <c r="Z243" s="19">
        <f>INDEX(param_values,MATCH("finance_days_"&amp;$T243,param_keys,0))</f>
        <v/>
      </c>
      <c r="AA243" s="15">
        <f>INDEX(param_values,MATCH("moisture_frac_"&amp;$C243,param_keys,0))</f>
        <v/>
      </c>
      <c r="AB243" s="15">
        <f>INDEX(param_values,MATCH("contamination_frac_"&amp;$C243,param_keys,0))</f>
        <v/>
      </c>
      <c r="AC243" s="15">
        <f>INDEX(param_values,MATCH("metal_yield_frac_"&amp;$C243,param_keys,0))</f>
        <v/>
      </c>
      <c r="AD243" s="15">
        <f>INDEX(param_values,MATCH("heavies_frac_"&amp;$C243,param_keys,0))</f>
        <v/>
      </c>
      <c r="AE243" s="8">
        <f>INDEX(param_values,MATCH("grade_factor_diff_"&amp;$C243,param_keys,0))</f>
        <v/>
      </c>
      <c r="AF243" s="16">
        <f>$F243*$P243</f>
        <v/>
      </c>
      <c r="AG243" s="8">
        <f>$U243/$V243</f>
        <v/>
      </c>
      <c r="AH243" s="16">
        <f>$L243*$AG243</f>
        <v/>
      </c>
      <c r="AI243" s="16">
        <f>$AF243-$AH243</f>
        <v/>
      </c>
      <c r="AJ243" s="16">
        <f>insurance_rate*insured_value_uplift*$AF243</f>
        <v/>
      </c>
      <c r="AK243" s="16">
        <f>$AF243+$AJ243</f>
        <v/>
      </c>
      <c r="AL243" s="18">
        <f>$AK243*$J243</f>
        <v/>
      </c>
      <c r="AM243" s="18">
        <f>$AK243*$I243</f>
        <v/>
      </c>
      <c r="AN243" s="18">
        <f>$AL243*bcd_scrap_hs7602</f>
        <v/>
      </c>
      <c r="AO243" s="18">
        <f>$AN243*sws_rate_on_bcd</f>
        <v/>
      </c>
      <c r="AP243" s="18">
        <f>($AL243+$AN243+$AO243)*igst_rate_hs7602</f>
        <v/>
      </c>
      <c r="AQ243" s="18">
        <f>$X243*$AG243+IF($Y243,psic_cost_usd_per_box*$H243/$W243,0)</f>
        <v/>
      </c>
      <c r="AR243" s="18">
        <f>($AM243+$AN243+$AO243)*$Z243/day_count_inr*$O243</f>
        <v/>
      </c>
      <c r="AS243" s="18">
        <f>$AP243*igst_credit_lag_days/day_count_inr*$O243</f>
        <v/>
      </c>
      <c r="AT243" s="18">
        <f>$AM243+$AN243+$AO243+$AQ243+$AR243+$AS243+IF(igst_itc_available,0,$AP243)</f>
        <v/>
      </c>
      <c r="AU243" s="15">
        <f>(1-$AA243)*(1-$AB243)*$AC243</f>
        <v/>
      </c>
      <c r="AV243" s="18">
        <f>$N243*kg_per_mt+domestic_anchor_premium_inr_t</f>
        <v/>
      </c>
      <c r="AW243" s="18">
        <f>(1-$AA243)*$AD243*heavies_net_value_frac_of_lme_al*$F243*$H243</f>
        <v/>
      </c>
      <c r="AX243" s="18">
        <f>conversion_cost_inr_t*$AU243</f>
        <v/>
      </c>
      <c r="AY243" s="18">
        <f>$AV243*$AU243+$AW243-$AT243-$AX243</f>
        <v/>
      </c>
      <c r="AZ243" s="16">
        <f>$AY243/$H243</f>
        <v/>
      </c>
      <c r="BA243" s="8">
        <f>$AY243&gt;margin_threshold_inr_t</f>
        <v/>
      </c>
      <c r="BB243" s="8">
        <f>$Q243+$AE243</f>
        <v/>
      </c>
      <c r="BC243" s="18">
        <f>$AT243-$AQ243</f>
        <v/>
      </c>
      <c r="BD243" s="18">
        <f>$AY243-$BC243*($BB243/$P243-1)</f>
        <v/>
      </c>
      <c r="BE243" s="18">
        <f>$AY243-(conv_step_5a-conversion_cost_inr_t)*$AU243</f>
        <v/>
      </c>
      <c r="BF243" s="8">
        <f>$BA243</f>
        <v/>
      </c>
      <c r="BG243" s="8">
        <f>$BD243&gt;margin_threshold_inr_t</f>
        <v/>
      </c>
      <c r="BH243" s="8">
        <f>$BE243&gt;margin_threshold_inr_t</f>
        <v/>
      </c>
      <c r="BI243" s="8">
        <f>AND($BF243,$BG243,$BH243)</f>
        <v/>
      </c>
      <c r="BJ243" s="8">
        <f>IF($BI243,1,0)</f>
        <v/>
      </c>
    </row>
    <row r="244">
      <c r="A244" s="11" t="n">
        <v>44841</v>
      </c>
      <c r="B244" s="11" t="n">
        <v>44841</v>
      </c>
      <c r="C244" s="7" t="inlineStr">
        <is>
          <t>tense</t>
        </is>
      </c>
      <c r="D244" s="7" t="inlineStr">
        <is>
          <t>JEA_NSA</t>
        </is>
      </c>
      <c r="E244" s="17" t="b">
        <v>0</v>
      </c>
      <c r="F244" s="16">
        <f>INDEX(Market_Weekly!$E$6:$E$48,MATCH($A244,Market_Weekly!$A$6:$A$48,0))</f>
        <v/>
      </c>
      <c r="G244" s="16">
        <f>INDEX(Market_Weekly!$D$6:$D$48,MATCH($A244,Market_Weekly!$A$6:$A$48,0))</f>
        <v/>
      </c>
      <c r="H244" s="16">
        <f>INDEX(Market_Weekly!$G$6:$G$48,MATCH($A244,Market_Weekly!$A$6:$A$48,0))</f>
        <v/>
      </c>
      <c r="I244" s="8">
        <f>INDEX(Market_Weekly!$H$6:$H$48,MATCH($A244,Market_Weekly!$A$6:$A$48,0))</f>
        <v/>
      </c>
      <c r="J244" s="8">
        <f>INDEX(Market_Weekly!$Q$6:$Q$48,MATCH($A244,Market_Weekly!$A$6:$A$48,0))</f>
        <v/>
      </c>
      <c r="K244" s="8">
        <f>INDEX(Market_Weekly!$V$6:$V$48,MATCH($A244,Market_Weekly!$A$6:$A$48,0))</f>
        <v/>
      </c>
      <c r="L244" s="16">
        <f>IF($D244="JEA_NSA",INDEX(Market_Weekly!$N$6:$N$48,MATCH($A244,Market_Weekly!$A$6:$A$48,0)),INDEX(Market_Weekly!$O$6:$O$48,MATCH($A244,Market_Weekly!$A$6:$A$48,0)))</f>
        <v/>
      </c>
      <c r="M244" s="8">
        <f>IF($D244="JEA_NSA","M1","M2")</f>
        <v/>
      </c>
      <c r="N244" s="16">
        <f>IF($D244="JEA_NSA",INDEX(Market_Weekly!$L$6:$L$48,MATCH($A244,Market_Weekly!$A$6:$A$48,0)),INDEX(Market_Weekly!$M$6:$M$48,MATCH($A244,Market_Weekly!$A$6:$A$48,0)))</f>
        <v/>
      </c>
      <c r="O244" s="15">
        <f>INDEX(Market_Weekly!$P$6:$P$48,MATCH($A244,Market_Weekly!$A$6:$A$48,0))</f>
        <v/>
      </c>
      <c r="P244" s="8">
        <f>INDEX(Market_Weekly!$R$6:$T$48,MATCH($A244,Market_Weekly!$A$6:$A$48,0),MATCH("grade_factor_"&amp;$C244,Market_Weekly!$R$5:$T$5,0))</f>
        <v/>
      </c>
      <c r="Q244" s="8">
        <f>INDEX(Market_Weekly!$U$6:$U$48,MATCH($A244,Market_Weekly!$A$6:$A$48,0))</f>
        <v/>
      </c>
      <c r="R244" s="8">
        <f>IF($D244="JEA_NSA","20ft","40ft")</f>
        <v/>
      </c>
      <c r="S244" s="8">
        <f>IF($D244="JEA_NSA","nsa","mun")</f>
        <v/>
      </c>
      <c r="T244" s="8">
        <f>IF($D244="JEA_NSA","jea_nsa","usec_mun")</f>
        <v/>
      </c>
      <c r="U244" s="16">
        <f>INDEX(param_values,MATCH("container_payload_mt_"&amp;$R244,param_keys,0))</f>
        <v/>
      </c>
      <c r="V244" s="16">
        <f>INDEX(param_values,MATCH("container_payload_mt_"&amp;$R244&amp;"_"&amp;$C244,param_keys,0))</f>
        <v/>
      </c>
      <c r="W244" s="16">
        <f>INDEX(param_values,MATCH("container_payload_mt_20ft_"&amp;$C244,param_keys,0))</f>
        <v/>
      </c>
      <c r="X244" s="18">
        <f>INDEX(param_values,MATCH("port_cf_charges_inr_t_"&amp;$S244,param_keys,0))</f>
        <v/>
      </c>
      <c r="Y244" s="8">
        <f>INDEX(param_values,MATCH(IF($D244="JEA_NSA","psic_required_uae_origin","psic_required_safe_origin_designated_port"),param_keys,0))</f>
        <v/>
      </c>
      <c r="Z244" s="19">
        <f>INDEX(param_values,MATCH("finance_days_"&amp;$T244,param_keys,0))</f>
        <v/>
      </c>
      <c r="AA244" s="15">
        <f>INDEX(param_values,MATCH("moisture_frac_"&amp;$C244,param_keys,0))</f>
        <v/>
      </c>
      <c r="AB244" s="15">
        <f>INDEX(param_values,MATCH("contamination_frac_"&amp;$C244,param_keys,0))</f>
        <v/>
      </c>
      <c r="AC244" s="15">
        <f>INDEX(param_values,MATCH("metal_yield_frac_"&amp;$C244,param_keys,0))</f>
        <v/>
      </c>
      <c r="AD244" s="15">
        <f>INDEX(param_values,MATCH("heavies_frac_"&amp;$C244,param_keys,0))</f>
        <v/>
      </c>
      <c r="AE244" s="8">
        <f>INDEX(param_values,MATCH("grade_factor_diff_"&amp;$C244,param_keys,0))</f>
        <v/>
      </c>
      <c r="AF244" s="16">
        <f>$F244*$P244</f>
        <v/>
      </c>
      <c r="AG244" s="8">
        <f>$U244/$V244</f>
        <v/>
      </c>
      <c r="AH244" s="16">
        <f>$L244*$AG244</f>
        <v/>
      </c>
      <c r="AI244" s="16">
        <f>$AF244-$AH244</f>
        <v/>
      </c>
      <c r="AJ244" s="16">
        <f>insurance_rate*insured_value_uplift*$AF244</f>
        <v/>
      </c>
      <c r="AK244" s="16">
        <f>$AF244+$AJ244</f>
        <v/>
      </c>
      <c r="AL244" s="18">
        <f>$AK244*$J244</f>
        <v/>
      </c>
      <c r="AM244" s="18">
        <f>$AK244*$I244</f>
        <v/>
      </c>
      <c r="AN244" s="18">
        <f>$AL244*bcd_scrap_hs7602</f>
        <v/>
      </c>
      <c r="AO244" s="18">
        <f>$AN244*sws_rate_on_bcd</f>
        <v/>
      </c>
      <c r="AP244" s="18">
        <f>($AL244+$AN244+$AO244)*igst_rate_hs7602</f>
        <v/>
      </c>
      <c r="AQ244" s="18">
        <f>$X244*$AG244+IF($Y244,psic_cost_usd_per_box*$H244/$W244,0)</f>
        <v/>
      </c>
      <c r="AR244" s="18">
        <f>($AM244+$AN244+$AO244)*$Z244/day_count_inr*$O244</f>
        <v/>
      </c>
      <c r="AS244" s="18">
        <f>$AP244*igst_credit_lag_days/day_count_inr*$O244</f>
        <v/>
      </c>
      <c r="AT244" s="18">
        <f>$AM244+$AN244+$AO244+$AQ244+$AR244+$AS244+IF(igst_itc_available,0,$AP244)</f>
        <v/>
      </c>
      <c r="AU244" s="15">
        <f>(1-$AA244)*(1-$AB244)*$AC244</f>
        <v/>
      </c>
      <c r="AV244" s="18">
        <f>$N244*kg_per_mt+domestic_anchor_premium_inr_t</f>
        <v/>
      </c>
      <c r="AW244" s="18">
        <f>(1-$AA244)*$AD244*heavies_net_value_frac_of_lme_al*$F244*$H244</f>
        <v/>
      </c>
      <c r="AX244" s="18">
        <f>conversion_cost_inr_t*$AU244</f>
        <v/>
      </c>
      <c r="AY244" s="18">
        <f>$AV244*$AU244+$AW244-$AT244-$AX244</f>
        <v/>
      </c>
      <c r="AZ244" s="16">
        <f>$AY244/$H244</f>
        <v/>
      </c>
      <c r="BA244" s="8">
        <f>$AY244&gt;margin_threshold_inr_t</f>
        <v/>
      </c>
      <c r="BB244" s="8">
        <f>$Q244+$AE244</f>
        <v/>
      </c>
      <c r="BC244" s="18">
        <f>$AT244-$AQ244</f>
        <v/>
      </c>
      <c r="BD244" s="18">
        <f>$AY244-$BC244*($BB244/$P244-1)</f>
        <v/>
      </c>
      <c r="BE244" s="18">
        <f>$AY244-(conv_step_5a-conversion_cost_inr_t)*$AU244</f>
        <v/>
      </c>
      <c r="BF244" s="8">
        <f>$BA244</f>
        <v/>
      </c>
      <c r="BG244" s="8">
        <f>$BD244&gt;margin_threshold_inr_t</f>
        <v/>
      </c>
      <c r="BH244" s="8">
        <f>$BE244&gt;margin_threshold_inr_t</f>
        <v/>
      </c>
      <c r="BI244" s="8">
        <f>AND($BF244,$BG244,$BH244)</f>
        <v/>
      </c>
      <c r="BJ244" s="8">
        <f>IF($BI244,1,0)</f>
        <v/>
      </c>
    </row>
    <row r="245">
      <c r="A245" s="11" t="n">
        <v>44841</v>
      </c>
      <c r="B245" s="11" t="n">
        <v>44841</v>
      </c>
      <c r="C245" s="7" t="inlineStr">
        <is>
          <t>tense</t>
        </is>
      </c>
      <c r="D245" s="7" t="inlineStr">
        <is>
          <t>USEC_MUN</t>
        </is>
      </c>
      <c r="E245" s="17" t="b">
        <v>0</v>
      </c>
      <c r="F245" s="16">
        <f>INDEX(Market_Weekly!$E$6:$E$48,MATCH($A245,Market_Weekly!$A$6:$A$48,0))</f>
        <v/>
      </c>
      <c r="G245" s="16">
        <f>INDEX(Market_Weekly!$D$6:$D$48,MATCH($A245,Market_Weekly!$A$6:$A$48,0))</f>
        <v/>
      </c>
      <c r="H245" s="16">
        <f>INDEX(Market_Weekly!$G$6:$G$48,MATCH($A245,Market_Weekly!$A$6:$A$48,0))</f>
        <v/>
      </c>
      <c r="I245" s="8">
        <f>INDEX(Market_Weekly!$H$6:$H$48,MATCH($A245,Market_Weekly!$A$6:$A$48,0))</f>
        <v/>
      </c>
      <c r="J245" s="8">
        <f>INDEX(Market_Weekly!$Q$6:$Q$48,MATCH($A245,Market_Weekly!$A$6:$A$48,0))</f>
        <v/>
      </c>
      <c r="K245" s="8">
        <f>INDEX(Market_Weekly!$V$6:$V$48,MATCH($A245,Market_Weekly!$A$6:$A$48,0))</f>
        <v/>
      </c>
      <c r="L245" s="16">
        <f>IF($D245="JEA_NSA",INDEX(Market_Weekly!$N$6:$N$48,MATCH($A245,Market_Weekly!$A$6:$A$48,0)),INDEX(Market_Weekly!$O$6:$O$48,MATCH($A245,Market_Weekly!$A$6:$A$48,0)))</f>
        <v/>
      </c>
      <c r="M245" s="8">
        <f>IF($D245="JEA_NSA","M1","M2")</f>
        <v/>
      </c>
      <c r="N245" s="16">
        <f>IF($D245="JEA_NSA",INDEX(Market_Weekly!$L$6:$L$48,MATCH($A245,Market_Weekly!$A$6:$A$48,0)),INDEX(Market_Weekly!$M$6:$M$48,MATCH($A245,Market_Weekly!$A$6:$A$48,0)))</f>
        <v/>
      </c>
      <c r="O245" s="15">
        <f>INDEX(Market_Weekly!$P$6:$P$48,MATCH($A245,Market_Weekly!$A$6:$A$48,0))</f>
        <v/>
      </c>
      <c r="P245" s="8">
        <f>INDEX(Market_Weekly!$R$6:$T$48,MATCH($A245,Market_Weekly!$A$6:$A$48,0),MATCH("grade_factor_"&amp;$C245,Market_Weekly!$R$5:$T$5,0))</f>
        <v/>
      </c>
      <c r="Q245" s="8">
        <f>INDEX(Market_Weekly!$U$6:$U$48,MATCH($A245,Market_Weekly!$A$6:$A$48,0))</f>
        <v/>
      </c>
      <c r="R245" s="8">
        <f>IF($D245="JEA_NSA","20ft","40ft")</f>
        <v/>
      </c>
      <c r="S245" s="8">
        <f>IF($D245="JEA_NSA","nsa","mun")</f>
        <v/>
      </c>
      <c r="T245" s="8">
        <f>IF($D245="JEA_NSA","jea_nsa","usec_mun")</f>
        <v/>
      </c>
      <c r="U245" s="16">
        <f>INDEX(param_values,MATCH("container_payload_mt_"&amp;$R245,param_keys,0))</f>
        <v/>
      </c>
      <c r="V245" s="16">
        <f>INDEX(param_values,MATCH("container_payload_mt_"&amp;$R245&amp;"_"&amp;$C245,param_keys,0))</f>
        <v/>
      </c>
      <c r="W245" s="16">
        <f>INDEX(param_values,MATCH("container_payload_mt_20ft_"&amp;$C245,param_keys,0))</f>
        <v/>
      </c>
      <c r="X245" s="18">
        <f>INDEX(param_values,MATCH("port_cf_charges_inr_t_"&amp;$S245,param_keys,0))</f>
        <v/>
      </c>
      <c r="Y245" s="8">
        <f>INDEX(param_values,MATCH(IF($D245="JEA_NSA","psic_required_uae_origin","psic_required_safe_origin_designated_port"),param_keys,0))</f>
        <v/>
      </c>
      <c r="Z245" s="19">
        <f>INDEX(param_values,MATCH("finance_days_"&amp;$T245,param_keys,0))</f>
        <v/>
      </c>
      <c r="AA245" s="15">
        <f>INDEX(param_values,MATCH("moisture_frac_"&amp;$C245,param_keys,0))</f>
        <v/>
      </c>
      <c r="AB245" s="15">
        <f>INDEX(param_values,MATCH("contamination_frac_"&amp;$C245,param_keys,0))</f>
        <v/>
      </c>
      <c r="AC245" s="15">
        <f>INDEX(param_values,MATCH("metal_yield_frac_"&amp;$C245,param_keys,0))</f>
        <v/>
      </c>
      <c r="AD245" s="15">
        <f>INDEX(param_values,MATCH("heavies_frac_"&amp;$C245,param_keys,0))</f>
        <v/>
      </c>
      <c r="AE245" s="8">
        <f>INDEX(param_values,MATCH("grade_factor_diff_"&amp;$C245,param_keys,0))</f>
        <v/>
      </c>
      <c r="AF245" s="16">
        <f>$F245*$P245</f>
        <v/>
      </c>
      <c r="AG245" s="8">
        <f>$U245/$V245</f>
        <v/>
      </c>
      <c r="AH245" s="16">
        <f>$L245*$AG245</f>
        <v/>
      </c>
      <c r="AI245" s="16">
        <f>$AF245-$AH245</f>
        <v/>
      </c>
      <c r="AJ245" s="16">
        <f>insurance_rate*insured_value_uplift*$AF245</f>
        <v/>
      </c>
      <c r="AK245" s="16">
        <f>$AF245+$AJ245</f>
        <v/>
      </c>
      <c r="AL245" s="18">
        <f>$AK245*$J245</f>
        <v/>
      </c>
      <c r="AM245" s="18">
        <f>$AK245*$I245</f>
        <v/>
      </c>
      <c r="AN245" s="18">
        <f>$AL245*bcd_scrap_hs7602</f>
        <v/>
      </c>
      <c r="AO245" s="18">
        <f>$AN245*sws_rate_on_bcd</f>
        <v/>
      </c>
      <c r="AP245" s="18">
        <f>($AL245+$AN245+$AO245)*igst_rate_hs7602</f>
        <v/>
      </c>
      <c r="AQ245" s="18">
        <f>$X245*$AG245+IF($Y245,psic_cost_usd_per_box*$H245/$W245,0)</f>
        <v/>
      </c>
      <c r="AR245" s="18">
        <f>($AM245+$AN245+$AO245)*$Z245/day_count_inr*$O245</f>
        <v/>
      </c>
      <c r="AS245" s="18">
        <f>$AP245*igst_credit_lag_days/day_count_inr*$O245</f>
        <v/>
      </c>
      <c r="AT245" s="18">
        <f>$AM245+$AN245+$AO245+$AQ245+$AR245+$AS245+IF(igst_itc_available,0,$AP245)</f>
        <v/>
      </c>
      <c r="AU245" s="15">
        <f>(1-$AA245)*(1-$AB245)*$AC245</f>
        <v/>
      </c>
      <c r="AV245" s="18">
        <f>$N245*kg_per_mt+domestic_anchor_premium_inr_t</f>
        <v/>
      </c>
      <c r="AW245" s="18">
        <f>(1-$AA245)*$AD245*heavies_net_value_frac_of_lme_al*$F245*$H245</f>
        <v/>
      </c>
      <c r="AX245" s="18">
        <f>conversion_cost_inr_t*$AU245</f>
        <v/>
      </c>
      <c r="AY245" s="18">
        <f>$AV245*$AU245+$AW245-$AT245-$AX245</f>
        <v/>
      </c>
      <c r="AZ245" s="16">
        <f>$AY245/$H245</f>
        <v/>
      </c>
      <c r="BA245" s="8">
        <f>$AY245&gt;margin_threshold_inr_t</f>
        <v/>
      </c>
      <c r="BB245" s="8">
        <f>$Q245+$AE245</f>
        <v/>
      </c>
      <c r="BC245" s="18">
        <f>$AT245-$AQ245</f>
        <v/>
      </c>
      <c r="BD245" s="18">
        <f>$AY245-$BC245*($BB245/$P245-1)</f>
        <v/>
      </c>
      <c r="BE245" s="18">
        <f>$AY245-(conv_step_5a-conversion_cost_inr_t)*$AU245</f>
        <v/>
      </c>
      <c r="BF245" s="8">
        <f>$BA245</f>
        <v/>
      </c>
      <c r="BG245" s="8">
        <f>$BD245&gt;margin_threshold_inr_t</f>
        <v/>
      </c>
      <c r="BH245" s="8">
        <f>$BE245&gt;margin_threshold_inr_t</f>
        <v/>
      </c>
      <c r="BI245" s="8">
        <f>AND($BF245,$BG245,$BH245)</f>
        <v/>
      </c>
      <c r="BJ245" s="8">
        <f>IF($BI245,1,0)</f>
        <v/>
      </c>
    </row>
    <row r="246">
      <c r="A246" s="11" t="n">
        <v>44848</v>
      </c>
      <c r="B246" s="11" t="n">
        <v>44848</v>
      </c>
      <c r="C246" s="7" t="inlineStr">
        <is>
          <t>zorba</t>
        </is>
      </c>
      <c r="D246" s="7" t="inlineStr">
        <is>
          <t>JEA_NSA</t>
        </is>
      </c>
      <c r="E246" s="17" t="b">
        <v>0</v>
      </c>
      <c r="F246" s="16">
        <f>INDEX(Market_Weekly!$E$6:$E$48,MATCH($A246,Market_Weekly!$A$6:$A$48,0))</f>
        <v/>
      </c>
      <c r="G246" s="16">
        <f>INDEX(Market_Weekly!$D$6:$D$48,MATCH($A246,Market_Weekly!$A$6:$A$48,0))</f>
        <v/>
      </c>
      <c r="H246" s="16">
        <f>INDEX(Market_Weekly!$G$6:$G$48,MATCH($A246,Market_Weekly!$A$6:$A$48,0))</f>
        <v/>
      </c>
      <c r="I246" s="8">
        <f>INDEX(Market_Weekly!$H$6:$H$48,MATCH($A246,Market_Weekly!$A$6:$A$48,0))</f>
        <v/>
      </c>
      <c r="J246" s="8">
        <f>INDEX(Market_Weekly!$Q$6:$Q$48,MATCH($A246,Market_Weekly!$A$6:$A$48,0))</f>
        <v/>
      </c>
      <c r="K246" s="8">
        <f>INDEX(Market_Weekly!$V$6:$V$48,MATCH($A246,Market_Weekly!$A$6:$A$48,0))</f>
        <v/>
      </c>
      <c r="L246" s="16">
        <f>IF($D246="JEA_NSA",INDEX(Market_Weekly!$N$6:$N$48,MATCH($A246,Market_Weekly!$A$6:$A$48,0)),INDEX(Market_Weekly!$O$6:$O$48,MATCH($A246,Market_Weekly!$A$6:$A$48,0)))</f>
        <v/>
      </c>
      <c r="M246" s="8">
        <f>IF($D246="JEA_NSA","M1","M2")</f>
        <v/>
      </c>
      <c r="N246" s="16">
        <f>IF($D246="JEA_NSA",INDEX(Market_Weekly!$L$6:$L$48,MATCH($A246,Market_Weekly!$A$6:$A$48,0)),INDEX(Market_Weekly!$M$6:$M$48,MATCH($A246,Market_Weekly!$A$6:$A$48,0)))</f>
        <v/>
      </c>
      <c r="O246" s="15">
        <f>INDEX(Market_Weekly!$P$6:$P$48,MATCH($A246,Market_Weekly!$A$6:$A$48,0))</f>
        <v/>
      </c>
      <c r="P246" s="8">
        <f>INDEX(Market_Weekly!$R$6:$T$48,MATCH($A246,Market_Weekly!$A$6:$A$48,0),MATCH("grade_factor_"&amp;$C246,Market_Weekly!$R$5:$T$5,0))</f>
        <v/>
      </c>
      <c r="Q246" s="8">
        <f>INDEX(Market_Weekly!$U$6:$U$48,MATCH($A246,Market_Weekly!$A$6:$A$48,0))</f>
        <v/>
      </c>
      <c r="R246" s="8">
        <f>IF($D246="JEA_NSA","20ft","40ft")</f>
        <v/>
      </c>
      <c r="S246" s="8">
        <f>IF($D246="JEA_NSA","nsa","mun")</f>
        <v/>
      </c>
      <c r="T246" s="8">
        <f>IF($D246="JEA_NSA","jea_nsa","usec_mun")</f>
        <v/>
      </c>
      <c r="U246" s="16">
        <f>INDEX(param_values,MATCH("container_payload_mt_"&amp;$R246,param_keys,0))</f>
        <v/>
      </c>
      <c r="V246" s="16">
        <f>INDEX(param_values,MATCH("container_payload_mt_"&amp;$R246&amp;"_"&amp;$C246,param_keys,0))</f>
        <v/>
      </c>
      <c r="W246" s="16">
        <f>INDEX(param_values,MATCH("container_payload_mt_20ft_"&amp;$C246,param_keys,0))</f>
        <v/>
      </c>
      <c r="X246" s="18">
        <f>INDEX(param_values,MATCH("port_cf_charges_inr_t_"&amp;$S246,param_keys,0))</f>
        <v/>
      </c>
      <c r="Y246" s="8">
        <f>INDEX(param_values,MATCH(IF($D246="JEA_NSA","psic_required_uae_origin","psic_required_safe_origin_designated_port"),param_keys,0))</f>
        <v/>
      </c>
      <c r="Z246" s="19">
        <f>INDEX(param_values,MATCH("finance_days_"&amp;$T246,param_keys,0))</f>
        <v/>
      </c>
      <c r="AA246" s="15">
        <f>INDEX(param_values,MATCH("moisture_frac_"&amp;$C246,param_keys,0))</f>
        <v/>
      </c>
      <c r="AB246" s="15">
        <f>INDEX(param_values,MATCH("contamination_frac_"&amp;$C246,param_keys,0))</f>
        <v/>
      </c>
      <c r="AC246" s="15">
        <f>INDEX(param_values,MATCH("metal_yield_frac_"&amp;$C246,param_keys,0))</f>
        <v/>
      </c>
      <c r="AD246" s="15">
        <f>INDEX(param_values,MATCH("heavies_frac_"&amp;$C246,param_keys,0))</f>
        <v/>
      </c>
      <c r="AE246" s="8">
        <f>INDEX(param_values,MATCH("grade_factor_diff_"&amp;$C246,param_keys,0))</f>
        <v/>
      </c>
      <c r="AF246" s="16">
        <f>$F246*$P246</f>
        <v/>
      </c>
      <c r="AG246" s="8">
        <f>$U246/$V246</f>
        <v/>
      </c>
      <c r="AH246" s="16">
        <f>$L246*$AG246</f>
        <v/>
      </c>
      <c r="AI246" s="16">
        <f>$AF246-$AH246</f>
        <v/>
      </c>
      <c r="AJ246" s="16">
        <f>insurance_rate*insured_value_uplift*$AF246</f>
        <v/>
      </c>
      <c r="AK246" s="16">
        <f>$AF246+$AJ246</f>
        <v/>
      </c>
      <c r="AL246" s="18">
        <f>$AK246*$J246</f>
        <v/>
      </c>
      <c r="AM246" s="18">
        <f>$AK246*$I246</f>
        <v/>
      </c>
      <c r="AN246" s="18">
        <f>$AL246*bcd_scrap_hs7602</f>
        <v/>
      </c>
      <c r="AO246" s="18">
        <f>$AN246*sws_rate_on_bcd</f>
        <v/>
      </c>
      <c r="AP246" s="18">
        <f>($AL246+$AN246+$AO246)*igst_rate_hs7602</f>
        <v/>
      </c>
      <c r="AQ246" s="18">
        <f>$X246*$AG246+IF($Y246,psic_cost_usd_per_box*$H246/$W246,0)</f>
        <v/>
      </c>
      <c r="AR246" s="18">
        <f>($AM246+$AN246+$AO246)*$Z246/day_count_inr*$O246</f>
        <v/>
      </c>
      <c r="AS246" s="18">
        <f>$AP246*igst_credit_lag_days/day_count_inr*$O246</f>
        <v/>
      </c>
      <c r="AT246" s="18">
        <f>$AM246+$AN246+$AO246+$AQ246+$AR246+$AS246+IF(igst_itc_available,0,$AP246)</f>
        <v/>
      </c>
      <c r="AU246" s="15">
        <f>(1-$AA246)*(1-$AB246)*$AC246</f>
        <v/>
      </c>
      <c r="AV246" s="18">
        <f>$N246*kg_per_mt+domestic_anchor_premium_inr_t</f>
        <v/>
      </c>
      <c r="AW246" s="18">
        <f>(1-$AA246)*$AD246*heavies_net_value_frac_of_lme_al*$F246*$H246</f>
        <v/>
      </c>
      <c r="AX246" s="18">
        <f>conversion_cost_inr_t*$AU246</f>
        <v/>
      </c>
      <c r="AY246" s="18">
        <f>$AV246*$AU246+$AW246-$AT246-$AX246</f>
        <v/>
      </c>
      <c r="AZ246" s="16">
        <f>$AY246/$H246</f>
        <v/>
      </c>
      <c r="BA246" s="8">
        <f>$AY246&gt;margin_threshold_inr_t</f>
        <v/>
      </c>
      <c r="BB246" s="8">
        <f>$Q246+$AE246</f>
        <v/>
      </c>
      <c r="BC246" s="18">
        <f>$AT246-$AQ246</f>
        <v/>
      </c>
      <c r="BD246" s="18">
        <f>$AY246-$BC246*($BB246/$P246-1)</f>
        <v/>
      </c>
      <c r="BE246" s="18">
        <f>$AY246-(conv_step_5a-conversion_cost_inr_t)*$AU246</f>
        <v/>
      </c>
      <c r="BF246" s="8">
        <f>$BA246</f>
        <v/>
      </c>
      <c r="BG246" s="8">
        <f>$BD246&gt;margin_threshold_inr_t</f>
        <v/>
      </c>
      <c r="BH246" s="8">
        <f>$BE246&gt;margin_threshold_inr_t</f>
        <v/>
      </c>
      <c r="BI246" s="8">
        <f>AND($BF246,$BG246,$BH246)</f>
        <v/>
      </c>
      <c r="BJ246" s="8">
        <f>IF($BI246,1,0)</f>
        <v/>
      </c>
    </row>
    <row r="247">
      <c r="A247" s="11" t="n">
        <v>44848</v>
      </c>
      <c r="B247" s="11" t="n">
        <v>44848</v>
      </c>
      <c r="C247" s="7" t="inlineStr">
        <is>
          <t>zorba</t>
        </is>
      </c>
      <c r="D247" s="7" t="inlineStr">
        <is>
          <t>USEC_MUN</t>
        </is>
      </c>
      <c r="E247" s="17" t="b">
        <v>0</v>
      </c>
      <c r="F247" s="16">
        <f>INDEX(Market_Weekly!$E$6:$E$48,MATCH($A247,Market_Weekly!$A$6:$A$48,0))</f>
        <v/>
      </c>
      <c r="G247" s="16">
        <f>INDEX(Market_Weekly!$D$6:$D$48,MATCH($A247,Market_Weekly!$A$6:$A$48,0))</f>
        <v/>
      </c>
      <c r="H247" s="16">
        <f>INDEX(Market_Weekly!$G$6:$G$48,MATCH($A247,Market_Weekly!$A$6:$A$48,0))</f>
        <v/>
      </c>
      <c r="I247" s="8">
        <f>INDEX(Market_Weekly!$H$6:$H$48,MATCH($A247,Market_Weekly!$A$6:$A$48,0))</f>
        <v/>
      </c>
      <c r="J247" s="8">
        <f>INDEX(Market_Weekly!$Q$6:$Q$48,MATCH($A247,Market_Weekly!$A$6:$A$48,0))</f>
        <v/>
      </c>
      <c r="K247" s="8">
        <f>INDEX(Market_Weekly!$V$6:$V$48,MATCH($A247,Market_Weekly!$A$6:$A$48,0))</f>
        <v/>
      </c>
      <c r="L247" s="16">
        <f>IF($D247="JEA_NSA",INDEX(Market_Weekly!$N$6:$N$48,MATCH($A247,Market_Weekly!$A$6:$A$48,0)),INDEX(Market_Weekly!$O$6:$O$48,MATCH($A247,Market_Weekly!$A$6:$A$48,0)))</f>
        <v/>
      </c>
      <c r="M247" s="8">
        <f>IF($D247="JEA_NSA","M1","M2")</f>
        <v/>
      </c>
      <c r="N247" s="16">
        <f>IF($D247="JEA_NSA",INDEX(Market_Weekly!$L$6:$L$48,MATCH($A247,Market_Weekly!$A$6:$A$48,0)),INDEX(Market_Weekly!$M$6:$M$48,MATCH($A247,Market_Weekly!$A$6:$A$48,0)))</f>
        <v/>
      </c>
      <c r="O247" s="15">
        <f>INDEX(Market_Weekly!$P$6:$P$48,MATCH($A247,Market_Weekly!$A$6:$A$48,0))</f>
        <v/>
      </c>
      <c r="P247" s="8">
        <f>INDEX(Market_Weekly!$R$6:$T$48,MATCH($A247,Market_Weekly!$A$6:$A$48,0),MATCH("grade_factor_"&amp;$C247,Market_Weekly!$R$5:$T$5,0))</f>
        <v/>
      </c>
      <c r="Q247" s="8">
        <f>INDEX(Market_Weekly!$U$6:$U$48,MATCH($A247,Market_Weekly!$A$6:$A$48,0))</f>
        <v/>
      </c>
      <c r="R247" s="8">
        <f>IF($D247="JEA_NSA","20ft","40ft")</f>
        <v/>
      </c>
      <c r="S247" s="8">
        <f>IF($D247="JEA_NSA","nsa","mun")</f>
        <v/>
      </c>
      <c r="T247" s="8">
        <f>IF($D247="JEA_NSA","jea_nsa","usec_mun")</f>
        <v/>
      </c>
      <c r="U247" s="16">
        <f>INDEX(param_values,MATCH("container_payload_mt_"&amp;$R247,param_keys,0))</f>
        <v/>
      </c>
      <c r="V247" s="16">
        <f>INDEX(param_values,MATCH("container_payload_mt_"&amp;$R247&amp;"_"&amp;$C247,param_keys,0))</f>
        <v/>
      </c>
      <c r="W247" s="16">
        <f>INDEX(param_values,MATCH("container_payload_mt_20ft_"&amp;$C247,param_keys,0))</f>
        <v/>
      </c>
      <c r="X247" s="18">
        <f>INDEX(param_values,MATCH("port_cf_charges_inr_t_"&amp;$S247,param_keys,0))</f>
        <v/>
      </c>
      <c r="Y247" s="8">
        <f>INDEX(param_values,MATCH(IF($D247="JEA_NSA","psic_required_uae_origin","psic_required_safe_origin_designated_port"),param_keys,0))</f>
        <v/>
      </c>
      <c r="Z247" s="19">
        <f>INDEX(param_values,MATCH("finance_days_"&amp;$T247,param_keys,0))</f>
        <v/>
      </c>
      <c r="AA247" s="15">
        <f>INDEX(param_values,MATCH("moisture_frac_"&amp;$C247,param_keys,0))</f>
        <v/>
      </c>
      <c r="AB247" s="15">
        <f>INDEX(param_values,MATCH("contamination_frac_"&amp;$C247,param_keys,0))</f>
        <v/>
      </c>
      <c r="AC247" s="15">
        <f>INDEX(param_values,MATCH("metal_yield_frac_"&amp;$C247,param_keys,0))</f>
        <v/>
      </c>
      <c r="AD247" s="15">
        <f>INDEX(param_values,MATCH("heavies_frac_"&amp;$C247,param_keys,0))</f>
        <v/>
      </c>
      <c r="AE247" s="8">
        <f>INDEX(param_values,MATCH("grade_factor_diff_"&amp;$C247,param_keys,0))</f>
        <v/>
      </c>
      <c r="AF247" s="16">
        <f>$F247*$P247</f>
        <v/>
      </c>
      <c r="AG247" s="8">
        <f>$U247/$V247</f>
        <v/>
      </c>
      <c r="AH247" s="16">
        <f>$L247*$AG247</f>
        <v/>
      </c>
      <c r="AI247" s="16">
        <f>$AF247-$AH247</f>
        <v/>
      </c>
      <c r="AJ247" s="16">
        <f>insurance_rate*insured_value_uplift*$AF247</f>
        <v/>
      </c>
      <c r="AK247" s="16">
        <f>$AF247+$AJ247</f>
        <v/>
      </c>
      <c r="AL247" s="18">
        <f>$AK247*$J247</f>
        <v/>
      </c>
      <c r="AM247" s="18">
        <f>$AK247*$I247</f>
        <v/>
      </c>
      <c r="AN247" s="18">
        <f>$AL247*bcd_scrap_hs7602</f>
        <v/>
      </c>
      <c r="AO247" s="18">
        <f>$AN247*sws_rate_on_bcd</f>
        <v/>
      </c>
      <c r="AP247" s="18">
        <f>($AL247+$AN247+$AO247)*igst_rate_hs7602</f>
        <v/>
      </c>
      <c r="AQ247" s="18">
        <f>$X247*$AG247+IF($Y247,psic_cost_usd_per_box*$H247/$W247,0)</f>
        <v/>
      </c>
      <c r="AR247" s="18">
        <f>($AM247+$AN247+$AO247)*$Z247/day_count_inr*$O247</f>
        <v/>
      </c>
      <c r="AS247" s="18">
        <f>$AP247*igst_credit_lag_days/day_count_inr*$O247</f>
        <v/>
      </c>
      <c r="AT247" s="18">
        <f>$AM247+$AN247+$AO247+$AQ247+$AR247+$AS247+IF(igst_itc_available,0,$AP247)</f>
        <v/>
      </c>
      <c r="AU247" s="15">
        <f>(1-$AA247)*(1-$AB247)*$AC247</f>
        <v/>
      </c>
      <c r="AV247" s="18">
        <f>$N247*kg_per_mt+domestic_anchor_premium_inr_t</f>
        <v/>
      </c>
      <c r="AW247" s="18">
        <f>(1-$AA247)*$AD247*heavies_net_value_frac_of_lme_al*$F247*$H247</f>
        <v/>
      </c>
      <c r="AX247" s="18">
        <f>conversion_cost_inr_t*$AU247</f>
        <v/>
      </c>
      <c r="AY247" s="18">
        <f>$AV247*$AU247+$AW247-$AT247-$AX247</f>
        <v/>
      </c>
      <c r="AZ247" s="16">
        <f>$AY247/$H247</f>
        <v/>
      </c>
      <c r="BA247" s="8">
        <f>$AY247&gt;margin_threshold_inr_t</f>
        <v/>
      </c>
      <c r="BB247" s="8">
        <f>$Q247+$AE247</f>
        <v/>
      </c>
      <c r="BC247" s="18">
        <f>$AT247-$AQ247</f>
        <v/>
      </c>
      <c r="BD247" s="18">
        <f>$AY247-$BC247*($BB247/$P247-1)</f>
        <v/>
      </c>
      <c r="BE247" s="18">
        <f>$AY247-(conv_step_5a-conversion_cost_inr_t)*$AU247</f>
        <v/>
      </c>
      <c r="BF247" s="8">
        <f>$BA247</f>
        <v/>
      </c>
      <c r="BG247" s="8">
        <f>$BD247&gt;margin_threshold_inr_t</f>
        <v/>
      </c>
      <c r="BH247" s="8">
        <f>$BE247&gt;margin_threshold_inr_t</f>
        <v/>
      </c>
      <c r="BI247" s="8">
        <f>AND($BF247,$BG247,$BH247)</f>
        <v/>
      </c>
      <c r="BJ247" s="8">
        <f>IF($BI247,1,0)</f>
        <v/>
      </c>
    </row>
    <row r="248">
      <c r="A248" s="11" t="n">
        <v>44848</v>
      </c>
      <c r="B248" s="11" t="n">
        <v>44848</v>
      </c>
      <c r="C248" s="7" t="inlineStr">
        <is>
          <t>taint_tabor</t>
        </is>
      </c>
      <c r="D248" s="7" t="inlineStr">
        <is>
          <t>JEA_NSA</t>
        </is>
      </c>
      <c r="E248" s="17" t="b">
        <v>0</v>
      </c>
      <c r="F248" s="16">
        <f>INDEX(Market_Weekly!$E$6:$E$48,MATCH($A248,Market_Weekly!$A$6:$A$48,0))</f>
        <v/>
      </c>
      <c r="G248" s="16">
        <f>INDEX(Market_Weekly!$D$6:$D$48,MATCH($A248,Market_Weekly!$A$6:$A$48,0))</f>
        <v/>
      </c>
      <c r="H248" s="16">
        <f>INDEX(Market_Weekly!$G$6:$G$48,MATCH($A248,Market_Weekly!$A$6:$A$48,0))</f>
        <v/>
      </c>
      <c r="I248" s="8">
        <f>INDEX(Market_Weekly!$H$6:$H$48,MATCH($A248,Market_Weekly!$A$6:$A$48,0))</f>
        <v/>
      </c>
      <c r="J248" s="8">
        <f>INDEX(Market_Weekly!$Q$6:$Q$48,MATCH($A248,Market_Weekly!$A$6:$A$48,0))</f>
        <v/>
      </c>
      <c r="K248" s="8">
        <f>INDEX(Market_Weekly!$V$6:$V$48,MATCH($A248,Market_Weekly!$A$6:$A$48,0))</f>
        <v/>
      </c>
      <c r="L248" s="16">
        <f>IF($D248="JEA_NSA",INDEX(Market_Weekly!$N$6:$N$48,MATCH($A248,Market_Weekly!$A$6:$A$48,0)),INDEX(Market_Weekly!$O$6:$O$48,MATCH($A248,Market_Weekly!$A$6:$A$48,0)))</f>
        <v/>
      </c>
      <c r="M248" s="8">
        <f>IF($D248="JEA_NSA","M1","M2")</f>
        <v/>
      </c>
      <c r="N248" s="16">
        <f>IF($D248="JEA_NSA",INDEX(Market_Weekly!$L$6:$L$48,MATCH($A248,Market_Weekly!$A$6:$A$48,0)),INDEX(Market_Weekly!$M$6:$M$48,MATCH($A248,Market_Weekly!$A$6:$A$48,0)))</f>
        <v/>
      </c>
      <c r="O248" s="15">
        <f>INDEX(Market_Weekly!$P$6:$P$48,MATCH($A248,Market_Weekly!$A$6:$A$48,0))</f>
        <v/>
      </c>
      <c r="P248" s="8">
        <f>INDEX(Market_Weekly!$R$6:$T$48,MATCH($A248,Market_Weekly!$A$6:$A$48,0),MATCH("grade_factor_"&amp;$C248,Market_Weekly!$R$5:$T$5,0))</f>
        <v/>
      </c>
      <c r="Q248" s="8">
        <f>INDEX(Market_Weekly!$U$6:$U$48,MATCH($A248,Market_Weekly!$A$6:$A$48,0))</f>
        <v/>
      </c>
      <c r="R248" s="8">
        <f>IF($D248="JEA_NSA","20ft","40ft")</f>
        <v/>
      </c>
      <c r="S248" s="8">
        <f>IF($D248="JEA_NSA","nsa","mun")</f>
        <v/>
      </c>
      <c r="T248" s="8">
        <f>IF($D248="JEA_NSA","jea_nsa","usec_mun")</f>
        <v/>
      </c>
      <c r="U248" s="16">
        <f>INDEX(param_values,MATCH("container_payload_mt_"&amp;$R248,param_keys,0))</f>
        <v/>
      </c>
      <c r="V248" s="16">
        <f>INDEX(param_values,MATCH("container_payload_mt_"&amp;$R248&amp;"_"&amp;$C248,param_keys,0))</f>
        <v/>
      </c>
      <c r="W248" s="16">
        <f>INDEX(param_values,MATCH("container_payload_mt_20ft_"&amp;$C248,param_keys,0))</f>
        <v/>
      </c>
      <c r="X248" s="18">
        <f>INDEX(param_values,MATCH("port_cf_charges_inr_t_"&amp;$S248,param_keys,0))</f>
        <v/>
      </c>
      <c r="Y248" s="8">
        <f>INDEX(param_values,MATCH(IF($D248="JEA_NSA","psic_required_uae_origin","psic_required_safe_origin_designated_port"),param_keys,0))</f>
        <v/>
      </c>
      <c r="Z248" s="19">
        <f>INDEX(param_values,MATCH("finance_days_"&amp;$T248,param_keys,0))</f>
        <v/>
      </c>
      <c r="AA248" s="15">
        <f>INDEX(param_values,MATCH("moisture_frac_"&amp;$C248,param_keys,0))</f>
        <v/>
      </c>
      <c r="AB248" s="15">
        <f>INDEX(param_values,MATCH("contamination_frac_"&amp;$C248,param_keys,0))</f>
        <v/>
      </c>
      <c r="AC248" s="15">
        <f>INDEX(param_values,MATCH("metal_yield_frac_"&amp;$C248,param_keys,0))</f>
        <v/>
      </c>
      <c r="AD248" s="15">
        <f>INDEX(param_values,MATCH("heavies_frac_"&amp;$C248,param_keys,0))</f>
        <v/>
      </c>
      <c r="AE248" s="8">
        <f>INDEX(param_values,MATCH("grade_factor_diff_"&amp;$C248,param_keys,0))</f>
        <v/>
      </c>
      <c r="AF248" s="16">
        <f>$F248*$P248</f>
        <v/>
      </c>
      <c r="AG248" s="8">
        <f>$U248/$V248</f>
        <v/>
      </c>
      <c r="AH248" s="16">
        <f>$L248*$AG248</f>
        <v/>
      </c>
      <c r="AI248" s="16">
        <f>$AF248-$AH248</f>
        <v/>
      </c>
      <c r="AJ248" s="16">
        <f>insurance_rate*insured_value_uplift*$AF248</f>
        <v/>
      </c>
      <c r="AK248" s="16">
        <f>$AF248+$AJ248</f>
        <v/>
      </c>
      <c r="AL248" s="18">
        <f>$AK248*$J248</f>
        <v/>
      </c>
      <c r="AM248" s="18">
        <f>$AK248*$I248</f>
        <v/>
      </c>
      <c r="AN248" s="18">
        <f>$AL248*bcd_scrap_hs7602</f>
        <v/>
      </c>
      <c r="AO248" s="18">
        <f>$AN248*sws_rate_on_bcd</f>
        <v/>
      </c>
      <c r="AP248" s="18">
        <f>($AL248+$AN248+$AO248)*igst_rate_hs7602</f>
        <v/>
      </c>
      <c r="AQ248" s="18">
        <f>$X248*$AG248+IF($Y248,psic_cost_usd_per_box*$H248/$W248,0)</f>
        <v/>
      </c>
      <c r="AR248" s="18">
        <f>($AM248+$AN248+$AO248)*$Z248/day_count_inr*$O248</f>
        <v/>
      </c>
      <c r="AS248" s="18">
        <f>$AP248*igst_credit_lag_days/day_count_inr*$O248</f>
        <v/>
      </c>
      <c r="AT248" s="18">
        <f>$AM248+$AN248+$AO248+$AQ248+$AR248+$AS248+IF(igst_itc_available,0,$AP248)</f>
        <v/>
      </c>
      <c r="AU248" s="15">
        <f>(1-$AA248)*(1-$AB248)*$AC248</f>
        <v/>
      </c>
      <c r="AV248" s="18">
        <f>$N248*kg_per_mt+domestic_anchor_premium_inr_t</f>
        <v/>
      </c>
      <c r="AW248" s="18">
        <f>(1-$AA248)*$AD248*heavies_net_value_frac_of_lme_al*$F248*$H248</f>
        <v/>
      </c>
      <c r="AX248" s="18">
        <f>conversion_cost_inr_t*$AU248</f>
        <v/>
      </c>
      <c r="AY248" s="18">
        <f>$AV248*$AU248+$AW248-$AT248-$AX248</f>
        <v/>
      </c>
      <c r="AZ248" s="16">
        <f>$AY248/$H248</f>
        <v/>
      </c>
      <c r="BA248" s="8">
        <f>$AY248&gt;margin_threshold_inr_t</f>
        <v/>
      </c>
      <c r="BB248" s="8">
        <f>$Q248+$AE248</f>
        <v/>
      </c>
      <c r="BC248" s="18">
        <f>$AT248-$AQ248</f>
        <v/>
      </c>
      <c r="BD248" s="18">
        <f>$AY248-$BC248*($BB248/$P248-1)</f>
        <v/>
      </c>
      <c r="BE248" s="18">
        <f>$AY248-(conv_step_5a-conversion_cost_inr_t)*$AU248</f>
        <v/>
      </c>
      <c r="BF248" s="8">
        <f>$BA248</f>
        <v/>
      </c>
      <c r="BG248" s="8">
        <f>$BD248&gt;margin_threshold_inr_t</f>
        <v/>
      </c>
      <c r="BH248" s="8">
        <f>$BE248&gt;margin_threshold_inr_t</f>
        <v/>
      </c>
      <c r="BI248" s="8">
        <f>AND($BF248,$BG248,$BH248)</f>
        <v/>
      </c>
      <c r="BJ248" s="8">
        <f>IF($BI248,1,0)</f>
        <v/>
      </c>
    </row>
    <row r="249">
      <c r="A249" s="11" t="n">
        <v>44848</v>
      </c>
      <c r="B249" s="11" t="n">
        <v>44848</v>
      </c>
      <c r="C249" s="7" t="inlineStr">
        <is>
          <t>taint_tabor</t>
        </is>
      </c>
      <c r="D249" s="7" t="inlineStr">
        <is>
          <t>USEC_MUN</t>
        </is>
      </c>
      <c r="E249" s="17" t="b">
        <v>0</v>
      </c>
      <c r="F249" s="16">
        <f>INDEX(Market_Weekly!$E$6:$E$48,MATCH($A249,Market_Weekly!$A$6:$A$48,0))</f>
        <v/>
      </c>
      <c r="G249" s="16">
        <f>INDEX(Market_Weekly!$D$6:$D$48,MATCH($A249,Market_Weekly!$A$6:$A$48,0))</f>
        <v/>
      </c>
      <c r="H249" s="16">
        <f>INDEX(Market_Weekly!$G$6:$G$48,MATCH($A249,Market_Weekly!$A$6:$A$48,0))</f>
        <v/>
      </c>
      <c r="I249" s="8">
        <f>INDEX(Market_Weekly!$H$6:$H$48,MATCH($A249,Market_Weekly!$A$6:$A$48,0))</f>
        <v/>
      </c>
      <c r="J249" s="8">
        <f>INDEX(Market_Weekly!$Q$6:$Q$48,MATCH($A249,Market_Weekly!$A$6:$A$48,0))</f>
        <v/>
      </c>
      <c r="K249" s="8">
        <f>INDEX(Market_Weekly!$V$6:$V$48,MATCH($A249,Market_Weekly!$A$6:$A$48,0))</f>
        <v/>
      </c>
      <c r="L249" s="16">
        <f>IF($D249="JEA_NSA",INDEX(Market_Weekly!$N$6:$N$48,MATCH($A249,Market_Weekly!$A$6:$A$48,0)),INDEX(Market_Weekly!$O$6:$O$48,MATCH($A249,Market_Weekly!$A$6:$A$48,0)))</f>
        <v/>
      </c>
      <c r="M249" s="8">
        <f>IF($D249="JEA_NSA","M1","M2")</f>
        <v/>
      </c>
      <c r="N249" s="16">
        <f>IF($D249="JEA_NSA",INDEX(Market_Weekly!$L$6:$L$48,MATCH($A249,Market_Weekly!$A$6:$A$48,0)),INDEX(Market_Weekly!$M$6:$M$48,MATCH($A249,Market_Weekly!$A$6:$A$48,0)))</f>
        <v/>
      </c>
      <c r="O249" s="15">
        <f>INDEX(Market_Weekly!$P$6:$P$48,MATCH($A249,Market_Weekly!$A$6:$A$48,0))</f>
        <v/>
      </c>
      <c r="P249" s="8">
        <f>INDEX(Market_Weekly!$R$6:$T$48,MATCH($A249,Market_Weekly!$A$6:$A$48,0),MATCH("grade_factor_"&amp;$C249,Market_Weekly!$R$5:$T$5,0))</f>
        <v/>
      </c>
      <c r="Q249" s="8">
        <f>INDEX(Market_Weekly!$U$6:$U$48,MATCH($A249,Market_Weekly!$A$6:$A$48,0))</f>
        <v/>
      </c>
      <c r="R249" s="8">
        <f>IF($D249="JEA_NSA","20ft","40ft")</f>
        <v/>
      </c>
      <c r="S249" s="8">
        <f>IF($D249="JEA_NSA","nsa","mun")</f>
        <v/>
      </c>
      <c r="T249" s="8">
        <f>IF($D249="JEA_NSA","jea_nsa","usec_mun")</f>
        <v/>
      </c>
      <c r="U249" s="16">
        <f>INDEX(param_values,MATCH("container_payload_mt_"&amp;$R249,param_keys,0))</f>
        <v/>
      </c>
      <c r="V249" s="16">
        <f>INDEX(param_values,MATCH("container_payload_mt_"&amp;$R249&amp;"_"&amp;$C249,param_keys,0))</f>
        <v/>
      </c>
      <c r="W249" s="16">
        <f>INDEX(param_values,MATCH("container_payload_mt_20ft_"&amp;$C249,param_keys,0))</f>
        <v/>
      </c>
      <c r="X249" s="18">
        <f>INDEX(param_values,MATCH("port_cf_charges_inr_t_"&amp;$S249,param_keys,0))</f>
        <v/>
      </c>
      <c r="Y249" s="8">
        <f>INDEX(param_values,MATCH(IF($D249="JEA_NSA","psic_required_uae_origin","psic_required_safe_origin_designated_port"),param_keys,0))</f>
        <v/>
      </c>
      <c r="Z249" s="19">
        <f>INDEX(param_values,MATCH("finance_days_"&amp;$T249,param_keys,0))</f>
        <v/>
      </c>
      <c r="AA249" s="15">
        <f>INDEX(param_values,MATCH("moisture_frac_"&amp;$C249,param_keys,0))</f>
        <v/>
      </c>
      <c r="AB249" s="15">
        <f>INDEX(param_values,MATCH("contamination_frac_"&amp;$C249,param_keys,0))</f>
        <v/>
      </c>
      <c r="AC249" s="15">
        <f>INDEX(param_values,MATCH("metal_yield_frac_"&amp;$C249,param_keys,0))</f>
        <v/>
      </c>
      <c r="AD249" s="15">
        <f>INDEX(param_values,MATCH("heavies_frac_"&amp;$C249,param_keys,0))</f>
        <v/>
      </c>
      <c r="AE249" s="8">
        <f>INDEX(param_values,MATCH("grade_factor_diff_"&amp;$C249,param_keys,0))</f>
        <v/>
      </c>
      <c r="AF249" s="16">
        <f>$F249*$P249</f>
        <v/>
      </c>
      <c r="AG249" s="8">
        <f>$U249/$V249</f>
        <v/>
      </c>
      <c r="AH249" s="16">
        <f>$L249*$AG249</f>
        <v/>
      </c>
      <c r="AI249" s="16">
        <f>$AF249-$AH249</f>
        <v/>
      </c>
      <c r="AJ249" s="16">
        <f>insurance_rate*insured_value_uplift*$AF249</f>
        <v/>
      </c>
      <c r="AK249" s="16">
        <f>$AF249+$AJ249</f>
        <v/>
      </c>
      <c r="AL249" s="18">
        <f>$AK249*$J249</f>
        <v/>
      </c>
      <c r="AM249" s="18">
        <f>$AK249*$I249</f>
        <v/>
      </c>
      <c r="AN249" s="18">
        <f>$AL249*bcd_scrap_hs7602</f>
        <v/>
      </c>
      <c r="AO249" s="18">
        <f>$AN249*sws_rate_on_bcd</f>
        <v/>
      </c>
      <c r="AP249" s="18">
        <f>($AL249+$AN249+$AO249)*igst_rate_hs7602</f>
        <v/>
      </c>
      <c r="AQ249" s="18">
        <f>$X249*$AG249+IF($Y249,psic_cost_usd_per_box*$H249/$W249,0)</f>
        <v/>
      </c>
      <c r="AR249" s="18">
        <f>($AM249+$AN249+$AO249)*$Z249/day_count_inr*$O249</f>
        <v/>
      </c>
      <c r="AS249" s="18">
        <f>$AP249*igst_credit_lag_days/day_count_inr*$O249</f>
        <v/>
      </c>
      <c r="AT249" s="18">
        <f>$AM249+$AN249+$AO249+$AQ249+$AR249+$AS249+IF(igst_itc_available,0,$AP249)</f>
        <v/>
      </c>
      <c r="AU249" s="15">
        <f>(1-$AA249)*(1-$AB249)*$AC249</f>
        <v/>
      </c>
      <c r="AV249" s="18">
        <f>$N249*kg_per_mt+domestic_anchor_premium_inr_t</f>
        <v/>
      </c>
      <c r="AW249" s="18">
        <f>(1-$AA249)*$AD249*heavies_net_value_frac_of_lme_al*$F249*$H249</f>
        <v/>
      </c>
      <c r="AX249" s="18">
        <f>conversion_cost_inr_t*$AU249</f>
        <v/>
      </c>
      <c r="AY249" s="18">
        <f>$AV249*$AU249+$AW249-$AT249-$AX249</f>
        <v/>
      </c>
      <c r="AZ249" s="16">
        <f>$AY249/$H249</f>
        <v/>
      </c>
      <c r="BA249" s="8">
        <f>$AY249&gt;margin_threshold_inr_t</f>
        <v/>
      </c>
      <c r="BB249" s="8">
        <f>$Q249+$AE249</f>
        <v/>
      </c>
      <c r="BC249" s="18">
        <f>$AT249-$AQ249</f>
        <v/>
      </c>
      <c r="BD249" s="18">
        <f>$AY249-$BC249*($BB249/$P249-1)</f>
        <v/>
      </c>
      <c r="BE249" s="18">
        <f>$AY249-(conv_step_5a-conversion_cost_inr_t)*$AU249</f>
        <v/>
      </c>
      <c r="BF249" s="8">
        <f>$BA249</f>
        <v/>
      </c>
      <c r="BG249" s="8">
        <f>$BD249&gt;margin_threshold_inr_t</f>
        <v/>
      </c>
      <c r="BH249" s="8">
        <f>$BE249&gt;margin_threshold_inr_t</f>
        <v/>
      </c>
      <c r="BI249" s="8">
        <f>AND($BF249,$BG249,$BH249)</f>
        <v/>
      </c>
      <c r="BJ249" s="8">
        <f>IF($BI249,1,0)</f>
        <v/>
      </c>
    </row>
    <row r="250">
      <c r="A250" s="11" t="n">
        <v>44848</v>
      </c>
      <c r="B250" s="11" t="n">
        <v>44848</v>
      </c>
      <c r="C250" s="7" t="inlineStr">
        <is>
          <t>tense</t>
        </is>
      </c>
      <c r="D250" s="7" t="inlineStr">
        <is>
          <t>JEA_NSA</t>
        </is>
      </c>
      <c r="E250" s="17" t="b">
        <v>0</v>
      </c>
      <c r="F250" s="16">
        <f>INDEX(Market_Weekly!$E$6:$E$48,MATCH($A250,Market_Weekly!$A$6:$A$48,0))</f>
        <v/>
      </c>
      <c r="G250" s="16">
        <f>INDEX(Market_Weekly!$D$6:$D$48,MATCH($A250,Market_Weekly!$A$6:$A$48,0))</f>
        <v/>
      </c>
      <c r="H250" s="16">
        <f>INDEX(Market_Weekly!$G$6:$G$48,MATCH($A250,Market_Weekly!$A$6:$A$48,0))</f>
        <v/>
      </c>
      <c r="I250" s="8">
        <f>INDEX(Market_Weekly!$H$6:$H$48,MATCH($A250,Market_Weekly!$A$6:$A$48,0))</f>
        <v/>
      </c>
      <c r="J250" s="8">
        <f>INDEX(Market_Weekly!$Q$6:$Q$48,MATCH($A250,Market_Weekly!$A$6:$A$48,0))</f>
        <v/>
      </c>
      <c r="K250" s="8">
        <f>INDEX(Market_Weekly!$V$6:$V$48,MATCH($A250,Market_Weekly!$A$6:$A$48,0))</f>
        <v/>
      </c>
      <c r="L250" s="16">
        <f>IF($D250="JEA_NSA",INDEX(Market_Weekly!$N$6:$N$48,MATCH($A250,Market_Weekly!$A$6:$A$48,0)),INDEX(Market_Weekly!$O$6:$O$48,MATCH($A250,Market_Weekly!$A$6:$A$48,0)))</f>
        <v/>
      </c>
      <c r="M250" s="8">
        <f>IF($D250="JEA_NSA","M1","M2")</f>
        <v/>
      </c>
      <c r="N250" s="16">
        <f>IF($D250="JEA_NSA",INDEX(Market_Weekly!$L$6:$L$48,MATCH($A250,Market_Weekly!$A$6:$A$48,0)),INDEX(Market_Weekly!$M$6:$M$48,MATCH($A250,Market_Weekly!$A$6:$A$48,0)))</f>
        <v/>
      </c>
      <c r="O250" s="15">
        <f>INDEX(Market_Weekly!$P$6:$P$48,MATCH($A250,Market_Weekly!$A$6:$A$48,0))</f>
        <v/>
      </c>
      <c r="P250" s="8">
        <f>INDEX(Market_Weekly!$R$6:$T$48,MATCH($A250,Market_Weekly!$A$6:$A$48,0),MATCH("grade_factor_"&amp;$C250,Market_Weekly!$R$5:$T$5,0))</f>
        <v/>
      </c>
      <c r="Q250" s="8">
        <f>INDEX(Market_Weekly!$U$6:$U$48,MATCH($A250,Market_Weekly!$A$6:$A$48,0))</f>
        <v/>
      </c>
      <c r="R250" s="8">
        <f>IF($D250="JEA_NSA","20ft","40ft")</f>
        <v/>
      </c>
      <c r="S250" s="8">
        <f>IF($D250="JEA_NSA","nsa","mun")</f>
        <v/>
      </c>
      <c r="T250" s="8">
        <f>IF($D250="JEA_NSA","jea_nsa","usec_mun")</f>
        <v/>
      </c>
      <c r="U250" s="16">
        <f>INDEX(param_values,MATCH("container_payload_mt_"&amp;$R250,param_keys,0))</f>
        <v/>
      </c>
      <c r="V250" s="16">
        <f>INDEX(param_values,MATCH("container_payload_mt_"&amp;$R250&amp;"_"&amp;$C250,param_keys,0))</f>
        <v/>
      </c>
      <c r="W250" s="16">
        <f>INDEX(param_values,MATCH("container_payload_mt_20ft_"&amp;$C250,param_keys,0))</f>
        <v/>
      </c>
      <c r="X250" s="18">
        <f>INDEX(param_values,MATCH("port_cf_charges_inr_t_"&amp;$S250,param_keys,0))</f>
        <v/>
      </c>
      <c r="Y250" s="8">
        <f>INDEX(param_values,MATCH(IF($D250="JEA_NSA","psic_required_uae_origin","psic_required_safe_origin_designated_port"),param_keys,0))</f>
        <v/>
      </c>
      <c r="Z250" s="19">
        <f>INDEX(param_values,MATCH("finance_days_"&amp;$T250,param_keys,0))</f>
        <v/>
      </c>
      <c r="AA250" s="15">
        <f>INDEX(param_values,MATCH("moisture_frac_"&amp;$C250,param_keys,0))</f>
        <v/>
      </c>
      <c r="AB250" s="15">
        <f>INDEX(param_values,MATCH("contamination_frac_"&amp;$C250,param_keys,0))</f>
        <v/>
      </c>
      <c r="AC250" s="15">
        <f>INDEX(param_values,MATCH("metal_yield_frac_"&amp;$C250,param_keys,0))</f>
        <v/>
      </c>
      <c r="AD250" s="15">
        <f>INDEX(param_values,MATCH("heavies_frac_"&amp;$C250,param_keys,0))</f>
        <v/>
      </c>
      <c r="AE250" s="8">
        <f>INDEX(param_values,MATCH("grade_factor_diff_"&amp;$C250,param_keys,0))</f>
        <v/>
      </c>
      <c r="AF250" s="16">
        <f>$F250*$P250</f>
        <v/>
      </c>
      <c r="AG250" s="8">
        <f>$U250/$V250</f>
        <v/>
      </c>
      <c r="AH250" s="16">
        <f>$L250*$AG250</f>
        <v/>
      </c>
      <c r="AI250" s="16">
        <f>$AF250-$AH250</f>
        <v/>
      </c>
      <c r="AJ250" s="16">
        <f>insurance_rate*insured_value_uplift*$AF250</f>
        <v/>
      </c>
      <c r="AK250" s="16">
        <f>$AF250+$AJ250</f>
        <v/>
      </c>
      <c r="AL250" s="18">
        <f>$AK250*$J250</f>
        <v/>
      </c>
      <c r="AM250" s="18">
        <f>$AK250*$I250</f>
        <v/>
      </c>
      <c r="AN250" s="18">
        <f>$AL250*bcd_scrap_hs7602</f>
        <v/>
      </c>
      <c r="AO250" s="18">
        <f>$AN250*sws_rate_on_bcd</f>
        <v/>
      </c>
      <c r="AP250" s="18">
        <f>($AL250+$AN250+$AO250)*igst_rate_hs7602</f>
        <v/>
      </c>
      <c r="AQ250" s="18">
        <f>$X250*$AG250+IF($Y250,psic_cost_usd_per_box*$H250/$W250,0)</f>
        <v/>
      </c>
      <c r="AR250" s="18">
        <f>($AM250+$AN250+$AO250)*$Z250/day_count_inr*$O250</f>
        <v/>
      </c>
      <c r="AS250" s="18">
        <f>$AP250*igst_credit_lag_days/day_count_inr*$O250</f>
        <v/>
      </c>
      <c r="AT250" s="18">
        <f>$AM250+$AN250+$AO250+$AQ250+$AR250+$AS250+IF(igst_itc_available,0,$AP250)</f>
        <v/>
      </c>
      <c r="AU250" s="15">
        <f>(1-$AA250)*(1-$AB250)*$AC250</f>
        <v/>
      </c>
      <c r="AV250" s="18">
        <f>$N250*kg_per_mt+domestic_anchor_premium_inr_t</f>
        <v/>
      </c>
      <c r="AW250" s="18">
        <f>(1-$AA250)*$AD250*heavies_net_value_frac_of_lme_al*$F250*$H250</f>
        <v/>
      </c>
      <c r="AX250" s="18">
        <f>conversion_cost_inr_t*$AU250</f>
        <v/>
      </c>
      <c r="AY250" s="18">
        <f>$AV250*$AU250+$AW250-$AT250-$AX250</f>
        <v/>
      </c>
      <c r="AZ250" s="16">
        <f>$AY250/$H250</f>
        <v/>
      </c>
      <c r="BA250" s="8">
        <f>$AY250&gt;margin_threshold_inr_t</f>
        <v/>
      </c>
      <c r="BB250" s="8">
        <f>$Q250+$AE250</f>
        <v/>
      </c>
      <c r="BC250" s="18">
        <f>$AT250-$AQ250</f>
        <v/>
      </c>
      <c r="BD250" s="18">
        <f>$AY250-$BC250*($BB250/$P250-1)</f>
        <v/>
      </c>
      <c r="BE250" s="18">
        <f>$AY250-(conv_step_5a-conversion_cost_inr_t)*$AU250</f>
        <v/>
      </c>
      <c r="BF250" s="8">
        <f>$BA250</f>
        <v/>
      </c>
      <c r="BG250" s="8">
        <f>$BD250&gt;margin_threshold_inr_t</f>
        <v/>
      </c>
      <c r="BH250" s="8">
        <f>$BE250&gt;margin_threshold_inr_t</f>
        <v/>
      </c>
      <c r="BI250" s="8">
        <f>AND($BF250,$BG250,$BH250)</f>
        <v/>
      </c>
      <c r="BJ250" s="8">
        <f>IF($BI250,1,0)</f>
        <v/>
      </c>
    </row>
    <row r="251">
      <c r="A251" s="11" t="n">
        <v>44848</v>
      </c>
      <c r="B251" s="11" t="n">
        <v>44848</v>
      </c>
      <c r="C251" s="7" t="inlineStr">
        <is>
          <t>tense</t>
        </is>
      </c>
      <c r="D251" s="7" t="inlineStr">
        <is>
          <t>USEC_MUN</t>
        </is>
      </c>
      <c r="E251" s="17" t="b">
        <v>0</v>
      </c>
      <c r="F251" s="16">
        <f>INDEX(Market_Weekly!$E$6:$E$48,MATCH($A251,Market_Weekly!$A$6:$A$48,0))</f>
        <v/>
      </c>
      <c r="G251" s="16">
        <f>INDEX(Market_Weekly!$D$6:$D$48,MATCH($A251,Market_Weekly!$A$6:$A$48,0))</f>
        <v/>
      </c>
      <c r="H251" s="16">
        <f>INDEX(Market_Weekly!$G$6:$G$48,MATCH($A251,Market_Weekly!$A$6:$A$48,0))</f>
        <v/>
      </c>
      <c r="I251" s="8">
        <f>INDEX(Market_Weekly!$H$6:$H$48,MATCH($A251,Market_Weekly!$A$6:$A$48,0))</f>
        <v/>
      </c>
      <c r="J251" s="8">
        <f>INDEX(Market_Weekly!$Q$6:$Q$48,MATCH($A251,Market_Weekly!$A$6:$A$48,0))</f>
        <v/>
      </c>
      <c r="K251" s="8">
        <f>INDEX(Market_Weekly!$V$6:$V$48,MATCH($A251,Market_Weekly!$A$6:$A$48,0))</f>
        <v/>
      </c>
      <c r="L251" s="16">
        <f>IF($D251="JEA_NSA",INDEX(Market_Weekly!$N$6:$N$48,MATCH($A251,Market_Weekly!$A$6:$A$48,0)),INDEX(Market_Weekly!$O$6:$O$48,MATCH($A251,Market_Weekly!$A$6:$A$48,0)))</f>
        <v/>
      </c>
      <c r="M251" s="8">
        <f>IF($D251="JEA_NSA","M1","M2")</f>
        <v/>
      </c>
      <c r="N251" s="16">
        <f>IF($D251="JEA_NSA",INDEX(Market_Weekly!$L$6:$L$48,MATCH($A251,Market_Weekly!$A$6:$A$48,0)),INDEX(Market_Weekly!$M$6:$M$48,MATCH($A251,Market_Weekly!$A$6:$A$48,0)))</f>
        <v/>
      </c>
      <c r="O251" s="15">
        <f>INDEX(Market_Weekly!$P$6:$P$48,MATCH($A251,Market_Weekly!$A$6:$A$48,0))</f>
        <v/>
      </c>
      <c r="P251" s="8">
        <f>INDEX(Market_Weekly!$R$6:$T$48,MATCH($A251,Market_Weekly!$A$6:$A$48,0),MATCH("grade_factor_"&amp;$C251,Market_Weekly!$R$5:$T$5,0))</f>
        <v/>
      </c>
      <c r="Q251" s="8">
        <f>INDEX(Market_Weekly!$U$6:$U$48,MATCH($A251,Market_Weekly!$A$6:$A$48,0))</f>
        <v/>
      </c>
      <c r="R251" s="8">
        <f>IF($D251="JEA_NSA","20ft","40ft")</f>
        <v/>
      </c>
      <c r="S251" s="8">
        <f>IF($D251="JEA_NSA","nsa","mun")</f>
        <v/>
      </c>
      <c r="T251" s="8">
        <f>IF($D251="JEA_NSA","jea_nsa","usec_mun")</f>
        <v/>
      </c>
      <c r="U251" s="16">
        <f>INDEX(param_values,MATCH("container_payload_mt_"&amp;$R251,param_keys,0))</f>
        <v/>
      </c>
      <c r="V251" s="16">
        <f>INDEX(param_values,MATCH("container_payload_mt_"&amp;$R251&amp;"_"&amp;$C251,param_keys,0))</f>
        <v/>
      </c>
      <c r="W251" s="16">
        <f>INDEX(param_values,MATCH("container_payload_mt_20ft_"&amp;$C251,param_keys,0))</f>
        <v/>
      </c>
      <c r="X251" s="18">
        <f>INDEX(param_values,MATCH("port_cf_charges_inr_t_"&amp;$S251,param_keys,0))</f>
        <v/>
      </c>
      <c r="Y251" s="8">
        <f>INDEX(param_values,MATCH(IF($D251="JEA_NSA","psic_required_uae_origin","psic_required_safe_origin_designated_port"),param_keys,0))</f>
        <v/>
      </c>
      <c r="Z251" s="19">
        <f>INDEX(param_values,MATCH("finance_days_"&amp;$T251,param_keys,0))</f>
        <v/>
      </c>
      <c r="AA251" s="15">
        <f>INDEX(param_values,MATCH("moisture_frac_"&amp;$C251,param_keys,0))</f>
        <v/>
      </c>
      <c r="AB251" s="15">
        <f>INDEX(param_values,MATCH("contamination_frac_"&amp;$C251,param_keys,0))</f>
        <v/>
      </c>
      <c r="AC251" s="15">
        <f>INDEX(param_values,MATCH("metal_yield_frac_"&amp;$C251,param_keys,0))</f>
        <v/>
      </c>
      <c r="AD251" s="15">
        <f>INDEX(param_values,MATCH("heavies_frac_"&amp;$C251,param_keys,0))</f>
        <v/>
      </c>
      <c r="AE251" s="8">
        <f>INDEX(param_values,MATCH("grade_factor_diff_"&amp;$C251,param_keys,0))</f>
        <v/>
      </c>
      <c r="AF251" s="16">
        <f>$F251*$P251</f>
        <v/>
      </c>
      <c r="AG251" s="8">
        <f>$U251/$V251</f>
        <v/>
      </c>
      <c r="AH251" s="16">
        <f>$L251*$AG251</f>
        <v/>
      </c>
      <c r="AI251" s="16">
        <f>$AF251-$AH251</f>
        <v/>
      </c>
      <c r="AJ251" s="16">
        <f>insurance_rate*insured_value_uplift*$AF251</f>
        <v/>
      </c>
      <c r="AK251" s="16">
        <f>$AF251+$AJ251</f>
        <v/>
      </c>
      <c r="AL251" s="18">
        <f>$AK251*$J251</f>
        <v/>
      </c>
      <c r="AM251" s="18">
        <f>$AK251*$I251</f>
        <v/>
      </c>
      <c r="AN251" s="18">
        <f>$AL251*bcd_scrap_hs7602</f>
        <v/>
      </c>
      <c r="AO251" s="18">
        <f>$AN251*sws_rate_on_bcd</f>
        <v/>
      </c>
      <c r="AP251" s="18">
        <f>($AL251+$AN251+$AO251)*igst_rate_hs7602</f>
        <v/>
      </c>
      <c r="AQ251" s="18">
        <f>$X251*$AG251+IF($Y251,psic_cost_usd_per_box*$H251/$W251,0)</f>
        <v/>
      </c>
      <c r="AR251" s="18">
        <f>($AM251+$AN251+$AO251)*$Z251/day_count_inr*$O251</f>
        <v/>
      </c>
      <c r="AS251" s="18">
        <f>$AP251*igst_credit_lag_days/day_count_inr*$O251</f>
        <v/>
      </c>
      <c r="AT251" s="18">
        <f>$AM251+$AN251+$AO251+$AQ251+$AR251+$AS251+IF(igst_itc_available,0,$AP251)</f>
        <v/>
      </c>
      <c r="AU251" s="15">
        <f>(1-$AA251)*(1-$AB251)*$AC251</f>
        <v/>
      </c>
      <c r="AV251" s="18">
        <f>$N251*kg_per_mt+domestic_anchor_premium_inr_t</f>
        <v/>
      </c>
      <c r="AW251" s="18">
        <f>(1-$AA251)*$AD251*heavies_net_value_frac_of_lme_al*$F251*$H251</f>
        <v/>
      </c>
      <c r="AX251" s="18">
        <f>conversion_cost_inr_t*$AU251</f>
        <v/>
      </c>
      <c r="AY251" s="18">
        <f>$AV251*$AU251+$AW251-$AT251-$AX251</f>
        <v/>
      </c>
      <c r="AZ251" s="16">
        <f>$AY251/$H251</f>
        <v/>
      </c>
      <c r="BA251" s="8">
        <f>$AY251&gt;margin_threshold_inr_t</f>
        <v/>
      </c>
      <c r="BB251" s="8">
        <f>$Q251+$AE251</f>
        <v/>
      </c>
      <c r="BC251" s="18">
        <f>$AT251-$AQ251</f>
        <v/>
      </c>
      <c r="BD251" s="18">
        <f>$AY251-$BC251*($BB251/$P251-1)</f>
        <v/>
      </c>
      <c r="BE251" s="18">
        <f>$AY251-(conv_step_5a-conversion_cost_inr_t)*$AU251</f>
        <v/>
      </c>
      <c r="BF251" s="8">
        <f>$BA251</f>
        <v/>
      </c>
      <c r="BG251" s="8">
        <f>$BD251&gt;margin_threshold_inr_t</f>
        <v/>
      </c>
      <c r="BH251" s="8">
        <f>$BE251&gt;margin_threshold_inr_t</f>
        <v/>
      </c>
      <c r="BI251" s="8">
        <f>AND($BF251,$BG251,$BH251)</f>
        <v/>
      </c>
      <c r="BJ251" s="8">
        <f>IF($BI251,1,0)</f>
        <v/>
      </c>
    </row>
    <row r="252">
      <c r="A252" s="11" t="n">
        <v>44855</v>
      </c>
      <c r="B252" s="11" t="n">
        <v>44855</v>
      </c>
      <c r="C252" s="7" t="inlineStr">
        <is>
          <t>zorba</t>
        </is>
      </c>
      <c r="D252" s="7" t="inlineStr">
        <is>
          <t>JEA_NSA</t>
        </is>
      </c>
      <c r="E252" s="17" t="b">
        <v>0</v>
      </c>
      <c r="F252" s="16">
        <f>INDEX(Market_Weekly!$E$6:$E$48,MATCH($A252,Market_Weekly!$A$6:$A$48,0))</f>
        <v/>
      </c>
      <c r="G252" s="16">
        <f>INDEX(Market_Weekly!$D$6:$D$48,MATCH($A252,Market_Weekly!$A$6:$A$48,0))</f>
        <v/>
      </c>
      <c r="H252" s="16">
        <f>INDEX(Market_Weekly!$G$6:$G$48,MATCH($A252,Market_Weekly!$A$6:$A$48,0))</f>
        <v/>
      </c>
      <c r="I252" s="8">
        <f>INDEX(Market_Weekly!$H$6:$H$48,MATCH($A252,Market_Weekly!$A$6:$A$48,0))</f>
        <v/>
      </c>
      <c r="J252" s="8">
        <f>INDEX(Market_Weekly!$Q$6:$Q$48,MATCH($A252,Market_Weekly!$A$6:$A$48,0))</f>
        <v/>
      </c>
      <c r="K252" s="8">
        <f>INDEX(Market_Weekly!$V$6:$V$48,MATCH($A252,Market_Weekly!$A$6:$A$48,0))</f>
        <v/>
      </c>
      <c r="L252" s="16">
        <f>IF($D252="JEA_NSA",INDEX(Market_Weekly!$N$6:$N$48,MATCH($A252,Market_Weekly!$A$6:$A$48,0)),INDEX(Market_Weekly!$O$6:$O$48,MATCH($A252,Market_Weekly!$A$6:$A$48,0)))</f>
        <v/>
      </c>
      <c r="M252" s="8">
        <f>IF($D252="JEA_NSA","M1","M2")</f>
        <v/>
      </c>
      <c r="N252" s="16">
        <f>IF($D252="JEA_NSA",INDEX(Market_Weekly!$L$6:$L$48,MATCH($A252,Market_Weekly!$A$6:$A$48,0)),INDEX(Market_Weekly!$M$6:$M$48,MATCH($A252,Market_Weekly!$A$6:$A$48,0)))</f>
        <v/>
      </c>
      <c r="O252" s="15">
        <f>INDEX(Market_Weekly!$P$6:$P$48,MATCH($A252,Market_Weekly!$A$6:$A$48,0))</f>
        <v/>
      </c>
      <c r="P252" s="8">
        <f>INDEX(Market_Weekly!$R$6:$T$48,MATCH($A252,Market_Weekly!$A$6:$A$48,0),MATCH("grade_factor_"&amp;$C252,Market_Weekly!$R$5:$T$5,0))</f>
        <v/>
      </c>
      <c r="Q252" s="8">
        <f>INDEX(Market_Weekly!$U$6:$U$48,MATCH($A252,Market_Weekly!$A$6:$A$48,0))</f>
        <v/>
      </c>
      <c r="R252" s="8">
        <f>IF($D252="JEA_NSA","20ft","40ft")</f>
        <v/>
      </c>
      <c r="S252" s="8">
        <f>IF($D252="JEA_NSA","nsa","mun")</f>
        <v/>
      </c>
      <c r="T252" s="8">
        <f>IF($D252="JEA_NSA","jea_nsa","usec_mun")</f>
        <v/>
      </c>
      <c r="U252" s="16">
        <f>INDEX(param_values,MATCH("container_payload_mt_"&amp;$R252,param_keys,0))</f>
        <v/>
      </c>
      <c r="V252" s="16">
        <f>INDEX(param_values,MATCH("container_payload_mt_"&amp;$R252&amp;"_"&amp;$C252,param_keys,0))</f>
        <v/>
      </c>
      <c r="W252" s="16">
        <f>INDEX(param_values,MATCH("container_payload_mt_20ft_"&amp;$C252,param_keys,0))</f>
        <v/>
      </c>
      <c r="X252" s="18">
        <f>INDEX(param_values,MATCH("port_cf_charges_inr_t_"&amp;$S252,param_keys,0))</f>
        <v/>
      </c>
      <c r="Y252" s="8">
        <f>INDEX(param_values,MATCH(IF($D252="JEA_NSA","psic_required_uae_origin","psic_required_safe_origin_designated_port"),param_keys,0))</f>
        <v/>
      </c>
      <c r="Z252" s="19">
        <f>INDEX(param_values,MATCH("finance_days_"&amp;$T252,param_keys,0))</f>
        <v/>
      </c>
      <c r="AA252" s="15">
        <f>INDEX(param_values,MATCH("moisture_frac_"&amp;$C252,param_keys,0))</f>
        <v/>
      </c>
      <c r="AB252" s="15">
        <f>INDEX(param_values,MATCH("contamination_frac_"&amp;$C252,param_keys,0))</f>
        <v/>
      </c>
      <c r="AC252" s="15">
        <f>INDEX(param_values,MATCH("metal_yield_frac_"&amp;$C252,param_keys,0))</f>
        <v/>
      </c>
      <c r="AD252" s="15">
        <f>INDEX(param_values,MATCH("heavies_frac_"&amp;$C252,param_keys,0))</f>
        <v/>
      </c>
      <c r="AE252" s="8">
        <f>INDEX(param_values,MATCH("grade_factor_diff_"&amp;$C252,param_keys,0))</f>
        <v/>
      </c>
      <c r="AF252" s="16">
        <f>$F252*$P252</f>
        <v/>
      </c>
      <c r="AG252" s="8">
        <f>$U252/$V252</f>
        <v/>
      </c>
      <c r="AH252" s="16">
        <f>$L252*$AG252</f>
        <v/>
      </c>
      <c r="AI252" s="16">
        <f>$AF252-$AH252</f>
        <v/>
      </c>
      <c r="AJ252" s="16">
        <f>insurance_rate*insured_value_uplift*$AF252</f>
        <v/>
      </c>
      <c r="AK252" s="16">
        <f>$AF252+$AJ252</f>
        <v/>
      </c>
      <c r="AL252" s="18">
        <f>$AK252*$J252</f>
        <v/>
      </c>
      <c r="AM252" s="18">
        <f>$AK252*$I252</f>
        <v/>
      </c>
      <c r="AN252" s="18">
        <f>$AL252*bcd_scrap_hs7602</f>
        <v/>
      </c>
      <c r="AO252" s="18">
        <f>$AN252*sws_rate_on_bcd</f>
        <v/>
      </c>
      <c r="AP252" s="18">
        <f>($AL252+$AN252+$AO252)*igst_rate_hs7602</f>
        <v/>
      </c>
      <c r="AQ252" s="18">
        <f>$X252*$AG252+IF($Y252,psic_cost_usd_per_box*$H252/$W252,0)</f>
        <v/>
      </c>
      <c r="AR252" s="18">
        <f>($AM252+$AN252+$AO252)*$Z252/day_count_inr*$O252</f>
        <v/>
      </c>
      <c r="AS252" s="18">
        <f>$AP252*igst_credit_lag_days/day_count_inr*$O252</f>
        <v/>
      </c>
      <c r="AT252" s="18">
        <f>$AM252+$AN252+$AO252+$AQ252+$AR252+$AS252+IF(igst_itc_available,0,$AP252)</f>
        <v/>
      </c>
      <c r="AU252" s="15">
        <f>(1-$AA252)*(1-$AB252)*$AC252</f>
        <v/>
      </c>
      <c r="AV252" s="18">
        <f>$N252*kg_per_mt+domestic_anchor_premium_inr_t</f>
        <v/>
      </c>
      <c r="AW252" s="18">
        <f>(1-$AA252)*$AD252*heavies_net_value_frac_of_lme_al*$F252*$H252</f>
        <v/>
      </c>
      <c r="AX252" s="18">
        <f>conversion_cost_inr_t*$AU252</f>
        <v/>
      </c>
      <c r="AY252" s="18">
        <f>$AV252*$AU252+$AW252-$AT252-$AX252</f>
        <v/>
      </c>
      <c r="AZ252" s="16">
        <f>$AY252/$H252</f>
        <v/>
      </c>
      <c r="BA252" s="8">
        <f>$AY252&gt;margin_threshold_inr_t</f>
        <v/>
      </c>
      <c r="BB252" s="8">
        <f>$Q252+$AE252</f>
        <v/>
      </c>
      <c r="BC252" s="18">
        <f>$AT252-$AQ252</f>
        <v/>
      </c>
      <c r="BD252" s="18">
        <f>$AY252-$BC252*($BB252/$P252-1)</f>
        <v/>
      </c>
      <c r="BE252" s="18">
        <f>$AY252-(conv_step_5a-conversion_cost_inr_t)*$AU252</f>
        <v/>
      </c>
      <c r="BF252" s="8">
        <f>$BA252</f>
        <v/>
      </c>
      <c r="BG252" s="8">
        <f>$BD252&gt;margin_threshold_inr_t</f>
        <v/>
      </c>
      <c r="BH252" s="8">
        <f>$BE252&gt;margin_threshold_inr_t</f>
        <v/>
      </c>
      <c r="BI252" s="8">
        <f>AND($BF252,$BG252,$BH252)</f>
        <v/>
      </c>
      <c r="BJ252" s="8">
        <f>IF($BI252,1,0)</f>
        <v/>
      </c>
    </row>
    <row r="253">
      <c r="A253" s="11" t="n">
        <v>44855</v>
      </c>
      <c r="B253" s="11" t="n">
        <v>44855</v>
      </c>
      <c r="C253" s="7" t="inlineStr">
        <is>
          <t>zorba</t>
        </is>
      </c>
      <c r="D253" s="7" t="inlineStr">
        <is>
          <t>USEC_MUN</t>
        </is>
      </c>
      <c r="E253" s="17" t="b">
        <v>0</v>
      </c>
      <c r="F253" s="16">
        <f>INDEX(Market_Weekly!$E$6:$E$48,MATCH($A253,Market_Weekly!$A$6:$A$48,0))</f>
        <v/>
      </c>
      <c r="G253" s="16">
        <f>INDEX(Market_Weekly!$D$6:$D$48,MATCH($A253,Market_Weekly!$A$6:$A$48,0))</f>
        <v/>
      </c>
      <c r="H253" s="16">
        <f>INDEX(Market_Weekly!$G$6:$G$48,MATCH($A253,Market_Weekly!$A$6:$A$48,0))</f>
        <v/>
      </c>
      <c r="I253" s="8">
        <f>INDEX(Market_Weekly!$H$6:$H$48,MATCH($A253,Market_Weekly!$A$6:$A$48,0))</f>
        <v/>
      </c>
      <c r="J253" s="8">
        <f>INDEX(Market_Weekly!$Q$6:$Q$48,MATCH($A253,Market_Weekly!$A$6:$A$48,0))</f>
        <v/>
      </c>
      <c r="K253" s="8">
        <f>INDEX(Market_Weekly!$V$6:$V$48,MATCH($A253,Market_Weekly!$A$6:$A$48,0))</f>
        <v/>
      </c>
      <c r="L253" s="16">
        <f>IF($D253="JEA_NSA",INDEX(Market_Weekly!$N$6:$N$48,MATCH($A253,Market_Weekly!$A$6:$A$48,0)),INDEX(Market_Weekly!$O$6:$O$48,MATCH($A253,Market_Weekly!$A$6:$A$48,0)))</f>
        <v/>
      </c>
      <c r="M253" s="8">
        <f>IF($D253="JEA_NSA","M1","M2")</f>
        <v/>
      </c>
      <c r="N253" s="16">
        <f>IF($D253="JEA_NSA",INDEX(Market_Weekly!$L$6:$L$48,MATCH($A253,Market_Weekly!$A$6:$A$48,0)),INDEX(Market_Weekly!$M$6:$M$48,MATCH($A253,Market_Weekly!$A$6:$A$48,0)))</f>
        <v/>
      </c>
      <c r="O253" s="15">
        <f>INDEX(Market_Weekly!$P$6:$P$48,MATCH($A253,Market_Weekly!$A$6:$A$48,0))</f>
        <v/>
      </c>
      <c r="P253" s="8">
        <f>INDEX(Market_Weekly!$R$6:$T$48,MATCH($A253,Market_Weekly!$A$6:$A$48,0),MATCH("grade_factor_"&amp;$C253,Market_Weekly!$R$5:$T$5,0))</f>
        <v/>
      </c>
      <c r="Q253" s="8">
        <f>INDEX(Market_Weekly!$U$6:$U$48,MATCH($A253,Market_Weekly!$A$6:$A$48,0))</f>
        <v/>
      </c>
      <c r="R253" s="8">
        <f>IF($D253="JEA_NSA","20ft","40ft")</f>
        <v/>
      </c>
      <c r="S253" s="8">
        <f>IF($D253="JEA_NSA","nsa","mun")</f>
        <v/>
      </c>
      <c r="T253" s="8">
        <f>IF($D253="JEA_NSA","jea_nsa","usec_mun")</f>
        <v/>
      </c>
      <c r="U253" s="16">
        <f>INDEX(param_values,MATCH("container_payload_mt_"&amp;$R253,param_keys,0))</f>
        <v/>
      </c>
      <c r="V253" s="16">
        <f>INDEX(param_values,MATCH("container_payload_mt_"&amp;$R253&amp;"_"&amp;$C253,param_keys,0))</f>
        <v/>
      </c>
      <c r="W253" s="16">
        <f>INDEX(param_values,MATCH("container_payload_mt_20ft_"&amp;$C253,param_keys,0))</f>
        <v/>
      </c>
      <c r="X253" s="18">
        <f>INDEX(param_values,MATCH("port_cf_charges_inr_t_"&amp;$S253,param_keys,0))</f>
        <v/>
      </c>
      <c r="Y253" s="8">
        <f>INDEX(param_values,MATCH(IF($D253="JEA_NSA","psic_required_uae_origin","psic_required_safe_origin_designated_port"),param_keys,0))</f>
        <v/>
      </c>
      <c r="Z253" s="19">
        <f>INDEX(param_values,MATCH("finance_days_"&amp;$T253,param_keys,0))</f>
        <v/>
      </c>
      <c r="AA253" s="15">
        <f>INDEX(param_values,MATCH("moisture_frac_"&amp;$C253,param_keys,0))</f>
        <v/>
      </c>
      <c r="AB253" s="15">
        <f>INDEX(param_values,MATCH("contamination_frac_"&amp;$C253,param_keys,0))</f>
        <v/>
      </c>
      <c r="AC253" s="15">
        <f>INDEX(param_values,MATCH("metal_yield_frac_"&amp;$C253,param_keys,0))</f>
        <v/>
      </c>
      <c r="AD253" s="15">
        <f>INDEX(param_values,MATCH("heavies_frac_"&amp;$C253,param_keys,0))</f>
        <v/>
      </c>
      <c r="AE253" s="8">
        <f>INDEX(param_values,MATCH("grade_factor_diff_"&amp;$C253,param_keys,0))</f>
        <v/>
      </c>
      <c r="AF253" s="16">
        <f>$F253*$P253</f>
        <v/>
      </c>
      <c r="AG253" s="8">
        <f>$U253/$V253</f>
        <v/>
      </c>
      <c r="AH253" s="16">
        <f>$L253*$AG253</f>
        <v/>
      </c>
      <c r="AI253" s="16">
        <f>$AF253-$AH253</f>
        <v/>
      </c>
      <c r="AJ253" s="16">
        <f>insurance_rate*insured_value_uplift*$AF253</f>
        <v/>
      </c>
      <c r="AK253" s="16">
        <f>$AF253+$AJ253</f>
        <v/>
      </c>
      <c r="AL253" s="18">
        <f>$AK253*$J253</f>
        <v/>
      </c>
      <c r="AM253" s="18">
        <f>$AK253*$I253</f>
        <v/>
      </c>
      <c r="AN253" s="18">
        <f>$AL253*bcd_scrap_hs7602</f>
        <v/>
      </c>
      <c r="AO253" s="18">
        <f>$AN253*sws_rate_on_bcd</f>
        <v/>
      </c>
      <c r="AP253" s="18">
        <f>($AL253+$AN253+$AO253)*igst_rate_hs7602</f>
        <v/>
      </c>
      <c r="AQ253" s="18">
        <f>$X253*$AG253+IF($Y253,psic_cost_usd_per_box*$H253/$W253,0)</f>
        <v/>
      </c>
      <c r="AR253" s="18">
        <f>($AM253+$AN253+$AO253)*$Z253/day_count_inr*$O253</f>
        <v/>
      </c>
      <c r="AS253" s="18">
        <f>$AP253*igst_credit_lag_days/day_count_inr*$O253</f>
        <v/>
      </c>
      <c r="AT253" s="18">
        <f>$AM253+$AN253+$AO253+$AQ253+$AR253+$AS253+IF(igst_itc_available,0,$AP253)</f>
        <v/>
      </c>
      <c r="AU253" s="15">
        <f>(1-$AA253)*(1-$AB253)*$AC253</f>
        <v/>
      </c>
      <c r="AV253" s="18">
        <f>$N253*kg_per_mt+domestic_anchor_premium_inr_t</f>
        <v/>
      </c>
      <c r="AW253" s="18">
        <f>(1-$AA253)*$AD253*heavies_net_value_frac_of_lme_al*$F253*$H253</f>
        <v/>
      </c>
      <c r="AX253" s="18">
        <f>conversion_cost_inr_t*$AU253</f>
        <v/>
      </c>
      <c r="AY253" s="18">
        <f>$AV253*$AU253+$AW253-$AT253-$AX253</f>
        <v/>
      </c>
      <c r="AZ253" s="16">
        <f>$AY253/$H253</f>
        <v/>
      </c>
      <c r="BA253" s="8">
        <f>$AY253&gt;margin_threshold_inr_t</f>
        <v/>
      </c>
      <c r="BB253" s="8">
        <f>$Q253+$AE253</f>
        <v/>
      </c>
      <c r="BC253" s="18">
        <f>$AT253-$AQ253</f>
        <v/>
      </c>
      <c r="BD253" s="18">
        <f>$AY253-$BC253*($BB253/$P253-1)</f>
        <v/>
      </c>
      <c r="BE253" s="18">
        <f>$AY253-(conv_step_5a-conversion_cost_inr_t)*$AU253</f>
        <v/>
      </c>
      <c r="BF253" s="8">
        <f>$BA253</f>
        <v/>
      </c>
      <c r="BG253" s="8">
        <f>$BD253&gt;margin_threshold_inr_t</f>
        <v/>
      </c>
      <c r="BH253" s="8">
        <f>$BE253&gt;margin_threshold_inr_t</f>
        <v/>
      </c>
      <c r="BI253" s="8">
        <f>AND($BF253,$BG253,$BH253)</f>
        <v/>
      </c>
      <c r="BJ253" s="8">
        <f>IF($BI253,1,0)</f>
        <v/>
      </c>
    </row>
    <row r="254">
      <c r="A254" s="11" t="n">
        <v>44855</v>
      </c>
      <c r="B254" s="11" t="n">
        <v>44855</v>
      </c>
      <c r="C254" s="7" t="inlineStr">
        <is>
          <t>taint_tabor</t>
        </is>
      </c>
      <c r="D254" s="7" t="inlineStr">
        <is>
          <t>JEA_NSA</t>
        </is>
      </c>
      <c r="E254" s="17" t="b">
        <v>0</v>
      </c>
      <c r="F254" s="16">
        <f>INDEX(Market_Weekly!$E$6:$E$48,MATCH($A254,Market_Weekly!$A$6:$A$48,0))</f>
        <v/>
      </c>
      <c r="G254" s="16">
        <f>INDEX(Market_Weekly!$D$6:$D$48,MATCH($A254,Market_Weekly!$A$6:$A$48,0))</f>
        <v/>
      </c>
      <c r="H254" s="16">
        <f>INDEX(Market_Weekly!$G$6:$G$48,MATCH($A254,Market_Weekly!$A$6:$A$48,0))</f>
        <v/>
      </c>
      <c r="I254" s="8">
        <f>INDEX(Market_Weekly!$H$6:$H$48,MATCH($A254,Market_Weekly!$A$6:$A$48,0))</f>
        <v/>
      </c>
      <c r="J254" s="8">
        <f>INDEX(Market_Weekly!$Q$6:$Q$48,MATCH($A254,Market_Weekly!$A$6:$A$48,0))</f>
        <v/>
      </c>
      <c r="K254" s="8">
        <f>INDEX(Market_Weekly!$V$6:$V$48,MATCH($A254,Market_Weekly!$A$6:$A$48,0))</f>
        <v/>
      </c>
      <c r="L254" s="16">
        <f>IF($D254="JEA_NSA",INDEX(Market_Weekly!$N$6:$N$48,MATCH($A254,Market_Weekly!$A$6:$A$48,0)),INDEX(Market_Weekly!$O$6:$O$48,MATCH($A254,Market_Weekly!$A$6:$A$48,0)))</f>
        <v/>
      </c>
      <c r="M254" s="8">
        <f>IF($D254="JEA_NSA","M1","M2")</f>
        <v/>
      </c>
      <c r="N254" s="16">
        <f>IF($D254="JEA_NSA",INDEX(Market_Weekly!$L$6:$L$48,MATCH($A254,Market_Weekly!$A$6:$A$48,0)),INDEX(Market_Weekly!$M$6:$M$48,MATCH($A254,Market_Weekly!$A$6:$A$48,0)))</f>
        <v/>
      </c>
      <c r="O254" s="15">
        <f>INDEX(Market_Weekly!$P$6:$P$48,MATCH($A254,Market_Weekly!$A$6:$A$48,0))</f>
        <v/>
      </c>
      <c r="P254" s="8">
        <f>INDEX(Market_Weekly!$R$6:$T$48,MATCH($A254,Market_Weekly!$A$6:$A$48,0),MATCH("grade_factor_"&amp;$C254,Market_Weekly!$R$5:$T$5,0))</f>
        <v/>
      </c>
      <c r="Q254" s="8">
        <f>INDEX(Market_Weekly!$U$6:$U$48,MATCH($A254,Market_Weekly!$A$6:$A$48,0))</f>
        <v/>
      </c>
      <c r="R254" s="8">
        <f>IF($D254="JEA_NSA","20ft","40ft")</f>
        <v/>
      </c>
      <c r="S254" s="8">
        <f>IF($D254="JEA_NSA","nsa","mun")</f>
        <v/>
      </c>
      <c r="T254" s="8">
        <f>IF($D254="JEA_NSA","jea_nsa","usec_mun")</f>
        <v/>
      </c>
      <c r="U254" s="16">
        <f>INDEX(param_values,MATCH("container_payload_mt_"&amp;$R254,param_keys,0))</f>
        <v/>
      </c>
      <c r="V254" s="16">
        <f>INDEX(param_values,MATCH("container_payload_mt_"&amp;$R254&amp;"_"&amp;$C254,param_keys,0))</f>
        <v/>
      </c>
      <c r="W254" s="16">
        <f>INDEX(param_values,MATCH("container_payload_mt_20ft_"&amp;$C254,param_keys,0))</f>
        <v/>
      </c>
      <c r="X254" s="18">
        <f>INDEX(param_values,MATCH("port_cf_charges_inr_t_"&amp;$S254,param_keys,0))</f>
        <v/>
      </c>
      <c r="Y254" s="8">
        <f>INDEX(param_values,MATCH(IF($D254="JEA_NSA","psic_required_uae_origin","psic_required_safe_origin_designated_port"),param_keys,0))</f>
        <v/>
      </c>
      <c r="Z254" s="19">
        <f>INDEX(param_values,MATCH("finance_days_"&amp;$T254,param_keys,0))</f>
        <v/>
      </c>
      <c r="AA254" s="15">
        <f>INDEX(param_values,MATCH("moisture_frac_"&amp;$C254,param_keys,0))</f>
        <v/>
      </c>
      <c r="AB254" s="15">
        <f>INDEX(param_values,MATCH("contamination_frac_"&amp;$C254,param_keys,0))</f>
        <v/>
      </c>
      <c r="AC254" s="15">
        <f>INDEX(param_values,MATCH("metal_yield_frac_"&amp;$C254,param_keys,0))</f>
        <v/>
      </c>
      <c r="AD254" s="15">
        <f>INDEX(param_values,MATCH("heavies_frac_"&amp;$C254,param_keys,0))</f>
        <v/>
      </c>
      <c r="AE254" s="8">
        <f>INDEX(param_values,MATCH("grade_factor_diff_"&amp;$C254,param_keys,0))</f>
        <v/>
      </c>
      <c r="AF254" s="16">
        <f>$F254*$P254</f>
        <v/>
      </c>
      <c r="AG254" s="8">
        <f>$U254/$V254</f>
        <v/>
      </c>
      <c r="AH254" s="16">
        <f>$L254*$AG254</f>
        <v/>
      </c>
      <c r="AI254" s="16">
        <f>$AF254-$AH254</f>
        <v/>
      </c>
      <c r="AJ254" s="16">
        <f>insurance_rate*insured_value_uplift*$AF254</f>
        <v/>
      </c>
      <c r="AK254" s="16">
        <f>$AF254+$AJ254</f>
        <v/>
      </c>
      <c r="AL254" s="18">
        <f>$AK254*$J254</f>
        <v/>
      </c>
      <c r="AM254" s="18">
        <f>$AK254*$I254</f>
        <v/>
      </c>
      <c r="AN254" s="18">
        <f>$AL254*bcd_scrap_hs7602</f>
        <v/>
      </c>
      <c r="AO254" s="18">
        <f>$AN254*sws_rate_on_bcd</f>
        <v/>
      </c>
      <c r="AP254" s="18">
        <f>($AL254+$AN254+$AO254)*igst_rate_hs7602</f>
        <v/>
      </c>
      <c r="AQ254" s="18">
        <f>$X254*$AG254+IF($Y254,psic_cost_usd_per_box*$H254/$W254,0)</f>
        <v/>
      </c>
      <c r="AR254" s="18">
        <f>($AM254+$AN254+$AO254)*$Z254/day_count_inr*$O254</f>
        <v/>
      </c>
      <c r="AS254" s="18">
        <f>$AP254*igst_credit_lag_days/day_count_inr*$O254</f>
        <v/>
      </c>
      <c r="AT254" s="18">
        <f>$AM254+$AN254+$AO254+$AQ254+$AR254+$AS254+IF(igst_itc_available,0,$AP254)</f>
        <v/>
      </c>
      <c r="AU254" s="15">
        <f>(1-$AA254)*(1-$AB254)*$AC254</f>
        <v/>
      </c>
      <c r="AV254" s="18">
        <f>$N254*kg_per_mt+domestic_anchor_premium_inr_t</f>
        <v/>
      </c>
      <c r="AW254" s="18">
        <f>(1-$AA254)*$AD254*heavies_net_value_frac_of_lme_al*$F254*$H254</f>
        <v/>
      </c>
      <c r="AX254" s="18">
        <f>conversion_cost_inr_t*$AU254</f>
        <v/>
      </c>
      <c r="AY254" s="18">
        <f>$AV254*$AU254+$AW254-$AT254-$AX254</f>
        <v/>
      </c>
      <c r="AZ254" s="16">
        <f>$AY254/$H254</f>
        <v/>
      </c>
      <c r="BA254" s="8">
        <f>$AY254&gt;margin_threshold_inr_t</f>
        <v/>
      </c>
      <c r="BB254" s="8">
        <f>$Q254+$AE254</f>
        <v/>
      </c>
      <c r="BC254" s="18">
        <f>$AT254-$AQ254</f>
        <v/>
      </c>
      <c r="BD254" s="18">
        <f>$AY254-$BC254*($BB254/$P254-1)</f>
        <v/>
      </c>
      <c r="BE254" s="18">
        <f>$AY254-(conv_step_5a-conversion_cost_inr_t)*$AU254</f>
        <v/>
      </c>
      <c r="BF254" s="8">
        <f>$BA254</f>
        <v/>
      </c>
      <c r="BG254" s="8">
        <f>$BD254&gt;margin_threshold_inr_t</f>
        <v/>
      </c>
      <c r="BH254" s="8">
        <f>$BE254&gt;margin_threshold_inr_t</f>
        <v/>
      </c>
      <c r="BI254" s="8">
        <f>AND($BF254,$BG254,$BH254)</f>
        <v/>
      </c>
      <c r="BJ254" s="8">
        <f>IF($BI254,1,0)</f>
        <v/>
      </c>
    </row>
    <row r="255">
      <c r="A255" s="11" t="n">
        <v>44855</v>
      </c>
      <c r="B255" s="11" t="n">
        <v>44855</v>
      </c>
      <c r="C255" s="7" t="inlineStr">
        <is>
          <t>taint_tabor</t>
        </is>
      </c>
      <c r="D255" s="7" t="inlineStr">
        <is>
          <t>USEC_MUN</t>
        </is>
      </c>
      <c r="E255" s="17" t="b">
        <v>0</v>
      </c>
      <c r="F255" s="16">
        <f>INDEX(Market_Weekly!$E$6:$E$48,MATCH($A255,Market_Weekly!$A$6:$A$48,0))</f>
        <v/>
      </c>
      <c r="G255" s="16">
        <f>INDEX(Market_Weekly!$D$6:$D$48,MATCH($A255,Market_Weekly!$A$6:$A$48,0))</f>
        <v/>
      </c>
      <c r="H255" s="16">
        <f>INDEX(Market_Weekly!$G$6:$G$48,MATCH($A255,Market_Weekly!$A$6:$A$48,0))</f>
        <v/>
      </c>
      <c r="I255" s="8">
        <f>INDEX(Market_Weekly!$H$6:$H$48,MATCH($A255,Market_Weekly!$A$6:$A$48,0))</f>
        <v/>
      </c>
      <c r="J255" s="8">
        <f>INDEX(Market_Weekly!$Q$6:$Q$48,MATCH($A255,Market_Weekly!$A$6:$A$48,0))</f>
        <v/>
      </c>
      <c r="K255" s="8">
        <f>INDEX(Market_Weekly!$V$6:$V$48,MATCH($A255,Market_Weekly!$A$6:$A$48,0))</f>
        <v/>
      </c>
      <c r="L255" s="16">
        <f>IF($D255="JEA_NSA",INDEX(Market_Weekly!$N$6:$N$48,MATCH($A255,Market_Weekly!$A$6:$A$48,0)),INDEX(Market_Weekly!$O$6:$O$48,MATCH($A255,Market_Weekly!$A$6:$A$48,0)))</f>
        <v/>
      </c>
      <c r="M255" s="8">
        <f>IF($D255="JEA_NSA","M1","M2")</f>
        <v/>
      </c>
      <c r="N255" s="16">
        <f>IF($D255="JEA_NSA",INDEX(Market_Weekly!$L$6:$L$48,MATCH($A255,Market_Weekly!$A$6:$A$48,0)),INDEX(Market_Weekly!$M$6:$M$48,MATCH($A255,Market_Weekly!$A$6:$A$48,0)))</f>
        <v/>
      </c>
      <c r="O255" s="15">
        <f>INDEX(Market_Weekly!$P$6:$P$48,MATCH($A255,Market_Weekly!$A$6:$A$48,0))</f>
        <v/>
      </c>
      <c r="P255" s="8">
        <f>INDEX(Market_Weekly!$R$6:$T$48,MATCH($A255,Market_Weekly!$A$6:$A$48,0),MATCH("grade_factor_"&amp;$C255,Market_Weekly!$R$5:$T$5,0))</f>
        <v/>
      </c>
      <c r="Q255" s="8">
        <f>INDEX(Market_Weekly!$U$6:$U$48,MATCH($A255,Market_Weekly!$A$6:$A$48,0))</f>
        <v/>
      </c>
      <c r="R255" s="8">
        <f>IF($D255="JEA_NSA","20ft","40ft")</f>
        <v/>
      </c>
      <c r="S255" s="8">
        <f>IF($D255="JEA_NSA","nsa","mun")</f>
        <v/>
      </c>
      <c r="T255" s="8">
        <f>IF($D255="JEA_NSA","jea_nsa","usec_mun")</f>
        <v/>
      </c>
      <c r="U255" s="16">
        <f>INDEX(param_values,MATCH("container_payload_mt_"&amp;$R255,param_keys,0))</f>
        <v/>
      </c>
      <c r="V255" s="16">
        <f>INDEX(param_values,MATCH("container_payload_mt_"&amp;$R255&amp;"_"&amp;$C255,param_keys,0))</f>
        <v/>
      </c>
      <c r="W255" s="16">
        <f>INDEX(param_values,MATCH("container_payload_mt_20ft_"&amp;$C255,param_keys,0))</f>
        <v/>
      </c>
      <c r="X255" s="18">
        <f>INDEX(param_values,MATCH("port_cf_charges_inr_t_"&amp;$S255,param_keys,0))</f>
        <v/>
      </c>
      <c r="Y255" s="8">
        <f>INDEX(param_values,MATCH(IF($D255="JEA_NSA","psic_required_uae_origin","psic_required_safe_origin_designated_port"),param_keys,0))</f>
        <v/>
      </c>
      <c r="Z255" s="19">
        <f>INDEX(param_values,MATCH("finance_days_"&amp;$T255,param_keys,0))</f>
        <v/>
      </c>
      <c r="AA255" s="15">
        <f>INDEX(param_values,MATCH("moisture_frac_"&amp;$C255,param_keys,0))</f>
        <v/>
      </c>
      <c r="AB255" s="15">
        <f>INDEX(param_values,MATCH("contamination_frac_"&amp;$C255,param_keys,0))</f>
        <v/>
      </c>
      <c r="AC255" s="15">
        <f>INDEX(param_values,MATCH("metal_yield_frac_"&amp;$C255,param_keys,0))</f>
        <v/>
      </c>
      <c r="AD255" s="15">
        <f>INDEX(param_values,MATCH("heavies_frac_"&amp;$C255,param_keys,0))</f>
        <v/>
      </c>
      <c r="AE255" s="8">
        <f>INDEX(param_values,MATCH("grade_factor_diff_"&amp;$C255,param_keys,0))</f>
        <v/>
      </c>
      <c r="AF255" s="16">
        <f>$F255*$P255</f>
        <v/>
      </c>
      <c r="AG255" s="8">
        <f>$U255/$V255</f>
        <v/>
      </c>
      <c r="AH255" s="16">
        <f>$L255*$AG255</f>
        <v/>
      </c>
      <c r="AI255" s="16">
        <f>$AF255-$AH255</f>
        <v/>
      </c>
      <c r="AJ255" s="16">
        <f>insurance_rate*insured_value_uplift*$AF255</f>
        <v/>
      </c>
      <c r="AK255" s="16">
        <f>$AF255+$AJ255</f>
        <v/>
      </c>
      <c r="AL255" s="18">
        <f>$AK255*$J255</f>
        <v/>
      </c>
      <c r="AM255" s="18">
        <f>$AK255*$I255</f>
        <v/>
      </c>
      <c r="AN255" s="18">
        <f>$AL255*bcd_scrap_hs7602</f>
        <v/>
      </c>
      <c r="AO255" s="18">
        <f>$AN255*sws_rate_on_bcd</f>
        <v/>
      </c>
      <c r="AP255" s="18">
        <f>($AL255+$AN255+$AO255)*igst_rate_hs7602</f>
        <v/>
      </c>
      <c r="AQ255" s="18">
        <f>$X255*$AG255+IF($Y255,psic_cost_usd_per_box*$H255/$W255,0)</f>
        <v/>
      </c>
      <c r="AR255" s="18">
        <f>($AM255+$AN255+$AO255)*$Z255/day_count_inr*$O255</f>
        <v/>
      </c>
      <c r="AS255" s="18">
        <f>$AP255*igst_credit_lag_days/day_count_inr*$O255</f>
        <v/>
      </c>
      <c r="AT255" s="18">
        <f>$AM255+$AN255+$AO255+$AQ255+$AR255+$AS255+IF(igst_itc_available,0,$AP255)</f>
        <v/>
      </c>
      <c r="AU255" s="15">
        <f>(1-$AA255)*(1-$AB255)*$AC255</f>
        <v/>
      </c>
      <c r="AV255" s="18">
        <f>$N255*kg_per_mt+domestic_anchor_premium_inr_t</f>
        <v/>
      </c>
      <c r="AW255" s="18">
        <f>(1-$AA255)*$AD255*heavies_net_value_frac_of_lme_al*$F255*$H255</f>
        <v/>
      </c>
      <c r="AX255" s="18">
        <f>conversion_cost_inr_t*$AU255</f>
        <v/>
      </c>
      <c r="AY255" s="18">
        <f>$AV255*$AU255+$AW255-$AT255-$AX255</f>
        <v/>
      </c>
      <c r="AZ255" s="16">
        <f>$AY255/$H255</f>
        <v/>
      </c>
      <c r="BA255" s="8">
        <f>$AY255&gt;margin_threshold_inr_t</f>
        <v/>
      </c>
      <c r="BB255" s="8">
        <f>$Q255+$AE255</f>
        <v/>
      </c>
      <c r="BC255" s="18">
        <f>$AT255-$AQ255</f>
        <v/>
      </c>
      <c r="BD255" s="18">
        <f>$AY255-$BC255*($BB255/$P255-1)</f>
        <v/>
      </c>
      <c r="BE255" s="18">
        <f>$AY255-(conv_step_5a-conversion_cost_inr_t)*$AU255</f>
        <v/>
      </c>
      <c r="BF255" s="8">
        <f>$BA255</f>
        <v/>
      </c>
      <c r="BG255" s="8">
        <f>$BD255&gt;margin_threshold_inr_t</f>
        <v/>
      </c>
      <c r="BH255" s="8">
        <f>$BE255&gt;margin_threshold_inr_t</f>
        <v/>
      </c>
      <c r="BI255" s="8">
        <f>AND($BF255,$BG255,$BH255)</f>
        <v/>
      </c>
      <c r="BJ255" s="8">
        <f>IF($BI255,1,0)</f>
        <v/>
      </c>
    </row>
    <row r="256">
      <c r="A256" s="11" t="n">
        <v>44855</v>
      </c>
      <c r="B256" s="11" t="n">
        <v>44855</v>
      </c>
      <c r="C256" s="7" t="inlineStr">
        <is>
          <t>tense</t>
        </is>
      </c>
      <c r="D256" s="7" t="inlineStr">
        <is>
          <t>JEA_NSA</t>
        </is>
      </c>
      <c r="E256" s="17" t="b">
        <v>0</v>
      </c>
      <c r="F256" s="16">
        <f>INDEX(Market_Weekly!$E$6:$E$48,MATCH($A256,Market_Weekly!$A$6:$A$48,0))</f>
        <v/>
      </c>
      <c r="G256" s="16">
        <f>INDEX(Market_Weekly!$D$6:$D$48,MATCH($A256,Market_Weekly!$A$6:$A$48,0))</f>
        <v/>
      </c>
      <c r="H256" s="16">
        <f>INDEX(Market_Weekly!$G$6:$G$48,MATCH($A256,Market_Weekly!$A$6:$A$48,0))</f>
        <v/>
      </c>
      <c r="I256" s="8">
        <f>INDEX(Market_Weekly!$H$6:$H$48,MATCH($A256,Market_Weekly!$A$6:$A$48,0))</f>
        <v/>
      </c>
      <c r="J256" s="8">
        <f>INDEX(Market_Weekly!$Q$6:$Q$48,MATCH($A256,Market_Weekly!$A$6:$A$48,0))</f>
        <v/>
      </c>
      <c r="K256" s="8">
        <f>INDEX(Market_Weekly!$V$6:$V$48,MATCH($A256,Market_Weekly!$A$6:$A$48,0))</f>
        <v/>
      </c>
      <c r="L256" s="16">
        <f>IF($D256="JEA_NSA",INDEX(Market_Weekly!$N$6:$N$48,MATCH($A256,Market_Weekly!$A$6:$A$48,0)),INDEX(Market_Weekly!$O$6:$O$48,MATCH($A256,Market_Weekly!$A$6:$A$48,0)))</f>
        <v/>
      </c>
      <c r="M256" s="8">
        <f>IF($D256="JEA_NSA","M1","M2")</f>
        <v/>
      </c>
      <c r="N256" s="16">
        <f>IF($D256="JEA_NSA",INDEX(Market_Weekly!$L$6:$L$48,MATCH($A256,Market_Weekly!$A$6:$A$48,0)),INDEX(Market_Weekly!$M$6:$M$48,MATCH($A256,Market_Weekly!$A$6:$A$48,0)))</f>
        <v/>
      </c>
      <c r="O256" s="15">
        <f>INDEX(Market_Weekly!$P$6:$P$48,MATCH($A256,Market_Weekly!$A$6:$A$48,0))</f>
        <v/>
      </c>
      <c r="P256" s="8">
        <f>INDEX(Market_Weekly!$R$6:$T$48,MATCH($A256,Market_Weekly!$A$6:$A$48,0),MATCH("grade_factor_"&amp;$C256,Market_Weekly!$R$5:$T$5,0))</f>
        <v/>
      </c>
      <c r="Q256" s="8">
        <f>INDEX(Market_Weekly!$U$6:$U$48,MATCH($A256,Market_Weekly!$A$6:$A$48,0))</f>
        <v/>
      </c>
      <c r="R256" s="8">
        <f>IF($D256="JEA_NSA","20ft","40ft")</f>
        <v/>
      </c>
      <c r="S256" s="8">
        <f>IF($D256="JEA_NSA","nsa","mun")</f>
        <v/>
      </c>
      <c r="T256" s="8">
        <f>IF($D256="JEA_NSA","jea_nsa","usec_mun")</f>
        <v/>
      </c>
      <c r="U256" s="16">
        <f>INDEX(param_values,MATCH("container_payload_mt_"&amp;$R256,param_keys,0))</f>
        <v/>
      </c>
      <c r="V256" s="16">
        <f>INDEX(param_values,MATCH("container_payload_mt_"&amp;$R256&amp;"_"&amp;$C256,param_keys,0))</f>
        <v/>
      </c>
      <c r="W256" s="16">
        <f>INDEX(param_values,MATCH("container_payload_mt_20ft_"&amp;$C256,param_keys,0))</f>
        <v/>
      </c>
      <c r="X256" s="18">
        <f>INDEX(param_values,MATCH("port_cf_charges_inr_t_"&amp;$S256,param_keys,0))</f>
        <v/>
      </c>
      <c r="Y256" s="8">
        <f>INDEX(param_values,MATCH(IF($D256="JEA_NSA","psic_required_uae_origin","psic_required_safe_origin_designated_port"),param_keys,0))</f>
        <v/>
      </c>
      <c r="Z256" s="19">
        <f>INDEX(param_values,MATCH("finance_days_"&amp;$T256,param_keys,0))</f>
        <v/>
      </c>
      <c r="AA256" s="15">
        <f>INDEX(param_values,MATCH("moisture_frac_"&amp;$C256,param_keys,0))</f>
        <v/>
      </c>
      <c r="AB256" s="15">
        <f>INDEX(param_values,MATCH("contamination_frac_"&amp;$C256,param_keys,0))</f>
        <v/>
      </c>
      <c r="AC256" s="15">
        <f>INDEX(param_values,MATCH("metal_yield_frac_"&amp;$C256,param_keys,0))</f>
        <v/>
      </c>
      <c r="AD256" s="15">
        <f>INDEX(param_values,MATCH("heavies_frac_"&amp;$C256,param_keys,0))</f>
        <v/>
      </c>
      <c r="AE256" s="8">
        <f>INDEX(param_values,MATCH("grade_factor_diff_"&amp;$C256,param_keys,0))</f>
        <v/>
      </c>
      <c r="AF256" s="16">
        <f>$F256*$P256</f>
        <v/>
      </c>
      <c r="AG256" s="8">
        <f>$U256/$V256</f>
        <v/>
      </c>
      <c r="AH256" s="16">
        <f>$L256*$AG256</f>
        <v/>
      </c>
      <c r="AI256" s="16">
        <f>$AF256-$AH256</f>
        <v/>
      </c>
      <c r="AJ256" s="16">
        <f>insurance_rate*insured_value_uplift*$AF256</f>
        <v/>
      </c>
      <c r="AK256" s="16">
        <f>$AF256+$AJ256</f>
        <v/>
      </c>
      <c r="AL256" s="18">
        <f>$AK256*$J256</f>
        <v/>
      </c>
      <c r="AM256" s="18">
        <f>$AK256*$I256</f>
        <v/>
      </c>
      <c r="AN256" s="18">
        <f>$AL256*bcd_scrap_hs7602</f>
        <v/>
      </c>
      <c r="AO256" s="18">
        <f>$AN256*sws_rate_on_bcd</f>
        <v/>
      </c>
      <c r="AP256" s="18">
        <f>($AL256+$AN256+$AO256)*igst_rate_hs7602</f>
        <v/>
      </c>
      <c r="AQ256" s="18">
        <f>$X256*$AG256+IF($Y256,psic_cost_usd_per_box*$H256/$W256,0)</f>
        <v/>
      </c>
      <c r="AR256" s="18">
        <f>($AM256+$AN256+$AO256)*$Z256/day_count_inr*$O256</f>
        <v/>
      </c>
      <c r="AS256" s="18">
        <f>$AP256*igst_credit_lag_days/day_count_inr*$O256</f>
        <v/>
      </c>
      <c r="AT256" s="18">
        <f>$AM256+$AN256+$AO256+$AQ256+$AR256+$AS256+IF(igst_itc_available,0,$AP256)</f>
        <v/>
      </c>
      <c r="AU256" s="15">
        <f>(1-$AA256)*(1-$AB256)*$AC256</f>
        <v/>
      </c>
      <c r="AV256" s="18">
        <f>$N256*kg_per_mt+domestic_anchor_premium_inr_t</f>
        <v/>
      </c>
      <c r="AW256" s="18">
        <f>(1-$AA256)*$AD256*heavies_net_value_frac_of_lme_al*$F256*$H256</f>
        <v/>
      </c>
      <c r="AX256" s="18">
        <f>conversion_cost_inr_t*$AU256</f>
        <v/>
      </c>
      <c r="AY256" s="18">
        <f>$AV256*$AU256+$AW256-$AT256-$AX256</f>
        <v/>
      </c>
      <c r="AZ256" s="16">
        <f>$AY256/$H256</f>
        <v/>
      </c>
      <c r="BA256" s="8">
        <f>$AY256&gt;margin_threshold_inr_t</f>
        <v/>
      </c>
      <c r="BB256" s="8">
        <f>$Q256+$AE256</f>
        <v/>
      </c>
      <c r="BC256" s="18">
        <f>$AT256-$AQ256</f>
        <v/>
      </c>
      <c r="BD256" s="18">
        <f>$AY256-$BC256*($BB256/$P256-1)</f>
        <v/>
      </c>
      <c r="BE256" s="18">
        <f>$AY256-(conv_step_5a-conversion_cost_inr_t)*$AU256</f>
        <v/>
      </c>
      <c r="BF256" s="8">
        <f>$BA256</f>
        <v/>
      </c>
      <c r="BG256" s="8">
        <f>$BD256&gt;margin_threshold_inr_t</f>
        <v/>
      </c>
      <c r="BH256" s="8">
        <f>$BE256&gt;margin_threshold_inr_t</f>
        <v/>
      </c>
      <c r="BI256" s="8">
        <f>AND($BF256,$BG256,$BH256)</f>
        <v/>
      </c>
      <c r="BJ256" s="8">
        <f>IF($BI256,1,0)</f>
        <v/>
      </c>
    </row>
    <row r="257">
      <c r="A257" s="11" t="n">
        <v>44855</v>
      </c>
      <c r="B257" s="11" t="n">
        <v>44855</v>
      </c>
      <c r="C257" s="7" t="inlineStr">
        <is>
          <t>tense</t>
        </is>
      </c>
      <c r="D257" s="7" t="inlineStr">
        <is>
          <t>USEC_MUN</t>
        </is>
      </c>
      <c r="E257" s="17" t="b">
        <v>0</v>
      </c>
      <c r="F257" s="16">
        <f>INDEX(Market_Weekly!$E$6:$E$48,MATCH($A257,Market_Weekly!$A$6:$A$48,0))</f>
        <v/>
      </c>
      <c r="G257" s="16">
        <f>INDEX(Market_Weekly!$D$6:$D$48,MATCH($A257,Market_Weekly!$A$6:$A$48,0))</f>
        <v/>
      </c>
      <c r="H257" s="16">
        <f>INDEX(Market_Weekly!$G$6:$G$48,MATCH($A257,Market_Weekly!$A$6:$A$48,0))</f>
        <v/>
      </c>
      <c r="I257" s="8">
        <f>INDEX(Market_Weekly!$H$6:$H$48,MATCH($A257,Market_Weekly!$A$6:$A$48,0))</f>
        <v/>
      </c>
      <c r="J257" s="8">
        <f>INDEX(Market_Weekly!$Q$6:$Q$48,MATCH($A257,Market_Weekly!$A$6:$A$48,0))</f>
        <v/>
      </c>
      <c r="K257" s="8">
        <f>INDEX(Market_Weekly!$V$6:$V$48,MATCH($A257,Market_Weekly!$A$6:$A$48,0))</f>
        <v/>
      </c>
      <c r="L257" s="16">
        <f>IF($D257="JEA_NSA",INDEX(Market_Weekly!$N$6:$N$48,MATCH($A257,Market_Weekly!$A$6:$A$48,0)),INDEX(Market_Weekly!$O$6:$O$48,MATCH($A257,Market_Weekly!$A$6:$A$48,0)))</f>
        <v/>
      </c>
      <c r="M257" s="8">
        <f>IF($D257="JEA_NSA","M1","M2")</f>
        <v/>
      </c>
      <c r="N257" s="16">
        <f>IF($D257="JEA_NSA",INDEX(Market_Weekly!$L$6:$L$48,MATCH($A257,Market_Weekly!$A$6:$A$48,0)),INDEX(Market_Weekly!$M$6:$M$48,MATCH($A257,Market_Weekly!$A$6:$A$48,0)))</f>
        <v/>
      </c>
      <c r="O257" s="15">
        <f>INDEX(Market_Weekly!$P$6:$P$48,MATCH($A257,Market_Weekly!$A$6:$A$48,0))</f>
        <v/>
      </c>
      <c r="P257" s="8">
        <f>INDEX(Market_Weekly!$R$6:$T$48,MATCH($A257,Market_Weekly!$A$6:$A$48,0),MATCH("grade_factor_"&amp;$C257,Market_Weekly!$R$5:$T$5,0))</f>
        <v/>
      </c>
      <c r="Q257" s="8">
        <f>INDEX(Market_Weekly!$U$6:$U$48,MATCH($A257,Market_Weekly!$A$6:$A$48,0))</f>
        <v/>
      </c>
      <c r="R257" s="8">
        <f>IF($D257="JEA_NSA","20ft","40ft")</f>
        <v/>
      </c>
      <c r="S257" s="8">
        <f>IF($D257="JEA_NSA","nsa","mun")</f>
        <v/>
      </c>
      <c r="T257" s="8">
        <f>IF($D257="JEA_NSA","jea_nsa","usec_mun")</f>
        <v/>
      </c>
      <c r="U257" s="16">
        <f>INDEX(param_values,MATCH("container_payload_mt_"&amp;$R257,param_keys,0))</f>
        <v/>
      </c>
      <c r="V257" s="16">
        <f>INDEX(param_values,MATCH("container_payload_mt_"&amp;$R257&amp;"_"&amp;$C257,param_keys,0))</f>
        <v/>
      </c>
      <c r="W257" s="16">
        <f>INDEX(param_values,MATCH("container_payload_mt_20ft_"&amp;$C257,param_keys,0))</f>
        <v/>
      </c>
      <c r="X257" s="18">
        <f>INDEX(param_values,MATCH("port_cf_charges_inr_t_"&amp;$S257,param_keys,0))</f>
        <v/>
      </c>
      <c r="Y257" s="8">
        <f>INDEX(param_values,MATCH(IF($D257="JEA_NSA","psic_required_uae_origin","psic_required_safe_origin_designated_port"),param_keys,0))</f>
        <v/>
      </c>
      <c r="Z257" s="19">
        <f>INDEX(param_values,MATCH("finance_days_"&amp;$T257,param_keys,0))</f>
        <v/>
      </c>
      <c r="AA257" s="15">
        <f>INDEX(param_values,MATCH("moisture_frac_"&amp;$C257,param_keys,0))</f>
        <v/>
      </c>
      <c r="AB257" s="15">
        <f>INDEX(param_values,MATCH("contamination_frac_"&amp;$C257,param_keys,0))</f>
        <v/>
      </c>
      <c r="AC257" s="15">
        <f>INDEX(param_values,MATCH("metal_yield_frac_"&amp;$C257,param_keys,0))</f>
        <v/>
      </c>
      <c r="AD257" s="15">
        <f>INDEX(param_values,MATCH("heavies_frac_"&amp;$C257,param_keys,0))</f>
        <v/>
      </c>
      <c r="AE257" s="8">
        <f>INDEX(param_values,MATCH("grade_factor_diff_"&amp;$C257,param_keys,0))</f>
        <v/>
      </c>
      <c r="AF257" s="16">
        <f>$F257*$P257</f>
        <v/>
      </c>
      <c r="AG257" s="8">
        <f>$U257/$V257</f>
        <v/>
      </c>
      <c r="AH257" s="16">
        <f>$L257*$AG257</f>
        <v/>
      </c>
      <c r="AI257" s="16">
        <f>$AF257-$AH257</f>
        <v/>
      </c>
      <c r="AJ257" s="16">
        <f>insurance_rate*insured_value_uplift*$AF257</f>
        <v/>
      </c>
      <c r="AK257" s="16">
        <f>$AF257+$AJ257</f>
        <v/>
      </c>
      <c r="AL257" s="18">
        <f>$AK257*$J257</f>
        <v/>
      </c>
      <c r="AM257" s="18">
        <f>$AK257*$I257</f>
        <v/>
      </c>
      <c r="AN257" s="18">
        <f>$AL257*bcd_scrap_hs7602</f>
        <v/>
      </c>
      <c r="AO257" s="18">
        <f>$AN257*sws_rate_on_bcd</f>
        <v/>
      </c>
      <c r="AP257" s="18">
        <f>($AL257+$AN257+$AO257)*igst_rate_hs7602</f>
        <v/>
      </c>
      <c r="AQ257" s="18">
        <f>$X257*$AG257+IF($Y257,psic_cost_usd_per_box*$H257/$W257,0)</f>
        <v/>
      </c>
      <c r="AR257" s="18">
        <f>($AM257+$AN257+$AO257)*$Z257/day_count_inr*$O257</f>
        <v/>
      </c>
      <c r="AS257" s="18">
        <f>$AP257*igst_credit_lag_days/day_count_inr*$O257</f>
        <v/>
      </c>
      <c r="AT257" s="18">
        <f>$AM257+$AN257+$AO257+$AQ257+$AR257+$AS257+IF(igst_itc_available,0,$AP257)</f>
        <v/>
      </c>
      <c r="AU257" s="15">
        <f>(1-$AA257)*(1-$AB257)*$AC257</f>
        <v/>
      </c>
      <c r="AV257" s="18">
        <f>$N257*kg_per_mt+domestic_anchor_premium_inr_t</f>
        <v/>
      </c>
      <c r="AW257" s="18">
        <f>(1-$AA257)*$AD257*heavies_net_value_frac_of_lme_al*$F257*$H257</f>
        <v/>
      </c>
      <c r="AX257" s="18">
        <f>conversion_cost_inr_t*$AU257</f>
        <v/>
      </c>
      <c r="AY257" s="18">
        <f>$AV257*$AU257+$AW257-$AT257-$AX257</f>
        <v/>
      </c>
      <c r="AZ257" s="16">
        <f>$AY257/$H257</f>
        <v/>
      </c>
      <c r="BA257" s="8">
        <f>$AY257&gt;margin_threshold_inr_t</f>
        <v/>
      </c>
      <c r="BB257" s="8">
        <f>$Q257+$AE257</f>
        <v/>
      </c>
      <c r="BC257" s="18">
        <f>$AT257-$AQ257</f>
        <v/>
      </c>
      <c r="BD257" s="18">
        <f>$AY257-$BC257*($BB257/$P257-1)</f>
        <v/>
      </c>
      <c r="BE257" s="18">
        <f>$AY257-(conv_step_5a-conversion_cost_inr_t)*$AU257</f>
        <v/>
      </c>
      <c r="BF257" s="8">
        <f>$BA257</f>
        <v/>
      </c>
      <c r="BG257" s="8">
        <f>$BD257&gt;margin_threshold_inr_t</f>
        <v/>
      </c>
      <c r="BH257" s="8">
        <f>$BE257&gt;margin_threshold_inr_t</f>
        <v/>
      </c>
      <c r="BI257" s="8">
        <f>AND($BF257,$BG257,$BH257)</f>
        <v/>
      </c>
      <c r="BJ257" s="8">
        <f>IF($BI257,1,0)</f>
        <v/>
      </c>
    </row>
    <row r="258">
      <c r="A258" s="11" t="n">
        <v>44862</v>
      </c>
      <c r="B258" s="11" t="n">
        <v>44862</v>
      </c>
      <c r="C258" s="7" t="inlineStr">
        <is>
          <t>zorba</t>
        </is>
      </c>
      <c r="D258" s="7" t="inlineStr">
        <is>
          <t>JEA_NSA</t>
        </is>
      </c>
      <c r="E258" s="17" t="b">
        <v>0</v>
      </c>
      <c r="F258" s="16">
        <f>INDEX(Market_Weekly!$E$6:$E$48,MATCH($A258,Market_Weekly!$A$6:$A$48,0))</f>
        <v/>
      </c>
      <c r="G258" s="16">
        <f>INDEX(Market_Weekly!$D$6:$D$48,MATCH($A258,Market_Weekly!$A$6:$A$48,0))</f>
        <v/>
      </c>
      <c r="H258" s="16">
        <f>INDEX(Market_Weekly!$G$6:$G$48,MATCH($A258,Market_Weekly!$A$6:$A$48,0))</f>
        <v/>
      </c>
      <c r="I258" s="8">
        <f>INDEX(Market_Weekly!$H$6:$H$48,MATCH($A258,Market_Weekly!$A$6:$A$48,0))</f>
        <v/>
      </c>
      <c r="J258" s="8">
        <f>INDEX(Market_Weekly!$Q$6:$Q$48,MATCH($A258,Market_Weekly!$A$6:$A$48,0))</f>
        <v/>
      </c>
      <c r="K258" s="8">
        <f>INDEX(Market_Weekly!$V$6:$V$48,MATCH($A258,Market_Weekly!$A$6:$A$48,0))</f>
        <v/>
      </c>
      <c r="L258" s="16">
        <f>IF($D258="JEA_NSA",INDEX(Market_Weekly!$N$6:$N$48,MATCH($A258,Market_Weekly!$A$6:$A$48,0)),INDEX(Market_Weekly!$O$6:$O$48,MATCH($A258,Market_Weekly!$A$6:$A$48,0)))</f>
        <v/>
      </c>
      <c r="M258" s="8">
        <f>IF($D258="JEA_NSA","M1","M2")</f>
        <v/>
      </c>
      <c r="N258" s="16">
        <f>IF($D258="JEA_NSA",INDEX(Market_Weekly!$L$6:$L$48,MATCH($A258,Market_Weekly!$A$6:$A$48,0)),INDEX(Market_Weekly!$M$6:$M$48,MATCH($A258,Market_Weekly!$A$6:$A$48,0)))</f>
        <v/>
      </c>
      <c r="O258" s="15">
        <f>INDEX(Market_Weekly!$P$6:$P$48,MATCH($A258,Market_Weekly!$A$6:$A$48,0))</f>
        <v/>
      </c>
      <c r="P258" s="8">
        <f>INDEX(Market_Weekly!$R$6:$T$48,MATCH($A258,Market_Weekly!$A$6:$A$48,0),MATCH("grade_factor_"&amp;$C258,Market_Weekly!$R$5:$T$5,0))</f>
        <v/>
      </c>
      <c r="Q258" s="8">
        <f>INDEX(Market_Weekly!$U$6:$U$48,MATCH($A258,Market_Weekly!$A$6:$A$48,0))</f>
        <v/>
      </c>
      <c r="R258" s="8">
        <f>IF($D258="JEA_NSA","20ft","40ft")</f>
        <v/>
      </c>
      <c r="S258" s="8">
        <f>IF($D258="JEA_NSA","nsa","mun")</f>
        <v/>
      </c>
      <c r="T258" s="8">
        <f>IF($D258="JEA_NSA","jea_nsa","usec_mun")</f>
        <v/>
      </c>
      <c r="U258" s="16">
        <f>INDEX(param_values,MATCH("container_payload_mt_"&amp;$R258,param_keys,0))</f>
        <v/>
      </c>
      <c r="V258" s="16">
        <f>INDEX(param_values,MATCH("container_payload_mt_"&amp;$R258&amp;"_"&amp;$C258,param_keys,0))</f>
        <v/>
      </c>
      <c r="W258" s="16">
        <f>INDEX(param_values,MATCH("container_payload_mt_20ft_"&amp;$C258,param_keys,0))</f>
        <v/>
      </c>
      <c r="X258" s="18">
        <f>INDEX(param_values,MATCH("port_cf_charges_inr_t_"&amp;$S258,param_keys,0))</f>
        <v/>
      </c>
      <c r="Y258" s="8">
        <f>INDEX(param_values,MATCH(IF($D258="JEA_NSA","psic_required_uae_origin","psic_required_safe_origin_designated_port"),param_keys,0))</f>
        <v/>
      </c>
      <c r="Z258" s="19">
        <f>INDEX(param_values,MATCH("finance_days_"&amp;$T258,param_keys,0))</f>
        <v/>
      </c>
      <c r="AA258" s="15">
        <f>INDEX(param_values,MATCH("moisture_frac_"&amp;$C258,param_keys,0))</f>
        <v/>
      </c>
      <c r="AB258" s="15">
        <f>INDEX(param_values,MATCH("contamination_frac_"&amp;$C258,param_keys,0))</f>
        <v/>
      </c>
      <c r="AC258" s="15">
        <f>INDEX(param_values,MATCH("metal_yield_frac_"&amp;$C258,param_keys,0))</f>
        <v/>
      </c>
      <c r="AD258" s="15">
        <f>INDEX(param_values,MATCH("heavies_frac_"&amp;$C258,param_keys,0))</f>
        <v/>
      </c>
      <c r="AE258" s="8">
        <f>INDEX(param_values,MATCH("grade_factor_diff_"&amp;$C258,param_keys,0))</f>
        <v/>
      </c>
      <c r="AF258" s="16">
        <f>$F258*$P258</f>
        <v/>
      </c>
      <c r="AG258" s="8">
        <f>$U258/$V258</f>
        <v/>
      </c>
      <c r="AH258" s="16">
        <f>$L258*$AG258</f>
        <v/>
      </c>
      <c r="AI258" s="16">
        <f>$AF258-$AH258</f>
        <v/>
      </c>
      <c r="AJ258" s="16">
        <f>insurance_rate*insured_value_uplift*$AF258</f>
        <v/>
      </c>
      <c r="AK258" s="16">
        <f>$AF258+$AJ258</f>
        <v/>
      </c>
      <c r="AL258" s="18">
        <f>$AK258*$J258</f>
        <v/>
      </c>
      <c r="AM258" s="18">
        <f>$AK258*$I258</f>
        <v/>
      </c>
      <c r="AN258" s="18">
        <f>$AL258*bcd_scrap_hs7602</f>
        <v/>
      </c>
      <c r="AO258" s="18">
        <f>$AN258*sws_rate_on_bcd</f>
        <v/>
      </c>
      <c r="AP258" s="18">
        <f>($AL258+$AN258+$AO258)*igst_rate_hs7602</f>
        <v/>
      </c>
      <c r="AQ258" s="18">
        <f>$X258*$AG258+IF($Y258,psic_cost_usd_per_box*$H258/$W258,0)</f>
        <v/>
      </c>
      <c r="AR258" s="18">
        <f>($AM258+$AN258+$AO258)*$Z258/day_count_inr*$O258</f>
        <v/>
      </c>
      <c r="AS258" s="18">
        <f>$AP258*igst_credit_lag_days/day_count_inr*$O258</f>
        <v/>
      </c>
      <c r="AT258" s="18">
        <f>$AM258+$AN258+$AO258+$AQ258+$AR258+$AS258+IF(igst_itc_available,0,$AP258)</f>
        <v/>
      </c>
      <c r="AU258" s="15">
        <f>(1-$AA258)*(1-$AB258)*$AC258</f>
        <v/>
      </c>
      <c r="AV258" s="18">
        <f>$N258*kg_per_mt+domestic_anchor_premium_inr_t</f>
        <v/>
      </c>
      <c r="AW258" s="18">
        <f>(1-$AA258)*$AD258*heavies_net_value_frac_of_lme_al*$F258*$H258</f>
        <v/>
      </c>
      <c r="AX258" s="18">
        <f>conversion_cost_inr_t*$AU258</f>
        <v/>
      </c>
      <c r="AY258" s="18">
        <f>$AV258*$AU258+$AW258-$AT258-$AX258</f>
        <v/>
      </c>
      <c r="AZ258" s="16">
        <f>$AY258/$H258</f>
        <v/>
      </c>
      <c r="BA258" s="8">
        <f>$AY258&gt;margin_threshold_inr_t</f>
        <v/>
      </c>
      <c r="BB258" s="8">
        <f>$Q258+$AE258</f>
        <v/>
      </c>
      <c r="BC258" s="18">
        <f>$AT258-$AQ258</f>
        <v/>
      </c>
      <c r="BD258" s="18">
        <f>$AY258-$BC258*($BB258/$P258-1)</f>
        <v/>
      </c>
      <c r="BE258" s="18">
        <f>$AY258-(conv_step_5a-conversion_cost_inr_t)*$AU258</f>
        <v/>
      </c>
      <c r="BF258" s="8">
        <f>$BA258</f>
        <v/>
      </c>
      <c r="BG258" s="8">
        <f>$BD258&gt;margin_threshold_inr_t</f>
        <v/>
      </c>
      <c r="BH258" s="8">
        <f>$BE258&gt;margin_threshold_inr_t</f>
        <v/>
      </c>
      <c r="BI258" s="8">
        <f>AND($BF258,$BG258,$BH258)</f>
        <v/>
      </c>
      <c r="BJ258" s="8">
        <f>IF($BI258,1,0)</f>
        <v/>
      </c>
    </row>
    <row r="259">
      <c r="A259" s="11" t="n">
        <v>44862</v>
      </c>
      <c r="B259" s="11" t="n">
        <v>44862</v>
      </c>
      <c r="C259" s="7" t="inlineStr">
        <is>
          <t>zorba</t>
        </is>
      </c>
      <c r="D259" s="7" t="inlineStr">
        <is>
          <t>USEC_MUN</t>
        </is>
      </c>
      <c r="E259" s="17" t="b">
        <v>0</v>
      </c>
      <c r="F259" s="16">
        <f>INDEX(Market_Weekly!$E$6:$E$48,MATCH($A259,Market_Weekly!$A$6:$A$48,0))</f>
        <v/>
      </c>
      <c r="G259" s="16">
        <f>INDEX(Market_Weekly!$D$6:$D$48,MATCH($A259,Market_Weekly!$A$6:$A$48,0))</f>
        <v/>
      </c>
      <c r="H259" s="16">
        <f>INDEX(Market_Weekly!$G$6:$G$48,MATCH($A259,Market_Weekly!$A$6:$A$48,0))</f>
        <v/>
      </c>
      <c r="I259" s="8">
        <f>INDEX(Market_Weekly!$H$6:$H$48,MATCH($A259,Market_Weekly!$A$6:$A$48,0))</f>
        <v/>
      </c>
      <c r="J259" s="8">
        <f>INDEX(Market_Weekly!$Q$6:$Q$48,MATCH($A259,Market_Weekly!$A$6:$A$48,0))</f>
        <v/>
      </c>
      <c r="K259" s="8">
        <f>INDEX(Market_Weekly!$V$6:$V$48,MATCH($A259,Market_Weekly!$A$6:$A$48,0))</f>
        <v/>
      </c>
      <c r="L259" s="16">
        <f>IF($D259="JEA_NSA",INDEX(Market_Weekly!$N$6:$N$48,MATCH($A259,Market_Weekly!$A$6:$A$48,0)),INDEX(Market_Weekly!$O$6:$O$48,MATCH($A259,Market_Weekly!$A$6:$A$48,0)))</f>
        <v/>
      </c>
      <c r="M259" s="8">
        <f>IF($D259="JEA_NSA","M1","M2")</f>
        <v/>
      </c>
      <c r="N259" s="16">
        <f>IF($D259="JEA_NSA",INDEX(Market_Weekly!$L$6:$L$48,MATCH($A259,Market_Weekly!$A$6:$A$48,0)),INDEX(Market_Weekly!$M$6:$M$48,MATCH($A259,Market_Weekly!$A$6:$A$48,0)))</f>
        <v/>
      </c>
      <c r="O259" s="15">
        <f>INDEX(Market_Weekly!$P$6:$P$48,MATCH($A259,Market_Weekly!$A$6:$A$48,0))</f>
        <v/>
      </c>
      <c r="P259" s="8">
        <f>INDEX(Market_Weekly!$R$6:$T$48,MATCH($A259,Market_Weekly!$A$6:$A$48,0),MATCH("grade_factor_"&amp;$C259,Market_Weekly!$R$5:$T$5,0))</f>
        <v/>
      </c>
      <c r="Q259" s="8">
        <f>INDEX(Market_Weekly!$U$6:$U$48,MATCH($A259,Market_Weekly!$A$6:$A$48,0))</f>
        <v/>
      </c>
      <c r="R259" s="8">
        <f>IF($D259="JEA_NSA","20ft","40ft")</f>
        <v/>
      </c>
      <c r="S259" s="8">
        <f>IF($D259="JEA_NSA","nsa","mun")</f>
        <v/>
      </c>
      <c r="T259" s="8">
        <f>IF($D259="JEA_NSA","jea_nsa","usec_mun")</f>
        <v/>
      </c>
      <c r="U259" s="16">
        <f>INDEX(param_values,MATCH("container_payload_mt_"&amp;$R259,param_keys,0))</f>
        <v/>
      </c>
      <c r="V259" s="16">
        <f>INDEX(param_values,MATCH("container_payload_mt_"&amp;$R259&amp;"_"&amp;$C259,param_keys,0))</f>
        <v/>
      </c>
      <c r="W259" s="16">
        <f>INDEX(param_values,MATCH("container_payload_mt_20ft_"&amp;$C259,param_keys,0))</f>
        <v/>
      </c>
      <c r="X259" s="18">
        <f>INDEX(param_values,MATCH("port_cf_charges_inr_t_"&amp;$S259,param_keys,0))</f>
        <v/>
      </c>
      <c r="Y259" s="8">
        <f>INDEX(param_values,MATCH(IF($D259="JEA_NSA","psic_required_uae_origin","psic_required_safe_origin_designated_port"),param_keys,0))</f>
        <v/>
      </c>
      <c r="Z259" s="19">
        <f>INDEX(param_values,MATCH("finance_days_"&amp;$T259,param_keys,0))</f>
        <v/>
      </c>
      <c r="AA259" s="15">
        <f>INDEX(param_values,MATCH("moisture_frac_"&amp;$C259,param_keys,0))</f>
        <v/>
      </c>
      <c r="AB259" s="15">
        <f>INDEX(param_values,MATCH("contamination_frac_"&amp;$C259,param_keys,0))</f>
        <v/>
      </c>
      <c r="AC259" s="15">
        <f>INDEX(param_values,MATCH("metal_yield_frac_"&amp;$C259,param_keys,0))</f>
        <v/>
      </c>
      <c r="AD259" s="15">
        <f>INDEX(param_values,MATCH("heavies_frac_"&amp;$C259,param_keys,0))</f>
        <v/>
      </c>
      <c r="AE259" s="8">
        <f>INDEX(param_values,MATCH("grade_factor_diff_"&amp;$C259,param_keys,0))</f>
        <v/>
      </c>
      <c r="AF259" s="16">
        <f>$F259*$P259</f>
        <v/>
      </c>
      <c r="AG259" s="8">
        <f>$U259/$V259</f>
        <v/>
      </c>
      <c r="AH259" s="16">
        <f>$L259*$AG259</f>
        <v/>
      </c>
      <c r="AI259" s="16">
        <f>$AF259-$AH259</f>
        <v/>
      </c>
      <c r="AJ259" s="16">
        <f>insurance_rate*insured_value_uplift*$AF259</f>
        <v/>
      </c>
      <c r="AK259" s="16">
        <f>$AF259+$AJ259</f>
        <v/>
      </c>
      <c r="AL259" s="18">
        <f>$AK259*$J259</f>
        <v/>
      </c>
      <c r="AM259" s="18">
        <f>$AK259*$I259</f>
        <v/>
      </c>
      <c r="AN259" s="18">
        <f>$AL259*bcd_scrap_hs7602</f>
        <v/>
      </c>
      <c r="AO259" s="18">
        <f>$AN259*sws_rate_on_bcd</f>
        <v/>
      </c>
      <c r="AP259" s="18">
        <f>($AL259+$AN259+$AO259)*igst_rate_hs7602</f>
        <v/>
      </c>
      <c r="AQ259" s="18">
        <f>$X259*$AG259+IF($Y259,psic_cost_usd_per_box*$H259/$W259,0)</f>
        <v/>
      </c>
      <c r="AR259" s="18">
        <f>($AM259+$AN259+$AO259)*$Z259/day_count_inr*$O259</f>
        <v/>
      </c>
      <c r="AS259" s="18">
        <f>$AP259*igst_credit_lag_days/day_count_inr*$O259</f>
        <v/>
      </c>
      <c r="AT259" s="18">
        <f>$AM259+$AN259+$AO259+$AQ259+$AR259+$AS259+IF(igst_itc_available,0,$AP259)</f>
        <v/>
      </c>
      <c r="AU259" s="15">
        <f>(1-$AA259)*(1-$AB259)*$AC259</f>
        <v/>
      </c>
      <c r="AV259" s="18">
        <f>$N259*kg_per_mt+domestic_anchor_premium_inr_t</f>
        <v/>
      </c>
      <c r="AW259" s="18">
        <f>(1-$AA259)*$AD259*heavies_net_value_frac_of_lme_al*$F259*$H259</f>
        <v/>
      </c>
      <c r="AX259" s="18">
        <f>conversion_cost_inr_t*$AU259</f>
        <v/>
      </c>
      <c r="AY259" s="18">
        <f>$AV259*$AU259+$AW259-$AT259-$AX259</f>
        <v/>
      </c>
      <c r="AZ259" s="16">
        <f>$AY259/$H259</f>
        <v/>
      </c>
      <c r="BA259" s="8">
        <f>$AY259&gt;margin_threshold_inr_t</f>
        <v/>
      </c>
      <c r="BB259" s="8">
        <f>$Q259+$AE259</f>
        <v/>
      </c>
      <c r="BC259" s="18">
        <f>$AT259-$AQ259</f>
        <v/>
      </c>
      <c r="BD259" s="18">
        <f>$AY259-$BC259*($BB259/$P259-1)</f>
        <v/>
      </c>
      <c r="BE259" s="18">
        <f>$AY259-(conv_step_5a-conversion_cost_inr_t)*$AU259</f>
        <v/>
      </c>
      <c r="BF259" s="8">
        <f>$BA259</f>
        <v/>
      </c>
      <c r="BG259" s="8">
        <f>$BD259&gt;margin_threshold_inr_t</f>
        <v/>
      </c>
      <c r="BH259" s="8">
        <f>$BE259&gt;margin_threshold_inr_t</f>
        <v/>
      </c>
      <c r="BI259" s="8">
        <f>AND($BF259,$BG259,$BH259)</f>
        <v/>
      </c>
      <c r="BJ259" s="8">
        <f>IF($BI259,1,0)</f>
        <v/>
      </c>
    </row>
    <row r="260">
      <c r="A260" s="11" t="n">
        <v>44862</v>
      </c>
      <c r="B260" s="11" t="n">
        <v>44862</v>
      </c>
      <c r="C260" s="7" t="inlineStr">
        <is>
          <t>taint_tabor</t>
        </is>
      </c>
      <c r="D260" s="7" t="inlineStr">
        <is>
          <t>JEA_NSA</t>
        </is>
      </c>
      <c r="E260" s="17" t="b">
        <v>0</v>
      </c>
      <c r="F260" s="16">
        <f>INDEX(Market_Weekly!$E$6:$E$48,MATCH($A260,Market_Weekly!$A$6:$A$48,0))</f>
        <v/>
      </c>
      <c r="G260" s="16">
        <f>INDEX(Market_Weekly!$D$6:$D$48,MATCH($A260,Market_Weekly!$A$6:$A$48,0))</f>
        <v/>
      </c>
      <c r="H260" s="16">
        <f>INDEX(Market_Weekly!$G$6:$G$48,MATCH($A260,Market_Weekly!$A$6:$A$48,0))</f>
        <v/>
      </c>
      <c r="I260" s="8">
        <f>INDEX(Market_Weekly!$H$6:$H$48,MATCH($A260,Market_Weekly!$A$6:$A$48,0))</f>
        <v/>
      </c>
      <c r="J260" s="8">
        <f>INDEX(Market_Weekly!$Q$6:$Q$48,MATCH($A260,Market_Weekly!$A$6:$A$48,0))</f>
        <v/>
      </c>
      <c r="K260" s="8">
        <f>INDEX(Market_Weekly!$V$6:$V$48,MATCH($A260,Market_Weekly!$A$6:$A$48,0))</f>
        <v/>
      </c>
      <c r="L260" s="16">
        <f>IF($D260="JEA_NSA",INDEX(Market_Weekly!$N$6:$N$48,MATCH($A260,Market_Weekly!$A$6:$A$48,0)),INDEX(Market_Weekly!$O$6:$O$48,MATCH($A260,Market_Weekly!$A$6:$A$48,0)))</f>
        <v/>
      </c>
      <c r="M260" s="8">
        <f>IF($D260="JEA_NSA","M1","M2")</f>
        <v/>
      </c>
      <c r="N260" s="16">
        <f>IF($D260="JEA_NSA",INDEX(Market_Weekly!$L$6:$L$48,MATCH($A260,Market_Weekly!$A$6:$A$48,0)),INDEX(Market_Weekly!$M$6:$M$48,MATCH($A260,Market_Weekly!$A$6:$A$48,0)))</f>
        <v/>
      </c>
      <c r="O260" s="15">
        <f>INDEX(Market_Weekly!$P$6:$P$48,MATCH($A260,Market_Weekly!$A$6:$A$48,0))</f>
        <v/>
      </c>
      <c r="P260" s="8">
        <f>INDEX(Market_Weekly!$R$6:$T$48,MATCH($A260,Market_Weekly!$A$6:$A$48,0),MATCH("grade_factor_"&amp;$C260,Market_Weekly!$R$5:$T$5,0))</f>
        <v/>
      </c>
      <c r="Q260" s="8">
        <f>INDEX(Market_Weekly!$U$6:$U$48,MATCH($A260,Market_Weekly!$A$6:$A$48,0))</f>
        <v/>
      </c>
      <c r="R260" s="8">
        <f>IF($D260="JEA_NSA","20ft","40ft")</f>
        <v/>
      </c>
      <c r="S260" s="8">
        <f>IF($D260="JEA_NSA","nsa","mun")</f>
        <v/>
      </c>
      <c r="T260" s="8">
        <f>IF($D260="JEA_NSA","jea_nsa","usec_mun")</f>
        <v/>
      </c>
      <c r="U260" s="16">
        <f>INDEX(param_values,MATCH("container_payload_mt_"&amp;$R260,param_keys,0))</f>
        <v/>
      </c>
      <c r="V260" s="16">
        <f>INDEX(param_values,MATCH("container_payload_mt_"&amp;$R260&amp;"_"&amp;$C260,param_keys,0))</f>
        <v/>
      </c>
      <c r="W260" s="16">
        <f>INDEX(param_values,MATCH("container_payload_mt_20ft_"&amp;$C260,param_keys,0))</f>
        <v/>
      </c>
      <c r="X260" s="18">
        <f>INDEX(param_values,MATCH("port_cf_charges_inr_t_"&amp;$S260,param_keys,0))</f>
        <v/>
      </c>
      <c r="Y260" s="8">
        <f>INDEX(param_values,MATCH(IF($D260="JEA_NSA","psic_required_uae_origin","psic_required_safe_origin_designated_port"),param_keys,0))</f>
        <v/>
      </c>
      <c r="Z260" s="19">
        <f>INDEX(param_values,MATCH("finance_days_"&amp;$T260,param_keys,0))</f>
        <v/>
      </c>
      <c r="AA260" s="15">
        <f>INDEX(param_values,MATCH("moisture_frac_"&amp;$C260,param_keys,0))</f>
        <v/>
      </c>
      <c r="AB260" s="15">
        <f>INDEX(param_values,MATCH("contamination_frac_"&amp;$C260,param_keys,0))</f>
        <v/>
      </c>
      <c r="AC260" s="15">
        <f>INDEX(param_values,MATCH("metal_yield_frac_"&amp;$C260,param_keys,0))</f>
        <v/>
      </c>
      <c r="AD260" s="15">
        <f>INDEX(param_values,MATCH("heavies_frac_"&amp;$C260,param_keys,0))</f>
        <v/>
      </c>
      <c r="AE260" s="8">
        <f>INDEX(param_values,MATCH("grade_factor_diff_"&amp;$C260,param_keys,0))</f>
        <v/>
      </c>
      <c r="AF260" s="16">
        <f>$F260*$P260</f>
        <v/>
      </c>
      <c r="AG260" s="8">
        <f>$U260/$V260</f>
        <v/>
      </c>
      <c r="AH260" s="16">
        <f>$L260*$AG260</f>
        <v/>
      </c>
      <c r="AI260" s="16">
        <f>$AF260-$AH260</f>
        <v/>
      </c>
      <c r="AJ260" s="16">
        <f>insurance_rate*insured_value_uplift*$AF260</f>
        <v/>
      </c>
      <c r="AK260" s="16">
        <f>$AF260+$AJ260</f>
        <v/>
      </c>
      <c r="AL260" s="18">
        <f>$AK260*$J260</f>
        <v/>
      </c>
      <c r="AM260" s="18">
        <f>$AK260*$I260</f>
        <v/>
      </c>
      <c r="AN260" s="18">
        <f>$AL260*bcd_scrap_hs7602</f>
        <v/>
      </c>
      <c r="AO260" s="18">
        <f>$AN260*sws_rate_on_bcd</f>
        <v/>
      </c>
      <c r="AP260" s="18">
        <f>($AL260+$AN260+$AO260)*igst_rate_hs7602</f>
        <v/>
      </c>
      <c r="AQ260" s="18">
        <f>$X260*$AG260+IF($Y260,psic_cost_usd_per_box*$H260/$W260,0)</f>
        <v/>
      </c>
      <c r="AR260" s="18">
        <f>($AM260+$AN260+$AO260)*$Z260/day_count_inr*$O260</f>
        <v/>
      </c>
      <c r="AS260" s="18">
        <f>$AP260*igst_credit_lag_days/day_count_inr*$O260</f>
        <v/>
      </c>
      <c r="AT260" s="18">
        <f>$AM260+$AN260+$AO260+$AQ260+$AR260+$AS260+IF(igst_itc_available,0,$AP260)</f>
        <v/>
      </c>
      <c r="AU260" s="15">
        <f>(1-$AA260)*(1-$AB260)*$AC260</f>
        <v/>
      </c>
      <c r="AV260" s="18">
        <f>$N260*kg_per_mt+domestic_anchor_premium_inr_t</f>
        <v/>
      </c>
      <c r="AW260" s="18">
        <f>(1-$AA260)*$AD260*heavies_net_value_frac_of_lme_al*$F260*$H260</f>
        <v/>
      </c>
      <c r="AX260" s="18">
        <f>conversion_cost_inr_t*$AU260</f>
        <v/>
      </c>
      <c r="AY260" s="18">
        <f>$AV260*$AU260+$AW260-$AT260-$AX260</f>
        <v/>
      </c>
      <c r="AZ260" s="16">
        <f>$AY260/$H260</f>
        <v/>
      </c>
      <c r="BA260" s="8">
        <f>$AY260&gt;margin_threshold_inr_t</f>
        <v/>
      </c>
      <c r="BB260" s="8">
        <f>$Q260+$AE260</f>
        <v/>
      </c>
      <c r="BC260" s="18">
        <f>$AT260-$AQ260</f>
        <v/>
      </c>
      <c r="BD260" s="18">
        <f>$AY260-$BC260*($BB260/$P260-1)</f>
        <v/>
      </c>
      <c r="BE260" s="18">
        <f>$AY260-(conv_step_5a-conversion_cost_inr_t)*$AU260</f>
        <v/>
      </c>
      <c r="BF260" s="8">
        <f>$BA260</f>
        <v/>
      </c>
      <c r="BG260" s="8">
        <f>$BD260&gt;margin_threshold_inr_t</f>
        <v/>
      </c>
      <c r="BH260" s="8">
        <f>$BE260&gt;margin_threshold_inr_t</f>
        <v/>
      </c>
      <c r="BI260" s="8">
        <f>AND($BF260,$BG260,$BH260)</f>
        <v/>
      </c>
      <c r="BJ260" s="8">
        <f>IF($BI260,1,0)</f>
        <v/>
      </c>
    </row>
    <row r="261">
      <c r="A261" s="11" t="n">
        <v>44862</v>
      </c>
      <c r="B261" s="11" t="n">
        <v>44862</v>
      </c>
      <c r="C261" s="7" t="inlineStr">
        <is>
          <t>taint_tabor</t>
        </is>
      </c>
      <c r="D261" s="7" t="inlineStr">
        <is>
          <t>USEC_MUN</t>
        </is>
      </c>
      <c r="E261" s="17" t="b">
        <v>0</v>
      </c>
      <c r="F261" s="16">
        <f>INDEX(Market_Weekly!$E$6:$E$48,MATCH($A261,Market_Weekly!$A$6:$A$48,0))</f>
        <v/>
      </c>
      <c r="G261" s="16">
        <f>INDEX(Market_Weekly!$D$6:$D$48,MATCH($A261,Market_Weekly!$A$6:$A$48,0))</f>
        <v/>
      </c>
      <c r="H261" s="16">
        <f>INDEX(Market_Weekly!$G$6:$G$48,MATCH($A261,Market_Weekly!$A$6:$A$48,0))</f>
        <v/>
      </c>
      <c r="I261" s="8">
        <f>INDEX(Market_Weekly!$H$6:$H$48,MATCH($A261,Market_Weekly!$A$6:$A$48,0))</f>
        <v/>
      </c>
      <c r="J261" s="8">
        <f>INDEX(Market_Weekly!$Q$6:$Q$48,MATCH($A261,Market_Weekly!$A$6:$A$48,0))</f>
        <v/>
      </c>
      <c r="K261" s="8">
        <f>INDEX(Market_Weekly!$V$6:$V$48,MATCH($A261,Market_Weekly!$A$6:$A$48,0))</f>
        <v/>
      </c>
      <c r="L261" s="16">
        <f>IF($D261="JEA_NSA",INDEX(Market_Weekly!$N$6:$N$48,MATCH($A261,Market_Weekly!$A$6:$A$48,0)),INDEX(Market_Weekly!$O$6:$O$48,MATCH($A261,Market_Weekly!$A$6:$A$48,0)))</f>
        <v/>
      </c>
      <c r="M261" s="8">
        <f>IF($D261="JEA_NSA","M1","M2")</f>
        <v/>
      </c>
      <c r="N261" s="16">
        <f>IF($D261="JEA_NSA",INDEX(Market_Weekly!$L$6:$L$48,MATCH($A261,Market_Weekly!$A$6:$A$48,0)),INDEX(Market_Weekly!$M$6:$M$48,MATCH($A261,Market_Weekly!$A$6:$A$48,0)))</f>
        <v/>
      </c>
      <c r="O261" s="15">
        <f>INDEX(Market_Weekly!$P$6:$P$48,MATCH($A261,Market_Weekly!$A$6:$A$48,0))</f>
        <v/>
      </c>
      <c r="P261" s="8">
        <f>INDEX(Market_Weekly!$R$6:$T$48,MATCH($A261,Market_Weekly!$A$6:$A$48,0),MATCH("grade_factor_"&amp;$C261,Market_Weekly!$R$5:$T$5,0))</f>
        <v/>
      </c>
      <c r="Q261" s="8">
        <f>INDEX(Market_Weekly!$U$6:$U$48,MATCH($A261,Market_Weekly!$A$6:$A$48,0))</f>
        <v/>
      </c>
      <c r="R261" s="8">
        <f>IF($D261="JEA_NSA","20ft","40ft")</f>
        <v/>
      </c>
      <c r="S261" s="8">
        <f>IF($D261="JEA_NSA","nsa","mun")</f>
        <v/>
      </c>
      <c r="T261" s="8">
        <f>IF($D261="JEA_NSA","jea_nsa","usec_mun")</f>
        <v/>
      </c>
      <c r="U261" s="16">
        <f>INDEX(param_values,MATCH("container_payload_mt_"&amp;$R261,param_keys,0))</f>
        <v/>
      </c>
      <c r="V261" s="16">
        <f>INDEX(param_values,MATCH("container_payload_mt_"&amp;$R261&amp;"_"&amp;$C261,param_keys,0))</f>
        <v/>
      </c>
      <c r="W261" s="16">
        <f>INDEX(param_values,MATCH("container_payload_mt_20ft_"&amp;$C261,param_keys,0))</f>
        <v/>
      </c>
      <c r="X261" s="18">
        <f>INDEX(param_values,MATCH("port_cf_charges_inr_t_"&amp;$S261,param_keys,0))</f>
        <v/>
      </c>
      <c r="Y261" s="8">
        <f>INDEX(param_values,MATCH(IF($D261="JEA_NSA","psic_required_uae_origin","psic_required_safe_origin_designated_port"),param_keys,0))</f>
        <v/>
      </c>
      <c r="Z261" s="19">
        <f>INDEX(param_values,MATCH("finance_days_"&amp;$T261,param_keys,0))</f>
        <v/>
      </c>
      <c r="AA261" s="15">
        <f>INDEX(param_values,MATCH("moisture_frac_"&amp;$C261,param_keys,0))</f>
        <v/>
      </c>
      <c r="AB261" s="15">
        <f>INDEX(param_values,MATCH("contamination_frac_"&amp;$C261,param_keys,0))</f>
        <v/>
      </c>
      <c r="AC261" s="15">
        <f>INDEX(param_values,MATCH("metal_yield_frac_"&amp;$C261,param_keys,0))</f>
        <v/>
      </c>
      <c r="AD261" s="15">
        <f>INDEX(param_values,MATCH("heavies_frac_"&amp;$C261,param_keys,0))</f>
        <v/>
      </c>
      <c r="AE261" s="8">
        <f>INDEX(param_values,MATCH("grade_factor_diff_"&amp;$C261,param_keys,0))</f>
        <v/>
      </c>
      <c r="AF261" s="16">
        <f>$F261*$P261</f>
        <v/>
      </c>
      <c r="AG261" s="8">
        <f>$U261/$V261</f>
        <v/>
      </c>
      <c r="AH261" s="16">
        <f>$L261*$AG261</f>
        <v/>
      </c>
      <c r="AI261" s="16">
        <f>$AF261-$AH261</f>
        <v/>
      </c>
      <c r="AJ261" s="16">
        <f>insurance_rate*insured_value_uplift*$AF261</f>
        <v/>
      </c>
      <c r="AK261" s="16">
        <f>$AF261+$AJ261</f>
        <v/>
      </c>
      <c r="AL261" s="18">
        <f>$AK261*$J261</f>
        <v/>
      </c>
      <c r="AM261" s="18">
        <f>$AK261*$I261</f>
        <v/>
      </c>
      <c r="AN261" s="18">
        <f>$AL261*bcd_scrap_hs7602</f>
        <v/>
      </c>
      <c r="AO261" s="18">
        <f>$AN261*sws_rate_on_bcd</f>
        <v/>
      </c>
      <c r="AP261" s="18">
        <f>($AL261+$AN261+$AO261)*igst_rate_hs7602</f>
        <v/>
      </c>
      <c r="AQ261" s="18">
        <f>$X261*$AG261+IF($Y261,psic_cost_usd_per_box*$H261/$W261,0)</f>
        <v/>
      </c>
      <c r="AR261" s="18">
        <f>($AM261+$AN261+$AO261)*$Z261/day_count_inr*$O261</f>
        <v/>
      </c>
      <c r="AS261" s="18">
        <f>$AP261*igst_credit_lag_days/day_count_inr*$O261</f>
        <v/>
      </c>
      <c r="AT261" s="18">
        <f>$AM261+$AN261+$AO261+$AQ261+$AR261+$AS261+IF(igst_itc_available,0,$AP261)</f>
        <v/>
      </c>
      <c r="AU261" s="15">
        <f>(1-$AA261)*(1-$AB261)*$AC261</f>
        <v/>
      </c>
      <c r="AV261" s="18">
        <f>$N261*kg_per_mt+domestic_anchor_premium_inr_t</f>
        <v/>
      </c>
      <c r="AW261" s="18">
        <f>(1-$AA261)*$AD261*heavies_net_value_frac_of_lme_al*$F261*$H261</f>
        <v/>
      </c>
      <c r="AX261" s="18">
        <f>conversion_cost_inr_t*$AU261</f>
        <v/>
      </c>
      <c r="AY261" s="18">
        <f>$AV261*$AU261+$AW261-$AT261-$AX261</f>
        <v/>
      </c>
      <c r="AZ261" s="16">
        <f>$AY261/$H261</f>
        <v/>
      </c>
      <c r="BA261" s="8">
        <f>$AY261&gt;margin_threshold_inr_t</f>
        <v/>
      </c>
      <c r="BB261" s="8">
        <f>$Q261+$AE261</f>
        <v/>
      </c>
      <c r="BC261" s="18">
        <f>$AT261-$AQ261</f>
        <v/>
      </c>
      <c r="BD261" s="18">
        <f>$AY261-$BC261*($BB261/$P261-1)</f>
        <v/>
      </c>
      <c r="BE261" s="18">
        <f>$AY261-(conv_step_5a-conversion_cost_inr_t)*$AU261</f>
        <v/>
      </c>
      <c r="BF261" s="8">
        <f>$BA261</f>
        <v/>
      </c>
      <c r="BG261" s="8">
        <f>$BD261&gt;margin_threshold_inr_t</f>
        <v/>
      </c>
      <c r="BH261" s="8">
        <f>$BE261&gt;margin_threshold_inr_t</f>
        <v/>
      </c>
      <c r="BI261" s="8">
        <f>AND($BF261,$BG261,$BH261)</f>
        <v/>
      </c>
      <c r="BJ261" s="8">
        <f>IF($BI261,1,0)</f>
        <v/>
      </c>
    </row>
    <row r="262">
      <c r="A262" s="11" t="n">
        <v>44862</v>
      </c>
      <c r="B262" s="11" t="n">
        <v>44862</v>
      </c>
      <c r="C262" s="7" t="inlineStr">
        <is>
          <t>tense</t>
        </is>
      </c>
      <c r="D262" s="7" t="inlineStr">
        <is>
          <t>JEA_NSA</t>
        </is>
      </c>
      <c r="E262" s="17" t="b">
        <v>0</v>
      </c>
      <c r="F262" s="16">
        <f>INDEX(Market_Weekly!$E$6:$E$48,MATCH($A262,Market_Weekly!$A$6:$A$48,0))</f>
        <v/>
      </c>
      <c r="G262" s="16">
        <f>INDEX(Market_Weekly!$D$6:$D$48,MATCH($A262,Market_Weekly!$A$6:$A$48,0))</f>
        <v/>
      </c>
      <c r="H262" s="16">
        <f>INDEX(Market_Weekly!$G$6:$G$48,MATCH($A262,Market_Weekly!$A$6:$A$48,0))</f>
        <v/>
      </c>
      <c r="I262" s="8">
        <f>INDEX(Market_Weekly!$H$6:$H$48,MATCH($A262,Market_Weekly!$A$6:$A$48,0))</f>
        <v/>
      </c>
      <c r="J262" s="8">
        <f>INDEX(Market_Weekly!$Q$6:$Q$48,MATCH($A262,Market_Weekly!$A$6:$A$48,0))</f>
        <v/>
      </c>
      <c r="K262" s="8">
        <f>INDEX(Market_Weekly!$V$6:$V$48,MATCH($A262,Market_Weekly!$A$6:$A$48,0))</f>
        <v/>
      </c>
      <c r="L262" s="16">
        <f>IF($D262="JEA_NSA",INDEX(Market_Weekly!$N$6:$N$48,MATCH($A262,Market_Weekly!$A$6:$A$48,0)),INDEX(Market_Weekly!$O$6:$O$48,MATCH($A262,Market_Weekly!$A$6:$A$48,0)))</f>
        <v/>
      </c>
      <c r="M262" s="8">
        <f>IF($D262="JEA_NSA","M1","M2")</f>
        <v/>
      </c>
      <c r="N262" s="16">
        <f>IF($D262="JEA_NSA",INDEX(Market_Weekly!$L$6:$L$48,MATCH($A262,Market_Weekly!$A$6:$A$48,0)),INDEX(Market_Weekly!$M$6:$M$48,MATCH($A262,Market_Weekly!$A$6:$A$48,0)))</f>
        <v/>
      </c>
      <c r="O262" s="15">
        <f>INDEX(Market_Weekly!$P$6:$P$48,MATCH($A262,Market_Weekly!$A$6:$A$48,0))</f>
        <v/>
      </c>
      <c r="P262" s="8">
        <f>INDEX(Market_Weekly!$R$6:$T$48,MATCH($A262,Market_Weekly!$A$6:$A$48,0),MATCH("grade_factor_"&amp;$C262,Market_Weekly!$R$5:$T$5,0))</f>
        <v/>
      </c>
      <c r="Q262" s="8">
        <f>INDEX(Market_Weekly!$U$6:$U$48,MATCH($A262,Market_Weekly!$A$6:$A$48,0))</f>
        <v/>
      </c>
      <c r="R262" s="8">
        <f>IF($D262="JEA_NSA","20ft","40ft")</f>
        <v/>
      </c>
      <c r="S262" s="8">
        <f>IF($D262="JEA_NSA","nsa","mun")</f>
        <v/>
      </c>
      <c r="T262" s="8">
        <f>IF($D262="JEA_NSA","jea_nsa","usec_mun")</f>
        <v/>
      </c>
      <c r="U262" s="16">
        <f>INDEX(param_values,MATCH("container_payload_mt_"&amp;$R262,param_keys,0))</f>
        <v/>
      </c>
      <c r="V262" s="16">
        <f>INDEX(param_values,MATCH("container_payload_mt_"&amp;$R262&amp;"_"&amp;$C262,param_keys,0))</f>
        <v/>
      </c>
      <c r="W262" s="16">
        <f>INDEX(param_values,MATCH("container_payload_mt_20ft_"&amp;$C262,param_keys,0))</f>
        <v/>
      </c>
      <c r="X262" s="18">
        <f>INDEX(param_values,MATCH("port_cf_charges_inr_t_"&amp;$S262,param_keys,0))</f>
        <v/>
      </c>
      <c r="Y262" s="8">
        <f>INDEX(param_values,MATCH(IF($D262="JEA_NSA","psic_required_uae_origin","psic_required_safe_origin_designated_port"),param_keys,0))</f>
        <v/>
      </c>
      <c r="Z262" s="19">
        <f>INDEX(param_values,MATCH("finance_days_"&amp;$T262,param_keys,0))</f>
        <v/>
      </c>
      <c r="AA262" s="15">
        <f>INDEX(param_values,MATCH("moisture_frac_"&amp;$C262,param_keys,0))</f>
        <v/>
      </c>
      <c r="AB262" s="15">
        <f>INDEX(param_values,MATCH("contamination_frac_"&amp;$C262,param_keys,0))</f>
        <v/>
      </c>
      <c r="AC262" s="15">
        <f>INDEX(param_values,MATCH("metal_yield_frac_"&amp;$C262,param_keys,0))</f>
        <v/>
      </c>
      <c r="AD262" s="15">
        <f>INDEX(param_values,MATCH("heavies_frac_"&amp;$C262,param_keys,0))</f>
        <v/>
      </c>
      <c r="AE262" s="8">
        <f>INDEX(param_values,MATCH("grade_factor_diff_"&amp;$C262,param_keys,0))</f>
        <v/>
      </c>
      <c r="AF262" s="16">
        <f>$F262*$P262</f>
        <v/>
      </c>
      <c r="AG262" s="8">
        <f>$U262/$V262</f>
        <v/>
      </c>
      <c r="AH262" s="16">
        <f>$L262*$AG262</f>
        <v/>
      </c>
      <c r="AI262" s="16">
        <f>$AF262-$AH262</f>
        <v/>
      </c>
      <c r="AJ262" s="16">
        <f>insurance_rate*insured_value_uplift*$AF262</f>
        <v/>
      </c>
      <c r="AK262" s="16">
        <f>$AF262+$AJ262</f>
        <v/>
      </c>
      <c r="AL262" s="18">
        <f>$AK262*$J262</f>
        <v/>
      </c>
      <c r="AM262" s="18">
        <f>$AK262*$I262</f>
        <v/>
      </c>
      <c r="AN262" s="18">
        <f>$AL262*bcd_scrap_hs7602</f>
        <v/>
      </c>
      <c r="AO262" s="18">
        <f>$AN262*sws_rate_on_bcd</f>
        <v/>
      </c>
      <c r="AP262" s="18">
        <f>($AL262+$AN262+$AO262)*igst_rate_hs7602</f>
        <v/>
      </c>
      <c r="AQ262" s="18">
        <f>$X262*$AG262+IF($Y262,psic_cost_usd_per_box*$H262/$W262,0)</f>
        <v/>
      </c>
      <c r="AR262" s="18">
        <f>($AM262+$AN262+$AO262)*$Z262/day_count_inr*$O262</f>
        <v/>
      </c>
      <c r="AS262" s="18">
        <f>$AP262*igst_credit_lag_days/day_count_inr*$O262</f>
        <v/>
      </c>
      <c r="AT262" s="18">
        <f>$AM262+$AN262+$AO262+$AQ262+$AR262+$AS262+IF(igst_itc_available,0,$AP262)</f>
        <v/>
      </c>
      <c r="AU262" s="15">
        <f>(1-$AA262)*(1-$AB262)*$AC262</f>
        <v/>
      </c>
      <c r="AV262" s="18">
        <f>$N262*kg_per_mt+domestic_anchor_premium_inr_t</f>
        <v/>
      </c>
      <c r="AW262" s="18">
        <f>(1-$AA262)*$AD262*heavies_net_value_frac_of_lme_al*$F262*$H262</f>
        <v/>
      </c>
      <c r="AX262" s="18">
        <f>conversion_cost_inr_t*$AU262</f>
        <v/>
      </c>
      <c r="AY262" s="18">
        <f>$AV262*$AU262+$AW262-$AT262-$AX262</f>
        <v/>
      </c>
      <c r="AZ262" s="16">
        <f>$AY262/$H262</f>
        <v/>
      </c>
      <c r="BA262" s="8">
        <f>$AY262&gt;margin_threshold_inr_t</f>
        <v/>
      </c>
      <c r="BB262" s="8">
        <f>$Q262+$AE262</f>
        <v/>
      </c>
      <c r="BC262" s="18">
        <f>$AT262-$AQ262</f>
        <v/>
      </c>
      <c r="BD262" s="18">
        <f>$AY262-$BC262*($BB262/$P262-1)</f>
        <v/>
      </c>
      <c r="BE262" s="18">
        <f>$AY262-(conv_step_5a-conversion_cost_inr_t)*$AU262</f>
        <v/>
      </c>
      <c r="BF262" s="8">
        <f>$BA262</f>
        <v/>
      </c>
      <c r="BG262" s="8">
        <f>$BD262&gt;margin_threshold_inr_t</f>
        <v/>
      </c>
      <c r="BH262" s="8">
        <f>$BE262&gt;margin_threshold_inr_t</f>
        <v/>
      </c>
      <c r="BI262" s="8">
        <f>AND($BF262,$BG262,$BH262)</f>
        <v/>
      </c>
      <c r="BJ262" s="8">
        <f>IF($BI262,1,0)</f>
        <v/>
      </c>
    </row>
    <row r="263">
      <c r="A263" s="11" t="n">
        <v>44862</v>
      </c>
      <c r="B263" s="11" t="n">
        <v>44862</v>
      </c>
      <c r="C263" s="7" t="inlineStr">
        <is>
          <t>tense</t>
        </is>
      </c>
      <c r="D263" s="7" t="inlineStr">
        <is>
          <t>USEC_MUN</t>
        </is>
      </c>
      <c r="E263" s="17" t="b">
        <v>0</v>
      </c>
      <c r="F263" s="16">
        <f>INDEX(Market_Weekly!$E$6:$E$48,MATCH($A263,Market_Weekly!$A$6:$A$48,0))</f>
        <v/>
      </c>
      <c r="G263" s="16">
        <f>INDEX(Market_Weekly!$D$6:$D$48,MATCH($A263,Market_Weekly!$A$6:$A$48,0))</f>
        <v/>
      </c>
      <c r="H263" s="16">
        <f>INDEX(Market_Weekly!$G$6:$G$48,MATCH($A263,Market_Weekly!$A$6:$A$48,0))</f>
        <v/>
      </c>
      <c r="I263" s="8">
        <f>INDEX(Market_Weekly!$H$6:$H$48,MATCH($A263,Market_Weekly!$A$6:$A$48,0))</f>
        <v/>
      </c>
      <c r="J263" s="8">
        <f>INDEX(Market_Weekly!$Q$6:$Q$48,MATCH($A263,Market_Weekly!$A$6:$A$48,0))</f>
        <v/>
      </c>
      <c r="K263" s="8">
        <f>INDEX(Market_Weekly!$V$6:$V$48,MATCH($A263,Market_Weekly!$A$6:$A$48,0))</f>
        <v/>
      </c>
      <c r="L263" s="16">
        <f>IF($D263="JEA_NSA",INDEX(Market_Weekly!$N$6:$N$48,MATCH($A263,Market_Weekly!$A$6:$A$48,0)),INDEX(Market_Weekly!$O$6:$O$48,MATCH($A263,Market_Weekly!$A$6:$A$48,0)))</f>
        <v/>
      </c>
      <c r="M263" s="8">
        <f>IF($D263="JEA_NSA","M1","M2")</f>
        <v/>
      </c>
      <c r="N263" s="16">
        <f>IF($D263="JEA_NSA",INDEX(Market_Weekly!$L$6:$L$48,MATCH($A263,Market_Weekly!$A$6:$A$48,0)),INDEX(Market_Weekly!$M$6:$M$48,MATCH($A263,Market_Weekly!$A$6:$A$48,0)))</f>
        <v/>
      </c>
      <c r="O263" s="15">
        <f>INDEX(Market_Weekly!$P$6:$P$48,MATCH($A263,Market_Weekly!$A$6:$A$48,0))</f>
        <v/>
      </c>
      <c r="P263" s="8">
        <f>INDEX(Market_Weekly!$R$6:$T$48,MATCH($A263,Market_Weekly!$A$6:$A$48,0),MATCH("grade_factor_"&amp;$C263,Market_Weekly!$R$5:$T$5,0))</f>
        <v/>
      </c>
      <c r="Q263" s="8">
        <f>INDEX(Market_Weekly!$U$6:$U$48,MATCH($A263,Market_Weekly!$A$6:$A$48,0))</f>
        <v/>
      </c>
      <c r="R263" s="8">
        <f>IF($D263="JEA_NSA","20ft","40ft")</f>
        <v/>
      </c>
      <c r="S263" s="8">
        <f>IF($D263="JEA_NSA","nsa","mun")</f>
        <v/>
      </c>
      <c r="T263" s="8">
        <f>IF($D263="JEA_NSA","jea_nsa","usec_mun")</f>
        <v/>
      </c>
      <c r="U263" s="16">
        <f>INDEX(param_values,MATCH("container_payload_mt_"&amp;$R263,param_keys,0))</f>
        <v/>
      </c>
      <c r="V263" s="16">
        <f>INDEX(param_values,MATCH("container_payload_mt_"&amp;$R263&amp;"_"&amp;$C263,param_keys,0))</f>
        <v/>
      </c>
      <c r="W263" s="16">
        <f>INDEX(param_values,MATCH("container_payload_mt_20ft_"&amp;$C263,param_keys,0))</f>
        <v/>
      </c>
      <c r="X263" s="18">
        <f>INDEX(param_values,MATCH("port_cf_charges_inr_t_"&amp;$S263,param_keys,0))</f>
        <v/>
      </c>
      <c r="Y263" s="8">
        <f>INDEX(param_values,MATCH(IF($D263="JEA_NSA","psic_required_uae_origin","psic_required_safe_origin_designated_port"),param_keys,0))</f>
        <v/>
      </c>
      <c r="Z263" s="19">
        <f>INDEX(param_values,MATCH("finance_days_"&amp;$T263,param_keys,0))</f>
        <v/>
      </c>
      <c r="AA263" s="15">
        <f>INDEX(param_values,MATCH("moisture_frac_"&amp;$C263,param_keys,0))</f>
        <v/>
      </c>
      <c r="AB263" s="15">
        <f>INDEX(param_values,MATCH("contamination_frac_"&amp;$C263,param_keys,0))</f>
        <v/>
      </c>
      <c r="AC263" s="15">
        <f>INDEX(param_values,MATCH("metal_yield_frac_"&amp;$C263,param_keys,0))</f>
        <v/>
      </c>
      <c r="AD263" s="15">
        <f>INDEX(param_values,MATCH("heavies_frac_"&amp;$C263,param_keys,0))</f>
        <v/>
      </c>
      <c r="AE263" s="8">
        <f>INDEX(param_values,MATCH("grade_factor_diff_"&amp;$C263,param_keys,0))</f>
        <v/>
      </c>
      <c r="AF263" s="16">
        <f>$F263*$P263</f>
        <v/>
      </c>
      <c r="AG263" s="8">
        <f>$U263/$V263</f>
        <v/>
      </c>
      <c r="AH263" s="16">
        <f>$L263*$AG263</f>
        <v/>
      </c>
      <c r="AI263" s="16">
        <f>$AF263-$AH263</f>
        <v/>
      </c>
      <c r="AJ263" s="16">
        <f>insurance_rate*insured_value_uplift*$AF263</f>
        <v/>
      </c>
      <c r="AK263" s="16">
        <f>$AF263+$AJ263</f>
        <v/>
      </c>
      <c r="AL263" s="18">
        <f>$AK263*$J263</f>
        <v/>
      </c>
      <c r="AM263" s="18">
        <f>$AK263*$I263</f>
        <v/>
      </c>
      <c r="AN263" s="18">
        <f>$AL263*bcd_scrap_hs7602</f>
        <v/>
      </c>
      <c r="AO263" s="18">
        <f>$AN263*sws_rate_on_bcd</f>
        <v/>
      </c>
      <c r="AP263" s="18">
        <f>($AL263+$AN263+$AO263)*igst_rate_hs7602</f>
        <v/>
      </c>
      <c r="AQ263" s="18">
        <f>$X263*$AG263+IF($Y263,psic_cost_usd_per_box*$H263/$W263,0)</f>
        <v/>
      </c>
      <c r="AR263" s="18">
        <f>($AM263+$AN263+$AO263)*$Z263/day_count_inr*$O263</f>
        <v/>
      </c>
      <c r="AS263" s="18">
        <f>$AP263*igst_credit_lag_days/day_count_inr*$O263</f>
        <v/>
      </c>
      <c r="AT263" s="18">
        <f>$AM263+$AN263+$AO263+$AQ263+$AR263+$AS263+IF(igst_itc_available,0,$AP263)</f>
        <v/>
      </c>
      <c r="AU263" s="15">
        <f>(1-$AA263)*(1-$AB263)*$AC263</f>
        <v/>
      </c>
      <c r="AV263" s="18">
        <f>$N263*kg_per_mt+domestic_anchor_premium_inr_t</f>
        <v/>
      </c>
      <c r="AW263" s="18">
        <f>(1-$AA263)*$AD263*heavies_net_value_frac_of_lme_al*$F263*$H263</f>
        <v/>
      </c>
      <c r="AX263" s="18">
        <f>conversion_cost_inr_t*$AU263</f>
        <v/>
      </c>
      <c r="AY263" s="18">
        <f>$AV263*$AU263+$AW263-$AT263-$AX263</f>
        <v/>
      </c>
      <c r="AZ263" s="16">
        <f>$AY263/$H263</f>
        <v/>
      </c>
      <c r="BA263" s="8">
        <f>$AY263&gt;margin_threshold_inr_t</f>
        <v/>
      </c>
      <c r="BB263" s="8">
        <f>$Q263+$AE263</f>
        <v/>
      </c>
      <c r="BC263" s="18">
        <f>$AT263-$AQ263</f>
        <v/>
      </c>
      <c r="BD263" s="18">
        <f>$AY263-$BC263*($BB263/$P263-1)</f>
        <v/>
      </c>
      <c r="BE263" s="18">
        <f>$AY263-(conv_step_5a-conversion_cost_inr_t)*$AU263</f>
        <v/>
      </c>
      <c r="BF263" s="8">
        <f>$BA263</f>
        <v/>
      </c>
      <c r="BG263" s="8">
        <f>$BD263&gt;margin_threshold_inr_t</f>
        <v/>
      </c>
      <c r="BH263" s="8">
        <f>$BE263&gt;margin_threshold_inr_t</f>
        <v/>
      </c>
      <c r="BI263" s="8">
        <f>AND($BF263,$BG263,$BH263)</f>
        <v/>
      </c>
      <c r="BJ263" s="8">
        <f>IF($BI263,1,0)</f>
        <v/>
      </c>
    </row>
  </sheetData>
  <autoFilter ref="A5:BJ26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464"/>
  <sheetViews>
    <sheetView showGridLines="0" workbookViewId="0">
      <pane xSplit="7" ySplit="284" topLeftCell="H285" activePane="bottomRight" state="frozen"/>
      <selection pane="topRight"/>
      <selection pane="bottomLeft"/>
      <selection pane="bottom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26" customWidth="1" min="8" max="8"/>
    <col width="17.75" customWidth="1" min="9" max="9"/>
    <col width="19.85" customWidth="1" min="10" max="10"/>
    <col width="15.65" customWidth="1" min="11" max="11"/>
    <col width="20.9" customWidth="1" min="12" max="12"/>
    <col width="11.45" customWidth="1" min="13" max="13"/>
    <col width="15.65" customWidth="1" min="14" max="14"/>
    <col width="11.45" customWidth="1" min="15" max="15"/>
    <col width="17.75" customWidth="1" min="16" max="16"/>
    <col width="11.45" customWidth="1" min="17" max="17"/>
    <col width="18.8" customWidth="1" min="18" max="18"/>
    <col width="13.55" customWidth="1" min="19" max="19"/>
    <col width="11.45" customWidth="1" min="20" max="20"/>
    <col width="11.45" customWidth="1" min="21" max="21"/>
    <col width="12.5" customWidth="1" min="22" max="22"/>
    <col width="12.5" customWidth="1" min="23" max="23"/>
    <col width="15.65" customWidth="1" min="24" max="24"/>
    <col width="20.9" customWidth="1" min="25" max="25"/>
    <col width="14.6" customWidth="1" min="26" max="26"/>
    <col width="14.6" customWidth="1" min="27" max="27"/>
    <col width="17.75" customWidth="1" min="28" max="28"/>
    <col width="24.05" customWidth="1" min="29" max="29"/>
    <col width="21.95" customWidth="1" min="30" max="30"/>
    <col width="24.05" customWidth="1" min="31" max="31"/>
    <col width="17.75" customWidth="1" min="32" max="32"/>
    <col width="24.05" customWidth="1" min="33" max="33"/>
    <col width="21.95" customWidth="1" min="34" max="34"/>
    <col width="24.05" customWidth="1" min="35" max="35"/>
  </cols>
  <sheetData>
    <row r="1">
      <c r="A1" s="1" t="inlineStr">
        <is>
          <t>ACADEMIC SIMULATION — not actual trades</t>
        </is>
      </c>
    </row>
    <row r="2">
      <c r="A2" s="2" t="inlineStr">
        <is>
          <t>Sensitivity — MASTER_SPEC Table 1.5 two-way grids on 1,000 MT, every cell a formula</t>
        </is>
      </c>
    </row>
    <row r="3">
      <c r="A3" s="3" t="inlineStr">
        <is>
          <t>P&amp;L impact = (shocked net arb − base net arb) × 1,000 MT: the change in the parity MARGIN of a trade whose purchase and sale both re-price. A fixed-price position is Phase 3 (MTM_Daily). Freight levels are hindsight reconstructions (CONTRACTS §4.3).</t>
        </is>
      </c>
    </row>
    <row r="5">
      <c r="A5" s="4" t="inlineStr">
        <is>
          <t>(a) LME price × USD/INR — Table 1.5(a)</t>
        </is>
      </c>
    </row>
    <row r="6">
      <c r="A6" s="3" t="inlineStr">
        <is>
          <t>lme_shock_pct −30 % … +10 % step 5 %; usdinr 74 … 82 step 1, plus the week's own observed spot.</t>
        </is>
      </c>
    </row>
    <row r="8" ht="30" customHeight="1">
      <c r="A8" s="5" t="inlineStr">
        <is>
          <t>ref_case</t>
        </is>
      </c>
      <c r="B8" s="5" t="inlineStr">
        <is>
          <t>week_end</t>
        </is>
      </c>
      <c r="C8" s="5" t="inlineStr">
        <is>
          <t>grade</t>
        </is>
      </c>
      <c r="D8" s="5" t="inlineStr">
        <is>
          <t>lane</t>
        </is>
      </c>
      <c r="E8" s="5" t="inlineStr">
        <is>
          <t>lme_shock_pct</t>
        </is>
      </c>
      <c r="F8" s="5" t="inlineStr">
        <is>
          <t>usdinr_level</t>
        </is>
      </c>
      <c r="G8" s="5" t="inlineStr">
        <is>
          <t>usdinr_is_base</t>
        </is>
      </c>
      <c r="H8" s="5" t="inlineStr">
        <is>
          <t>lme_ratio</t>
        </is>
      </c>
      <c r="I8" s="5" t="inlineStr">
        <is>
          <t>fx_ratio</t>
        </is>
      </c>
      <c r="J8" s="5" t="inlineStr">
        <is>
          <t>lme_3m_shocked_usd_t</t>
        </is>
      </c>
      <c r="K8" s="5" t="inlineStr">
        <is>
          <t>usdinr_goods_shocked</t>
        </is>
      </c>
      <c r="L8" s="5" t="inlineStr">
        <is>
          <t>customs_shocked</t>
        </is>
      </c>
      <c r="M8" s="5" t="inlineStr">
        <is>
          <t>mcx_spot_shocked_inr_kg</t>
        </is>
      </c>
      <c r="N8" s="5" t="inlineStr">
        <is>
          <t>mcx_carry_frac</t>
        </is>
      </c>
      <c r="O8" s="5" t="inlineStr">
        <is>
          <t>mcx_anchor_shocked_inr_kg</t>
        </is>
      </c>
      <c r="P8" s="5" t="inlineStr">
        <is>
          <t>net_arb_base_inr_t</t>
        </is>
      </c>
      <c r="Q8" s="5" t="inlineStr">
        <is>
          <t>cfr_usd_t</t>
        </is>
      </c>
      <c r="R8" s="5" t="inlineStr">
        <is>
          <t>freight_usd_t</t>
        </is>
      </c>
      <c r="S8" s="5" t="inlineStr">
        <is>
          <t>fob_usd_t</t>
        </is>
      </c>
      <c r="T8" s="5" t="inlineStr">
        <is>
          <t>insurance_usd_t</t>
        </is>
      </c>
      <c r="U8" s="5" t="inlineStr">
        <is>
          <t>cif_usd_t</t>
        </is>
      </c>
      <c r="V8" s="5" t="inlineStr">
        <is>
          <t>av_customs_inr_t</t>
        </is>
      </c>
      <c r="W8" s="5" t="inlineStr">
        <is>
          <t>goods_inr_t</t>
        </is>
      </c>
      <c r="X8" s="5" t="inlineStr">
        <is>
          <t>bcd_inr_t</t>
        </is>
      </c>
      <c r="Y8" s="5" t="inlineStr">
        <is>
          <t>sws_inr_t</t>
        </is>
      </c>
      <c r="Z8" s="5" t="inlineStr">
        <is>
          <t>igst_inr_t</t>
        </is>
      </c>
      <c r="AA8" s="5" t="inlineStr">
        <is>
          <t>port_inr_t</t>
        </is>
      </c>
      <c r="AB8" s="5" t="inlineStr">
        <is>
          <t>finance_inr_t</t>
        </is>
      </c>
      <c r="AC8" s="5" t="inlineStr">
        <is>
          <t>igst_finance_inr_t</t>
        </is>
      </c>
      <c r="AD8" s="5" t="inlineStr">
        <is>
          <t>landed_inr_t</t>
        </is>
      </c>
      <c r="AE8" s="5" t="inlineStr">
        <is>
          <t>anchor_inr_t</t>
        </is>
      </c>
      <c r="AF8" s="5" t="inlineStr">
        <is>
          <t>byproduct_inr_t</t>
        </is>
      </c>
      <c r="AG8" s="5" t="inlineStr">
        <is>
          <t>net_arb_shocked_inr_t</t>
        </is>
      </c>
      <c r="AH8" s="5" t="inlineStr">
        <is>
          <t>window_open_shocked</t>
        </is>
      </c>
      <c r="AI8" s="5" t="inlineStr">
        <is>
          <t>pnl_impact_1000mt_inr</t>
        </is>
      </c>
    </row>
    <row r="9">
      <c r="A9" s="7" t="inlineStr">
        <is>
          <t>first_eligible</t>
        </is>
      </c>
      <c r="B9" s="11" t="n">
        <v>44624</v>
      </c>
      <c r="C9" s="7" t="inlineStr">
        <is>
          <t>zorba</t>
        </is>
      </c>
      <c r="D9" s="7" t="inlineStr">
        <is>
          <t>JEA_NSA</t>
        </is>
      </c>
      <c r="E9" s="20" t="n">
        <v>-30</v>
      </c>
      <c r="F9" s="7" t="n">
        <v>74</v>
      </c>
      <c r="G9" s="17" t="b">
        <v>0</v>
      </c>
      <c r="H9" s="8">
        <f>1+$E9/100</f>
        <v/>
      </c>
      <c r="I9" s="8">
        <f>$F9/Parity!$H$54</f>
        <v/>
      </c>
      <c r="J9" s="16">
        <f>Parity!$F$54*$H9</f>
        <v/>
      </c>
      <c r="K9" s="8">
        <f>Parity!$I$54*$I9</f>
        <v/>
      </c>
      <c r="L9" s="8">
        <f>Parity!$J$54*$I9</f>
        <v/>
      </c>
      <c r="M9" s="16">
        <f>(Market_Weekly!$K$14-mcx_domestic_premium_inr_kg)*$H9*$I9+mcx_domestic_premium_inr_kg</f>
        <v/>
      </c>
      <c r="N9" s="15">
        <f>Parity!$N$54/Market_Weekly!$K$14</f>
        <v/>
      </c>
      <c r="O9" s="16">
        <f>$M9*$N9</f>
        <v/>
      </c>
      <c r="P9" s="18">
        <f>Parity!$AY$54</f>
        <v/>
      </c>
      <c r="Q9" s="16">
        <f>$J9*Parity!$P$54</f>
        <v/>
      </c>
      <c r="R9" s="16">
        <f>Parity!$L$54*Parity!$AG$54</f>
        <v/>
      </c>
      <c r="S9" s="16">
        <f>$Q9-$R9</f>
        <v/>
      </c>
      <c r="T9" s="16">
        <f>insurance_rate*insured_value_uplift*$Q9</f>
        <v/>
      </c>
      <c r="U9" s="16">
        <f>$Q9+$T9</f>
        <v/>
      </c>
      <c r="V9" s="18">
        <f>$U9*$L9</f>
        <v/>
      </c>
      <c r="W9" s="18">
        <f>$U9*$K9</f>
        <v/>
      </c>
      <c r="X9" s="18">
        <f>$V9*bcd_scrap_hs7602</f>
        <v/>
      </c>
      <c r="Y9" s="18">
        <f>$X9*sws_rate_on_bcd</f>
        <v/>
      </c>
      <c r="Z9" s="18">
        <f>($V9+$X9+$Y9)*igst_rate_hs7602</f>
        <v/>
      </c>
      <c r="AA9" s="18">
        <f>Parity!$X$54*Parity!$AG$54+IF(Parity!$Y$54,psic_cost_usd_per_box*$F9/Parity!$W$54,0)</f>
        <v/>
      </c>
      <c r="AB9" s="18">
        <f>($W9+$X9+$Y9)*Parity!$Z$54/day_count_inr*Parity!$O$54</f>
        <v/>
      </c>
      <c r="AC9" s="18">
        <f>$Z9*igst_credit_lag_days/day_count_inr*Parity!$O$54</f>
        <v/>
      </c>
      <c r="AD9" s="18">
        <f>$W9+$X9+$Y9+$AA9+$AB9+$AC9+IF(igst_itc_available,0,$Z9)</f>
        <v/>
      </c>
      <c r="AE9" s="18">
        <f>$O9*kg_per_mt+domestic_anchor_premium_inr_t</f>
        <v/>
      </c>
      <c r="AF9" s="18">
        <f>(1-Parity!$AA$54)*Parity!$AD$54*heavies_net_value_frac_of_lme_al*$J9*$F9</f>
        <v/>
      </c>
      <c r="AG9" s="18">
        <f>$AE9*Parity!$AU$54+$AF9-$AD9-Parity!$AX$54</f>
        <v/>
      </c>
      <c r="AH9" s="8">
        <f>$AG9&gt;margin_threshold_inr_t</f>
        <v/>
      </c>
      <c r="AI9" s="18">
        <f>($AG9-$P9)*grid_tonnes_mt</f>
        <v/>
      </c>
    </row>
    <row r="10">
      <c r="A10" s="7" t="inlineStr">
        <is>
          <t>first_eligible</t>
        </is>
      </c>
      <c r="B10" s="11" t="n">
        <v>44624</v>
      </c>
      <c r="C10" s="7" t="inlineStr">
        <is>
          <t>zorba</t>
        </is>
      </c>
      <c r="D10" s="7" t="inlineStr">
        <is>
          <t>JEA_NSA</t>
        </is>
      </c>
      <c r="E10" s="20" t="n">
        <v>-25</v>
      </c>
      <c r="F10" s="7" t="n">
        <v>74</v>
      </c>
      <c r="G10" s="17" t="b">
        <v>0</v>
      </c>
      <c r="H10" s="8">
        <f>1+$E10/100</f>
        <v/>
      </c>
      <c r="I10" s="8">
        <f>$F10/Parity!$H$54</f>
        <v/>
      </c>
      <c r="J10" s="16">
        <f>Parity!$F$54*$H10</f>
        <v/>
      </c>
      <c r="K10" s="8">
        <f>Parity!$I$54*$I10</f>
        <v/>
      </c>
      <c r="L10" s="8">
        <f>Parity!$J$54*$I10</f>
        <v/>
      </c>
      <c r="M10" s="16">
        <f>(Market_Weekly!$K$14-mcx_domestic_premium_inr_kg)*$H10*$I10+mcx_domestic_premium_inr_kg</f>
        <v/>
      </c>
      <c r="N10" s="15">
        <f>Parity!$N$54/Market_Weekly!$K$14</f>
        <v/>
      </c>
      <c r="O10" s="16">
        <f>$M10*$N10</f>
        <v/>
      </c>
      <c r="P10" s="18">
        <f>Parity!$AY$54</f>
        <v/>
      </c>
      <c r="Q10" s="16">
        <f>$J10*Parity!$P$54</f>
        <v/>
      </c>
      <c r="R10" s="16">
        <f>Parity!$L$54*Parity!$AG$54</f>
        <v/>
      </c>
      <c r="S10" s="16">
        <f>$Q10-$R10</f>
        <v/>
      </c>
      <c r="T10" s="16">
        <f>insurance_rate*insured_value_uplift*$Q10</f>
        <v/>
      </c>
      <c r="U10" s="16">
        <f>$Q10+$T10</f>
        <v/>
      </c>
      <c r="V10" s="18">
        <f>$U10*$L10</f>
        <v/>
      </c>
      <c r="W10" s="18">
        <f>$U10*$K10</f>
        <v/>
      </c>
      <c r="X10" s="18">
        <f>$V10*bcd_scrap_hs7602</f>
        <v/>
      </c>
      <c r="Y10" s="18">
        <f>$X10*sws_rate_on_bcd</f>
        <v/>
      </c>
      <c r="Z10" s="18">
        <f>($V10+$X10+$Y10)*igst_rate_hs7602</f>
        <v/>
      </c>
      <c r="AA10" s="18">
        <f>Parity!$X$54*Parity!$AG$54+IF(Parity!$Y$54,psic_cost_usd_per_box*$F10/Parity!$W$54,0)</f>
        <v/>
      </c>
      <c r="AB10" s="18">
        <f>($W10+$X10+$Y10)*Parity!$Z$54/day_count_inr*Parity!$O$54</f>
        <v/>
      </c>
      <c r="AC10" s="18">
        <f>$Z10*igst_credit_lag_days/day_count_inr*Parity!$O$54</f>
        <v/>
      </c>
      <c r="AD10" s="18">
        <f>$W10+$X10+$Y10+$AA10+$AB10+$AC10+IF(igst_itc_available,0,$Z10)</f>
        <v/>
      </c>
      <c r="AE10" s="18">
        <f>$O10*kg_per_mt+domestic_anchor_premium_inr_t</f>
        <v/>
      </c>
      <c r="AF10" s="18">
        <f>(1-Parity!$AA$54)*Parity!$AD$54*heavies_net_value_frac_of_lme_al*$J10*$F10</f>
        <v/>
      </c>
      <c r="AG10" s="18">
        <f>$AE10*Parity!$AU$54+$AF10-$AD10-Parity!$AX$54</f>
        <v/>
      </c>
      <c r="AH10" s="8">
        <f>$AG10&gt;margin_threshold_inr_t</f>
        <v/>
      </c>
      <c r="AI10" s="18">
        <f>($AG10-$P10)*grid_tonnes_mt</f>
        <v/>
      </c>
    </row>
    <row r="11">
      <c r="A11" s="7" t="inlineStr">
        <is>
          <t>first_eligible</t>
        </is>
      </c>
      <c r="B11" s="11" t="n">
        <v>44624</v>
      </c>
      <c r="C11" s="7" t="inlineStr">
        <is>
          <t>zorba</t>
        </is>
      </c>
      <c r="D11" s="7" t="inlineStr">
        <is>
          <t>JEA_NSA</t>
        </is>
      </c>
      <c r="E11" s="20" t="n">
        <v>-20</v>
      </c>
      <c r="F11" s="7" t="n">
        <v>74</v>
      </c>
      <c r="G11" s="17" t="b">
        <v>0</v>
      </c>
      <c r="H11" s="8">
        <f>1+$E11/100</f>
        <v/>
      </c>
      <c r="I11" s="8">
        <f>$F11/Parity!$H$54</f>
        <v/>
      </c>
      <c r="J11" s="16">
        <f>Parity!$F$54*$H11</f>
        <v/>
      </c>
      <c r="K11" s="8">
        <f>Parity!$I$54*$I11</f>
        <v/>
      </c>
      <c r="L11" s="8">
        <f>Parity!$J$54*$I11</f>
        <v/>
      </c>
      <c r="M11" s="16">
        <f>(Market_Weekly!$K$14-mcx_domestic_premium_inr_kg)*$H11*$I11+mcx_domestic_premium_inr_kg</f>
        <v/>
      </c>
      <c r="N11" s="15">
        <f>Parity!$N$54/Market_Weekly!$K$14</f>
        <v/>
      </c>
      <c r="O11" s="16">
        <f>$M11*$N11</f>
        <v/>
      </c>
      <c r="P11" s="18">
        <f>Parity!$AY$54</f>
        <v/>
      </c>
      <c r="Q11" s="16">
        <f>$J11*Parity!$P$54</f>
        <v/>
      </c>
      <c r="R11" s="16">
        <f>Parity!$L$54*Parity!$AG$54</f>
        <v/>
      </c>
      <c r="S11" s="16">
        <f>$Q11-$R11</f>
        <v/>
      </c>
      <c r="T11" s="16">
        <f>insurance_rate*insured_value_uplift*$Q11</f>
        <v/>
      </c>
      <c r="U11" s="16">
        <f>$Q11+$T11</f>
        <v/>
      </c>
      <c r="V11" s="18">
        <f>$U11*$L11</f>
        <v/>
      </c>
      <c r="W11" s="18">
        <f>$U11*$K11</f>
        <v/>
      </c>
      <c r="X11" s="18">
        <f>$V11*bcd_scrap_hs7602</f>
        <v/>
      </c>
      <c r="Y11" s="18">
        <f>$X11*sws_rate_on_bcd</f>
        <v/>
      </c>
      <c r="Z11" s="18">
        <f>($V11+$X11+$Y11)*igst_rate_hs7602</f>
        <v/>
      </c>
      <c r="AA11" s="18">
        <f>Parity!$X$54*Parity!$AG$54+IF(Parity!$Y$54,psic_cost_usd_per_box*$F11/Parity!$W$54,0)</f>
        <v/>
      </c>
      <c r="AB11" s="18">
        <f>($W11+$X11+$Y11)*Parity!$Z$54/day_count_inr*Parity!$O$54</f>
        <v/>
      </c>
      <c r="AC11" s="18">
        <f>$Z11*igst_credit_lag_days/day_count_inr*Parity!$O$54</f>
        <v/>
      </c>
      <c r="AD11" s="18">
        <f>$W11+$X11+$Y11+$AA11+$AB11+$AC11+IF(igst_itc_available,0,$Z11)</f>
        <v/>
      </c>
      <c r="AE11" s="18">
        <f>$O11*kg_per_mt+domestic_anchor_premium_inr_t</f>
        <v/>
      </c>
      <c r="AF11" s="18">
        <f>(1-Parity!$AA$54)*Parity!$AD$54*heavies_net_value_frac_of_lme_al*$J11*$F11</f>
        <v/>
      </c>
      <c r="AG11" s="18">
        <f>$AE11*Parity!$AU$54+$AF11-$AD11-Parity!$AX$54</f>
        <v/>
      </c>
      <c r="AH11" s="8">
        <f>$AG11&gt;margin_threshold_inr_t</f>
        <v/>
      </c>
      <c r="AI11" s="18">
        <f>($AG11-$P11)*grid_tonnes_mt</f>
        <v/>
      </c>
    </row>
    <row r="12">
      <c r="A12" s="7" t="inlineStr">
        <is>
          <t>first_eligible</t>
        </is>
      </c>
      <c r="B12" s="11" t="n">
        <v>44624</v>
      </c>
      <c r="C12" s="7" t="inlineStr">
        <is>
          <t>zorba</t>
        </is>
      </c>
      <c r="D12" s="7" t="inlineStr">
        <is>
          <t>JEA_NSA</t>
        </is>
      </c>
      <c r="E12" s="20" t="n">
        <v>-15</v>
      </c>
      <c r="F12" s="7" t="n">
        <v>74</v>
      </c>
      <c r="G12" s="17" t="b">
        <v>0</v>
      </c>
      <c r="H12" s="8">
        <f>1+$E12/100</f>
        <v/>
      </c>
      <c r="I12" s="8">
        <f>$F12/Parity!$H$54</f>
        <v/>
      </c>
      <c r="J12" s="16">
        <f>Parity!$F$54*$H12</f>
        <v/>
      </c>
      <c r="K12" s="8">
        <f>Parity!$I$54*$I12</f>
        <v/>
      </c>
      <c r="L12" s="8">
        <f>Parity!$J$54*$I12</f>
        <v/>
      </c>
      <c r="M12" s="16">
        <f>(Market_Weekly!$K$14-mcx_domestic_premium_inr_kg)*$H12*$I12+mcx_domestic_premium_inr_kg</f>
        <v/>
      </c>
      <c r="N12" s="15">
        <f>Parity!$N$54/Market_Weekly!$K$14</f>
        <v/>
      </c>
      <c r="O12" s="16">
        <f>$M12*$N12</f>
        <v/>
      </c>
      <c r="P12" s="18">
        <f>Parity!$AY$54</f>
        <v/>
      </c>
      <c r="Q12" s="16">
        <f>$J12*Parity!$P$54</f>
        <v/>
      </c>
      <c r="R12" s="16">
        <f>Parity!$L$54*Parity!$AG$54</f>
        <v/>
      </c>
      <c r="S12" s="16">
        <f>$Q12-$R12</f>
        <v/>
      </c>
      <c r="T12" s="16">
        <f>insurance_rate*insured_value_uplift*$Q12</f>
        <v/>
      </c>
      <c r="U12" s="16">
        <f>$Q12+$T12</f>
        <v/>
      </c>
      <c r="V12" s="18">
        <f>$U12*$L12</f>
        <v/>
      </c>
      <c r="W12" s="18">
        <f>$U12*$K12</f>
        <v/>
      </c>
      <c r="X12" s="18">
        <f>$V12*bcd_scrap_hs7602</f>
        <v/>
      </c>
      <c r="Y12" s="18">
        <f>$X12*sws_rate_on_bcd</f>
        <v/>
      </c>
      <c r="Z12" s="18">
        <f>($V12+$X12+$Y12)*igst_rate_hs7602</f>
        <v/>
      </c>
      <c r="AA12" s="18">
        <f>Parity!$X$54*Parity!$AG$54+IF(Parity!$Y$54,psic_cost_usd_per_box*$F12/Parity!$W$54,0)</f>
        <v/>
      </c>
      <c r="AB12" s="18">
        <f>($W12+$X12+$Y12)*Parity!$Z$54/day_count_inr*Parity!$O$54</f>
        <v/>
      </c>
      <c r="AC12" s="18">
        <f>$Z12*igst_credit_lag_days/day_count_inr*Parity!$O$54</f>
        <v/>
      </c>
      <c r="AD12" s="18">
        <f>$W12+$X12+$Y12+$AA12+$AB12+$AC12+IF(igst_itc_available,0,$Z12)</f>
        <v/>
      </c>
      <c r="AE12" s="18">
        <f>$O12*kg_per_mt+domestic_anchor_premium_inr_t</f>
        <v/>
      </c>
      <c r="AF12" s="18">
        <f>(1-Parity!$AA$54)*Parity!$AD$54*heavies_net_value_frac_of_lme_al*$J12*$F12</f>
        <v/>
      </c>
      <c r="AG12" s="18">
        <f>$AE12*Parity!$AU$54+$AF12-$AD12-Parity!$AX$54</f>
        <v/>
      </c>
      <c r="AH12" s="8">
        <f>$AG12&gt;margin_threshold_inr_t</f>
        <v/>
      </c>
      <c r="AI12" s="18">
        <f>($AG12-$P12)*grid_tonnes_mt</f>
        <v/>
      </c>
    </row>
    <row r="13">
      <c r="A13" s="7" t="inlineStr">
        <is>
          <t>first_eligible</t>
        </is>
      </c>
      <c r="B13" s="11" t="n">
        <v>44624</v>
      </c>
      <c r="C13" s="7" t="inlineStr">
        <is>
          <t>zorba</t>
        </is>
      </c>
      <c r="D13" s="7" t="inlineStr">
        <is>
          <t>JEA_NSA</t>
        </is>
      </c>
      <c r="E13" s="20" t="n">
        <v>-10</v>
      </c>
      <c r="F13" s="7" t="n">
        <v>74</v>
      </c>
      <c r="G13" s="17" t="b">
        <v>0</v>
      </c>
      <c r="H13" s="8">
        <f>1+$E13/100</f>
        <v/>
      </c>
      <c r="I13" s="8">
        <f>$F13/Parity!$H$54</f>
        <v/>
      </c>
      <c r="J13" s="16">
        <f>Parity!$F$54*$H13</f>
        <v/>
      </c>
      <c r="K13" s="8">
        <f>Parity!$I$54*$I13</f>
        <v/>
      </c>
      <c r="L13" s="8">
        <f>Parity!$J$54*$I13</f>
        <v/>
      </c>
      <c r="M13" s="16">
        <f>(Market_Weekly!$K$14-mcx_domestic_premium_inr_kg)*$H13*$I13+mcx_domestic_premium_inr_kg</f>
        <v/>
      </c>
      <c r="N13" s="15">
        <f>Parity!$N$54/Market_Weekly!$K$14</f>
        <v/>
      </c>
      <c r="O13" s="16">
        <f>$M13*$N13</f>
        <v/>
      </c>
      <c r="P13" s="18">
        <f>Parity!$AY$54</f>
        <v/>
      </c>
      <c r="Q13" s="16">
        <f>$J13*Parity!$P$54</f>
        <v/>
      </c>
      <c r="R13" s="16">
        <f>Parity!$L$54*Parity!$AG$54</f>
        <v/>
      </c>
      <c r="S13" s="16">
        <f>$Q13-$R13</f>
        <v/>
      </c>
      <c r="T13" s="16">
        <f>insurance_rate*insured_value_uplift*$Q13</f>
        <v/>
      </c>
      <c r="U13" s="16">
        <f>$Q13+$T13</f>
        <v/>
      </c>
      <c r="V13" s="18">
        <f>$U13*$L13</f>
        <v/>
      </c>
      <c r="W13" s="18">
        <f>$U13*$K13</f>
        <v/>
      </c>
      <c r="X13" s="18">
        <f>$V13*bcd_scrap_hs7602</f>
        <v/>
      </c>
      <c r="Y13" s="18">
        <f>$X13*sws_rate_on_bcd</f>
        <v/>
      </c>
      <c r="Z13" s="18">
        <f>($V13+$X13+$Y13)*igst_rate_hs7602</f>
        <v/>
      </c>
      <c r="AA13" s="18">
        <f>Parity!$X$54*Parity!$AG$54+IF(Parity!$Y$54,psic_cost_usd_per_box*$F13/Parity!$W$54,0)</f>
        <v/>
      </c>
      <c r="AB13" s="18">
        <f>($W13+$X13+$Y13)*Parity!$Z$54/day_count_inr*Parity!$O$54</f>
        <v/>
      </c>
      <c r="AC13" s="18">
        <f>$Z13*igst_credit_lag_days/day_count_inr*Parity!$O$54</f>
        <v/>
      </c>
      <c r="AD13" s="18">
        <f>$W13+$X13+$Y13+$AA13+$AB13+$AC13+IF(igst_itc_available,0,$Z13)</f>
        <v/>
      </c>
      <c r="AE13" s="18">
        <f>$O13*kg_per_mt+domestic_anchor_premium_inr_t</f>
        <v/>
      </c>
      <c r="AF13" s="18">
        <f>(1-Parity!$AA$54)*Parity!$AD$54*heavies_net_value_frac_of_lme_al*$J13*$F13</f>
        <v/>
      </c>
      <c r="AG13" s="18">
        <f>$AE13*Parity!$AU$54+$AF13-$AD13-Parity!$AX$54</f>
        <v/>
      </c>
      <c r="AH13" s="8">
        <f>$AG13&gt;margin_threshold_inr_t</f>
        <v/>
      </c>
      <c r="AI13" s="18">
        <f>($AG13-$P13)*grid_tonnes_mt</f>
        <v/>
      </c>
    </row>
    <row r="14">
      <c r="A14" s="7" t="inlineStr">
        <is>
          <t>first_eligible</t>
        </is>
      </c>
      <c r="B14" s="11" t="n">
        <v>44624</v>
      </c>
      <c r="C14" s="7" t="inlineStr">
        <is>
          <t>zorba</t>
        </is>
      </c>
      <c r="D14" s="7" t="inlineStr">
        <is>
          <t>JEA_NSA</t>
        </is>
      </c>
      <c r="E14" s="20" t="n">
        <v>-5</v>
      </c>
      <c r="F14" s="7" t="n">
        <v>74</v>
      </c>
      <c r="G14" s="17" t="b">
        <v>0</v>
      </c>
      <c r="H14" s="8">
        <f>1+$E14/100</f>
        <v/>
      </c>
      <c r="I14" s="8">
        <f>$F14/Parity!$H$54</f>
        <v/>
      </c>
      <c r="J14" s="16">
        <f>Parity!$F$54*$H14</f>
        <v/>
      </c>
      <c r="K14" s="8">
        <f>Parity!$I$54*$I14</f>
        <v/>
      </c>
      <c r="L14" s="8">
        <f>Parity!$J$54*$I14</f>
        <v/>
      </c>
      <c r="M14" s="16">
        <f>(Market_Weekly!$K$14-mcx_domestic_premium_inr_kg)*$H14*$I14+mcx_domestic_premium_inr_kg</f>
        <v/>
      </c>
      <c r="N14" s="15">
        <f>Parity!$N$54/Market_Weekly!$K$14</f>
        <v/>
      </c>
      <c r="O14" s="16">
        <f>$M14*$N14</f>
        <v/>
      </c>
      <c r="P14" s="18">
        <f>Parity!$AY$54</f>
        <v/>
      </c>
      <c r="Q14" s="16">
        <f>$J14*Parity!$P$54</f>
        <v/>
      </c>
      <c r="R14" s="16">
        <f>Parity!$L$54*Parity!$AG$54</f>
        <v/>
      </c>
      <c r="S14" s="16">
        <f>$Q14-$R14</f>
        <v/>
      </c>
      <c r="T14" s="16">
        <f>insurance_rate*insured_value_uplift*$Q14</f>
        <v/>
      </c>
      <c r="U14" s="16">
        <f>$Q14+$T14</f>
        <v/>
      </c>
      <c r="V14" s="18">
        <f>$U14*$L14</f>
        <v/>
      </c>
      <c r="W14" s="18">
        <f>$U14*$K14</f>
        <v/>
      </c>
      <c r="X14" s="18">
        <f>$V14*bcd_scrap_hs7602</f>
        <v/>
      </c>
      <c r="Y14" s="18">
        <f>$X14*sws_rate_on_bcd</f>
        <v/>
      </c>
      <c r="Z14" s="18">
        <f>($V14+$X14+$Y14)*igst_rate_hs7602</f>
        <v/>
      </c>
      <c r="AA14" s="18">
        <f>Parity!$X$54*Parity!$AG$54+IF(Parity!$Y$54,psic_cost_usd_per_box*$F14/Parity!$W$54,0)</f>
        <v/>
      </c>
      <c r="AB14" s="18">
        <f>($W14+$X14+$Y14)*Parity!$Z$54/day_count_inr*Parity!$O$54</f>
        <v/>
      </c>
      <c r="AC14" s="18">
        <f>$Z14*igst_credit_lag_days/day_count_inr*Parity!$O$54</f>
        <v/>
      </c>
      <c r="AD14" s="18">
        <f>$W14+$X14+$Y14+$AA14+$AB14+$AC14+IF(igst_itc_available,0,$Z14)</f>
        <v/>
      </c>
      <c r="AE14" s="18">
        <f>$O14*kg_per_mt+domestic_anchor_premium_inr_t</f>
        <v/>
      </c>
      <c r="AF14" s="18">
        <f>(1-Parity!$AA$54)*Parity!$AD$54*heavies_net_value_frac_of_lme_al*$J14*$F14</f>
        <v/>
      </c>
      <c r="AG14" s="18">
        <f>$AE14*Parity!$AU$54+$AF14-$AD14-Parity!$AX$54</f>
        <v/>
      </c>
      <c r="AH14" s="8">
        <f>$AG14&gt;margin_threshold_inr_t</f>
        <v/>
      </c>
      <c r="AI14" s="18">
        <f>($AG14-$P14)*grid_tonnes_mt</f>
        <v/>
      </c>
    </row>
    <row r="15">
      <c r="A15" s="7" t="inlineStr">
        <is>
          <t>first_eligible</t>
        </is>
      </c>
      <c r="B15" s="11" t="n">
        <v>44624</v>
      </c>
      <c r="C15" s="7" t="inlineStr">
        <is>
          <t>zorba</t>
        </is>
      </c>
      <c r="D15" s="7" t="inlineStr">
        <is>
          <t>JEA_NSA</t>
        </is>
      </c>
      <c r="E15" s="20" t="n">
        <v>0</v>
      </c>
      <c r="F15" s="7" t="n">
        <v>74</v>
      </c>
      <c r="G15" s="17" t="b">
        <v>0</v>
      </c>
      <c r="H15" s="8">
        <f>1+$E15/100</f>
        <v/>
      </c>
      <c r="I15" s="8">
        <f>$F15/Parity!$H$54</f>
        <v/>
      </c>
      <c r="J15" s="16">
        <f>Parity!$F$54*$H15</f>
        <v/>
      </c>
      <c r="K15" s="8">
        <f>Parity!$I$54*$I15</f>
        <v/>
      </c>
      <c r="L15" s="8">
        <f>Parity!$J$54*$I15</f>
        <v/>
      </c>
      <c r="M15" s="16">
        <f>(Market_Weekly!$K$14-mcx_domestic_premium_inr_kg)*$H15*$I15+mcx_domestic_premium_inr_kg</f>
        <v/>
      </c>
      <c r="N15" s="15">
        <f>Parity!$N$54/Market_Weekly!$K$14</f>
        <v/>
      </c>
      <c r="O15" s="16">
        <f>$M15*$N15</f>
        <v/>
      </c>
      <c r="P15" s="18">
        <f>Parity!$AY$54</f>
        <v/>
      </c>
      <c r="Q15" s="16">
        <f>$J15*Parity!$P$54</f>
        <v/>
      </c>
      <c r="R15" s="16">
        <f>Parity!$L$54*Parity!$AG$54</f>
        <v/>
      </c>
      <c r="S15" s="16">
        <f>$Q15-$R15</f>
        <v/>
      </c>
      <c r="T15" s="16">
        <f>insurance_rate*insured_value_uplift*$Q15</f>
        <v/>
      </c>
      <c r="U15" s="16">
        <f>$Q15+$T15</f>
        <v/>
      </c>
      <c r="V15" s="18">
        <f>$U15*$L15</f>
        <v/>
      </c>
      <c r="W15" s="18">
        <f>$U15*$K15</f>
        <v/>
      </c>
      <c r="X15" s="18">
        <f>$V15*bcd_scrap_hs7602</f>
        <v/>
      </c>
      <c r="Y15" s="18">
        <f>$X15*sws_rate_on_bcd</f>
        <v/>
      </c>
      <c r="Z15" s="18">
        <f>($V15+$X15+$Y15)*igst_rate_hs7602</f>
        <v/>
      </c>
      <c r="AA15" s="18">
        <f>Parity!$X$54*Parity!$AG$54+IF(Parity!$Y$54,psic_cost_usd_per_box*$F15/Parity!$W$54,0)</f>
        <v/>
      </c>
      <c r="AB15" s="18">
        <f>($W15+$X15+$Y15)*Parity!$Z$54/day_count_inr*Parity!$O$54</f>
        <v/>
      </c>
      <c r="AC15" s="18">
        <f>$Z15*igst_credit_lag_days/day_count_inr*Parity!$O$54</f>
        <v/>
      </c>
      <c r="AD15" s="18">
        <f>$W15+$X15+$Y15+$AA15+$AB15+$AC15+IF(igst_itc_available,0,$Z15)</f>
        <v/>
      </c>
      <c r="AE15" s="18">
        <f>$O15*kg_per_mt+domestic_anchor_premium_inr_t</f>
        <v/>
      </c>
      <c r="AF15" s="18">
        <f>(1-Parity!$AA$54)*Parity!$AD$54*heavies_net_value_frac_of_lme_al*$J15*$F15</f>
        <v/>
      </c>
      <c r="AG15" s="18">
        <f>$AE15*Parity!$AU$54+$AF15-$AD15-Parity!$AX$54</f>
        <v/>
      </c>
      <c r="AH15" s="8">
        <f>$AG15&gt;margin_threshold_inr_t</f>
        <v/>
      </c>
      <c r="AI15" s="18">
        <f>($AG15-$P15)*grid_tonnes_mt</f>
        <v/>
      </c>
    </row>
    <row r="16">
      <c r="A16" s="7" t="inlineStr">
        <is>
          <t>first_eligible</t>
        </is>
      </c>
      <c r="B16" s="11" t="n">
        <v>44624</v>
      </c>
      <c r="C16" s="7" t="inlineStr">
        <is>
          <t>zorba</t>
        </is>
      </c>
      <c r="D16" s="7" t="inlineStr">
        <is>
          <t>JEA_NSA</t>
        </is>
      </c>
      <c r="E16" s="20" t="n">
        <v>5</v>
      </c>
      <c r="F16" s="7" t="n">
        <v>74</v>
      </c>
      <c r="G16" s="17" t="b">
        <v>0</v>
      </c>
      <c r="H16" s="8">
        <f>1+$E16/100</f>
        <v/>
      </c>
      <c r="I16" s="8">
        <f>$F16/Parity!$H$54</f>
        <v/>
      </c>
      <c r="J16" s="16">
        <f>Parity!$F$54*$H16</f>
        <v/>
      </c>
      <c r="K16" s="8">
        <f>Parity!$I$54*$I16</f>
        <v/>
      </c>
      <c r="L16" s="8">
        <f>Parity!$J$54*$I16</f>
        <v/>
      </c>
      <c r="M16" s="16">
        <f>(Market_Weekly!$K$14-mcx_domestic_premium_inr_kg)*$H16*$I16+mcx_domestic_premium_inr_kg</f>
        <v/>
      </c>
      <c r="N16" s="15">
        <f>Parity!$N$54/Market_Weekly!$K$14</f>
        <v/>
      </c>
      <c r="O16" s="16">
        <f>$M16*$N16</f>
        <v/>
      </c>
      <c r="P16" s="18">
        <f>Parity!$AY$54</f>
        <v/>
      </c>
      <c r="Q16" s="16">
        <f>$J16*Parity!$P$54</f>
        <v/>
      </c>
      <c r="R16" s="16">
        <f>Parity!$L$54*Parity!$AG$54</f>
        <v/>
      </c>
      <c r="S16" s="16">
        <f>$Q16-$R16</f>
        <v/>
      </c>
      <c r="T16" s="16">
        <f>insurance_rate*insured_value_uplift*$Q16</f>
        <v/>
      </c>
      <c r="U16" s="16">
        <f>$Q16+$T16</f>
        <v/>
      </c>
      <c r="V16" s="18">
        <f>$U16*$L16</f>
        <v/>
      </c>
      <c r="W16" s="18">
        <f>$U16*$K16</f>
        <v/>
      </c>
      <c r="X16" s="18">
        <f>$V16*bcd_scrap_hs7602</f>
        <v/>
      </c>
      <c r="Y16" s="18">
        <f>$X16*sws_rate_on_bcd</f>
        <v/>
      </c>
      <c r="Z16" s="18">
        <f>($V16+$X16+$Y16)*igst_rate_hs7602</f>
        <v/>
      </c>
      <c r="AA16" s="18">
        <f>Parity!$X$54*Parity!$AG$54+IF(Parity!$Y$54,psic_cost_usd_per_box*$F16/Parity!$W$54,0)</f>
        <v/>
      </c>
      <c r="AB16" s="18">
        <f>($W16+$X16+$Y16)*Parity!$Z$54/day_count_inr*Parity!$O$54</f>
        <v/>
      </c>
      <c r="AC16" s="18">
        <f>$Z16*igst_credit_lag_days/day_count_inr*Parity!$O$54</f>
        <v/>
      </c>
      <c r="AD16" s="18">
        <f>$W16+$X16+$Y16+$AA16+$AB16+$AC16+IF(igst_itc_available,0,$Z16)</f>
        <v/>
      </c>
      <c r="AE16" s="18">
        <f>$O16*kg_per_mt+domestic_anchor_premium_inr_t</f>
        <v/>
      </c>
      <c r="AF16" s="18">
        <f>(1-Parity!$AA$54)*Parity!$AD$54*heavies_net_value_frac_of_lme_al*$J16*$F16</f>
        <v/>
      </c>
      <c r="AG16" s="18">
        <f>$AE16*Parity!$AU$54+$AF16-$AD16-Parity!$AX$54</f>
        <v/>
      </c>
      <c r="AH16" s="8">
        <f>$AG16&gt;margin_threshold_inr_t</f>
        <v/>
      </c>
      <c r="AI16" s="18">
        <f>($AG16-$P16)*grid_tonnes_mt</f>
        <v/>
      </c>
    </row>
    <row r="17">
      <c r="A17" s="7" t="inlineStr">
        <is>
          <t>first_eligible</t>
        </is>
      </c>
      <c r="B17" s="11" t="n">
        <v>44624</v>
      </c>
      <c r="C17" s="7" t="inlineStr">
        <is>
          <t>zorba</t>
        </is>
      </c>
      <c r="D17" s="7" t="inlineStr">
        <is>
          <t>JEA_NSA</t>
        </is>
      </c>
      <c r="E17" s="20" t="n">
        <v>10</v>
      </c>
      <c r="F17" s="7" t="n">
        <v>74</v>
      </c>
      <c r="G17" s="17" t="b">
        <v>0</v>
      </c>
      <c r="H17" s="8">
        <f>1+$E17/100</f>
        <v/>
      </c>
      <c r="I17" s="8">
        <f>$F17/Parity!$H$54</f>
        <v/>
      </c>
      <c r="J17" s="16">
        <f>Parity!$F$54*$H17</f>
        <v/>
      </c>
      <c r="K17" s="8">
        <f>Parity!$I$54*$I17</f>
        <v/>
      </c>
      <c r="L17" s="8">
        <f>Parity!$J$54*$I17</f>
        <v/>
      </c>
      <c r="M17" s="16">
        <f>(Market_Weekly!$K$14-mcx_domestic_premium_inr_kg)*$H17*$I17+mcx_domestic_premium_inr_kg</f>
        <v/>
      </c>
      <c r="N17" s="15">
        <f>Parity!$N$54/Market_Weekly!$K$14</f>
        <v/>
      </c>
      <c r="O17" s="16">
        <f>$M17*$N17</f>
        <v/>
      </c>
      <c r="P17" s="18">
        <f>Parity!$AY$54</f>
        <v/>
      </c>
      <c r="Q17" s="16">
        <f>$J17*Parity!$P$54</f>
        <v/>
      </c>
      <c r="R17" s="16">
        <f>Parity!$L$54*Parity!$AG$54</f>
        <v/>
      </c>
      <c r="S17" s="16">
        <f>$Q17-$R17</f>
        <v/>
      </c>
      <c r="T17" s="16">
        <f>insurance_rate*insured_value_uplift*$Q17</f>
        <v/>
      </c>
      <c r="U17" s="16">
        <f>$Q17+$T17</f>
        <v/>
      </c>
      <c r="V17" s="18">
        <f>$U17*$L17</f>
        <v/>
      </c>
      <c r="W17" s="18">
        <f>$U17*$K17</f>
        <v/>
      </c>
      <c r="X17" s="18">
        <f>$V17*bcd_scrap_hs7602</f>
        <v/>
      </c>
      <c r="Y17" s="18">
        <f>$X17*sws_rate_on_bcd</f>
        <v/>
      </c>
      <c r="Z17" s="18">
        <f>($V17+$X17+$Y17)*igst_rate_hs7602</f>
        <v/>
      </c>
      <c r="AA17" s="18">
        <f>Parity!$X$54*Parity!$AG$54+IF(Parity!$Y$54,psic_cost_usd_per_box*$F17/Parity!$W$54,0)</f>
        <v/>
      </c>
      <c r="AB17" s="18">
        <f>($W17+$X17+$Y17)*Parity!$Z$54/day_count_inr*Parity!$O$54</f>
        <v/>
      </c>
      <c r="AC17" s="18">
        <f>$Z17*igst_credit_lag_days/day_count_inr*Parity!$O$54</f>
        <v/>
      </c>
      <c r="AD17" s="18">
        <f>$W17+$X17+$Y17+$AA17+$AB17+$AC17+IF(igst_itc_available,0,$Z17)</f>
        <v/>
      </c>
      <c r="AE17" s="18">
        <f>$O17*kg_per_mt+domestic_anchor_premium_inr_t</f>
        <v/>
      </c>
      <c r="AF17" s="18">
        <f>(1-Parity!$AA$54)*Parity!$AD$54*heavies_net_value_frac_of_lme_al*$J17*$F17</f>
        <v/>
      </c>
      <c r="AG17" s="18">
        <f>$AE17*Parity!$AU$54+$AF17-$AD17-Parity!$AX$54</f>
        <v/>
      </c>
      <c r="AH17" s="8">
        <f>$AG17&gt;margin_threshold_inr_t</f>
        <v/>
      </c>
      <c r="AI17" s="18">
        <f>($AG17-$P17)*grid_tonnes_mt</f>
        <v/>
      </c>
    </row>
    <row r="18">
      <c r="A18" s="7" t="inlineStr">
        <is>
          <t>first_eligible</t>
        </is>
      </c>
      <c r="B18" s="11" t="n">
        <v>44624</v>
      </c>
      <c r="C18" s="7" t="inlineStr">
        <is>
          <t>zorba</t>
        </is>
      </c>
      <c r="D18" s="7" t="inlineStr">
        <is>
          <t>JEA_NSA</t>
        </is>
      </c>
      <c r="E18" s="20" t="n">
        <v>-30</v>
      </c>
      <c r="F18" s="7" t="n">
        <v>75</v>
      </c>
      <c r="G18" s="17" t="b">
        <v>0</v>
      </c>
      <c r="H18" s="8">
        <f>1+$E18/100</f>
        <v/>
      </c>
      <c r="I18" s="8">
        <f>$F18/Parity!$H$54</f>
        <v/>
      </c>
      <c r="J18" s="16">
        <f>Parity!$F$54*$H18</f>
        <v/>
      </c>
      <c r="K18" s="8">
        <f>Parity!$I$54*$I18</f>
        <v/>
      </c>
      <c r="L18" s="8">
        <f>Parity!$J$54*$I18</f>
        <v/>
      </c>
      <c r="M18" s="16">
        <f>(Market_Weekly!$K$14-mcx_domestic_premium_inr_kg)*$H18*$I18+mcx_domestic_premium_inr_kg</f>
        <v/>
      </c>
      <c r="N18" s="15">
        <f>Parity!$N$54/Market_Weekly!$K$14</f>
        <v/>
      </c>
      <c r="O18" s="16">
        <f>$M18*$N18</f>
        <v/>
      </c>
      <c r="P18" s="18">
        <f>Parity!$AY$54</f>
        <v/>
      </c>
      <c r="Q18" s="16">
        <f>$J18*Parity!$P$54</f>
        <v/>
      </c>
      <c r="R18" s="16">
        <f>Parity!$L$54*Parity!$AG$54</f>
        <v/>
      </c>
      <c r="S18" s="16">
        <f>$Q18-$R18</f>
        <v/>
      </c>
      <c r="T18" s="16">
        <f>insurance_rate*insured_value_uplift*$Q18</f>
        <v/>
      </c>
      <c r="U18" s="16">
        <f>$Q18+$T18</f>
        <v/>
      </c>
      <c r="V18" s="18">
        <f>$U18*$L18</f>
        <v/>
      </c>
      <c r="W18" s="18">
        <f>$U18*$K18</f>
        <v/>
      </c>
      <c r="X18" s="18">
        <f>$V18*bcd_scrap_hs7602</f>
        <v/>
      </c>
      <c r="Y18" s="18">
        <f>$X18*sws_rate_on_bcd</f>
        <v/>
      </c>
      <c r="Z18" s="18">
        <f>($V18+$X18+$Y18)*igst_rate_hs7602</f>
        <v/>
      </c>
      <c r="AA18" s="18">
        <f>Parity!$X$54*Parity!$AG$54+IF(Parity!$Y$54,psic_cost_usd_per_box*$F18/Parity!$W$54,0)</f>
        <v/>
      </c>
      <c r="AB18" s="18">
        <f>($W18+$X18+$Y18)*Parity!$Z$54/day_count_inr*Parity!$O$54</f>
        <v/>
      </c>
      <c r="AC18" s="18">
        <f>$Z18*igst_credit_lag_days/day_count_inr*Parity!$O$54</f>
        <v/>
      </c>
      <c r="AD18" s="18">
        <f>$W18+$X18+$Y18+$AA18+$AB18+$AC18+IF(igst_itc_available,0,$Z18)</f>
        <v/>
      </c>
      <c r="AE18" s="18">
        <f>$O18*kg_per_mt+domestic_anchor_premium_inr_t</f>
        <v/>
      </c>
      <c r="AF18" s="18">
        <f>(1-Parity!$AA$54)*Parity!$AD$54*heavies_net_value_frac_of_lme_al*$J18*$F18</f>
        <v/>
      </c>
      <c r="AG18" s="18">
        <f>$AE18*Parity!$AU$54+$AF18-$AD18-Parity!$AX$54</f>
        <v/>
      </c>
      <c r="AH18" s="8">
        <f>$AG18&gt;margin_threshold_inr_t</f>
        <v/>
      </c>
      <c r="AI18" s="18">
        <f>($AG18-$P18)*grid_tonnes_mt</f>
        <v/>
      </c>
    </row>
    <row r="19">
      <c r="A19" s="7" t="inlineStr">
        <is>
          <t>first_eligible</t>
        </is>
      </c>
      <c r="B19" s="11" t="n">
        <v>44624</v>
      </c>
      <c r="C19" s="7" t="inlineStr">
        <is>
          <t>zorba</t>
        </is>
      </c>
      <c r="D19" s="7" t="inlineStr">
        <is>
          <t>JEA_NSA</t>
        </is>
      </c>
      <c r="E19" s="20" t="n">
        <v>-25</v>
      </c>
      <c r="F19" s="7" t="n">
        <v>75</v>
      </c>
      <c r="G19" s="17" t="b">
        <v>0</v>
      </c>
      <c r="H19" s="8">
        <f>1+$E19/100</f>
        <v/>
      </c>
      <c r="I19" s="8">
        <f>$F19/Parity!$H$54</f>
        <v/>
      </c>
      <c r="J19" s="16">
        <f>Parity!$F$54*$H19</f>
        <v/>
      </c>
      <c r="K19" s="8">
        <f>Parity!$I$54*$I19</f>
        <v/>
      </c>
      <c r="L19" s="8">
        <f>Parity!$J$54*$I19</f>
        <v/>
      </c>
      <c r="M19" s="16">
        <f>(Market_Weekly!$K$14-mcx_domestic_premium_inr_kg)*$H19*$I19+mcx_domestic_premium_inr_kg</f>
        <v/>
      </c>
      <c r="N19" s="15">
        <f>Parity!$N$54/Market_Weekly!$K$14</f>
        <v/>
      </c>
      <c r="O19" s="16">
        <f>$M19*$N19</f>
        <v/>
      </c>
      <c r="P19" s="18">
        <f>Parity!$AY$54</f>
        <v/>
      </c>
      <c r="Q19" s="16">
        <f>$J19*Parity!$P$54</f>
        <v/>
      </c>
      <c r="R19" s="16">
        <f>Parity!$L$54*Parity!$AG$54</f>
        <v/>
      </c>
      <c r="S19" s="16">
        <f>$Q19-$R19</f>
        <v/>
      </c>
      <c r="T19" s="16">
        <f>insurance_rate*insured_value_uplift*$Q19</f>
        <v/>
      </c>
      <c r="U19" s="16">
        <f>$Q19+$T19</f>
        <v/>
      </c>
      <c r="V19" s="18">
        <f>$U19*$L19</f>
        <v/>
      </c>
      <c r="W19" s="18">
        <f>$U19*$K19</f>
        <v/>
      </c>
      <c r="X19" s="18">
        <f>$V19*bcd_scrap_hs7602</f>
        <v/>
      </c>
      <c r="Y19" s="18">
        <f>$X19*sws_rate_on_bcd</f>
        <v/>
      </c>
      <c r="Z19" s="18">
        <f>($V19+$X19+$Y19)*igst_rate_hs7602</f>
        <v/>
      </c>
      <c r="AA19" s="18">
        <f>Parity!$X$54*Parity!$AG$54+IF(Parity!$Y$54,psic_cost_usd_per_box*$F19/Parity!$W$54,0)</f>
        <v/>
      </c>
      <c r="AB19" s="18">
        <f>($W19+$X19+$Y19)*Parity!$Z$54/day_count_inr*Parity!$O$54</f>
        <v/>
      </c>
      <c r="AC19" s="18">
        <f>$Z19*igst_credit_lag_days/day_count_inr*Parity!$O$54</f>
        <v/>
      </c>
      <c r="AD19" s="18">
        <f>$W19+$X19+$Y19+$AA19+$AB19+$AC19+IF(igst_itc_available,0,$Z19)</f>
        <v/>
      </c>
      <c r="AE19" s="18">
        <f>$O19*kg_per_mt+domestic_anchor_premium_inr_t</f>
        <v/>
      </c>
      <c r="AF19" s="18">
        <f>(1-Parity!$AA$54)*Parity!$AD$54*heavies_net_value_frac_of_lme_al*$J19*$F19</f>
        <v/>
      </c>
      <c r="AG19" s="18">
        <f>$AE19*Parity!$AU$54+$AF19-$AD19-Parity!$AX$54</f>
        <v/>
      </c>
      <c r="AH19" s="8">
        <f>$AG19&gt;margin_threshold_inr_t</f>
        <v/>
      </c>
      <c r="AI19" s="18">
        <f>($AG19-$P19)*grid_tonnes_mt</f>
        <v/>
      </c>
    </row>
    <row r="20">
      <c r="A20" s="7" t="inlineStr">
        <is>
          <t>first_eligible</t>
        </is>
      </c>
      <c r="B20" s="11" t="n">
        <v>44624</v>
      </c>
      <c r="C20" s="7" t="inlineStr">
        <is>
          <t>zorba</t>
        </is>
      </c>
      <c r="D20" s="7" t="inlineStr">
        <is>
          <t>JEA_NSA</t>
        </is>
      </c>
      <c r="E20" s="20" t="n">
        <v>-20</v>
      </c>
      <c r="F20" s="7" t="n">
        <v>75</v>
      </c>
      <c r="G20" s="17" t="b">
        <v>0</v>
      </c>
      <c r="H20" s="8">
        <f>1+$E20/100</f>
        <v/>
      </c>
      <c r="I20" s="8">
        <f>$F20/Parity!$H$54</f>
        <v/>
      </c>
      <c r="J20" s="16">
        <f>Parity!$F$54*$H20</f>
        <v/>
      </c>
      <c r="K20" s="8">
        <f>Parity!$I$54*$I20</f>
        <v/>
      </c>
      <c r="L20" s="8">
        <f>Parity!$J$54*$I20</f>
        <v/>
      </c>
      <c r="M20" s="16">
        <f>(Market_Weekly!$K$14-mcx_domestic_premium_inr_kg)*$H20*$I20+mcx_domestic_premium_inr_kg</f>
        <v/>
      </c>
      <c r="N20" s="15">
        <f>Parity!$N$54/Market_Weekly!$K$14</f>
        <v/>
      </c>
      <c r="O20" s="16">
        <f>$M20*$N20</f>
        <v/>
      </c>
      <c r="P20" s="18">
        <f>Parity!$AY$54</f>
        <v/>
      </c>
      <c r="Q20" s="16">
        <f>$J20*Parity!$P$54</f>
        <v/>
      </c>
      <c r="R20" s="16">
        <f>Parity!$L$54*Parity!$AG$54</f>
        <v/>
      </c>
      <c r="S20" s="16">
        <f>$Q20-$R20</f>
        <v/>
      </c>
      <c r="T20" s="16">
        <f>insurance_rate*insured_value_uplift*$Q20</f>
        <v/>
      </c>
      <c r="U20" s="16">
        <f>$Q20+$T20</f>
        <v/>
      </c>
      <c r="V20" s="18">
        <f>$U20*$L20</f>
        <v/>
      </c>
      <c r="W20" s="18">
        <f>$U20*$K20</f>
        <v/>
      </c>
      <c r="X20" s="18">
        <f>$V20*bcd_scrap_hs7602</f>
        <v/>
      </c>
      <c r="Y20" s="18">
        <f>$X20*sws_rate_on_bcd</f>
        <v/>
      </c>
      <c r="Z20" s="18">
        <f>($V20+$X20+$Y20)*igst_rate_hs7602</f>
        <v/>
      </c>
      <c r="AA20" s="18">
        <f>Parity!$X$54*Parity!$AG$54+IF(Parity!$Y$54,psic_cost_usd_per_box*$F20/Parity!$W$54,0)</f>
        <v/>
      </c>
      <c r="AB20" s="18">
        <f>($W20+$X20+$Y20)*Parity!$Z$54/day_count_inr*Parity!$O$54</f>
        <v/>
      </c>
      <c r="AC20" s="18">
        <f>$Z20*igst_credit_lag_days/day_count_inr*Parity!$O$54</f>
        <v/>
      </c>
      <c r="AD20" s="18">
        <f>$W20+$X20+$Y20+$AA20+$AB20+$AC20+IF(igst_itc_available,0,$Z20)</f>
        <v/>
      </c>
      <c r="AE20" s="18">
        <f>$O20*kg_per_mt+domestic_anchor_premium_inr_t</f>
        <v/>
      </c>
      <c r="AF20" s="18">
        <f>(1-Parity!$AA$54)*Parity!$AD$54*heavies_net_value_frac_of_lme_al*$J20*$F20</f>
        <v/>
      </c>
      <c r="AG20" s="18">
        <f>$AE20*Parity!$AU$54+$AF20-$AD20-Parity!$AX$54</f>
        <v/>
      </c>
      <c r="AH20" s="8">
        <f>$AG20&gt;margin_threshold_inr_t</f>
        <v/>
      </c>
      <c r="AI20" s="18">
        <f>($AG20-$P20)*grid_tonnes_mt</f>
        <v/>
      </c>
    </row>
    <row r="21">
      <c r="A21" s="7" t="inlineStr">
        <is>
          <t>first_eligible</t>
        </is>
      </c>
      <c r="B21" s="11" t="n">
        <v>44624</v>
      </c>
      <c r="C21" s="7" t="inlineStr">
        <is>
          <t>zorba</t>
        </is>
      </c>
      <c r="D21" s="7" t="inlineStr">
        <is>
          <t>JEA_NSA</t>
        </is>
      </c>
      <c r="E21" s="20" t="n">
        <v>-15</v>
      </c>
      <c r="F21" s="7" t="n">
        <v>75</v>
      </c>
      <c r="G21" s="17" t="b">
        <v>0</v>
      </c>
      <c r="H21" s="8">
        <f>1+$E21/100</f>
        <v/>
      </c>
      <c r="I21" s="8">
        <f>$F21/Parity!$H$54</f>
        <v/>
      </c>
      <c r="J21" s="16">
        <f>Parity!$F$54*$H21</f>
        <v/>
      </c>
      <c r="K21" s="8">
        <f>Parity!$I$54*$I21</f>
        <v/>
      </c>
      <c r="L21" s="8">
        <f>Parity!$J$54*$I21</f>
        <v/>
      </c>
      <c r="M21" s="16">
        <f>(Market_Weekly!$K$14-mcx_domestic_premium_inr_kg)*$H21*$I21+mcx_domestic_premium_inr_kg</f>
        <v/>
      </c>
      <c r="N21" s="15">
        <f>Parity!$N$54/Market_Weekly!$K$14</f>
        <v/>
      </c>
      <c r="O21" s="16">
        <f>$M21*$N21</f>
        <v/>
      </c>
      <c r="P21" s="18">
        <f>Parity!$AY$54</f>
        <v/>
      </c>
      <c r="Q21" s="16">
        <f>$J21*Parity!$P$54</f>
        <v/>
      </c>
      <c r="R21" s="16">
        <f>Parity!$L$54*Parity!$AG$54</f>
        <v/>
      </c>
      <c r="S21" s="16">
        <f>$Q21-$R21</f>
        <v/>
      </c>
      <c r="T21" s="16">
        <f>insurance_rate*insured_value_uplift*$Q21</f>
        <v/>
      </c>
      <c r="U21" s="16">
        <f>$Q21+$T21</f>
        <v/>
      </c>
      <c r="V21" s="18">
        <f>$U21*$L21</f>
        <v/>
      </c>
      <c r="W21" s="18">
        <f>$U21*$K21</f>
        <v/>
      </c>
      <c r="X21" s="18">
        <f>$V21*bcd_scrap_hs7602</f>
        <v/>
      </c>
      <c r="Y21" s="18">
        <f>$X21*sws_rate_on_bcd</f>
        <v/>
      </c>
      <c r="Z21" s="18">
        <f>($V21+$X21+$Y21)*igst_rate_hs7602</f>
        <v/>
      </c>
      <c r="AA21" s="18">
        <f>Parity!$X$54*Parity!$AG$54+IF(Parity!$Y$54,psic_cost_usd_per_box*$F21/Parity!$W$54,0)</f>
        <v/>
      </c>
      <c r="AB21" s="18">
        <f>($W21+$X21+$Y21)*Parity!$Z$54/day_count_inr*Parity!$O$54</f>
        <v/>
      </c>
      <c r="AC21" s="18">
        <f>$Z21*igst_credit_lag_days/day_count_inr*Parity!$O$54</f>
        <v/>
      </c>
      <c r="AD21" s="18">
        <f>$W21+$X21+$Y21+$AA21+$AB21+$AC21+IF(igst_itc_available,0,$Z21)</f>
        <v/>
      </c>
      <c r="AE21" s="18">
        <f>$O21*kg_per_mt+domestic_anchor_premium_inr_t</f>
        <v/>
      </c>
      <c r="AF21" s="18">
        <f>(1-Parity!$AA$54)*Parity!$AD$54*heavies_net_value_frac_of_lme_al*$J21*$F21</f>
        <v/>
      </c>
      <c r="AG21" s="18">
        <f>$AE21*Parity!$AU$54+$AF21-$AD21-Parity!$AX$54</f>
        <v/>
      </c>
      <c r="AH21" s="8">
        <f>$AG21&gt;margin_threshold_inr_t</f>
        <v/>
      </c>
      <c r="AI21" s="18">
        <f>($AG21-$P21)*grid_tonnes_mt</f>
        <v/>
      </c>
    </row>
    <row r="22">
      <c r="A22" s="7" t="inlineStr">
        <is>
          <t>first_eligible</t>
        </is>
      </c>
      <c r="B22" s="11" t="n">
        <v>44624</v>
      </c>
      <c r="C22" s="7" t="inlineStr">
        <is>
          <t>zorba</t>
        </is>
      </c>
      <c r="D22" s="7" t="inlineStr">
        <is>
          <t>JEA_NSA</t>
        </is>
      </c>
      <c r="E22" s="20" t="n">
        <v>-10</v>
      </c>
      <c r="F22" s="7" t="n">
        <v>75</v>
      </c>
      <c r="G22" s="17" t="b">
        <v>0</v>
      </c>
      <c r="H22" s="8">
        <f>1+$E22/100</f>
        <v/>
      </c>
      <c r="I22" s="8">
        <f>$F22/Parity!$H$54</f>
        <v/>
      </c>
      <c r="J22" s="16">
        <f>Parity!$F$54*$H22</f>
        <v/>
      </c>
      <c r="K22" s="8">
        <f>Parity!$I$54*$I22</f>
        <v/>
      </c>
      <c r="L22" s="8">
        <f>Parity!$J$54*$I22</f>
        <v/>
      </c>
      <c r="M22" s="16">
        <f>(Market_Weekly!$K$14-mcx_domestic_premium_inr_kg)*$H22*$I22+mcx_domestic_premium_inr_kg</f>
        <v/>
      </c>
      <c r="N22" s="15">
        <f>Parity!$N$54/Market_Weekly!$K$14</f>
        <v/>
      </c>
      <c r="O22" s="16">
        <f>$M22*$N22</f>
        <v/>
      </c>
      <c r="P22" s="18">
        <f>Parity!$AY$54</f>
        <v/>
      </c>
      <c r="Q22" s="16">
        <f>$J22*Parity!$P$54</f>
        <v/>
      </c>
      <c r="R22" s="16">
        <f>Parity!$L$54*Parity!$AG$54</f>
        <v/>
      </c>
      <c r="S22" s="16">
        <f>$Q22-$R22</f>
        <v/>
      </c>
      <c r="T22" s="16">
        <f>insurance_rate*insured_value_uplift*$Q22</f>
        <v/>
      </c>
      <c r="U22" s="16">
        <f>$Q22+$T22</f>
        <v/>
      </c>
      <c r="V22" s="18">
        <f>$U22*$L22</f>
        <v/>
      </c>
      <c r="W22" s="18">
        <f>$U22*$K22</f>
        <v/>
      </c>
      <c r="X22" s="18">
        <f>$V22*bcd_scrap_hs7602</f>
        <v/>
      </c>
      <c r="Y22" s="18">
        <f>$X22*sws_rate_on_bcd</f>
        <v/>
      </c>
      <c r="Z22" s="18">
        <f>($V22+$X22+$Y22)*igst_rate_hs7602</f>
        <v/>
      </c>
      <c r="AA22" s="18">
        <f>Parity!$X$54*Parity!$AG$54+IF(Parity!$Y$54,psic_cost_usd_per_box*$F22/Parity!$W$54,0)</f>
        <v/>
      </c>
      <c r="AB22" s="18">
        <f>($W22+$X22+$Y22)*Parity!$Z$54/day_count_inr*Parity!$O$54</f>
        <v/>
      </c>
      <c r="AC22" s="18">
        <f>$Z22*igst_credit_lag_days/day_count_inr*Parity!$O$54</f>
        <v/>
      </c>
      <c r="AD22" s="18">
        <f>$W22+$X22+$Y22+$AA22+$AB22+$AC22+IF(igst_itc_available,0,$Z22)</f>
        <v/>
      </c>
      <c r="AE22" s="18">
        <f>$O22*kg_per_mt+domestic_anchor_premium_inr_t</f>
        <v/>
      </c>
      <c r="AF22" s="18">
        <f>(1-Parity!$AA$54)*Parity!$AD$54*heavies_net_value_frac_of_lme_al*$J22*$F22</f>
        <v/>
      </c>
      <c r="AG22" s="18">
        <f>$AE22*Parity!$AU$54+$AF22-$AD22-Parity!$AX$54</f>
        <v/>
      </c>
      <c r="AH22" s="8">
        <f>$AG22&gt;margin_threshold_inr_t</f>
        <v/>
      </c>
      <c r="AI22" s="18">
        <f>($AG22-$P22)*grid_tonnes_mt</f>
        <v/>
      </c>
    </row>
    <row r="23">
      <c r="A23" s="7" t="inlineStr">
        <is>
          <t>first_eligible</t>
        </is>
      </c>
      <c r="B23" s="11" t="n">
        <v>44624</v>
      </c>
      <c r="C23" s="7" t="inlineStr">
        <is>
          <t>zorba</t>
        </is>
      </c>
      <c r="D23" s="7" t="inlineStr">
        <is>
          <t>JEA_NSA</t>
        </is>
      </c>
      <c r="E23" s="20" t="n">
        <v>-5</v>
      </c>
      <c r="F23" s="7" t="n">
        <v>75</v>
      </c>
      <c r="G23" s="17" t="b">
        <v>0</v>
      </c>
      <c r="H23" s="8">
        <f>1+$E23/100</f>
        <v/>
      </c>
      <c r="I23" s="8">
        <f>$F23/Parity!$H$54</f>
        <v/>
      </c>
      <c r="J23" s="16">
        <f>Parity!$F$54*$H23</f>
        <v/>
      </c>
      <c r="K23" s="8">
        <f>Parity!$I$54*$I23</f>
        <v/>
      </c>
      <c r="L23" s="8">
        <f>Parity!$J$54*$I23</f>
        <v/>
      </c>
      <c r="M23" s="16">
        <f>(Market_Weekly!$K$14-mcx_domestic_premium_inr_kg)*$H23*$I23+mcx_domestic_premium_inr_kg</f>
        <v/>
      </c>
      <c r="N23" s="15">
        <f>Parity!$N$54/Market_Weekly!$K$14</f>
        <v/>
      </c>
      <c r="O23" s="16">
        <f>$M23*$N23</f>
        <v/>
      </c>
      <c r="P23" s="18">
        <f>Parity!$AY$54</f>
        <v/>
      </c>
      <c r="Q23" s="16">
        <f>$J23*Parity!$P$54</f>
        <v/>
      </c>
      <c r="R23" s="16">
        <f>Parity!$L$54*Parity!$AG$54</f>
        <v/>
      </c>
      <c r="S23" s="16">
        <f>$Q23-$R23</f>
        <v/>
      </c>
      <c r="T23" s="16">
        <f>insurance_rate*insured_value_uplift*$Q23</f>
        <v/>
      </c>
      <c r="U23" s="16">
        <f>$Q23+$T23</f>
        <v/>
      </c>
      <c r="V23" s="18">
        <f>$U23*$L23</f>
        <v/>
      </c>
      <c r="W23" s="18">
        <f>$U23*$K23</f>
        <v/>
      </c>
      <c r="X23" s="18">
        <f>$V23*bcd_scrap_hs7602</f>
        <v/>
      </c>
      <c r="Y23" s="18">
        <f>$X23*sws_rate_on_bcd</f>
        <v/>
      </c>
      <c r="Z23" s="18">
        <f>($V23+$X23+$Y23)*igst_rate_hs7602</f>
        <v/>
      </c>
      <c r="AA23" s="18">
        <f>Parity!$X$54*Parity!$AG$54+IF(Parity!$Y$54,psic_cost_usd_per_box*$F23/Parity!$W$54,0)</f>
        <v/>
      </c>
      <c r="AB23" s="18">
        <f>($W23+$X23+$Y23)*Parity!$Z$54/day_count_inr*Parity!$O$54</f>
        <v/>
      </c>
      <c r="AC23" s="18">
        <f>$Z23*igst_credit_lag_days/day_count_inr*Parity!$O$54</f>
        <v/>
      </c>
      <c r="AD23" s="18">
        <f>$W23+$X23+$Y23+$AA23+$AB23+$AC23+IF(igst_itc_available,0,$Z23)</f>
        <v/>
      </c>
      <c r="AE23" s="18">
        <f>$O23*kg_per_mt+domestic_anchor_premium_inr_t</f>
        <v/>
      </c>
      <c r="AF23" s="18">
        <f>(1-Parity!$AA$54)*Parity!$AD$54*heavies_net_value_frac_of_lme_al*$J23*$F23</f>
        <v/>
      </c>
      <c r="AG23" s="18">
        <f>$AE23*Parity!$AU$54+$AF23-$AD23-Parity!$AX$54</f>
        <v/>
      </c>
      <c r="AH23" s="8">
        <f>$AG23&gt;margin_threshold_inr_t</f>
        <v/>
      </c>
      <c r="AI23" s="18">
        <f>($AG23-$P23)*grid_tonnes_mt</f>
        <v/>
      </c>
    </row>
    <row r="24">
      <c r="A24" s="7" t="inlineStr">
        <is>
          <t>first_eligible</t>
        </is>
      </c>
      <c r="B24" s="11" t="n">
        <v>44624</v>
      </c>
      <c r="C24" s="7" t="inlineStr">
        <is>
          <t>zorba</t>
        </is>
      </c>
      <c r="D24" s="7" t="inlineStr">
        <is>
          <t>JEA_NSA</t>
        </is>
      </c>
      <c r="E24" s="20" t="n">
        <v>0</v>
      </c>
      <c r="F24" s="7" t="n">
        <v>75</v>
      </c>
      <c r="G24" s="17" t="b">
        <v>0</v>
      </c>
      <c r="H24" s="8">
        <f>1+$E24/100</f>
        <v/>
      </c>
      <c r="I24" s="8">
        <f>$F24/Parity!$H$54</f>
        <v/>
      </c>
      <c r="J24" s="16">
        <f>Parity!$F$54*$H24</f>
        <v/>
      </c>
      <c r="K24" s="8">
        <f>Parity!$I$54*$I24</f>
        <v/>
      </c>
      <c r="L24" s="8">
        <f>Parity!$J$54*$I24</f>
        <v/>
      </c>
      <c r="M24" s="16">
        <f>(Market_Weekly!$K$14-mcx_domestic_premium_inr_kg)*$H24*$I24+mcx_domestic_premium_inr_kg</f>
        <v/>
      </c>
      <c r="N24" s="15">
        <f>Parity!$N$54/Market_Weekly!$K$14</f>
        <v/>
      </c>
      <c r="O24" s="16">
        <f>$M24*$N24</f>
        <v/>
      </c>
      <c r="P24" s="18">
        <f>Parity!$AY$54</f>
        <v/>
      </c>
      <c r="Q24" s="16">
        <f>$J24*Parity!$P$54</f>
        <v/>
      </c>
      <c r="R24" s="16">
        <f>Parity!$L$54*Parity!$AG$54</f>
        <v/>
      </c>
      <c r="S24" s="16">
        <f>$Q24-$R24</f>
        <v/>
      </c>
      <c r="T24" s="16">
        <f>insurance_rate*insured_value_uplift*$Q24</f>
        <v/>
      </c>
      <c r="U24" s="16">
        <f>$Q24+$T24</f>
        <v/>
      </c>
      <c r="V24" s="18">
        <f>$U24*$L24</f>
        <v/>
      </c>
      <c r="W24" s="18">
        <f>$U24*$K24</f>
        <v/>
      </c>
      <c r="X24" s="18">
        <f>$V24*bcd_scrap_hs7602</f>
        <v/>
      </c>
      <c r="Y24" s="18">
        <f>$X24*sws_rate_on_bcd</f>
        <v/>
      </c>
      <c r="Z24" s="18">
        <f>($V24+$X24+$Y24)*igst_rate_hs7602</f>
        <v/>
      </c>
      <c r="AA24" s="18">
        <f>Parity!$X$54*Parity!$AG$54+IF(Parity!$Y$54,psic_cost_usd_per_box*$F24/Parity!$W$54,0)</f>
        <v/>
      </c>
      <c r="AB24" s="18">
        <f>($W24+$X24+$Y24)*Parity!$Z$54/day_count_inr*Parity!$O$54</f>
        <v/>
      </c>
      <c r="AC24" s="18">
        <f>$Z24*igst_credit_lag_days/day_count_inr*Parity!$O$54</f>
        <v/>
      </c>
      <c r="AD24" s="18">
        <f>$W24+$X24+$Y24+$AA24+$AB24+$AC24+IF(igst_itc_available,0,$Z24)</f>
        <v/>
      </c>
      <c r="AE24" s="18">
        <f>$O24*kg_per_mt+domestic_anchor_premium_inr_t</f>
        <v/>
      </c>
      <c r="AF24" s="18">
        <f>(1-Parity!$AA$54)*Parity!$AD$54*heavies_net_value_frac_of_lme_al*$J24*$F24</f>
        <v/>
      </c>
      <c r="AG24" s="18">
        <f>$AE24*Parity!$AU$54+$AF24-$AD24-Parity!$AX$54</f>
        <v/>
      </c>
      <c r="AH24" s="8">
        <f>$AG24&gt;margin_threshold_inr_t</f>
        <v/>
      </c>
      <c r="AI24" s="18">
        <f>($AG24-$P24)*grid_tonnes_mt</f>
        <v/>
      </c>
    </row>
    <row r="25">
      <c r="A25" s="7" t="inlineStr">
        <is>
          <t>first_eligible</t>
        </is>
      </c>
      <c r="B25" s="11" t="n">
        <v>44624</v>
      </c>
      <c r="C25" s="7" t="inlineStr">
        <is>
          <t>zorba</t>
        </is>
      </c>
      <c r="D25" s="7" t="inlineStr">
        <is>
          <t>JEA_NSA</t>
        </is>
      </c>
      <c r="E25" s="20" t="n">
        <v>5</v>
      </c>
      <c r="F25" s="7" t="n">
        <v>75</v>
      </c>
      <c r="G25" s="17" t="b">
        <v>0</v>
      </c>
      <c r="H25" s="8">
        <f>1+$E25/100</f>
        <v/>
      </c>
      <c r="I25" s="8">
        <f>$F25/Parity!$H$54</f>
        <v/>
      </c>
      <c r="J25" s="16">
        <f>Parity!$F$54*$H25</f>
        <v/>
      </c>
      <c r="K25" s="8">
        <f>Parity!$I$54*$I25</f>
        <v/>
      </c>
      <c r="L25" s="8">
        <f>Parity!$J$54*$I25</f>
        <v/>
      </c>
      <c r="M25" s="16">
        <f>(Market_Weekly!$K$14-mcx_domestic_premium_inr_kg)*$H25*$I25+mcx_domestic_premium_inr_kg</f>
        <v/>
      </c>
      <c r="N25" s="15">
        <f>Parity!$N$54/Market_Weekly!$K$14</f>
        <v/>
      </c>
      <c r="O25" s="16">
        <f>$M25*$N25</f>
        <v/>
      </c>
      <c r="P25" s="18">
        <f>Parity!$AY$54</f>
        <v/>
      </c>
      <c r="Q25" s="16">
        <f>$J25*Parity!$P$54</f>
        <v/>
      </c>
      <c r="R25" s="16">
        <f>Parity!$L$54*Parity!$AG$54</f>
        <v/>
      </c>
      <c r="S25" s="16">
        <f>$Q25-$R25</f>
        <v/>
      </c>
      <c r="T25" s="16">
        <f>insurance_rate*insured_value_uplift*$Q25</f>
        <v/>
      </c>
      <c r="U25" s="16">
        <f>$Q25+$T25</f>
        <v/>
      </c>
      <c r="V25" s="18">
        <f>$U25*$L25</f>
        <v/>
      </c>
      <c r="W25" s="18">
        <f>$U25*$K25</f>
        <v/>
      </c>
      <c r="X25" s="18">
        <f>$V25*bcd_scrap_hs7602</f>
        <v/>
      </c>
      <c r="Y25" s="18">
        <f>$X25*sws_rate_on_bcd</f>
        <v/>
      </c>
      <c r="Z25" s="18">
        <f>($V25+$X25+$Y25)*igst_rate_hs7602</f>
        <v/>
      </c>
      <c r="AA25" s="18">
        <f>Parity!$X$54*Parity!$AG$54+IF(Parity!$Y$54,psic_cost_usd_per_box*$F25/Parity!$W$54,0)</f>
        <v/>
      </c>
      <c r="AB25" s="18">
        <f>($W25+$X25+$Y25)*Parity!$Z$54/day_count_inr*Parity!$O$54</f>
        <v/>
      </c>
      <c r="AC25" s="18">
        <f>$Z25*igst_credit_lag_days/day_count_inr*Parity!$O$54</f>
        <v/>
      </c>
      <c r="AD25" s="18">
        <f>$W25+$X25+$Y25+$AA25+$AB25+$AC25+IF(igst_itc_available,0,$Z25)</f>
        <v/>
      </c>
      <c r="AE25" s="18">
        <f>$O25*kg_per_mt+domestic_anchor_premium_inr_t</f>
        <v/>
      </c>
      <c r="AF25" s="18">
        <f>(1-Parity!$AA$54)*Parity!$AD$54*heavies_net_value_frac_of_lme_al*$J25*$F25</f>
        <v/>
      </c>
      <c r="AG25" s="18">
        <f>$AE25*Parity!$AU$54+$AF25-$AD25-Parity!$AX$54</f>
        <v/>
      </c>
      <c r="AH25" s="8">
        <f>$AG25&gt;margin_threshold_inr_t</f>
        <v/>
      </c>
      <c r="AI25" s="18">
        <f>($AG25-$P25)*grid_tonnes_mt</f>
        <v/>
      </c>
    </row>
    <row r="26">
      <c r="A26" s="7" t="inlineStr">
        <is>
          <t>first_eligible</t>
        </is>
      </c>
      <c r="B26" s="11" t="n">
        <v>44624</v>
      </c>
      <c r="C26" s="7" t="inlineStr">
        <is>
          <t>zorba</t>
        </is>
      </c>
      <c r="D26" s="7" t="inlineStr">
        <is>
          <t>JEA_NSA</t>
        </is>
      </c>
      <c r="E26" s="20" t="n">
        <v>10</v>
      </c>
      <c r="F26" s="7" t="n">
        <v>75</v>
      </c>
      <c r="G26" s="17" t="b">
        <v>0</v>
      </c>
      <c r="H26" s="8">
        <f>1+$E26/100</f>
        <v/>
      </c>
      <c r="I26" s="8">
        <f>$F26/Parity!$H$54</f>
        <v/>
      </c>
      <c r="J26" s="16">
        <f>Parity!$F$54*$H26</f>
        <v/>
      </c>
      <c r="K26" s="8">
        <f>Parity!$I$54*$I26</f>
        <v/>
      </c>
      <c r="L26" s="8">
        <f>Parity!$J$54*$I26</f>
        <v/>
      </c>
      <c r="M26" s="16">
        <f>(Market_Weekly!$K$14-mcx_domestic_premium_inr_kg)*$H26*$I26+mcx_domestic_premium_inr_kg</f>
        <v/>
      </c>
      <c r="N26" s="15">
        <f>Parity!$N$54/Market_Weekly!$K$14</f>
        <v/>
      </c>
      <c r="O26" s="16">
        <f>$M26*$N26</f>
        <v/>
      </c>
      <c r="P26" s="18">
        <f>Parity!$AY$54</f>
        <v/>
      </c>
      <c r="Q26" s="16">
        <f>$J26*Parity!$P$54</f>
        <v/>
      </c>
      <c r="R26" s="16">
        <f>Parity!$L$54*Parity!$AG$54</f>
        <v/>
      </c>
      <c r="S26" s="16">
        <f>$Q26-$R26</f>
        <v/>
      </c>
      <c r="T26" s="16">
        <f>insurance_rate*insured_value_uplift*$Q26</f>
        <v/>
      </c>
      <c r="U26" s="16">
        <f>$Q26+$T26</f>
        <v/>
      </c>
      <c r="V26" s="18">
        <f>$U26*$L26</f>
        <v/>
      </c>
      <c r="W26" s="18">
        <f>$U26*$K26</f>
        <v/>
      </c>
      <c r="X26" s="18">
        <f>$V26*bcd_scrap_hs7602</f>
        <v/>
      </c>
      <c r="Y26" s="18">
        <f>$X26*sws_rate_on_bcd</f>
        <v/>
      </c>
      <c r="Z26" s="18">
        <f>($V26+$X26+$Y26)*igst_rate_hs7602</f>
        <v/>
      </c>
      <c r="AA26" s="18">
        <f>Parity!$X$54*Parity!$AG$54+IF(Parity!$Y$54,psic_cost_usd_per_box*$F26/Parity!$W$54,0)</f>
        <v/>
      </c>
      <c r="AB26" s="18">
        <f>($W26+$X26+$Y26)*Parity!$Z$54/day_count_inr*Parity!$O$54</f>
        <v/>
      </c>
      <c r="AC26" s="18">
        <f>$Z26*igst_credit_lag_days/day_count_inr*Parity!$O$54</f>
        <v/>
      </c>
      <c r="AD26" s="18">
        <f>$W26+$X26+$Y26+$AA26+$AB26+$AC26+IF(igst_itc_available,0,$Z26)</f>
        <v/>
      </c>
      <c r="AE26" s="18">
        <f>$O26*kg_per_mt+domestic_anchor_premium_inr_t</f>
        <v/>
      </c>
      <c r="AF26" s="18">
        <f>(1-Parity!$AA$54)*Parity!$AD$54*heavies_net_value_frac_of_lme_al*$J26*$F26</f>
        <v/>
      </c>
      <c r="AG26" s="18">
        <f>$AE26*Parity!$AU$54+$AF26-$AD26-Parity!$AX$54</f>
        <v/>
      </c>
      <c r="AH26" s="8">
        <f>$AG26&gt;margin_threshold_inr_t</f>
        <v/>
      </c>
      <c r="AI26" s="18">
        <f>($AG26-$P26)*grid_tonnes_mt</f>
        <v/>
      </c>
    </row>
    <row r="27">
      <c r="A27" s="7" t="inlineStr">
        <is>
          <t>first_eligible</t>
        </is>
      </c>
      <c r="B27" s="11" t="n">
        <v>44624</v>
      </c>
      <c r="C27" s="7" t="inlineStr">
        <is>
          <t>zorba</t>
        </is>
      </c>
      <c r="D27" s="7" t="inlineStr">
        <is>
          <t>JEA_NSA</t>
        </is>
      </c>
      <c r="E27" s="20" t="n">
        <v>-30</v>
      </c>
      <c r="F27" s="7" t="n">
        <v>76</v>
      </c>
      <c r="G27" s="17" t="b">
        <v>0</v>
      </c>
      <c r="H27" s="8">
        <f>1+$E27/100</f>
        <v/>
      </c>
      <c r="I27" s="8">
        <f>$F27/Parity!$H$54</f>
        <v/>
      </c>
      <c r="J27" s="16">
        <f>Parity!$F$54*$H27</f>
        <v/>
      </c>
      <c r="K27" s="8">
        <f>Parity!$I$54*$I27</f>
        <v/>
      </c>
      <c r="L27" s="8">
        <f>Parity!$J$54*$I27</f>
        <v/>
      </c>
      <c r="M27" s="16">
        <f>(Market_Weekly!$K$14-mcx_domestic_premium_inr_kg)*$H27*$I27+mcx_domestic_premium_inr_kg</f>
        <v/>
      </c>
      <c r="N27" s="15">
        <f>Parity!$N$54/Market_Weekly!$K$14</f>
        <v/>
      </c>
      <c r="O27" s="16">
        <f>$M27*$N27</f>
        <v/>
      </c>
      <c r="P27" s="18">
        <f>Parity!$AY$54</f>
        <v/>
      </c>
      <c r="Q27" s="16">
        <f>$J27*Parity!$P$54</f>
        <v/>
      </c>
      <c r="R27" s="16">
        <f>Parity!$L$54*Parity!$AG$54</f>
        <v/>
      </c>
      <c r="S27" s="16">
        <f>$Q27-$R27</f>
        <v/>
      </c>
      <c r="T27" s="16">
        <f>insurance_rate*insured_value_uplift*$Q27</f>
        <v/>
      </c>
      <c r="U27" s="16">
        <f>$Q27+$T27</f>
        <v/>
      </c>
      <c r="V27" s="18">
        <f>$U27*$L27</f>
        <v/>
      </c>
      <c r="W27" s="18">
        <f>$U27*$K27</f>
        <v/>
      </c>
      <c r="X27" s="18">
        <f>$V27*bcd_scrap_hs7602</f>
        <v/>
      </c>
      <c r="Y27" s="18">
        <f>$X27*sws_rate_on_bcd</f>
        <v/>
      </c>
      <c r="Z27" s="18">
        <f>($V27+$X27+$Y27)*igst_rate_hs7602</f>
        <v/>
      </c>
      <c r="AA27" s="18">
        <f>Parity!$X$54*Parity!$AG$54+IF(Parity!$Y$54,psic_cost_usd_per_box*$F27/Parity!$W$54,0)</f>
        <v/>
      </c>
      <c r="AB27" s="18">
        <f>($W27+$X27+$Y27)*Parity!$Z$54/day_count_inr*Parity!$O$54</f>
        <v/>
      </c>
      <c r="AC27" s="18">
        <f>$Z27*igst_credit_lag_days/day_count_inr*Parity!$O$54</f>
        <v/>
      </c>
      <c r="AD27" s="18">
        <f>$W27+$X27+$Y27+$AA27+$AB27+$AC27+IF(igst_itc_available,0,$Z27)</f>
        <v/>
      </c>
      <c r="AE27" s="18">
        <f>$O27*kg_per_mt+domestic_anchor_premium_inr_t</f>
        <v/>
      </c>
      <c r="AF27" s="18">
        <f>(1-Parity!$AA$54)*Parity!$AD$54*heavies_net_value_frac_of_lme_al*$J27*$F27</f>
        <v/>
      </c>
      <c r="AG27" s="18">
        <f>$AE27*Parity!$AU$54+$AF27-$AD27-Parity!$AX$54</f>
        <v/>
      </c>
      <c r="AH27" s="8">
        <f>$AG27&gt;margin_threshold_inr_t</f>
        <v/>
      </c>
      <c r="AI27" s="18">
        <f>($AG27-$P27)*grid_tonnes_mt</f>
        <v/>
      </c>
    </row>
    <row r="28">
      <c r="A28" s="7" t="inlineStr">
        <is>
          <t>first_eligible</t>
        </is>
      </c>
      <c r="B28" s="11" t="n">
        <v>44624</v>
      </c>
      <c r="C28" s="7" t="inlineStr">
        <is>
          <t>zorba</t>
        </is>
      </c>
      <c r="D28" s="7" t="inlineStr">
        <is>
          <t>JEA_NSA</t>
        </is>
      </c>
      <c r="E28" s="20" t="n">
        <v>-25</v>
      </c>
      <c r="F28" s="7" t="n">
        <v>76</v>
      </c>
      <c r="G28" s="17" t="b">
        <v>0</v>
      </c>
      <c r="H28" s="8">
        <f>1+$E28/100</f>
        <v/>
      </c>
      <c r="I28" s="8">
        <f>$F28/Parity!$H$54</f>
        <v/>
      </c>
      <c r="J28" s="16">
        <f>Parity!$F$54*$H28</f>
        <v/>
      </c>
      <c r="K28" s="8">
        <f>Parity!$I$54*$I28</f>
        <v/>
      </c>
      <c r="L28" s="8">
        <f>Parity!$J$54*$I28</f>
        <v/>
      </c>
      <c r="M28" s="16">
        <f>(Market_Weekly!$K$14-mcx_domestic_premium_inr_kg)*$H28*$I28+mcx_domestic_premium_inr_kg</f>
        <v/>
      </c>
      <c r="N28" s="15">
        <f>Parity!$N$54/Market_Weekly!$K$14</f>
        <v/>
      </c>
      <c r="O28" s="16">
        <f>$M28*$N28</f>
        <v/>
      </c>
      <c r="P28" s="18">
        <f>Parity!$AY$54</f>
        <v/>
      </c>
      <c r="Q28" s="16">
        <f>$J28*Parity!$P$54</f>
        <v/>
      </c>
      <c r="R28" s="16">
        <f>Parity!$L$54*Parity!$AG$54</f>
        <v/>
      </c>
      <c r="S28" s="16">
        <f>$Q28-$R28</f>
        <v/>
      </c>
      <c r="T28" s="16">
        <f>insurance_rate*insured_value_uplift*$Q28</f>
        <v/>
      </c>
      <c r="U28" s="16">
        <f>$Q28+$T28</f>
        <v/>
      </c>
      <c r="V28" s="18">
        <f>$U28*$L28</f>
        <v/>
      </c>
      <c r="W28" s="18">
        <f>$U28*$K28</f>
        <v/>
      </c>
      <c r="X28" s="18">
        <f>$V28*bcd_scrap_hs7602</f>
        <v/>
      </c>
      <c r="Y28" s="18">
        <f>$X28*sws_rate_on_bcd</f>
        <v/>
      </c>
      <c r="Z28" s="18">
        <f>($V28+$X28+$Y28)*igst_rate_hs7602</f>
        <v/>
      </c>
      <c r="AA28" s="18">
        <f>Parity!$X$54*Parity!$AG$54+IF(Parity!$Y$54,psic_cost_usd_per_box*$F28/Parity!$W$54,0)</f>
        <v/>
      </c>
      <c r="AB28" s="18">
        <f>($W28+$X28+$Y28)*Parity!$Z$54/day_count_inr*Parity!$O$54</f>
        <v/>
      </c>
      <c r="AC28" s="18">
        <f>$Z28*igst_credit_lag_days/day_count_inr*Parity!$O$54</f>
        <v/>
      </c>
      <c r="AD28" s="18">
        <f>$W28+$X28+$Y28+$AA28+$AB28+$AC28+IF(igst_itc_available,0,$Z28)</f>
        <v/>
      </c>
      <c r="AE28" s="18">
        <f>$O28*kg_per_mt+domestic_anchor_premium_inr_t</f>
        <v/>
      </c>
      <c r="AF28" s="18">
        <f>(1-Parity!$AA$54)*Parity!$AD$54*heavies_net_value_frac_of_lme_al*$J28*$F28</f>
        <v/>
      </c>
      <c r="AG28" s="18">
        <f>$AE28*Parity!$AU$54+$AF28-$AD28-Parity!$AX$54</f>
        <v/>
      </c>
      <c r="AH28" s="8">
        <f>$AG28&gt;margin_threshold_inr_t</f>
        <v/>
      </c>
      <c r="AI28" s="18">
        <f>($AG28-$P28)*grid_tonnes_mt</f>
        <v/>
      </c>
    </row>
    <row r="29">
      <c r="A29" s="7" t="inlineStr">
        <is>
          <t>first_eligible</t>
        </is>
      </c>
      <c r="B29" s="11" t="n">
        <v>44624</v>
      </c>
      <c r="C29" s="7" t="inlineStr">
        <is>
          <t>zorba</t>
        </is>
      </c>
      <c r="D29" s="7" t="inlineStr">
        <is>
          <t>JEA_NSA</t>
        </is>
      </c>
      <c r="E29" s="20" t="n">
        <v>-20</v>
      </c>
      <c r="F29" s="7" t="n">
        <v>76</v>
      </c>
      <c r="G29" s="17" t="b">
        <v>0</v>
      </c>
      <c r="H29" s="8">
        <f>1+$E29/100</f>
        <v/>
      </c>
      <c r="I29" s="8">
        <f>$F29/Parity!$H$54</f>
        <v/>
      </c>
      <c r="J29" s="16">
        <f>Parity!$F$54*$H29</f>
        <v/>
      </c>
      <c r="K29" s="8">
        <f>Parity!$I$54*$I29</f>
        <v/>
      </c>
      <c r="L29" s="8">
        <f>Parity!$J$54*$I29</f>
        <v/>
      </c>
      <c r="M29" s="16">
        <f>(Market_Weekly!$K$14-mcx_domestic_premium_inr_kg)*$H29*$I29+mcx_domestic_premium_inr_kg</f>
        <v/>
      </c>
      <c r="N29" s="15">
        <f>Parity!$N$54/Market_Weekly!$K$14</f>
        <v/>
      </c>
      <c r="O29" s="16">
        <f>$M29*$N29</f>
        <v/>
      </c>
      <c r="P29" s="18">
        <f>Parity!$AY$54</f>
        <v/>
      </c>
      <c r="Q29" s="16">
        <f>$J29*Parity!$P$54</f>
        <v/>
      </c>
      <c r="R29" s="16">
        <f>Parity!$L$54*Parity!$AG$54</f>
        <v/>
      </c>
      <c r="S29" s="16">
        <f>$Q29-$R29</f>
        <v/>
      </c>
      <c r="T29" s="16">
        <f>insurance_rate*insured_value_uplift*$Q29</f>
        <v/>
      </c>
      <c r="U29" s="16">
        <f>$Q29+$T29</f>
        <v/>
      </c>
      <c r="V29" s="18">
        <f>$U29*$L29</f>
        <v/>
      </c>
      <c r="W29" s="18">
        <f>$U29*$K29</f>
        <v/>
      </c>
      <c r="X29" s="18">
        <f>$V29*bcd_scrap_hs7602</f>
        <v/>
      </c>
      <c r="Y29" s="18">
        <f>$X29*sws_rate_on_bcd</f>
        <v/>
      </c>
      <c r="Z29" s="18">
        <f>($V29+$X29+$Y29)*igst_rate_hs7602</f>
        <v/>
      </c>
      <c r="AA29" s="18">
        <f>Parity!$X$54*Parity!$AG$54+IF(Parity!$Y$54,psic_cost_usd_per_box*$F29/Parity!$W$54,0)</f>
        <v/>
      </c>
      <c r="AB29" s="18">
        <f>($W29+$X29+$Y29)*Parity!$Z$54/day_count_inr*Parity!$O$54</f>
        <v/>
      </c>
      <c r="AC29" s="18">
        <f>$Z29*igst_credit_lag_days/day_count_inr*Parity!$O$54</f>
        <v/>
      </c>
      <c r="AD29" s="18">
        <f>$W29+$X29+$Y29+$AA29+$AB29+$AC29+IF(igst_itc_available,0,$Z29)</f>
        <v/>
      </c>
      <c r="AE29" s="18">
        <f>$O29*kg_per_mt+domestic_anchor_premium_inr_t</f>
        <v/>
      </c>
      <c r="AF29" s="18">
        <f>(1-Parity!$AA$54)*Parity!$AD$54*heavies_net_value_frac_of_lme_al*$J29*$F29</f>
        <v/>
      </c>
      <c r="AG29" s="18">
        <f>$AE29*Parity!$AU$54+$AF29-$AD29-Parity!$AX$54</f>
        <v/>
      </c>
      <c r="AH29" s="8">
        <f>$AG29&gt;margin_threshold_inr_t</f>
        <v/>
      </c>
      <c r="AI29" s="18">
        <f>($AG29-$P29)*grid_tonnes_mt</f>
        <v/>
      </c>
    </row>
    <row r="30">
      <c r="A30" s="7" t="inlineStr">
        <is>
          <t>first_eligible</t>
        </is>
      </c>
      <c r="B30" s="11" t="n">
        <v>44624</v>
      </c>
      <c r="C30" s="7" t="inlineStr">
        <is>
          <t>zorba</t>
        </is>
      </c>
      <c r="D30" s="7" t="inlineStr">
        <is>
          <t>JEA_NSA</t>
        </is>
      </c>
      <c r="E30" s="20" t="n">
        <v>-15</v>
      </c>
      <c r="F30" s="7" t="n">
        <v>76</v>
      </c>
      <c r="G30" s="17" t="b">
        <v>0</v>
      </c>
      <c r="H30" s="8">
        <f>1+$E30/100</f>
        <v/>
      </c>
      <c r="I30" s="8">
        <f>$F30/Parity!$H$54</f>
        <v/>
      </c>
      <c r="J30" s="16">
        <f>Parity!$F$54*$H30</f>
        <v/>
      </c>
      <c r="K30" s="8">
        <f>Parity!$I$54*$I30</f>
        <v/>
      </c>
      <c r="L30" s="8">
        <f>Parity!$J$54*$I30</f>
        <v/>
      </c>
      <c r="M30" s="16">
        <f>(Market_Weekly!$K$14-mcx_domestic_premium_inr_kg)*$H30*$I30+mcx_domestic_premium_inr_kg</f>
        <v/>
      </c>
      <c r="N30" s="15">
        <f>Parity!$N$54/Market_Weekly!$K$14</f>
        <v/>
      </c>
      <c r="O30" s="16">
        <f>$M30*$N30</f>
        <v/>
      </c>
      <c r="P30" s="18">
        <f>Parity!$AY$54</f>
        <v/>
      </c>
      <c r="Q30" s="16">
        <f>$J30*Parity!$P$54</f>
        <v/>
      </c>
      <c r="R30" s="16">
        <f>Parity!$L$54*Parity!$AG$54</f>
        <v/>
      </c>
      <c r="S30" s="16">
        <f>$Q30-$R30</f>
        <v/>
      </c>
      <c r="T30" s="16">
        <f>insurance_rate*insured_value_uplift*$Q30</f>
        <v/>
      </c>
      <c r="U30" s="16">
        <f>$Q30+$T30</f>
        <v/>
      </c>
      <c r="V30" s="18">
        <f>$U30*$L30</f>
        <v/>
      </c>
      <c r="W30" s="18">
        <f>$U30*$K30</f>
        <v/>
      </c>
      <c r="X30" s="18">
        <f>$V30*bcd_scrap_hs7602</f>
        <v/>
      </c>
      <c r="Y30" s="18">
        <f>$X30*sws_rate_on_bcd</f>
        <v/>
      </c>
      <c r="Z30" s="18">
        <f>($V30+$X30+$Y30)*igst_rate_hs7602</f>
        <v/>
      </c>
      <c r="AA30" s="18">
        <f>Parity!$X$54*Parity!$AG$54+IF(Parity!$Y$54,psic_cost_usd_per_box*$F30/Parity!$W$54,0)</f>
        <v/>
      </c>
      <c r="AB30" s="18">
        <f>($W30+$X30+$Y30)*Parity!$Z$54/day_count_inr*Parity!$O$54</f>
        <v/>
      </c>
      <c r="AC30" s="18">
        <f>$Z30*igst_credit_lag_days/day_count_inr*Parity!$O$54</f>
        <v/>
      </c>
      <c r="AD30" s="18">
        <f>$W30+$X30+$Y30+$AA30+$AB30+$AC30+IF(igst_itc_available,0,$Z30)</f>
        <v/>
      </c>
      <c r="AE30" s="18">
        <f>$O30*kg_per_mt+domestic_anchor_premium_inr_t</f>
        <v/>
      </c>
      <c r="AF30" s="18">
        <f>(1-Parity!$AA$54)*Parity!$AD$54*heavies_net_value_frac_of_lme_al*$J30*$F30</f>
        <v/>
      </c>
      <c r="AG30" s="18">
        <f>$AE30*Parity!$AU$54+$AF30-$AD30-Parity!$AX$54</f>
        <v/>
      </c>
      <c r="AH30" s="8">
        <f>$AG30&gt;margin_threshold_inr_t</f>
        <v/>
      </c>
      <c r="AI30" s="18">
        <f>($AG30-$P30)*grid_tonnes_mt</f>
        <v/>
      </c>
    </row>
    <row r="31">
      <c r="A31" s="7" t="inlineStr">
        <is>
          <t>first_eligible</t>
        </is>
      </c>
      <c r="B31" s="11" t="n">
        <v>44624</v>
      </c>
      <c r="C31" s="7" t="inlineStr">
        <is>
          <t>zorba</t>
        </is>
      </c>
      <c r="D31" s="7" t="inlineStr">
        <is>
          <t>JEA_NSA</t>
        </is>
      </c>
      <c r="E31" s="20" t="n">
        <v>-10</v>
      </c>
      <c r="F31" s="7" t="n">
        <v>76</v>
      </c>
      <c r="G31" s="17" t="b">
        <v>0</v>
      </c>
      <c r="H31" s="8">
        <f>1+$E31/100</f>
        <v/>
      </c>
      <c r="I31" s="8">
        <f>$F31/Parity!$H$54</f>
        <v/>
      </c>
      <c r="J31" s="16">
        <f>Parity!$F$54*$H31</f>
        <v/>
      </c>
      <c r="K31" s="8">
        <f>Parity!$I$54*$I31</f>
        <v/>
      </c>
      <c r="L31" s="8">
        <f>Parity!$J$54*$I31</f>
        <v/>
      </c>
      <c r="M31" s="16">
        <f>(Market_Weekly!$K$14-mcx_domestic_premium_inr_kg)*$H31*$I31+mcx_domestic_premium_inr_kg</f>
        <v/>
      </c>
      <c r="N31" s="15">
        <f>Parity!$N$54/Market_Weekly!$K$14</f>
        <v/>
      </c>
      <c r="O31" s="16">
        <f>$M31*$N31</f>
        <v/>
      </c>
      <c r="P31" s="18">
        <f>Parity!$AY$54</f>
        <v/>
      </c>
      <c r="Q31" s="16">
        <f>$J31*Parity!$P$54</f>
        <v/>
      </c>
      <c r="R31" s="16">
        <f>Parity!$L$54*Parity!$AG$54</f>
        <v/>
      </c>
      <c r="S31" s="16">
        <f>$Q31-$R31</f>
        <v/>
      </c>
      <c r="T31" s="16">
        <f>insurance_rate*insured_value_uplift*$Q31</f>
        <v/>
      </c>
      <c r="U31" s="16">
        <f>$Q31+$T31</f>
        <v/>
      </c>
      <c r="V31" s="18">
        <f>$U31*$L31</f>
        <v/>
      </c>
      <c r="W31" s="18">
        <f>$U31*$K31</f>
        <v/>
      </c>
      <c r="X31" s="18">
        <f>$V31*bcd_scrap_hs7602</f>
        <v/>
      </c>
      <c r="Y31" s="18">
        <f>$X31*sws_rate_on_bcd</f>
        <v/>
      </c>
      <c r="Z31" s="18">
        <f>($V31+$X31+$Y31)*igst_rate_hs7602</f>
        <v/>
      </c>
      <c r="AA31" s="18">
        <f>Parity!$X$54*Parity!$AG$54+IF(Parity!$Y$54,psic_cost_usd_per_box*$F31/Parity!$W$54,0)</f>
        <v/>
      </c>
      <c r="AB31" s="18">
        <f>($W31+$X31+$Y31)*Parity!$Z$54/day_count_inr*Parity!$O$54</f>
        <v/>
      </c>
      <c r="AC31" s="18">
        <f>$Z31*igst_credit_lag_days/day_count_inr*Parity!$O$54</f>
        <v/>
      </c>
      <c r="AD31" s="18">
        <f>$W31+$X31+$Y31+$AA31+$AB31+$AC31+IF(igst_itc_available,0,$Z31)</f>
        <v/>
      </c>
      <c r="AE31" s="18">
        <f>$O31*kg_per_mt+domestic_anchor_premium_inr_t</f>
        <v/>
      </c>
      <c r="AF31" s="18">
        <f>(1-Parity!$AA$54)*Parity!$AD$54*heavies_net_value_frac_of_lme_al*$J31*$F31</f>
        <v/>
      </c>
      <c r="AG31" s="18">
        <f>$AE31*Parity!$AU$54+$AF31-$AD31-Parity!$AX$54</f>
        <v/>
      </c>
      <c r="AH31" s="8">
        <f>$AG31&gt;margin_threshold_inr_t</f>
        <v/>
      </c>
      <c r="AI31" s="18">
        <f>($AG31-$P31)*grid_tonnes_mt</f>
        <v/>
      </c>
    </row>
    <row r="32">
      <c r="A32" s="7" t="inlineStr">
        <is>
          <t>first_eligible</t>
        </is>
      </c>
      <c r="B32" s="11" t="n">
        <v>44624</v>
      </c>
      <c r="C32" s="7" t="inlineStr">
        <is>
          <t>zorba</t>
        </is>
      </c>
      <c r="D32" s="7" t="inlineStr">
        <is>
          <t>JEA_NSA</t>
        </is>
      </c>
      <c r="E32" s="20" t="n">
        <v>-5</v>
      </c>
      <c r="F32" s="7" t="n">
        <v>76</v>
      </c>
      <c r="G32" s="17" t="b">
        <v>0</v>
      </c>
      <c r="H32" s="8">
        <f>1+$E32/100</f>
        <v/>
      </c>
      <c r="I32" s="8">
        <f>$F32/Parity!$H$54</f>
        <v/>
      </c>
      <c r="J32" s="16">
        <f>Parity!$F$54*$H32</f>
        <v/>
      </c>
      <c r="K32" s="8">
        <f>Parity!$I$54*$I32</f>
        <v/>
      </c>
      <c r="L32" s="8">
        <f>Parity!$J$54*$I32</f>
        <v/>
      </c>
      <c r="M32" s="16">
        <f>(Market_Weekly!$K$14-mcx_domestic_premium_inr_kg)*$H32*$I32+mcx_domestic_premium_inr_kg</f>
        <v/>
      </c>
      <c r="N32" s="15">
        <f>Parity!$N$54/Market_Weekly!$K$14</f>
        <v/>
      </c>
      <c r="O32" s="16">
        <f>$M32*$N32</f>
        <v/>
      </c>
      <c r="P32" s="18">
        <f>Parity!$AY$54</f>
        <v/>
      </c>
      <c r="Q32" s="16">
        <f>$J32*Parity!$P$54</f>
        <v/>
      </c>
      <c r="R32" s="16">
        <f>Parity!$L$54*Parity!$AG$54</f>
        <v/>
      </c>
      <c r="S32" s="16">
        <f>$Q32-$R32</f>
        <v/>
      </c>
      <c r="T32" s="16">
        <f>insurance_rate*insured_value_uplift*$Q32</f>
        <v/>
      </c>
      <c r="U32" s="16">
        <f>$Q32+$T32</f>
        <v/>
      </c>
      <c r="V32" s="18">
        <f>$U32*$L32</f>
        <v/>
      </c>
      <c r="W32" s="18">
        <f>$U32*$K32</f>
        <v/>
      </c>
      <c r="X32" s="18">
        <f>$V32*bcd_scrap_hs7602</f>
        <v/>
      </c>
      <c r="Y32" s="18">
        <f>$X32*sws_rate_on_bcd</f>
        <v/>
      </c>
      <c r="Z32" s="18">
        <f>($V32+$X32+$Y32)*igst_rate_hs7602</f>
        <v/>
      </c>
      <c r="AA32" s="18">
        <f>Parity!$X$54*Parity!$AG$54+IF(Parity!$Y$54,psic_cost_usd_per_box*$F32/Parity!$W$54,0)</f>
        <v/>
      </c>
      <c r="AB32" s="18">
        <f>($W32+$X32+$Y32)*Parity!$Z$54/day_count_inr*Parity!$O$54</f>
        <v/>
      </c>
      <c r="AC32" s="18">
        <f>$Z32*igst_credit_lag_days/day_count_inr*Parity!$O$54</f>
        <v/>
      </c>
      <c r="AD32" s="18">
        <f>$W32+$X32+$Y32+$AA32+$AB32+$AC32+IF(igst_itc_available,0,$Z32)</f>
        <v/>
      </c>
      <c r="AE32" s="18">
        <f>$O32*kg_per_mt+domestic_anchor_premium_inr_t</f>
        <v/>
      </c>
      <c r="AF32" s="18">
        <f>(1-Parity!$AA$54)*Parity!$AD$54*heavies_net_value_frac_of_lme_al*$J32*$F32</f>
        <v/>
      </c>
      <c r="AG32" s="18">
        <f>$AE32*Parity!$AU$54+$AF32-$AD32-Parity!$AX$54</f>
        <v/>
      </c>
      <c r="AH32" s="8">
        <f>$AG32&gt;margin_threshold_inr_t</f>
        <v/>
      </c>
      <c r="AI32" s="18">
        <f>($AG32-$P32)*grid_tonnes_mt</f>
        <v/>
      </c>
    </row>
    <row r="33">
      <c r="A33" s="7" t="inlineStr">
        <is>
          <t>first_eligible</t>
        </is>
      </c>
      <c r="B33" s="11" t="n">
        <v>44624</v>
      </c>
      <c r="C33" s="7" t="inlineStr">
        <is>
          <t>zorba</t>
        </is>
      </c>
      <c r="D33" s="7" t="inlineStr">
        <is>
          <t>JEA_NSA</t>
        </is>
      </c>
      <c r="E33" s="20" t="n">
        <v>0</v>
      </c>
      <c r="F33" s="7" t="n">
        <v>76</v>
      </c>
      <c r="G33" s="17" t="b">
        <v>0</v>
      </c>
      <c r="H33" s="8">
        <f>1+$E33/100</f>
        <v/>
      </c>
      <c r="I33" s="8">
        <f>$F33/Parity!$H$54</f>
        <v/>
      </c>
      <c r="J33" s="16">
        <f>Parity!$F$54*$H33</f>
        <v/>
      </c>
      <c r="K33" s="8">
        <f>Parity!$I$54*$I33</f>
        <v/>
      </c>
      <c r="L33" s="8">
        <f>Parity!$J$54*$I33</f>
        <v/>
      </c>
      <c r="M33" s="16">
        <f>(Market_Weekly!$K$14-mcx_domestic_premium_inr_kg)*$H33*$I33+mcx_domestic_premium_inr_kg</f>
        <v/>
      </c>
      <c r="N33" s="15">
        <f>Parity!$N$54/Market_Weekly!$K$14</f>
        <v/>
      </c>
      <c r="O33" s="16">
        <f>$M33*$N33</f>
        <v/>
      </c>
      <c r="P33" s="18">
        <f>Parity!$AY$54</f>
        <v/>
      </c>
      <c r="Q33" s="16">
        <f>$J33*Parity!$P$54</f>
        <v/>
      </c>
      <c r="R33" s="16">
        <f>Parity!$L$54*Parity!$AG$54</f>
        <v/>
      </c>
      <c r="S33" s="16">
        <f>$Q33-$R33</f>
        <v/>
      </c>
      <c r="T33" s="16">
        <f>insurance_rate*insured_value_uplift*$Q33</f>
        <v/>
      </c>
      <c r="U33" s="16">
        <f>$Q33+$T33</f>
        <v/>
      </c>
      <c r="V33" s="18">
        <f>$U33*$L33</f>
        <v/>
      </c>
      <c r="W33" s="18">
        <f>$U33*$K33</f>
        <v/>
      </c>
      <c r="X33" s="18">
        <f>$V33*bcd_scrap_hs7602</f>
        <v/>
      </c>
      <c r="Y33" s="18">
        <f>$X33*sws_rate_on_bcd</f>
        <v/>
      </c>
      <c r="Z33" s="18">
        <f>($V33+$X33+$Y33)*igst_rate_hs7602</f>
        <v/>
      </c>
      <c r="AA33" s="18">
        <f>Parity!$X$54*Parity!$AG$54+IF(Parity!$Y$54,psic_cost_usd_per_box*$F33/Parity!$W$54,0)</f>
        <v/>
      </c>
      <c r="AB33" s="18">
        <f>($W33+$X33+$Y33)*Parity!$Z$54/day_count_inr*Parity!$O$54</f>
        <v/>
      </c>
      <c r="AC33" s="18">
        <f>$Z33*igst_credit_lag_days/day_count_inr*Parity!$O$54</f>
        <v/>
      </c>
      <c r="AD33" s="18">
        <f>$W33+$X33+$Y33+$AA33+$AB33+$AC33+IF(igst_itc_available,0,$Z33)</f>
        <v/>
      </c>
      <c r="AE33" s="18">
        <f>$O33*kg_per_mt+domestic_anchor_premium_inr_t</f>
        <v/>
      </c>
      <c r="AF33" s="18">
        <f>(1-Parity!$AA$54)*Parity!$AD$54*heavies_net_value_frac_of_lme_al*$J33*$F33</f>
        <v/>
      </c>
      <c r="AG33" s="18">
        <f>$AE33*Parity!$AU$54+$AF33-$AD33-Parity!$AX$54</f>
        <v/>
      </c>
      <c r="AH33" s="8">
        <f>$AG33&gt;margin_threshold_inr_t</f>
        <v/>
      </c>
      <c r="AI33" s="18">
        <f>($AG33-$P33)*grid_tonnes_mt</f>
        <v/>
      </c>
    </row>
    <row r="34">
      <c r="A34" s="7" t="inlineStr">
        <is>
          <t>first_eligible</t>
        </is>
      </c>
      <c r="B34" s="11" t="n">
        <v>44624</v>
      </c>
      <c r="C34" s="7" t="inlineStr">
        <is>
          <t>zorba</t>
        </is>
      </c>
      <c r="D34" s="7" t="inlineStr">
        <is>
          <t>JEA_NSA</t>
        </is>
      </c>
      <c r="E34" s="20" t="n">
        <v>5</v>
      </c>
      <c r="F34" s="7" t="n">
        <v>76</v>
      </c>
      <c r="G34" s="17" t="b">
        <v>0</v>
      </c>
      <c r="H34" s="8">
        <f>1+$E34/100</f>
        <v/>
      </c>
      <c r="I34" s="8">
        <f>$F34/Parity!$H$54</f>
        <v/>
      </c>
      <c r="J34" s="16">
        <f>Parity!$F$54*$H34</f>
        <v/>
      </c>
      <c r="K34" s="8">
        <f>Parity!$I$54*$I34</f>
        <v/>
      </c>
      <c r="L34" s="8">
        <f>Parity!$J$54*$I34</f>
        <v/>
      </c>
      <c r="M34" s="16">
        <f>(Market_Weekly!$K$14-mcx_domestic_premium_inr_kg)*$H34*$I34+mcx_domestic_premium_inr_kg</f>
        <v/>
      </c>
      <c r="N34" s="15">
        <f>Parity!$N$54/Market_Weekly!$K$14</f>
        <v/>
      </c>
      <c r="O34" s="16">
        <f>$M34*$N34</f>
        <v/>
      </c>
      <c r="P34" s="18">
        <f>Parity!$AY$54</f>
        <v/>
      </c>
      <c r="Q34" s="16">
        <f>$J34*Parity!$P$54</f>
        <v/>
      </c>
      <c r="R34" s="16">
        <f>Parity!$L$54*Parity!$AG$54</f>
        <v/>
      </c>
      <c r="S34" s="16">
        <f>$Q34-$R34</f>
        <v/>
      </c>
      <c r="T34" s="16">
        <f>insurance_rate*insured_value_uplift*$Q34</f>
        <v/>
      </c>
      <c r="U34" s="16">
        <f>$Q34+$T34</f>
        <v/>
      </c>
      <c r="V34" s="18">
        <f>$U34*$L34</f>
        <v/>
      </c>
      <c r="W34" s="18">
        <f>$U34*$K34</f>
        <v/>
      </c>
      <c r="X34" s="18">
        <f>$V34*bcd_scrap_hs7602</f>
        <v/>
      </c>
      <c r="Y34" s="18">
        <f>$X34*sws_rate_on_bcd</f>
        <v/>
      </c>
      <c r="Z34" s="18">
        <f>($V34+$X34+$Y34)*igst_rate_hs7602</f>
        <v/>
      </c>
      <c r="AA34" s="18">
        <f>Parity!$X$54*Parity!$AG$54+IF(Parity!$Y$54,psic_cost_usd_per_box*$F34/Parity!$W$54,0)</f>
        <v/>
      </c>
      <c r="AB34" s="18">
        <f>($W34+$X34+$Y34)*Parity!$Z$54/day_count_inr*Parity!$O$54</f>
        <v/>
      </c>
      <c r="AC34" s="18">
        <f>$Z34*igst_credit_lag_days/day_count_inr*Parity!$O$54</f>
        <v/>
      </c>
      <c r="AD34" s="18">
        <f>$W34+$X34+$Y34+$AA34+$AB34+$AC34+IF(igst_itc_available,0,$Z34)</f>
        <v/>
      </c>
      <c r="AE34" s="18">
        <f>$O34*kg_per_mt+domestic_anchor_premium_inr_t</f>
        <v/>
      </c>
      <c r="AF34" s="18">
        <f>(1-Parity!$AA$54)*Parity!$AD$54*heavies_net_value_frac_of_lme_al*$J34*$F34</f>
        <v/>
      </c>
      <c r="AG34" s="18">
        <f>$AE34*Parity!$AU$54+$AF34-$AD34-Parity!$AX$54</f>
        <v/>
      </c>
      <c r="AH34" s="8">
        <f>$AG34&gt;margin_threshold_inr_t</f>
        <v/>
      </c>
      <c r="AI34" s="18">
        <f>($AG34-$P34)*grid_tonnes_mt</f>
        <v/>
      </c>
    </row>
    <row r="35">
      <c r="A35" s="7" t="inlineStr">
        <is>
          <t>first_eligible</t>
        </is>
      </c>
      <c r="B35" s="11" t="n">
        <v>44624</v>
      </c>
      <c r="C35" s="7" t="inlineStr">
        <is>
          <t>zorba</t>
        </is>
      </c>
      <c r="D35" s="7" t="inlineStr">
        <is>
          <t>JEA_NSA</t>
        </is>
      </c>
      <c r="E35" s="20" t="n">
        <v>10</v>
      </c>
      <c r="F35" s="7" t="n">
        <v>76</v>
      </c>
      <c r="G35" s="17" t="b">
        <v>0</v>
      </c>
      <c r="H35" s="8">
        <f>1+$E35/100</f>
        <v/>
      </c>
      <c r="I35" s="8">
        <f>$F35/Parity!$H$54</f>
        <v/>
      </c>
      <c r="J35" s="16">
        <f>Parity!$F$54*$H35</f>
        <v/>
      </c>
      <c r="K35" s="8">
        <f>Parity!$I$54*$I35</f>
        <v/>
      </c>
      <c r="L35" s="8">
        <f>Parity!$J$54*$I35</f>
        <v/>
      </c>
      <c r="M35" s="16">
        <f>(Market_Weekly!$K$14-mcx_domestic_premium_inr_kg)*$H35*$I35+mcx_domestic_premium_inr_kg</f>
        <v/>
      </c>
      <c r="N35" s="15">
        <f>Parity!$N$54/Market_Weekly!$K$14</f>
        <v/>
      </c>
      <c r="O35" s="16">
        <f>$M35*$N35</f>
        <v/>
      </c>
      <c r="P35" s="18">
        <f>Parity!$AY$54</f>
        <v/>
      </c>
      <c r="Q35" s="16">
        <f>$J35*Parity!$P$54</f>
        <v/>
      </c>
      <c r="R35" s="16">
        <f>Parity!$L$54*Parity!$AG$54</f>
        <v/>
      </c>
      <c r="S35" s="16">
        <f>$Q35-$R35</f>
        <v/>
      </c>
      <c r="T35" s="16">
        <f>insurance_rate*insured_value_uplift*$Q35</f>
        <v/>
      </c>
      <c r="U35" s="16">
        <f>$Q35+$T35</f>
        <v/>
      </c>
      <c r="V35" s="18">
        <f>$U35*$L35</f>
        <v/>
      </c>
      <c r="W35" s="18">
        <f>$U35*$K35</f>
        <v/>
      </c>
      <c r="X35" s="18">
        <f>$V35*bcd_scrap_hs7602</f>
        <v/>
      </c>
      <c r="Y35" s="18">
        <f>$X35*sws_rate_on_bcd</f>
        <v/>
      </c>
      <c r="Z35" s="18">
        <f>($V35+$X35+$Y35)*igst_rate_hs7602</f>
        <v/>
      </c>
      <c r="AA35" s="18">
        <f>Parity!$X$54*Parity!$AG$54+IF(Parity!$Y$54,psic_cost_usd_per_box*$F35/Parity!$W$54,0)</f>
        <v/>
      </c>
      <c r="AB35" s="18">
        <f>($W35+$X35+$Y35)*Parity!$Z$54/day_count_inr*Parity!$O$54</f>
        <v/>
      </c>
      <c r="AC35" s="18">
        <f>$Z35*igst_credit_lag_days/day_count_inr*Parity!$O$54</f>
        <v/>
      </c>
      <c r="AD35" s="18">
        <f>$W35+$X35+$Y35+$AA35+$AB35+$AC35+IF(igst_itc_available,0,$Z35)</f>
        <v/>
      </c>
      <c r="AE35" s="18">
        <f>$O35*kg_per_mt+domestic_anchor_premium_inr_t</f>
        <v/>
      </c>
      <c r="AF35" s="18">
        <f>(1-Parity!$AA$54)*Parity!$AD$54*heavies_net_value_frac_of_lme_al*$J35*$F35</f>
        <v/>
      </c>
      <c r="AG35" s="18">
        <f>$AE35*Parity!$AU$54+$AF35-$AD35-Parity!$AX$54</f>
        <v/>
      </c>
      <c r="AH35" s="8">
        <f>$AG35&gt;margin_threshold_inr_t</f>
        <v/>
      </c>
      <c r="AI35" s="18">
        <f>($AG35-$P35)*grid_tonnes_mt</f>
        <v/>
      </c>
    </row>
    <row r="36">
      <c r="A36" s="7" t="inlineStr">
        <is>
          <t>first_eligible</t>
        </is>
      </c>
      <c r="B36" s="11" t="n">
        <v>44624</v>
      </c>
      <c r="C36" s="7" t="inlineStr">
        <is>
          <t>zorba</t>
        </is>
      </c>
      <c r="D36" s="7" t="inlineStr">
        <is>
          <t>JEA_NSA</t>
        </is>
      </c>
      <c r="E36" s="20" t="n">
        <v>-30</v>
      </c>
      <c r="F36" s="7" t="n">
        <v>77</v>
      </c>
      <c r="G36" s="17" t="b">
        <v>0</v>
      </c>
      <c r="H36" s="8">
        <f>1+$E36/100</f>
        <v/>
      </c>
      <c r="I36" s="8">
        <f>$F36/Parity!$H$54</f>
        <v/>
      </c>
      <c r="J36" s="16">
        <f>Parity!$F$54*$H36</f>
        <v/>
      </c>
      <c r="K36" s="8">
        <f>Parity!$I$54*$I36</f>
        <v/>
      </c>
      <c r="L36" s="8">
        <f>Parity!$J$54*$I36</f>
        <v/>
      </c>
      <c r="M36" s="16">
        <f>(Market_Weekly!$K$14-mcx_domestic_premium_inr_kg)*$H36*$I36+mcx_domestic_premium_inr_kg</f>
        <v/>
      </c>
      <c r="N36" s="15">
        <f>Parity!$N$54/Market_Weekly!$K$14</f>
        <v/>
      </c>
      <c r="O36" s="16">
        <f>$M36*$N36</f>
        <v/>
      </c>
      <c r="P36" s="18">
        <f>Parity!$AY$54</f>
        <v/>
      </c>
      <c r="Q36" s="16">
        <f>$J36*Parity!$P$54</f>
        <v/>
      </c>
      <c r="R36" s="16">
        <f>Parity!$L$54*Parity!$AG$54</f>
        <v/>
      </c>
      <c r="S36" s="16">
        <f>$Q36-$R36</f>
        <v/>
      </c>
      <c r="T36" s="16">
        <f>insurance_rate*insured_value_uplift*$Q36</f>
        <v/>
      </c>
      <c r="U36" s="16">
        <f>$Q36+$T36</f>
        <v/>
      </c>
      <c r="V36" s="18">
        <f>$U36*$L36</f>
        <v/>
      </c>
      <c r="W36" s="18">
        <f>$U36*$K36</f>
        <v/>
      </c>
      <c r="X36" s="18">
        <f>$V36*bcd_scrap_hs7602</f>
        <v/>
      </c>
      <c r="Y36" s="18">
        <f>$X36*sws_rate_on_bcd</f>
        <v/>
      </c>
      <c r="Z36" s="18">
        <f>($V36+$X36+$Y36)*igst_rate_hs7602</f>
        <v/>
      </c>
      <c r="AA36" s="18">
        <f>Parity!$X$54*Parity!$AG$54+IF(Parity!$Y$54,psic_cost_usd_per_box*$F36/Parity!$W$54,0)</f>
        <v/>
      </c>
      <c r="AB36" s="18">
        <f>($W36+$X36+$Y36)*Parity!$Z$54/day_count_inr*Parity!$O$54</f>
        <v/>
      </c>
      <c r="AC36" s="18">
        <f>$Z36*igst_credit_lag_days/day_count_inr*Parity!$O$54</f>
        <v/>
      </c>
      <c r="AD36" s="18">
        <f>$W36+$X36+$Y36+$AA36+$AB36+$AC36+IF(igst_itc_available,0,$Z36)</f>
        <v/>
      </c>
      <c r="AE36" s="18">
        <f>$O36*kg_per_mt+domestic_anchor_premium_inr_t</f>
        <v/>
      </c>
      <c r="AF36" s="18">
        <f>(1-Parity!$AA$54)*Parity!$AD$54*heavies_net_value_frac_of_lme_al*$J36*$F36</f>
        <v/>
      </c>
      <c r="AG36" s="18">
        <f>$AE36*Parity!$AU$54+$AF36-$AD36-Parity!$AX$54</f>
        <v/>
      </c>
      <c r="AH36" s="8">
        <f>$AG36&gt;margin_threshold_inr_t</f>
        <v/>
      </c>
      <c r="AI36" s="18">
        <f>($AG36-$P36)*grid_tonnes_mt</f>
        <v/>
      </c>
    </row>
    <row r="37">
      <c r="A37" s="7" t="inlineStr">
        <is>
          <t>first_eligible</t>
        </is>
      </c>
      <c r="B37" s="11" t="n">
        <v>44624</v>
      </c>
      <c r="C37" s="7" t="inlineStr">
        <is>
          <t>zorba</t>
        </is>
      </c>
      <c r="D37" s="7" t="inlineStr">
        <is>
          <t>JEA_NSA</t>
        </is>
      </c>
      <c r="E37" s="20" t="n">
        <v>-25</v>
      </c>
      <c r="F37" s="7" t="n">
        <v>77</v>
      </c>
      <c r="G37" s="17" t="b">
        <v>0</v>
      </c>
      <c r="H37" s="8">
        <f>1+$E37/100</f>
        <v/>
      </c>
      <c r="I37" s="8">
        <f>$F37/Parity!$H$54</f>
        <v/>
      </c>
      <c r="J37" s="16">
        <f>Parity!$F$54*$H37</f>
        <v/>
      </c>
      <c r="K37" s="8">
        <f>Parity!$I$54*$I37</f>
        <v/>
      </c>
      <c r="L37" s="8">
        <f>Parity!$J$54*$I37</f>
        <v/>
      </c>
      <c r="M37" s="16">
        <f>(Market_Weekly!$K$14-mcx_domestic_premium_inr_kg)*$H37*$I37+mcx_domestic_premium_inr_kg</f>
        <v/>
      </c>
      <c r="N37" s="15">
        <f>Parity!$N$54/Market_Weekly!$K$14</f>
        <v/>
      </c>
      <c r="O37" s="16">
        <f>$M37*$N37</f>
        <v/>
      </c>
      <c r="P37" s="18">
        <f>Parity!$AY$54</f>
        <v/>
      </c>
      <c r="Q37" s="16">
        <f>$J37*Parity!$P$54</f>
        <v/>
      </c>
      <c r="R37" s="16">
        <f>Parity!$L$54*Parity!$AG$54</f>
        <v/>
      </c>
      <c r="S37" s="16">
        <f>$Q37-$R37</f>
        <v/>
      </c>
      <c r="T37" s="16">
        <f>insurance_rate*insured_value_uplift*$Q37</f>
        <v/>
      </c>
      <c r="U37" s="16">
        <f>$Q37+$T37</f>
        <v/>
      </c>
      <c r="V37" s="18">
        <f>$U37*$L37</f>
        <v/>
      </c>
      <c r="W37" s="18">
        <f>$U37*$K37</f>
        <v/>
      </c>
      <c r="X37" s="18">
        <f>$V37*bcd_scrap_hs7602</f>
        <v/>
      </c>
      <c r="Y37" s="18">
        <f>$X37*sws_rate_on_bcd</f>
        <v/>
      </c>
      <c r="Z37" s="18">
        <f>($V37+$X37+$Y37)*igst_rate_hs7602</f>
        <v/>
      </c>
      <c r="AA37" s="18">
        <f>Parity!$X$54*Parity!$AG$54+IF(Parity!$Y$54,psic_cost_usd_per_box*$F37/Parity!$W$54,0)</f>
        <v/>
      </c>
      <c r="AB37" s="18">
        <f>($W37+$X37+$Y37)*Parity!$Z$54/day_count_inr*Parity!$O$54</f>
        <v/>
      </c>
      <c r="AC37" s="18">
        <f>$Z37*igst_credit_lag_days/day_count_inr*Parity!$O$54</f>
        <v/>
      </c>
      <c r="AD37" s="18">
        <f>$W37+$X37+$Y37+$AA37+$AB37+$AC37+IF(igst_itc_available,0,$Z37)</f>
        <v/>
      </c>
      <c r="AE37" s="18">
        <f>$O37*kg_per_mt+domestic_anchor_premium_inr_t</f>
        <v/>
      </c>
      <c r="AF37" s="18">
        <f>(1-Parity!$AA$54)*Parity!$AD$54*heavies_net_value_frac_of_lme_al*$J37*$F37</f>
        <v/>
      </c>
      <c r="AG37" s="18">
        <f>$AE37*Parity!$AU$54+$AF37-$AD37-Parity!$AX$54</f>
        <v/>
      </c>
      <c r="AH37" s="8">
        <f>$AG37&gt;margin_threshold_inr_t</f>
        <v/>
      </c>
      <c r="AI37" s="18">
        <f>($AG37-$P37)*grid_tonnes_mt</f>
        <v/>
      </c>
    </row>
    <row r="38">
      <c r="A38" s="7" t="inlineStr">
        <is>
          <t>first_eligible</t>
        </is>
      </c>
      <c r="B38" s="11" t="n">
        <v>44624</v>
      </c>
      <c r="C38" s="7" t="inlineStr">
        <is>
          <t>zorba</t>
        </is>
      </c>
      <c r="D38" s="7" t="inlineStr">
        <is>
          <t>JEA_NSA</t>
        </is>
      </c>
      <c r="E38" s="20" t="n">
        <v>-20</v>
      </c>
      <c r="F38" s="7" t="n">
        <v>77</v>
      </c>
      <c r="G38" s="17" t="b">
        <v>0</v>
      </c>
      <c r="H38" s="8">
        <f>1+$E38/100</f>
        <v/>
      </c>
      <c r="I38" s="8">
        <f>$F38/Parity!$H$54</f>
        <v/>
      </c>
      <c r="J38" s="16">
        <f>Parity!$F$54*$H38</f>
        <v/>
      </c>
      <c r="K38" s="8">
        <f>Parity!$I$54*$I38</f>
        <v/>
      </c>
      <c r="L38" s="8">
        <f>Parity!$J$54*$I38</f>
        <v/>
      </c>
      <c r="M38" s="16">
        <f>(Market_Weekly!$K$14-mcx_domestic_premium_inr_kg)*$H38*$I38+mcx_domestic_premium_inr_kg</f>
        <v/>
      </c>
      <c r="N38" s="15">
        <f>Parity!$N$54/Market_Weekly!$K$14</f>
        <v/>
      </c>
      <c r="O38" s="16">
        <f>$M38*$N38</f>
        <v/>
      </c>
      <c r="P38" s="18">
        <f>Parity!$AY$54</f>
        <v/>
      </c>
      <c r="Q38" s="16">
        <f>$J38*Parity!$P$54</f>
        <v/>
      </c>
      <c r="R38" s="16">
        <f>Parity!$L$54*Parity!$AG$54</f>
        <v/>
      </c>
      <c r="S38" s="16">
        <f>$Q38-$R38</f>
        <v/>
      </c>
      <c r="T38" s="16">
        <f>insurance_rate*insured_value_uplift*$Q38</f>
        <v/>
      </c>
      <c r="U38" s="16">
        <f>$Q38+$T38</f>
        <v/>
      </c>
      <c r="V38" s="18">
        <f>$U38*$L38</f>
        <v/>
      </c>
      <c r="W38" s="18">
        <f>$U38*$K38</f>
        <v/>
      </c>
      <c r="X38" s="18">
        <f>$V38*bcd_scrap_hs7602</f>
        <v/>
      </c>
      <c r="Y38" s="18">
        <f>$X38*sws_rate_on_bcd</f>
        <v/>
      </c>
      <c r="Z38" s="18">
        <f>($V38+$X38+$Y38)*igst_rate_hs7602</f>
        <v/>
      </c>
      <c r="AA38" s="18">
        <f>Parity!$X$54*Parity!$AG$54+IF(Parity!$Y$54,psic_cost_usd_per_box*$F38/Parity!$W$54,0)</f>
        <v/>
      </c>
      <c r="AB38" s="18">
        <f>($W38+$X38+$Y38)*Parity!$Z$54/day_count_inr*Parity!$O$54</f>
        <v/>
      </c>
      <c r="AC38" s="18">
        <f>$Z38*igst_credit_lag_days/day_count_inr*Parity!$O$54</f>
        <v/>
      </c>
      <c r="AD38" s="18">
        <f>$W38+$X38+$Y38+$AA38+$AB38+$AC38+IF(igst_itc_available,0,$Z38)</f>
        <v/>
      </c>
      <c r="AE38" s="18">
        <f>$O38*kg_per_mt+domestic_anchor_premium_inr_t</f>
        <v/>
      </c>
      <c r="AF38" s="18">
        <f>(1-Parity!$AA$54)*Parity!$AD$54*heavies_net_value_frac_of_lme_al*$J38*$F38</f>
        <v/>
      </c>
      <c r="AG38" s="18">
        <f>$AE38*Parity!$AU$54+$AF38-$AD38-Parity!$AX$54</f>
        <v/>
      </c>
      <c r="AH38" s="8">
        <f>$AG38&gt;margin_threshold_inr_t</f>
        <v/>
      </c>
      <c r="AI38" s="18">
        <f>($AG38-$P38)*grid_tonnes_mt</f>
        <v/>
      </c>
    </row>
    <row r="39">
      <c r="A39" s="7" t="inlineStr">
        <is>
          <t>first_eligible</t>
        </is>
      </c>
      <c r="B39" s="11" t="n">
        <v>44624</v>
      </c>
      <c r="C39" s="7" t="inlineStr">
        <is>
          <t>zorba</t>
        </is>
      </c>
      <c r="D39" s="7" t="inlineStr">
        <is>
          <t>JEA_NSA</t>
        </is>
      </c>
      <c r="E39" s="20" t="n">
        <v>-15</v>
      </c>
      <c r="F39" s="7" t="n">
        <v>77</v>
      </c>
      <c r="G39" s="17" t="b">
        <v>0</v>
      </c>
      <c r="H39" s="8">
        <f>1+$E39/100</f>
        <v/>
      </c>
      <c r="I39" s="8">
        <f>$F39/Parity!$H$54</f>
        <v/>
      </c>
      <c r="J39" s="16">
        <f>Parity!$F$54*$H39</f>
        <v/>
      </c>
      <c r="K39" s="8">
        <f>Parity!$I$54*$I39</f>
        <v/>
      </c>
      <c r="L39" s="8">
        <f>Parity!$J$54*$I39</f>
        <v/>
      </c>
      <c r="M39" s="16">
        <f>(Market_Weekly!$K$14-mcx_domestic_premium_inr_kg)*$H39*$I39+mcx_domestic_premium_inr_kg</f>
        <v/>
      </c>
      <c r="N39" s="15">
        <f>Parity!$N$54/Market_Weekly!$K$14</f>
        <v/>
      </c>
      <c r="O39" s="16">
        <f>$M39*$N39</f>
        <v/>
      </c>
      <c r="P39" s="18">
        <f>Parity!$AY$54</f>
        <v/>
      </c>
      <c r="Q39" s="16">
        <f>$J39*Parity!$P$54</f>
        <v/>
      </c>
      <c r="R39" s="16">
        <f>Parity!$L$54*Parity!$AG$54</f>
        <v/>
      </c>
      <c r="S39" s="16">
        <f>$Q39-$R39</f>
        <v/>
      </c>
      <c r="T39" s="16">
        <f>insurance_rate*insured_value_uplift*$Q39</f>
        <v/>
      </c>
      <c r="U39" s="16">
        <f>$Q39+$T39</f>
        <v/>
      </c>
      <c r="V39" s="18">
        <f>$U39*$L39</f>
        <v/>
      </c>
      <c r="W39" s="18">
        <f>$U39*$K39</f>
        <v/>
      </c>
      <c r="X39" s="18">
        <f>$V39*bcd_scrap_hs7602</f>
        <v/>
      </c>
      <c r="Y39" s="18">
        <f>$X39*sws_rate_on_bcd</f>
        <v/>
      </c>
      <c r="Z39" s="18">
        <f>($V39+$X39+$Y39)*igst_rate_hs7602</f>
        <v/>
      </c>
      <c r="AA39" s="18">
        <f>Parity!$X$54*Parity!$AG$54+IF(Parity!$Y$54,psic_cost_usd_per_box*$F39/Parity!$W$54,0)</f>
        <v/>
      </c>
      <c r="AB39" s="18">
        <f>($W39+$X39+$Y39)*Parity!$Z$54/day_count_inr*Parity!$O$54</f>
        <v/>
      </c>
      <c r="AC39" s="18">
        <f>$Z39*igst_credit_lag_days/day_count_inr*Parity!$O$54</f>
        <v/>
      </c>
      <c r="AD39" s="18">
        <f>$W39+$X39+$Y39+$AA39+$AB39+$AC39+IF(igst_itc_available,0,$Z39)</f>
        <v/>
      </c>
      <c r="AE39" s="18">
        <f>$O39*kg_per_mt+domestic_anchor_premium_inr_t</f>
        <v/>
      </c>
      <c r="AF39" s="18">
        <f>(1-Parity!$AA$54)*Parity!$AD$54*heavies_net_value_frac_of_lme_al*$J39*$F39</f>
        <v/>
      </c>
      <c r="AG39" s="18">
        <f>$AE39*Parity!$AU$54+$AF39-$AD39-Parity!$AX$54</f>
        <v/>
      </c>
      <c r="AH39" s="8">
        <f>$AG39&gt;margin_threshold_inr_t</f>
        <v/>
      </c>
      <c r="AI39" s="18">
        <f>($AG39-$P39)*grid_tonnes_mt</f>
        <v/>
      </c>
    </row>
    <row r="40">
      <c r="A40" s="7" t="inlineStr">
        <is>
          <t>first_eligible</t>
        </is>
      </c>
      <c r="B40" s="11" t="n">
        <v>44624</v>
      </c>
      <c r="C40" s="7" t="inlineStr">
        <is>
          <t>zorba</t>
        </is>
      </c>
      <c r="D40" s="7" t="inlineStr">
        <is>
          <t>JEA_NSA</t>
        </is>
      </c>
      <c r="E40" s="20" t="n">
        <v>-10</v>
      </c>
      <c r="F40" s="7" t="n">
        <v>77</v>
      </c>
      <c r="G40" s="17" t="b">
        <v>0</v>
      </c>
      <c r="H40" s="8">
        <f>1+$E40/100</f>
        <v/>
      </c>
      <c r="I40" s="8">
        <f>$F40/Parity!$H$54</f>
        <v/>
      </c>
      <c r="J40" s="16">
        <f>Parity!$F$54*$H40</f>
        <v/>
      </c>
      <c r="K40" s="8">
        <f>Parity!$I$54*$I40</f>
        <v/>
      </c>
      <c r="L40" s="8">
        <f>Parity!$J$54*$I40</f>
        <v/>
      </c>
      <c r="M40" s="16">
        <f>(Market_Weekly!$K$14-mcx_domestic_premium_inr_kg)*$H40*$I40+mcx_domestic_premium_inr_kg</f>
        <v/>
      </c>
      <c r="N40" s="15">
        <f>Parity!$N$54/Market_Weekly!$K$14</f>
        <v/>
      </c>
      <c r="O40" s="16">
        <f>$M40*$N40</f>
        <v/>
      </c>
      <c r="P40" s="18">
        <f>Parity!$AY$54</f>
        <v/>
      </c>
      <c r="Q40" s="16">
        <f>$J40*Parity!$P$54</f>
        <v/>
      </c>
      <c r="R40" s="16">
        <f>Parity!$L$54*Parity!$AG$54</f>
        <v/>
      </c>
      <c r="S40" s="16">
        <f>$Q40-$R40</f>
        <v/>
      </c>
      <c r="T40" s="16">
        <f>insurance_rate*insured_value_uplift*$Q40</f>
        <v/>
      </c>
      <c r="U40" s="16">
        <f>$Q40+$T40</f>
        <v/>
      </c>
      <c r="V40" s="18">
        <f>$U40*$L40</f>
        <v/>
      </c>
      <c r="W40" s="18">
        <f>$U40*$K40</f>
        <v/>
      </c>
      <c r="X40" s="18">
        <f>$V40*bcd_scrap_hs7602</f>
        <v/>
      </c>
      <c r="Y40" s="18">
        <f>$X40*sws_rate_on_bcd</f>
        <v/>
      </c>
      <c r="Z40" s="18">
        <f>($V40+$X40+$Y40)*igst_rate_hs7602</f>
        <v/>
      </c>
      <c r="AA40" s="18">
        <f>Parity!$X$54*Parity!$AG$54+IF(Parity!$Y$54,psic_cost_usd_per_box*$F40/Parity!$W$54,0)</f>
        <v/>
      </c>
      <c r="AB40" s="18">
        <f>($W40+$X40+$Y40)*Parity!$Z$54/day_count_inr*Parity!$O$54</f>
        <v/>
      </c>
      <c r="AC40" s="18">
        <f>$Z40*igst_credit_lag_days/day_count_inr*Parity!$O$54</f>
        <v/>
      </c>
      <c r="AD40" s="18">
        <f>$W40+$X40+$Y40+$AA40+$AB40+$AC40+IF(igst_itc_available,0,$Z40)</f>
        <v/>
      </c>
      <c r="AE40" s="18">
        <f>$O40*kg_per_mt+domestic_anchor_premium_inr_t</f>
        <v/>
      </c>
      <c r="AF40" s="18">
        <f>(1-Parity!$AA$54)*Parity!$AD$54*heavies_net_value_frac_of_lme_al*$J40*$F40</f>
        <v/>
      </c>
      <c r="AG40" s="18">
        <f>$AE40*Parity!$AU$54+$AF40-$AD40-Parity!$AX$54</f>
        <v/>
      </c>
      <c r="AH40" s="8">
        <f>$AG40&gt;margin_threshold_inr_t</f>
        <v/>
      </c>
      <c r="AI40" s="18">
        <f>($AG40-$P40)*grid_tonnes_mt</f>
        <v/>
      </c>
    </row>
    <row r="41">
      <c r="A41" s="7" t="inlineStr">
        <is>
          <t>first_eligible</t>
        </is>
      </c>
      <c r="B41" s="11" t="n">
        <v>44624</v>
      </c>
      <c r="C41" s="7" t="inlineStr">
        <is>
          <t>zorba</t>
        </is>
      </c>
      <c r="D41" s="7" t="inlineStr">
        <is>
          <t>JEA_NSA</t>
        </is>
      </c>
      <c r="E41" s="20" t="n">
        <v>-5</v>
      </c>
      <c r="F41" s="7" t="n">
        <v>77</v>
      </c>
      <c r="G41" s="17" t="b">
        <v>0</v>
      </c>
      <c r="H41" s="8">
        <f>1+$E41/100</f>
        <v/>
      </c>
      <c r="I41" s="8">
        <f>$F41/Parity!$H$54</f>
        <v/>
      </c>
      <c r="J41" s="16">
        <f>Parity!$F$54*$H41</f>
        <v/>
      </c>
      <c r="K41" s="8">
        <f>Parity!$I$54*$I41</f>
        <v/>
      </c>
      <c r="L41" s="8">
        <f>Parity!$J$54*$I41</f>
        <v/>
      </c>
      <c r="M41" s="16">
        <f>(Market_Weekly!$K$14-mcx_domestic_premium_inr_kg)*$H41*$I41+mcx_domestic_premium_inr_kg</f>
        <v/>
      </c>
      <c r="N41" s="15">
        <f>Parity!$N$54/Market_Weekly!$K$14</f>
        <v/>
      </c>
      <c r="O41" s="16">
        <f>$M41*$N41</f>
        <v/>
      </c>
      <c r="P41" s="18">
        <f>Parity!$AY$54</f>
        <v/>
      </c>
      <c r="Q41" s="16">
        <f>$J41*Parity!$P$54</f>
        <v/>
      </c>
      <c r="R41" s="16">
        <f>Parity!$L$54*Parity!$AG$54</f>
        <v/>
      </c>
      <c r="S41" s="16">
        <f>$Q41-$R41</f>
        <v/>
      </c>
      <c r="T41" s="16">
        <f>insurance_rate*insured_value_uplift*$Q41</f>
        <v/>
      </c>
      <c r="U41" s="16">
        <f>$Q41+$T41</f>
        <v/>
      </c>
      <c r="V41" s="18">
        <f>$U41*$L41</f>
        <v/>
      </c>
      <c r="W41" s="18">
        <f>$U41*$K41</f>
        <v/>
      </c>
      <c r="X41" s="18">
        <f>$V41*bcd_scrap_hs7602</f>
        <v/>
      </c>
      <c r="Y41" s="18">
        <f>$X41*sws_rate_on_bcd</f>
        <v/>
      </c>
      <c r="Z41" s="18">
        <f>($V41+$X41+$Y41)*igst_rate_hs7602</f>
        <v/>
      </c>
      <c r="AA41" s="18">
        <f>Parity!$X$54*Parity!$AG$54+IF(Parity!$Y$54,psic_cost_usd_per_box*$F41/Parity!$W$54,0)</f>
        <v/>
      </c>
      <c r="AB41" s="18">
        <f>($W41+$X41+$Y41)*Parity!$Z$54/day_count_inr*Parity!$O$54</f>
        <v/>
      </c>
      <c r="AC41" s="18">
        <f>$Z41*igst_credit_lag_days/day_count_inr*Parity!$O$54</f>
        <v/>
      </c>
      <c r="AD41" s="18">
        <f>$W41+$X41+$Y41+$AA41+$AB41+$AC41+IF(igst_itc_available,0,$Z41)</f>
        <v/>
      </c>
      <c r="AE41" s="18">
        <f>$O41*kg_per_mt+domestic_anchor_premium_inr_t</f>
        <v/>
      </c>
      <c r="AF41" s="18">
        <f>(1-Parity!$AA$54)*Parity!$AD$54*heavies_net_value_frac_of_lme_al*$J41*$F41</f>
        <v/>
      </c>
      <c r="AG41" s="18">
        <f>$AE41*Parity!$AU$54+$AF41-$AD41-Parity!$AX$54</f>
        <v/>
      </c>
      <c r="AH41" s="8">
        <f>$AG41&gt;margin_threshold_inr_t</f>
        <v/>
      </c>
      <c r="AI41" s="18">
        <f>($AG41-$P41)*grid_tonnes_mt</f>
        <v/>
      </c>
    </row>
    <row r="42">
      <c r="A42" s="7" t="inlineStr">
        <is>
          <t>first_eligible</t>
        </is>
      </c>
      <c r="B42" s="11" t="n">
        <v>44624</v>
      </c>
      <c r="C42" s="7" t="inlineStr">
        <is>
          <t>zorba</t>
        </is>
      </c>
      <c r="D42" s="7" t="inlineStr">
        <is>
          <t>JEA_NSA</t>
        </is>
      </c>
      <c r="E42" s="20" t="n">
        <v>0</v>
      </c>
      <c r="F42" s="7" t="n">
        <v>77</v>
      </c>
      <c r="G42" s="17" t="b">
        <v>0</v>
      </c>
      <c r="H42" s="8">
        <f>1+$E42/100</f>
        <v/>
      </c>
      <c r="I42" s="8">
        <f>$F42/Parity!$H$54</f>
        <v/>
      </c>
      <c r="J42" s="16">
        <f>Parity!$F$54*$H42</f>
        <v/>
      </c>
      <c r="K42" s="8">
        <f>Parity!$I$54*$I42</f>
        <v/>
      </c>
      <c r="L42" s="8">
        <f>Parity!$J$54*$I42</f>
        <v/>
      </c>
      <c r="M42" s="16">
        <f>(Market_Weekly!$K$14-mcx_domestic_premium_inr_kg)*$H42*$I42+mcx_domestic_premium_inr_kg</f>
        <v/>
      </c>
      <c r="N42" s="15">
        <f>Parity!$N$54/Market_Weekly!$K$14</f>
        <v/>
      </c>
      <c r="O42" s="16">
        <f>$M42*$N42</f>
        <v/>
      </c>
      <c r="P42" s="18">
        <f>Parity!$AY$54</f>
        <v/>
      </c>
      <c r="Q42" s="16">
        <f>$J42*Parity!$P$54</f>
        <v/>
      </c>
      <c r="R42" s="16">
        <f>Parity!$L$54*Parity!$AG$54</f>
        <v/>
      </c>
      <c r="S42" s="16">
        <f>$Q42-$R42</f>
        <v/>
      </c>
      <c r="T42" s="16">
        <f>insurance_rate*insured_value_uplift*$Q42</f>
        <v/>
      </c>
      <c r="U42" s="16">
        <f>$Q42+$T42</f>
        <v/>
      </c>
      <c r="V42" s="18">
        <f>$U42*$L42</f>
        <v/>
      </c>
      <c r="W42" s="18">
        <f>$U42*$K42</f>
        <v/>
      </c>
      <c r="X42" s="18">
        <f>$V42*bcd_scrap_hs7602</f>
        <v/>
      </c>
      <c r="Y42" s="18">
        <f>$X42*sws_rate_on_bcd</f>
        <v/>
      </c>
      <c r="Z42" s="18">
        <f>($V42+$X42+$Y42)*igst_rate_hs7602</f>
        <v/>
      </c>
      <c r="AA42" s="18">
        <f>Parity!$X$54*Parity!$AG$54+IF(Parity!$Y$54,psic_cost_usd_per_box*$F42/Parity!$W$54,0)</f>
        <v/>
      </c>
      <c r="AB42" s="18">
        <f>($W42+$X42+$Y42)*Parity!$Z$54/day_count_inr*Parity!$O$54</f>
        <v/>
      </c>
      <c r="AC42" s="18">
        <f>$Z42*igst_credit_lag_days/day_count_inr*Parity!$O$54</f>
        <v/>
      </c>
      <c r="AD42" s="18">
        <f>$W42+$X42+$Y42+$AA42+$AB42+$AC42+IF(igst_itc_available,0,$Z42)</f>
        <v/>
      </c>
      <c r="AE42" s="18">
        <f>$O42*kg_per_mt+domestic_anchor_premium_inr_t</f>
        <v/>
      </c>
      <c r="AF42" s="18">
        <f>(1-Parity!$AA$54)*Parity!$AD$54*heavies_net_value_frac_of_lme_al*$J42*$F42</f>
        <v/>
      </c>
      <c r="AG42" s="18">
        <f>$AE42*Parity!$AU$54+$AF42-$AD42-Parity!$AX$54</f>
        <v/>
      </c>
      <c r="AH42" s="8">
        <f>$AG42&gt;margin_threshold_inr_t</f>
        <v/>
      </c>
      <c r="AI42" s="18">
        <f>($AG42-$P42)*grid_tonnes_mt</f>
        <v/>
      </c>
    </row>
    <row r="43">
      <c r="A43" s="7" t="inlineStr">
        <is>
          <t>first_eligible</t>
        </is>
      </c>
      <c r="B43" s="11" t="n">
        <v>44624</v>
      </c>
      <c r="C43" s="7" t="inlineStr">
        <is>
          <t>zorba</t>
        </is>
      </c>
      <c r="D43" s="7" t="inlineStr">
        <is>
          <t>JEA_NSA</t>
        </is>
      </c>
      <c r="E43" s="20" t="n">
        <v>5</v>
      </c>
      <c r="F43" s="7" t="n">
        <v>77</v>
      </c>
      <c r="G43" s="17" t="b">
        <v>0</v>
      </c>
      <c r="H43" s="8">
        <f>1+$E43/100</f>
        <v/>
      </c>
      <c r="I43" s="8">
        <f>$F43/Parity!$H$54</f>
        <v/>
      </c>
      <c r="J43" s="16">
        <f>Parity!$F$54*$H43</f>
        <v/>
      </c>
      <c r="K43" s="8">
        <f>Parity!$I$54*$I43</f>
        <v/>
      </c>
      <c r="L43" s="8">
        <f>Parity!$J$54*$I43</f>
        <v/>
      </c>
      <c r="M43" s="16">
        <f>(Market_Weekly!$K$14-mcx_domestic_premium_inr_kg)*$H43*$I43+mcx_domestic_premium_inr_kg</f>
        <v/>
      </c>
      <c r="N43" s="15">
        <f>Parity!$N$54/Market_Weekly!$K$14</f>
        <v/>
      </c>
      <c r="O43" s="16">
        <f>$M43*$N43</f>
        <v/>
      </c>
      <c r="P43" s="18">
        <f>Parity!$AY$54</f>
        <v/>
      </c>
      <c r="Q43" s="16">
        <f>$J43*Parity!$P$54</f>
        <v/>
      </c>
      <c r="R43" s="16">
        <f>Parity!$L$54*Parity!$AG$54</f>
        <v/>
      </c>
      <c r="S43" s="16">
        <f>$Q43-$R43</f>
        <v/>
      </c>
      <c r="T43" s="16">
        <f>insurance_rate*insured_value_uplift*$Q43</f>
        <v/>
      </c>
      <c r="U43" s="16">
        <f>$Q43+$T43</f>
        <v/>
      </c>
      <c r="V43" s="18">
        <f>$U43*$L43</f>
        <v/>
      </c>
      <c r="W43" s="18">
        <f>$U43*$K43</f>
        <v/>
      </c>
      <c r="X43" s="18">
        <f>$V43*bcd_scrap_hs7602</f>
        <v/>
      </c>
      <c r="Y43" s="18">
        <f>$X43*sws_rate_on_bcd</f>
        <v/>
      </c>
      <c r="Z43" s="18">
        <f>($V43+$X43+$Y43)*igst_rate_hs7602</f>
        <v/>
      </c>
      <c r="AA43" s="18">
        <f>Parity!$X$54*Parity!$AG$54+IF(Parity!$Y$54,psic_cost_usd_per_box*$F43/Parity!$W$54,0)</f>
        <v/>
      </c>
      <c r="AB43" s="18">
        <f>($W43+$X43+$Y43)*Parity!$Z$54/day_count_inr*Parity!$O$54</f>
        <v/>
      </c>
      <c r="AC43" s="18">
        <f>$Z43*igst_credit_lag_days/day_count_inr*Parity!$O$54</f>
        <v/>
      </c>
      <c r="AD43" s="18">
        <f>$W43+$X43+$Y43+$AA43+$AB43+$AC43+IF(igst_itc_available,0,$Z43)</f>
        <v/>
      </c>
      <c r="AE43" s="18">
        <f>$O43*kg_per_mt+domestic_anchor_premium_inr_t</f>
        <v/>
      </c>
      <c r="AF43" s="18">
        <f>(1-Parity!$AA$54)*Parity!$AD$54*heavies_net_value_frac_of_lme_al*$J43*$F43</f>
        <v/>
      </c>
      <c r="AG43" s="18">
        <f>$AE43*Parity!$AU$54+$AF43-$AD43-Parity!$AX$54</f>
        <v/>
      </c>
      <c r="AH43" s="8">
        <f>$AG43&gt;margin_threshold_inr_t</f>
        <v/>
      </c>
      <c r="AI43" s="18">
        <f>($AG43-$P43)*grid_tonnes_mt</f>
        <v/>
      </c>
    </row>
    <row r="44">
      <c r="A44" s="7" t="inlineStr">
        <is>
          <t>first_eligible</t>
        </is>
      </c>
      <c r="B44" s="11" t="n">
        <v>44624</v>
      </c>
      <c r="C44" s="7" t="inlineStr">
        <is>
          <t>zorba</t>
        </is>
      </c>
      <c r="D44" s="7" t="inlineStr">
        <is>
          <t>JEA_NSA</t>
        </is>
      </c>
      <c r="E44" s="20" t="n">
        <v>10</v>
      </c>
      <c r="F44" s="7" t="n">
        <v>77</v>
      </c>
      <c r="G44" s="17" t="b">
        <v>0</v>
      </c>
      <c r="H44" s="8">
        <f>1+$E44/100</f>
        <v/>
      </c>
      <c r="I44" s="8">
        <f>$F44/Parity!$H$54</f>
        <v/>
      </c>
      <c r="J44" s="16">
        <f>Parity!$F$54*$H44</f>
        <v/>
      </c>
      <c r="K44" s="8">
        <f>Parity!$I$54*$I44</f>
        <v/>
      </c>
      <c r="L44" s="8">
        <f>Parity!$J$54*$I44</f>
        <v/>
      </c>
      <c r="M44" s="16">
        <f>(Market_Weekly!$K$14-mcx_domestic_premium_inr_kg)*$H44*$I44+mcx_domestic_premium_inr_kg</f>
        <v/>
      </c>
      <c r="N44" s="15">
        <f>Parity!$N$54/Market_Weekly!$K$14</f>
        <v/>
      </c>
      <c r="O44" s="16">
        <f>$M44*$N44</f>
        <v/>
      </c>
      <c r="P44" s="18">
        <f>Parity!$AY$54</f>
        <v/>
      </c>
      <c r="Q44" s="16">
        <f>$J44*Parity!$P$54</f>
        <v/>
      </c>
      <c r="R44" s="16">
        <f>Parity!$L$54*Parity!$AG$54</f>
        <v/>
      </c>
      <c r="S44" s="16">
        <f>$Q44-$R44</f>
        <v/>
      </c>
      <c r="T44" s="16">
        <f>insurance_rate*insured_value_uplift*$Q44</f>
        <v/>
      </c>
      <c r="U44" s="16">
        <f>$Q44+$T44</f>
        <v/>
      </c>
      <c r="V44" s="18">
        <f>$U44*$L44</f>
        <v/>
      </c>
      <c r="W44" s="18">
        <f>$U44*$K44</f>
        <v/>
      </c>
      <c r="X44" s="18">
        <f>$V44*bcd_scrap_hs7602</f>
        <v/>
      </c>
      <c r="Y44" s="18">
        <f>$X44*sws_rate_on_bcd</f>
        <v/>
      </c>
      <c r="Z44" s="18">
        <f>($V44+$X44+$Y44)*igst_rate_hs7602</f>
        <v/>
      </c>
      <c r="AA44" s="18">
        <f>Parity!$X$54*Parity!$AG$54+IF(Parity!$Y$54,psic_cost_usd_per_box*$F44/Parity!$W$54,0)</f>
        <v/>
      </c>
      <c r="AB44" s="18">
        <f>($W44+$X44+$Y44)*Parity!$Z$54/day_count_inr*Parity!$O$54</f>
        <v/>
      </c>
      <c r="AC44" s="18">
        <f>$Z44*igst_credit_lag_days/day_count_inr*Parity!$O$54</f>
        <v/>
      </c>
      <c r="AD44" s="18">
        <f>$W44+$X44+$Y44+$AA44+$AB44+$AC44+IF(igst_itc_available,0,$Z44)</f>
        <v/>
      </c>
      <c r="AE44" s="18">
        <f>$O44*kg_per_mt+domestic_anchor_premium_inr_t</f>
        <v/>
      </c>
      <c r="AF44" s="18">
        <f>(1-Parity!$AA$54)*Parity!$AD$54*heavies_net_value_frac_of_lme_al*$J44*$F44</f>
        <v/>
      </c>
      <c r="AG44" s="18">
        <f>$AE44*Parity!$AU$54+$AF44-$AD44-Parity!$AX$54</f>
        <v/>
      </c>
      <c r="AH44" s="8">
        <f>$AG44&gt;margin_threshold_inr_t</f>
        <v/>
      </c>
      <c r="AI44" s="18">
        <f>($AG44-$P44)*grid_tonnes_mt</f>
        <v/>
      </c>
    </row>
    <row r="45">
      <c r="A45" s="7" t="inlineStr">
        <is>
          <t>first_eligible</t>
        </is>
      </c>
      <c r="B45" s="11" t="n">
        <v>44624</v>
      </c>
      <c r="C45" s="7" t="inlineStr">
        <is>
          <t>zorba</t>
        </is>
      </c>
      <c r="D45" s="7" t="inlineStr">
        <is>
          <t>JEA_NSA</t>
        </is>
      </c>
      <c r="E45" s="20" t="n">
        <v>-30</v>
      </c>
      <c r="F45" s="7" t="n">
        <v>78</v>
      </c>
      <c r="G45" s="17" t="b">
        <v>0</v>
      </c>
      <c r="H45" s="8">
        <f>1+$E45/100</f>
        <v/>
      </c>
      <c r="I45" s="8">
        <f>$F45/Parity!$H$54</f>
        <v/>
      </c>
      <c r="J45" s="16">
        <f>Parity!$F$54*$H45</f>
        <v/>
      </c>
      <c r="K45" s="8">
        <f>Parity!$I$54*$I45</f>
        <v/>
      </c>
      <c r="L45" s="8">
        <f>Parity!$J$54*$I45</f>
        <v/>
      </c>
      <c r="M45" s="16">
        <f>(Market_Weekly!$K$14-mcx_domestic_premium_inr_kg)*$H45*$I45+mcx_domestic_premium_inr_kg</f>
        <v/>
      </c>
      <c r="N45" s="15">
        <f>Parity!$N$54/Market_Weekly!$K$14</f>
        <v/>
      </c>
      <c r="O45" s="16">
        <f>$M45*$N45</f>
        <v/>
      </c>
      <c r="P45" s="18">
        <f>Parity!$AY$54</f>
        <v/>
      </c>
      <c r="Q45" s="16">
        <f>$J45*Parity!$P$54</f>
        <v/>
      </c>
      <c r="R45" s="16">
        <f>Parity!$L$54*Parity!$AG$54</f>
        <v/>
      </c>
      <c r="S45" s="16">
        <f>$Q45-$R45</f>
        <v/>
      </c>
      <c r="T45" s="16">
        <f>insurance_rate*insured_value_uplift*$Q45</f>
        <v/>
      </c>
      <c r="U45" s="16">
        <f>$Q45+$T45</f>
        <v/>
      </c>
      <c r="V45" s="18">
        <f>$U45*$L45</f>
        <v/>
      </c>
      <c r="W45" s="18">
        <f>$U45*$K45</f>
        <v/>
      </c>
      <c r="X45" s="18">
        <f>$V45*bcd_scrap_hs7602</f>
        <v/>
      </c>
      <c r="Y45" s="18">
        <f>$X45*sws_rate_on_bcd</f>
        <v/>
      </c>
      <c r="Z45" s="18">
        <f>($V45+$X45+$Y45)*igst_rate_hs7602</f>
        <v/>
      </c>
      <c r="AA45" s="18">
        <f>Parity!$X$54*Parity!$AG$54+IF(Parity!$Y$54,psic_cost_usd_per_box*$F45/Parity!$W$54,0)</f>
        <v/>
      </c>
      <c r="AB45" s="18">
        <f>($W45+$X45+$Y45)*Parity!$Z$54/day_count_inr*Parity!$O$54</f>
        <v/>
      </c>
      <c r="AC45" s="18">
        <f>$Z45*igst_credit_lag_days/day_count_inr*Parity!$O$54</f>
        <v/>
      </c>
      <c r="AD45" s="18">
        <f>$W45+$X45+$Y45+$AA45+$AB45+$AC45+IF(igst_itc_available,0,$Z45)</f>
        <v/>
      </c>
      <c r="AE45" s="18">
        <f>$O45*kg_per_mt+domestic_anchor_premium_inr_t</f>
        <v/>
      </c>
      <c r="AF45" s="18">
        <f>(1-Parity!$AA$54)*Parity!$AD$54*heavies_net_value_frac_of_lme_al*$J45*$F45</f>
        <v/>
      </c>
      <c r="AG45" s="18">
        <f>$AE45*Parity!$AU$54+$AF45-$AD45-Parity!$AX$54</f>
        <v/>
      </c>
      <c r="AH45" s="8">
        <f>$AG45&gt;margin_threshold_inr_t</f>
        <v/>
      </c>
      <c r="AI45" s="18">
        <f>($AG45-$P45)*grid_tonnes_mt</f>
        <v/>
      </c>
    </row>
    <row r="46">
      <c r="A46" s="7" t="inlineStr">
        <is>
          <t>first_eligible</t>
        </is>
      </c>
      <c r="B46" s="11" t="n">
        <v>44624</v>
      </c>
      <c r="C46" s="7" t="inlineStr">
        <is>
          <t>zorba</t>
        </is>
      </c>
      <c r="D46" s="7" t="inlineStr">
        <is>
          <t>JEA_NSA</t>
        </is>
      </c>
      <c r="E46" s="20" t="n">
        <v>-25</v>
      </c>
      <c r="F46" s="7" t="n">
        <v>78</v>
      </c>
      <c r="G46" s="17" t="b">
        <v>0</v>
      </c>
      <c r="H46" s="8">
        <f>1+$E46/100</f>
        <v/>
      </c>
      <c r="I46" s="8">
        <f>$F46/Parity!$H$54</f>
        <v/>
      </c>
      <c r="J46" s="16">
        <f>Parity!$F$54*$H46</f>
        <v/>
      </c>
      <c r="K46" s="8">
        <f>Parity!$I$54*$I46</f>
        <v/>
      </c>
      <c r="L46" s="8">
        <f>Parity!$J$54*$I46</f>
        <v/>
      </c>
      <c r="M46" s="16">
        <f>(Market_Weekly!$K$14-mcx_domestic_premium_inr_kg)*$H46*$I46+mcx_domestic_premium_inr_kg</f>
        <v/>
      </c>
      <c r="N46" s="15">
        <f>Parity!$N$54/Market_Weekly!$K$14</f>
        <v/>
      </c>
      <c r="O46" s="16">
        <f>$M46*$N46</f>
        <v/>
      </c>
      <c r="P46" s="18">
        <f>Parity!$AY$54</f>
        <v/>
      </c>
      <c r="Q46" s="16">
        <f>$J46*Parity!$P$54</f>
        <v/>
      </c>
      <c r="R46" s="16">
        <f>Parity!$L$54*Parity!$AG$54</f>
        <v/>
      </c>
      <c r="S46" s="16">
        <f>$Q46-$R46</f>
        <v/>
      </c>
      <c r="T46" s="16">
        <f>insurance_rate*insured_value_uplift*$Q46</f>
        <v/>
      </c>
      <c r="U46" s="16">
        <f>$Q46+$T46</f>
        <v/>
      </c>
      <c r="V46" s="18">
        <f>$U46*$L46</f>
        <v/>
      </c>
      <c r="W46" s="18">
        <f>$U46*$K46</f>
        <v/>
      </c>
      <c r="X46" s="18">
        <f>$V46*bcd_scrap_hs7602</f>
        <v/>
      </c>
      <c r="Y46" s="18">
        <f>$X46*sws_rate_on_bcd</f>
        <v/>
      </c>
      <c r="Z46" s="18">
        <f>($V46+$X46+$Y46)*igst_rate_hs7602</f>
        <v/>
      </c>
      <c r="AA46" s="18">
        <f>Parity!$X$54*Parity!$AG$54+IF(Parity!$Y$54,psic_cost_usd_per_box*$F46/Parity!$W$54,0)</f>
        <v/>
      </c>
      <c r="AB46" s="18">
        <f>($W46+$X46+$Y46)*Parity!$Z$54/day_count_inr*Parity!$O$54</f>
        <v/>
      </c>
      <c r="AC46" s="18">
        <f>$Z46*igst_credit_lag_days/day_count_inr*Parity!$O$54</f>
        <v/>
      </c>
      <c r="AD46" s="18">
        <f>$W46+$X46+$Y46+$AA46+$AB46+$AC46+IF(igst_itc_available,0,$Z46)</f>
        <v/>
      </c>
      <c r="AE46" s="18">
        <f>$O46*kg_per_mt+domestic_anchor_premium_inr_t</f>
        <v/>
      </c>
      <c r="AF46" s="18">
        <f>(1-Parity!$AA$54)*Parity!$AD$54*heavies_net_value_frac_of_lme_al*$J46*$F46</f>
        <v/>
      </c>
      <c r="AG46" s="18">
        <f>$AE46*Parity!$AU$54+$AF46-$AD46-Parity!$AX$54</f>
        <v/>
      </c>
      <c r="AH46" s="8">
        <f>$AG46&gt;margin_threshold_inr_t</f>
        <v/>
      </c>
      <c r="AI46" s="18">
        <f>($AG46-$P46)*grid_tonnes_mt</f>
        <v/>
      </c>
    </row>
    <row r="47">
      <c r="A47" s="7" t="inlineStr">
        <is>
          <t>first_eligible</t>
        </is>
      </c>
      <c r="B47" s="11" t="n">
        <v>44624</v>
      </c>
      <c r="C47" s="7" t="inlineStr">
        <is>
          <t>zorba</t>
        </is>
      </c>
      <c r="D47" s="7" t="inlineStr">
        <is>
          <t>JEA_NSA</t>
        </is>
      </c>
      <c r="E47" s="20" t="n">
        <v>-20</v>
      </c>
      <c r="F47" s="7" t="n">
        <v>78</v>
      </c>
      <c r="G47" s="17" t="b">
        <v>0</v>
      </c>
      <c r="H47" s="8">
        <f>1+$E47/100</f>
        <v/>
      </c>
      <c r="I47" s="8">
        <f>$F47/Parity!$H$54</f>
        <v/>
      </c>
      <c r="J47" s="16">
        <f>Parity!$F$54*$H47</f>
        <v/>
      </c>
      <c r="K47" s="8">
        <f>Parity!$I$54*$I47</f>
        <v/>
      </c>
      <c r="L47" s="8">
        <f>Parity!$J$54*$I47</f>
        <v/>
      </c>
      <c r="M47" s="16">
        <f>(Market_Weekly!$K$14-mcx_domestic_premium_inr_kg)*$H47*$I47+mcx_domestic_premium_inr_kg</f>
        <v/>
      </c>
      <c r="N47" s="15">
        <f>Parity!$N$54/Market_Weekly!$K$14</f>
        <v/>
      </c>
      <c r="O47" s="16">
        <f>$M47*$N47</f>
        <v/>
      </c>
      <c r="P47" s="18">
        <f>Parity!$AY$54</f>
        <v/>
      </c>
      <c r="Q47" s="16">
        <f>$J47*Parity!$P$54</f>
        <v/>
      </c>
      <c r="R47" s="16">
        <f>Parity!$L$54*Parity!$AG$54</f>
        <v/>
      </c>
      <c r="S47" s="16">
        <f>$Q47-$R47</f>
        <v/>
      </c>
      <c r="T47" s="16">
        <f>insurance_rate*insured_value_uplift*$Q47</f>
        <v/>
      </c>
      <c r="U47" s="16">
        <f>$Q47+$T47</f>
        <v/>
      </c>
      <c r="V47" s="18">
        <f>$U47*$L47</f>
        <v/>
      </c>
      <c r="W47" s="18">
        <f>$U47*$K47</f>
        <v/>
      </c>
      <c r="X47" s="18">
        <f>$V47*bcd_scrap_hs7602</f>
        <v/>
      </c>
      <c r="Y47" s="18">
        <f>$X47*sws_rate_on_bcd</f>
        <v/>
      </c>
      <c r="Z47" s="18">
        <f>($V47+$X47+$Y47)*igst_rate_hs7602</f>
        <v/>
      </c>
      <c r="AA47" s="18">
        <f>Parity!$X$54*Parity!$AG$54+IF(Parity!$Y$54,psic_cost_usd_per_box*$F47/Parity!$W$54,0)</f>
        <v/>
      </c>
      <c r="AB47" s="18">
        <f>($W47+$X47+$Y47)*Parity!$Z$54/day_count_inr*Parity!$O$54</f>
        <v/>
      </c>
      <c r="AC47" s="18">
        <f>$Z47*igst_credit_lag_days/day_count_inr*Parity!$O$54</f>
        <v/>
      </c>
      <c r="AD47" s="18">
        <f>$W47+$X47+$Y47+$AA47+$AB47+$AC47+IF(igst_itc_available,0,$Z47)</f>
        <v/>
      </c>
      <c r="AE47" s="18">
        <f>$O47*kg_per_mt+domestic_anchor_premium_inr_t</f>
        <v/>
      </c>
      <c r="AF47" s="18">
        <f>(1-Parity!$AA$54)*Parity!$AD$54*heavies_net_value_frac_of_lme_al*$J47*$F47</f>
        <v/>
      </c>
      <c r="AG47" s="18">
        <f>$AE47*Parity!$AU$54+$AF47-$AD47-Parity!$AX$54</f>
        <v/>
      </c>
      <c r="AH47" s="8">
        <f>$AG47&gt;margin_threshold_inr_t</f>
        <v/>
      </c>
      <c r="AI47" s="18">
        <f>($AG47-$P47)*grid_tonnes_mt</f>
        <v/>
      </c>
    </row>
    <row r="48">
      <c r="A48" s="7" t="inlineStr">
        <is>
          <t>first_eligible</t>
        </is>
      </c>
      <c r="B48" s="11" t="n">
        <v>44624</v>
      </c>
      <c r="C48" s="7" t="inlineStr">
        <is>
          <t>zorba</t>
        </is>
      </c>
      <c r="D48" s="7" t="inlineStr">
        <is>
          <t>JEA_NSA</t>
        </is>
      </c>
      <c r="E48" s="20" t="n">
        <v>-15</v>
      </c>
      <c r="F48" s="7" t="n">
        <v>78</v>
      </c>
      <c r="G48" s="17" t="b">
        <v>0</v>
      </c>
      <c r="H48" s="8">
        <f>1+$E48/100</f>
        <v/>
      </c>
      <c r="I48" s="8">
        <f>$F48/Parity!$H$54</f>
        <v/>
      </c>
      <c r="J48" s="16">
        <f>Parity!$F$54*$H48</f>
        <v/>
      </c>
      <c r="K48" s="8">
        <f>Parity!$I$54*$I48</f>
        <v/>
      </c>
      <c r="L48" s="8">
        <f>Parity!$J$54*$I48</f>
        <v/>
      </c>
      <c r="M48" s="16">
        <f>(Market_Weekly!$K$14-mcx_domestic_premium_inr_kg)*$H48*$I48+mcx_domestic_premium_inr_kg</f>
        <v/>
      </c>
      <c r="N48" s="15">
        <f>Parity!$N$54/Market_Weekly!$K$14</f>
        <v/>
      </c>
      <c r="O48" s="16">
        <f>$M48*$N48</f>
        <v/>
      </c>
      <c r="P48" s="18">
        <f>Parity!$AY$54</f>
        <v/>
      </c>
      <c r="Q48" s="16">
        <f>$J48*Parity!$P$54</f>
        <v/>
      </c>
      <c r="R48" s="16">
        <f>Parity!$L$54*Parity!$AG$54</f>
        <v/>
      </c>
      <c r="S48" s="16">
        <f>$Q48-$R48</f>
        <v/>
      </c>
      <c r="T48" s="16">
        <f>insurance_rate*insured_value_uplift*$Q48</f>
        <v/>
      </c>
      <c r="U48" s="16">
        <f>$Q48+$T48</f>
        <v/>
      </c>
      <c r="V48" s="18">
        <f>$U48*$L48</f>
        <v/>
      </c>
      <c r="W48" s="18">
        <f>$U48*$K48</f>
        <v/>
      </c>
      <c r="X48" s="18">
        <f>$V48*bcd_scrap_hs7602</f>
        <v/>
      </c>
      <c r="Y48" s="18">
        <f>$X48*sws_rate_on_bcd</f>
        <v/>
      </c>
      <c r="Z48" s="18">
        <f>($V48+$X48+$Y48)*igst_rate_hs7602</f>
        <v/>
      </c>
      <c r="AA48" s="18">
        <f>Parity!$X$54*Parity!$AG$54+IF(Parity!$Y$54,psic_cost_usd_per_box*$F48/Parity!$W$54,0)</f>
        <v/>
      </c>
      <c r="AB48" s="18">
        <f>($W48+$X48+$Y48)*Parity!$Z$54/day_count_inr*Parity!$O$54</f>
        <v/>
      </c>
      <c r="AC48" s="18">
        <f>$Z48*igst_credit_lag_days/day_count_inr*Parity!$O$54</f>
        <v/>
      </c>
      <c r="AD48" s="18">
        <f>$W48+$X48+$Y48+$AA48+$AB48+$AC48+IF(igst_itc_available,0,$Z48)</f>
        <v/>
      </c>
      <c r="AE48" s="18">
        <f>$O48*kg_per_mt+domestic_anchor_premium_inr_t</f>
        <v/>
      </c>
      <c r="AF48" s="18">
        <f>(1-Parity!$AA$54)*Parity!$AD$54*heavies_net_value_frac_of_lme_al*$J48*$F48</f>
        <v/>
      </c>
      <c r="AG48" s="18">
        <f>$AE48*Parity!$AU$54+$AF48-$AD48-Parity!$AX$54</f>
        <v/>
      </c>
      <c r="AH48" s="8">
        <f>$AG48&gt;margin_threshold_inr_t</f>
        <v/>
      </c>
      <c r="AI48" s="18">
        <f>($AG48-$P48)*grid_tonnes_mt</f>
        <v/>
      </c>
    </row>
    <row r="49">
      <c r="A49" s="7" t="inlineStr">
        <is>
          <t>first_eligible</t>
        </is>
      </c>
      <c r="B49" s="11" t="n">
        <v>44624</v>
      </c>
      <c r="C49" s="7" t="inlineStr">
        <is>
          <t>zorba</t>
        </is>
      </c>
      <c r="D49" s="7" t="inlineStr">
        <is>
          <t>JEA_NSA</t>
        </is>
      </c>
      <c r="E49" s="20" t="n">
        <v>-10</v>
      </c>
      <c r="F49" s="7" t="n">
        <v>78</v>
      </c>
      <c r="G49" s="17" t="b">
        <v>0</v>
      </c>
      <c r="H49" s="8">
        <f>1+$E49/100</f>
        <v/>
      </c>
      <c r="I49" s="8">
        <f>$F49/Parity!$H$54</f>
        <v/>
      </c>
      <c r="J49" s="16">
        <f>Parity!$F$54*$H49</f>
        <v/>
      </c>
      <c r="K49" s="8">
        <f>Parity!$I$54*$I49</f>
        <v/>
      </c>
      <c r="L49" s="8">
        <f>Parity!$J$54*$I49</f>
        <v/>
      </c>
      <c r="M49" s="16">
        <f>(Market_Weekly!$K$14-mcx_domestic_premium_inr_kg)*$H49*$I49+mcx_domestic_premium_inr_kg</f>
        <v/>
      </c>
      <c r="N49" s="15">
        <f>Parity!$N$54/Market_Weekly!$K$14</f>
        <v/>
      </c>
      <c r="O49" s="16">
        <f>$M49*$N49</f>
        <v/>
      </c>
      <c r="P49" s="18">
        <f>Parity!$AY$54</f>
        <v/>
      </c>
      <c r="Q49" s="16">
        <f>$J49*Parity!$P$54</f>
        <v/>
      </c>
      <c r="R49" s="16">
        <f>Parity!$L$54*Parity!$AG$54</f>
        <v/>
      </c>
      <c r="S49" s="16">
        <f>$Q49-$R49</f>
        <v/>
      </c>
      <c r="T49" s="16">
        <f>insurance_rate*insured_value_uplift*$Q49</f>
        <v/>
      </c>
      <c r="U49" s="16">
        <f>$Q49+$T49</f>
        <v/>
      </c>
      <c r="V49" s="18">
        <f>$U49*$L49</f>
        <v/>
      </c>
      <c r="W49" s="18">
        <f>$U49*$K49</f>
        <v/>
      </c>
      <c r="X49" s="18">
        <f>$V49*bcd_scrap_hs7602</f>
        <v/>
      </c>
      <c r="Y49" s="18">
        <f>$X49*sws_rate_on_bcd</f>
        <v/>
      </c>
      <c r="Z49" s="18">
        <f>($V49+$X49+$Y49)*igst_rate_hs7602</f>
        <v/>
      </c>
      <c r="AA49" s="18">
        <f>Parity!$X$54*Parity!$AG$54+IF(Parity!$Y$54,psic_cost_usd_per_box*$F49/Parity!$W$54,0)</f>
        <v/>
      </c>
      <c r="AB49" s="18">
        <f>($W49+$X49+$Y49)*Parity!$Z$54/day_count_inr*Parity!$O$54</f>
        <v/>
      </c>
      <c r="AC49" s="18">
        <f>$Z49*igst_credit_lag_days/day_count_inr*Parity!$O$54</f>
        <v/>
      </c>
      <c r="AD49" s="18">
        <f>$W49+$X49+$Y49+$AA49+$AB49+$AC49+IF(igst_itc_available,0,$Z49)</f>
        <v/>
      </c>
      <c r="AE49" s="18">
        <f>$O49*kg_per_mt+domestic_anchor_premium_inr_t</f>
        <v/>
      </c>
      <c r="AF49" s="18">
        <f>(1-Parity!$AA$54)*Parity!$AD$54*heavies_net_value_frac_of_lme_al*$J49*$F49</f>
        <v/>
      </c>
      <c r="AG49" s="18">
        <f>$AE49*Parity!$AU$54+$AF49-$AD49-Parity!$AX$54</f>
        <v/>
      </c>
      <c r="AH49" s="8">
        <f>$AG49&gt;margin_threshold_inr_t</f>
        <v/>
      </c>
      <c r="AI49" s="18">
        <f>($AG49-$P49)*grid_tonnes_mt</f>
        <v/>
      </c>
    </row>
    <row r="50">
      <c r="A50" s="7" t="inlineStr">
        <is>
          <t>first_eligible</t>
        </is>
      </c>
      <c r="B50" s="11" t="n">
        <v>44624</v>
      </c>
      <c r="C50" s="7" t="inlineStr">
        <is>
          <t>zorba</t>
        </is>
      </c>
      <c r="D50" s="7" t="inlineStr">
        <is>
          <t>JEA_NSA</t>
        </is>
      </c>
      <c r="E50" s="20" t="n">
        <v>-5</v>
      </c>
      <c r="F50" s="7" t="n">
        <v>78</v>
      </c>
      <c r="G50" s="17" t="b">
        <v>0</v>
      </c>
      <c r="H50" s="8">
        <f>1+$E50/100</f>
        <v/>
      </c>
      <c r="I50" s="8">
        <f>$F50/Parity!$H$54</f>
        <v/>
      </c>
      <c r="J50" s="16">
        <f>Parity!$F$54*$H50</f>
        <v/>
      </c>
      <c r="K50" s="8">
        <f>Parity!$I$54*$I50</f>
        <v/>
      </c>
      <c r="L50" s="8">
        <f>Parity!$J$54*$I50</f>
        <v/>
      </c>
      <c r="M50" s="16">
        <f>(Market_Weekly!$K$14-mcx_domestic_premium_inr_kg)*$H50*$I50+mcx_domestic_premium_inr_kg</f>
        <v/>
      </c>
      <c r="N50" s="15">
        <f>Parity!$N$54/Market_Weekly!$K$14</f>
        <v/>
      </c>
      <c r="O50" s="16">
        <f>$M50*$N50</f>
        <v/>
      </c>
      <c r="P50" s="18">
        <f>Parity!$AY$54</f>
        <v/>
      </c>
      <c r="Q50" s="16">
        <f>$J50*Parity!$P$54</f>
        <v/>
      </c>
      <c r="R50" s="16">
        <f>Parity!$L$54*Parity!$AG$54</f>
        <v/>
      </c>
      <c r="S50" s="16">
        <f>$Q50-$R50</f>
        <v/>
      </c>
      <c r="T50" s="16">
        <f>insurance_rate*insured_value_uplift*$Q50</f>
        <v/>
      </c>
      <c r="U50" s="16">
        <f>$Q50+$T50</f>
        <v/>
      </c>
      <c r="V50" s="18">
        <f>$U50*$L50</f>
        <v/>
      </c>
      <c r="W50" s="18">
        <f>$U50*$K50</f>
        <v/>
      </c>
      <c r="X50" s="18">
        <f>$V50*bcd_scrap_hs7602</f>
        <v/>
      </c>
      <c r="Y50" s="18">
        <f>$X50*sws_rate_on_bcd</f>
        <v/>
      </c>
      <c r="Z50" s="18">
        <f>($V50+$X50+$Y50)*igst_rate_hs7602</f>
        <v/>
      </c>
      <c r="AA50" s="18">
        <f>Parity!$X$54*Parity!$AG$54+IF(Parity!$Y$54,psic_cost_usd_per_box*$F50/Parity!$W$54,0)</f>
        <v/>
      </c>
      <c r="AB50" s="18">
        <f>($W50+$X50+$Y50)*Parity!$Z$54/day_count_inr*Parity!$O$54</f>
        <v/>
      </c>
      <c r="AC50" s="18">
        <f>$Z50*igst_credit_lag_days/day_count_inr*Parity!$O$54</f>
        <v/>
      </c>
      <c r="AD50" s="18">
        <f>$W50+$X50+$Y50+$AA50+$AB50+$AC50+IF(igst_itc_available,0,$Z50)</f>
        <v/>
      </c>
      <c r="AE50" s="18">
        <f>$O50*kg_per_mt+domestic_anchor_premium_inr_t</f>
        <v/>
      </c>
      <c r="AF50" s="18">
        <f>(1-Parity!$AA$54)*Parity!$AD$54*heavies_net_value_frac_of_lme_al*$J50*$F50</f>
        <v/>
      </c>
      <c r="AG50" s="18">
        <f>$AE50*Parity!$AU$54+$AF50-$AD50-Parity!$AX$54</f>
        <v/>
      </c>
      <c r="AH50" s="8">
        <f>$AG50&gt;margin_threshold_inr_t</f>
        <v/>
      </c>
      <c r="AI50" s="18">
        <f>($AG50-$P50)*grid_tonnes_mt</f>
        <v/>
      </c>
    </row>
    <row r="51">
      <c r="A51" s="7" t="inlineStr">
        <is>
          <t>first_eligible</t>
        </is>
      </c>
      <c r="B51" s="11" t="n">
        <v>44624</v>
      </c>
      <c r="C51" s="7" t="inlineStr">
        <is>
          <t>zorba</t>
        </is>
      </c>
      <c r="D51" s="7" t="inlineStr">
        <is>
          <t>JEA_NSA</t>
        </is>
      </c>
      <c r="E51" s="20" t="n">
        <v>0</v>
      </c>
      <c r="F51" s="7" t="n">
        <v>78</v>
      </c>
      <c r="G51" s="17" t="b">
        <v>0</v>
      </c>
      <c r="H51" s="8">
        <f>1+$E51/100</f>
        <v/>
      </c>
      <c r="I51" s="8">
        <f>$F51/Parity!$H$54</f>
        <v/>
      </c>
      <c r="J51" s="16">
        <f>Parity!$F$54*$H51</f>
        <v/>
      </c>
      <c r="K51" s="8">
        <f>Parity!$I$54*$I51</f>
        <v/>
      </c>
      <c r="L51" s="8">
        <f>Parity!$J$54*$I51</f>
        <v/>
      </c>
      <c r="M51" s="16">
        <f>(Market_Weekly!$K$14-mcx_domestic_premium_inr_kg)*$H51*$I51+mcx_domestic_premium_inr_kg</f>
        <v/>
      </c>
      <c r="N51" s="15">
        <f>Parity!$N$54/Market_Weekly!$K$14</f>
        <v/>
      </c>
      <c r="O51" s="16">
        <f>$M51*$N51</f>
        <v/>
      </c>
      <c r="P51" s="18">
        <f>Parity!$AY$54</f>
        <v/>
      </c>
      <c r="Q51" s="16">
        <f>$J51*Parity!$P$54</f>
        <v/>
      </c>
      <c r="R51" s="16">
        <f>Parity!$L$54*Parity!$AG$54</f>
        <v/>
      </c>
      <c r="S51" s="16">
        <f>$Q51-$R51</f>
        <v/>
      </c>
      <c r="T51" s="16">
        <f>insurance_rate*insured_value_uplift*$Q51</f>
        <v/>
      </c>
      <c r="U51" s="16">
        <f>$Q51+$T51</f>
        <v/>
      </c>
      <c r="V51" s="18">
        <f>$U51*$L51</f>
        <v/>
      </c>
      <c r="W51" s="18">
        <f>$U51*$K51</f>
        <v/>
      </c>
      <c r="X51" s="18">
        <f>$V51*bcd_scrap_hs7602</f>
        <v/>
      </c>
      <c r="Y51" s="18">
        <f>$X51*sws_rate_on_bcd</f>
        <v/>
      </c>
      <c r="Z51" s="18">
        <f>($V51+$X51+$Y51)*igst_rate_hs7602</f>
        <v/>
      </c>
      <c r="AA51" s="18">
        <f>Parity!$X$54*Parity!$AG$54+IF(Parity!$Y$54,psic_cost_usd_per_box*$F51/Parity!$W$54,0)</f>
        <v/>
      </c>
      <c r="AB51" s="18">
        <f>($W51+$X51+$Y51)*Parity!$Z$54/day_count_inr*Parity!$O$54</f>
        <v/>
      </c>
      <c r="AC51" s="18">
        <f>$Z51*igst_credit_lag_days/day_count_inr*Parity!$O$54</f>
        <v/>
      </c>
      <c r="AD51" s="18">
        <f>$W51+$X51+$Y51+$AA51+$AB51+$AC51+IF(igst_itc_available,0,$Z51)</f>
        <v/>
      </c>
      <c r="AE51" s="18">
        <f>$O51*kg_per_mt+domestic_anchor_premium_inr_t</f>
        <v/>
      </c>
      <c r="AF51" s="18">
        <f>(1-Parity!$AA$54)*Parity!$AD$54*heavies_net_value_frac_of_lme_al*$J51*$F51</f>
        <v/>
      </c>
      <c r="AG51" s="18">
        <f>$AE51*Parity!$AU$54+$AF51-$AD51-Parity!$AX$54</f>
        <v/>
      </c>
      <c r="AH51" s="8">
        <f>$AG51&gt;margin_threshold_inr_t</f>
        <v/>
      </c>
      <c r="AI51" s="18">
        <f>($AG51-$P51)*grid_tonnes_mt</f>
        <v/>
      </c>
    </row>
    <row r="52">
      <c r="A52" s="7" t="inlineStr">
        <is>
          <t>first_eligible</t>
        </is>
      </c>
      <c r="B52" s="11" t="n">
        <v>44624</v>
      </c>
      <c r="C52" s="7" t="inlineStr">
        <is>
          <t>zorba</t>
        </is>
      </c>
      <c r="D52" s="7" t="inlineStr">
        <is>
          <t>JEA_NSA</t>
        </is>
      </c>
      <c r="E52" s="20" t="n">
        <v>5</v>
      </c>
      <c r="F52" s="7" t="n">
        <v>78</v>
      </c>
      <c r="G52" s="17" t="b">
        <v>0</v>
      </c>
      <c r="H52" s="8">
        <f>1+$E52/100</f>
        <v/>
      </c>
      <c r="I52" s="8">
        <f>$F52/Parity!$H$54</f>
        <v/>
      </c>
      <c r="J52" s="16">
        <f>Parity!$F$54*$H52</f>
        <v/>
      </c>
      <c r="K52" s="8">
        <f>Parity!$I$54*$I52</f>
        <v/>
      </c>
      <c r="L52" s="8">
        <f>Parity!$J$54*$I52</f>
        <v/>
      </c>
      <c r="M52" s="16">
        <f>(Market_Weekly!$K$14-mcx_domestic_premium_inr_kg)*$H52*$I52+mcx_domestic_premium_inr_kg</f>
        <v/>
      </c>
      <c r="N52" s="15">
        <f>Parity!$N$54/Market_Weekly!$K$14</f>
        <v/>
      </c>
      <c r="O52" s="16">
        <f>$M52*$N52</f>
        <v/>
      </c>
      <c r="P52" s="18">
        <f>Parity!$AY$54</f>
        <v/>
      </c>
      <c r="Q52" s="16">
        <f>$J52*Parity!$P$54</f>
        <v/>
      </c>
      <c r="R52" s="16">
        <f>Parity!$L$54*Parity!$AG$54</f>
        <v/>
      </c>
      <c r="S52" s="16">
        <f>$Q52-$R52</f>
        <v/>
      </c>
      <c r="T52" s="16">
        <f>insurance_rate*insured_value_uplift*$Q52</f>
        <v/>
      </c>
      <c r="U52" s="16">
        <f>$Q52+$T52</f>
        <v/>
      </c>
      <c r="V52" s="18">
        <f>$U52*$L52</f>
        <v/>
      </c>
      <c r="W52" s="18">
        <f>$U52*$K52</f>
        <v/>
      </c>
      <c r="X52" s="18">
        <f>$V52*bcd_scrap_hs7602</f>
        <v/>
      </c>
      <c r="Y52" s="18">
        <f>$X52*sws_rate_on_bcd</f>
        <v/>
      </c>
      <c r="Z52" s="18">
        <f>($V52+$X52+$Y52)*igst_rate_hs7602</f>
        <v/>
      </c>
      <c r="AA52" s="18">
        <f>Parity!$X$54*Parity!$AG$54+IF(Parity!$Y$54,psic_cost_usd_per_box*$F52/Parity!$W$54,0)</f>
        <v/>
      </c>
      <c r="AB52" s="18">
        <f>($W52+$X52+$Y52)*Parity!$Z$54/day_count_inr*Parity!$O$54</f>
        <v/>
      </c>
      <c r="AC52" s="18">
        <f>$Z52*igst_credit_lag_days/day_count_inr*Parity!$O$54</f>
        <v/>
      </c>
      <c r="AD52" s="18">
        <f>$W52+$X52+$Y52+$AA52+$AB52+$AC52+IF(igst_itc_available,0,$Z52)</f>
        <v/>
      </c>
      <c r="AE52" s="18">
        <f>$O52*kg_per_mt+domestic_anchor_premium_inr_t</f>
        <v/>
      </c>
      <c r="AF52" s="18">
        <f>(1-Parity!$AA$54)*Parity!$AD$54*heavies_net_value_frac_of_lme_al*$J52*$F52</f>
        <v/>
      </c>
      <c r="AG52" s="18">
        <f>$AE52*Parity!$AU$54+$AF52-$AD52-Parity!$AX$54</f>
        <v/>
      </c>
      <c r="AH52" s="8">
        <f>$AG52&gt;margin_threshold_inr_t</f>
        <v/>
      </c>
      <c r="AI52" s="18">
        <f>($AG52-$P52)*grid_tonnes_mt</f>
        <v/>
      </c>
    </row>
    <row r="53">
      <c r="A53" s="7" t="inlineStr">
        <is>
          <t>first_eligible</t>
        </is>
      </c>
      <c r="B53" s="11" t="n">
        <v>44624</v>
      </c>
      <c r="C53" s="7" t="inlineStr">
        <is>
          <t>zorba</t>
        </is>
      </c>
      <c r="D53" s="7" t="inlineStr">
        <is>
          <t>JEA_NSA</t>
        </is>
      </c>
      <c r="E53" s="20" t="n">
        <v>10</v>
      </c>
      <c r="F53" s="7" t="n">
        <v>78</v>
      </c>
      <c r="G53" s="17" t="b">
        <v>0</v>
      </c>
      <c r="H53" s="8">
        <f>1+$E53/100</f>
        <v/>
      </c>
      <c r="I53" s="8">
        <f>$F53/Parity!$H$54</f>
        <v/>
      </c>
      <c r="J53" s="16">
        <f>Parity!$F$54*$H53</f>
        <v/>
      </c>
      <c r="K53" s="8">
        <f>Parity!$I$54*$I53</f>
        <v/>
      </c>
      <c r="L53" s="8">
        <f>Parity!$J$54*$I53</f>
        <v/>
      </c>
      <c r="M53" s="16">
        <f>(Market_Weekly!$K$14-mcx_domestic_premium_inr_kg)*$H53*$I53+mcx_domestic_premium_inr_kg</f>
        <v/>
      </c>
      <c r="N53" s="15">
        <f>Parity!$N$54/Market_Weekly!$K$14</f>
        <v/>
      </c>
      <c r="O53" s="16">
        <f>$M53*$N53</f>
        <v/>
      </c>
      <c r="P53" s="18">
        <f>Parity!$AY$54</f>
        <v/>
      </c>
      <c r="Q53" s="16">
        <f>$J53*Parity!$P$54</f>
        <v/>
      </c>
      <c r="R53" s="16">
        <f>Parity!$L$54*Parity!$AG$54</f>
        <v/>
      </c>
      <c r="S53" s="16">
        <f>$Q53-$R53</f>
        <v/>
      </c>
      <c r="T53" s="16">
        <f>insurance_rate*insured_value_uplift*$Q53</f>
        <v/>
      </c>
      <c r="U53" s="16">
        <f>$Q53+$T53</f>
        <v/>
      </c>
      <c r="V53" s="18">
        <f>$U53*$L53</f>
        <v/>
      </c>
      <c r="W53" s="18">
        <f>$U53*$K53</f>
        <v/>
      </c>
      <c r="X53" s="18">
        <f>$V53*bcd_scrap_hs7602</f>
        <v/>
      </c>
      <c r="Y53" s="18">
        <f>$X53*sws_rate_on_bcd</f>
        <v/>
      </c>
      <c r="Z53" s="18">
        <f>($V53+$X53+$Y53)*igst_rate_hs7602</f>
        <v/>
      </c>
      <c r="AA53" s="18">
        <f>Parity!$X$54*Parity!$AG$54+IF(Parity!$Y$54,psic_cost_usd_per_box*$F53/Parity!$W$54,0)</f>
        <v/>
      </c>
      <c r="AB53" s="18">
        <f>($W53+$X53+$Y53)*Parity!$Z$54/day_count_inr*Parity!$O$54</f>
        <v/>
      </c>
      <c r="AC53" s="18">
        <f>$Z53*igst_credit_lag_days/day_count_inr*Parity!$O$54</f>
        <v/>
      </c>
      <c r="AD53" s="18">
        <f>$W53+$X53+$Y53+$AA53+$AB53+$AC53+IF(igst_itc_available,0,$Z53)</f>
        <v/>
      </c>
      <c r="AE53" s="18">
        <f>$O53*kg_per_mt+domestic_anchor_premium_inr_t</f>
        <v/>
      </c>
      <c r="AF53" s="18">
        <f>(1-Parity!$AA$54)*Parity!$AD$54*heavies_net_value_frac_of_lme_al*$J53*$F53</f>
        <v/>
      </c>
      <c r="AG53" s="18">
        <f>$AE53*Parity!$AU$54+$AF53-$AD53-Parity!$AX$54</f>
        <v/>
      </c>
      <c r="AH53" s="8">
        <f>$AG53&gt;margin_threshold_inr_t</f>
        <v/>
      </c>
      <c r="AI53" s="18">
        <f>($AG53-$P53)*grid_tonnes_mt</f>
        <v/>
      </c>
    </row>
    <row r="54">
      <c r="A54" s="7" t="inlineStr">
        <is>
          <t>first_eligible</t>
        </is>
      </c>
      <c r="B54" s="11" t="n">
        <v>44624</v>
      </c>
      <c r="C54" s="7" t="inlineStr">
        <is>
          <t>zorba</t>
        </is>
      </c>
      <c r="D54" s="7" t="inlineStr">
        <is>
          <t>JEA_NSA</t>
        </is>
      </c>
      <c r="E54" s="20" t="n">
        <v>-30</v>
      </c>
      <c r="F54" s="7" t="n">
        <v>79</v>
      </c>
      <c r="G54" s="17" t="b">
        <v>0</v>
      </c>
      <c r="H54" s="8">
        <f>1+$E54/100</f>
        <v/>
      </c>
      <c r="I54" s="8">
        <f>$F54/Parity!$H$54</f>
        <v/>
      </c>
      <c r="J54" s="16">
        <f>Parity!$F$54*$H54</f>
        <v/>
      </c>
      <c r="K54" s="8">
        <f>Parity!$I$54*$I54</f>
        <v/>
      </c>
      <c r="L54" s="8">
        <f>Parity!$J$54*$I54</f>
        <v/>
      </c>
      <c r="M54" s="16">
        <f>(Market_Weekly!$K$14-mcx_domestic_premium_inr_kg)*$H54*$I54+mcx_domestic_premium_inr_kg</f>
        <v/>
      </c>
      <c r="N54" s="15">
        <f>Parity!$N$54/Market_Weekly!$K$14</f>
        <v/>
      </c>
      <c r="O54" s="16">
        <f>$M54*$N54</f>
        <v/>
      </c>
      <c r="P54" s="18">
        <f>Parity!$AY$54</f>
        <v/>
      </c>
      <c r="Q54" s="16">
        <f>$J54*Parity!$P$54</f>
        <v/>
      </c>
      <c r="R54" s="16">
        <f>Parity!$L$54*Parity!$AG$54</f>
        <v/>
      </c>
      <c r="S54" s="16">
        <f>$Q54-$R54</f>
        <v/>
      </c>
      <c r="T54" s="16">
        <f>insurance_rate*insured_value_uplift*$Q54</f>
        <v/>
      </c>
      <c r="U54" s="16">
        <f>$Q54+$T54</f>
        <v/>
      </c>
      <c r="V54" s="18">
        <f>$U54*$L54</f>
        <v/>
      </c>
      <c r="W54" s="18">
        <f>$U54*$K54</f>
        <v/>
      </c>
      <c r="X54" s="18">
        <f>$V54*bcd_scrap_hs7602</f>
        <v/>
      </c>
      <c r="Y54" s="18">
        <f>$X54*sws_rate_on_bcd</f>
        <v/>
      </c>
      <c r="Z54" s="18">
        <f>($V54+$X54+$Y54)*igst_rate_hs7602</f>
        <v/>
      </c>
      <c r="AA54" s="18">
        <f>Parity!$X$54*Parity!$AG$54+IF(Parity!$Y$54,psic_cost_usd_per_box*$F54/Parity!$W$54,0)</f>
        <v/>
      </c>
      <c r="AB54" s="18">
        <f>($W54+$X54+$Y54)*Parity!$Z$54/day_count_inr*Parity!$O$54</f>
        <v/>
      </c>
      <c r="AC54" s="18">
        <f>$Z54*igst_credit_lag_days/day_count_inr*Parity!$O$54</f>
        <v/>
      </c>
      <c r="AD54" s="18">
        <f>$W54+$X54+$Y54+$AA54+$AB54+$AC54+IF(igst_itc_available,0,$Z54)</f>
        <v/>
      </c>
      <c r="AE54" s="18">
        <f>$O54*kg_per_mt+domestic_anchor_premium_inr_t</f>
        <v/>
      </c>
      <c r="AF54" s="18">
        <f>(1-Parity!$AA$54)*Parity!$AD$54*heavies_net_value_frac_of_lme_al*$J54*$F54</f>
        <v/>
      </c>
      <c r="AG54" s="18">
        <f>$AE54*Parity!$AU$54+$AF54-$AD54-Parity!$AX$54</f>
        <v/>
      </c>
      <c r="AH54" s="8">
        <f>$AG54&gt;margin_threshold_inr_t</f>
        <v/>
      </c>
      <c r="AI54" s="18">
        <f>($AG54-$P54)*grid_tonnes_mt</f>
        <v/>
      </c>
    </row>
    <row r="55">
      <c r="A55" s="7" t="inlineStr">
        <is>
          <t>first_eligible</t>
        </is>
      </c>
      <c r="B55" s="11" t="n">
        <v>44624</v>
      </c>
      <c r="C55" s="7" t="inlineStr">
        <is>
          <t>zorba</t>
        </is>
      </c>
      <c r="D55" s="7" t="inlineStr">
        <is>
          <t>JEA_NSA</t>
        </is>
      </c>
      <c r="E55" s="20" t="n">
        <v>-25</v>
      </c>
      <c r="F55" s="7" t="n">
        <v>79</v>
      </c>
      <c r="G55" s="17" t="b">
        <v>0</v>
      </c>
      <c r="H55" s="8">
        <f>1+$E55/100</f>
        <v/>
      </c>
      <c r="I55" s="8">
        <f>$F55/Parity!$H$54</f>
        <v/>
      </c>
      <c r="J55" s="16">
        <f>Parity!$F$54*$H55</f>
        <v/>
      </c>
      <c r="K55" s="8">
        <f>Parity!$I$54*$I55</f>
        <v/>
      </c>
      <c r="L55" s="8">
        <f>Parity!$J$54*$I55</f>
        <v/>
      </c>
      <c r="M55" s="16">
        <f>(Market_Weekly!$K$14-mcx_domestic_premium_inr_kg)*$H55*$I55+mcx_domestic_premium_inr_kg</f>
        <v/>
      </c>
      <c r="N55" s="15">
        <f>Parity!$N$54/Market_Weekly!$K$14</f>
        <v/>
      </c>
      <c r="O55" s="16">
        <f>$M55*$N55</f>
        <v/>
      </c>
      <c r="P55" s="18">
        <f>Parity!$AY$54</f>
        <v/>
      </c>
      <c r="Q55" s="16">
        <f>$J55*Parity!$P$54</f>
        <v/>
      </c>
      <c r="R55" s="16">
        <f>Parity!$L$54*Parity!$AG$54</f>
        <v/>
      </c>
      <c r="S55" s="16">
        <f>$Q55-$R55</f>
        <v/>
      </c>
      <c r="T55" s="16">
        <f>insurance_rate*insured_value_uplift*$Q55</f>
        <v/>
      </c>
      <c r="U55" s="16">
        <f>$Q55+$T55</f>
        <v/>
      </c>
      <c r="V55" s="18">
        <f>$U55*$L55</f>
        <v/>
      </c>
      <c r="W55" s="18">
        <f>$U55*$K55</f>
        <v/>
      </c>
      <c r="X55" s="18">
        <f>$V55*bcd_scrap_hs7602</f>
        <v/>
      </c>
      <c r="Y55" s="18">
        <f>$X55*sws_rate_on_bcd</f>
        <v/>
      </c>
      <c r="Z55" s="18">
        <f>($V55+$X55+$Y55)*igst_rate_hs7602</f>
        <v/>
      </c>
      <c r="AA55" s="18">
        <f>Parity!$X$54*Parity!$AG$54+IF(Parity!$Y$54,psic_cost_usd_per_box*$F55/Parity!$W$54,0)</f>
        <v/>
      </c>
      <c r="AB55" s="18">
        <f>($W55+$X55+$Y55)*Parity!$Z$54/day_count_inr*Parity!$O$54</f>
        <v/>
      </c>
      <c r="AC55" s="18">
        <f>$Z55*igst_credit_lag_days/day_count_inr*Parity!$O$54</f>
        <v/>
      </c>
      <c r="AD55" s="18">
        <f>$W55+$X55+$Y55+$AA55+$AB55+$AC55+IF(igst_itc_available,0,$Z55)</f>
        <v/>
      </c>
      <c r="AE55" s="18">
        <f>$O55*kg_per_mt+domestic_anchor_premium_inr_t</f>
        <v/>
      </c>
      <c r="AF55" s="18">
        <f>(1-Parity!$AA$54)*Parity!$AD$54*heavies_net_value_frac_of_lme_al*$J55*$F55</f>
        <v/>
      </c>
      <c r="AG55" s="18">
        <f>$AE55*Parity!$AU$54+$AF55-$AD55-Parity!$AX$54</f>
        <v/>
      </c>
      <c r="AH55" s="8">
        <f>$AG55&gt;margin_threshold_inr_t</f>
        <v/>
      </c>
      <c r="AI55" s="18">
        <f>($AG55-$P55)*grid_tonnes_mt</f>
        <v/>
      </c>
    </row>
    <row r="56">
      <c r="A56" s="7" t="inlineStr">
        <is>
          <t>first_eligible</t>
        </is>
      </c>
      <c r="B56" s="11" t="n">
        <v>44624</v>
      </c>
      <c r="C56" s="7" t="inlineStr">
        <is>
          <t>zorba</t>
        </is>
      </c>
      <c r="D56" s="7" t="inlineStr">
        <is>
          <t>JEA_NSA</t>
        </is>
      </c>
      <c r="E56" s="20" t="n">
        <v>-20</v>
      </c>
      <c r="F56" s="7" t="n">
        <v>79</v>
      </c>
      <c r="G56" s="17" t="b">
        <v>0</v>
      </c>
      <c r="H56" s="8">
        <f>1+$E56/100</f>
        <v/>
      </c>
      <c r="I56" s="8">
        <f>$F56/Parity!$H$54</f>
        <v/>
      </c>
      <c r="J56" s="16">
        <f>Parity!$F$54*$H56</f>
        <v/>
      </c>
      <c r="K56" s="8">
        <f>Parity!$I$54*$I56</f>
        <v/>
      </c>
      <c r="L56" s="8">
        <f>Parity!$J$54*$I56</f>
        <v/>
      </c>
      <c r="M56" s="16">
        <f>(Market_Weekly!$K$14-mcx_domestic_premium_inr_kg)*$H56*$I56+mcx_domestic_premium_inr_kg</f>
        <v/>
      </c>
      <c r="N56" s="15">
        <f>Parity!$N$54/Market_Weekly!$K$14</f>
        <v/>
      </c>
      <c r="O56" s="16">
        <f>$M56*$N56</f>
        <v/>
      </c>
      <c r="P56" s="18">
        <f>Parity!$AY$54</f>
        <v/>
      </c>
      <c r="Q56" s="16">
        <f>$J56*Parity!$P$54</f>
        <v/>
      </c>
      <c r="R56" s="16">
        <f>Parity!$L$54*Parity!$AG$54</f>
        <v/>
      </c>
      <c r="S56" s="16">
        <f>$Q56-$R56</f>
        <v/>
      </c>
      <c r="T56" s="16">
        <f>insurance_rate*insured_value_uplift*$Q56</f>
        <v/>
      </c>
      <c r="U56" s="16">
        <f>$Q56+$T56</f>
        <v/>
      </c>
      <c r="V56" s="18">
        <f>$U56*$L56</f>
        <v/>
      </c>
      <c r="W56" s="18">
        <f>$U56*$K56</f>
        <v/>
      </c>
      <c r="X56" s="18">
        <f>$V56*bcd_scrap_hs7602</f>
        <v/>
      </c>
      <c r="Y56" s="18">
        <f>$X56*sws_rate_on_bcd</f>
        <v/>
      </c>
      <c r="Z56" s="18">
        <f>($V56+$X56+$Y56)*igst_rate_hs7602</f>
        <v/>
      </c>
      <c r="AA56" s="18">
        <f>Parity!$X$54*Parity!$AG$54+IF(Parity!$Y$54,psic_cost_usd_per_box*$F56/Parity!$W$54,0)</f>
        <v/>
      </c>
      <c r="AB56" s="18">
        <f>($W56+$X56+$Y56)*Parity!$Z$54/day_count_inr*Parity!$O$54</f>
        <v/>
      </c>
      <c r="AC56" s="18">
        <f>$Z56*igst_credit_lag_days/day_count_inr*Parity!$O$54</f>
        <v/>
      </c>
      <c r="AD56" s="18">
        <f>$W56+$X56+$Y56+$AA56+$AB56+$AC56+IF(igst_itc_available,0,$Z56)</f>
        <v/>
      </c>
      <c r="AE56" s="18">
        <f>$O56*kg_per_mt+domestic_anchor_premium_inr_t</f>
        <v/>
      </c>
      <c r="AF56" s="18">
        <f>(1-Parity!$AA$54)*Parity!$AD$54*heavies_net_value_frac_of_lme_al*$J56*$F56</f>
        <v/>
      </c>
      <c r="AG56" s="18">
        <f>$AE56*Parity!$AU$54+$AF56-$AD56-Parity!$AX$54</f>
        <v/>
      </c>
      <c r="AH56" s="8">
        <f>$AG56&gt;margin_threshold_inr_t</f>
        <v/>
      </c>
      <c r="AI56" s="18">
        <f>($AG56-$P56)*grid_tonnes_mt</f>
        <v/>
      </c>
    </row>
    <row r="57">
      <c r="A57" s="7" t="inlineStr">
        <is>
          <t>first_eligible</t>
        </is>
      </c>
      <c r="B57" s="11" t="n">
        <v>44624</v>
      </c>
      <c r="C57" s="7" t="inlineStr">
        <is>
          <t>zorba</t>
        </is>
      </c>
      <c r="D57" s="7" t="inlineStr">
        <is>
          <t>JEA_NSA</t>
        </is>
      </c>
      <c r="E57" s="20" t="n">
        <v>-15</v>
      </c>
      <c r="F57" s="7" t="n">
        <v>79</v>
      </c>
      <c r="G57" s="17" t="b">
        <v>0</v>
      </c>
      <c r="H57" s="8">
        <f>1+$E57/100</f>
        <v/>
      </c>
      <c r="I57" s="8">
        <f>$F57/Parity!$H$54</f>
        <v/>
      </c>
      <c r="J57" s="16">
        <f>Parity!$F$54*$H57</f>
        <v/>
      </c>
      <c r="K57" s="8">
        <f>Parity!$I$54*$I57</f>
        <v/>
      </c>
      <c r="L57" s="8">
        <f>Parity!$J$54*$I57</f>
        <v/>
      </c>
      <c r="M57" s="16">
        <f>(Market_Weekly!$K$14-mcx_domestic_premium_inr_kg)*$H57*$I57+mcx_domestic_premium_inr_kg</f>
        <v/>
      </c>
      <c r="N57" s="15">
        <f>Parity!$N$54/Market_Weekly!$K$14</f>
        <v/>
      </c>
      <c r="O57" s="16">
        <f>$M57*$N57</f>
        <v/>
      </c>
      <c r="P57" s="18">
        <f>Parity!$AY$54</f>
        <v/>
      </c>
      <c r="Q57" s="16">
        <f>$J57*Parity!$P$54</f>
        <v/>
      </c>
      <c r="R57" s="16">
        <f>Parity!$L$54*Parity!$AG$54</f>
        <v/>
      </c>
      <c r="S57" s="16">
        <f>$Q57-$R57</f>
        <v/>
      </c>
      <c r="T57" s="16">
        <f>insurance_rate*insured_value_uplift*$Q57</f>
        <v/>
      </c>
      <c r="U57" s="16">
        <f>$Q57+$T57</f>
        <v/>
      </c>
      <c r="V57" s="18">
        <f>$U57*$L57</f>
        <v/>
      </c>
      <c r="W57" s="18">
        <f>$U57*$K57</f>
        <v/>
      </c>
      <c r="X57" s="18">
        <f>$V57*bcd_scrap_hs7602</f>
        <v/>
      </c>
      <c r="Y57" s="18">
        <f>$X57*sws_rate_on_bcd</f>
        <v/>
      </c>
      <c r="Z57" s="18">
        <f>($V57+$X57+$Y57)*igst_rate_hs7602</f>
        <v/>
      </c>
      <c r="AA57" s="18">
        <f>Parity!$X$54*Parity!$AG$54+IF(Parity!$Y$54,psic_cost_usd_per_box*$F57/Parity!$W$54,0)</f>
        <v/>
      </c>
      <c r="AB57" s="18">
        <f>($W57+$X57+$Y57)*Parity!$Z$54/day_count_inr*Parity!$O$54</f>
        <v/>
      </c>
      <c r="AC57" s="18">
        <f>$Z57*igst_credit_lag_days/day_count_inr*Parity!$O$54</f>
        <v/>
      </c>
      <c r="AD57" s="18">
        <f>$W57+$X57+$Y57+$AA57+$AB57+$AC57+IF(igst_itc_available,0,$Z57)</f>
        <v/>
      </c>
      <c r="AE57" s="18">
        <f>$O57*kg_per_mt+domestic_anchor_premium_inr_t</f>
        <v/>
      </c>
      <c r="AF57" s="18">
        <f>(1-Parity!$AA$54)*Parity!$AD$54*heavies_net_value_frac_of_lme_al*$J57*$F57</f>
        <v/>
      </c>
      <c r="AG57" s="18">
        <f>$AE57*Parity!$AU$54+$AF57-$AD57-Parity!$AX$54</f>
        <v/>
      </c>
      <c r="AH57" s="8">
        <f>$AG57&gt;margin_threshold_inr_t</f>
        <v/>
      </c>
      <c r="AI57" s="18">
        <f>($AG57-$P57)*grid_tonnes_mt</f>
        <v/>
      </c>
    </row>
    <row r="58">
      <c r="A58" s="7" t="inlineStr">
        <is>
          <t>first_eligible</t>
        </is>
      </c>
      <c r="B58" s="11" t="n">
        <v>44624</v>
      </c>
      <c r="C58" s="7" t="inlineStr">
        <is>
          <t>zorba</t>
        </is>
      </c>
      <c r="D58" s="7" t="inlineStr">
        <is>
          <t>JEA_NSA</t>
        </is>
      </c>
      <c r="E58" s="20" t="n">
        <v>-10</v>
      </c>
      <c r="F58" s="7" t="n">
        <v>79</v>
      </c>
      <c r="G58" s="17" t="b">
        <v>0</v>
      </c>
      <c r="H58" s="8">
        <f>1+$E58/100</f>
        <v/>
      </c>
      <c r="I58" s="8">
        <f>$F58/Parity!$H$54</f>
        <v/>
      </c>
      <c r="J58" s="16">
        <f>Parity!$F$54*$H58</f>
        <v/>
      </c>
      <c r="K58" s="8">
        <f>Parity!$I$54*$I58</f>
        <v/>
      </c>
      <c r="L58" s="8">
        <f>Parity!$J$54*$I58</f>
        <v/>
      </c>
      <c r="M58" s="16">
        <f>(Market_Weekly!$K$14-mcx_domestic_premium_inr_kg)*$H58*$I58+mcx_domestic_premium_inr_kg</f>
        <v/>
      </c>
      <c r="N58" s="15">
        <f>Parity!$N$54/Market_Weekly!$K$14</f>
        <v/>
      </c>
      <c r="O58" s="16">
        <f>$M58*$N58</f>
        <v/>
      </c>
      <c r="P58" s="18">
        <f>Parity!$AY$54</f>
        <v/>
      </c>
      <c r="Q58" s="16">
        <f>$J58*Parity!$P$54</f>
        <v/>
      </c>
      <c r="R58" s="16">
        <f>Parity!$L$54*Parity!$AG$54</f>
        <v/>
      </c>
      <c r="S58" s="16">
        <f>$Q58-$R58</f>
        <v/>
      </c>
      <c r="T58" s="16">
        <f>insurance_rate*insured_value_uplift*$Q58</f>
        <v/>
      </c>
      <c r="U58" s="16">
        <f>$Q58+$T58</f>
        <v/>
      </c>
      <c r="V58" s="18">
        <f>$U58*$L58</f>
        <v/>
      </c>
      <c r="W58" s="18">
        <f>$U58*$K58</f>
        <v/>
      </c>
      <c r="X58" s="18">
        <f>$V58*bcd_scrap_hs7602</f>
        <v/>
      </c>
      <c r="Y58" s="18">
        <f>$X58*sws_rate_on_bcd</f>
        <v/>
      </c>
      <c r="Z58" s="18">
        <f>($V58+$X58+$Y58)*igst_rate_hs7602</f>
        <v/>
      </c>
      <c r="AA58" s="18">
        <f>Parity!$X$54*Parity!$AG$54+IF(Parity!$Y$54,psic_cost_usd_per_box*$F58/Parity!$W$54,0)</f>
        <v/>
      </c>
      <c r="AB58" s="18">
        <f>($W58+$X58+$Y58)*Parity!$Z$54/day_count_inr*Parity!$O$54</f>
        <v/>
      </c>
      <c r="AC58" s="18">
        <f>$Z58*igst_credit_lag_days/day_count_inr*Parity!$O$54</f>
        <v/>
      </c>
      <c r="AD58" s="18">
        <f>$W58+$X58+$Y58+$AA58+$AB58+$AC58+IF(igst_itc_available,0,$Z58)</f>
        <v/>
      </c>
      <c r="AE58" s="18">
        <f>$O58*kg_per_mt+domestic_anchor_premium_inr_t</f>
        <v/>
      </c>
      <c r="AF58" s="18">
        <f>(1-Parity!$AA$54)*Parity!$AD$54*heavies_net_value_frac_of_lme_al*$J58*$F58</f>
        <v/>
      </c>
      <c r="AG58" s="18">
        <f>$AE58*Parity!$AU$54+$AF58-$AD58-Parity!$AX$54</f>
        <v/>
      </c>
      <c r="AH58" s="8">
        <f>$AG58&gt;margin_threshold_inr_t</f>
        <v/>
      </c>
      <c r="AI58" s="18">
        <f>($AG58-$P58)*grid_tonnes_mt</f>
        <v/>
      </c>
    </row>
    <row r="59">
      <c r="A59" s="7" t="inlineStr">
        <is>
          <t>first_eligible</t>
        </is>
      </c>
      <c r="B59" s="11" t="n">
        <v>44624</v>
      </c>
      <c r="C59" s="7" t="inlineStr">
        <is>
          <t>zorba</t>
        </is>
      </c>
      <c r="D59" s="7" t="inlineStr">
        <is>
          <t>JEA_NSA</t>
        </is>
      </c>
      <c r="E59" s="20" t="n">
        <v>-5</v>
      </c>
      <c r="F59" s="7" t="n">
        <v>79</v>
      </c>
      <c r="G59" s="17" t="b">
        <v>0</v>
      </c>
      <c r="H59" s="8">
        <f>1+$E59/100</f>
        <v/>
      </c>
      <c r="I59" s="8">
        <f>$F59/Parity!$H$54</f>
        <v/>
      </c>
      <c r="J59" s="16">
        <f>Parity!$F$54*$H59</f>
        <v/>
      </c>
      <c r="K59" s="8">
        <f>Parity!$I$54*$I59</f>
        <v/>
      </c>
      <c r="L59" s="8">
        <f>Parity!$J$54*$I59</f>
        <v/>
      </c>
      <c r="M59" s="16">
        <f>(Market_Weekly!$K$14-mcx_domestic_premium_inr_kg)*$H59*$I59+mcx_domestic_premium_inr_kg</f>
        <v/>
      </c>
      <c r="N59" s="15">
        <f>Parity!$N$54/Market_Weekly!$K$14</f>
        <v/>
      </c>
      <c r="O59" s="16">
        <f>$M59*$N59</f>
        <v/>
      </c>
      <c r="P59" s="18">
        <f>Parity!$AY$54</f>
        <v/>
      </c>
      <c r="Q59" s="16">
        <f>$J59*Parity!$P$54</f>
        <v/>
      </c>
      <c r="R59" s="16">
        <f>Parity!$L$54*Parity!$AG$54</f>
        <v/>
      </c>
      <c r="S59" s="16">
        <f>$Q59-$R59</f>
        <v/>
      </c>
      <c r="T59" s="16">
        <f>insurance_rate*insured_value_uplift*$Q59</f>
        <v/>
      </c>
      <c r="U59" s="16">
        <f>$Q59+$T59</f>
        <v/>
      </c>
      <c r="V59" s="18">
        <f>$U59*$L59</f>
        <v/>
      </c>
      <c r="W59" s="18">
        <f>$U59*$K59</f>
        <v/>
      </c>
      <c r="X59" s="18">
        <f>$V59*bcd_scrap_hs7602</f>
        <v/>
      </c>
      <c r="Y59" s="18">
        <f>$X59*sws_rate_on_bcd</f>
        <v/>
      </c>
      <c r="Z59" s="18">
        <f>($V59+$X59+$Y59)*igst_rate_hs7602</f>
        <v/>
      </c>
      <c r="AA59" s="18">
        <f>Parity!$X$54*Parity!$AG$54+IF(Parity!$Y$54,psic_cost_usd_per_box*$F59/Parity!$W$54,0)</f>
        <v/>
      </c>
      <c r="AB59" s="18">
        <f>($W59+$X59+$Y59)*Parity!$Z$54/day_count_inr*Parity!$O$54</f>
        <v/>
      </c>
      <c r="AC59" s="18">
        <f>$Z59*igst_credit_lag_days/day_count_inr*Parity!$O$54</f>
        <v/>
      </c>
      <c r="AD59" s="18">
        <f>$W59+$X59+$Y59+$AA59+$AB59+$AC59+IF(igst_itc_available,0,$Z59)</f>
        <v/>
      </c>
      <c r="AE59" s="18">
        <f>$O59*kg_per_mt+domestic_anchor_premium_inr_t</f>
        <v/>
      </c>
      <c r="AF59" s="18">
        <f>(1-Parity!$AA$54)*Parity!$AD$54*heavies_net_value_frac_of_lme_al*$J59*$F59</f>
        <v/>
      </c>
      <c r="AG59" s="18">
        <f>$AE59*Parity!$AU$54+$AF59-$AD59-Parity!$AX$54</f>
        <v/>
      </c>
      <c r="AH59" s="8">
        <f>$AG59&gt;margin_threshold_inr_t</f>
        <v/>
      </c>
      <c r="AI59" s="18">
        <f>($AG59-$P59)*grid_tonnes_mt</f>
        <v/>
      </c>
    </row>
    <row r="60">
      <c r="A60" s="7" t="inlineStr">
        <is>
          <t>first_eligible</t>
        </is>
      </c>
      <c r="B60" s="11" t="n">
        <v>44624</v>
      </c>
      <c r="C60" s="7" t="inlineStr">
        <is>
          <t>zorba</t>
        </is>
      </c>
      <c r="D60" s="7" t="inlineStr">
        <is>
          <t>JEA_NSA</t>
        </is>
      </c>
      <c r="E60" s="20" t="n">
        <v>0</v>
      </c>
      <c r="F60" s="7" t="n">
        <v>79</v>
      </c>
      <c r="G60" s="17" t="b">
        <v>0</v>
      </c>
      <c r="H60" s="8">
        <f>1+$E60/100</f>
        <v/>
      </c>
      <c r="I60" s="8">
        <f>$F60/Parity!$H$54</f>
        <v/>
      </c>
      <c r="J60" s="16">
        <f>Parity!$F$54*$H60</f>
        <v/>
      </c>
      <c r="K60" s="8">
        <f>Parity!$I$54*$I60</f>
        <v/>
      </c>
      <c r="L60" s="8">
        <f>Parity!$J$54*$I60</f>
        <v/>
      </c>
      <c r="M60" s="16">
        <f>(Market_Weekly!$K$14-mcx_domestic_premium_inr_kg)*$H60*$I60+mcx_domestic_premium_inr_kg</f>
        <v/>
      </c>
      <c r="N60" s="15">
        <f>Parity!$N$54/Market_Weekly!$K$14</f>
        <v/>
      </c>
      <c r="O60" s="16">
        <f>$M60*$N60</f>
        <v/>
      </c>
      <c r="P60" s="18">
        <f>Parity!$AY$54</f>
        <v/>
      </c>
      <c r="Q60" s="16">
        <f>$J60*Parity!$P$54</f>
        <v/>
      </c>
      <c r="R60" s="16">
        <f>Parity!$L$54*Parity!$AG$54</f>
        <v/>
      </c>
      <c r="S60" s="16">
        <f>$Q60-$R60</f>
        <v/>
      </c>
      <c r="T60" s="16">
        <f>insurance_rate*insured_value_uplift*$Q60</f>
        <v/>
      </c>
      <c r="U60" s="16">
        <f>$Q60+$T60</f>
        <v/>
      </c>
      <c r="V60" s="18">
        <f>$U60*$L60</f>
        <v/>
      </c>
      <c r="W60" s="18">
        <f>$U60*$K60</f>
        <v/>
      </c>
      <c r="X60" s="18">
        <f>$V60*bcd_scrap_hs7602</f>
        <v/>
      </c>
      <c r="Y60" s="18">
        <f>$X60*sws_rate_on_bcd</f>
        <v/>
      </c>
      <c r="Z60" s="18">
        <f>($V60+$X60+$Y60)*igst_rate_hs7602</f>
        <v/>
      </c>
      <c r="AA60" s="18">
        <f>Parity!$X$54*Parity!$AG$54+IF(Parity!$Y$54,psic_cost_usd_per_box*$F60/Parity!$W$54,0)</f>
        <v/>
      </c>
      <c r="AB60" s="18">
        <f>($W60+$X60+$Y60)*Parity!$Z$54/day_count_inr*Parity!$O$54</f>
        <v/>
      </c>
      <c r="AC60" s="18">
        <f>$Z60*igst_credit_lag_days/day_count_inr*Parity!$O$54</f>
        <v/>
      </c>
      <c r="AD60" s="18">
        <f>$W60+$X60+$Y60+$AA60+$AB60+$AC60+IF(igst_itc_available,0,$Z60)</f>
        <v/>
      </c>
      <c r="AE60" s="18">
        <f>$O60*kg_per_mt+domestic_anchor_premium_inr_t</f>
        <v/>
      </c>
      <c r="AF60" s="18">
        <f>(1-Parity!$AA$54)*Parity!$AD$54*heavies_net_value_frac_of_lme_al*$J60*$F60</f>
        <v/>
      </c>
      <c r="AG60" s="18">
        <f>$AE60*Parity!$AU$54+$AF60-$AD60-Parity!$AX$54</f>
        <v/>
      </c>
      <c r="AH60" s="8">
        <f>$AG60&gt;margin_threshold_inr_t</f>
        <v/>
      </c>
      <c r="AI60" s="18">
        <f>($AG60-$P60)*grid_tonnes_mt</f>
        <v/>
      </c>
    </row>
    <row r="61">
      <c r="A61" s="7" t="inlineStr">
        <is>
          <t>first_eligible</t>
        </is>
      </c>
      <c r="B61" s="11" t="n">
        <v>44624</v>
      </c>
      <c r="C61" s="7" t="inlineStr">
        <is>
          <t>zorba</t>
        </is>
      </c>
      <c r="D61" s="7" t="inlineStr">
        <is>
          <t>JEA_NSA</t>
        </is>
      </c>
      <c r="E61" s="20" t="n">
        <v>5</v>
      </c>
      <c r="F61" s="7" t="n">
        <v>79</v>
      </c>
      <c r="G61" s="17" t="b">
        <v>0</v>
      </c>
      <c r="H61" s="8">
        <f>1+$E61/100</f>
        <v/>
      </c>
      <c r="I61" s="8">
        <f>$F61/Parity!$H$54</f>
        <v/>
      </c>
      <c r="J61" s="16">
        <f>Parity!$F$54*$H61</f>
        <v/>
      </c>
      <c r="K61" s="8">
        <f>Parity!$I$54*$I61</f>
        <v/>
      </c>
      <c r="L61" s="8">
        <f>Parity!$J$54*$I61</f>
        <v/>
      </c>
      <c r="M61" s="16">
        <f>(Market_Weekly!$K$14-mcx_domestic_premium_inr_kg)*$H61*$I61+mcx_domestic_premium_inr_kg</f>
        <v/>
      </c>
      <c r="N61" s="15">
        <f>Parity!$N$54/Market_Weekly!$K$14</f>
        <v/>
      </c>
      <c r="O61" s="16">
        <f>$M61*$N61</f>
        <v/>
      </c>
      <c r="P61" s="18">
        <f>Parity!$AY$54</f>
        <v/>
      </c>
      <c r="Q61" s="16">
        <f>$J61*Parity!$P$54</f>
        <v/>
      </c>
      <c r="R61" s="16">
        <f>Parity!$L$54*Parity!$AG$54</f>
        <v/>
      </c>
      <c r="S61" s="16">
        <f>$Q61-$R61</f>
        <v/>
      </c>
      <c r="T61" s="16">
        <f>insurance_rate*insured_value_uplift*$Q61</f>
        <v/>
      </c>
      <c r="U61" s="16">
        <f>$Q61+$T61</f>
        <v/>
      </c>
      <c r="V61" s="18">
        <f>$U61*$L61</f>
        <v/>
      </c>
      <c r="W61" s="18">
        <f>$U61*$K61</f>
        <v/>
      </c>
      <c r="X61" s="18">
        <f>$V61*bcd_scrap_hs7602</f>
        <v/>
      </c>
      <c r="Y61" s="18">
        <f>$X61*sws_rate_on_bcd</f>
        <v/>
      </c>
      <c r="Z61" s="18">
        <f>($V61+$X61+$Y61)*igst_rate_hs7602</f>
        <v/>
      </c>
      <c r="AA61" s="18">
        <f>Parity!$X$54*Parity!$AG$54+IF(Parity!$Y$54,psic_cost_usd_per_box*$F61/Parity!$W$54,0)</f>
        <v/>
      </c>
      <c r="AB61" s="18">
        <f>($W61+$X61+$Y61)*Parity!$Z$54/day_count_inr*Parity!$O$54</f>
        <v/>
      </c>
      <c r="AC61" s="18">
        <f>$Z61*igst_credit_lag_days/day_count_inr*Parity!$O$54</f>
        <v/>
      </c>
      <c r="AD61" s="18">
        <f>$W61+$X61+$Y61+$AA61+$AB61+$AC61+IF(igst_itc_available,0,$Z61)</f>
        <v/>
      </c>
      <c r="AE61" s="18">
        <f>$O61*kg_per_mt+domestic_anchor_premium_inr_t</f>
        <v/>
      </c>
      <c r="AF61" s="18">
        <f>(1-Parity!$AA$54)*Parity!$AD$54*heavies_net_value_frac_of_lme_al*$J61*$F61</f>
        <v/>
      </c>
      <c r="AG61" s="18">
        <f>$AE61*Parity!$AU$54+$AF61-$AD61-Parity!$AX$54</f>
        <v/>
      </c>
      <c r="AH61" s="8">
        <f>$AG61&gt;margin_threshold_inr_t</f>
        <v/>
      </c>
      <c r="AI61" s="18">
        <f>($AG61-$P61)*grid_tonnes_mt</f>
        <v/>
      </c>
    </row>
    <row r="62">
      <c r="A62" s="7" t="inlineStr">
        <is>
          <t>first_eligible</t>
        </is>
      </c>
      <c r="B62" s="11" t="n">
        <v>44624</v>
      </c>
      <c r="C62" s="7" t="inlineStr">
        <is>
          <t>zorba</t>
        </is>
      </c>
      <c r="D62" s="7" t="inlineStr">
        <is>
          <t>JEA_NSA</t>
        </is>
      </c>
      <c r="E62" s="20" t="n">
        <v>10</v>
      </c>
      <c r="F62" s="7" t="n">
        <v>79</v>
      </c>
      <c r="G62" s="17" t="b">
        <v>0</v>
      </c>
      <c r="H62" s="8">
        <f>1+$E62/100</f>
        <v/>
      </c>
      <c r="I62" s="8">
        <f>$F62/Parity!$H$54</f>
        <v/>
      </c>
      <c r="J62" s="16">
        <f>Parity!$F$54*$H62</f>
        <v/>
      </c>
      <c r="K62" s="8">
        <f>Parity!$I$54*$I62</f>
        <v/>
      </c>
      <c r="L62" s="8">
        <f>Parity!$J$54*$I62</f>
        <v/>
      </c>
      <c r="M62" s="16">
        <f>(Market_Weekly!$K$14-mcx_domestic_premium_inr_kg)*$H62*$I62+mcx_domestic_premium_inr_kg</f>
        <v/>
      </c>
      <c r="N62" s="15">
        <f>Parity!$N$54/Market_Weekly!$K$14</f>
        <v/>
      </c>
      <c r="O62" s="16">
        <f>$M62*$N62</f>
        <v/>
      </c>
      <c r="P62" s="18">
        <f>Parity!$AY$54</f>
        <v/>
      </c>
      <c r="Q62" s="16">
        <f>$J62*Parity!$P$54</f>
        <v/>
      </c>
      <c r="R62" s="16">
        <f>Parity!$L$54*Parity!$AG$54</f>
        <v/>
      </c>
      <c r="S62" s="16">
        <f>$Q62-$R62</f>
        <v/>
      </c>
      <c r="T62" s="16">
        <f>insurance_rate*insured_value_uplift*$Q62</f>
        <v/>
      </c>
      <c r="U62" s="16">
        <f>$Q62+$T62</f>
        <v/>
      </c>
      <c r="V62" s="18">
        <f>$U62*$L62</f>
        <v/>
      </c>
      <c r="W62" s="18">
        <f>$U62*$K62</f>
        <v/>
      </c>
      <c r="X62" s="18">
        <f>$V62*bcd_scrap_hs7602</f>
        <v/>
      </c>
      <c r="Y62" s="18">
        <f>$X62*sws_rate_on_bcd</f>
        <v/>
      </c>
      <c r="Z62" s="18">
        <f>($V62+$X62+$Y62)*igst_rate_hs7602</f>
        <v/>
      </c>
      <c r="AA62" s="18">
        <f>Parity!$X$54*Parity!$AG$54+IF(Parity!$Y$54,psic_cost_usd_per_box*$F62/Parity!$W$54,0)</f>
        <v/>
      </c>
      <c r="AB62" s="18">
        <f>($W62+$X62+$Y62)*Parity!$Z$54/day_count_inr*Parity!$O$54</f>
        <v/>
      </c>
      <c r="AC62" s="18">
        <f>$Z62*igst_credit_lag_days/day_count_inr*Parity!$O$54</f>
        <v/>
      </c>
      <c r="AD62" s="18">
        <f>$W62+$X62+$Y62+$AA62+$AB62+$AC62+IF(igst_itc_available,0,$Z62)</f>
        <v/>
      </c>
      <c r="AE62" s="18">
        <f>$O62*kg_per_mt+domestic_anchor_premium_inr_t</f>
        <v/>
      </c>
      <c r="AF62" s="18">
        <f>(1-Parity!$AA$54)*Parity!$AD$54*heavies_net_value_frac_of_lme_al*$J62*$F62</f>
        <v/>
      </c>
      <c r="AG62" s="18">
        <f>$AE62*Parity!$AU$54+$AF62-$AD62-Parity!$AX$54</f>
        <v/>
      </c>
      <c r="AH62" s="8">
        <f>$AG62&gt;margin_threshold_inr_t</f>
        <v/>
      </c>
      <c r="AI62" s="18">
        <f>($AG62-$P62)*grid_tonnes_mt</f>
        <v/>
      </c>
    </row>
    <row r="63">
      <c r="A63" s="7" t="inlineStr">
        <is>
          <t>first_eligible</t>
        </is>
      </c>
      <c r="B63" s="11" t="n">
        <v>44624</v>
      </c>
      <c r="C63" s="7" t="inlineStr">
        <is>
          <t>zorba</t>
        </is>
      </c>
      <c r="D63" s="7" t="inlineStr">
        <is>
          <t>JEA_NSA</t>
        </is>
      </c>
      <c r="E63" s="20" t="n">
        <v>-30</v>
      </c>
      <c r="F63" s="7" t="n">
        <v>80</v>
      </c>
      <c r="G63" s="17" t="b">
        <v>0</v>
      </c>
      <c r="H63" s="8">
        <f>1+$E63/100</f>
        <v/>
      </c>
      <c r="I63" s="8">
        <f>$F63/Parity!$H$54</f>
        <v/>
      </c>
      <c r="J63" s="16">
        <f>Parity!$F$54*$H63</f>
        <v/>
      </c>
      <c r="K63" s="8">
        <f>Parity!$I$54*$I63</f>
        <v/>
      </c>
      <c r="L63" s="8">
        <f>Parity!$J$54*$I63</f>
        <v/>
      </c>
      <c r="M63" s="16">
        <f>(Market_Weekly!$K$14-mcx_domestic_premium_inr_kg)*$H63*$I63+mcx_domestic_premium_inr_kg</f>
        <v/>
      </c>
      <c r="N63" s="15">
        <f>Parity!$N$54/Market_Weekly!$K$14</f>
        <v/>
      </c>
      <c r="O63" s="16">
        <f>$M63*$N63</f>
        <v/>
      </c>
      <c r="P63" s="18">
        <f>Parity!$AY$54</f>
        <v/>
      </c>
      <c r="Q63" s="16">
        <f>$J63*Parity!$P$54</f>
        <v/>
      </c>
      <c r="R63" s="16">
        <f>Parity!$L$54*Parity!$AG$54</f>
        <v/>
      </c>
      <c r="S63" s="16">
        <f>$Q63-$R63</f>
        <v/>
      </c>
      <c r="T63" s="16">
        <f>insurance_rate*insured_value_uplift*$Q63</f>
        <v/>
      </c>
      <c r="U63" s="16">
        <f>$Q63+$T63</f>
        <v/>
      </c>
      <c r="V63" s="18">
        <f>$U63*$L63</f>
        <v/>
      </c>
      <c r="W63" s="18">
        <f>$U63*$K63</f>
        <v/>
      </c>
      <c r="X63" s="18">
        <f>$V63*bcd_scrap_hs7602</f>
        <v/>
      </c>
      <c r="Y63" s="18">
        <f>$X63*sws_rate_on_bcd</f>
        <v/>
      </c>
      <c r="Z63" s="18">
        <f>($V63+$X63+$Y63)*igst_rate_hs7602</f>
        <v/>
      </c>
      <c r="AA63" s="18">
        <f>Parity!$X$54*Parity!$AG$54+IF(Parity!$Y$54,psic_cost_usd_per_box*$F63/Parity!$W$54,0)</f>
        <v/>
      </c>
      <c r="AB63" s="18">
        <f>($W63+$X63+$Y63)*Parity!$Z$54/day_count_inr*Parity!$O$54</f>
        <v/>
      </c>
      <c r="AC63" s="18">
        <f>$Z63*igst_credit_lag_days/day_count_inr*Parity!$O$54</f>
        <v/>
      </c>
      <c r="AD63" s="18">
        <f>$W63+$X63+$Y63+$AA63+$AB63+$AC63+IF(igst_itc_available,0,$Z63)</f>
        <v/>
      </c>
      <c r="AE63" s="18">
        <f>$O63*kg_per_mt+domestic_anchor_premium_inr_t</f>
        <v/>
      </c>
      <c r="AF63" s="18">
        <f>(1-Parity!$AA$54)*Parity!$AD$54*heavies_net_value_frac_of_lme_al*$J63*$F63</f>
        <v/>
      </c>
      <c r="AG63" s="18">
        <f>$AE63*Parity!$AU$54+$AF63-$AD63-Parity!$AX$54</f>
        <v/>
      </c>
      <c r="AH63" s="8">
        <f>$AG63&gt;margin_threshold_inr_t</f>
        <v/>
      </c>
      <c r="AI63" s="18">
        <f>($AG63-$P63)*grid_tonnes_mt</f>
        <v/>
      </c>
    </row>
    <row r="64">
      <c r="A64" s="7" t="inlineStr">
        <is>
          <t>first_eligible</t>
        </is>
      </c>
      <c r="B64" s="11" t="n">
        <v>44624</v>
      </c>
      <c r="C64" s="7" t="inlineStr">
        <is>
          <t>zorba</t>
        </is>
      </c>
      <c r="D64" s="7" t="inlineStr">
        <is>
          <t>JEA_NSA</t>
        </is>
      </c>
      <c r="E64" s="20" t="n">
        <v>-25</v>
      </c>
      <c r="F64" s="7" t="n">
        <v>80</v>
      </c>
      <c r="G64" s="17" t="b">
        <v>0</v>
      </c>
      <c r="H64" s="8">
        <f>1+$E64/100</f>
        <v/>
      </c>
      <c r="I64" s="8">
        <f>$F64/Parity!$H$54</f>
        <v/>
      </c>
      <c r="J64" s="16">
        <f>Parity!$F$54*$H64</f>
        <v/>
      </c>
      <c r="K64" s="8">
        <f>Parity!$I$54*$I64</f>
        <v/>
      </c>
      <c r="L64" s="8">
        <f>Parity!$J$54*$I64</f>
        <v/>
      </c>
      <c r="M64" s="16">
        <f>(Market_Weekly!$K$14-mcx_domestic_premium_inr_kg)*$H64*$I64+mcx_domestic_premium_inr_kg</f>
        <v/>
      </c>
      <c r="N64" s="15">
        <f>Parity!$N$54/Market_Weekly!$K$14</f>
        <v/>
      </c>
      <c r="O64" s="16">
        <f>$M64*$N64</f>
        <v/>
      </c>
      <c r="P64" s="18">
        <f>Parity!$AY$54</f>
        <v/>
      </c>
      <c r="Q64" s="16">
        <f>$J64*Parity!$P$54</f>
        <v/>
      </c>
      <c r="R64" s="16">
        <f>Parity!$L$54*Parity!$AG$54</f>
        <v/>
      </c>
      <c r="S64" s="16">
        <f>$Q64-$R64</f>
        <v/>
      </c>
      <c r="T64" s="16">
        <f>insurance_rate*insured_value_uplift*$Q64</f>
        <v/>
      </c>
      <c r="U64" s="16">
        <f>$Q64+$T64</f>
        <v/>
      </c>
      <c r="V64" s="18">
        <f>$U64*$L64</f>
        <v/>
      </c>
      <c r="W64" s="18">
        <f>$U64*$K64</f>
        <v/>
      </c>
      <c r="X64" s="18">
        <f>$V64*bcd_scrap_hs7602</f>
        <v/>
      </c>
      <c r="Y64" s="18">
        <f>$X64*sws_rate_on_bcd</f>
        <v/>
      </c>
      <c r="Z64" s="18">
        <f>($V64+$X64+$Y64)*igst_rate_hs7602</f>
        <v/>
      </c>
      <c r="AA64" s="18">
        <f>Parity!$X$54*Parity!$AG$54+IF(Parity!$Y$54,psic_cost_usd_per_box*$F64/Parity!$W$54,0)</f>
        <v/>
      </c>
      <c r="AB64" s="18">
        <f>($W64+$X64+$Y64)*Parity!$Z$54/day_count_inr*Parity!$O$54</f>
        <v/>
      </c>
      <c r="AC64" s="18">
        <f>$Z64*igst_credit_lag_days/day_count_inr*Parity!$O$54</f>
        <v/>
      </c>
      <c r="AD64" s="18">
        <f>$W64+$X64+$Y64+$AA64+$AB64+$AC64+IF(igst_itc_available,0,$Z64)</f>
        <v/>
      </c>
      <c r="AE64" s="18">
        <f>$O64*kg_per_mt+domestic_anchor_premium_inr_t</f>
        <v/>
      </c>
      <c r="AF64" s="18">
        <f>(1-Parity!$AA$54)*Parity!$AD$54*heavies_net_value_frac_of_lme_al*$J64*$F64</f>
        <v/>
      </c>
      <c r="AG64" s="18">
        <f>$AE64*Parity!$AU$54+$AF64-$AD64-Parity!$AX$54</f>
        <v/>
      </c>
      <c r="AH64" s="8">
        <f>$AG64&gt;margin_threshold_inr_t</f>
        <v/>
      </c>
      <c r="AI64" s="18">
        <f>($AG64-$P64)*grid_tonnes_mt</f>
        <v/>
      </c>
    </row>
    <row r="65">
      <c r="A65" s="7" t="inlineStr">
        <is>
          <t>first_eligible</t>
        </is>
      </c>
      <c r="B65" s="11" t="n">
        <v>44624</v>
      </c>
      <c r="C65" s="7" t="inlineStr">
        <is>
          <t>zorba</t>
        </is>
      </c>
      <c r="D65" s="7" t="inlineStr">
        <is>
          <t>JEA_NSA</t>
        </is>
      </c>
      <c r="E65" s="20" t="n">
        <v>-20</v>
      </c>
      <c r="F65" s="7" t="n">
        <v>80</v>
      </c>
      <c r="G65" s="17" t="b">
        <v>0</v>
      </c>
      <c r="H65" s="8">
        <f>1+$E65/100</f>
        <v/>
      </c>
      <c r="I65" s="8">
        <f>$F65/Parity!$H$54</f>
        <v/>
      </c>
      <c r="J65" s="16">
        <f>Parity!$F$54*$H65</f>
        <v/>
      </c>
      <c r="K65" s="8">
        <f>Parity!$I$54*$I65</f>
        <v/>
      </c>
      <c r="L65" s="8">
        <f>Parity!$J$54*$I65</f>
        <v/>
      </c>
      <c r="M65" s="16">
        <f>(Market_Weekly!$K$14-mcx_domestic_premium_inr_kg)*$H65*$I65+mcx_domestic_premium_inr_kg</f>
        <v/>
      </c>
      <c r="N65" s="15">
        <f>Parity!$N$54/Market_Weekly!$K$14</f>
        <v/>
      </c>
      <c r="O65" s="16">
        <f>$M65*$N65</f>
        <v/>
      </c>
      <c r="P65" s="18">
        <f>Parity!$AY$54</f>
        <v/>
      </c>
      <c r="Q65" s="16">
        <f>$J65*Parity!$P$54</f>
        <v/>
      </c>
      <c r="R65" s="16">
        <f>Parity!$L$54*Parity!$AG$54</f>
        <v/>
      </c>
      <c r="S65" s="16">
        <f>$Q65-$R65</f>
        <v/>
      </c>
      <c r="T65" s="16">
        <f>insurance_rate*insured_value_uplift*$Q65</f>
        <v/>
      </c>
      <c r="U65" s="16">
        <f>$Q65+$T65</f>
        <v/>
      </c>
      <c r="V65" s="18">
        <f>$U65*$L65</f>
        <v/>
      </c>
      <c r="W65" s="18">
        <f>$U65*$K65</f>
        <v/>
      </c>
      <c r="X65" s="18">
        <f>$V65*bcd_scrap_hs7602</f>
        <v/>
      </c>
      <c r="Y65" s="18">
        <f>$X65*sws_rate_on_bcd</f>
        <v/>
      </c>
      <c r="Z65" s="18">
        <f>($V65+$X65+$Y65)*igst_rate_hs7602</f>
        <v/>
      </c>
      <c r="AA65" s="18">
        <f>Parity!$X$54*Parity!$AG$54+IF(Parity!$Y$54,psic_cost_usd_per_box*$F65/Parity!$W$54,0)</f>
        <v/>
      </c>
      <c r="AB65" s="18">
        <f>($W65+$X65+$Y65)*Parity!$Z$54/day_count_inr*Parity!$O$54</f>
        <v/>
      </c>
      <c r="AC65" s="18">
        <f>$Z65*igst_credit_lag_days/day_count_inr*Parity!$O$54</f>
        <v/>
      </c>
      <c r="AD65" s="18">
        <f>$W65+$X65+$Y65+$AA65+$AB65+$AC65+IF(igst_itc_available,0,$Z65)</f>
        <v/>
      </c>
      <c r="AE65" s="18">
        <f>$O65*kg_per_mt+domestic_anchor_premium_inr_t</f>
        <v/>
      </c>
      <c r="AF65" s="18">
        <f>(1-Parity!$AA$54)*Parity!$AD$54*heavies_net_value_frac_of_lme_al*$J65*$F65</f>
        <v/>
      </c>
      <c r="AG65" s="18">
        <f>$AE65*Parity!$AU$54+$AF65-$AD65-Parity!$AX$54</f>
        <v/>
      </c>
      <c r="AH65" s="8">
        <f>$AG65&gt;margin_threshold_inr_t</f>
        <v/>
      </c>
      <c r="AI65" s="18">
        <f>($AG65-$P65)*grid_tonnes_mt</f>
        <v/>
      </c>
    </row>
    <row r="66">
      <c r="A66" s="7" t="inlineStr">
        <is>
          <t>first_eligible</t>
        </is>
      </c>
      <c r="B66" s="11" t="n">
        <v>44624</v>
      </c>
      <c r="C66" s="7" t="inlineStr">
        <is>
          <t>zorba</t>
        </is>
      </c>
      <c r="D66" s="7" t="inlineStr">
        <is>
          <t>JEA_NSA</t>
        </is>
      </c>
      <c r="E66" s="20" t="n">
        <v>-15</v>
      </c>
      <c r="F66" s="7" t="n">
        <v>80</v>
      </c>
      <c r="G66" s="17" t="b">
        <v>0</v>
      </c>
      <c r="H66" s="8">
        <f>1+$E66/100</f>
        <v/>
      </c>
      <c r="I66" s="8">
        <f>$F66/Parity!$H$54</f>
        <v/>
      </c>
      <c r="J66" s="16">
        <f>Parity!$F$54*$H66</f>
        <v/>
      </c>
      <c r="K66" s="8">
        <f>Parity!$I$54*$I66</f>
        <v/>
      </c>
      <c r="L66" s="8">
        <f>Parity!$J$54*$I66</f>
        <v/>
      </c>
      <c r="M66" s="16">
        <f>(Market_Weekly!$K$14-mcx_domestic_premium_inr_kg)*$H66*$I66+mcx_domestic_premium_inr_kg</f>
        <v/>
      </c>
      <c r="N66" s="15">
        <f>Parity!$N$54/Market_Weekly!$K$14</f>
        <v/>
      </c>
      <c r="O66" s="16">
        <f>$M66*$N66</f>
        <v/>
      </c>
      <c r="P66" s="18">
        <f>Parity!$AY$54</f>
        <v/>
      </c>
      <c r="Q66" s="16">
        <f>$J66*Parity!$P$54</f>
        <v/>
      </c>
      <c r="R66" s="16">
        <f>Parity!$L$54*Parity!$AG$54</f>
        <v/>
      </c>
      <c r="S66" s="16">
        <f>$Q66-$R66</f>
        <v/>
      </c>
      <c r="T66" s="16">
        <f>insurance_rate*insured_value_uplift*$Q66</f>
        <v/>
      </c>
      <c r="U66" s="16">
        <f>$Q66+$T66</f>
        <v/>
      </c>
      <c r="V66" s="18">
        <f>$U66*$L66</f>
        <v/>
      </c>
      <c r="W66" s="18">
        <f>$U66*$K66</f>
        <v/>
      </c>
      <c r="X66" s="18">
        <f>$V66*bcd_scrap_hs7602</f>
        <v/>
      </c>
      <c r="Y66" s="18">
        <f>$X66*sws_rate_on_bcd</f>
        <v/>
      </c>
      <c r="Z66" s="18">
        <f>($V66+$X66+$Y66)*igst_rate_hs7602</f>
        <v/>
      </c>
      <c r="AA66" s="18">
        <f>Parity!$X$54*Parity!$AG$54+IF(Parity!$Y$54,psic_cost_usd_per_box*$F66/Parity!$W$54,0)</f>
        <v/>
      </c>
      <c r="AB66" s="18">
        <f>($W66+$X66+$Y66)*Parity!$Z$54/day_count_inr*Parity!$O$54</f>
        <v/>
      </c>
      <c r="AC66" s="18">
        <f>$Z66*igst_credit_lag_days/day_count_inr*Parity!$O$54</f>
        <v/>
      </c>
      <c r="AD66" s="18">
        <f>$W66+$X66+$Y66+$AA66+$AB66+$AC66+IF(igst_itc_available,0,$Z66)</f>
        <v/>
      </c>
      <c r="AE66" s="18">
        <f>$O66*kg_per_mt+domestic_anchor_premium_inr_t</f>
        <v/>
      </c>
      <c r="AF66" s="18">
        <f>(1-Parity!$AA$54)*Parity!$AD$54*heavies_net_value_frac_of_lme_al*$J66*$F66</f>
        <v/>
      </c>
      <c r="AG66" s="18">
        <f>$AE66*Parity!$AU$54+$AF66-$AD66-Parity!$AX$54</f>
        <v/>
      </c>
      <c r="AH66" s="8">
        <f>$AG66&gt;margin_threshold_inr_t</f>
        <v/>
      </c>
      <c r="AI66" s="18">
        <f>($AG66-$P66)*grid_tonnes_mt</f>
        <v/>
      </c>
    </row>
    <row r="67">
      <c r="A67" s="7" t="inlineStr">
        <is>
          <t>first_eligible</t>
        </is>
      </c>
      <c r="B67" s="11" t="n">
        <v>44624</v>
      </c>
      <c r="C67" s="7" t="inlineStr">
        <is>
          <t>zorba</t>
        </is>
      </c>
      <c r="D67" s="7" t="inlineStr">
        <is>
          <t>JEA_NSA</t>
        </is>
      </c>
      <c r="E67" s="20" t="n">
        <v>-10</v>
      </c>
      <c r="F67" s="7" t="n">
        <v>80</v>
      </c>
      <c r="G67" s="17" t="b">
        <v>0</v>
      </c>
      <c r="H67" s="8">
        <f>1+$E67/100</f>
        <v/>
      </c>
      <c r="I67" s="8">
        <f>$F67/Parity!$H$54</f>
        <v/>
      </c>
      <c r="J67" s="16">
        <f>Parity!$F$54*$H67</f>
        <v/>
      </c>
      <c r="K67" s="8">
        <f>Parity!$I$54*$I67</f>
        <v/>
      </c>
      <c r="L67" s="8">
        <f>Parity!$J$54*$I67</f>
        <v/>
      </c>
      <c r="M67" s="16">
        <f>(Market_Weekly!$K$14-mcx_domestic_premium_inr_kg)*$H67*$I67+mcx_domestic_premium_inr_kg</f>
        <v/>
      </c>
      <c r="N67" s="15">
        <f>Parity!$N$54/Market_Weekly!$K$14</f>
        <v/>
      </c>
      <c r="O67" s="16">
        <f>$M67*$N67</f>
        <v/>
      </c>
      <c r="P67" s="18">
        <f>Parity!$AY$54</f>
        <v/>
      </c>
      <c r="Q67" s="16">
        <f>$J67*Parity!$P$54</f>
        <v/>
      </c>
      <c r="R67" s="16">
        <f>Parity!$L$54*Parity!$AG$54</f>
        <v/>
      </c>
      <c r="S67" s="16">
        <f>$Q67-$R67</f>
        <v/>
      </c>
      <c r="T67" s="16">
        <f>insurance_rate*insured_value_uplift*$Q67</f>
        <v/>
      </c>
      <c r="U67" s="16">
        <f>$Q67+$T67</f>
        <v/>
      </c>
      <c r="V67" s="18">
        <f>$U67*$L67</f>
        <v/>
      </c>
      <c r="W67" s="18">
        <f>$U67*$K67</f>
        <v/>
      </c>
      <c r="X67" s="18">
        <f>$V67*bcd_scrap_hs7602</f>
        <v/>
      </c>
      <c r="Y67" s="18">
        <f>$X67*sws_rate_on_bcd</f>
        <v/>
      </c>
      <c r="Z67" s="18">
        <f>($V67+$X67+$Y67)*igst_rate_hs7602</f>
        <v/>
      </c>
      <c r="AA67" s="18">
        <f>Parity!$X$54*Parity!$AG$54+IF(Parity!$Y$54,psic_cost_usd_per_box*$F67/Parity!$W$54,0)</f>
        <v/>
      </c>
      <c r="AB67" s="18">
        <f>($W67+$X67+$Y67)*Parity!$Z$54/day_count_inr*Parity!$O$54</f>
        <v/>
      </c>
      <c r="AC67" s="18">
        <f>$Z67*igst_credit_lag_days/day_count_inr*Parity!$O$54</f>
        <v/>
      </c>
      <c r="AD67" s="18">
        <f>$W67+$X67+$Y67+$AA67+$AB67+$AC67+IF(igst_itc_available,0,$Z67)</f>
        <v/>
      </c>
      <c r="AE67" s="18">
        <f>$O67*kg_per_mt+domestic_anchor_premium_inr_t</f>
        <v/>
      </c>
      <c r="AF67" s="18">
        <f>(1-Parity!$AA$54)*Parity!$AD$54*heavies_net_value_frac_of_lme_al*$J67*$F67</f>
        <v/>
      </c>
      <c r="AG67" s="18">
        <f>$AE67*Parity!$AU$54+$AF67-$AD67-Parity!$AX$54</f>
        <v/>
      </c>
      <c r="AH67" s="8">
        <f>$AG67&gt;margin_threshold_inr_t</f>
        <v/>
      </c>
      <c r="AI67" s="18">
        <f>($AG67-$P67)*grid_tonnes_mt</f>
        <v/>
      </c>
    </row>
    <row r="68">
      <c r="A68" s="7" t="inlineStr">
        <is>
          <t>first_eligible</t>
        </is>
      </c>
      <c r="B68" s="11" t="n">
        <v>44624</v>
      </c>
      <c r="C68" s="7" t="inlineStr">
        <is>
          <t>zorba</t>
        </is>
      </c>
      <c r="D68" s="7" t="inlineStr">
        <is>
          <t>JEA_NSA</t>
        </is>
      </c>
      <c r="E68" s="20" t="n">
        <v>-5</v>
      </c>
      <c r="F68" s="7" t="n">
        <v>80</v>
      </c>
      <c r="G68" s="17" t="b">
        <v>0</v>
      </c>
      <c r="H68" s="8">
        <f>1+$E68/100</f>
        <v/>
      </c>
      <c r="I68" s="8">
        <f>$F68/Parity!$H$54</f>
        <v/>
      </c>
      <c r="J68" s="16">
        <f>Parity!$F$54*$H68</f>
        <v/>
      </c>
      <c r="K68" s="8">
        <f>Parity!$I$54*$I68</f>
        <v/>
      </c>
      <c r="L68" s="8">
        <f>Parity!$J$54*$I68</f>
        <v/>
      </c>
      <c r="M68" s="16">
        <f>(Market_Weekly!$K$14-mcx_domestic_premium_inr_kg)*$H68*$I68+mcx_domestic_premium_inr_kg</f>
        <v/>
      </c>
      <c r="N68" s="15">
        <f>Parity!$N$54/Market_Weekly!$K$14</f>
        <v/>
      </c>
      <c r="O68" s="16">
        <f>$M68*$N68</f>
        <v/>
      </c>
      <c r="P68" s="18">
        <f>Parity!$AY$54</f>
        <v/>
      </c>
      <c r="Q68" s="16">
        <f>$J68*Parity!$P$54</f>
        <v/>
      </c>
      <c r="R68" s="16">
        <f>Parity!$L$54*Parity!$AG$54</f>
        <v/>
      </c>
      <c r="S68" s="16">
        <f>$Q68-$R68</f>
        <v/>
      </c>
      <c r="T68" s="16">
        <f>insurance_rate*insured_value_uplift*$Q68</f>
        <v/>
      </c>
      <c r="U68" s="16">
        <f>$Q68+$T68</f>
        <v/>
      </c>
      <c r="V68" s="18">
        <f>$U68*$L68</f>
        <v/>
      </c>
      <c r="W68" s="18">
        <f>$U68*$K68</f>
        <v/>
      </c>
      <c r="X68" s="18">
        <f>$V68*bcd_scrap_hs7602</f>
        <v/>
      </c>
      <c r="Y68" s="18">
        <f>$X68*sws_rate_on_bcd</f>
        <v/>
      </c>
      <c r="Z68" s="18">
        <f>($V68+$X68+$Y68)*igst_rate_hs7602</f>
        <v/>
      </c>
      <c r="AA68" s="18">
        <f>Parity!$X$54*Parity!$AG$54+IF(Parity!$Y$54,psic_cost_usd_per_box*$F68/Parity!$W$54,0)</f>
        <v/>
      </c>
      <c r="AB68" s="18">
        <f>($W68+$X68+$Y68)*Parity!$Z$54/day_count_inr*Parity!$O$54</f>
        <v/>
      </c>
      <c r="AC68" s="18">
        <f>$Z68*igst_credit_lag_days/day_count_inr*Parity!$O$54</f>
        <v/>
      </c>
      <c r="AD68" s="18">
        <f>$W68+$X68+$Y68+$AA68+$AB68+$AC68+IF(igst_itc_available,0,$Z68)</f>
        <v/>
      </c>
      <c r="AE68" s="18">
        <f>$O68*kg_per_mt+domestic_anchor_premium_inr_t</f>
        <v/>
      </c>
      <c r="AF68" s="18">
        <f>(1-Parity!$AA$54)*Parity!$AD$54*heavies_net_value_frac_of_lme_al*$J68*$F68</f>
        <v/>
      </c>
      <c r="AG68" s="18">
        <f>$AE68*Parity!$AU$54+$AF68-$AD68-Parity!$AX$54</f>
        <v/>
      </c>
      <c r="AH68" s="8">
        <f>$AG68&gt;margin_threshold_inr_t</f>
        <v/>
      </c>
      <c r="AI68" s="18">
        <f>($AG68-$P68)*grid_tonnes_mt</f>
        <v/>
      </c>
    </row>
    <row r="69">
      <c r="A69" s="7" t="inlineStr">
        <is>
          <t>first_eligible</t>
        </is>
      </c>
      <c r="B69" s="11" t="n">
        <v>44624</v>
      </c>
      <c r="C69" s="7" t="inlineStr">
        <is>
          <t>zorba</t>
        </is>
      </c>
      <c r="D69" s="7" t="inlineStr">
        <is>
          <t>JEA_NSA</t>
        </is>
      </c>
      <c r="E69" s="20" t="n">
        <v>0</v>
      </c>
      <c r="F69" s="7" t="n">
        <v>80</v>
      </c>
      <c r="G69" s="17" t="b">
        <v>0</v>
      </c>
      <c r="H69" s="8">
        <f>1+$E69/100</f>
        <v/>
      </c>
      <c r="I69" s="8">
        <f>$F69/Parity!$H$54</f>
        <v/>
      </c>
      <c r="J69" s="16">
        <f>Parity!$F$54*$H69</f>
        <v/>
      </c>
      <c r="K69" s="8">
        <f>Parity!$I$54*$I69</f>
        <v/>
      </c>
      <c r="L69" s="8">
        <f>Parity!$J$54*$I69</f>
        <v/>
      </c>
      <c r="M69" s="16">
        <f>(Market_Weekly!$K$14-mcx_domestic_premium_inr_kg)*$H69*$I69+mcx_domestic_premium_inr_kg</f>
        <v/>
      </c>
      <c r="N69" s="15">
        <f>Parity!$N$54/Market_Weekly!$K$14</f>
        <v/>
      </c>
      <c r="O69" s="16">
        <f>$M69*$N69</f>
        <v/>
      </c>
      <c r="P69" s="18">
        <f>Parity!$AY$54</f>
        <v/>
      </c>
      <c r="Q69" s="16">
        <f>$J69*Parity!$P$54</f>
        <v/>
      </c>
      <c r="R69" s="16">
        <f>Parity!$L$54*Parity!$AG$54</f>
        <v/>
      </c>
      <c r="S69" s="16">
        <f>$Q69-$R69</f>
        <v/>
      </c>
      <c r="T69" s="16">
        <f>insurance_rate*insured_value_uplift*$Q69</f>
        <v/>
      </c>
      <c r="U69" s="16">
        <f>$Q69+$T69</f>
        <v/>
      </c>
      <c r="V69" s="18">
        <f>$U69*$L69</f>
        <v/>
      </c>
      <c r="W69" s="18">
        <f>$U69*$K69</f>
        <v/>
      </c>
      <c r="X69" s="18">
        <f>$V69*bcd_scrap_hs7602</f>
        <v/>
      </c>
      <c r="Y69" s="18">
        <f>$X69*sws_rate_on_bcd</f>
        <v/>
      </c>
      <c r="Z69" s="18">
        <f>($V69+$X69+$Y69)*igst_rate_hs7602</f>
        <v/>
      </c>
      <c r="AA69" s="18">
        <f>Parity!$X$54*Parity!$AG$54+IF(Parity!$Y$54,psic_cost_usd_per_box*$F69/Parity!$W$54,0)</f>
        <v/>
      </c>
      <c r="AB69" s="18">
        <f>($W69+$X69+$Y69)*Parity!$Z$54/day_count_inr*Parity!$O$54</f>
        <v/>
      </c>
      <c r="AC69" s="18">
        <f>$Z69*igst_credit_lag_days/day_count_inr*Parity!$O$54</f>
        <v/>
      </c>
      <c r="AD69" s="18">
        <f>$W69+$X69+$Y69+$AA69+$AB69+$AC69+IF(igst_itc_available,0,$Z69)</f>
        <v/>
      </c>
      <c r="AE69" s="18">
        <f>$O69*kg_per_mt+domestic_anchor_premium_inr_t</f>
        <v/>
      </c>
      <c r="AF69" s="18">
        <f>(1-Parity!$AA$54)*Parity!$AD$54*heavies_net_value_frac_of_lme_al*$J69*$F69</f>
        <v/>
      </c>
      <c r="AG69" s="18">
        <f>$AE69*Parity!$AU$54+$AF69-$AD69-Parity!$AX$54</f>
        <v/>
      </c>
      <c r="AH69" s="8">
        <f>$AG69&gt;margin_threshold_inr_t</f>
        <v/>
      </c>
      <c r="AI69" s="18">
        <f>($AG69-$P69)*grid_tonnes_mt</f>
        <v/>
      </c>
    </row>
    <row r="70">
      <c r="A70" s="7" t="inlineStr">
        <is>
          <t>first_eligible</t>
        </is>
      </c>
      <c r="B70" s="11" t="n">
        <v>44624</v>
      </c>
      <c r="C70" s="7" t="inlineStr">
        <is>
          <t>zorba</t>
        </is>
      </c>
      <c r="D70" s="7" t="inlineStr">
        <is>
          <t>JEA_NSA</t>
        </is>
      </c>
      <c r="E70" s="20" t="n">
        <v>5</v>
      </c>
      <c r="F70" s="7" t="n">
        <v>80</v>
      </c>
      <c r="G70" s="17" t="b">
        <v>0</v>
      </c>
      <c r="H70" s="8">
        <f>1+$E70/100</f>
        <v/>
      </c>
      <c r="I70" s="8">
        <f>$F70/Parity!$H$54</f>
        <v/>
      </c>
      <c r="J70" s="16">
        <f>Parity!$F$54*$H70</f>
        <v/>
      </c>
      <c r="K70" s="8">
        <f>Parity!$I$54*$I70</f>
        <v/>
      </c>
      <c r="L70" s="8">
        <f>Parity!$J$54*$I70</f>
        <v/>
      </c>
      <c r="M70" s="16">
        <f>(Market_Weekly!$K$14-mcx_domestic_premium_inr_kg)*$H70*$I70+mcx_domestic_premium_inr_kg</f>
        <v/>
      </c>
      <c r="N70" s="15">
        <f>Parity!$N$54/Market_Weekly!$K$14</f>
        <v/>
      </c>
      <c r="O70" s="16">
        <f>$M70*$N70</f>
        <v/>
      </c>
      <c r="P70" s="18">
        <f>Parity!$AY$54</f>
        <v/>
      </c>
      <c r="Q70" s="16">
        <f>$J70*Parity!$P$54</f>
        <v/>
      </c>
      <c r="R70" s="16">
        <f>Parity!$L$54*Parity!$AG$54</f>
        <v/>
      </c>
      <c r="S70" s="16">
        <f>$Q70-$R70</f>
        <v/>
      </c>
      <c r="T70" s="16">
        <f>insurance_rate*insured_value_uplift*$Q70</f>
        <v/>
      </c>
      <c r="U70" s="16">
        <f>$Q70+$T70</f>
        <v/>
      </c>
      <c r="V70" s="18">
        <f>$U70*$L70</f>
        <v/>
      </c>
      <c r="W70" s="18">
        <f>$U70*$K70</f>
        <v/>
      </c>
      <c r="X70" s="18">
        <f>$V70*bcd_scrap_hs7602</f>
        <v/>
      </c>
      <c r="Y70" s="18">
        <f>$X70*sws_rate_on_bcd</f>
        <v/>
      </c>
      <c r="Z70" s="18">
        <f>($V70+$X70+$Y70)*igst_rate_hs7602</f>
        <v/>
      </c>
      <c r="AA70" s="18">
        <f>Parity!$X$54*Parity!$AG$54+IF(Parity!$Y$54,psic_cost_usd_per_box*$F70/Parity!$W$54,0)</f>
        <v/>
      </c>
      <c r="AB70" s="18">
        <f>($W70+$X70+$Y70)*Parity!$Z$54/day_count_inr*Parity!$O$54</f>
        <v/>
      </c>
      <c r="AC70" s="18">
        <f>$Z70*igst_credit_lag_days/day_count_inr*Parity!$O$54</f>
        <v/>
      </c>
      <c r="AD70" s="18">
        <f>$W70+$X70+$Y70+$AA70+$AB70+$AC70+IF(igst_itc_available,0,$Z70)</f>
        <v/>
      </c>
      <c r="AE70" s="18">
        <f>$O70*kg_per_mt+domestic_anchor_premium_inr_t</f>
        <v/>
      </c>
      <c r="AF70" s="18">
        <f>(1-Parity!$AA$54)*Parity!$AD$54*heavies_net_value_frac_of_lme_al*$J70*$F70</f>
        <v/>
      </c>
      <c r="AG70" s="18">
        <f>$AE70*Parity!$AU$54+$AF70-$AD70-Parity!$AX$54</f>
        <v/>
      </c>
      <c r="AH70" s="8">
        <f>$AG70&gt;margin_threshold_inr_t</f>
        <v/>
      </c>
      <c r="AI70" s="18">
        <f>($AG70-$P70)*grid_tonnes_mt</f>
        <v/>
      </c>
    </row>
    <row r="71">
      <c r="A71" s="7" t="inlineStr">
        <is>
          <t>first_eligible</t>
        </is>
      </c>
      <c r="B71" s="11" t="n">
        <v>44624</v>
      </c>
      <c r="C71" s="7" t="inlineStr">
        <is>
          <t>zorba</t>
        </is>
      </c>
      <c r="D71" s="7" t="inlineStr">
        <is>
          <t>JEA_NSA</t>
        </is>
      </c>
      <c r="E71" s="20" t="n">
        <v>10</v>
      </c>
      <c r="F71" s="7" t="n">
        <v>80</v>
      </c>
      <c r="G71" s="17" t="b">
        <v>0</v>
      </c>
      <c r="H71" s="8">
        <f>1+$E71/100</f>
        <v/>
      </c>
      <c r="I71" s="8">
        <f>$F71/Parity!$H$54</f>
        <v/>
      </c>
      <c r="J71" s="16">
        <f>Parity!$F$54*$H71</f>
        <v/>
      </c>
      <c r="K71" s="8">
        <f>Parity!$I$54*$I71</f>
        <v/>
      </c>
      <c r="L71" s="8">
        <f>Parity!$J$54*$I71</f>
        <v/>
      </c>
      <c r="M71" s="16">
        <f>(Market_Weekly!$K$14-mcx_domestic_premium_inr_kg)*$H71*$I71+mcx_domestic_premium_inr_kg</f>
        <v/>
      </c>
      <c r="N71" s="15">
        <f>Parity!$N$54/Market_Weekly!$K$14</f>
        <v/>
      </c>
      <c r="O71" s="16">
        <f>$M71*$N71</f>
        <v/>
      </c>
      <c r="P71" s="18">
        <f>Parity!$AY$54</f>
        <v/>
      </c>
      <c r="Q71" s="16">
        <f>$J71*Parity!$P$54</f>
        <v/>
      </c>
      <c r="R71" s="16">
        <f>Parity!$L$54*Parity!$AG$54</f>
        <v/>
      </c>
      <c r="S71" s="16">
        <f>$Q71-$R71</f>
        <v/>
      </c>
      <c r="T71" s="16">
        <f>insurance_rate*insured_value_uplift*$Q71</f>
        <v/>
      </c>
      <c r="U71" s="16">
        <f>$Q71+$T71</f>
        <v/>
      </c>
      <c r="V71" s="18">
        <f>$U71*$L71</f>
        <v/>
      </c>
      <c r="W71" s="18">
        <f>$U71*$K71</f>
        <v/>
      </c>
      <c r="X71" s="18">
        <f>$V71*bcd_scrap_hs7602</f>
        <v/>
      </c>
      <c r="Y71" s="18">
        <f>$X71*sws_rate_on_bcd</f>
        <v/>
      </c>
      <c r="Z71" s="18">
        <f>($V71+$X71+$Y71)*igst_rate_hs7602</f>
        <v/>
      </c>
      <c r="AA71" s="18">
        <f>Parity!$X$54*Parity!$AG$54+IF(Parity!$Y$54,psic_cost_usd_per_box*$F71/Parity!$W$54,0)</f>
        <v/>
      </c>
      <c r="AB71" s="18">
        <f>($W71+$X71+$Y71)*Parity!$Z$54/day_count_inr*Parity!$O$54</f>
        <v/>
      </c>
      <c r="AC71" s="18">
        <f>$Z71*igst_credit_lag_days/day_count_inr*Parity!$O$54</f>
        <v/>
      </c>
      <c r="AD71" s="18">
        <f>$W71+$X71+$Y71+$AA71+$AB71+$AC71+IF(igst_itc_available,0,$Z71)</f>
        <v/>
      </c>
      <c r="AE71" s="18">
        <f>$O71*kg_per_mt+domestic_anchor_premium_inr_t</f>
        <v/>
      </c>
      <c r="AF71" s="18">
        <f>(1-Parity!$AA$54)*Parity!$AD$54*heavies_net_value_frac_of_lme_al*$J71*$F71</f>
        <v/>
      </c>
      <c r="AG71" s="18">
        <f>$AE71*Parity!$AU$54+$AF71-$AD71-Parity!$AX$54</f>
        <v/>
      </c>
      <c r="AH71" s="8">
        <f>$AG71&gt;margin_threshold_inr_t</f>
        <v/>
      </c>
      <c r="AI71" s="18">
        <f>($AG71-$P71)*grid_tonnes_mt</f>
        <v/>
      </c>
    </row>
    <row r="72">
      <c r="A72" s="7" t="inlineStr">
        <is>
          <t>first_eligible</t>
        </is>
      </c>
      <c r="B72" s="11" t="n">
        <v>44624</v>
      </c>
      <c r="C72" s="7" t="inlineStr">
        <is>
          <t>zorba</t>
        </is>
      </c>
      <c r="D72" s="7" t="inlineStr">
        <is>
          <t>JEA_NSA</t>
        </is>
      </c>
      <c r="E72" s="20" t="n">
        <v>-30</v>
      </c>
      <c r="F72" s="7" t="n">
        <v>81</v>
      </c>
      <c r="G72" s="17" t="b">
        <v>0</v>
      </c>
      <c r="H72" s="8">
        <f>1+$E72/100</f>
        <v/>
      </c>
      <c r="I72" s="8">
        <f>$F72/Parity!$H$54</f>
        <v/>
      </c>
      <c r="J72" s="16">
        <f>Parity!$F$54*$H72</f>
        <v/>
      </c>
      <c r="K72" s="8">
        <f>Parity!$I$54*$I72</f>
        <v/>
      </c>
      <c r="L72" s="8">
        <f>Parity!$J$54*$I72</f>
        <v/>
      </c>
      <c r="M72" s="16">
        <f>(Market_Weekly!$K$14-mcx_domestic_premium_inr_kg)*$H72*$I72+mcx_domestic_premium_inr_kg</f>
        <v/>
      </c>
      <c r="N72" s="15">
        <f>Parity!$N$54/Market_Weekly!$K$14</f>
        <v/>
      </c>
      <c r="O72" s="16">
        <f>$M72*$N72</f>
        <v/>
      </c>
      <c r="P72" s="18">
        <f>Parity!$AY$54</f>
        <v/>
      </c>
      <c r="Q72" s="16">
        <f>$J72*Parity!$P$54</f>
        <v/>
      </c>
      <c r="R72" s="16">
        <f>Parity!$L$54*Parity!$AG$54</f>
        <v/>
      </c>
      <c r="S72" s="16">
        <f>$Q72-$R72</f>
        <v/>
      </c>
      <c r="T72" s="16">
        <f>insurance_rate*insured_value_uplift*$Q72</f>
        <v/>
      </c>
      <c r="U72" s="16">
        <f>$Q72+$T72</f>
        <v/>
      </c>
      <c r="V72" s="18">
        <f>$U72*$L72</f>
        <v/>
      </c>
      <c r="W72" s="18">
        <f>$U72*$K72</f>
        <v/>
      </c>
      <c r="X72" s="18">
        <f>$V72*bcd_scrap_hs7602</f>
        <v/>
      </c>
      <c r="Y72" s="18">
        <f>$X72*sws_rate_on_bcd</f>
        <v/>
      </c>
      <c r="Z72" s="18">
        <f>($V72+$X72+$Y72)*igst_rate_hs7602</f>
        <v/>
      </c>
      <c r="AA72" s="18">
        <f>Parity!$X$54*Parity!$AG$54+IF(Parity!$Y$54,psic_cost_usd_per_box*$F72/Parity!$W$54,0)</f>
        <v/>
      </c>
      <c r="AB72" s="18">
        <f>($W72+$X72+$Y72)*Parity!$Z$54/day_count_inr*Parity!$O$54</f>
        <v/>
      </c>
      <c r="AC72" s="18">
        <f>$Z72*igst_credit_lag_days/day_count_inr*Parity!$O$54</f>
        <v/>
      </c>
      <c r="AD72" s="18">
        <f>$W72+$X72+$Y72+$AA72+$AB72+$AC72+IF(igst_itc_available,0,$Z72)</f>
        <v/>
      </c>
      <c r="AE72" s="18">
        <f>$O72*kg_per_mt+domestic_anchor_premium_inr_t</f>
        <v/>
      </c>
      <c r="AF72" s="18">
        <f>(1-Parity!$AA$54)*Parity!$AD$54*heavies_net_value_frac_of_lme_al*$J72*$F72</f>
        <v/>
      </c>
      <c r="AG72" s="18">
        <f>$AE72*Parity!$AU$54+$AF72-$AD72-Parity!$AX$54</f>
        <v/>
      </c>
      <c r="AH72" s="8">
        <f>$AG72&gt;margin_threshold_inr_t</f>
        <v/>
      </c>
      <c r="AI72" s="18">
        <f>($AG72-$P72)*grid_tonnes_mt</f>
        <v/>
      </c>
    </row>
    <row r="73">
      <c r="A73" s="7" t="inlineStr">
        <is>
          <t>first_eligible</t>
        </is>
      </c>
      <c r="B73" s="11" t="n">
        <v>44624</v>
      </c>
      <c r="C73" s="7" t="inlineStr">
        <is>
          <t>zorba</t>
        </is>
      </c>
      <c r="D73" s="7" t="inlineStr">
        <is>
          <t>JEA_NSA</t>
        </is>
      </c>
      <c r="E73" s="20" t="n">
        <v>-25</v>
      </c>
      <c r="F73" s="7" t="n">
        <v>81</v>
      </c>
      <c r="G73" s="17" t="b">
        <v>0</v>
      </c>
      <c r="H73" s="8">
        <f>1+$E73/100</f>
        <v/>
      </c>
      <c r="I73" s="8">
        <f>$F73/Parity!$H$54</f>
        <v/>
      </c>
      <c r="J73" s="16">
        <f>Parity!$F$54*$H73</f>
        <v/>
      </c>
      <c r="K73" s="8">
        <f>Parity!$I$54*$I73</f>
        <v/>
      </c>
      <c r="L73" s="8">
        <f>Parity!$J$54*$I73</f>
        <v/>
      </c>
      <c r="M73" s="16">
        <f>(Market_Weekly!$K$14-mcx_domestic_premium_inr_kg)*$H73*$I73+mcx_domestic_premium_inr_kg</f>
        <v/>
      </c>
      <c r="N73" s="15">
        <f>Parity!$N$54/Market_Weekly!$K$14</f>
        <v/>
      </c>
      <c r="O73" s="16">
        <f>$M73*$N73</f>
        <v/>
      </c>
      <c r="P73" s="18">
        <f>Parity!$AY$54</f>
        <v/>
      </c>
      <c r="Q73" s="16">
        <f>$J73*Parity!$P$54</f>
        <v/>
      </c>
      <c r="R73" s="16">
        <f>Parity!$L$54*Parity!$AG$54</f>
        <v/>
      </c>
      <c r="S73" s="16">
        <f>$Q73-$R73</f>
        <v/>
      </c>
      <c r="T73" s="16">
        <f>insurance_rate*insured_value_uplift*$Q73</f>
        <v/>
      </c>
      <c r="U73" s="16">
        <f>$Q73+$T73</f>
        <v/>
      </c>
      <c r="V73" s="18">
        <f>$U73*$L73</f>
        <v/>
      </c>
      <c r="W73" s="18">
        <f>$U73*$K73</f>
        <v/>
      </c>
      <c r="X73" s="18">
        <f>$V73*bcd_scrap_hs7602</f>
        <v/>
      </c>
      <c r="Y73" s="18">
        <f>$X73*sws_rate_on_bcd</f>
        <v/>
      </c>
      <c r="Z73" s="18">
        <f>($V73+$X73+$Y73)*igst_rate_hs7602</f>
        <v/>
      </c>
      <c r="AA73" s="18">
        <f>Parity!$X$54*Parity!$AG$54+IF(Parity!$Y$54,psic_cost_usd_per_box*$F73/Parity!$W$54,0)</f>
        <v/>
      </c>
      <c r="AB73" s="18">
        <f>($W73+$X73+$Y73)*Parity!$Z$54/day_count_inr*Parity!$O$54</f>
        <v/>
      </c>
      <c r="AC73" s="18">
        <f>$Z73*igst_credit_lag_days/day_count_inr*Parity!$O$54</f>
        <v/>
      </c>
      <c r="AD73" s="18">
        <f>$W73+$X73+$Y73+$AA73+$AB73+$AC73+IF(igst_itc_available,0,$Z73)</f>
        <v/>
      </c>
      <c r="AE73" s="18">
        <f>$O73*kg_per_mt+domestic_anchor_premium_inr_t</f>
        <v/>
      </c>
      <c r="AF73" s="18">
        <f>(1-Parity!$AA$54)*Parity!$AD$54*heavies_net_value_frac_of_lme_al*$J73*$F73</f>
        <v/>
      </c>
      <c r="AG73" s="18">
        <f>$AE73*Parity!$AU$54+$AF73-$AD73-Parity!$AX$54</f>
        <v/>
      </c>
      <c r="AH73" s="8">
        <f>$AG73&gt;margin_threshold_inr_t</f>
        <v/>
      </c>
      <c r="AI73" s="18">
        <f>($AG73-$P73)*grid_tonnes_mt</f>
        <v/>
      </c>
    </row>
    <row r="74">
      <c r="A74" s="7" t="inlineStr">
        <is>
          <t>first_eligible</t>
        </is>
      </c>
      <c r="B74" s="11" t="n">
        <v>44624</v>
      </c>
      <c r="C74" s="7" t="inlineStr">
        <is>
          <t>zorba</t>
        </is>
      </c>
      <c r="D74" s="7" t="inlineStr">
        <is>
          <t>JEA_NSA</t>
        </is>
      </c>
      <c r="E74" s="20" t="n">
        <v>-20</v>
      </c>
      <c r="F74" s="7" t="n">
        <v>81</v>
      </c>
      <c r="G74" s="17" t="b">
        <v>0</v>
      </c>
      <c r="H74" s="8">
        <f>1+$E74/100</f>
        <v/>
      </c>
      <c r="I74" s="8">
        <f>$F74/Parity!$H$54</f>
        <v/>
      </c>
      <c r="J74" s="16">
        <f>Parity!$F$54*$H74</f>
        <v/>
      </c>
      <c r="K74" s="8">
        <f>Parity!$I$54*$I74</f>
        <v/>
      </c>
      <c r="L74" s="8">
        <f>Parity!$J$54*$I74</f>
        <v/>
      </c>
      <c r="M74" s="16">
        <f>(Market_Weekly!$K$14-mcx_domestic_premium_inr_kg)*$H74*$I74+mcx_domestic_premium_inr_kg</f>
        <v/>
      </c>
      <c r="N74" s="15">
        <f>Parity!$N$54/Market_Weekly!$K$14</f>
        <v/>
      </c>
      <c r="O74" s="16">
        <f>$M74*$N74</f>
        <v/>
      </c>
      <c r="P74" s="18">
        <f>Parity!$AY$54</f>
        <v/>
      </c>
      <c r="Q74" s="16">
        <f>$J74*Parity!$P$54</f>
        <v/>
      </c>
      <c r="R74" s="16">
        <f>Parity!$L$54*Parity!$AG$54</f>
        <v/>
      </c>
      <c r="S74" s="16">
        <f>$Q74-$R74</f>
        <v/>
      </c>
      <c r="T74" s="16">
        <f>insurance_rate*insured_value_uplift*$Q74</f>
        <v/>
      </c>
      <c r="U74" s="16">
        <f>$Q74+$T74</f>
        <v/>
      </c>
      <c r="V74" s="18">
        <f>$U74*$L74</f>
        <v/>
      </c>
      <c r="W74" s="18">
        <f>$U74*$K74</f>
        <v/>
      </c>
      <c r="X74" s="18">
        <f>$V74*bcd_scrap_hs7602</f>
        <v/>
      </c>
      <c r="Y74" s="18">
        <f>$X74*sws_rate_on_bcd</f>
        <v/>
      </c>
      <c r="Z74" s="18">
        <f>($V74+$X74+$Y74)*igst_rate_hs7602</f>
        <v/>
      </c>
      <c r="AA74" s="18">
        <f>Parity!$X$54*Parity!$AG$54+IF(Parity!$Y$54,psic_cost_usd_per_box*$F74/Parity!$W$54,0)</f>
        <v/>
      </c>
      <c r="AB74" s="18">
        <f>($W74+$X74+$Y74)*Parity!$Z$54/day_count_inr*Parity!$O$54</f>
        <v/>
      </c>
      <c r="AC74" s="18">
        <f>$Z74*igst_credit_lag_days/day_count_inr*Parity!$O$54</f>
        <v/>
      </c>
      <c r="AD74" s="18">
        <f>$W74+$X74+$Y74+$AA74+$AB74+$AC74+IF(igst_itc_available,0,$Z74)</f>
        <v/>
      </c>
      <c r="AE74" s="18">
        <f>$O74*kg_per_mt+domestic_anchor_premium_inr_t</f>
        <v/>
      </c>
      <c r="AF74" s="18">
        <f>(1-Parity!$AA$54)*Parity!$AD$54*heavies_net_value_frac_of_lme_al*$J74*$F74</f>
        <v/>
      </c>
      <c r="AG74" s="18">
        <f>$AE74*Parity!$AU$54+$AF74-$AD74-Parity!$AX$54</f>
        <v/>
      </c>
      <c r="AH74" s="8">
        <f>$AG74&gt;margin_threshold_inr_t</f>
        <v/>
      </c>
      <c r="AI74" s="18">
        <f>($AG74-$P74)*grid_tonnes_mt</f>
        <v/>
      </c>
    </row>
    <row r="75">
      <c r="A75" s="7" t="inlineStr">
        <is>
          <t>first_eligible</t>
        </is>
      </c>
      <c r="B75" s="11" t="n">
        <v>44624</v>
      </c>
      <c r="C75" s="7" t="inlineStr">
        <is>
          <t>zorba</t>
        </is>
      </c>
      <c r="D75" s="7" t="inlineStr">
        <is>
          <t>JEA_NSA</t>
        </is>
      </c>
      <c r="E75" s="20" t="n">
        <v>-15</v>
      </c>
      <c r="F75" s="7" t="n">
        <v>81</v>
      </c>
      <c r="G75" s="17" t="b">
        <v>0</v>
      </c>
      <c r="H75" s="8">
        <f>1+$E75/100</f>
        <v/>
      </c>
      <c r="I75" s="8">
        <f>$F75/Parity!$H$54</f>
        <v/>
      </c>
      <c r="J75" s="16">
        <f>Parity!$F$54*$H75</f>
        <v/>
      </c>
      <c r="K75" s="8">
        <f>Parity!$I$54*$I75</f>
        <v/>
      </c>
      <c r="L75" s="8">
        <f>Parity!$J$54*$I75</f>
        <v/>
      </c>
      <c r="M75" s="16">
        <f>(Market_Weekly!$K$14-mcx_domestic_premium_inr_kg)*$H75*$I75+mcx_domestic_premium_inr_kg</f>
        <v/>
      </c>
      <c r="N75" s="15">
        <f>Parity!$N$54/Market_Weekly!$K$14</f>
        <v/>
      </c>
      <c r="O75" s="16">
        <f>$M75*$N75</f>
        <v/>
      </c>
      <c r="P75" s="18">
        <f>Parity!$AY$54</f>
        <v/>
      </c>
      <c r="Q75" s="16">
        <f>$J75*Parity!$P$54</f>
        <v/>
      </c>
      <c r="R75" s="16">
        <f>Parity!$L$54*Parity!$AG$54</f>
        <v/>
      </c>
      <c r="S75" s="16">
        <f>$Q75-$R75</f>
        <v/>
      </c>
      <c r="T75" s="16">
        <f>insurance_rate*insured_value_uplift*$Q75</f>
        <v/>
      </c>
      <c r="U75" s="16">
        <f>$Q75+$T75</f>
        <v/>
      </c>
      <c r="V75" s="18">
        <f>$U75*$L75</f>
        <v/>
      </c>
      <c r="W75" s="18">
        <f>$U75*$K75</f>
        <v/>
      </c>
      <c r="X75" s="18">
        <f>$V75*bcd_scrap_hs7602</f>
        <v/>
      </c>
      <c r="Y75" s="18">
        <f>$X75*sws_rate_on_bcd</f>
        <v/>
      </c>
      <c r="Z75" s="18">
        <f>($V75+$X75+$Y75)*igst_rate_hs7602</f>
        <v/>
      </c>
      <c r="AA75" s="18">
        <f>Parity!$X$54*Parity!$AG$54+IF(Parity!$Y$54,psic_cost_usd_per_box*$F75/Parity!$W$54,0)</f>
        <v/>
      </c>
      <c r="AB75" s="18">
        <f>($W75+$X75+$Y75)*Parity!$Z$54/day_count_inr*Parity!$O$54</f>
        <v/>
      </c>
      <c r="AC75" s="18">
        <f>$Z75*igst_credit_lag_days/day_count_inr*Parity!$O$54</f>
        <v/>
      </c>
      <c r="AD75" s="18">
        <f>$W75+$X75+$Y75+$AA75+$AB75+$AC75+IF(igst_itc_available,0,$Z75)</f>
        <v/>
      </c>
      <c r="AE75" s="18">
        <f>$O75*kg_per_mt+domestic_anchor_premium_inr_t</f>
        <v/>
      </c>
      <c r="AF75" s="18">
        <f>(1-Parity!$AA$54)*Parity!$AD$54*heavies_net_value_frac_of_lme_al*$J75*$F75</f>
        <v/>
      </c>
      <c r="AG75" s="18">
        <f>$AE75*Parity!$AU$54+$AF75-$AD75-Parity!$AX$54</f>
        <v/>
      </c>
      <c r="AH75" s="8">
        <f>$AG75&gt;margin_threshold_inr_t</f>
        <v/>
      </c>
      <c r="AI75" s="18">
        <f>($AG75-$P75)*grid_tonnes_mt</f>
        <v/>
      </c>
    </row>
    <row r="76">
      <c r="A76" s="7" t="inlineStr">
        <is>
          <t>first_eligible</t>
        </is>
      </c>
      <c r="B76" s="11" t="n">
        <v>44624</v>
      </c>
      <c r="C76" s="7" t="inlineStr">
        <is>
          <t>zorba</t>
        </is>
      </c>
      <c r="D76" s="7" t="inlineStr">
        <is>
          <t>JEA_NSA</t>
        </is>
      </c>
      <c r="E76" s="20" t="n">
        <v>-10</v>
      </c>
      <c r="F76" s="7" t="n">
        <v>81</v>
      </c>
      <c r="G76" s="17" t="b">
        <v>0</v>
      </c>
      <c r="H76" s="8">
        <f>1+$E76/100</f>
        <v/>
      </c>
      <c r="I76" s="8">
        <f>$F76/Parity!$H$54</f>
        <v/>
      </c>
      <c r="J76" s="16">
        <f>Parity!$F$54*$H76</f>
        <v/>
      </c>
      <c r="K76" s="8">
        <f>Parity!$I$54*$I76</f>
        <v/>
      </c>
      <c r="L76" s="8">
        <f>Parity!$J$54*$I76</f>
        <v/>
      </c>
      <c r="M76" s="16">
        <f>(Market_Weekly!$K$14-mcx_domestic_premium_inr_kg)*$H76*$I76+mcx_domestic_premium_inr_kg</f>
        <v/>
      </c>
      <c r="N76" s="15">
        <f>Parity!$N$54/Market_Weekly!$K$14</f>
        <v/>
      </c>
      <c r="O76" s="16">
        <f>$M76*$N76</f>
        <v/>
      </c>
      <c r="P76" s="18">
        <f>Parity!$AY$54</f>
        <v/>
      </c>
      <c r="Q76" s="16">
        <f>$J76*Parity!$P$54</f>
        <v/>
      </c>
      <c r="R76" s="16">
        <f>Parity!$L$54*Parity!$AG$54</f>
        <v/>
      </c>
      <c r="S76" s="16">
        <f>$Q76-$R76</f>
        <v/>
      </c>
      <c r="T76" s="16">
        <f>insurance_rate*insured_value_uplift*$Q76</f>
        <v/>
      </c>
      <c r="U76" s="16">
        <f>$Q76+$T76</f>
        <v/>
      </c>
      <c r="V76" s="18">
        <f>$U76*$L76</f>
        <v/>
      </c>
      <c r="W76" s="18">
        <f>$U76*$K76</f>
        <v/>
      </c>
      <c r="X76" s="18">
        <f>$V76*bcd_scrap_hs7602</f>
        <v/>
      </c>
      <c r="Y76" s="18">
        <f>$X76*sws_rate_on_bcd</f>
        <v/>
      </c>
      <c r="Z76" s="18">
        <f>($V76+$X76+$Y76)*igst_rate_hs7602</f>
        <v/>
      </c>
      <c r="AA76" s="18">
        <f>Parity!$X$54*Parity!$AG$54+IF(Parity!$Y$54,psic_cost_usd_per_box*$F76/Parity!$W$54,0)</f>
        <v/>
      </c>
      <c r="AB76" s="18">
        <f>($W76+$X76+$Y76)*Parity!$Z$54/day_count_inr*Parity!$O$54</f>
        <v/>
      </c>
      <c r="AC76" s="18">
        <f>$Z76*igst_credit_lag_days/day_count_inr*Parity!$O$54</f>
        <v/>
      </c>
      <c r="AD76" s="18">
        <f>$W76+$X76+$Y76+$AA76+$AB76+$AC76+IF(igst_itc_available,0,$Z76)</f>
        <v/>
      </c>
      <c r="AE76" s="18">
        <f>$O76*kg_per_mt+domestic_anchor_premium_inr_t</f>
        <v/>
      </c>
      <c r="AF76" s="18">
        <f>(1-Parity!$AA$54)*Parity!$AD$54*heavies_net_value_frac_of_lme_al*$J76*$F76</f>
        <v/>
      </c>
      <c r="AG76" s="18">
        <f>$AE76*Parity!$AU$54+$AF76-$AD76-Parity!$AX$54</f>
        <v/>
      </c>
      <c r="AH76" s="8">
        <f>$AG76&gt;margin_threshold_inr_t</f>
        <v/>
      </c>
      <c r="AI76" s="18">
        <f>($AG76-$P76)*grid_tonnes_mt</f>
        <v/>
      </c>
    </row>
    <row r="77">
      <c r="A77" s="7" t="inlineStr">
        <is>
          <t>first_eligible</t>
        </is>
      </c>
      <c r="B77" s="11" t="n">
        <v>44624</v>
      </c>
      <c r="C77" s="7" t="inlineStr">
        <is>
          <t>zorba</t>
        </is>
      </c>
      <c r="D77" s="7" t="inlineStr">
        <is>
          <t>JEA_NSA</t>
        </is>
      </c>
      <c r="E77" s="20" t="n">
        <v>-5</v>
      </c>
      <c r="F77" s="7" t="n">
        <v>81</v>
      </c>
      <c r="G77" s="17" t="b">
        <v>0</v>
      </c>
      <c r="H77" s="8">
        <f>1+$E77/100</f>
        <v/>
      </c>
      <c r="I77" s="8">
        <f>$F77/Parity!$H$54</f>
        <v/>
      </c>
      <c r="J77" s="16">
        <f>Parity!$F$54*$H77</f>
        <v/>
      </c>
      <c r="K77" s="8">
        <f>Parity!$I$54*$I77</f>
        <v/>
      </c>
      <c r="L77" s="8">
        <f>Parity!$J$54*$I77</f>
        <v/>
      </c>
      <c r="M77" s="16">
        <f>(Market_Weekly!$K$14-mcx_domestic_premium_inr_kg)*$H77*$I77+mcx_domestic_premium_inr_kg</f>
        <v/>
      </c>
      <c r="N77" s="15">
        <f>Parity!$N$54/Market_Weekly!$K$14</f>
        <v/>
      </c>
      <c r="O77" s="16">
        <f>$M77*$N77</f>
        <v/>
      </c>
      <c r="P77" s="18">
        <f>Parity!$AY$54</f>
        <v/>
      </c>
      <c r="Q77" s="16">
        <f>$J77*Parity!$P$54</f>
        <v/>
      </c>
      <c r="R77" s="16">
        <f>Parity!$L$54*Parity!$AG$54</f>
        <v/>
      </c>
      <c r="S77" s="16">
        <f>$Q77-$R77</f>
        <v/>
      </c>
      <c r="T77" s="16">
        <f>insurance_rate*insured_value_uplift*$Q77</f>
        <v/>
      </c>
      <c r="U77" s="16">
        <f>$Q77+$T77</f>
        <v/>
      </c>
      <c r="V77" s="18">
        <f>$U77*$L77</f>
        <v/>
      </c>
      <c r="W77" s="18">
        <f>$U77*$K77</f>
        <v/>
      </c>
      <c r="X77" s="18">
        <f>$V77*bcd_scrap_hs7602</f>
        <v/>
      </c>
      <c r="Y77" s="18">
        <f>$X77*sws_rate_on_bcd</f>
        <v/>
      </c>
      <c r="Z77" s="18">
        <f>($V77+$X77+$Y77)*igst_rate_hs7602</f>
        <v/>
      </c>
      <c r="AA77" s="18">
        <f>Parity!$X$54*Parity!$AG$54+IF(Parity!$Y$54,psic_cost_usd_per_box*$F77/Parity!$W$54,0)</f>
        <v/>
      </c>
      <c r="AB77" s="18">
        <f>($W77+$X77+$Y77)*Parity!$Z$54/day_count_inr*Parity!$O$54</f>
        <v/>
      </c>
      <c r="AC77" s="18">
        <f>$Z77*igst_credit_lag_days/day_count_inr*Parity!$O$54</f>
        <v/>
      </c>
      <c r="AD77" s="18">
        <f>$W77+$X77+$Y77+$AA77+$AB77+$AC77+IF(igst_itc_available,0,$Z77)</f>
        <v/>
      </c>
      <c r="AE77" s="18">
        <f>$O77*kg_per_mt+domestic_anchor_premium_inr_t</f>
        <v/>
      </c>
      <c r="AF77" s="18">
        <f>(1-Parity!$AA$54)*Parity!$AD$54*heavies_net_value_frac_of_lme_al*$J77*$F77</f>
        <v/>
      </c>
      <c r="AG77" s="18">
        <f>$AE77*Parity!$AU$54+$AF77-$AD77-Parity!$AX$54</f>
        <v/>
      </c>
      <c r="AH77" s="8">
        <f>$AG77&gt;margin_threshold_inr_t</f>
        <v/>
      </c>
      <c r="AI77" s="18">
        <f>($AG77-$P77)*grid_tonnes_mt</f>
        <v/>
      </c>
    </row>
    <row r="78">
      <c r="A78" s="7" t="inlineStr">
        <is>
          <t>first_eligible</t>
        </is>
      </c>
      <c r="B78" s="11" t="n">
        <v>44624</v>
      </c>
      <c r="C78" s="7" t="inlineStr">
        <is>
          <t>zorba</t>
        </is>
      </c>
      <c r="D78" s="7" t="inlineStr">
        <is>
          <t>JEA_NSA</t>
        </is>
      </c>
      <c r="E78" s="20" t="n">
        <v>0</v>
      </c>
      <c r="F78" s="7" t="n">
        <v>81</v>
      </c>
      <c r="G78" s="17" t="b">
        <v>0</v>
      </c>
      <c r="H78" s="8">
        <f>1+$E78/100</f>
        <v/>
      </c>
      <c r="I78" s="8">
        <f>$F78/Parity!$H$54</f>
        <v/>
      </c>
      <c r="J78" s="16">
        <f>Parity!$F$54*$H78</f>
        <v/>
      </c>
      <c r="K78" s="8">
        <f>Parity!$I$54*$I78</f>
        <v/>
      </c>
      <c r="L78" s="8">
        <f>Parity!$J$54*$I78</f>
        <v/>
      </c>
      <c r="M78" s="16">
        <f>(Market_Weekly!$K$14-mcx_domestic_premium_inr_kg)*$H78*$I78+mcx_domestic_premium_inr_kg</f>
        <v/>
      </c>
      <c r="N78" s="15">
        <f>Parity!$N$54/Market_Weekly!$K$14</f>
        <v/>
      </c>
      <c r="O78" s="16">
        <f>$M78*$N78</f>
        <v/>
      </c>
      <c r="P78" s="18">
        <f>Parity!$AY$54</f>
        <v/>
      </c>
      <c r="Q78" s="16">
        <f>$J78*Parity!$P$54</f>
        <v/>
      </c>
      <c r="R78" s="16">
        <f>Parity!$L$54*Parity!$AG$54</f>
        <v/>
      </c>
      <c r="S78" s="16">
        <f>$Q78-$R78</f>
        <v/>
      </c>
      <c r="T78" s="16">
        <f>insurance_rate*insured_value_uplift*$Q78</f>
        <v/>
      </c>
      <c r="U78" s="16">
        <f>$Q78+$T78</f>
        <v/>
      </c>
      <c r="V78" s="18">
        <f>$U78*$L78</f>
        <v/>
      </c>
      <c r="W78" s="18">
        <f>$U78*$K78</f>
        <v/>
      </c>
      <c r="X78" s="18">
        <f>$V78*bcd_scrap_hs7602</f>
        <v/>
      </c>
      <c r="Y78" s="18">
        <f>$X78*sws_rate_on_bcd</f>
        <v/>
      </c>
      <c r="Z78" s="18">
        <f>($V78+$X78+$Y78)*igst_rate_hs7602</f>
        <v/>
      </c>
      <c r="AA78" s="18">
        <f>Parity!$X$54*Parity!$AG$54+IF(Parity!$Y$54,psic_cost_usd_per_box*$F78/Parity!$W$54,0)</f>
        <v/>
      </c>
      <c r="AB78" s="18">
        <f>($W78+$X78+$Y78)*Parity!$Z$54/day_count_inr*Parity!$O$54</f>
        <v/>
      </c>
      <c r="AC78" s="18">
        <f>$Z78*igst_credit_lag_days/day_count_inr*Parity!$O$54</f>
        <v/>
      </c>
      <c r="AD78" s="18">
        <f>$W78+$X78+$Y78+$AA78+$AB78+$AC78+IF(igst_itc_available,0,$Z78)</f>
        <v/>
      </c>
      <c r="AE78" s="18">
        <f>$O78*kg_per_mt+domestic_anchor_premium_inr_t</f>
        <v/>
      </c>
      <c r="AF78" s="18">
        <f>(1-Parity!$AA$54)*Parity!$AD$54*heavies_net_value_frac_of_lme_al*$J78*$F78</f>
        <v/>
      </c>
      <c r="AG78" s="18">
        <f>$AE78*Parity!$AU$54+$AF78-$AD78-Parity!$AX$54</f>
        <v/>
      </c>
      <c r="AH78" s="8">
        <f>$AG78&gt;margin_threshold_inr_t</f>
        <v/>
      </c>
      <c r="AI78" s="18">
        <f>($AG78-$P78)*grid_tonnes_mt</f>
        <v/>
      </c>
    </row>
    <row r="79">
      <c r="A79" s="7" t="inlineStr">
        <is>
          <t>first_eligible</t>
        </is>
      </c>
      <c r="B79" s="11" t="n">
        <v>44624</v>
      </c>
      <c r="C79" s="7" t="inlineStr">
        <is>
          <t>zorba</t>
        </is>
      </c>
      <c r="D79" s="7" t="inlineStr">
        <is>
          <t>JEA_NSA</t>
        </is>
      </c>
      <c r="E79" s="20" t="n">
        <v>5</v>
      </c>
      <c r="F79" s="7" t="n">
        <v>81</v>
      </c>
      <c r="G79" s="17" t="b">
        <v>0</v>
      </c>
      <c r="H79" s="8">
        <f>1+$E79/100</f>
        <v/>
      </c>
      <c r="I79" s="8">
        <f>$F79/Parity!$H$54</f>
        <v/>
      </c>
      <c r="J79" s="16">
        <f>Parity!$F$54*$H79</f>
        <v/>
      </c>
      <c r="K79" s="8">
        <f>Parity!$I$54*$I79</f>
        <v/>
      </c>
      <c r="L79" s="8">
        <f>Parity!$J$54*$I79</f>
        <v/>
      </c>
      <c r="M79" s="16">
        <f>(Market_Weekly!$K$14-mcx_domestic_premium_inr_kg)*$H79*$I79+mcx_domestic_premium_inr_kg</f>
        <v/>
      </c>
      <c r="N79" s="15">
        <f>Parity!$N$54/Market_Weekly!$K$14</f>
        <v/>
      </c>
      <c r="O79" s="16">
        <f>$M79*$N79</f>
        <v/>
      </c>
      <c r="P79" s="18">
        <f>Parity!$AY$54</f>
        <v/>
      </c>
      <c r="Q79" s="16">
        <f>$J79*Parity!$P$54</f>
        <v/>
      </c>
      <c r="R79" s="16">
        <f>Parity!$L$54*Parity!$AG$54</f>
        <v/>
      </c>
      <c r="S79" s="16">
        <f>$Q79-$R79</f>
        <v/>
      </c>
      <c r="T79" s="16">
        <f>insurance_rate*insured_value_uplift*$Q79</f>
        <v/>
      </c>
      <c r="U79" s="16">
        <f>$Q79+$T79</f>
        <v/>
      </c>
      <c r="V79" s="18">
        <f>$U79*$L79</f>
        <v/>
      </c>
      <c r="W79" s="18">
        <f>$U79*$K79</f>
        <v/>
      </c>
      <c r="X79" s="18">
        <f>$V79*bcd_scrap_hs7602</f>
        <v/>
      </c>
      <c r="Y79" s="18">
        <f>$X79*sws_rate_on_bcd</f>
        <v/>
      </c>
      <c r="Z79" s="18">
        <f>($V79+$X79+$Y79)*igst_rate_hs7602</f>
        <v/>
      </c>
      <c r="AA79" s="18">
        <f>Parity!$X$54*Parity!$AG$54+IF(Parity!$Y$54,psic_cost_usd_per_box*$F79/Parity!$W$54,0)</f>
        <v/>
      </c>
      <c r="AB79" s="18">
        <f>($W79+$X79+$Y79)*Parity!$Z$54/day_count_inr*Parity!$O$54</f>
        <v/>
      </c>
      <c r="AC79" s="18">
        <f>$Z79*igst_credit_lag_days/day_count_inr*Parity!$O$54</f>
        <v/>
      </c>
      <c r="AD79" s="18">
        <f>$W79+$X79+$Y79+$AA79+$AB79+$AC79+IF(igst_itc_available,0,$Z79)</f>
        <v/>
      </c>
      <c r="AE79" s="18">
        <f>$O79*kg_per_mt+domestic_anchor_premium_inr_t</f>
        <v/>
      </c>
      <c r="AF79" s="18">
        <f>(1-Parity!$AA$54)*Parity!$AD$54*heavies_net_value_frac_of_lme_al*$J79*$F79</f>
        <v/>
      </c>
      <c r="AG79" s="18">
        <f>$AE79*Parity!$AU$54+$AF79-$AD79-Parity!$AX$54</f>
        <v/>
      </c>
      <c r="AH79" s="8">
        <f>$AG79&gt;margin_threshold_inr_t</f>
        <v/>
      </c>
      <c r="AI79" s="18">
        <f>($AG79-$P79)*grid_tonnes_mt</f>
        <v/>
      </c>
    </row>
    <row r="80">
      <c r="A80" s="7" t="inlineStr">
        <is>
          <t>first_eligible</t>
        </is>
      </c>
      <c r="B80" s="11" t="n">
        <v>44624</v>
      </c>
      <c r="C80" s="7" t="inlineStr">
        <is>
          <t>zorba</t>
        </is>
      </c>
      <c r="D80" s="7" t="inlineStr">
        <is>
          <t>JEA_NSA</t>
        </is>
      </c>
      <c r="E80" s="20" t="n">
        <v>10</v>
      </c>
      <c r="F80" s="7" t="n">
        <v>81</v>
      </c>
      <c r="G80" s="17" t="b">
        <v>0</v>
      </c>
      <c r="H80" s="8">
        <f>1+$E80/100</f>
        <v/>
      </c>
      <c r="I80" s="8">
        <f>$F80/Parity!$H$54</f>
        <v/>
      </c>
      <c r="J80" s="16">
        <f>Parity!$F$54*$H80</f>
        <v/>
      </c>
      <c r="K80" s="8">
        <f>Parity!$I$54*$I80</f>
        <v/>
      </c>
      <c r="L80" s="8">
        <f>Parity!$J$54*$I80</f>
        <v/>
      </c>
      <c r="M80" s="16">
        <f>(Market_Weekly!$K$14-mcx_domestic_premium_inr_kg)*$H80*$I80+mcx_domestic_premium_inr_kg</f>
        <v/>
      </c>
      <c r="N80" s="15">
        <f>Parity!$N$54/Market_Weekly!$K$14</f>
        <v/>
      </c>
      <c r="O80" s="16">
        <f>$M80*$N80</f>
        <v/>
      </c>
      <c r="P80" s="18">
        <f>Parity!$AY$54</f>
        <v/>
      </c>
      <c r="Q80" s="16">
        <f>$J80*Parity!$P$54</f>
        <v/>
      </c>
      <c r="R80" s="16">
        <f>Parity!$L$54*Parity!$AG$54</f>
        <v/>
      </c>
      <c r="S80" s="16">
        <f>$Q80-$R80</f>
        <v/>
      </c>
      <c r="T80" s="16">
        <f>insurance_rate*insured_value_uplift*$Q80</f>
        <v/>
      </c>
      <c r="U80" s="16">
        <f>$Q80+$T80</f>
        <v/>
      </c>
      <c r="V80" s="18">
        <f>$U80*$L80</f>
        <v/>
      </c>
      <c r="W80" s="18">
        <f>$U80*$K80</f>
        <v/>
      </c>
      <c r="X80" s="18">
        <f>$V80*bcd_scrap_hs7602</f>
        <v/>
      </c>
      <c r="Y80" s="18">
        <f>$X80*sws_rate_on_bcd</f>
        <v/>
      </c>
      <c r="Z80" s="18">
        <f>($V80+$X80+$Y80)*igst_rate_hs7602</f>
        <v/>
      </c>
      <c r="AA80" s="18">
        <f>Parity!$X$54*Parity!$AG$54+IF(Parity!$Y$54,psic_cost_usd_per_box*$F80/Parity!$W$54,0)</f>
        <v/>
      </c>
      <c r="AB80" s="18">
        <f>($W80+$X80+$Y80)*Parity!$Z$54/day_count_inr*Parity!$O$54</f>
        <v/>
      </c>
      <c r="AC80" s="18">
        <f>$Z80*igst_credit_lag_days/day_count_inr*Parity!$O$54</f>
        <v/>
      </c>
      <c r="AD80" s="18">
        <f>$W80+$X80+$Y80+$AA80+$AB80+$AC80+IF(igst_itc_available,0,$Z80)</f>
        <v/>
      </c>
      <c r="AE80" s="18">
        <f>$O80*kg_per_mt+domestic_anchor_premium_inr_t</f>
        <v/>
      </c>
      <c r="AF80" s="18">
        <f>(1-Parity!$AA$54)*Parity!$AD$54*heavies_net_value_frac_of_lme_al*$J80*$F80</f>
        <v/>
      </c>
      <c r="AG80" s="18">
        <f>$AE80*Parity!$AU$54+$AF80-$AD80-Parity!$AX$54</f>
        <v/>
      </c>
      <c r="AH80" s="8">
        <f>$AG80&gt;margin_threshold_inr_t</f>
        <v/>
      </c>
      <c r="AI80" s="18">
        <f>($AG80-$P80)*grid_tonnes_mt</f>
        <v/>
      </c>
    </row>
    <row r="81">
      <c r="A81" s="7" t="inlineStr">
        <is>
          <t>first_eligible</t>
        </is>
      </c>
      <c r="B81" s="11" t="n">
        <v>44624</v>
      </c>
      <c r="C81" s="7" t="inlineStr">
        <is>
          <t>zorba</t>
        </is>
      </c>
      <c r="D81" s="7" t="inlineStr">
        <is>
          <t>JEA_NSA</t>
        </is>
      </c>
      <c r="E81" s="20" t="n">
        <v>-30</v>
      </c>
      <c r="F81" s="7" t="n">
        <v>82</v>
      </c>
      <c r="G81" s="17" t="b">
        <v>0</v>
      </c>
      <c r="H81" s="8">
        <f>1+$E81/100</f>
        <v/>
      </c>
      <c r="I81" s="8">
        <f>$F81/Parity!$H$54</f>
        <v/>
      </c>
      <c r="J81" s="16">
        <f>Parity!$F$54*$H81</f>
        <v/>
      </c>
      <c r="K81" s="8">
        <f>Parity!$I$54*$I81</f>
        <v/>
      </c>
      <c r="L81" s="8">
        <f>Parity!$J$54*$I81</f>
        <v/>
      </c>
      <c r="M81" s="16">
        <f>(Market_Weekly!$K$14-mcx_domestic_premium_inr_kg)*$H81*$I81+mcx_domestic_premium_inr_kg</f>
        <v/>
      </c>
      <c r="N81" s="15">
        <f>Parity!$N$54/Market_Weekly!$K$14</f>
        <v/>
      </c>
      <c r="O81" s="16">
        <f>$M81*$N81</f>
        <v/>
      </c>
      <c r="P81" s="18">
        <f>Parity!$AY$54</f>
        <v/>
      </c>
      <c r="Q81" s="16">
        <f>$J81*Parity!$P$54</f>
        <v/>
      </c>
      <c r="R81" s="16">
        <f>Parity!$L$54*Parity!$AG$54</f>
        <v/>
      </c>
      <c r="S81" s="16">
        <f>$Q81-$R81</f>
        <v/>
      </c>
      <c r="T81" s="16">
        <f>insurance_rate*insured_value_uplift*$Q81</f>
        <v/>
      </c>
      <c r="U81" s="16">
        <f>$Q81+$T81</f>
        <v/>
      </c>
      <c r="V81" s="18">
        <f>$U81*$L81</f>
        <v/>
      </c>
      <c r="W81" s="18">
        <f>$U81*$K81</f>
        <v/>
      </c>
      <c r="X81" s="18">
        <f>$V81*bcd_scrap_hs7602</f>
        <v/>
      </c>
      <c r="Y81" s="18">
        <f>$X81*sws_rate_on_bcd</f>
        <v/>
      </c>
      <c r="Z81" s="18">
        <f>($V81+$X81+$Y81)*igst_rate_hs7602</f>
        <v/>
      </c>
      <c r="AA81" s="18">
        <f>Parity!$X$54*Parity!$AG$54+IF(Parity!$Y$54,psic_cost_usd_per_box*$F81/Parity!$W$54,0)</f>
        <v/>
      </c>
      <c r="AB81" s="18">
        <f>($W81+$X81+$Y81)*Parity!$Z$54/day_count_inr*Parity!$O$54</f>
        <v/>
      </c>
      <c r="AC81" s="18">
        <f>$Z81*igst_credit_lag_days/day_count_inr*Parity!$O$54</f>
        <v/>
      </c>
      <c r="AD81" s="18">
        <f>$W81+$X81+$Y81+$AA81+$AB81+$AC81+IF(igst_itc_available,0,$Z81)</f>
        <v/>
      </c>
      <c r="AE81" s="18">
        <f>$O81*kg_per_mt+domestic_anchor_premium_inr_t</f>
        <v/>
      </c>
      <c r="AF81" s="18">
        <f>(1-Parity!$AA$54)*Parity!$AD$54*heavies_net_value_frac_of_lme_al*$J81*$F81</f>
        <v/>
      </c>
      <c r="AG81" s="18">
        <f>$AE81*Parity!$AU$54+$AF81-$AD81-Parity!$AX$54</f>
        <v/>
      </c>
      <c r="AH81" s="8">
        <f>$AG81&gt;margin_threshold_inr_t</f>
        <v/>
      </c>
      <c r="AI81" s="18">
        <f>($AG81-$P81)*grid_tonnes_mt</f>
        <v/>
      </c>
    </row>
    <row r="82">
      <c r="A82" s="7" t="inlineStr">
        <is>
          <t>first_eligible</t>
        </is>
      </c>
      <c r="B82" s="11" t="n">
        <v>44624</v>
      </c>
      <c r="C82" s="7" t="inlineStr">
        <is>
          <t>zorba</t>
        </is>
      </c>
      <c r="D82" s="7" t="inlineStr">
        <is>
          <t>JEA_NSA</t>
        </is>
      </c>
      <c r="E82" s="20" t="n">
        <v>-25</v>
      </c>
      <c r="F82" s="7" t="n">
        <v>82</v>
      </c>
      <c r="G82" s="17" t="b">
        <v>0</v>
      </c>
      <c r="H82" s="8">
        <f>1+$E82/100</f>
        <v/>
      </c>
      <c r="I82" s="8">
        <f>$F82/Parity!$H$54</f>
        <v/>
      </c>
      <c r="J82" s="16">
        <f>Parity!$F$54*$H82</f>
        <v/>
      </c>
      <c r="K82" s="8">
        <f>Parity!$I$54*$I82</f>
        <v/>
      </c>
      <c r="L82" s="8">
        <f>Parity!$J$54*$I82</f>
        <v/>
      </c>
      <c r="M82" s="16">
        <f>(Market_Weekly!$K$14-mcx_domestic_premium_inr_kg)*$H82*$I82+mcx_domestic_premium_inr_kg</f>
        <v/>
      </c>
      <c r="N82" s="15">
        <f>Parity!$N$54/Market_Weekly!$K$14</f>
        <v/>
      </c>
      <c r="O82" s="16">
        <f>$M82*$N82</f>
        <v/>
      </c>
      <c r="P82" s="18">
        <f>Parity!$AY$54</f>
        <v/>
      </c>
      <c r="Q82" s="16">
        <f>$J82*Parity!$P$54</f>
        <v/>
      </c>
      <c r="R82" s="16">
        <f>Parity!$L$54*Parity!$AG$54</f>
        <v/>
      </c>
      <c r="S82" s="16">
        <f>$Q82-$R82</f>
        <v/>
      </c>
      <c r="T82" s="16">
        <f>insurance_rate*insured_value_uplift*$Q82</f>
        <v/>
      </c>
      <c r="U82" s="16">
        <f>$Q82+$T82</f>
        <v/>
      </c>
      <c r="V82" s="18">
        <f>$U82*$L82</f>
        <v/>
      </c>
      <c r="W82" s="18">
        <f>$U82*$K82</f>
        <v/>
      </c>
      <c r="X82" s="18">
        <f>$V82*bcd_scrap_hs7602</f>
        <v/>
      </c>
      <c r="Y82" s="18">
        <f>$X82*sws_rate_on_bcd</f>
        <v/>
      </c>
      <c r="Z82" s="18">
        <f>($V82+$X82+$Y82)*igst_rate_hs7602</f>
        <v/>
      </c>
      <c r="AA82" s="18">
        <f>Parity!$X$54*Parity!$AG$54+IF(Parity!$Y$54,psic_cost_usd_per_box*$F82/Parity!$W$54,0)</f>
        <v/>
      </c>
      <c r="AB82" s="18">
        <f>($W82+$X82+$Y82)*Parity!$Z$54/day_count_inr*Parity!$O$54</f>
        <v/>
      </c>
      <c r="AC82" s="18">
        <f>$Z82*igst_credit_lag_days/day_count_inr*Parity!$O$54</f>
        <v/>
      </c>
      <c r="AD82" s="18">
        <f>$W82+$X82+$Y82+$AA82+$AB82+$AC82+IF(igst_itc_available,0,$Z82)</f>
        <v/>
      </c>
      <c r="AE82" s="18">
        <f>$O82*kg_per_mt+domestic_anchor_premium_inr_t</f>
        <v/>
      </c>
      <c r="AF82" s="18">
        <f>(1-Parity!$AA$54)*Parity!$AD$54*heavies_net_value_frac_of_lme_al*$J82*$F82</f>
        <v/>
      </c>
      <c r="AG82" s="18">
        <f>$AE82*Parity!$AU$54+$AF82-$AD82-Parity!$AX$54</f>
        <v/>
      </c>
      <c r="AH82" s="8">
        <f>$AG82&gt;margin_threshold_inr_t</f>
        <v/>
      </c>
      <c r="AI82" s="18">
        <f>($AG82-$P82)*grid_tonnes_mt</f>
        <v/>
      </c>
    </row>
    <row r="83">
      <c r="A83" s="7" t="inlineStr">
        <is>
          <t>first_eligible</t>
        </is>
      </c>
      <c r="B83" s="11" t="n">
        <v>44624</v>
      </c>
      <c r="C83" s="7" t="inlineStr">
        <is>
          <t>zorba</t>
        </is>
      </c>
      <c r="D83" s="7" t="inlineStr">
        <is>
          <t>JEA_NSA</t>
        </is>
      </c>
      <c r="E83" s="20" t="n">
        <v>-20</v>
      </c>
      <c r="F83" s="7" t="n">
        <v>82</v>
      </c>
      <c r="G83" s="17" t="b">
        <v>0</v>
      </c>
      <c r="H83" s="8">
        <f>1+$E83/100</f>
        <v/>
      </c>
      <c r="I83" s="8">
        <f>$F83/Parity!$H$54</f>
        <v/>
      </c>
      <c r="J83" s="16">
        <f>Parity!$F$54*$H83</f>
        <v/>
      </c>
      <c r="K83" s="8">
        <f>Parity!$I$54*$I83</f>
        <v/>
      </c>
      <c r="L83" s="8">
        <f>Parity!$J$54*$I83</f>
        <v/>
      </c>
      <c r="M83" s="16">
        <f>(Market_Weekly!$K$14-mcx_domestic_premium_inr_kg)*$H83*$I83+mcx_domestic_premium_inr_kg</f>
        <v/>
      </c>
      <c r="N83" s="15">
        <f>Parity!$N$54/Market_Weekly!$K$14</f>
        <v/>
      </c>
      <c r="O83" s="16">
        <f>$M83*$N83</f>
        <v/>
      </c>
      <c r="P83" s="18">
        <f>Parity!$AY$54</f>
        <v/>
      </c>
      <c r="Q83" s="16">
        <f>$J83*Parity!$P$54</f>
        <v/>
      </c>
      <c r="R83" s="16">
        <f>Parity!$L$54*Parity!$AG$54</f>
        <v/>
      </c>
      <c r="S83" s="16">
        <f>$Q83-$R83</f>
        <v/>
      </c>
      <c r="T83" s="16">
        <f>insurance_rate*insured_value_uplift*$Q83</f>
        <v/>
      </c>
      <c r="U83" s="16">
        <f>$Q83+$T83</f>
        <v/>
      </c>
      <c r="V83" s="18">
        <f>$U83*$L83</f>
        <v/>
      </c>
      <c r="W83" s="18">
        <f>$U83*$K83</f>
        <v/>
      </c>
      <c r="X83" s="18">
        <f>$V83*bcd_scrap_hs7602</f>
        <v/>
      </c>
      <c r="Y83" s="18">
        <f>$X83*sws_rate_on_bcd</f>
        <v/>
      </c>
      <c r="Z83" s="18">
        <f>($V83+$X83+$Y83)*igst_rate_hs7602</f>
        <v/>
      </c>
      <c r="AA83" s="18">
        <f>Parity!$X$54*Parity!$AG$54+IF(Parity!$Y$54,psic_cost_usd_per_box*$F83/Parity!$W$54,0)</f>
        <v/>
      </c>
      <c r="AB83" s="18">
        <f>($W83+$X83+$Y83)*Parity!$Z$54/day_count_inr*Parity!$O$54</f>
        <v/>
      </c>
      <c r="AC83" s="18">
        <f>$Z83*igst_credit_lag_days/day_count_inr*Parity!$O$54</f>
        <v/>
      </c>
      <c r="AD83" s="18">
        <f>$W83+$X83+$Y83+$AA83+$AB83+$AC83+IF(igst_itc_available,0,$Z83)</f>
        <v/>
      </c>
      <c r="AE83" s="18">
        <f>$O83*kg_per_mt+domestic_anchor_premium_inr_t</f>
        <v/>
      </c>
      <c r="AF83" s="18">
        <f>(1-Parity!$AA$54)*Parity!$AD$54*heavies_net_value_frac_of_lme_al*$J83*$F83</f>
        <v/>
      </c>
      <c r="AG83" s="18">
        <f>$AE83*Parity!$AU$54+$AF83-$AD83-Parity!$AX$54</f>
        <v/>
      </c>
      <c r="AH83" s="8">
        <f>$AG83&gt;margin_threshold_inr_t</f>
        <v/>
      </c>
      <c r="AI83" s="18">
        <f>($AG83-$P83)*grid_tonnes_mt</f>
        <v/>
      </c>
    </row>
    <row r="84">
      <c r="A84" s="7" t="inlineStr">
        <is>
          <t>first_eligible</t>
        </is>
      </c>
      <c r="B84" s="11" t="n">
        <v>44624</v>
      </c>
      <c r="C84" s="7" t="inlineStr">
        <is>
          <t>zorba</t>
        </is>
      </c>
      <c r="D84" s="7" t="inlineStr">
        <is>
          <t>JEA_NSA</t>
        </is>
      </c>
      <c r="E84" s="20" t="n">
        <v>-15</v>
      </c>
      <c r="F84" s="7" t="n">
        <v>82</v>
      </c>
      <c r="G84" s="17" t="b">
        <v>0</v>
      </c>
      <c r="H84" s="8">
        <f>1+$E84/100</f>
        <v/>
      </c>
      <c r="I84" s="8">
        <f>$F84/Parity!$H$54</f>
        <v/>
      </c>
      <c r="J84" s="16">
        <f>Parity!$F$54*$H84</f>
        <v/>
      </c>
      <c r="K84" s="8">
        <f>Parity!$I$54*$I84</f>
        <v/>
      </c>
      <c r="L84" s="8">
        <f>Parity!$J$54*$I84</f>
        <v/>
      </c>
      <c r="M84" s="16">
        <f>(Market_Weekly!$K$14-mcx_domestic_premium_inr_kg)*$H84*$I84+mcx_domestic_premium_inr_kg</f>
        <v/>
      </c>
      <c r="N84" s="15">
        <f>Parity!$N$54/Market_Weekly!$K$14</f>
        <v/>
      </c>
      <c r="O84" s="16">
        <f>$M84*$N84</f>
        <v/>
      </c>
      <c r="P84" s="18">
        <f>Parity!$AY$54</f>
        <v/>
      </c>
      <c r="Q84" s="16">
        <f>$J84*Parity!$P$54</f>
        <v/>
      </c>
      <c r="R84" s="16">
        <f>Parity!$L$54*Parity!$AG$54</f>
        <v/>
      </c>
      <c r="S84" s="16">
        <f>$Q84-$R84</f>
        <v/>
      </c>
      <c r="T84" s="16">
        <f>insurance_rate*insured_value_uplift*$Q84</f>
        <v/>
      </c>
      <c r="U84" s="16">
        <f>$Q84+$T84</f>
        <v/>
      </c>
      <c r="V84" s="18">
        <f>$U84*$L84</f>
        <v/>
      </c>
      <c r="W84" s="18">
        <f>$U84*$K84</f>
        <v/>
      </c>
      <c r="X84" s="18">
        <f>$V84*bcd_scrap_hs7602</f>
        <v/>
      </c>
      <c r="Y84" s="18">
        <f>$X84*sws_rate_on_bcd</f>
        <v/>
      </c>
      <c r="Z84" s="18">
        <f>($V84+$X84+$Y84)*igst_rate_hs7602</f>
        <v/>
      </c>
      <c r="AA84" s="18">
        <f>Parity!$X$54*Parity!$AG$54+IF(Parity!$Y$54,psic_cost_usd_per_box*$F84/Parity!$W$54,0)</f>
        <v/>
      </c>
      <c r="AB84" s="18">
        <f>($W84+$X84+$Y84)*Parity!$Z$54/day_count_inr*Parity!$O$54</f>
        <v/>
      </c>
      <c r="AC84" s="18">
        <f>$Z84*igst_credit_lag_days/day_count_inr*Parity!$O$54</f>
        <v/>
      </c>
      <c r="AD84" s="18">
        <f>$W84+$X84+$Y84+$AA84+$AB84+$AC84+IF(igst_itc_available,0,$Z84)</f>
        <v/>
      </c>
      <c r="AE84" s="18">
        <f>$O84*kg_per_mt+domestic_anchor_premium_inr_t</f>
        <v/>
      </c>
      <c r="AF84" s="18">
        <f>(1-Parity!$AA$54)*Parity!$AD$54*heavies_net_value_frac_of_lme_al*$J84*$F84</f>
        <v/>
      </c>
      <c r="AG84" s="18">
        <f>$AE84*Parity!$AU$54+$AF84-$AD84-Parity!$AX$54</f>
        <v/>
      </c>
      <c r="AH84" s="8">
        <f>$AG84&gt;margin_threshold_inr_t</f>
        <v/>
      </c>
      <c r="AI84" s="18">
        <f>($AG84-$P84)*grid_tonnes_mt</f>
        <v/>
      </c>
    </row>
    <row r="85">
      <c r="A85" s="7" t="inlineStr">
        <is>
          <t>first_eligible</t>
        </is>
      </c>
      <c r="B85" s="11" t="n">
        <v>44624</v>
      </c>
      <c r="C85" s="7" t="inlineStr">
        <is>
          <t>zorba</t>
        </is>
      </c>
      <c r="D85" s="7" t="inlineStr">
        <is>
          <t>JEA_NSA</t>
        </is>
      </c>
      <c r="E85" s="20" t="n">
        <v>-10</v>
      </c>
      <c r="F85" s="7" t="n">
        <v>82</v>
      </c>
      <c r="G85" s="17" t="b">
        <v>0</v>
      </c>
      <c r="H85" s="8">
        <f>1+$E85/100</f>
        <v/>
      </c>
      <c r="I85" s="8">
        <f>$F85/Parity!$H$54</f>
        <v/>
      </c>
      <c r="J85" s="16">
        <f>Parity!$F$54*$H85</f>
        <v/>
      </c>
      <c r="K85" s="8">
        <f>Parity!$I$54*$I85</f>
        <v/>
      </c>
      <c r="L85" s="8">
        <f>Parity!$J$54*$I85</f>
        <v/>
      </c>
      <c r="M85" s="16">
        <f>(Market_Weekly!$K$14-mcx_domestic_premium_inr_kg)*$H85*$I85+mcx_domestic_premium_inr_kg</f>
        <v/>
      </c>
      <c r="N85" s="15">
        <f>Parity!$N$54/Market_Weekly!$K$14</f>
        <v/>
      </c>
      <c r="O85" s="16">
        <f>$M85*$N85</f>
        <v/>
      </c>
      <c r="P85" s="18">
        <f>Parity!$AY$54</f>
        <v/>
      </c>
      <c r="Q85" s="16">
        <f>$J85*Parity!$P$54</f>
        <v/>
      </c>
      <c r="R85" s="16">
        <f>Parity!$L$54*Parity!$AG$54</f>
        <v/>
      </c>
      <c r="S85" s="16">
        <f>$Q85-$R85</f>
        <v/>
      </c>
      <c r="T85" s="16">
        <f>insurance_rate*insured_value_uplift*$Q85</f>
        <v/>
      </c>
      <c r="U85" s="16">
        <f>$Q85+$T85</f>
        <v/>
      </c>
      <c r="V85" s="18">
        <f>$U85*$L85</f>
        <v/>
      </c>
      <c r="W85" s="18">
        <f>$U85*$K85</f>
        <v/>
      </c>
      <c r="X85" s="18">
        <f>$V85*bcd_scrap_hs7602</f>
        <v/>
      </c>
      <c r="Y85" s="18">
        <f>$X85*sws_rate_on_bcd</f>
        <v/>
      </c>
      <c r="Z85" s="18">
        <f>($V85+$X85+$Y85)*igst_rate_hs7602</f>
        <v/>
      </c>
      <c r="AA85" s="18">
        <f>Parity!$X$54*Parity!$AG$54+IF(Parity!$Y$54,psic_cost_usd_per_box*$F85/Parity!$W$54,0)</f>
        <v/>
      </c>
      <c r="AB85" s="18">
        <f>($W85+$X85+$Y85)*Parity!$Z$54/day_count_inr*Parity!$O$54</f>
        <v/>
      </c>
      <c r="AC85" s="18">
        <f>$Z85*igst_credit_lag_days/day_count_inr*Parity!$O$54</f>
        <v/>
      </c>
      <c r="AD85" s="18">
        <f>$W85+$X85+$Y85+$AA85+$AB85+$AC85+IF(igst_itc_available,0,$Z85)</f>
        <v/>
      </c>
      <c r="AE85" s="18">
        <f>$O85*kg_per_mt+domestic_anchor_premium_inr_t</f>
        <v/>
      </c>
      <c r="AF85" s="18">
        <f>(1-Parity!$AA$54)*Parity!$AD$54*heavies_net_value_frac_of_lme_al*$J85*$F85</f>
        <v/>
      </c>
      <c r="AG85" s="18">
        <f>$AE85*Parity!$AU$54+$AF85-$AD85-Parity!$AX$54</f>
        <v/>
      </c>
      <c r="AH85" s="8">
        <f>$AG85&gt;margin_threshold_inr_t</f>
        <v/>
      </c>
      <c r="AI85" s="18">
        <f>($AG85-$P85)*grid_tonnes_mt</f>
        <v/>
      </c>
    </row>
    <row r="86">
      <c r="A86" s="7" t="inlineStr">
        <is>
          <t>first_eligible</t>
        </is>
      </c>
      <c r="B86" s="11" t="n">
        <v>44624</v>
      </c>
      <c r="C86" s="7" t="inlineStr">
        <is>
          <t>zorba</t>
        </is>
      </c>
      <c r="D86" s="7" t="inlineStr">
        <is>
          <t>JEA_NSA</t>
        </is>
      </c>
      <c r="E86" s="20" t="n">
        <v>-5</v>
      </c>
      <c r="F86" s="7" t="n">
        <v>82</v>
      </c>
      <c r="G86" s="17" t="b">
        <v>0</v>
      </c>
      <c r="H86" s="8">
        <f>1+$E86/100</f>
        <v/>
      </c>
      <c r="I86" s="8">
        <f>$F86/Parity!$H$54</f>
        <v/>
      </c>
      <c r="J86" s="16">
        <f>Parity!$F$54*$H86</f>
        <v/>
      </c>
      <c r="K86" s="8">
        <f>Parity!$I$54*$I86</f>
        <v/>
      </c>
      <c r="L86" s="8">
        <f>Parity!$J$54*$I86</f>
        <v/>
      </c>
      <c r="M86" s="16">
        <f>(Market_Weekly!$K$14-mcx_domestic_premium_inr_kg)*$H86*$I86+mcx_domestic_premium_inr_kg</f>
        <v/>
      </c>
      <c r="N86" s="15">
        <f>Parity!$N$54/Market_Weekly!$K$14</f>
        <v/>
      </c>
      <c r="O86" s="16">
        <f>$M86*$N86</f>
        <v/>
      </c>
      <c r="P86" s="18">
        <f>Parity!$AY$54</f>
        <v/>
      </c>
      <c r="Q86" s="16">
        <f>$J86*Parity!$P$54</f>
        <v/>
      </c>
      <c r="R86" s="16">
        <f>Parity!$L$54*Parity!$AG$54</f>
        <v/>
      </c>
      <c r="S86" s="16">
        <f>$Q86-$R86</f>
        <v/>
      </c>
      <c r="T86" s="16">
        <f>insurance_rate*insured_value_uplift*$Q86</f>
        <v/>
      </c>
      <c r="U86" s="16">
        <f>$Q86+$T86</f>
        <v/>
      </c>
      <c r="V86" s="18">
        <f>$U86*$L86</f>
        <v/>
      </c>
      <c r="W86" s="18">
        <f>$U86*$K86</f>
        <v/>
      </c>
      <c r="X86" s="18">
        <f>$V86*bcd_scrap_hs7602</f>
        <v/>
      </c>
      <c r="Y86" s="18">
        <f>$X86*sws_rate_on_bcd</f>
        <v/>
      </c>
      <c r="Z86" s="18">
        <f>($V86+$X86+$Y86)*igst_rate_hs7602</f>
        <v/>
      </c>
      <c r="AA86" s="18">
        <f>Parity!$X$54*Parity!$AG$54+IF(Parity!$Y$54,psic_cost_usd_per_box*$F86/Parity!$W$54,0)</f>
        <v/>
      </c>
      <c r="AB86" s="18">
        <f>($W86+$X86+$Y86)*Parity!$Z$54/day_count_inr*Parity!$O$54</f>
        <v/>
      </c>
      <c r="AC86" s="18">
        <f>$Z86*igst_credit_lag_days/day_count_inr*Parity!$O$54</f>
        <v/>
      </c>
      <c r="AD86" s="18">
        <f>$W86+$X86+$Y86+$AA86+$AB86+$AC86+IF(igst_itc_available,0,$Z86)</f>
        <v/>
      </c>
      <c r="AE86" s="18">
        <f>$O86*kg_per_mt+domestic_anchor_premium_inr_t</f>
        <v/>
      </c>
      <c r="AF86" s="18">
        <f>(1-Parity!$AA$54)*Parity!$AD$54*heavies_net_value_frac_of_lme_al*$J86*$F86</f>
        <v/>
      </c>
      <c r="AG86" s="18">
        <f>$AE86*Parity!$AU$54+$AF86-$AD86-Parity!$AX$54</f>
        <v/>
      </c>
      <c r="AH86" s="8">
        <f>$AG86&gt;margin_threshold_inr_t</f>
        <v/>
      </c>
      <c r="AI86" s="18">
        <f>($AG86-$P86)*grid_tonnes_mt</f>
        <v/>
      </c>
    </row>
    <row r="87">
      <c r="A87" s="7" t="inlineStr">
        <is>
          <t>first_eligible</t>
        </is>
      </c>
      <c r="B87" s="11" t="n">
        <v>44624</v>
      </c>
      <c r="C87" s="7" t="inlineStr">
        <is>
          <t>zorba</t>
        </is>
      </c>
      <c r="D87" s="7" t="inlineStr">
        <is>
          <t>JEA_NSA</t>
        </is>
      </c>
      <c r="E87" s="20" t="n">
        <v>0</v>
      </c>
      <c r="F87" s="7" t="n">
        <v>82</v>
      </c>
      <c r="G87" s="17" t="b">
        <v>0</v>
      </c>
      <c r="H87" s="8">
        <f>1+$E87/100</f>
        <v/>
      </c>
      <c r="I87" s="8">
        <f>$F87/Parity!$H$54</f>
        <v/>
      </c>
      <c r="J87" s="16">
        <f>Parity!$F$54*$H87</f>
        <v/>
      </c>
      <c r="K87" s="8">
        <f>Parity!$I$54*$I87</f>
        <v/>
      </c>
      <c r="L87" s="8">
        <f>Parity!$J$54*$I87</f>
        <v/>
      </c>
      <c r="M87" s="16">
        <f>(Market_Weekly!$K$14-mcx_domestic_premium_inr_kg)*$H87*$I87+mcx_domestic_premium_inr_kg</f>
        <v/>
      </c>
      <c r="N87" s="15">
        <f>Parity!$N$54/Market_Weekly!$K$14</f>
        <v/>
      </c>
      <c r="O87" s="16">
        <f>$M87*$N87</f>
        <v/>
      </c>
      <c r="P87" s="18">
        <f>Parity!$AY$54</f>
        <v/>
      </c>
      <c r="Q87" s="16">
        <f>$J87*Parity!$P$54</f>
        <v/>
      </c>
      <c r="R87" s="16">
        <f>Parity!$L$54*Parity!$AG$54</f>
        <v/>
      </c>
      <c r="S87" s="16">
        <f>$Q87-$R87</f>
        <v/>
      </c>
      <c r="T87" s="16">
        <f>insurance_rate*insured_value_uplift*$Q87</f>
        <v/>
      </c>
      <c r="U87" s="16">
        <f>$Q87+$T87</f>
        <v/>
      </c>
      <c r="V87" s="18">
        <f>$U87*$L87</f>
        <v/>
      </c>
      <c r="W87" s="18">
        <f>$U87*$K87</f>
        <v/>
      </c>
      <c r="X87" s="18">
        <f>$V87*bcd_scrap_hs7602</f>
        <v/>
      </c>
      <c r="Y87" s="18">
        <f>$X87*sws_rate_on_bcd</f>
        <v/>
      </c>
      <c r="Z87" s="18">
        <f>($V87+$X87+$Y87)*igst_rate_hs7602</f>
        <v/>
      </c>
      <c r="AA87" s="18">
        <f>Parity!$X$54*Parity!$AG$54+IF(Parity!$Y$54,psic_cost_usd_per_box*$F87/Parity!$W$54,0)</f>
        <v/>
      </c>
      <c r="AB87" s="18">
        <f>($W87+$X87+$Y87)*Parity!$Z$54/day_count_inr*Parity!$O$54</f>
        <v/>
      </c>
      <c r="AC87" s="18">
        <f>$Z87*igst_credit_lag_days/day_count_inr*Parity!$O$54</f>
        <v/>
      </c>
      <c r="AD87" s="18">
        <f>$W87+$X87+$Y87+$AA87+$AB87+$AC87+IF(igst_itc_available,0,$Z87)</f>
        <v/>
      </c>
      <c r="AE87" s="18">
        <f>$O87*kg_per_mt+domestic_anchor_premium_inr_t</f>
        <v/>
      </c>
      <c r="AF87" s="18">
        <f>(1-Parity!$AA$54)*Parity!$AD$54*heavies_net_value_frac_of_lme_al*$J87*$F87</f>
        <v/>
      </c>
      <c r="AG87" s="18">
        <f>$AE87*Parity!$AU$54+$AF87-$AD87-Parity!$AX$54</f>
        <v/>
      </c>
      <c r="AH87" s="8">
        <f>$AG87&gt;margin_threshold_inr_t</f>
        <v/>
      </c>
      <c r="AI87" s="18">
        <f>($AG87-$P87)*grid_tonnes_mt</f>
        <v/>
      </c>
    </row>
    <row r="88">
      <c r="A88" s="7" t="inlineStr">
        <is>
          <t>first_eligible</t>
        </is>
      </c>
      <c r="B88" s="11" t="n">
        <v>44624</v>
      </c>
      <c r="C88" s="7" t="inlineStr">
        <is>
          <t>zorba</t>
        </is>
      </c>
      <c r="D88" s="7" t="inlineStr">
        <is>
          <t>JEA_NSA</t>
        </is>
      </c>
      <c r="E88" s="20" t="n">
        <v>5</v>
      </c>
      <c r="F88" s="7" t="n">
        <v>82</v>
      </c>
      <c r="G88" s="17" t="b">
        <v>0</v>
      </c>
      <c r="H88" s="8">
        <f>1+$E88/100</f>
        <v/>
      </c>
      <c r="I88" s="8">
        <f>$F88/Parity!$H$54</f>
        <v/>
      </c>
      <c r="J88" s="16">
        <f>Parity!$F$54*$H88</f>
        <v/>
      </c>
      <c r="K88" s="8">
        <f>Parity!$I$54*$I88</f>
        <v/>
      </c>
      <c r="L88" s="8">
        <f>Parity!$J$54*$I88</f>
        <v/>
      </c>
      <c r="M88" s="16">
        <f>(Market_Weekly!$K$14-mcx_domestic_premium_inr_kg)*$H88*$I88+mcx_domestic_premium_inr_kg</f>
        <v/>
      </c>
      <c r="N88" s="15">
        <f>Parity!$N$54/Market_Weekly!$K$14</f>
        <v/>
      </c>
      <c r="O88" s="16">
        <f>$M88*$N88</f>
        <v/>
      </c>
      <c r="P88" s="18">
        <f>Parity!$AY$54</f>
        <v/>
      </c>
      <c r="Q88" s="16">
        <f>$J88*Parity!$P$54</f>
        <v/>
      </c>
      <c r="R88" s="16">
        <f>Parity!$L$54*Parity!$AG$54</f>
        <v/>
      </c>
      <c r="S88" s="16">
        <f>$Q88-$R88</f>
        <v/>
      </c>
      <c r="T88" s="16">
        <f>insurance_rate*insured_value_uplift*$Q88</f>
        <v/>
      </c>
      <c r="U88" s="16">
        <f>$Q88+$T88</f>
        <v/>
      </c>
      <c r="V88" s="18">
        <f>$U88*$L88</f>
        <v/>
      </c>
      <c r="W88" s="18">
        <f>$U88*$K88</f>
        <v/>
      </c>
      <c r="X88" s="18">
        <f>$V88*bcd_scrap_hs7602</f>
        <v/>
      </c>
      <c r="Y88" s="18">
        <f>$X88*sws_rate_on_bcd</f>
        <v/>
      </c>
      <c r="Z88" s="18">
        <f>($V88+$X88+$Y88)*igst_rate_hs7602</f>
        <v/>
      </c>
      <c r="AA88" s="18">
        <f>Parity!$X$54*Parity!$AG$54+IF(Parity!$Y$54,psic_cost_usd_per_box*$F88/Parity!$W$54,0)</f>
        <v/>
      </c>
      <c r="AB88" s="18">
        <f>($W88+$X88+$Y88)*Parity!$Z$54/day_count_inr*Parity!$O$54</f>
        <v/>
      </c>
      <c r="AC88" s="18">
        <f>$Z88*igst_credit_lag_days/day_count_inr*Parity!$O$54</f>
        <v/>
      </c>
      <c r="AD88" s="18">
        <f>$W88+$X88+$Y88+$AA88+$AB88+$AC88+IF(igst_itc_available,0,$Z88)</f>
        <v/>
      </c>
      <c r="AE88" s="18">
        <f>$O88*kg_per_mt+domestic_anchor_premium_inr_t</f>
        <v/>
      </c>
      <c r="AF88" s="18">
        <f>(1-Parity!$AA$54)*Parity!$AD$54*heavies_net_value_frac_of_lme_al*$J88*$F88</f>
        <v/>
      </c>
      <c r="AG88" s="18">
        <f>$AE88*Parity!$AU$54+$AF88-$AD88-Parity!$AX$54</f>
        <v/>
      </c>
      <c r="AH88" s="8">
        <f>$AG88&gt;margin_threshold_inr_t</f>
        <v/>
      </c>
      <c r="AI88" s="18">
        <f>($AG88-$P88)*grid_tonnes_mt</f>
        <v/>
      </c>
    </row>
    <row r="89">
      <c r="A89" s="7" t="inlineStr">
        <is>
          <t>first_eligible</t>
        </is>
      </c>
      <c r="B89" s="11" t="n">
        <v>44624</v>
      </c>
      <c r="C89" s="7" t="inlineStr">
        <is>
          <t>zorba</t>
        </is>
      </c>
      <c r="D89" s="7" t="inlineStr">
        <is>
          <t>JEA_NSA</t>
        </is>
      </c>
      <c r="E89" s="20" t="n">
        <v>10</v>
      </c>
      <c r="F89" s="7" t="n">
        <v>82</v>
      </c>
      <c r="G89" s="17" t="b">
        <v>0</v>
      </c>
      <c r="H89" s="8">
        <f>1+$E89/100</f>
        <v/>
      </c>
      <c r="I89" s="8">
        <f>$F89/Parity!$H$54</f>
        <v/>
      </c>
      <c r="J89" s="16">
        <f>Parity!$F$54*$H89</f>
        <v/>
      </c>
      <c r="K89" s="8">
        <f>Parity!$I$54*$I89</f>
        <v/>
      </c>
      <c r="L89" s="8">
        <f>Parity!$J$54*$I89</f>
        <v/>
      </c>
      <c r="M89" s="16">
        <f>(Market_Weekly!$K$14-mcx_domestic_premium_inr_kg)*$H89*$I89+mcx_domestic_premium_inr_kg</f>
        <v/>
      </c>
      <c r="N89" s="15">
        <f>Parity!$N$54/Market_Weekly!$K$14</f>
        <v/>
      </c>
      <c r="O89" s="16">
        <f>$M89*$N89</f>
        <v/>
      </c>
      <c r="P89" s="18">
        <f>Parity!$AY$54</f>
        <v/>
      </c>
      <c r="Q89" s="16">
        <f>$J89*Parity!$P$54</f>
        <v/>
      </c>
      <c r="R89" s="16">
        <f>Parity!$L$54*Parity!$AG$54</f>
        <v/>
      </c>
      <c r="S89" s="16">
        <f>$Q89-$R89</f>
        <v/>
      </c>
      <c r="T89" s="16">
        <f>insurance_rate*insured_value_uplift*$Q89</f>
        <v/>
      </c>
      <c r="U89" s="16">
        <f>$Q89+$T89</f>
        <v/>
      </c>
      <c r="V89" s="18">
        <f>$U89*$L89</f>
        <v/>
      </c>
      <c r="W89" s="18">
        <f>$U89*$K89</f>
        <v/>
      </c>
      <c r="X89" s="18">
        <f>$V89*bcd_scrap_hs7602</f>
        <v/>
      </c>
      <c r="Y89" s="18">
        <f>$X89*sws_rate_on_bcd</f>
        <v/>
      </c>
      <c r="Z89" s="18">
        <f>($V89+$X89+$Y89)*igst_rate_hs7602</f>
        <v/>
      </c>
      <c r="AA89" s="18">
        <f>Parity!$X$54*Parity!$AG$54+IF(Parity!$Y$54,psic_cost_usd_per_box*$F89/Parity!$W$54,0)</f>
        <v/>
      </c>
      <c r="AB89" s="18">
        <f>($W89+$X89+$Y89)*Parity!$Z$54/day_count_inr*Parity!$O$54</f>
        <v/>
      </c>
      <c r="AC89" s="18">
        <f>$Z89*igst_credit_lag_days/day_count_inr*Parity!$O$54</f>
        <v/>
      </c>
      <c r="AD89" s="18">
        <f>$W89+$X89+$Y89+$AA89+$AB89+$AC89+IF(igst_itc_available,0,$Z89)</f>
        <v/>
      </c>
      <c r="AE89" s="18">
        <f>$O89*kg_per_mt+domestic_anchor_premium_inr_t</f>
        <v/>
      </c>
      <c r="AF89" s="18">
        <f>(1-Parity!$AA$54)*Parity!$AD$54*heavies_net_value_frac_of_lme_al*$J89*$F89</f>
        <v/>
      </c>
      <c r="AG89" s="18">
        <f>$AE89*Parity!$AU$54+$AF89-$AD89-Parity!$AX$54</f>
        <v/>
      </c>
      <c r="AH89" s="8">
        <f>$AG89&gt;margin_threshold_inr_t</f>
        <v/>
      </c>
      <c r="AI89" s="18">
        <f>($AG89-$P89)*grid_tonnes_mt</f>
        <v/>
      </c>
    </row>
    <row r="90">
      <c r="A90" s="7" t="inlineStr">
        <is>
          <t>first_eligible</t>
        </is>
      </c>
      <c r="B90" s="11" t="n">
        <v>44624</v>
      </c>
      <c r="C90" s="7" t="inlineStr">
        <is>
          <t>zorba</t>
        </is>
      </c>
      <c r="D90" s="7" t="inlineStr">
        <is>
          <t>JEA_NSA</t>
        </is>
      </c>
      <c r="E90" s="20" t="n">
        <v>-30</v>
      </c>
      <c r="F90" s="7" t="n">
        <v>76.34310000000001</v>
      </c>
      <c r="G90" s="17" t="b">
        <v>1</v>
      </c>
      <c r="H90" s="8">
        <f>1+$E90/100</f>
        <v/>
      </c>
      <c r="I90" s="8">
        <f>$F90/Parity!$H$54</f>
        <v/>
      </c>
      <c r="J90" s="16">
        <f>Parity!$F$54*$H90</f>
        <v/>
      </c>
      <c r="K90" s="8">
        <f>Parity!$I$54*$I90</f>
        <v/>
      </c>
      <c r="L90" s="8">
        <f>Parity!$J$54*$I90</f>
        <v/>
      </c>
      <c r="M90" s="16">
        <f>(Market_Weekly!$K$14-mcx_domestic_premium_inr_kg)*$H90*$I90+mcx_domestic_premium_inr_kg</f>
        <v/>
      </c>
      <c r="N90" s="15">
        <f>Parity!$N$54/Market_Weekly!$K$14</f>
        <v/>
      </c>
      <c r="O90" s="16">
        <f>$M90*$N90</f>
        <v/>
      </c>
      <c r="P90" s="18">
        <f>Parity!$AY$54</f>
        <v/>
      </c>
      <c r="Q90" s="16">
        <f>$J90*Parity!$P$54</f>
        <v/>
      </c>
      <c r="R90" s="16">
        <f>Parity!$L$54*Parity!$AG$54</f>
        <v/>
      </c>
      <c r="S90" s="16">
        <f>$Q90-$R90</f>
        <v/>
      </c>
      <c r="T90" s="16">
        <f>insurance_rate*insured_value_uplift*$Q90</f>
        <v/>
      </c>
      <c r="U90" s="16">
        <f>$Q90+$T90</f>
        <v/>
      </c>
      <c r="V90" s="18">
        <f>$U90*$L90</f>
        <v/>
      </c>
      <c r="W90" s="18">
        <f>$U90*$K90</f>
        <v/>
      </c>
      <c r="X90" s="18">
        <f>$V90*bcd_scrap_hs7602</f>
        <v/>
      </c>
      <c r="Y90" s="18">
        <f>$X90*sws_rate_on_bcd</f>
        <v/>
      </c>
      <c r="Z90" s="18">
        <f>($V90+$X90+$Y90)*igst_rate_hs7602</f>
        <v/>
      </c>
      <c r="AA90" s="18">
        <f>Parity!$X$54*Parity!$AG$54+IF(Parity!$Y$54,psic_cost_usd_per_box*$F90/Parity!$W$54,0)</f>
        <v/>
      </c>
      <c r="AB90" s="18">
        <f>($W90+$X90+$Y90)*Parity!$Z$54/day_count_inr*Parity!$O$54</f>
        <v/>
      </c>
      <c r="AC90" s="18">
        <f>$Z90*igst_credit_lag_days/day_count_inr*Parity!$O$54</f>
        <v/>
      </c>
      <c r="AD90" s="18">
        <f>$W90+$X90+$Y90+$AA90+$AB90+$AC90+IF(igst_itc_available,0,$Z90)</f>
        <v/>
      </c>
      <c r="AE90" s="18">
        <f>$O90*kg_per_mt+domestic_anchor_premium_inr_t</f>
        <v/>
      </c>
      <c r="AF90" s="18">
        <f>(1-Parity!$AA$54)*Parity!$AD$54*heavies_net_value_frac_of_lme_al*$J90*$F90</f>
        <v/>
      </c>
      <c r="AG90" s="18">
        <f>$AE90*Parity!$AU$54+$AF90-$AD90-Parity!$AX$54</f>
        <v/>
      </c>
      <c r="AH90" s="8">
        <f>$AG90&gt;margin_threshold_inr_t</f>
        <v/>
      </c>
      <c r="AI90" s="18">
        <f>($AG90-$P90)*grid_tonnes_mt</f>
        <v/>
      </c>
    </row>
    <row r="91">
      <c r="A91" s="7" t="inlineStr">
        <is>
          <t>first_eligible</t>
        </is>
      </c>
      <c r="B91" s="11" t="n">
        <v>44624</v>
      </c>
      <c r="C91" s="7" t="inlineStr">
        <is>
          <t>zorba</t>
        </is>
      </c>
      <c r="D91" s="7" t="inlineStr">
        <is>
          <t>JEA_NSA</t>
        </is>
      </c>
      <c r="E91" s="20" t="n">
        <v>-25</v>
      </c>
      <c r="F91" s="7" t="n">
        <v>76.34310000000001</v>
      </c>
      <c r="G91" s="17" t="b">
        <v>1</v>
      </c>
      <c r="H91" s="8">
        <f>1+$E91/100</f>
        <v/>
      </c>
      <c r="I91" s="8">
        <f>$F91/Parity!$H$54</f>
        <v/>
      </c>
      <c r="J91" s="16">
        <f>Parity!$F$54*$H91</f>
        <v/>
      </c>
      <c r="K91" s="8">
        <f>Parity!$I$54*$I91</f>
        <v/>
      </c>
      <c r="L91" s="8">
        <f>Parity!$J$54*$I91</f>
        <v/>
      </c>
      <c r="M91" s="16">
        <f>(Market_Weekly!$K$14-mcx_domestic_premium_inr_kg)*$H91*$I91+mcx_domestic_premium_inr_kg</f>
        <v/>
      </c>
      <c r="N91" s="15">
        <f>Parity!$N$54/Market_Weekly!$K$14</f>
        <v/>
      </c>
      <c r="O91" s="16">
        <f>$M91*$N91</f>
        <v/>
      </c>
      <c r="P91" s="18">
        <f>Parity!$AY$54</f>
        <v/>
      </c>
      <c r="Q91" s="16">
        <f>$J91*Parity!$P$54</f>
        <v/>
      </c>
      <c r="R91" s="16">
        <f>Parity!$L$54*Parity!$AG$54</f>
        <v/>
      </c>
      <c r="S91" s="16">
        <f>$Q91-$R91</f>
        <v/>
      </c>
      <c r="T91" s="16">
        <f>insurance_rate*insured_value_uplift*$Q91</f>
        <v/>
      </c>
      <c r="U91" s="16">
        <f>$Q91+$T91</f>
        <v/>
      </c>
      <c r="V91" s="18">
        <f>$U91*$L91</f>
        <v/>
      </c>
      <c r="W91" s="18">
        <f>$U91*$K91</f>
        <v/>
      </c>
      <c r="X91" s="18">
        <f>$V91*bcd_scrap_hs7602</f>
        <v/>
      </c>
      <c r="Y91" s="18">
        <f>$X91*sws_rate_on_bcd</f>
        <v/>
      </c>
      <c r="Z91" s="18">
        <f>($V91+$X91+$Y91)*igst_rate_hs7602</f>
        <v/>
      </c>
      <c r="AA91" s="18">
        <f>Parity!$X$54*Parity!$AG$54+IF(Parity!$Y$54,psic_cost_usd_per_box*$F91/Parity!$W$54,0)</f>
        <v/>
      </c>
      <c r="AB91" s="18">
        <f>($W91+$X91+$Y91)*Parity!$Z$54/day_count_inr*Parity!$O$54</f>
        <v/>
      </c>
      <c r="AC91" s="18">
        <f>$Z91*igst_credit_lag_days/day_count_inr*Parity!$O$54</f>
        <v/>
      </c>
      <c r="AD91" s="18">
        <f>$W91+$X91+$Y91+$AA91+$AB91+$AC91+IF(igst_itc_available,0,$Z91)</f>
        <v/>
      </c>
      <c r="AE91" s="18">
        <f>$O91*kg_per_mt+domestic_anchor_premium_inr_t</f>
        <v/>
      </c>
      <c r="AF91" s="18">
        <f>(1-Parity!$AA$54)*Parity!$AD$54*heavies_net_value_frac_of_lme_al*$J91*$F91</f>
        <v/>
      </c>
      <c r="AG91" s="18">
        <f>$AE91*Parity!$AU$54+$AF91-$AD91-Parity!$AX$54</f>
        <v/>
      </c>
      <c r="AH91" s="8">
        <f>$AG91&gt;margin_threshold_inr_t</f>
        <v/>
      </c>
      <c r="AI91" s="18">
        <f>($AG91-$P91)*grid_tonnes_mt</f>
        <v/>
      </c>
    </row>
    <row r="92">
      <c r="A92" s="7" t="inlineStr">
        <is>
          <t>first_eligible</t>
        </is>
      </c>
      <c r="B92" s="11" t="n">
        <v>44624</v>
      </c>
      <c r="C92" s="7" t="inlineStr">
        <is>
          <t>zorba</t>
        </is>
      </c>
      <c r="D92" s="7" t="inlineStr">
        <is>
          <t>JEA_NSA</t>
        </is>
      </c>
      <c r="E92" s="20" t="n">
        <v>-20</v>
      </c>
      <c r="F92" s="7" t="n">
        <v>76.34310000000001</v>
      </c>
      <c r="G92" s="17" t="b">
        <v>1</v>
      </c>
      <c r="H92" s="8">
        <f>1+$E92/100</f>
        <v/>
      </c>
      <c r="I92" s="8">
        <f>$F92/Parity!$H$54</f>
        <v/>
      </c>
      <c r="J92" s="16">
        <f>Parity!$F$54*$H92</f>
        <v/>
      </c>
      <c r="K92" s="8">
        <f>Parity!$I$54*$I92</f>
        <v/>
      </c>
      <c r="L92" s="8">
        <f>Parity!$J$54*$I92</f>
        <v/>
      </c>
      <c r="M92" s="16">
        <f>(Market_Weekly!$K$14-mcx_domestic_premium_inr_kg)*$H92*$I92+mcx_domestic_premium_inr_kg</f>
        <v/>
      </c>
      <c r="N92" s="15">
        <f>Parity!$N$54/Market_Weekly!$K$14</f>
        <v/>
      </c>
      <c r="O92" s="16">
        <f>$M92*$N92</f>
        <v/>
      </c>
      <c r="P92" s="18">
        <f>Parity!$AY$54</f>
        <v/>
      </c>
      <c r="Q92" s="16">
        <f>$J92*Parity!$P$54</f>
        <v/>
      </c>
      <c r="R92" s="16">
        <f>Parity!$L$54*Parity!$AG$54</f>
        <v/>
      </c>
      <c r="S92" s="16">
        <f>$Q92-$R92</f>
        <v/>
      </c>
      <c r="T92" s="16">
        <f>insurance_rate*insured_value_uplift*$Q92</f>
        <v/>
      </c>
      <c r="U92" s="16">
        <f>$Q92+$T92</f>
        <v/>
      </c>
      <c r="V92" s="18">
        <f>$U92*$L92</f>
        <v/>
      </c>
      <c r="W92" s="18">
        <f>$U92*$K92</f>
        <v/>
      </c>
      <c r="X92" s="18">
        <f>$V92*bcd_scrap_hs7602</f>
        <v/>
      </c>
      <c r="Y92" s="18">
        <f>$X92*sws_rate_on_bcd</f>
        <v/>
      </c>
      <c r="Z92" s="18">
        <f>($V92+$X92+$Y92)*igst_rate_hs7602</f>
        <v/>
      </c>
      <c r="AA92" s="18">
        <f>Parity!$X$54*Parity!$AG$54+IF(Parity!$Y$54,psic_cost_usd_per_box*$F92/Parity!$W$54,0)</f>
        <v/>
      </c>
      <c r="AB92" s="18">
        <f>($W92+$X92+$Y92)*Parity!$Z$54/day_count_inr*Parity!$O$54</f>
        <v/>
      </c>
      <c r="AC92" s="18">
        <f>$Z92*igst_credit_lag_days/day_count_inr*Parity!$O$54</f>
        <v/>
      </c>
      <c r="AD92" s="18">
        <f>$W92+$X92+$Y92+$AA92+$AB92+$AC92+IF(igst_itc_available,0,$Z92)</f>
        <v/>
      </c>
      <c r="AE92" s="18">
        <f>$O92*kg_per_mt+domestic_anchor_premium_inr_t</f>
        <v/>
      </c>
      <c r="AF92" s="18">
        <f>(1-Parity!$AA$54)*Parity!$AD$54*heavies_net_value_frac_of_lme_al*$J92*$F92</f>
        <v/>
      </c>
      <c r="AG92" s="18">
        <f>$AE92*Parity!$AU$54+$AF92-$AD92-Parity!$AX$54</f>
        <v/>
      </c>
      <c r="AH92" s="8">
        <f>$AG92&gt;margin_threshold_inr_t</f>
        <v/>
      </c>
      <c r="AI92" s="18">
        <f>($AG92-$P92)*grid_tonnes_mt</f>
        <v/>
      </c>
    </row>
    <row r="93">
      <c r="A93" s="7" t="inlineStr">
        <is>
          <t>first_eligible</t>
        </is>
      </c>
      <c r="B93" s="11" t="n">
        <v>44624</v>
      </c>
      <c r="C93" s="7" t="inlineStr">
        <is>
          <t>zorba</t>
        </is>
      </c>
      <c r="D93" s="7" t="inlineStr">
        <is>
          <t>JEA_NSA</t>
        </is>
      </c>
      <c r="E93" s="20" t="n">
        <v>-15</v>
      </c>
      <c r="F93" s="7" t="n">
        <v>76.34310000000001</v>
      </c>
      <c r="G93" s="17" t="b">
        <v>1</v>
      </c>
      <c r="H93" s="8">
        <f>1+$E93/100</f>
        <v/>
      </c>
      <c r="I93" s="8">
        <f>$F93/Parity!$H$54</f>
        <v/>
      </c>
      <c r="J93" s="16">
        <f>Parity!$F$54*$H93</f>
        <v/>
      </c>
      <c r="K93" s="8">
        <f>Parity!$I$54*$I93</f>
        <v/>
      </c>
      <c r="L93" s="8">
        <f>Parity!$J$54*$I93</f>
        <v/>
      </c>
      <c r="M93" s="16">
        <f>(Market_Weekly!$K$14-mcx_domestic_premium_inr_kg)*$H93*$I93+mcx_domestic_premium_inr_kg</f>
        <v/>
      </c>
      <c r="N93" s="15">
        <f>Parity!$N$54/Market_Weekly!$K$14</f>
        <v/>
      </c>
      <c r="O93" s="16">
        <f>$M93*$N93</f>
        <v/>
      </c>
      <c r="P93" s="18">
        <f>Parity!$AY$54</f>
        <v/>
      </c>
      <c r="Q93" s="16">
        <f>$J93*Parity!$P$54</f>
        <v/>
      </c>
      <c r="R93" s="16">
        <f>Parity!$L$54*Parity!$AG$54</f>
        <v/>
      </c>
      <c r="S93" s="16">
        <f>$Q93-$R93</f>
        <v/>
      </c>
      <c r="T93" s="16">
        <f>insurance_rate*insured_value_uplift*$Q93</f>
        <v/>
      </c>
      <c r="U93" s="16">
        <f>$Q93+$T93</f>
        <v/>
      </c>
      <c r="V93" s="18">
        <f>$U93*$L93</f>
        <v/>
      </c>
      <c r="W93" s="18">
        <f>$U93*$K93</f>
        <v/>
      </c>
      <c r="X93" s="18">
        <f>$V93*bcd_scrap_hs7602</f>
        <v/>
      </c>
      <c r="Y93" s="18">
        <f>$X93*sws_rate_on_bcd</f>
        <v/>
      </c>
      <c r="Z93" s="18">
        <f>($V93+$X93+$Y93)*igst_rate_hs7602</f>
        <v/>
      </c>
      <c r="AA93" s="18">
        <f>Parity!$X$54*Parity!$AG$54+IF(Parity!$Y$54,psic_cost_usd_per_box*$F93/Parity!$W$54,0)</f>
        <v/>
      </c>
      <c r="AB93" s="18">
        <f>($W93+$X93+$Y93)*Parity!$Z$54/day_count_inr*Parity!$O$54</f>
        <v/>
      </c>
      <c r="AC93" s="18">
        <f>$Z93*igst_credit_lag_days/day_count_inr*Parity!$O$54</f>
        <v/>
      </c>
      <c r="AD93" s="18">
        <f>$W93+$X93+$Y93+$AA93+$AB93+$AC93+IF(igst_itc_available,0,$Z93)</f>
        <v/>
      </c>
      <c r="AE93" s="18">
        <f>$O93*kg_per_mt+domestic_anchor_premium_inr_t</f>
        <v/>
      </c>
      <c r="AF93" s="18">
        <f>(1-Parity!$AA$54)*Parity!$AD$54*heavies_net_value_frac_of_lme_al*$J93*$F93</f>
        <v/>
      </c>
      <c r="AG93" s="18">
        <f>$AE93*Parity!$AU$54+$AF93-$AD93-Parity!$AX$54</f>
        <v/>
      </c>
      <c r="AH93" s="8">
        <f>$AG93&gt;margin_threshold_inr_t</f>
        <v/>
      </c>
      <c r="AI93" s="18">
        <f>($AG93-$P93)*grid_tonnes_mt</f>
        <v/>
      </c>
    </row>
    <row r="94">
      <c r="A94" s="7" t="inlineStr">
        <is>
          <t>first_eligible</t>
        </is>
      </c>
      <c r="B94" s="11" t="n">
        <v>44624</v>
      </c>
      <c r="C94" s="7" t="inlineStr">
        <is>
          <t>zorba</t>
        </is>
      </c>
      <c r="D94" s="7" t="inlineStr">
        <is>
          <t>JEA_NSA</t>
        </is>
      </c>
      <c r="E94" s="20" t="n">
        <v>-10</v>
      </c>
      <c r="F94" s="7" t="n">
        <v>76.34310000000001</v>
      </c>
      <c r="G94" s="17" t="b">
        <v>1</v>
      </c>
      <c r="H94" s="8">
        <f>1+$E94/100</f>
        <v/>
      </c>
      <c r="I94" s="8">
        <f>$F94/Parity!$H$54</f>
        <v/>
      </c>
      <c r="J94" s="16">
        <f>Parity!$F$54*$H94</f>
        <v/>
      </c>
      <c r="K94" s="8">
        <f>Parity!$I$54*$I94</f>
        <v/>
      </c>
      <c r="L94" s="8">
        <f>Parity!$J$54*$I94</f>
        <v/>
      </c>
      <c r="M94" s="16">
        <f>(Market_Weekly!$K$14-mcx_domestic_premium_inr_kg)*$H94*$I94+mcx_domestic_premium_inr_kg</f>
        <v/>
      </c>
      <c r="N94" s="15">
        <f>Parity!$N$54/Market_Weekly!$K$14</f>
        <v/>
      </c>
      <c r="O94" s="16">
        <f>$M94*$N94</f>
        <v/>
      </c>
      <c r="P94" s="18">
        <f>Parity!$AY$54</f>
        <v/>
      </c>
      <c r="Q94" s="16">
        <f>$J94*Parity!$P$54</f>
        <v/>
      </c>
      <c r="R94" s="16">
        <f>Parity!$L$54*Parity!$AG$54</f>
        <v/>
      </c>
      <c r="S94" s="16">
        <f>$Q94-$R94</f>
        <v/>
      </c>
      <c r="T94" s="16">
        <f>insurance_rate*insured_value_uplift*$Q94</f>
        <v/>
      </c>
      <c r="U94" s="16">
        <f>$Q94+$T94</f>
        <v/>
      </c>
      <c r="V94" s="18">
        <f>$U94*$L94</f>
        <v/>
      </c>
      <c r="W94" s="18">
        <f>$U94*$K94</f>
        <v/>
      </c>
      <c r="X94" s="18">
        <f>$V94*bcd_scrap_hs7602</f>
        <v/>
      </c>
      <c r="Y94" s="18">
        <f>$X94*sws_rate_on_bcd</f>
        <v/>
      </c>
      <c r="Z94" s="18">
        <f>($V94+$X94+$Y94)*igst_rate_hs7602</f>
        <v/>
      </c>
      <c r="AA94" s="18">
        <f>Parity!$X$54*Parity!$AG$54+IF(Parity!$Y$54,psic_cost_usd_per_box*$F94/Parity!$W$54,0)</f>
        <v/>
      </c>
      <c r="AB94" s="18">
        <f>($W94+$X94+$Y94)*Parity!$Z$54/day_count_inr*Parity!$O$54</f>
        <v/>
      </c>
      <c r="AC94" s="18">
        <f>$Z94*igst_credit_lag_days/day_count_inr*Parity!$O$54</f>
        <v/>
      </c>
      <c r="AD94" s="18">
        <f>$W94+$X94+$Y94+$AA94+$AB94+$AC94+IF(igst_itc_available,0,$Z94)</f>
        <v/>
      </c>
      <c r="AE94" s="18">
        <f>$O94*kg_per_mt+domestic_anchor_premium_inr_t</f>
        <v/>
      </c>
      <c r="AF94" s="18">
        <f>(1-Parity!$AA$54)*Parity!$AD$54*heavies_net_value_frac_of_lme_al*$J94*$F94</f>
        <v/>
      </c>
      <c r="AG94" s="18">
        <f>$AE94*Parity!$AU$54+$AF94-$AD94-Parity!$AX$54</f>
        <v/>
      </c>
      <c r="AH94" s="8">
        <f>$AG94&gt;margin_threshold_inr_t</f>
        <v/>
      </c>
      <c r="AI94" s="18">
        <f>($AG94-$P94)*grid_tonnes_mt</f>
        <v/>
      </c>
    </row>
    <row r="95">
      <c r="A95" s="7" t="inlineStr">
        <is>
          <t>first_eligible</t>
        </is>
      </c>
      <c r="B95" s="11" t="n">
        <v>44624</v>
      </c>
      <c r="C95" s="7" t="inlineStr">
        <is>
          <t>zorba</t>
        </is>
      </c>
      <c r="D95" s="7" t="inlineStr">
        <is>
          <t>JEA_NSA</t>
        </is>
      </c>
      <c r="E95" s="20" t="n">
        <v>-5</v>
      </c>
      <c r="F95" s="7" t="n">
        <v>76.34310000000001</v>
      </c>
      <c r="G95" s="17" t="b">
        <v>1</v>
      </c>
      <c r="H95" s="8">
        <f>1+$E95/100</f>
        <v/>
      </c>
      <c r="I95" s="8">
        <f>$F95/Parity!$H$54</f>
        <v/>
      </c>
      <c r="J95" s="16">
        <f>Parity!$F$54*$H95</f>
        <v/>
      </c>
      <c r="K95" s="8">
        <f>Parity!$I$54*$I95</f>
        <v/>
      </c>
      <c r="L95" s="8">
        <f>Parity!$J$54*$I95</f>
        <v/>
      </c>
      <c r="M95" s="16">
        <f>(Market_Weekly!$K$14-mcx_domestic_premium_inr_kg)*$H95*$I95+mcx_domestic_premium_inr_kg</f>
        <v/>
      </c>
      <c r="N95" s="15">
        <f>Parity!$N$54/Market_Weekly!$K$14</f>
        <v/>
      </c>
      <c r="O95" s="16">
        <f>$M95*$N95</f>
        <v/>
      </c>
      <c r="P95" s="18">
        <f>Parity!$AY$54</f>
        <v/>
      </c>
      <c r="Q95" s="16">
        <f>$J95*Parity!$P$54</f>
        <v/>
      </c>
      <c r="R95" s="16">
        <f>Parity!$L$54*Parity!$AG$54</f>
        <v/>
      </c>
      <c r="S95" s="16">
        <f>$Q95-$R95</f>
        <v/>
      </c>
      <c r="T95" s="16">
        <f>insurance_rate*insured_value_uplift*$Q95</f>
        <v/>
      </c>
      <c r="U95" s="16">
        <f>$Q95+$T95</f>
        <v/>
      </c>
      <c r="V95" s="18">
        <f>$U95*$L95</f>
        <v/>
      </c>
      <c r="W95" s="18">
        <f>$U95*$K95</f>
        <v/>
      </c>
      <c r="X95" s="18">
        <f>$V95*bcd_scrap_hs7602</f>
        <v/>
      </c>
      <c r="Y95" s="18">
        <f>$X95*sws_rate_on_bcd</f>
        <v/>
      </c>
      <c r="Z95" s="18">
        <f>($V95+$X95+$Y95)*igst_rate_hs7602</f>
        <v/>
      </c>
      <c r="AA95" s="18">
        <f>Parity!$X$54*Parity!$AG$54+IF(Parity!$Y$54,psic_cost_usd_per_box*$F95/Parity!$W$54,0)</f>
        <v/>
      </c>
      <c r="AB95" s="18">
        <f>($W95+$X95+$Y95)*Parity!$Z$54/day_count_inr*Parity!$O$54</f>
        <v/>
      </c>
      <c r="AC95" s="18">
        <f>$Z95*igst_credit_lag_days/day_count_inr*Parity!$O$54</f>
        <v/>
      </c>
      <c r="AD95" s="18">
        <f>$W95+$X95+$Y95+$AA95+$AB95+$AC95+IF(igst_itc_available,0,$Z95)</f>
        <v/>
      </c>
      <c r="AE95" s="18">
        <f>$O95*kg_per_mt+domestic_anchor_premium_inr_t</f>
        <v/>
      </c>
      <c r="AF95" s="18">
        <f>(1-Parity!$AA$54)*Parity!$AD$54*heavies_net_value_frac_of_lme_al*$J95*$F95</f>
        <v/>
      </c>
      <c r="AG95" s="18">
        <f>$AE95*Parity!$AU$54+$AF95-$AD95-Parity!$AX$54</f>
        <v/>
      </c>
      <c r="AH95" s="8">
        <f>$AG95&gt;margin_threshold_inr_t</f>
        <v/>
      </c>
      <c r="AI95" s="18">
        <f>($AG95-$P95)*grid_tonnes_mt</f>
        <v/>
      </c>
    </row>
    <row r="96">
      <c r="A96" s="7" t="inlineStr">
        <is>
          <t>first_eligible</t>
        </is>
      </c>
      <c r="B96" s="11" t="n">
        <v>44624</v>
      </c>
      <c r="C96" s="7" t="inlineStr">
        <is>
          <t>zorba</t>
        </is>
      </c>
      <c r="D96" s="7" t="inlineStr">
        <is>
          <t>JEA_NSA</t>
        </is>
      </c>
      <c r="E96" s="20" t="n">
        <v>0</v>
      </c>
      <c r="F96" s="7" t="n">
        <v>76.34310000000001</v>
      </c>
      <c r="G96" s="17" t="b">
        <v>1</v>
      </c>
      <c r="H96" s="8">
        <f>1+$E96/100</f>
        <v/>
      </c>
      <c r="I96" s="8">
        <f>$F96/Parity!$H$54</f>
        <v/>
      </c>
      <c r="J96" s="16">
        <f>Parity!$F$54*$H96</f>
        <v/>
      </c>
      <c r="K96" s="8">
        <f>Parity!$I$54*$I96</f>
        <v/>
      </c>
      <c r="L96" s="8">
        <f>Parity!$J$54*$I96</f>
        <v/>
      </c>
      <c r="M96" s="16">
        <f>(Market_Weekly!$K$14-mcx_domestic_premium_inr_kg)*$H96*$I96+mcx_domestic_premium_inr_kg</f>
        <v/>
      </c>
      <c r="N96" s="15">
        <f>Parity!$N$54/Market_Weekly!$K$14</f>
        <v/>
      </c>
      <c r="O96" s="16">
        <f>$M96*$N96</f>
        <v/>
      </c>
      <c r="P96" s="18">
        <f>Parity!$AY$54</f>
        <v/>
      </c>
      <c r="Q96" s="16">
        <f>$J96*Parity!$P$54</f>
        <v/>
      </c>
      <c r="R96" s="16">
        <f>Parity!$L$54*Parity!$AG$54</f>
        <v/>
      </c>
      <c r="S96" s="16">
        <f>$Q96-$R96</f>
        <v/>
      </c>
      <c r="T96" s="16">
        <f>insurance_rate*insured_value_uplift*$Q96</f>
        <v/>
      </c>
      <c r="U96" s="16">
        <f>$Q96+$T96</f>
        <v/>
      </c>
      <c r="V96" s="18">
        <f>$U96*$L96</f>
        <v/>
      </c>
      <c r="W96" s="18">
        <f>$U96*$K96</f>
        <v/>
      </c>
      <c r="X96" s="18">
        <f>$V96*bcd_scrap_hs7602</f>
        <v/>
      </c>
      <c r="Y96" s="18">
        <f>$X96*sws_rate_on_bcd</f>
        <v/>
      </c>
      <c r="Z96" s="18">
        <f>($V96+$X96+$Y96)*igst_rate_hs7602</f>
        <v/>
      </c>
      <c r="AA96" s="18">
        <f>Parity!$X$54*Parity!$AG$54+IF(Parity!$Y$54,psic_cost_usd_per_box*$F96/Parity!$W$54,0)</f>
        <v/>
      </c>
      <c r="AB96" s="18">
        <f>($W96+$X96+$Y96)*Parity!$Z$54/day_count_inr*Parity!$O$54</f>
        <v/>
      </c>
      <c r="AC96" s="18">
        <f>$Z96*igst_credit_lag_days/day_count_inr*Parity!$O$54</f>
        <v/>
      </c>
      <c r="AD96" s="18">
        <f>$W96+$X96+$Y96+$AA96+$AB96+$AC96+IF(igst_itc_available,0,$Z96)</f>
        <v/>
      </c>
      <c r="AE96" s="18">
        <f>$O96*kg_per_mt+domestic_anchor_premium_inr_t</f>
        <v/>
      </c>
      <c r="AF96" s="18">
        <f>(1-Parity!$AA$54)*Parity!$AD$54*heavies_net_value_frac_of_lme_al*$J96*$F96</f>
        <v/>
      </c>
      <c r="AG96" s="18">
        <f>$AE96*Parity!$AU$54+$AF96-$AD96-Parity!$AX$54</f>
        <v/>
      </c>
      <c r="AH96" s="8">
        <f>$AG96&gt;margin_threshold_inr_t</f>
        <v/>
      </c>
      <c r="AI96" s="18">
        <f>($AG96-$P96)*grid_tonnes_mt</f>
        <v/>
      </c>
    </row>
    <row r="97">
      <c r="A97" s="7" t="inlineStr">
        <is>
          <t>first_eligible</t>
        </is>
      </c>
      <c r="B97" s="11" t="n">
        <v>44624</v>
      </c>
      <c r="C97" s="7" t="inlineStr">
        <is>
          <t>zorba</t>
        </is>
      </c>
      <c r="D97" s="7" t="inlineStr">
        <is>
          <t>JEA_NSA</t>
        </is>
      </c>
      <c r="E97" s="20" t="n">
        <v>5</v>
      </c>
      <c r="F97" s="7" t="n">
        <v>76.34310000000001</v>
      </c>
      <c r="G97" s="17" t="b">
        <v>1</v>
      </c>
      <c r="H97" s="8">
        <f>1+$E97/100</f>
        <v/>
      </c>
      <c r="I97" s="8">
        <f>$F97/Parity!$H$54</f>
        <v/>
      </c>
      <c r="J97" s="16">
        <f>Parity!$F$54*$H97</f>
        <v/>
      </c>
      <c r="K97" s="8">
        <f>Parity!$I$54*$I97</f>
        <v/>
      </c>
      <c r="L97" s="8">
        <f>Parity!$J$54*$I97</f>
        <v/>
      </c>
      <c r="M97" s="16">
        <f>(Market_Weekly!$K$14-mcx_domestic_premium_inr_kg)*$H97*$I97+mcx_domestic_premium_inr_kg</f>
        <v/>
      </c>
      <c r="N97" s="15">
        <f>Parity!$N$54/Market_Weekly!$K$14</f>
        <v/>
      </c>
      <c r="O97" s="16">
        <f>$M97*$N97</f>
        <v/>
      </c>
      <c r="P97" s="18">
        <f>Parity!$AY$54</f>
        <v/>
      </c>
      <c r="Q97" s="16">
        <f>$J97*Parity!$P$54</f>
        <v/>
      </c>
      <c r="R97" s="16">
        <f>Parity!$L$54*Parity!$AG$54</f>
        <v/>
      </c>
      <c r="S97" s="16">
        <f>$Q97-$R97</f>
        <v/>
      </c>
      <c r="T97" s="16">
        <f>insurance_rate*insured_value_uplift*$Q97</f>
        <v/>
      </c>
      <c r="U97" s="16">
        <f>$Q97+$T97</f>
        <v/>
      </c>
      <c r="V97" s="18">
        <f>$U97*$L97</f>
        <v/>
      </c>
      <c r="W97" s="18">
        <f>$U97*$K97</f>
        <v/>
      </c>
      <c r="X97" s="18">
        <f>$V97*bcd_scrap_hs7602</f>
        <v/>
      </c>
      <c r="Y97" s="18">
        <f>$X97*sws_rate_on_bcd</f>
        <v/>
      </c>
      <c r="Z97" s="18">
        <f>($V97+$X97+$Y97)*igst_rate_hs7602</f>
        <v/>
      </c>
      <c r="AA97" s="18">
        <f>Parity!$X$54*Parity!$AG$54+IF(Parity!$Y$54,psic_cost_usd_per_box*$F97/Parity!$W$54,0)</f>
        <v/>
      </c>
      <c r="AB97" s="18">
        <f>($W97+$X97+$Y97)*Parity!$Z$54/day_count_inr*Parity!$O$54</f>
        <v/>
      </c>
      <c r="AC97" s="18">
        <f>$Z97*igst_credit_lag_days/day_count_inr*Parity!$O$54</f>
        <v/>
      </c>
      <c r="AD97" s="18">
        <f>$W97+$X97+$Y97+$AA97+$AB97+$AC97+IF(igst_itc_available,0,$Z97)</f>
        <v/>
      </c>
      <c r="AE97" s="18">
        <f>$O97*kg_per_mt+domestic_anchor_premium_inr_t</f>
        <v/>
      </c>
      <c r="AF97" s="18">
        <f>(1-Parity!$AA$54)*Parity!$AD$54*heavies_net_value_frac_of_lme_al*$J97*$F97</f>
        <v/>
      </c>
      <c r="AG97" s="18">
        <f>$AE97*Parity!$AU$54+$AF97-$AD97-Parity!$AX$54</f>
        <v/>
      </c>
      <c r="AH97" s="8">
        <f>$AG97&gt;margin_threshold_inr_t</f>
        <v/>
      </c>
      <c r="AI97" s="18">
        <f>($AG97-$P97)*grid_tonnes_mt</f>
        <v/>
      </c>
    </row>
    <row r="98">
      <c r="A98" s="7" t="inlineStr">
        <is>
          <t>first_eligible</t>
        </is>
      </c>
      <c r="B98" s="11" t="n">
        <v>44624</v>
      </c>
      <c r="C98" s="7" t="inlineStr">
        <is>
          <t>zorba</t>
        </is>
      </c>
      <c r="D98" s="7" t="inlineStr">
        <is>
          <t>JEA_NSA</t>
        </is>
      </c>
      <c r="E98" s="20" t="n">
        <v>10</v>
      </c>
      <c r="F98" s="7" t="n">
        <v>76.34310000000001</v>
      </c>
      <c r="G98" s="17" t="b">
        <v>1</v>
      </c>
      <c r="H98" s="8">
        <f>1+$E98/100</f>
        <v/>
      </c>
      <c r="I98" s="8">
        <f>$F98/Parity!$H$54</f>
        <v/>
      </c>
      <c r="J98" s="16">
        <f>Parity!$F$54*$H98</f>
        <v/>
      </c>
      <c r="K98" s="8">
        <f>Parity!$I$54*$I98</f>
        <v/>
      </c>
      <c r="L98" s="8">
        <f>Parity!$J$54*$I98</f>
        <v/>
      </c>
      <c r="M98" s="16">
        <f>(Market_Weekly!$K$14-mcx_domestic_premium_inr_kg)*$H98*$I98+mcx_domestic_premium_inr_kg</f>
        <v/>
      </c>
      <c r="N98" s="15">
        <f>Parity!$N$54/Market_Weekly!$K$14</f>
        <v/>
      </c>
      <c r="O98" s="16">
        <f>$M98*$N98</f>
        <v/>
      </c>
      <c r="P98" s="18">
        <f>Parity!$AY$54</f>
        <v/>
      </c>
      <c r="Q98" s="16">
        <f>$J98*Parity!$P$54</f>
        <v/>
      </c>
      <c r="R98" s="16">
        <f>Parity!$L$54*Parity!$AG$54</f>
        <v/>
      </c>
      <c r="S98" s="16">
        <f>$Q98-$R98</f>
        <v/>
      </c>
      <c r="T98" s="16">
        <f>insurance_rate*insured_value_uplift*$Q98</f>
        <v/>
      </c>
      <c r="U98" s="16">
        <f>$Q98+$T98</f>
        <v/>
      </c>
      <c r="V98" s="18">
        <f>$U98*$L98</f>
        <v/>
      </c>
      <c r="W98" s="18">
        <f>$U98*$K98</f>
        <v/>
      </c>
      <c r="X98" s="18">
        <f>$V98*bcd_scrap_hs7602</f>
        <v/>
      </c>
      <c r="Y98" s="18">
        <f>$X98*sws_rate_on_bcd</f>
        <v/>
      </c>
      <c r="Z98" s="18">
        <f>($V98+$X98+$Y98)*igst_rate_hs7602</f>
        <v/>
      </c>
      <c r="AA98" s="18">
        <f>Parity!$X$54*Parity!$AG$54+IF(Parity!$Y$54,psic_cost_usd_per_box*$F98/Parity!$W$54,0)</f>
        <v/>
      </c>
      <c r="AB98" s="18">
        <f>($W98+$X98+$Y98)*Parity!$Z$54/day_count_inr*Parity!$O$54</f>
        <v/>
      </c>
      <c r="AC98" s="18">
        <f>$Z98*igst_credit_lag_days/day_count_inr*Parity!$O$54</f>
        <v/>
      </c>
      <c r="AD98" s="18">
        <f>$W98+$X98+$Y98+$AA98+$AB98+$AC98+IF(igst_itc_available,0,$Z98)</f>
        <v/>
      </c>
      <c r="AE98" s="18">
        <f>$O98*kg_per_mt+domestic_anchor_premium_inr_t</f>
        <v/>
      </c>
      <c r="AF98" s="18">
        <f>(1-Parity!$AA$54)*Parity!$AD$54*heavies_net_value_frac_of_lme_al*$J98*$F98</f>
        <v/>
      </c>
      <c r="AG98" s="18">
        <f>$AE98*Parity!$AU$54+$AF98-$AD98-Parity!$AX$54</f>
        <v/>
      </c>
      <c r="AH98" s="8">
        <f>$AG98&gt;margin_threshold_inr_t</f>
        <v/>
      </c>
      <c r="AI98" s="18">
        <f>($AG98-$P98)*grid_tonnes_mt</f>
        <v/>
      </c>
    </row>
    <row r="99">
      <c r="A99" s="7" t="inlineStr">
        <is>
          <t>june_trough</t>
        </is>
      </c>
      <c r="B99" s="11" t="n">
        <v>44729</v>
      </c>
      <c r="C99" s="7" t="inlineStr">
        <is>
          <t>zorba</t>
        </is>
      </c>
      <c r="D99" s="7" t="inlineStr">
        <is>
          <t>JEA_NSA</t>
        </is>
      </c>
      <c r="E99" s="20" t="n">
        <v>-30</v>
      </c>
      <c r="F99" s="7" t="n">
        <v>74</v>
      </c>
      <c r="G99" s="17" t="b">
        <v>0</v>
      </c>
      <c r="H99" s="8">
        <f>1+$E99/100</f>
        <v/>
      </c>
      <c r="I99" s="8">
        <f>$F99/Parity!$H$144</f>
        <v/>
      </c>
      <c r="J99" s="16">
        <f>Parity!$F$144*$H99</f>
        <v/>
      </c>
      <c r="K99" s="8">
        <f>Parity!$I$144*$I99</f>
        <v/>
      </c>
      <c r="L99" s="8">
        <f>Parity!$J$144*$I99</f>
        <v/>
      </c>
      <c r="M99" s="16">
        <f>(Market_Weekly!$K$29-mcx_domestic_premium_inr_kg)*$H99*$I99+mcx_domestic_premium_inr_kg</f>
        <v/>
      </c>
      <c r="N99" s="15">
        <f>Parity!$N$144/Market_Weekly!$K$29</f>
        <v/>
      </c>
      <c r="O99" s="16">
        <f>$M99*$N99</f>
        <v/>
      </c>
      <c r="P99" s="18">
        <f>Parity!$AY$144</f>
        <v/>
      </c>
      <c r="Q99" s="16">
        <f>$J99*Parity!$P$144</f>
        <v/>
      </c>
      <c r="R99" s="16">
        <f>Parity!$L$144*Parity!$AG$144</f>
        <v/>
      </c>
      <c r="S99" s="16">
        <f>$Q99-$R99</f>
        <v/>
      </c>
      <c r="T99" s="16">
        <f>insurance_rate*insured_value_uplift*$Q99</f>
        <v/>
      </c>
      <c r="U99" s="16">
        <f>$Q99+$T99</f>
        <v/>
      </c>
      <c r="V99" s="18">
        <f>$U99*$L99</f>
        <v/>
      </c>
      <c r="W99" s="18">
        <f>$U99*$K99</f>
        <v/>
      </c>
      <c r="X99" s="18">
        <f>$V99*bcd_scrap_hs7602</f>
        <v/>
      </c>
      <c r="Y99" s="18">
        <f>$X99*sws_rate_on_bcd</f>
        <v/>
      </c>
      <c r="Z99" s="18">
        <f>($V99+$X99+$Y99)*igst_rate_hs7602</f>
        <v/>
      </c>
      <c r="AA99" s="18">
        <f>Parity!$X$144*Parity!$AG$144+IF(Parity!$Y$144,psic_cost_usd_per_box*$F99/Parity!$W$144,0)</f>
        <v/>
      </c>
      <c r="AB99" s="18">
        <f>($W99+$X99+$Y99)*Parity!$Z$144/day_count_inr*Parity!$O$144</f>
        <v/>
      </c>
      <c r="AC99" s="18">
        <f>$Z99*igst_credit_lag_days/day_count_inr*Parity!$O$144</f>
        <v/>
      </c>
      <c r="AD99" s="18">
        <f>$W99+$X99+$Y99+$AA99+$AB99+$AC99+IF(igst_itc_available,0,$Z99)</f>
        <v/>
      </c>
      <c r="AE99" s="18">
        <f>$O99*kg_per_mt+domestic_anchor_premium_inr_t</f>
        <v/>
      </c>
      <c r="AF99" s="18">
        <f>(1-Parity!$AA$144)*Parity!$AD$144*heavies_net_value_frac_of_lme_al*$J99*$F99</f>
        <v/>
      </c>
      <c r="AG99" s="18">
        <f>$AE99*Parity!$AU$144+$AF99-$AD99-Parity!$AX$144</f>
        <v/>
      </c>
      <c r="AH99" s="8">
        <f>$AG99&gt;margin_threshold_inr_t</f>
        <v/>
      </c>
      <c r="AI99" s="18">
        <f>($AG99-$P99)*grid_tonnes_mt</f>
        <v/>
      </c>
    </row>
    <row r="100">
      <c r="A100" s="7" t="inlineStr">
        <is>
          <t>june_trough</t>
        </is>
      </c>
      <c r="B100" s="11" t="n">
        <v>44729</v>
      </c>
      <c r="C100" s="7" t="inlineStr">
        <is>
          <t>zorba</t>
        </is>
      </c>
      <c r="D100" s="7" t="inlineStr">
        <is>
          <t>JEA_NSA</t>
        </is>
      </c>
      <c r="E100" s="20" t="n">
        <v>-25</v>
      </c>
      <c r="F100" s="7" t="n">
        <v>74</v>
      </c>
      <c r="G100" s="17" t="b">
        <v>0</v>
      </c>
      <c r="H100" s="8">
        <f>1+$E100/100</f>
        <v/>
      </c>
      <c r="I100" s="8">
        <f>$F100/Parity!$H$144</f>
        <v/>
      </c>
      <c r="J100" s="16">
        <f>Parity!$F$144*$H100</f>
        <v/>
      </c>
      <c r="K100" s="8">
        <f>Parity!$I$144*$I100</f>
        <v/>
      </c>
      <c r="L100" s="8">
        <f>Parity!$J$144*$I100</f>
        <v/>
      </c>
      <c r="M100" s="16">
        <f>(Market_Weekly!$K$29-mcx_domestic_premium_inr_kg)*$H100*$I100+mcx_domestic_premium_inr_kg</f>
        <v/>
      </c>
      <c r="N100" s="15">
        <f>Parity!$N$144/Market_Weekly!$K$29</f>
        <v/>
      </c>
      <c r="O100" s="16">
        <f>$M100*$N100</f>
        <v/>
      </c>
      <c r="P100" s="18">
        <f>Parity!$AY$144</f>
        <v/>
      </c>
      <c r="Q100" s="16">
        <f>$J100*Parity!$P$144</f>
        <v/>
      </c>
      <c r="R100" s="16">
        <f>Parity!$L$144*Parity!$AG$144</f>
        <v/>
      </c>
      <c r="S100" s="16">
        <f>$Q100-$R100</f>
        <v/>
      </c>
      <c r="T100" s="16">
        <f>insurance_rate*insured_value_uplift*$Q100</f>
        <v/>
      </c>
      <c r="U100" s="16">
        <f>$Q100+$T100</f>
        <v/>
      </c>
      <c r="V100" s="18">
        <f>$U100*$L100</f>
        <v/>
      </c>
      <c r="W100" s="18">
        <f>$U100*$K100</f>
        <v/>
      </c>
      <c r="X100" s="18">
        <f>$V100*bcd_scrap_hs7602</f>
        <v/>
      </c>
      <c r="Y100" s="18">
        <f>$X100*sws_rate_on_bcd</f>
        <v/>
      </c>
      <c r="Z100" s="18">
        <f>($V100+$X100+$Y100)*igst_rate_hs7602</f>
        <v/>
      </c>
      <c r="AA100" s="18">
        <f>Parity!$X$144*Parity!$AG$144+IF(Parity!$Y$144,psic_cost_usd_per_box*$F100/Parity!$W$144,0)</f>
        <v/>
      </c>
      <c r="AB100" s="18">
        <f>($W100+$X100+$Y100)*Parity!$Z$144/day_count_inr*Parity!$O$144</f>
        <v/>
      </c>
      <c r="AC100" s="18">
        <f>$Z100*igst_credit_lag_days/day_count_inr*Parity!$O$144</f>
        <v/>
      </c>
      <c r="AD100" s="18">
        <f>$W100+$X100+$Y100+$AA100+$AB100+$AC100+IF(igst_itc_available,0,$Z100)</f>
        <v/>
      </c>
      <c r="AE100" s="18">
        <f>$O100*kg_per_mt+domestic_anchor_premium_inr_t</f>
        <v/>
      </c>
      <c r="AF100" s="18">
        <f>(1-Parity!$AA$144)*Parity!$AD$144*heavies_net_value_frac_of_lme_al*$J100*$F100</f>
        <v/>
      </c>
      <c r="AG100" s="18">
        <f>$AE100*Parity!$AU$144+$AF100-$AD100-Parity!$AX$144</f>
        <v/>
      </c>
      <c r="AH100" s="8">
        <f>$AG100&gt;margin_threshold_inr_t</f>
        <v/>
      </c>
      <c r="AI100" s="18">
        <f>($AG100-$P100)*grid_tonnes_mt</f>
        <v/>
      </c>
    </row>
    <row r="101">
      <c r="A101" s="7" t="inlineStr">
        <is>
          <t>june_trough</t>
        </is>
      </c>
      <c r="B101" s="11" t="n">
        <v>44729</v>
      </c>
      <c r="C101" s="7" t="inlineStr">
        <is>
          <t>zorba</t>
        </is>
      </c>
      <c r="D101" s="7" t="inlineStr">
        <is>
          <t>JEA_NSA</t>
        </is>
      </c>
      <c r="E101" s="20" t="n">
        <v>-20</v>
      </c>
      <c r="F101" s="7" t="n">
        <v>74</v>
      </c>
      <c r="G101" s="17" t="b">
        <v>0</v>
      </c>
      <c r="H101" s="8">
        <f>1+$E101/100</f>
        <v/>
      </c>
      <c r="I101" s="8">
        <f>$F101/Parity!$H$144</f>
        <v/>
      </c>
      <c r="J101" s="16">
        <f>Parity!$F$144*$H101</f>
        <v/>
      </c>
      <c r="K101" s="8">
        <f>Parity!$I$144*$I101</f>
        <v/>
      </c>
      <c r="L101" s="8">
        <f>Parity!$J$144*$I101</f>
        <v/>
      </c>
      <c r="M101" s="16">
        <f>(Market_Weekly!$K$29-mcx_domestic_premium_inr_kg)*$H101*$I101+mcx_domestic_premium_inr_kg</f>
        <v/>
      </c>
      <c r="N101" s="15">
        <f>Parity!$N$144/Market_Weekly!$K$29</f>
        <v/>
      </c>
      <c r="O101" s="16">
        <f>$M101*$N101</f>
        <v/>
      </c>
      <c r="P101" s="18">
        <f>Parity!$AY$144</f>
        <v/>
      </c>
      <c r="Q101" s="16">
        <f>$J101*Parity!$P$144</f>
        <v/>
      </c>
      <c r="R101" s="16">
        <f>Parity!$L$144*Parity!$AG$144</f>
        <v/>
      </c>
      <c r="S101" s="16">
        <f>$Q101-$R101</f>
        <v/>
      </c>
      <c r="T101" s="16">
        <f>insurance_rate*insured_value_uplift*$Q101</f>
        <v/>
      </c>
      <c r="U101" s="16">
        <f>$Q101+$T101</f>
        <v/>
      </c>
      <c r="V101" s="18">
        <f>$U101*$L101</f>
        <v/>
      </c>
      <c r="W101" s="18">
        <f>$U101*$K101</f>
        <v/>
      </c>
      <c r="X101" s="18">
        <f>$V101*bcd_scrap_hs7602</f>
        <v/>
      </c>
      <c r="Y101" s="18">
        <f>$X101*sws_rate_on_bcd</f>
        <v/>
      </c>
      <c r="Z101" s="18">
        <f>($V101+$X101+$Y101)*igst_rate_hs7602</f>
        <v/>
      </c>
      <c r="AA101" s="18">
        <f>Parity!$X$144*Parity!$AG$144+IF(Parity!$Y$144,psic_cost_usd_per_box*$F101/Parity!$W$144,0)</f>
        <v/>
      </c>
      <c r="AB101" s="18">
        <f>($W101+$X101+$Y101)*Parity!$Z$144/day_count_inr*Parity!$O$144</f>
        <v/>
      </c>
      <c r="AC101" s="18">
        <f>$Z101*igst_credit_lag_days/day_count_inr*Parity!$O$144</f>
        <v/>
      </c>
      <c r="AD101" s="18">
        <f>$W101+$X101+$Y101+$AA101+$AB101+$AC101+IF(igst_itc_available,0,$Z101)</f>
        <v/>
      </c>
      <c r="AE101" s="18">
        <f>$O101*kg_per_mt+domestic_anchor_premium_inr_t</f>
        <v/>
      </c>
      <c r="AF101" s="18">
        <f>(1-Parity!$AA$144)*Parity!$AD$144*heavies_net_value_frac_of_lme_al*$J101*$F101</f>
        <v/>
      </c>
      <c r="AG101" s="18">
        <f>$AE101*Parity!$AU$144+$AF101-$AD101-Parity!$AX$144</f>
        <v/>
      </c>
      <c r="AH101" s="8">
        <f>$AG101&gt;margin_threshold_inr_t</f>
        <v/>
      </c>
      <c r="AI101" s="18">
        <f>($AG101-$P101)*grid_tonnes_mt</f>
        <v/>
      </c>
    </row>
    <row r="102">
      <c r="A102" s="7" t="inlineStr">
        <is>
          <t>june_trough</t>
        </is>
      </c>
      <c r="B102" s="11" t="n">
        <v>44729</v>
      </c>
      <c r="C102" s="7" t="inlineStr">
        <is>
          <t>zorba</t>
        </is>
      </c>
      <c r="D102" s="7" t="inlineStr">
        <is>
          <t>JEA_NSA</t>
        </is>
      </c>
      <c r="E102" s="20" t="n">
        <v>-15</v>
      </c>
      <c r="F102" s="7" t="n">
        <v>74</v>
      </c>
      <c r="G102" s="17" t="b">
        <v>0</v>
      </c>
      <c r="H102" s="8">
        <f>1+$E102/100</f>
        <v/>
      </c>
      <c r="I102" s="8">
        <f>$F102/Parity!$H$144</f>
        <v/>
      </c>
      <c r="J102" s="16">
        <f>Parity!$F$144*$H102</f>
        <v/>
      </c>
      <c r="K102" s="8">
        <f>Parity!$I$144*$I102</f>
        <v/>
      </c>
      <c r="L102" s="8">
        <f>Parity!$J$144*$I102</f>
        <v/>
      </c>
      <c r="M102" s="16">
        <f>(Market_Weekly!$K$29-mcx_domestic_premium_inr_kg)*$H102*$I102+mcx_domestic_premium_inr_kg</f>
        <v/>
      </c>
      <c r="N102" s="15">
        <f>Parity!$N$144/Market_Weekly!$K$29</f>
        <v/>
      </c>
      <c r="O102" s="16">
        <f>$M102*$N102</f>
        <v/>
      </c>
      <c r="P102" s="18">
        <f>Parity!$AY$144</f>
        <v/>
      </c>
      <c r="Q102" s="16">
        <f>$J102*Parity!$P$144</f>
        <v/>
      </c>
      <c r="R102" s="16">
        <f>Parity!$L$144*Parity!$AG$144</f>
        <v/>
      </c>
      <c r="S102" s="16">
        <f>$Q102-$R102</f>
        <v/>
      </c>
      <c r="T102" s="16">
        <f>insurance_rate*insured_value_uplift*$Q102</f>
        <v/>
      </c>
      <c r="U102" s="16">
        <f>$Q102+$T102</f>
        <v/>
      </c>
      <c r="V102" s="18">
        <f>$U102*$L102</f>
        <v/>
      </c>
      <c r="W102" s="18">
        <f>$U102*$K102</f>
        <v/>
      </c>
      <c r="X102" s="18">
        <f>$V102*bcd_scrap_hs7602</f>
        <v/>
      </c>
      <c r="Y102" s="18">
        <f>$X102*sws_rate_on_bcd</f>
        <v/>
      </c>
      <c r="Z102" s="18">
        <f>($V102+$X102+$Y102)*igst_rate_hs7602</f>
        <v/>
      </c>
      <c r="AA102" s="18">
        <f>Parity!$X$144*Parity!$AG$144+IF(Parity!$Y$144,psic_cost_usd_per_box*$F102/Parity!$W$144,0)</f>
        <v/>
      </c>
      <c r="AB102" s="18">
        <f>($W102+$X102+$Y102)*Parity!$Z$144/day_count_inr*Parity!$O$144</f>
        <v/>
      </c>
      <c r="AC102" s="18">
        <f>$Z102*igst_credit_lag_days/day_count_inr*Parity!$O$144</f>
        <v/>
      </c>
      <c r="AD102" s="18">
        <f>$W102+$X102+$Y102+$AA102+$AB102+$AC102+IF(igst_itc_available,0,$Z102)</f>
        <v/>
      </c>
      <c r="AE102" s="18">
        <f>$O102*kg_per_mt+domestic_anchor_premium_inr_t</f>
        <v/>
      </c>
      <c r="AF102" s="18">
        <f>(1-Parity!$AA$144)*Parity!$AD$144*heavies_net_value_frac_of_lme_al*$J102*$F102</f>
        <v/>
      </c>
      <c r="AG102" s="18">
        <f>$AE102*Parity!$AU$144+$AF102-$AD102-Parity!$AX$144</f>
        <v/>
      </c>
      <c r="AH102" s="8">
        <f>$AG102&gt;margin_threshold_inr_t</f>
        <v/>
      </c>
      <c r="AI102" s="18">
        <f>($AG102-$P102)*grid_tonnes_mt</f>
        <v/>
      </c>
    </row>
    <row r="103">
      <c r="A103" s="7" t="inlineStr">
        <is>
          <t>june_trough</t>
        </is>
      </c>
      <c r="B103" s="11" t="n">
        <v>44729</v>
      </c>
      <c r="C103" s="7" t="inlineStr">
        <is>
          <t>zorba</t>
        </is>
      </c>
      <c r="D103" s="7" t="inlineStr">
        <is>
          <t>JEA_NSA</t>
        </is>
      </c>
      <c r="E103" s="20" t="n">
        <v>-10</v>
      </c>
      <c r="F103" s="7" t="n">
        <v>74</v>
      </c>
      <c r="G103" s="17" t="b">
        <v>0</v>
      </c>
      <c r="H103" s="8">
        <f>1+$E103/100</f>
        <v/>
      </c>
      <c r="I103" s="8">
        <f>$F103/Parity!$H$144</f>
        <v/>
      </c>
      <c r="J103" s="16">
        <f>Parity!$F$144*$H103</f>
        <v/>
      </c>
      <c r="K103" s="8">
        <f>Parity!$I$144*$I103</f>
        <v/>
      </c>
      <c r="L103" s="8">
        <f>Parity!$J$144*$I103</f>
        <v/>
      </c>
      <c r="M103" s="16">
        <f>(Market_Weekly!$K$29-mcx_domestic_premium_inr_kg)*$H103*$I103+mcx_domestic_premium_inr_kg</f>
        <v/>
      </c>
      <c r="N103" s="15">
        <f>Parity!$N$144/Market_Weekly!$K$29</f>
        <v/>
      </c>
      <c r="O103" s="16">
        <f>$M103*$N103</f>
        <v/>
      </c>
      <c r="P103" s="18">
        <f>Parity!$AY$144</f>
        <v/>
      </c>
      <c r="Q103" s="16">
        <f>$J103*Parity!$P$144</f>
        <v/>
      </c>
      <c r="R103" s="16">
        <f>Parity!$L$144*Parity!$AG$144</f>
        <v/>
      </c>
      <c r="S103" s="16">
        <f>$Q103-$R103</f>
        <v/>
      </c>
      <c r="T103" s="16">
        <f>insurance_rate*insured_value_uplift*$Q103</f>
        <v/>
      </c>
      <c r="U103" s="16">
        <f>$Q103+$T103</f>
        <v/>
      </c>
      <c r="V103" s="18">
        <f>$U103*$L103</f>
        <v/>
      </c>
      <c r="W103" s="18">
        <f>$U103*$K103</f>
        <v/>
      </c>
      <c r="X103" s="18">
        <f>$V103*bcd_scrap_hs7602</f>
        <v/>
      </c>
      <c r="Y103" s="18">
        <f>$X103*sws_rate_on_bcd</f>
        <v/>
      </c>
      <c r="Z103" s="18">
        <f>($V103+$X103+$Y103)*igst_rate_hs7602</f>
        <v/>
      </c>
      <c r="AA103" s="18">
        <f>Parity!$X$144*Parity!$AG$144+IF(Parity!$Y$144,psic_cost_usd_per_box*$F103/Parity!$W$144,0)</f>
        <v/>
      </c>
      <c r="AB103" s="18">
        <f>($W103+$X103+$Y103)*Parity!$Z$144/day_count_inr*Parity!$O$144</f>
        <v/>
      </c>
      <c r="AC103" s="18">
        <f>$Z103*igst_credit_lag_days/day_count_inr*Parity!$O$144</f>
        <v/>
      </c>
      <c r="AD103" s="18">
        <f>$W103+$X103+$Y103+$AA103+$AB103+$AC103+IF(igst_itc_available,0,$Z103)</f>
        <v/>
      </c>
      <c r="AE103" s="18">
        <f>$O103*kg_per_mt+domestic_anchor_premium_inr_t</f>
        <v/>
      </c>
      <c r="AF103" s="18">
        <f>(1-Parity!$AA$144)*Parity!$AD$144*heavies_net_value_frac_of_lme_al*$J103*$F103</f>
        <v/>
      </c>
      <c r="AG103" s="18">
        <f>$AE103*Parity!$AU$144+$AF103-$AD103-Parity!$AX$144</f>
        <v/>
      </c>
      <c r="AH103" s="8">
        <f>$AG103&gt;margin_threshold_inr_t</f>
        <v/>
      </c>
      <c r="AI103" s="18">
        <f>($AG103-$P103)*grid_tonnes_mt</f>
        <v/>
      </c>
    </row>
    <row r="104">
      <c r="A104" s="7" t="inlineStr">
        <is>
          <t>june_trough</t>
        </is>
      </c>
      <c r="B104" s="11" t="n">
        <v>44729</v>
      </c>
      <c r="C104" s="7" t="inlineStr">
        <is>
          <t>zorba</t>
        </is>
      </c>
      <c r="D104" s="7" t="inlineStr">
        <is>
          <t>JEA_NSA</t>
        </is>
      </c>
      <c r="E104" s="20" t="n">
        <v>-5</v>
      </c>
      <c r="F104" s="7" t="n">
        <v>74</v>
      </c>
      <c r="G104" s="17" t="b">
        <v>0</v>
      </c>
      <c r="H104" s="8">
        <f>1+$E104/100</f>
        <v/>
      </c>
      <c r="I104" s="8">
        <f>$F104/Parity!$H$144</f>
        <v/>
      </c>
      <c r="J104" s="16">
        <f>Parity!$F$144*$H104</f>
        <v/>
      </c>
      <c r="K104" s="8">
        <f>Parity!$I$144*$I104</f>
        <v/>
      </c>
      <c r="L104" s="8">
        <f>Parity!$J$144*$I104</f>
        <v/>
      </c>
      <c r="M104" s="16">
        <f>(Market_Weekly!$K$29-mcx_domestic_premium_inr_kg)*$H104*$I104+mcx_domestic_premium_inr_kg</f>
        <v/>
      </c>
      <c r="N104" s="15">
        <f>Parity!$N$144/Market_Weekly!$K$29</f>
        <v/>
      </c>
      <c r="O104" s="16">
        <f>$M104*$N104</f>
        <v/>
      </c>
      <c r="P104" s="18">
        <f>Parity!$AY$144</f>
        <v/>
      </c>
      <c r="Q104" s="16">
        <f>$J104*Parity!$P$144</f>
        <v/>
      </c>
      <c r="R104" s="16">
        <f>Parity!$L$144*Parity!$AG$144</f>
        <v/>
      </c>
      <c r="S104" s="16">
        <f>$Q104-$R104</f>
        <v/>
      </c>
      <c r="T104" s="16">
        <f>insurance_rate*insured_value_uplift*$Q104</f>
        <v/>
      </c>
      <c r="U104" s="16">
        <f>$Q104+$T104</f>
        <v/>
      </c>
      <c r="V104" s="18">
        <f>$U104*$L104</f>
        <v/>
      </c>
      <c r="W104" s="18">
        <f>$U104*$K104</f>
        <v/>
      </c>
      <c r="X104" s="18">
        <f>$V104*bcd_scrap_hs7602</f>
        <v/>
      </c>
      <c r="Y104" s="18">
        <f>$X104*sws_rate_on_bcd</f>
        <v/>
      </c>
      <c r="Z104" s="18">
        <f>($V104+$X104+$Y104)*igst_rate_hs7602</f>
        <v/>
      </c>
      <c r="AA104" s="18">
        <f>Parity!$X$144*Parity!$AG$144+IF(Parity!$Y$144,psic_cost_usd_per_box*$F104/Parity!$W$144,0)</f>
        <v/>
      </c>
      <c r="AB104" s="18">
        <f>($W104+$X104+$Y104)*Parity!$Z$144/day_count_inr*Parity!$O$144</f>
        <v/>
      </c>
      <c r="AC104" s="18">
        <f>$Z104*igst_credit_lag_days/day_count_inr*Parity!$O$144</f>
        <v/>
      </c>
      <c r="AD104" s="18">
        <f>$W104+$X104+$Y104+$AA104+$AB104+$AC104+IF(igst_itc_available,0,$Z104)</f>
        <v/>
      </c>
      <c r="AE104" s="18">
        <f>$O104*kg_per_mt+domestic_anchor_premium_inr_t</f>
        <v/>
      </c>
      <c r="AF104" s="18">
        <f>(1-Parity!$AA$144)*Parity!$AD$144*heavies_net_value_frac_of_lme_al*$J104*$F104</f>
        <v/>
      </c>
      <c r="AG104" s="18">
        <f>$AE104*Parity!$AU$144+$AF104-$AD104-Parity!$AX$144</f>
        <v/>
      </c>
      <c r="AH104" s="8">
        <f>$AG104&gt;margin_threshold_inr_t</f>
        <v/>
      </c>
      <c r="AI104" s="18">
        <f>($AG104-$P104)*grid_tonnes_mt</f>
        <v/>
      </c>
    </row>
    <row r="105">
      <c r="A105" s="7" t="inlineStr">
        <is>
          <t>june_trough</t>
        </is>
      </c>
      <c r="B105" s="11" t="n">
        <v>44729</v>
      </c>
      <c r="C105" s="7" t="inlineStr">
        <is>
          <t>zorba</t>
        </is>
      </c>
      <c r="D105" s="7" t="inlineStr">
        <is>
          <t>JEA_NSA</t>
        </is>
      </c>
      <c r="E105" s="20" t="n">
        <v>0</v>
      </c>
      <c r="F105" s="7" t="n">
        <v>74</v>
      </c>
      <c r="G105" s="17" t="b">
        <v>0</v>
      </c>
      <c r="H105" s="8">
        <f>1+$E105/100</f>
        <v/>
      </c>
      <c r="I105" s="8">
        <f>$F105/Parity!$H$144</f>
        <v/>
      </c>
      <c r="J105" s="16">
        <f>Parity!$F$144*$H105</f>
        <v/>
      </c>
      <c r="K105" s="8">
        <f>Parity!$I$144*$I105</f>
        <v/>
      </c>
      <c r="L105" s="8">
        <f>Parity!$J$144*$I105</f>
        <v/>
      </c>
      <c r="M105" s="16">
        <f>(Market_Weekly!$K$29-mcx_domestic_premium_inr_kg)*$H105*$I105+mcx_domestic_premium_inr_kg</f>
        <v/>
      </c>
      <c r="N105" s="15">
        <f>Parity!$N$144/Market_Weekly!$K$29</f>
        <v/>
      </c>
      <c r="O105" s="16">
        <f>$M105*$N105</f>
        <v/>
      </c>
      <c r="P105" s="18">
        <f>Parity!$AY$144</f>
        <v/>
      </c>
      <c r="Q105" s="16">
        <f>$J105*Parity!$P$144</f>
        <v/>
      </c>
      <c r="R105" s="16">
        <f>Parity!$L$144*Parity!$AG$144</f>
        <v/>
      </c>
      <c r="S105" s="16">
        <f>$Q105-$R105</f>
        <v/>
      </c>
      <c r="T105" s="16">
        <f>insurance_rate*insured_value_uplift*$Q105</f>
        <v/>
      </c>
      <c r="U105" s="16">
        <f>$Q105+$T105</f>
        <v/>
      </c>
      <c r="V105" s="18">
        <f>$U105*$L105</f>
        <v/>
      </c>
      <c r="W105" s="18">
        <f>$U105*$K105</f>
        <v/>
      </c>
      <c r="X105" s="18">
        <f>$V105*bcd_scrap_hs7602</f>
        <v/>
      </c>
      <c r="Y105" s="18">
        <f>$X105*sws_rate_on_bcd</f>
        <v/>
      </c>
      <c r="Z105" s="18">
        <f>($V105+$X105+$Y105)*igst_rate_hs7602</f>
        <v/>
      </c>
      <c r="AA105" s="18">
        <f>Parity!$X$144*Parity!$AG$144+IF(Parity!$Y$144,psic_cost_usd_per_box*$F105/Parity!$W$144,0)</f>
        <v/>
      </c>
      <c r="AB105" s="18">
        <f>($W105+$X105+$Y105)*Parity!$Z$144/day_count_inr*Parity!$O$144</f>
        <v/>
      </c>
      <c r="AC105" s="18">
        <f>$Z105*igst_credit_lag_days/day_count_inr*Parity!$O$144</f>
        <v/>
      </c>
      <c r="AD105" s="18">
        <f>$W105+$X105+$Y105+$AA105+$AB105+$AC105+IF(igst_itc_available,0,$Z105)</f>
        <v/>
      </c>
      <c r="AE105" s="18">
        <f>$O105*kg_per_mt+domestic_anchor_premium_inr_t</f>
        <v/>
      </c>
      <c r="AF105" s="18">
        <f>(1-Parity!$AA$144)*Parity!$AD$144*heavies_net_value_frac_of_lme_al*$J105*$F105</f>
        <v/>
      </c>
      <c r="AG105" s="18">
        <f>$AE105*Parity!$AU$144+$AF105-$AD105-Parity!$AX$144</f>
        <v/>
      </c>
      <c r="AH105" s="8">
        <f>$AG105&gt;margin_threshold_inr_t</f>
        <v/>
      </c>
      <c r="AI105" s="18">
        <f>($AG105-$P105)*grid_tonnes_mt</f>
        <v/>
      </c>
    </row>
    <row r="106">
      <c r="A106" s="7" t="inlineStr">
        <is>
          <t>june_trough</t>
        </is>
      </c>
      <c r="B106" s="11" t="n">
        <v>44729</v>
      </c>
      <c r="C106" s="7" t="inlineStr">
        <is>
          <t>zorba</t>
        </is>
      </c>
      <c r="D106" s="7" t="inlineStr">
        <is>
          <t>JEA_NSA</t>
        </is>
      </c>
      <c r="E106" s="20" t="n">
        <v>5</v>
      </c>
      <c r="F106" s="7" t="n">
        <v>74</v>
      </c>
      <c r="G106" s="17" t="b">
        <v>0</v>
      </c>
      <c r="H106" s="8">
        <f>1+$E106/100</f>
        <v/>
      </c>
      <c r="I106" s="8">
        <f>$F106/Parity!$H$144</f>
        <v/>
      </c>
      <c r="J106" s="16">
        <f>Parity!$F$144*$H106</f>
        <v/>
      </c>
      <c r="K106" s="8">
        <f>Parity!$I$144*$I106</f>
        <v/>
      </c>
      <c r="L106" s="8">
        <f>Parity!$J$144*$I106</f>
        <v/>
      </c>
      <c r="M106" s="16">
        <f>(Market_Weekly!$K$29-mcx_domestic_premium_inr_kg)*$H106*$I106+mcx_domestic_premium_inr_kg</f>
        <v/>
      </c>
      <c r="N106" s="15">
        <f>Parity!$N$144/Market_Weekly!$K$29</f>
        <v/>
      </c>
      <c r="O106" s="16">
        <f>$M106*$N106</f>
        <v/>
      </c>
      <c r="P106" s="18">
        <f>Parity!$AY$144</f>
        <v/>
      </c>
      <c r="Q106" s="16">
        <f>$J106*Parity!$P$144</f>
        <v/>
      </c>
      <c r="R106" s="16">
        <f>Parity!$L$144*Parity!$AG$144</f>
        <v/>
      </c>
      <c r="S106" s="16">
        <f>$Q106-$R106</f>
        <v/>
      </c>
      <c r="T106" s="16">
        <f>insurance_rate*insured_value_uplift*$Q106</f>
        <v/>
      </c>
      <c r="U106" s="16">
        <f>$Q106+$T106</f>
        <v/>
      </c>
      <c r="V106" s="18">
        <f>$U106*$L106</f>
        <v/>
      </c>
      <c r="W106" s="18">
        <f>$U106*$K106</f>
        <v/>
      </c>
      <c r="X106" s="18">
        <f>$V106*bcd_scrap_hs7602</f>
        <v/>
      </c>
      <c r="Y106" s="18">
        <f>$X106*sws_rate_on_bcd</f>
        <v/>
      </c>
      <c r="Z106" s="18">
        <f>($V106+$X106+$Y106)*igst_rate_hs7602</f>
        <v/>
      </c>
      <c r="AA106" s="18">
        <f>Parity!$X$144*Parity!$AG$144+IF(Parity!$Y$144,psic_cost_usd_per_box*$F106/Parity!$W$144,0)</f>
        <v/>
      </c>
      <c r="AB106" s="18">
        <f>($W106+$X106+$Y106)*Parity!$Z$144/day_count_inr*Parity!$O$144</f>
        <v/>
      </c>
      <c r="AC106" s="18">
        <f>$Z106*igst_credit_lag_days/day_count_inr*Parity!$O$144</f>
        <v/>
      </c>
      <c r="AD106" s="18">
        <f>$W106+$X106+$Y106+$AA106+$AB106+$AC106+IF(igst_itc_available,0,$Z106)</f>
        <v/>
      </c>
      <c r="AE106" s="18">
        <f>$O106*kg_per_mt+domestic_anchor_premium_inr_t</f>
        <v/>
      </c>
      <c r="AF106" s="18">
        <f>(1-Parity!$AA$144)*Parity!$AD$144*heavies_net_value_frac_of_lme_al*$J106*$F106</f>
        <v/>
      </c>
      <c r="AG106" s="18">
        <f>$AE106*Parity!$AU$144+$AF106-$AD106-Parity!$AX$144</f>
        <v/>
      </c>
      <c r="AH106" s="8">
        <f>$AG106&gt;margin_threshold_inr_t</f>
        <v/>
      </c>
      <c r="AI106" s="18">
        <f>($AG106-$P106)*grid_tonnes_mt</f>
        <v/>
      </c>
    </row>
    <row r="107">
      <c r="A107" s="7" t="inlineStr">
        <is>
          <t>june_trough</t>
        </is>
      </c>
      <c r="B107" s="11" t="n">
        <v>44729</v>
      </c>
      <c r="C107" s="7" t="inlineStr">
        <is>
          <t>zorba</t>
        </is>
      </c>
      <c r="D107" s="7" t="inlineStr">
        <is>
          <t>JEA_NSA</t>
        </is>
      </c>
      <c r="E107" s="20" t="n">
        <v>10</v>
      </c>
      <c r="F107" s="7" t="n">
        <v>74</v>
      </c>
      <c r="G107" s="17" t="b">
        <v>0</v>
      </c>
      <c r="H107" s="8">
        <f>1+$E107/100</f>
        <v/>
      </c>
      <c r="I107" s="8">
        <f>$F107/Parity!$H$144</f>
        <v/>
      </c>
      <c r="J107" s="16">
        <f>Parity!$F$144*$H107</f>
        <v/>
      </c>
      <c r="K107" s="8">
        <f>Parity!$I$144*$I107</f>
        <v/>
      </c>
      <c r="L107" s="8">
        <f>Parity!$J$144*$I107</f>
        <v/>
      </c>
      <c r="M107" s="16">
        <f>(Market_Weekly!$K$29-mcx_domestic_premium_inr_kg)*$H107*$I107+mcx_domestic_premium_inr_kg</f>
        <v/>
      </c>
      <c r="N107" s="15">
        <f>Parity!$N$144/Market_Weekly!$K$29</f>
        <v/>
      </c>
      <c r="O107" s="16">
        <f>$M107*$N107</f>
        <v/>
      </c>
      <c r="P107" s="18">
        <f>Parity!$AY$144</f>
        <v/>
      </c>
      <c r="Q107" s="16">
        <f>$J107*Parity!$P$144</f>
        <v/>
      </c>
      <c r="R107" s="16">
        <f>Parity!$L$144*Parity!$AG$144</f>
        <v/>
      </c>
      <c r="S107" s="16">
        <f>$Q107-$R107</f>
        <v/>
      </c>
      <c r="T107" s="16">
        <f>insurance_rate*insured_value_uplift*$Q107</f>
        <v/>
      </c>
      <c r="U107" s="16">
        <f>$Q107+$T107</f>
        <v/>
      </c>
      <c r="V107" s="18">
        <f>$U107*$L107</f>
        <v/>
      </c>
      <c r="W107" s="18">
        <f>$U107*$K107</f>
        <v/>
      </c>
      <c r="X107" s="18">
        <f>$V107*bcd_scrap_hs7602</f>
        <v/>
      </c>
      <c r="Y107" s="18">
        <f>$X107*sws_rate_on_bcd</f>
        <v/>
      </c>
      <c r="Z107" s="18">
        <f>($V107+$X107+$Y107)*igst_rate_hs7602</f>
        <v/>
      </c>
      <c r="AA107" s="18">
        <f>Parity!$X$144*Parity!$AG$144+IF(Parity!$Y$144,psic_cost_usd_per_box*$F107/Parity!$W$144,0)</f>
        <v/>
      </c>
      <c r="AB107" s="18">
        <f>($W107+$X107+$Y107)*Parity!$Z$144/day_count_inr*Parity!$O$144</f>
        <v/>
      </c>
      <c r="AC107" s="18">
        <f>$Z107*igst_credit_lag_days/day_count_inr*Parity!$O$144</f>
        <v/>
      </c>
      <c r="AD107" s="18">
        <f>$W107+$X107+$Y107+$AA107+$AB107+$AC107+IF(igst_itc_available,0,$Z107)</f>
        <v/>
      </c>
      <c r="AE107" s="18">
        <f>$O107*kg_per_mt+domestic_anchor_premium_inr_t</f>
        <v/>
      </c>
      <c r="AF107" s="18">
        <f>(1-Parity!$AA$144)*Parity!$AD$144*heavies_net_value_frac_of_lme_al*$J107*$F107</f>
        <v/>
      </c>
      <c r="AG107" s="18">
        <f>$AE107*Parity!$AU$144+$AF107-$AD107-Parity!$AX$144</f>
        <v/>
      </c>
      <c r="AH107" s="8">
        <f>$AG107&gt;margin_threshold_inr_t</f>
        <v/>
      </c>
      <c r="AI107" s="18">
        <f>($AG107-$P107)*grid_tonnes_mt</f>
        <v/>
      </c>
    </row>
    <row r="108">
      <c r="A108" s="7" t="inlineStr">
        <is>
          <t>june_trough</t>
        </is>
      </c>
      <c r="B108" s="11" t="n">
        <v>44729</v>
      </c>
      <c r="C108" s="7" t="inlineStr">
        <is>
          <t>zorba</t>
        </is>
      </c>
      <c r="D108" s="7" t="inlineStr">
        <is>
          <t>JEA_NSA</t>
        </is>
      </c>
      <c r="E108" s="20" t="n">
        <v>-30</v>
      </c>
      <c r="F108" s="7" t="n">
        <v>75</v>
      </c>
      <c r="G108" s="17" t="b">
        <v>0</v>
      </c>
      <c r="H108" s="8">
        <f>1+$E108/100</f>
        <v/>
      </c>
      <c r="I108" s="8">
        <f>$F108/Parity!$H$144</f>
        <v/>
      </c>
      <c r="J108" s="16">
        <f>Parity!$F$144*$H108</f>
        <v/>
      </c>
      <c r="K108" s="8">
        <f>Parity!$I$144*$I108</f>
        <v/>
      </c>
      <c r="L108" s="8">
        <f>Parity!$J$144*$I108</f>
        <v/>
      </c>
      <c r="M108" s="16">
        <f>(Market_Weekly!$K$29-mcx_domestic_premium_inr_kg)*$H108*$I108+mcx_domestic_premium_inr_kg</f>
        <v/>
      </c>
      <c r="N108" s="15">
        <f>Parity!$N$144/Market_Weekly!$K$29</f>
        <v/>
      </c>
      <c r="O108" s="16">
        <f>$M108*$N108</f>
        <v/>
      </c>
      <c r="P108" s="18">
        <f>Parity!$AY$144</f>
        <v/>
      </c>
      <c r="Q108" s="16">
        <f>$J108*Parity!$P$144</f>
        <v/>
      </c>
      <c r="R108" s="16">
        <f>Parity!$L$144*Parity!$AG$144</f>
        <v/>
      </c>
      <c r="S108" s="16">
        <f>$Q108-$R108</f>
        <v/>
      </c>
      <c r="T108" s="16">
        <f>insurance_rate*insured_value_uplift*$Q108</f>
        <v/>
      </c>
      <c r="U108" s="16">
        <f>$Q108+$T108</f>
        <v/>
      </c>
      <c r="V108" s="18">
        <f>$U108*$L108</f>
        <v/>
      </c>
      <c r="W108" s="18">
        <f>$U108*$K108</f>
        <v/>
      </c>
      <c r="X108" s="18">
        <f>$V108*bcd_scrap_hs7602</f>
        <v/>
      </c>
      <c r="Y108" s="18">
        <f>$X108*sws_rate_on_bcd</f>
        <v/>
      </c>
      <c r="Z108" s="18">
        <f>($V108+$X108+$Y108)*igst_rate_hs7602</f>
        <v/>
      </c>
      <c r="AA108" s="18">
        <f>Parity!$X$144*Parity!$AG$144+IF(Parity!$Y$144,psic_cost_usd_per_box*$F108/Parity!$W$144,0)</f>
        <v/>
      </c>
      <c r="AB108" s="18">
        <f>($W108+$X108+$Y108)*Parity!$Z$144/day_count_inr*Parity!$O$144</f>
        <v/>
      </c>
      <c r="AC108" s="18">
        <f>$Z108*igst_credit_lag_days/day_count_inr*Parity!$O$144</f>
        <v/>
      </c>
      <c r="AD108" s="18">
        <f>$W108+$X108+$Y108+$AA108+$AB108+$AC108+IF(igst_itc_available,0,$Z108)</f>
        <v/>
      </c>
      <c r="AE108" s="18">
        <f>$O108*kg_per_mt+domestic_anchor_premium_inr_t</f>
        <v/>
      </c>
      <c r="AF108" s="18">
        <f>(1-Parity!$AA$144)*Parity!$AD$144*heavies_net_value_frac_of_lme_al*$J108*$F108</f>
        <v/>
      </c>
      <c r="AG108" s="18">
        <f>$AE108*Parity!$AU$144+$AF108-$AD108-Parity!$AX$144</f>
        <v/>
      </c>
      <c r="AH108" s="8">
        <f>$AG108&gt;margin_threshold_inr_t</f>
        <v/>
      </c>
      <c r="AI108" s="18">
        <f>($AG108-$P108)*grid_tonnes_mt</f>
        <v/>
      </c>
    </row>
    <row r="109">
      <c r="A109" s="7" t="inlineStr">
        <is>
          <t>june_trough</t>
        </is>
      </c>
      <c r="B109" s="11" t="n">
        <v>44729</v>
      </c>
      <c r="C109" s="7" t="inlineStr">
        <is>
          <t>zorba</t>
        </is>
      </c>
      <c r="D109" s="7" t="inlineStr">
        <is>
          <t>JEA_NSA</t>
        </is>
      </c>
      <c r="E109" s="20" t="n">
        <v>-25</v>
      </c>
      <c r="F109" s="7" t="n">
        <v>75</v>
      </c>
      <c r="G109" s="17" t="b">
        <v>0</v>
      </c>
      <c r="H109" s="8">
        <f>1+$E109/100</f>
        <v/>
      </c>
      <c r="I109" s="8">
        <f>$F109/Parity!$H$144</f>
        <v/>
      </c>
      <c r="J109" s="16">
        <f>Parity!$F$144*$H109</f>
        <v/>
      </c>
      <c r="K109" s="8">
        <f>Parity!$I$144*$I109</f>
        <v/>
      </c>
      <c r="L109" s="8">
        <f>Parity!$J$144*$I109</f>
        <v/>
      </c>
      <c r="M109" s="16">
        <f>(Market_Weekly!$K$29-mcx_domestic_premium_inr_kg)*$H109*$I109+mcx_domestic_premium_inr_kg</f>
        <v/>
      </c>
      <c r="N109" s="15">
        <f>Parity!$N$144/Market_Weekly!$K$29</f>
        <v/>
      </c>
      <c r="O109" s="16">
        <f>$M109*$N109</f>
        <v/>
      </c>
      <c r="P109" s="18">
        <f>Parity!$AY$144</f>
        <v/>
      </c>
      <c r="Q109" s="16">
        <f>$J109*Parity!$P$144</f>
        <v/>
      </c>
      <c r="R109" s="16">
        <f>Parity!$L$144*Parity!$AG$144</f>
        <v/>
      </c>
      <c r="S109" s="16">
        <f>$Q109-$R109</f>
        <v/>
      </c>
      <c r="T109" s="16">
        <f>insurance_rate*insured_value_uplift*$Q109</f>
        <v/>
      </c>
      <c r="U109" s="16">
        <f>$Q109+$T109</f>
        <v/>
      </c>
      <c r="V109" s="18">
        <f>$U109*$L109</f>
        <v/>
      </c>
      <c r="W109" s="18">
        <f>$U109*$K109</f>
        <v/>
      </c>
      <c r="X109" s="18">
        <f>$V109*bcd_scrap_hs7602</f>
        <v/>
      </c>
      <c r="Y109" s="18">
        <f>$X109*sws_rate_on_bcd</f>
        <v/>
      </c>
      <c r="Z109" s="18">
        <f>($V109+$X109+$Y109)*igst_rate_hs7602</f>
        <v/>
      </c>
      <c r="AA109" s="18">
        <f>Parity!$X$144*Parity!$AG$144+IF(Parity!$Y$144,psic_cost_usd_per_box*$F109/Parity!$W$144,0)</f>
        <v/>
      </c>
      <c r="AB109" s="18">
        <f>($W109+$X109+$Y109)*Parity!$Z$144/day_count_inr*Parity!$O$144</f>
        <v/>
      </c>
      <c r="AC109" s="18">
        <f>$Z109*igst_credit_lag_days/day_count_inr*Parity!$O$144</f>
        <v/>
      </c>
      <c r="AD109" s="18">
        <f>$W109+$X109+$Y109+$AA109+$AB109+$AC109+IF(igst_itc_available,0,$Z109)</f>
        <v/>
      </c>
      <c r="AE109" s="18">
        <f>$O109*kg_per_mt+domestic_anchor_premium_inr_t</f>
        <v/>
      </c>
      <c r="AF109" s="18">
        <f>(1-Parity!$AA$144)*Parity!$AD$144*heavies_net_value_frac_of_lme_al*$J109*$F109</f>
        <v/>
      </c>
      <c r="AG109" s="18">
        <f>$AE109*Parity!$AU$144+$AF109-$AD109-Parity!$AX$144</f>
        <v/>
      </c>
      <c r="AH109" s="8">
        <f>$AG109&gt;margin_threshold_inr_t</f>
        <v/>
      </c>
      <c r="AI109" s="18">
        <f>($AG109-$P109)*grid_tonnes_mt</f>
        <v/>
      </c>
    </row>
    <row r="110">
      <c r="A110" s="7" t="inlineStr">
        <is>
          <t>june_trough</t>
        </is>
      </c>
      <c r="B110" s="11" t="n">
        <v>44729</v>
      </c>
      <c r="C110" s="7" t="inlineStr">
        <is>
          <t>zorba</t>
        </is>
      </c>
      <c r="D110" s="7" t="inlineStr">
        <is>
          <t>JEA_NSA</t>
        </is>
      </c>
      <c r="E110" s="20" t="n">
        <v>-20</v>
      </c>
      <c r="F110" s="7" t="n">
        <v>75</v>
      </c>
      <c r="G110" s="17" t="b">
        <v>0</v>
      </c>
      <c r="H110" s="8">
        <f>1+$E110/100</f>
        <v/>
      </c>
      <c r="I110" s="8">
        <f>$F110/Parity!$H$144</f>
        <v/>
      </c>
      <c r="J110" s="16">
        <f>Parity!$F$144*$H110</f>
        <v/>
      </c>
      <c r="K110" s="8">
        <f>Parity!$I$144*$I110</f>
        <v/>
      </c>
      <c r="L110" s="8">
        <f>Parity!$J$144*$I110</f>
        <v/>
      </c>
      <c r="M110" s="16">
        <f>(Market_Weekly!$K$29-mcx_domestic_premium_inr_kg)*$H110*$I110+mcx_domestic_premium_inr_kg</f>
        <v/>
      </c>
      <c r="N110" s="15">
        <f>Parity!$N$144/Market_Weekly!$K$29</f>
        <v/>
      </c>
      <c r="O110" s="16">
        <f>$M110*$N110</f>
        <v/>
      </c>
      <c r="P110" s="18">
        <f>Parity!$AY$144</f>
        <v/>
      </c>
      <c r="Q110" s="16">
        <f>$J110*Parity!$P$144</f>
        <v/>
      </c>
      <c r="R110" s="16">
        <f>Parity!$L$144*Parity!$AG$144</f>
        <v/>
      </c>
      <c r="S110" s="16">
        <f>$Q110-$R110</f>
        <v/>
      </c>
      <c r="T110" s="16">
        <f>insurance_rate*insured_value_uplift*$Q110</f>
        <v/>
      </c>
      <c r="U110" s="16">
        <f>$Q110+$T110</f>
        <v/>
      </c>
      <c r="V110" s="18">
        <f>$U110*$L110</f>
        <v/>
      </c>
      <c r="W110" s="18">
        <f>$U110*$K110</f>
        <v/>
      </c>
      <c r="X110" s="18">
        <f>$V110*bcd_scrap_hs7602</f>
        <v/>
      </c>
      <c r="Y110" s="18">
        <f>$X110*sws_rate_on_bcd</f>
        <v/>
      </c>
      <c r="Z110" s="18">
        <f>($V110+$X110+$Y110)*igst_rate_hs7602</f>
        <v/>
      </c>
      <c r="AA110" s="18">
        <f>Parity!$X$144*Parity!$AG$144+IF(Parity!$Y$144,psic_cost_usd_per_box*$F110/Parity!$W$144,0)</f>
        <v/>
      </c>
      <c r="AB110" s="18">
        <f>($W110+$X110+$Y110)*Parity!$Z$144/day_count_inr*Parity!$O$144</f>
        <v/>
      </c>
      <c r="AC110" s="18">
        <f>$Z110*igst_credit_lag_days/day_count_inr*Parity!$O$144</f>
        <v/>
      </c>
      <c r="AD110" s="18">
        <f>$W110+$X110+$Y110+$AA110+$AB110+$AC110+IF(igst_itc_available,0,$Z110)</f>
        <v/>
      </c>
      <c r="AE110" s="18">
        <f>$O110*kg_per_mt+domestic_anchor_premium_inr_t</f>
        <v/>
      </c>
      <c r="AF110" s="18">
        <f>(1-Parity!$AA$144)*Parity!$AD$144*heavies_net_value_frac_of_lme_al*$J110*$F110</f>
        <v/>
      </c>
      <c r="AG110" s="18">
        <f>$AE110*Parity!$AU$144+$AF110-$AD110-Parity!$AX$144</f>
        <v/>
      </c>
      <c r="AH110" s="8">
        <f>$AG110&gt;margin_threshold_inr_t</f>
        <v/>
      </c>
      <c r="AI110" s="18">
        <f>($AG110-$P110)*grid_tonnes_mt</f>
        <v/>
      </c>
    </row>
    <row r="111">
      <c r="A111" s="7" t="inlineStr">
        <is>
          <t>june_trough</t>
        </is>
      </c>
      <c r="B111" s="11" t="n">
        <v>44729</v>
      </c>
      <c r="C111" s="7" t="inlineStr">
        <is>
          <t>zorba</t>
        </is>
      </c>
      <c r="D111" s="7" t="inlineStr">
        <is>
          <t>JEA_NSA</t>
        </is>
      </c>
      <c r="E111" s="20" t="n">
        <v>-15</v>
      </c>
      <c r="F111" s="7" t="n">
        <v>75</v>
      </c>
      <c r="G111" s="17" t="b">
        <v>0</v>
      </c>
      <c r="H111" s="8">
        <f>1+$E111/100</f>
        <v/>
      </c>
      <c r="I111" s="8">
        <f>$F111/Parity!$H$144</f>
        <v/>
      </c>
      <c r="J111" s="16">
        <f>Parity!$F$144*$H111</f>
        <v/>
      </c>
      <c r="K111" s="8">
        <f>Parity!$I$144*$I111</f>
        <v/>
      </c>
      <c r="L111" s="8">
        <f>Parity!$J$144*$I111</f>
        <v/>
      </c>
      <c r="M111" s="16">
        <f>(Market_Weekly!$K$29-mcx_domestic_premium_inr_kg)*$H111*$I111+mcx_domestic_premium_inr_kg</f>
        <v/>
      </c>
      <c r="N111" s="15">
        <f>Parity!$N$144/Market_Weekly!$K$29</f>
        <v/>
      </c>
      <c r="O111" s="16">
        <f>$M111*$N111</f>
        <v/>
      </c>
      <c r="P111" s="18">
        <f>Parity!$AY$144</f>
        <v/>
      </c>
      <c r="Q111" s="16">
        <f>$J111*Parity!$P$144</f>
        <v/>
      </c>
      <c r="R111" s="16">
        <f>Parity!$L$144*Parity!$AG$144</f>
        <v/>
      </c>
      <c r="S111" s="16">
        <f>$Q111-$R111</f>
        <v/>
      </c>
      <c r="T111" s="16">
        <f>insurance_rate*insured_value_uplift*$Q111</f>
        <v/>
      </c>
      <c r="U111" s="16">
        <f>$Q111+$T111</f>
        <v/>
      </c>
      <c r="V111" s="18">
        <f>$U111*$L111</f>
        <v/>
      </c>
      <c r="W111" s="18">
        <f>$U111*$K111</f>
        <v/>
      </c>
      <c r="X111" s="18">
        <f>$V111*bcd_scrap_hs7602</f>
        <v/>
      </c>
      <c r="Y111" s="18">
        <f>$X111*sws_rate_on_bcd</f>
        <v/>
      </c>
      <c r="Z111" s="18">
        <f>($V111+$X111+$Y111)*igst_rate_hs7602</f>
        <v/>
      </c>
      <c r="AA111" s="18">
        <f>Parity!$X$144*Parity!$AG$144+IF(Parity!$Y$144,psic_cost_usd_per_box*$F111/Parity!$W$144,0)</f>
        <v/>
      </c>
      <c r="AB111" s="18">
        <f>($W111+$X111+$Y111)*Parity!$Z$144/day_count_inr*Parity!$O$144</f>
        <v/>
      </c>
      <c r="AC111" s="18">
        <f>$Z111*igst_credit_lag_days/day_count_inr*Parity!$O$144</f>
        <v/>
      </c>
      <c r="AD111" s="18">
        <f>$W111+$X111+$Y111+$AA111+$AB111+$AC111+IF(igst_itc_available,0,$Z111)</f>
        <v/>
      </c>
      <c r="AE111" s="18">
        <f>$O111*kg_per_mt+domestic_anchor_premium_inr_t</f>
        <v/>
      </c>
      <c r="AF111" s="18">
        <f>(1-Parity!$AA$144)*Parity!$AD$144*heavies_net_value_frac_of_lme_al*$J111*$F111</f>
        <v/>
      </c>
      <c r="AG111" s="18">
        <f>$AE111*Parity!$AU$144+$AF111-$AD111-Parity!$AX$144</f>
        <v/>
      </c>
      <c r="AH111" s="8">
        <f>$AG111&gt;margin_threshold_inr_t</f>
        <v/>
      </c>
      <c r="AI111" s="18">
        <f>($AG111-$P111)*grid_tonnes_mt</f>
        <v/>
      </c>
    </row>
    <row r="112">
      <c r="A112" s="7" t="inlineStr">
        <is>
          <t>june_trough</t>
        </is>
      </c>
      <c r="B112" s="11" t="n">
        <v>44729</v>
      </c>
      <c r="C112" s="7" t="inlineStr">
        <is>
          <t>zorba</t>
        </is>
      </c>
      <c r="D112" s="7" t="inlineStr">
        <is>
          <t>JEA_NSA</t>
        </is>
      </c>
      <c r="E112" s="20" t="n">
        <v>-10</v>
      </c>
      <c r="F112" s="7" t="n">
        <v>75</v>
      </c>
      <c r="G112" s="17" t="b">
        <v>0</v>
      </c>
      <c r="H112" s="8">
        <f>1+$E112/100</f>
        <v/>
      </c>
      <c r="I112" s="8">
        <f>$F112/Parity!$H$144</f>
        <v/>
      </c>
      <c r="J112" s="16">
        <f>Parity!$F$144*$H112</f>
        <v/>
      </c>
      <c r="K112" s="8">
        <f>Parity!$I$144*$I112</f>
        <v/>
      </c>
      <c r="L112" s="8">
        <f>Parity!$J$144*$I112</f>
        <v/>
      </c>
      <c r="M112" s="16">
        <f>(Market_Weekly!$K$29-mcx_domestic_premium_inr_kg)*$H112*$I112+mcx_domestic_premium_inr_kg</f>
        <v/>
      </c>
      <c r="N112" s="15">
        <f>Parity!$N$144/Market_Weekly!$K$29</f>
        <v/>
      </c>
      <c r="O112" s="16">
        <f>$M112*$N112</f>
        <v/>
      </c>
      <c r="P112" s="18">
        <f>Parity!$AY$144</f>
        <v/>
      </c>
      <c r="Q112" s="16">
        <f>$J112*Parity!$P$144</f>
        <v/>
      </c>
      <c r="R112" s="16">
        <f>Parity!$L$144*Parity!$AG$144</f>
        <v/>
      </c>
      <c r="S112" s="16">
        <f>$Q112-$R112</f>
        <v/>
      </c>
      <c r="T112" s="16">
        <f>insurance_rate*insured_value_uplift*$Q112</f>
        <v/>
      </c>
      <c r="U112" s="16">
        <f>$Q112+$T112</f>
        <v/>
      </c>
      <c r="V112" s="18">
        <f>$U112*$L112</f>
        <v/>
      </c>
      <c r="W112" s="18">
        <f>$U112*$K112</f>
        <v/>
      </c>
      <c r="X112" s="18">
        <f>$V112*bcd_scrap_hs7602</f>
        <v/>
      </c>
      <c r="Y112" s="18">
        <f>$X112*sws_rate_on_bcd</f>
        <v/>
      </c>
      <c r="Z112" s="18">
        <f>($V112+$X112+$Y112)*igst_rate_hs7602</f>
        <v/>
      </c>
      <c r="AA112" s="18">
        <f>Parity!$X$144*Parity!$AG$144+IF(Parity!$Y$144,psic_cost_usd_per_box*$F112/Parity!$W$144,0)</f>
        <v/>
      </c>
      <c r="AB112" s="18">
        <f>($W112+$X112+$Y112)*Parity!$Z$144/day_count_inr*Parity!$O$144</f>
        <v/>
      </c>
      <c r="AC112" s="18">
        <f>$Z112*igst_credit_lag_days/day_count_inr*Parity!$O$144</f>
        <v/>
      </c>
      <c r="AD112" s="18">
        <f>$W112+$X112+$Y112+$AA112+$AB112+$AC112+IF(igst_itc_available,0,$Z112)</f>
        <v/>
      </c>
      <c r="AE112" s="18">
        <f>$O112*kg_per_mt+domestic_anchor_premium_inr_t</f>
        <v/>
      </c>
      <c r="AF112" s="18">
        <f>(1-Parity!$AA$144)*Parity!$AD$144*heavies_net_value_frac_of_lme_al*$J112*$F112</f>
        <v/>
      </c>
      <c r="AG112" s="18">
        <f>$AE112*Parity!$AU$144+$AF112-$AD112-Parity!$AX$144</f>
        <v/>
      </c>
      <c r="AH112" s="8">
        <f>$AG112&gt;margin_threshold_inr_t</f>
        <v/>
      </c>
      <c r="AI112" s="18">
        <f>($AG112-$P112)*grid_tonnes_mt</f>
        <v/>
      </c>
    </row>
    <row r="113">
      <c r="A113" s="7" t="inlineStr">
        <is>
          <t>june_trough</t>
        </is>
      </c>
      <c r="B113" s="11" t="n">
        <v>44729</v>
      </c>
      <c r="C113" s="7" t="inlineStr">
        <is>
          <t>zorba</t>
        </is>
      </c>
      <c r="D113" s="7" t="inlineStr">
        <is>
          <t>JEA_NSA</t>
        </is>
      </c>
      <c r="E113" s="20" t="n">
        <v>-5</v>
      </c>
      <c r="F113" s="7" t="n">
        <v>75</v>
      </c>
      <c r="G113" s="17" t="b">
        <v>0</v>
      </c>
      <c r="H113" s="8">
        <f>1+$E113/100</f>
        <v/>
      </c>
      <c r="I113" s="8">
        <f>$F113/Parity!$H$144</f>
        <v/>
      </c>
      <c r="J113" s="16">
        <f>Parity!$F$144*$H113</f>
        <v/>
      </c>
      <c r="K113" s="8">
        <f>Parity!$I$144*$I113</f>
        <v/>
      </c>
      <c r="L113" s="8">
        <f>Parity!$J$144*$I113</f>
        <v/>
      </c>
      <c r="M113" s="16">
        <f>(Market_Weekly!$K$29-mcx_domestic_premium_inr_kg)*$H113*$I113+mcx_domestic_premium_inr_kg</f>
        <v/>
      </c>
      <c r="N113" s="15">
        <f>Parity!$N$144/Market_Weekly!$K$29</f>
        <v/>
      </c>
      <c r="O113" s="16">
        <f>$M113*$N113</f>
        <v/>
      </c>
      <c r="P113" s="18">
        <f>Parity!$AY$144</f>
        <v/>
      </c>
      <c r="Q113" s="16">
        <f>$J113*Parity!$P$144</f>
        <v/>
      </c>
      <c r="R113" s="16">
        <f>Parity!$L$144*Parity!$AG$144</f>
        <v/>
      </c>
      <c r="S113" s="16">
        <f>$Q113-$R113</f>
        <v/>
      </c>
      <c r="T113" s="16">
        <f>insurance_rate*insured_value_uplift*$Q113</f>
        <v/>
      </c>
      <c r="U113" s="16">
        <f>$Q113+$T113</f>
        <v/>
      </c>
      <c r="V113" s="18">
        <f>$U113*$L113</f>
        <v/>
      </c>
      <c r="W113" s="18">
        <f>$U113*$K113</f>
        <v/>
      </c>
      <c r="X113" s="18">
        <f>$V113*bcd_scrap_hs7602</f>
        <v/>
      </c>
      <c r="Y113" s="18">
        <f>$X113*sws_rate_on_bcd</f>
        <v/>
      </c>
      <c r="Z113" s="18">
        <f>($V113+$X113+$Y113)*igst_rate_hs7602</f>
        <v/>
      </c>
      <c r="AA113" s="18">
        <f>Parity!$X$144*Parity!$AG$144+IF(Parity!$Y$144,psic_cost_usd_per_box*$F113/Parity!$W$144,0)</f>
        <v/>
      </c>
      <c r="AB113" s="18">
        <f>($W113+$X113+$Y113)*Parity!$Z$144/day_count_inr*Parity!$O$144</f>
        <v/>
      </c>
      <c r="AC113" s="18">
        <f>$Z113*igst_credit_lag_days/day_count_inr*Parity!$O$144</f>
        <v/>
      </c>
      <c r="AD113" s="18">
        <f>$W113+$X113+$Y113+$AA113+$AB113+$AC113+IF(igst_itc_available,0,$Z113)</f>
        <v/>
      </c>
      <c r="AE113" s="18">
        <f>$O113*kg_per_mt+domestic_anchor_premium_inr_t</f>
        <v/>
      </c>
      <c r="AF113" s="18">
        <f>(1-Parity!$AA$144)*Parity!$AD$144*heavies_net_value_frac_of_lme_al*$J113*$F113</f>
        <v/>
      </c>
      <c r="AG113" s="18">
        <f>$AE113*Parity!$AU$144+$AF113-$AD113-Parity!$AX$144</f>
        <v/>
      </c>
      <c r="AH113" s="8">
        <f>$AG113&gt;margin_threshold_inr_t</f>
        <v/>
      </c>
      <c r="AI113" s="18">
        <f>($AG113-$P113)*grid_tonnes_mt</f>
        <v/>
      </c>
    </row>
    <row r="114">
      <c r="A114" s="7" t="inlineStr">
        <is>
          <t>june_trough</t>
        </is>
      </c>
      <c r="B114" s="11" t="n">
        <v>44729</v>
      </c>
      <c r="C114" s="7" t="inlineStr">
        <is>
          <t>zorba</t>
        </is>
      </c>
      <c r="D114" s="7" t="inlineStr">
        <is>
          <t>JEA_NSA</t>
        </is>
      </c>
      <c r="E114" s="20" t="n">
        <v>0</v>
      </c>
      <c r="F114" s="7" t="n">
        <v>75</v>
      </c>
      <c r="G114" s="17" t="b">
        <v>0</v>
      </c>
      <c r="H114" s="8">
        <f>1+$E114/100</f>
        <v/>
      </c>
      <c r="I114" s="8">
        <f>$F114/Parity!$H$144</f>
        <v/>
      </c>
      <c r="J114" s="16">
        <f>Parity!$F$144*$H114</f>
        <v/>
      </c>
      <c r="K114" s="8">
        <f>Parity!$I$144*$I114</f>
        <v/>
      </c>
      <c r="L114" s="8">
        <f>Parity!$J$144*$I114</f>
        <v/>
      </c>
      <c r="M114" s="16">
        <f>(Market_Weekly!$K$29-mcx_domestic_premium_inr_kg)*$H114*$I114+mcx_domestic_premium_inr_kg</f>
        <v/>
      </c>
      <c r="N114" s="15">
        <f>Parity!$N$144/Market_Weekly!$K$29</f>
        <v/>
      </c>
      <c r="O114" s="16">
        <f>$M114*$N114</f>
        <v/>
      </c>
      <c r="P114" s="18">
        <f>Parity!$AY$144</f>
        <v/>
      </c>
      <c r="Q114" s="16">
        <f>$J114*Parity!$P$144</f>
        <v/>
      </c>
      <c r="R114" s="16">
        <f>Parity!$L$144*Parity!$AG$144</f>
        <v/>
      </c>
      <c r="S114" s="16">
        <f>$Q114-$R114</f>
        <v/>
      </c>
      <c r="T114" s="16">
        <f>insurance_rate*insured_value_uplift*$Q114</f>
        <v/>
      </c>
      <c r="U114" s="16">
        <f>$Q114+$T114</f>
        <v/>
      </c>
      <c r="V114" s="18">
        <f>$U114*$L114</f>
        <v/>
      </c>
      <c r="W114" s="18">
        <f>$U114*$K114</f>
        <v/>
      </c>
      <c r="X114" s="18">
        <f>$V114*bcd_scrap_hs7602</f>
        <v/>
      </c>
      <c r="Y114" s="18">
        <f>$X114*sws_rate_on_bcd</f>
        <v/>
      </c>
      <c r="Z114" s="18">
        <f>($V114+$X114+$Y114)*igst_rate_hs7602</f>
        <v/>
      </c>
      <c r="AA114" s="18">
        <f>Parity!$X$144*Parity!$AG$144+IF(Parity!$Y$144,psic_cost_usd_per_box*$F114/Parity!$W$144,0)</f>
        <v/>
      </c>
      <c r="AB114" s="18">
        <f>($W114+$X114+$Y114)*Parity!$Z$144/day_count_inr*Parity!$O$144</f>
        <v/>
      </c>
      <c r="AC114" s="18">
        <f>$Z114*igst_credit_lag_days/day_count_inr*Parity!$O$144</f>
        <v/>
      </c>
      <c r="AD114" s="18">
        <f>$W114+$X114+$Y114+$AA114+$AB114+$AC114+IF(igst_itc_available,0,$Z114)</f>
        <v/>
      </c>
      <c r="AE114" s="18">
        <f>$O114*kg_per_mt+domestic_anchor_premium_inr_t</f>
        <v/>
      </c>
      <c r="AF114" s="18">
        <f>(1-Parity!$AA$144)*Parity!$AD$144*heavies_net_value_frac_of_lme_al*$J114*$F114</f>
        <v/>
      </c>
      <c r="AG114" s="18">
        <f>$AE114*Parity!$AU$144+$AF114-$AD114-Parity!$AX$144</f>
        <v/>
      </c>
      <c r="AH114" s="8">
        <f>$AG114&gt;margin_threshold_inr_t</f>
        <v/>
      </c>
      <c r="AI114" s="18">
        <f>($AG114-$P114)*grid_tonnes_mt</f>
        <v/>
      </c>
    </row>
    <row r="115">
      <c r="A115" s="7" t="inlineStr">
        <is>
          <t>june_trough</t>
        </is>
      </c>
      <c r="B115" s="11" t="n">
        <v>44729</v>
      </c>
      <c r="C115" s="7" t="inlineStr">
        <is>
          <t>zorba</t>
        </is>
      </c>
      <c r="D115" s="7" t="inlineStr">
        <is>
          <t>JEA_NSA</t>
        </is>
      </c>
      <c r="E115" s="20" t="n">
        <v>5</v>
      </c>
      <c r="F115" s="7" t="n">
        <v>75</v>
      </c>
      <c r="G115" s="17" t="b">
        <v>0</v>
      </c>
      <c r="H115" s="8">
        <f>1+$E115/100</f>
        <v/>
      </c>
      <c r="I115" s="8">
        <f>$F115/Parity!$H$144</f>
        <v/>
      </c>
      <c r="J115" s="16">
        <f>Parity!$F$144*$H115</f>
        <v/>
      </c>
      <c r="K115" s="8">
        <f>Parity!$I$144*$I115</f>
        <v/>
      </c>
      <c r="L115" s="8">
        <f>Parity!$J$144*$I115</f>
        <v/>
      </c>
      <c r="M115" s="16">
        <f>(Market_Weekly!$K$29-mcx_domestic_premium_inr_kg)*$H115*$I115+mcx_domestic_premium_inr_kg</f>
        <v/>
      </c>
      <c r="N115" s="15">
        <f>Parity!$N$144/Market_Weekly!$K$29</f>
        <v/>
      </c>
      <c r="O115" s="16">
        <f>$M115*$N115</f>
        <v/>
      </c>
      <c r="P115" s="18">
        <f>Parity!$AY$144</f>
        <v/>
      </c>
      <c r="Q115" s="16">
        <f>$J115*Parity!$P$144</f>
        <v/>
      </c>
      <c r="R115" s="16">
        <f>Parity!$L$144*Parity!$AG$144</f>
        <v/>
      </c>
      <c r="S115" s="16">
        <f>$Q115-$R115</f>
        <v/>
      </c>
      <c r="T115" s="16">
        <f>insurance_rate*insured_value_uplift*$Q115</f>
        <v/>
      </c>
      <c r="U115" s="16">
        <f>$Q115+$T115</f>
        <v/>
      </c>
      <c r="V115" s="18">
        <f>$U115*$L115</f>
        <v/>
      </c>
      <c r="W115" s="18">
        <f>$U115*$K115</f>
        <v/>
      </c>
      <c r="X115" s="18">
        <f>$V115*bcd_scrap_hs7602</f>
        <v/>
      </c>
      <c r="Y115" s="18">
        <f>$X115*sws_rate_on_bcd</f>
        <v/>
      </c>
      <c r="Z115" s="18">
        <f>($V115+$X115+$Y115)*igst_rate_hs7602</f>
        <v/>
      </c>
      <c r="AA115" s="18">
        <f>Parity!$X$144*Parity!$AG$144+IF(Parity!$Y$144,psic_cost_usd_per_box*$F115/Parity!$W$144,0)</f>
        <v/>
      </c>
      <c r="AB115" s="18">
        <f>($W115+$X115+$Y115)*Parity!$Z$144/day_count_inr*Parity!$O$144</f>
        <v/>
      </c>
      <c r="AC115" s="18">
        <f>$Z115*igst_credit_lag_days/day_count_inr*Parity!$O$144</f>
        <v/>
      </c>
      <c r="AD115" s="18">
        <f>$W115+$X115+$Y115+$AA115+$AB115+$AC115+IF(igst_itc_available,0,$Z115)</f>
        <v/>
      </c>
      <c r="AE115" s="18">
        <f>$O115*kg_per_mt+domestic_anchor_premium_inr_t</f>
        <v/>
      </c>
      <c r="AF115" s="18">
        <f>(1-Parity!$AA$144)*Parity!$AD$144*heavies_net_value_frac_of_lme_al*$J115*$F115</f>
        <v/>
      </c>
      <c r="AG115" s="18">
        <f>$AE115*Parity!$AU$144+$AF115-$AD115-Parity!$AX$144</f>
        <v/>
      </c>
      <c r="AH115" s="8">
        <f>$AG115&gt;margin_threshold_inr_t</f>
        <v/>
      </c>
      <c r="AI115" s="18">
        <f>($AG115-$P115)*grid_tonnes_mt</f>
        <v/>
      </c>
    </row>
    <row r="116">
      <c r="A116" s="7" t="inlineStr">
        <is>
          <t>june_trough</t>
        </is>
      </c>
      <c r="B116" s="11" t="n">
        <v>44729</v>
      </c>
      <c r="C116" s="7" t="inlineStr">
        <is>
          <t>zorba</t>
        </is>
      </c>
      <c r="D116" s="7" t="inlineStr">
        <is>
          <t>JEA_NSA</t>
        </is>
      </c>
      <c r="E116" s="20" t="n">
        <v>10</v>
      </c>
      <c r="F116" s="7" t="n">
        <v>75</v>
      </c>
      <c r="G116" s="17" t="b">
        <v>0</v>
      </c>
      <c r="H116" s="8">
        <f>1+$E116/100</f>
        <v/>
      </c>
      <c r="I116" s="8">
        <f>$F116/Parity!$H$144</f>
        <v/>
      </c>
      <c r="J116" s="16">
        <f>Parity!$F$144*$H116</f>
        <v/>
      </c>
      <c r="K116" s="8">
        <f>Parity!$I$144*$I116</f>
        <v/>
      </c>
      <c r="L116" s="8">
        <f>Parity!$J$144*$I116</f>
        <v/>
      </c>
      <c r="M116" s="16">
        <f>(Market_Weekly!$K$29-mcx_domestic_premium_inr_kg)*$H116*$I116+mcx_domestic_premium_inr_kg</f>
        <v/>
      </c>
      <c r="N116" s="15">
        <f>Parity!$N$144/Market_Weekly!$K$29</f>
        <v/>
      </c>
      <c r="O116" s="16">
        <f>$M116*$N116</f>
        <v/>
      </c>
      <c r="P116" s="18">
        <f>Parity!$AY$144</f>
        <v/>
      </c>
      <c r="Q116" s="16">
        <f>$J116*Parity!$P$144</f>
        <v/>
      </c>
      <c r="R116" s="16">
        <f>Parity!$L$144*Parity!$AG$144</f>
        <v/>
      </c>
      <c r="S116" s="16">
        <f>$Q116-$R116</f>
        <v/>
      </c>
      <c r="T116" s="16">
        <f>insurance_rate*insured_value_uplift*$Q116</f>
        <v/>
      </c>
      <c r="U116" s="16">
        <f>$Q116+$T116</f>
        <v/>
      </c>
      <c r="V116" s="18">
        <f>$U116*$L116</f>
        <v/>
      </c>
      <c r="W116" s="18">
        <f>$U116*$K116</f>
        <v/>
      </c>
      <c r="X116" s="18">
        <f>$V116*bcd_scrap_hs7602</f>
        <v/>
      </c>
      <c r="Y116" s="18">
        <f>$X116*sws_rate_on_bcd</f>
        <v/>
      </c>
      <c r="Z116" s="18">
        <f>($V116+$X116+$Y116)*igst_rate_hs7602</f>
        <v/>
      </c>
      <c r="AA116" s="18">
        <f>Parity!$X$144*Parity!$AG$144+IF(Parity!$Y$144,psic_cost_usd_per_box*$F116/Parity!$W$144,0)</f>
        <v/>
      </c>
      <c r="AB116" s="18">
        <f>($W116+$X116+$Y116)*Parity!$Z$144/day_count_inr*Parity!$O$144</f>
        <v/>
      </c>
      <c r="AC116" s="18">
        <f>$Z116*igst_credit_lag_days/day_count_inr*Parity!$O$144</f>
        <v/>
      </c>
      <c r="AD116" s="18">
        <f>$W116+$X116+$Y116+$AA116+$AB116+$AC116+IF(igst_itc_available,0,$Z116)</f>
        <v/>
      </c>
      <c r="AE116" s="18">
        <f>$O116*kg_per_mt+domestic_anchor_premium_inr_t</f>
        <v/>
      </c>
      <c r="AF116" s="18">
        <f>(1-Parity!$AA$144)*Parity!$AD$144*heavies_net_value_frac_of_lme_al*$J116*$F116</f>
        <v/>
      </c>
      <c r="AG116" s="18">
        <f>$AE116*Parity!$AU$144+$AF116-$AD116-Parity!$AX$144</f>
        <v/>
      </c>
      <c r="AH116" s="8">
        <f>$AG116&gt;margin_threshold_inr_t</f>
        <v/>
      </c>
      <c r="AI116" s="18">
        <f>($AG116-$P116)*grid_tonnes_mt</f>
        <v/>
      </c>
    </row>
    <row r="117">
      <c r="A117" s="7" t="inlineStr">
        <is>
          <t>june_trough</t>
        </is>
      </c>
      <c r="B117" s="11" t="n">
        <v>44729</v>
      </c>
      <c r="C117" s="7" t="inlineStr">
        <is>
          <t>zorba</t>
        </is>
      </c>
      <c r="D117" s="7" t="inlineStr">
        <is>
          <t>JEA_NSA</t>
        </is>
      </c>
      <c r="E117" s="20" t="n">
        <v>-30</v>
      </c>
      <c r="F117" s="7" t="n">
        <v>76</v>
      </c>
      <c r="G117" s="17" t="b">
        <v>0</v>
      </c>
      <c r="H117" s="8">
        <f>1+$E117/100</f>
        <v/>
      </c>
      <c r="I117" s="8">
        <f>$F117/Parity!$H$144</f>
        <v/>
      </c>
      <c r="J117" s="16">
        <f>Parity!$F$144*$H117</f>
        <v/>
      </c>
      <c r="K117" s="8">
        <f>Parity!$I$144*$I117</f>
        <v/>
      </c>
      <c r="L117" s="8">
        <f>Parity!$J$144*$I117</f>
        <v/>
      </c>
      <c r="M117" s="16">
        <f>(Market_Weekly!$K$29-mcx_domestic_premium_inr_kg)*$H117*$I117+mcx_domestic_premium_inr_kg</f>
        <v/>
      </c>
      <c r="N117" s="15">
        <f>Parity!$N$144/Market_Weekly!$K$29</f>
        <v/>
      </c>
      <c r="O117" s="16">
        <f>$M117*$N117</f>
        <v/>
      </c>
      <c r="P117" s="18">
        <f>Parity!$AY$144</f>
        <v/>
      </c>
      <c r="Q117" s="16">
        <f>$J117*Parity!$P$144</f>
        <v/>
      </c>
      <c r="R117" s="16">
        <f>Parity!$L$144*Parity!$AG$144</f>
        <v/>
      </c>
      <c r="S117" s="16">
        <f>$Q117-$R117</f>
        <v/>
      </c>
      <c r="T117" s="16">
        <f>insurance_rate*insured_value_uplift*$Q117</f>
        <v/>
      </c>
      <c r="U117" s="16">
        <f>$Q117+$T117</f>
        <v/>
      </c>
      <c r="V117" s="18">
        <f>$U117*$L117</f>
        <v/>
      </c>
      <c r="W117" s="18">
        <f>$U117*$K117</f>
        <v/>
      </c>
      <c r="X117" s="18">
        <f>$V117*bcd_scrap_hs7602</f>
        <v/>
      </c>
      <c r="Y117" s="18">
        <f>$X117*sws_rate_on_bcd</f>
        <v/>
      </c>
      <c r="Z117" s="18">
        <f>($V117+$X117+$Y117)*igst_rate_hs7602</f>
        <v/>
      </c>
      <c r="AA117" s="18">
        <f>Parity!$X$144*Parity!$AG$144+IF(Parity!$Y$144,psic_cost_usd_per_box*$F117/Parity!$W$144,0)</f>
        <v/>
      </c>
      <c r="AB117" s="18">
        <f>($W117+$X117+$Y117)*Parity!$Z$144/day_count_inr*Parity!$O$144</f>
        <v/>
      </c>
      <c r="AC117" s="18">
        <f>$Z117*igst_credit_lag_days/day_count_inr*Parity!$O$144</f>
        <v/>
      </c>
      <c r="AD117" s="18">
        <f>$W117+$X117+$Y117+$AA117+$AB117+$AC117+IF(igst_itc_available,0,$Z117)</f>
        <v/>
      </c>
      <c r="AE117" s="18">
        <f>$O117*kg_per_mt+domestic_anchor_premium_inr_t</f>
        <v/>
      </c>
      <c r="AF117" s="18">
        <f>(1-Parity!$AA$144)*Parity!$AD$144*heavies_net_value_frac_of_lme_al*$J117*$F117</f>
        <v/>
      </c>
      <c r="AG117" s="18">
        <f>$AE117*Parity!$AU$144+$AF117-$AD117-Parity!$AX$144</f>
        <v/>
      </c>
      <c r="AH117" s="8">
        <f>$AG117&gt;margin_threshold_inr_t</f>
        <v/>
      </c>
      <c r="AI117" s="18">
        <f>($AG117-$P117)*grid_tonnes_mt</f>
        <v/>
      </c>
    </row>
    <row r="118">
      <c r="A118" s="7" t="inlineStr">
        <is>
          <t>june_trough</t>
        </is>
      </c>
      <c r="B118" s="11" t="n">
        <v>44729</v>
      </c>
      <c r="C118" s="7" t="inlineStr">
        <is>
          <t>zorba</t>
        </is>
      </c>
      <c r="D118" s="7" t="inlineStr">
        <is>
          <t>JEA_NSA</t>
        </is>
      </c>
      <c r="E118" s="20" t="n">
        <v>-25</v>
      </c>
      <c r="F118" s="7" t="n">
        <v>76</v>
      </c>
      <c r="G118" s="17" t="b">
        <v>0</v>
      </c>
      <c r="H118" s="8">
        <f>1+$E118/100</f>
        <v/>
      </c>
      <c r="I118" s="8">
        <f>$F118/Parity!$H$144</f>
        <v/>
      </c>
      <c r="J118" s="16">
        <f>Parity!$F$144*$H118</f>
        <v/>
      </c>
      <c r="K118" s="8">
        <f>Parity!$I$144*$I118</f>
        <v/>
      </c>
      <c r="L118" s="8">
        <f>Parity!$J$144*$I118</f>
        <v/>
      </c>
      <c r="M118" s="16">
        <f>(Market_Weekly!$K$29-mcx_domestic_premium_inr_kg)*$H118*$I118+mcx_domestic_premium_inr_kg</f>
        <v/>
      </c>
      <c r="N118" s="15">
        <f>Parity!$N$144/Market_Weekly!$K$29</f>
        <v/>
      </c>
      <c r="O118" s="16">
        <f>$M118*$N118</f>
        <v/>
      </c>
      <c r="P118" s="18">
        <f>Parity!$AY$144</f>
        <v/>
      </c>
      <c r="Q118" s="16">
        <f>$J118*Parity!$P$144</f>
        <v/>
      </c>
      <c r="R118" s="16">
        <f>Parity!$L$144*Parity!$AG$144</f>
        <v/>
      </c>
      <c r="S118" s="16">
        <f>$Q118-$R118</f>
        <v/>
      </c>
      <c r="T118" s="16">
        <f>insurance_rate*insured_value_uplift*$Q118</f>
        <v/>
      </c>
      <c r="U118" s="16">
        <f>$Q118+$T118</f>
        <v/>
      </c>
      <c r="V118" s="18">
        <f>$U118*$L118</f>
        <v/>
      </c>
      <c r="W118" s="18">
        <f>$U118*$K118</f>
        <v/>
      </c>
      <c r="X118" s="18">
        <f>$V118*bcd_scrap_hs7602</f>
        <v/>
      </c>
      <c r="Y118" s="18">
        <f>$X118*sws_rate_on_bcd</f>
        <v/>
      </c>
      <c r="Z118" s="18">
        <f>($V118+$X118+$Y118)*igst_rate_hs7602</f>
        <v/>
      </c>
      <c r="AA118" s="18">
        <f>Parity!$X$144*Parity!$AG$144+IF(Parity!$Y$144,psic_cost_usd_per_box*$F118/Parity!$W$144,0)</f>
        <v/>
      </c>
      <c r="AB118" s="18">
        <f>($W118+$X118+$Y118)*Parity!$Z$144/day_count_inr*Parity!$O$144</f>
        <v/>
      </c>
      <c r="AC118" s="18">
        <f>$Z118*igst_credit_lag_days/day_count_inr*Parity!$O$144</f>
        <v/>
      </c>
      <c r="AD118" s="18">
        <f>$W118+$X118+$Y118+$AA118+$AB118+$AC118+IF(igst_itc_available,0,$Z118)</f>
        <v/>
      </c>
      <c r="AE118" s="18">
        <f>$O118*kg_per_mt+domestic_anchor_premium_inr_t</f>
        <v/>
      </c>
      <c r="AF118" s="18">
        <f>(1-Parity!$AA$144)*Parity!$AD$144*heavies_net_value_frac_of_lme_al*$J118*$F118</f>
        <v/>
      </c>
      <c r="AG118" s="18">
        <f>$AE118*Parity!$AU$144+$AF118-$AD118-Parity!$AX$144</f>
        <v/>
      </c>
      <c r="AH118" s="8">
        <f>$AG118&gt;margin_threshold_inr_t</f>
        <v/>
      </c>
      <c r="AI118" s="18">
        <f>($AG118-$P118)*grid_tonnes_mt</f>
        <v/>
      </c>
    </row>
    <row r="119">
      <c r="A119" s="7" t="inlineStr">
        <is>
          <t>june_trough</t>
        </is>
      </c>
      <c r="B119" s="11" t="n">
        <v>44729</v>
      </c>
      <c r="C119" s="7" t="inlineStr">
        <is>
          <t>zorba</t>
        </is>
      </c>
      <c r="D119" s="7" t="inlineStr">
        <is>
          <t>JEA_NSA</t>
        </is>
      </c>
      <c r="E119" s="20" t="n">
        <v>-20</v>
      </c>
      <c r="F119" s="7" t="n">
        <v>76</v>
      </c>
      <c r="G119" s="17" t="b">
        <v>0</v>
      </c>
      <c r="H119" s="8">
        <f>1+$E119/100</f>
        <v/>
      </c>
      <c r="I119" s="8">
        <f>$F119/Parity!$H$144</f>
        <v/>
      </c>
      <c r="J119" s="16">
        <f>Parity!$F$144*$H119</f>
        <v/>
      </c>
      <c r="K119" s="8">
        <f>Parity!$I$144*$I119</f>
        <v/>
      </c>
      <c r="L119" s="8">
        <f>Parity!$J$144*$I119</f>
        <v/>
      </c>
      <c r="M119" s="16">
        <f>(Market_Weekly!$K$29-mcx_domestic_premium_inr_kg)*$H119*$I119+mcx_domestic_premium_inr_kg</f>
        <v/>
      </c>
      <c r="N119" s="15">
        <f>Parity!$N$144/Market_Weekly!$K$29</f>
        <v/>
      </c>
      <c r="O119" s="16">
        <f>$M119*$N119</f>
        <v/>
      </c>
      <c r="P119" s="18">
        <f>Parity!$AY$144</f>
        <v/>
      </c>
      <c r="Q119" s="16">
        <f>$J119*Parity!$P$144</f>
        <v/>
      </c>
      <c r="R119" s="16">
        <f>Parity!$L$144*Parity!$AG$144</f>
        <v/>
      </c>
      <c r="S119" s="16">
        <f>$Q119-$R119</f>
        <v/>
      </c>
      <c r="T119" s="16">
        <f>insurance_rate*insured_value_uplift*$Q119</f>
        <v/>
      </c>
      <c r="U119" s="16">
        <f>$Q119+$T119</f>
        <v/>
      </c>
      <c r="V119" s="18">
        <f>$U119*$L119</f>
        <v/>
      </c>
      <c r="W119" s="18">
        <f>$U119*$K119</f>
        <v/>
      </c>
      <c r="X119" s="18">
        <f>$V119*bcd_scrap_hs7602</f>
        <v/>
      </c>
      <c r="Y119" s="18">
        <f>$X119*sws_rate_on_bcd</f>
        <v/>
      </c>
      <c r="Z119" s="18">
        <f>($V119+$X119+$Y119)*igst_rate_hs7602</f>
        <v/>
      </c>
      <c r="AA119" s="18">
        <f>Parity!$X$144*Parity!$AG$144+IF(Parity!$Y$144,psic_cost_usd_per_box*$F119/Parity!$W$144,0)</f>
        <v/>
      </c>
      <c r="AB119" s="18">
        <f>($W119+$X119+$Y119)*Parity!$Z$144/day_count_inr*Parity!$O$144</f>
        <v/>
      </c>
      <c r="AC119" s="18">
        <f>$Z119*igst_credit_lag_days/day_count_inr*Parity!$O$144</f>
        <v/>
      </c>
      <c r="AD119" s="18">
        <f>$W119+$X119+$Y119+$AA119+$AB119+$AC119+IF(igst_itc_available,0,$Z119)</f>
        <v/>
      </c>
      <c r="AE119" s="18">
        <f>$O119*kg_per_mt+domestic_anchor_premium_inr_t</f>
        <v/>
      </c>
      <c r="AF119" s="18">
        <f>(1-Parity!$AA$144)*Parity!$AD$144*heavies_net_value_frac_of_lme_al*$J119*$F119</f>
        <v/>
      </c>
      <c r="AG119" s="18">
        <f>$AE119*Parity!$AU$144+$AF119-$AD119-Parity!$AX$144</f>
        <v/>
      </c>
      <c r="AH119" s="8">
        <f>$AG119&gt;margin_threshold_inr_t</f>
        <v/>
      </c>
      <c r="AI119" s="18">
        <f>($AG119-$P119)*grid_tonnes_mt</f>
        <v/>
      </c>
    </row>
    <row r="120">
      <c r="A120" s="7" t="inlineStr">
        <is>
          <t>june_trough</t>
        </is>
      </c>
      <c r="B120" s="11" t="n">
        <v>44729</v>
      </c>
      <c r="C120" s="7" t="inlineStr">
        <is>
          <t>zorba</t>
        </is>
      </c>
      <c r="D120" s="7" t="inlineStr">
        <is>
          <t>JEA_NSA</t>
        </is>
      </c>
      <c r="E120" s="20" t="n">
        <v>-15</v>
      </c>
      <c r="F120" s="7" t="n">
        <v>76</v>
      </c>
      <c r="G120" s="17" t="b">
        <v>0</v>
      </c>
      <c r="H120" s="8">
        <f>1+$E120/100</f>
        <v/>
      </c>
      <c r="I120" s="8">
        <f>$F120/Parity!$H$144</f>
        <v/>
      </c>
      <c r="J120" s="16">
        <f>Parity!$F$144*$H120</f>
        <v/>
      </c>
      <c r="K120" s="8">
        <f>Parity!$I$144*$I120</f>
        <v/>
      </c>
      <c r="L120" s="8">
        <f>Parity!$J$144*$I120</f>
        <v/>
      </c>
      <c r="M120" s="16">
        <f>(Market_Weekly!$K$29-mcx_domestic_premium_inr_kg)*$H120*$I120+mcx_domestic_premium_inr_kg</f>
        <v/>
      </c>
      <c r="N120" s="15">
        <f>Parity!$N$144/Market_Weekly!$K$29</f>
        <v/>
      </c>
      <c r="O120" s="16">
        <f>$M120*$N120</f>
        <v/>
      </c>
      <c r="P120" s="18">
        <f>Parity!$AY$144</f>
        <v/>
      </c>
      <c r="Q120" s="16">
        <f>$J120*Parity!$P$144</f>
        <v/>
      </c>
      <c r="R120" s="16">
        <f>Parity!$L$144*Parity!$AG$144</f>
        <v/>
      </c>
      <c r="S120" s="16">
        <f>$Q120-$R120</f>
        <v/>
      </c>
      <c r="T120" s="16">
        <f>insurance_rate*insured_value_uplift*$Q120</f>
        <v/>
      </c>
      <c r="U120" s="16">
        <f>$Q120+$T120</f>
        <v/>
      </c>
      <c r="V120" s="18">
        <f>$U120*$L120</f>
        <v/>
      </c>
      <c r="W120" s="18">
        <f>$U120*$K120</f>
        <v/>
      </c>
      <c r="X120" s="18">
        <f>$V120*bcd_scrap_hs7602</f>
        <v/>
      </c>
      <c r="Y120" s="18">
        <f>$X120*sws_rate_on_bcd</f>
        <v/>
      </c>
      <c r="Z120" s="18">
        <f>($V120+$X120+$Y120)*igst_rate_hs7602</f>
        <v/>
      </c>
      <c r="AA120" s="18">
        <f>Parity!$X$144*Parity!$AG$144+IF(Parity!$Y$144,psic_cost_usd_per_box*$F120/Parity!$W$144,0)</f>
        <v/>
      </c>
      <c r="AB120" s="18">
        <f>($W120+$X120+$Y120)*Parity!$Z$144/day_count_inr*Parity!$O$144</f>
        <v/>
      </c>
      <c r="AC120" s="18">
        <f>$Z120*igst_credit_lag_days/day_count_inr*Parity!$O$144</f>
        <v/>
      </c>
      <c r="AD120" s="18">
        <f>$W120+$X120+$Y120+$AA120+$AB120+$AC120+IF(igst_itc_available,0,$Z120)</f>
        <v/>
      </c>
      <c r="AE120" s="18">
        <f>$O120*kg_per_mt+domestic_anchor_premium_inr_t</f>
        <v/>
      </c>
      <c r="AF120" s="18">
        <f>(1-Parity!$AA$144)*Parity!$AD$144*heavies_net_value_frac_of_lme_al*$J120*$F120</f>
        <v/>
      </c>
      <c r="AG120" s="18">
        <f>$AE120*Parity!$AU$144+$AF120-$AD120-Parity!$AX$144</f>
        <v/>
      </c>
      <c r="AH120" s="8">
        <f>$AG120&gt;margin_threshold_inr_t</f>
        <v/>
      </c>
      <c r="AI120" s="18">
        <f>($AG120-$P120)*grid_tonnes_mt</f>
        <v/>
      </c>
    </row>
    <row r="121">
      <c r="A121" s="7" t="inlineStr">
        <is>
          <t>june_trough</t>
        </is>
      </c>
      <c r="B121" s="11" t="n">
        <v>44729</v>
      </c>
      <c r="C121" s="7" t="inlineStr">
        <is>
          <t>zorba</t>
        </is>
      </c>
      <c r="D121" s="7" t="inlineStr">
        <is>
          <t>JEA_NSA</t>
        </is>
      </c>
      <c r="E121" s="20" t="n">
        <v>-10</v>
      </c>
      <c r="F121" s="7" t="n">
        <v>76</v>
      </c>
      <c r="G121" s="17" t="b">
        <v>0</v>
      </c>
      <c r="H121" s="8">
        <f>1+$E121/100</f>
        <v/>
      </c>
      <c r="I121" s="8">
        <f>$F121/Parity!$H$144</f>
        <v/>
      </c>
      <c r="J121" s="16">
        <f>Parity!$F$144*$H121</f>
        <v/>
      </c>
      <c r="K121" s="8">
        <f>Parity!$I$144*$I121</f>
        <v/>
      </c>
      <c r="L121" s="8">
        <f>Parity!$J$144*$I121</f>
        <v/>
      </c>
      <c r="M121" s="16">
        <f>(Market_Weekly!$K$29-mcx_domestic_premium_inr_kg)*$H121*$I121+mcx_domestic_premium_inr_kg</f>
        <v/>
      </c>
      <c r="N121" s="15">
        <f>Parity!$N$144/Market_Weekly!$K$29</f>
        <v/>
      </c>
      <c r="O121" s="16">
        <f>$M121*$N121</f>
        <v/>
      </c>
      <c r="P121" s="18">
        <f>Parity!$AY$144</f>
        <v/>
      </c>
      <c r="Q121" s="16">
        <f>$J121*Parity!$P$144</f>
        <v/>
      </c>
      <c r="R121" s="16">
        <f>Parity!$L$144*Parity!$AG$144</f>
        <v/>
      </c>
      <c r="S121" s="16">
        <f>$Q121-$R121</f>
        <v/>
      </c>
      <c r="T121" s="16">
        <f>insurance_rate*insured_value_uplift*$Q121</f>
        <v/>
      </c>
      <c r="U121" s="16">
        <f>$Q121+$T121</f>
        <v/>
      </c>
      <c r="V121" s="18">
        <f>$U121*$L121</f>
        <v/>
      </c>
      <c r="W121" s="18">
        <f>$U121*$K121</f>
        <v/>
      </c>
      <c r="X121" s="18">
        <f>$V121*bcd_scrap_hs7602</f>
        <v/>
      </c>
      <c r="Y121" s="18">
        <f>$X121*sws_rate_on_bcd</f>
        <v/>
      </c>
      <c r="Z121" s="18">
        <f>($V121+$X121+$Y121)*igst_rate_hs7602</f>
        <v/>
      </c>
      <c r="AA121" s="18">
        <f>Parity!$X$144*Parity!$AG$144+IF(Parity!$Y$144,psic_cost_usd_per_box*$F121/Parity!$W$144,0)</f>
        <v/>
      </c>
      <c r="AB121" s="18">
        <f>($W121+$X121+$Y121)*Parity!$Z$144/day_count_inr*Parity!$O$144</f>
        <v/>
      </c>
      <c r="AC121" s="18">
        <f>$Z121*igst_credit_lag_days/day_count_inr*Parity!$O$144</f>
        <v/>
      </c>
      <c r="AD121" s="18">
        <f>$W121+$X121+$Y121+$AA121+$AB121+$AC121+IF(igst_itc_available,0,$Z121)</f>
        <v/>
      </c>
      <c r="AE121" s="18">
        <f>$O121*kg_per_mt+domestic_anchor_premium_inr_t</f>
        <v/>
      </c>
      <c r="AF121" s="18">
        <f>(1-Parity!$AA$144)*Parity!$AD$144*heavies_net_value_frac_of_lme_al*$J121*$F121</f>
        <v/>
      </c>
      <c r="AG121" s="18">
        <f>$AE121*Parity!$AU$144+$AF121-$AD121-Parity!$AX$144</f>
        <v/>
      </c>
      <c r="AH121" s="8">
        <f>$AG121&gt;margin_threshold_inr_t</f>
        <v/>
      </c>
      <c r="AI121" s="18">
        <f>($AG121-$P121)*grid_tonnes_mt</f>
        <v/>
      </c>
    </row>
    <row r="122">
      <c r="A122" s="7" t="inlineStr">
        <is>
          <t>june_trough</t>
        </is>
      </c>
      <c r="B122" s="11" t="n">
        <v>44729</v>
      </c>
      <c r="C122" s="7" t="inlineStr">
        <is>
          <t>zorba</t>
        </is>
      </c>
      <c r="D122" s="7" t="inlineStr">
        <is>
          <t>JEA_NSA</t>
        </is>
      </c>
      <c r="E122" s="20" t="n">
        <v>-5</v>
      </c>
      <c r="F122" s="7" t="n">
        <v>76</v>
      </c>
      <c r="G122" s="17" t="b">
        <v>0</v>
      </c>
      <c r="H122" s="8">
        <f>1+$E122/100</f>
        <v/>
      </c>
      <c r="I122" s="8">
        <f>$F122/Parity!$H$144</f>
        <v/>
      </c>
      <c r="J122" s="16">
        <f>Parity!$F$144*$H122</f>
        <v/>
      </c>
      <c r="K122" s="8">
        <f>Parity!$I$144*$I122</f>
        <v/>
      </c>
      <c r="L122" s="8">
        <f>Parity!$J$144*$I122</f>
        <v/>
      </c>
      <c r="M122" s="16">
        <f>(Market_Weekly!$K$29-mcx_domestic_premium_inr_kg)*$H122*$I122+mcx_domestic_premium_inr_kg</f>
        <v/>
      </c>
      <c r="N122" s="15">
        <f>Parity!$N$144/Market_Weekly!$K$29</f>
        <v/>
      </c>
      <c r="O122" s="16">
        <f>$M122*$N122</f>
        <v/>
      </c>
      <c r="P122" s="18">
        <f>Parity!$AY$144</f>
        <v/>
      </c>
      <c r="Q122" s="16">
        <f>$J122*Parity!$P$144</f>
        <v/>
      </c>
      <c r="R122" s="16">
        <f>Parity!$L$144*Parity!$AG$144</f>
        <v/>
      </c>
      <c r="S122" s="16">
        <f>$Q122-$R122</f>
        <v/>
      </c>
      <c r="T122" s="16">
        <f>insurance_rate*insured_value_uplift*$Q122</f>
        <v/>
      </c>
      <c r="U122" s="16">
        <f>$Q122+$T122</f>
        <v/>
      </c>
      <c r="V122" s="18">
        <f>$U122*$L122</f>
        <v/>
      </c>
      <c r="W122" s="18">
        <f>$U122*$K122</f>
        <v/>
      </c>
      <c r="X122" s="18">
        <f>$V122*bcd_scrap_hs7602</f>
        <v/>
      </c>
      <c r="Y122" s="18">
        <f>$X122*sws_rate_on_bcd</f>
        <v/>
      </c>
      <c r="Z122" s="18">
        <f>($V122+$X122+$Y122)*igst_rate_hs7602</f>
        <v/>
      </c>
      <c r="AA122" s="18">
        <f>Parity!$X$144*Parity!$AG$144+IF(Parity!$Y$144,psic_cost_usd_per_box*$F122/Parity!$W$144,0)</f>
        <v/>
      </c>
      <c r="AB122" s="18">
        <f>($W122+$X122+$Y122)*Parity!$Z$144/day_count_inr*Parity!$O$144</f>
        <v/>
      </c>
      <c r="AC122" s="18">
        <f>$Z122*igst_credit_lag_days/day_count_inr*Parity!$O$144</f>
        <v/>
      </c>
      <c r="AD122" s="18">
        <f>$W122+$X122+$Y122+$AA122+$AB122+$AC122+IF(igst_itc_available,0,$Z122)</f>
        <v/>
      </c>
      <c r="AE122" s="18">
        <f>$O122*kg_per_mt+domestic_anchor_premium_inr_t</f>
        <v/>
      </c>
      <c r="AF122" s="18">
        <f>(1-Parity!$AA$144)*Parity!$AD$144*heavies_net_value_frac_of_lme_al*$J122*$F122</f>
        <v/>
      </c>
      <c r="AG122" s="18">
        <f>$AE122*Parity!$AU$144+$AF122-$AD122-Parity!$AX$144</f>
        <v/>
      </c>
      <c r="AH122" s="8">
        <f>$AG122&gt;margin_threshold_inr_t</f>
        <v/>
      </c>
      <c r="AI122" s="18">
        <f>($AG122-$P122)*grid_tonnes_mt</f>
        <v/>
      </c>
    </row>
    <row r="123">
      <c r="A123" s="7" t="inlineStr">
        <is>
          <t>june_trough</t>
        </is>
      </c>
      <c r="B123" s="11" t="n">
        <v>44729</v>
      </c>
      <c r="C123" s="7" t="inlineStr">
        <is>
          <t>zorba</t>
        </is>
      </c>
      <c r="D123" s="7" t="inlineStr">
        <is>
          <t>JEA_NSA</t>
        </is>
      </c>
      <c r="E123" s="20" t="n">
        <v>0</v>
      </c>
      <c r="F123" s="7" t="n">
        <v>76</v>
      </c>
      <c r="G123" s="17" t="b">
        <v>0</v>
      </c>
      <c r="H123" s="8">
        <f>1+$E123/100</f>
        <v/>
      </c>
      <c r="I123" s="8">
        <f>$F123/Parity!$H$144</f>
        <v/>
      </c>
      <c r="J123" s="16">
        <f>Parity!$F$144*$H123</f>
        <v/>
      </c>
      <c r="K123" s="8">
        <f>Parity!$I$144*$I123</f>
        <v/>
      </c>
      <c r="L123" s="8">
        <f>Parity!$J$144*$I123</f>
        <v/>
      </c>
      <c r="M123" s="16">
        <f>(Market_Weekly!$K$29-mcx_domestic_premium_inr_kg)*$H123*$I123+mcx_domestic_premium_inr_kg</f>
        <v/>
      </c>
      <c r="N123" s="15">
        <f>Parity!$N$144/Market_Weekly!$K$29</f>
        <v/>
      </c>
      <c r="O123" s="16">
        <f>$M123*$N123</f>
        <v/>
      </c>
      <c r="P123" s="18">
        <f>Parity!$AY$144</f>
        <v/>
      </c>
      <c r="Q123" s="16">
        <f>$J123*Parity!$P$144</f>
        <v/>
      </c>
      <c r="R123" s="16">
        <f>Parity!$L$144*Parity!$AG$144</f>
        <v/>
      </c>
      <c r="S123" s="16">
        <f>$Q123-$R123</f>
        <v/>
      </c>
      <c r="T123" s="16">
        <f>insurance_rate*insured_value_uplift*$Q123</f>
        <v/>
      </c>
      <c r="U123" s="16">
        <f>$Q123+$T123</f>
        <v/>
      </c>
      <c r="V123" s="18">
        <f>$U123*$L123</f>
        <v/>
      </c>
      <c r="W123" s="18">
        <f>$U123*$K123</f>
        <v/>
      </c>
      <c r="X123" s="18">
        <f>$V123*bcd_scrap_hs7602</f>
        <v/>
      </c>
      <c r="Y123" s="18">
        <f>$X123*sws_rate_on_bcd</f>
        <v/>
      </c>
      <c r="Z123" s="18">
        <f>($V123+$X123+$Y123)*igst_rate_hs7602</f>
        <v/>
      </c>
      <c r="AA123" s="18">
        <f>Parity!$X$144*Parity!$AG$144+IF(Parity!$Y$144,psic_cost_usd_per_box*$F123/Parity!$W$144,0)</f>
        <v/>
      </c>
      <c r="AB123" s="18">
        <f>($W123+$X123+$Y123)*Parity!$Z$144/day_count_inr*Parity!$O$144</f>
        <v/>
      </c>
      <c r="AC123" s="18">
        <f>$Z123*igst_credit_lag_days/day_count_inr*Parity!$O$144</f>
        <v/>
      </c>
      <c r="AD123" s="18">
        <f>$W123+$X123+$Y123+$AA123+$AB123+$AC123+IF(igst_itc_available,0,$Z123)</f>
        <v/>
      </c>
      <c r="AE123" s="18">
        <f>$O123*kg_per_mt+domestic_anchor_premium_inr_t</f>
        <v/>
      </c>
      <c r="AF123" s="18">
        <f>(1-Parity!$AA$144)*Parity!$AD$144*heavies_net_value_frac_of_lme_al*$J123*$F123</f>
        <v/>
      </c>
      <c r="AG123" s="18">
        <f>$AE123*Parity!$AU$144+$AF123-$AD123-Parity!$AX$144</f>
        <v/>
      </c>
      <c r="AH123" s="8">
        <f>$AG123&gt;margin_threshold_inr_t</f>
        <v/>
      </c>
      <c r="AI123" s="18">
        <f>($AG123-$P123)*grid_tonnes_mt</f>
        <v/>
      </c>
    </row>
    <row r="124">
      <c r="A124" s="7" t="inlineStr">
        <is>
          <t>june_trough</t>
        </is>
      </c>
      <c r="B124" s="11" t="n">
        <v>44729</v>
      </c>
      <c r="C124" s="7" t="inlineStr">
        <is>
          <t>zorba</t>
        </is>
      </c>
      <c r="D124" s="7" t="inlineStr">
        <is>
          <t>JEA_NSA</t>
        </is>
      </c>
      <c r="E124" s="20" t="n">
        <v>5</v>
      </c>
      <c r="F124" s="7" t="n">
        <v>76</v>
      </c>
      <c r="G124" s="17" t="b">
        <v>0</v>
      </c>
      <c r="H124" s="8">
        <f>1+$E124/100</f>
        <v/>
      </c>
      <c r="I124" s="8">
        <f>$F124/Parity!$H$144</f>
        <v/>
      </c>
      <c r="J124" s="16">
        <f>Parity!$F$144*$H124</f>
        <v/>
      </c>
      <c r="K124" s="8">
        <f>Parity!$I$144*$I124</f>
        <v/>
      </c>
      <c r="L124" s="8">
        <f>Parity!$J$144*$I124</f>
        <v/>
      </c>
      <c r="M124" s="16">
        <f>(Market_Weekly!$K$29-mcx_domestic_premium_inr_kg)*$H124*$I124+mcx_domestic_premium_inr_kg</f>
        <v/>
      </c>
      <c r="N124" s="15">
        <f>Parity!$N$144/Market_Weekly!$K$29</f>
        <v/>
      </c>
      <c r="O124" s="16">
        <f>$M124*$N124</f>
        <v/>
      </c>
      <c r="P124" s="18">
        <f>Parity!$AY$144</f>
        <v/>
      </c>
      <c r="Q124" s="16">
        <f>$J124*Parity!$P$144</f>
        <v/>
      </c>
      <c r="R124" s="16">
        <f>Parity!$L$144*Parity!$AG$144</f>
        <v/>
      </c>
      <c r="S124" s="16">
        <f>$Q124-$R124</f>
        <v/>
      </c>
      <c r="T124" s="16">
        <f>insurance_rate*insured_value_uplift*$Q124</f>
        <v/>
      </c>
      <c r="U124" s="16">
        <f>$Q124+$T124</f>
        <v/>
      </c>
      <c r="V124" s="18">
        <f>$U124*$L124</f>
        <v/>
      </c>
      <c r="W124" s="18">
        <f>$U124*$K124</f>
        <v/>
      </c>
      <c r="X124" s="18">
        <f>$V124*bcd_scrap_hs7602</f>
        <v/>
      </c>
      <c r="Y124" s="18">
        <f>$X124*sws_rate_on_bcd</f>
        <v/>
      </c>
      <c r="Z124" s="18">
        <f>($V124+$X124+$Y124)*igst_rate_hs7602</f>
        <v/>
      </c>
      <c r="AA124" s="18">
        <f>Parity!$X$144*Parity!$AG$144+IF(Parity!$Y$144,psic_cost_usd_per_box*$F124/Parity!$W$144,0)</f>
        <v/>
      </c>
      <c r="AB124" s="18">
        <f>($W124+$X124+$Y124)*Parity!$Z$144/day_count_inr*Parity!$O$144</f>
        <v/>
      </c>
      <c r="AC124" s="18">
        <f>$Z124*igst_credit_lag_days/day_count_inr*Parity!$O$144</f>
        <v/>
      </c>
      <c r="AD124" s="18">
        <f>$W124+$X124+$Y124+$AA124+$AB124+$AC124+IF(igst_itc_available,0,$Z124)</f>
        <v/>
      </c>
      <c r="AE124" s="18">
        <f>$O124*kg_per_mt+domestic_anchor_premium_inr_t</f>
        <v/>
      </c>
      <c r="AF124" s="18">
        <f>(1-Parity!$AA$144)*Parity!$AD$144*heavies_net_value_frac_of_lme_al*$J124*$F124</f>
        <v/>
      </c>
      <c r="AG124" s="18">
        <f>$AE124*Parity!$AU$144+$AF124-$AD124-Parity!$AX$144</f>
        <v/>
      </c>
      <c r="AH124" s="8">
        <f>$AG124&gt;margin_threshold_inr_t</f>
        <v/>
      </c>
      <c r="AI124" s="18">
        <f>($AG124-$P124)*grid_tonnes_mt</f>
        <v/>
      </c>
    </row>
    <row r="125">
      <c r="A125" s="7" t="inlineStr">
        <is>
          <t>june_trough</t>
        </is>
      </c>
      <c r="B125" s="11" t="n">
        <v>44729</v>
      </c>
      <c r="C125" s="7" t="inlineStr">
        <is>
          <t>zorba</t>
        </is>
      </c>
      <c r="D125" s="7" t="inlineStr">
        <is>
          <t>JEA_NSA</t>
        </is>
      </c>
      <c r="E125" s="20" t="n">
        <v>10</v>
      </c>
      <c r="F125" s="7" t="n">
        <v>76</v>
      </c>
      <c r="G125" s="17" t="b">
        <v>0</v>
      </c>
      <c r="H125" s="8">
        <f>1+$E125/100</f>
        <v/>
      </c>
      <c r="I125" s="8">
        <f>$F125/Parity!$H$144</f>
        <v/>
      </c>
      <c r="J125" s="16">
        <f>Parity!$F$144*$H125</f>
        <v/>
      </c>
      <c r="K125" s="8">
        <f>Parity!$I$144*$I125</f>
        <v/>
      </c>
      <c r="L125" s="8">
        <f>Parity!$J$144*$I125</f>
        <v/>
      </c>
      <c r="M125" s="16">
        <f>(Market_Weekly!$K$29-mcx_domestic_premium_inr_kg)*$H125*$I125+mcx_domestic_premium_inr_kg</f>
        <v/>
      </c>
      <c r="N125" s="15">
        <f>Parity!$N$144/Market_Weekly!$K$29</f>
        <v/>
      </c>
      <c r="O125" s="16">
        <f>$M125*$N125</f>
        <v/>
      </c>
      <c r="P125" s="18">
        <f>Parity!$AY$144</f>
        <v/>
      </c>
      <c r="Q125" s="16">
        <f>$J125*Parity!$P$144</f>
        <v/>
      </c>
      <c r="R125" s="16">
        <f>Parity!$L$144*Parity!$AG$144</f>
        <v/>
      </c>
      <c r="S125" s="16">
        <f>$Q125-$R125</f>
        <v/>
      </c>
      <c r="T125" s="16">
        <f>insurance_rate*insured_value_uplift*$Q125</f>
        <v/>
      </c>
      <c r="U125" s="16">
        <f>$Q125+$T125</f>
        <v/>
      </c>
      <c r="V125" s="18">
        <f>$U125*$L125</f>
        <v/>
      </c>
      <c r="W125" s="18">
        <f>$U125*$K125</f>
        <v/>
      </c>
      <c r="X125" s="18">
        <f>$V125*bcd_scrap_hs7602</f>
        <v/>
      </c>
      <c r="Y125" s="18">
        <f>$X125*sws_rate_on_bcd</f>
        <v/>
      </c>
      <c r="Z125" s="18">
        <f>($V125+$X125+$Y125)*igst_rate_hs7602</f>
        <v/>
      </c>
      <c r="AA125" s="18">
        <f>Parity!$X$144*Parity!$AG$144+IF(Parity!$Y$144,psic_cost_usd_per_box*$F125/Parity!$W$144,0)</f>
        <v/>
      </c>
      <c r="AB125" s="18">
        <f>($W125+$X125+$Y125)*Parity!$Z$144/day_count_inr*Parity!$O$144</f>
        <v/>
      </c>
      <c r="AC125" s="18">
        <f>$Z125*igst_credit_lag_days/day_count_inr*Parity!$O$144</f>
        <v/>
      </c>
      <c r="AD125" s="18">
        <f>$W125+$X125+$Y125+$AA125+$AB125+$AC125+IF(igst_itc_available,0,$Z125)</f>
        <v/>
      </c>
      <c r="AE125" s="18">
        <f>$O125*kg_per_mt+domestic_anchor_premium_inr_t</f>
        <v/>
      </c>
      <c r="AF125" s="18">
        <f>(1-Parity!$AA$144)*Parity!$AD$144*heavies_net_value_frac_of_lme_al*$J125*$F125</f>
        <v/>
      </c>
      <c r="AG125" s="18">
        <f>$AE125*Parity!$AU$144+$AF125-$AD125-Parity!$AX$144</f>
        <v/>
      </c>
      <c r="AH125" s="8">
        <f>$AG125&gt;margin_threshold_inr_t</f>
        <v/>
      </c>
      <c r="AI125" s="18">
        <f>($AG125-$P125)*grid_tonnes_mt</f>
        <v/>
      </c>
    </row>
    <row r="126">
      <c r="A126" s="7" t="inlineStr">
        <is>
          <t>june_trough</t>
        </is>
      </c>
      <c r="B126" s="11" t="n">
        <v>44729</v>
      </c>
      <c r="C126" s="7" t="inlineStr">
        <is>
          <t>zorba</t>
        </is>
      </c>
      <c r="D126" s="7" t="inlineStr">
        <is>
          <t>JEA_NSA</t>
        </is>
      </c>
      <c r="E126" s="20" t="n">
        <v>-30</v>
      </c>
      <c r="F126" s="7" t="n">
        <v>77</v>
      </c>
      <c r="G126" s="17" t="b">
        <v>0</v>
      </c>
      <c r="H126" s="8">
        <f>1+$E126/100</f>
        <v/>
      </c>
      <c r="I126" s="8">
        <f>$F126/Parity!$H$144</f>
        <v/>
      </c>
      <c r="J126" s="16">
        <f>Parity!$F$144*$H126</f>
        <v/>
      </c>
      <c r="K126" s="8">
        <f>Parity!$I$144*$I126</f>
        <v/>
      </c>
      <c r="L126" s="8">
        <f>Parity!$J$144*$I126</f>
        <v/>
      </c>
      <c r="M126" s="16">
        <f>(Market_Weekly!$K$29-mcx_domestic_premium_inr_kg)*$H126*$I126+mcx_domestic_premium_inr_kg</f>
        <v/>
      </c>
      <c r="N126" s="15">
        <f>Parity!$N$144/Market_Weekly!$K$29</f>
        <v/>
      </c>
      <c r="O126" s="16">
        <f>$M126*$N126</f>
        <v/>
      </c>
      <c r="P126" s="18">
        <f>Parity!$AY$144</f>
        <v/>
      </c>
      <c r="Q126" s="16">
        <f>$J126*Parity!$P$144</f>
        <v/>
      </c>
      <c r="R126" s="16">
        <f>Parity!$L$144*Parity!$AG$144</f>
        <v/>
      </c>
      <c r="S126" s="16">
        <f>$Q126-$R126</f>
        <v/>
      </c>
      <c r="T126" s="16">
        <f>insurance_rate*insured_value_uplift*$Q126</f>
        <v/>
      </c>
      <c r="U126" s="16">
        <f>$Q126+$T126</f>
        <v/>
      </c>
      <c r="V126" s="18">
        <f>$U126*$L126</f>
        <v/>
      </c>
      <c r="W126" s="18">
        <f>$U126*$K126</f>
        <v/>
      </c>
      <c r="X126" s="18">
        <f>$V126*bcd_scrap_hs7602</f>
        <v/>
      </c>
      <c r="Y126" s="18">
        <f>$X126*sws_rate_on_bcd</f>
        <v/>
      </c>
      <c r="Z126" s="18">
        <f>($V126+$X126+$Y126)*igst_rate_hs7602</f>
        <v/>
      </c>
      <c r="AA126" s="18">
        <f>Parity!$X$144*Parity!$AG$144+IF(Parity!$Y$144,psic_cost_usd_per_box*$F126/Parity!$W$144,0)</f>
        <v/>
      </c>
      <c r="AB126" s="18">
        <f>($W126+$X126+$Y126)*Parity!$Z$144/day_count_inr*Parity!$O$144</f>
        <v/>
      </c>
      <c r="AC126" s="18">
        <f>$Z126*igst_credit_lag_days/day_count_inr*Parity!$O$144</f>
        <v/>
      </c>
      <c r="AD126" s="18">
        <f>$W126+$X126+$Y126+$AA126+$AB126+$AC126+IF(igst_itc_available,0,$Z126)</f>
        <v/>
      </c>
      <c r="AE126" s="18">
        <f>$O126*kg_per_mt+domestic_anchor_premium_inr_t</f>
        <v/>
      </c>
      <c r="AF126" s="18">
        <f>(1-Parity!$AA$144)*Parity!$AD$144*heavies_net_value_frac_of_lme_al*$J126*$F126</f>
        <v/>
      </c>
      <c r="AG126" s="18">
        <f>$AE126*Parity!$AU$144+$AF126-$AD126-Parity!$AX$144</f>
        <v/>
      </c>
      <c r="AH126" s="8">
        <f>$AG126&gt;margin_threshold_inr_t</f>
        <v/>
      </c>
      <c r="AI126" s="18">
        <f>($AG126-$P126)*grid_tonnes_mt</f>
        <v/>
      </c>
    </row>
    <row r="127">
      <c r="A127" s="7" t="inlineStr">
        <is>
          <t>june_trough</t>
        </is>
      </c>
      <c r="B127" s="11" t="n">
        <v>44729</v>
      </c>
      <c r="C127" s="7" t="inlineStr">
        <is>
          <t>zorba</t>
        </is>
      </c>
      <c r="D127" s="7" t="inlineStr">
        <is>
          <t>JEA_NSA</t>
        </is>
      </c>
      <c r="E127" s="20" t="n">
        <v>-25</v>
      </c>
      <c r="F127" s="7" t="n">
        <v>77</v>
      </c>
      <c r="G127" s="17" t="b">
        <v>0</v>
      </c>
      <c r="H127" s="8">
        <f>1+$E127/100</f>
        <v/>
      </c>
      <c r="I127" s="8">
        <f>$F127/Parity!$H$144</f>
        <v/>
      </c>
      <c r="J127" s="16">
        <f>Parity!$F$144*$H127</f>
        <v/>
      </c>
      <c r="K127" s="8">
        <f>Parity!$I$144*$I127</f>
        <v/>
      </c>
      <c r="L127" s="8">
        <f>Parity!$J$144*$I127</f>
        <v/>
      </c>
      <c r="M127" s="16">
        <f>(Market_Weekly!$K$29-mcx_domestic_premium_inr_kg)*$H127*$I127+mcx_domestic_premium_inr_kg</f>
        <v/>
      </c>
      <c r="N127" s="15">
        <f>Parity!$N$144/Market_Weekly!$K$29</f>
        <v/>
      </c>
      <c r="O127" s="16">
        <f>$M127*$N127</f>
        <v/>
      </c>
      <c r="P127" s="18">
        <f>Parity!$AY$144</f>
        <v/>
      </c>
      <c r="Q127" s="16">
        <f>$J127*Parity!$P$144</f>
        <v/>
      </c>
      <c r="R127" s="16">
        <f>Parity!$L$144*Parity!$AG$144</f>
        <v/>
      </c>
      <c r="S127" s="16">
        <f>$Q127-$R127</f>
        <v/>
      </c>
      <c r="T127" s="16">
        <f>insurance_rate*insured_value_uplift*$Q127</f>
        <v/>
      </c>
      <c r="U127" s="16">
        <f>$Q127+$T127</f>
        <v/>
      </c>
      <c r="V127" s="18">
        <f>$U127*$L127</f>
        <v/>
      </c>
      <c r="W127" s="18">
        <f>$U127*$K127</f>
        <v/>
      </c>
      <c r="X127" s="18">
        <f>$V127*bcd_scrap_hs7602</f>
        <v/>
      </c>
      <c r="Y127" s="18">
        <f>$X127*sws_rate_on_bcd</f>
        <v/>
      </c>
      <c r="Z127" s="18">
        <f>($V127+$X127+$Y127)*igst_rate_hs7602</f>
        <v/>
      </c>
      <c r="AA127" s="18">
        <f>Parity!$X$144*Parity!$AG$144+IF(Parity!$Y$144,psic_cost_usd_per_box*$F127/Parity!$W$144,0)</f>
        <v/>
      </c>
      <c r="AB127" s="18">
        <f>($W127+$X127+$Y127)*Parity!$Z$144/day_count_inr*Parity!$O$144</f>
        <v/>
      </c>
      <c r="AC127" s="18">
        <f>$Z127*igst_credit_lag_days/day_count_inr*Parity!$O$144</f>
        <v/>
      </c>
      <c r="AD127" s="18">
        <f>$W127+$X127+$Y127+$AA127+$AB127+$AC127+IF(igst_itc_available,0,$Z127)</f>
        <v/>
      </c>
      <c r="AE127" s="18">
        <f>$O127*kg_per_mt+domestic_anchor_premium_inr_t</f>
        <v/>
      </c>
      <c r="AF127" s="18">
        <f>(1-Parity!$AA$144)*Parity!$AD$144*heavies_net_value_frac_of_lme_al*$J127*$F127</f>
        <v/>
      </c>
      <c r="AG127" s="18">
        <f>$AE127*Parity!$AU$144+$AF127-$AD127-Parity!$AX$144</f>
        <v/>
      </c>
      <c r="AH127" s="8">
        <f>$AG127&gt;margin_threshold_inr_t</f>
        <v/>
      </c>
      <c r="AI127" s="18">
        <f>($AG127-$P127)*grid_tonnes_mt</f>
        <v/>
      </c>
    </row>
    <row r="128">
      <c r="A128" s="7" t="inlineStr">
        <is>
          <t>june_trough</t>
        </is>
      </c>
      <c r="B128" s="11" t="n">
        <v>44729</v>
      </c>
      <c r="C128" s="7" t="inlineStr">
        <is>
          <t>zorba</t>
        </is>
      </c>
      <c r="D128" s="7" t="inlineStr">
        <is>
          <t>JEA_NSA</t>
        </is>
      </c>
      <c r="E128" s="20" t="n">
        <v>-20</v>
      </c>
      <c r="F128" s="7" t="n">
        <v>77</v>
      </c>
      <c r="G128" s="17" t="b">
        <v>0</v>
      </c>
      <c r="H128" s="8">
        <f>1+$E128/100</f>
        <v/>
      </c>
      <c r="I128" s="8">
        <f>$F128/Parity!$H$144</f>
        <v/>
      </c>
      <c r="J128" s="16">
        <f>Parity!$F$144*$H128</f>
        <v/>
      </c>
      <c r="K128" s="8">
        <f>Parity!$I$144*$I128</f>
        <v/>
      </c>
      <c r="L128" s="8">
        <f>Parity!$J$144*$I128</f>
        <v/>
      </c>
      <c r="M128" s="16">
        <f>(Market_Weekly!$K$29-mcx_domestic_premium_inr_kg)*$H128*$I128+mcx_domestic_premium_inr_kg</f>
        <v/>
      </c>
      <c r="N128" s="15">
        <f>Parity!$N$144/Market_Weekly!$K$29</f>
        <v/>
      </c>
      <c r="O128" s="16">
        <f>$M128*$N128</f>
        <v/>
      </c>
      <c r="P128" s="18">
        <f>Parity!$AY$144</f>
        <v/>
      </c>
      <c r="Q128" s="16">
        <f>$J128*Parity!$P$144</f>
        <v/>
      </c>
      <c r="R128" s="16">
        <f>Parity!$L$144*Parity!$AG$144</f>
        <v/>
      </c>
      <c r="S128" s="16">
        <f>$Q128-$R128</f>
        <v/>
      </c>
      <c r="T128" s="16">
        <f>insurance_rate*insured_value_uplift*$Q128</f>
        <v/>
      </c>
      <c r="U128" s="16">
        <f>$Q128+$T128</f>
        <v/>
      </c>
      <c r="V128" s="18">
        <f>$U128*$L128</f>
        <v/>
      </c>
      <c r="W128" s="18">
        <f>$U128*$K128</f>
        <v/>
      </c>
      <c r="X128" s="18">
        <f>$V128*bcd_scrap_hs7602</f>
        <v/>
      </c>
      <c r="Y128" s="18">
        <f>$X128*sws_rate_on_bcd</f>
        <v/>
      </c>
      <c r="Z128" s="18">
        <f>($V128+$X128+$Y128)*igst_rate_hs7602</f>
        <v/>
      </c>
      <c r="AA128" s="18">
        <f>Parity!$X$144*Parity!$AG$144+IF(Parity!$Y$144,psic_cost_usd_per_box*$F128/Parity!$W$144,0)</f>
        <v/>
      </c>
      <c r="AB128" s="18">
        <f>($W128+$X128+$Y128)*Parity!$Z$144/day_count_inr*Parity!$O$144</f>
        <v/>
      </c>
      <c r="AC128" s="18">
        <f>$Z128*igst_credit_lag_days/day_count_inr*Parity!$O$144</f>
        <v/>
      </c>
      <c r="AD128" s="18">
        <f>$W128+$X128+$Y128+$AA128+$AB128+$AC128+IF(igst_itc_available,0,$Z128)</f>
        <v/>
      </c>
      <c r="AE128" s="18">
        <f>$O128*kg_per_mt+domestic_anchor_premium_inr_t</f>
        <v/>
      </c>
      <c r="AF128" s="18">
        <f>(1-Parity!$AA$144)*Parity!$AD$144*heavies_net_value_frac_of_lme_al*$J128*$F128</f>
        <v/>
      </c>
      <c r="AG128" s="18">
        <f>$AE128*Parity!$AU$144+$AF128-$AD128-Parity!$AX$144</f>
        <v/>
      </c>
      <c r="AH128" s="8">
        <f>$AG128&gt;margin_threshold_inr_t</f>
        <v/>
      </c>
      <c r="AI128" s="18">
        <f>($AG128-$P128)*grid_tonnes_mt</f>
        <v/>
      </c>
    </row>
    <row r="129">
      <c r="A129" s="7" t="inlineStr">
        <is>
          <t>june_trough</t>
        </is>
      </c>
      <c r="B129" s="11" t="n">
        <v>44729</v>
      </c>
      <c r="C129" s="7" t="inlineStr">
        <is>
          <t>zorba</t>
        </is>
      </c>
      <c r="D129" s="7" t="inlineStr">
        <is>
          <t>JEA_NSA</t>
        </is>
      </c>
      <c r="E129" s="20" t="n">
        <v>-15</v>
      </c>
      <c r="F129" s="7" t="n">
        <v>77</v>
      </c>
      <c r="G129" s="17" t="b">
        <v>0</v>
      </c>
      <c r="H129" s="8">
        <f>1+$E129/100</f>
        <v/>
      </c>
      <c r="I129" s="8">
        <f>$F129/Parity!$H$144</f>
        <v/>
      </c>
      <c r="J129" s="16">
        <f>Parity!$F$144*$H129</f>
        <v/>
      </c>
      <c r="K129" s="8">
        <f>Parity!$I$144*$I129</f>
        <v/>
      </c>
      <c r="L129" s="8">
        <f>Parity!$J$144*$I129</f>
        <v/>
      </c>
      <c r="M129" s="16">
        <f>(Market_Weekly!$K$29-mcx_domestic_premium_inr_kg)*$H129*$I129+mcx_domestic_premium_inr_kg</f>
        <v/>
      </c>
      <c r="N129" s="15">
        <f>Parity!$N$144/Market_Weekly!$K$29</f>
        <v/>
      </c>
      <c r="O129" s="16">
        <f>$M129*$N129</f>
        <v/>
      </c>
      <c r="P129" s="18">
        <f>Parity!$AY$144</f>
        <v/>
      </c>
      <c r="Q129" s="16">
        <f>$J129*Parity!$P$144</f>
        <v/>
      </c>
      <c r="R129" s="16">
        <f>Parity!$L$144*Parity!$AG$144</f>
        <v/>
      </c>
      <c r="S129" s="16">
        <f>$Q129-$R129</f>
        <v/>
      </c>
      <c r="T129" s="16">
        <f>insurance_rate*insured_value_uplift*$Q129</f>
        <v/>
      </c>
      <c r="U129" s="16">
        <f>$Q129+$T129</f>
        <v/>
      </c>
      <c r="V129" s="18">
        <f>$U129*$L129</f>
        <v/>
      </c>
      <c r="W129" s="18">
        <f>$U129*$K129</f>
        <v/>
      </c>
      <c r="X129" s="18">
        <f>$V129*bcd_scrap_hs7602</f>
        <v/>
      </c>
      <c r="Y129" s="18">
        <f>$X129*sws_rate_on_bcd</f>
        <v/>
      </c>
      <c r="Z129" s="18">
        <f>($V129+$X129+$Y129)*igst_rate_hs7602</f>
        <v/>
      </c>
      <c r="AA129" s="18">
        <f>Parity!$X$144*Parity!$AG$144+IF(Parity!$Y$144,psic_cost_usd_per_box*$F129/Parity!$W$144,0)</f>
        <v/>
      </c>
      <c r="AB129" s="18">
        <f>($W129+$X129+$Y129)*Parity!$Z$144/day_count_inr*Parity!$O$144</f>
        <v/>
      </c>
      <c r="AC129" s="18">
        <f>$Z129*igst_credit_lag_days/day_count_inr*Parity!$O$144</f>
        <v/>
      </c>
      <c r="AD129" s="18">
        <f>$W129+$X129+$Y129+$AA129+$AB129+$AC129+IF(igst_itc_available,0,$Z129)</f>
        <v/>
      </c>
      <c r="AE129" s="18">
        <f>$O129*kg_per_mt+domestic_anchor_premium_inr_t</f>
        <v/>
      </c>
      <c r="AF129" s="18">
        <f>(1-Parity!$AA$144)*Parity!$AD$144*heavies_net_value_frac_of_lme_al*$J129*$F129</f>
        <v/>
      </c>
      <c r="AG129" s="18">
        <f>$AE129*Parity!$AU$144+$AF129-$AD129-Parity!$AX$144</f>
        <v/>
      </c>
      <c r="AH129" s="8">
        <f>$AG129&gt;margin_threshold_inr_t</f>
        <v/>
      </c>
      <c r="AI129" s="18">
        <f>($AG129-$P129)*grid_tonnes_mt</f>
        <v/>
      </c>
    </row>
    <row r="130">
      <c r="A130" s="7" t="inlineStr">
        <is>
          <t>june_trough</t>
        </is>
      </c>
      <c r="B130" s="11" t="n">
        <v>44729</v>
      </c>
      <c r="C130" s="7" t="inlineStr">
        <is>
          <t>zorba</t>
        </is>
      </c>
      <c r="D130" s="7" t="inlineStr">
        <is>
          <t>JEA_NSA</t>
        </is>
      </c>
      <c r="E130" s="20" t="n">
        <v>-10</v>
      </c>
      <c r="F130" s="7" t="n">
        <v>77</v>
      </c>
      <c r="G130" s="17" t="b">
        <v>0</v>
      </c>
      <c r="H130" s="8">
        <f>1+$E130/100</f>
        <v/>
      </c>
      <c r="I130" s="8">
        <f>$F130/Parity!$H$144</f>
        <v/>
      </c>
      <c r="J130" s="16">
        <f>Parity!$F$144*$H130</f>
        <v/>
      </c>
      <c r="K130" s="8">
        <f>Parity!$I$144*$I130</f>
        <v/>
      </c>
      <c r="L130" s="8">
        <f>Parity!$J$144*$I130</f>
        <v/>
      </c>
      <c r="M130" s="16">
        <f>(Market_Weekly!$K$29-mcx_domestic_premium_inr_kg)*$H130*$I130+mcx_domestic_premium_inr_kg</f>
        <v/>
      </c>
      <c r="N130" s="15">
        <f>Parity!$N$144/Market_Weekly!$K$29</f>
        <v/>
      </c>
      <c r="O130" s="16">
        <f>$M130*$N130</f>
        <v/>
      </c>
      <c r="P130" s="18">
        <f>Parity!$AY$144</f>
        <v/>
      </c>
      <c r="Q130" s="16">
        <f>$J130*Parity!$P$144</f>
        <v/>
      </c>
      <c r="R130" s="16">
        <f>Parity!$L$144*Parity!$AG$144</f>
        <v/>
      </c>
      <c r="S130" s="16">
        <f>$Q130-$R130</f>
        <v/>
      </c>
      <c r="T130" s="16">
        <f>insurance_rate*insured_value_uplift*$Q130</f>
        <v/>
      </c>
      <c r="U130" s="16">
        <f>$Q130+$T130</f>
        <v/>
      </c>
      <c r="V130" s="18">
        <f>$U130*$L130</f>
        <v/>
      </c>
      <c r="W130" s="18">
        <f>$U130*$K130</f>
        <v/>
      </c>
      <c r="X130" s="18">
        <f>$V130*bcd_scrap_hs7602</f>
        <v/>
      </c>
      <c r="Y130" s="18">
        <f>$X130*sws_rate_on_bcd</f>
        <v/>
      </c>
      <c r="Z130" s="18">
        <f>($V130+$X130+$Y130)*igst_rate_hs7602</f>
        <v/>
      </c>
      <c r="AA130" s="18">
        <f>Parity!$X$144*Parity!$AG$144+IF(Parity!$Y$144,psic_cost_usd_per_box*$F130/Parity!$W$144,0)</f>
        <v/>
      </c>
      <c r="AB130" s="18">
        <f>($W130+$X130+$Y130)*Parity!$Z$144/day_count_inr*Parity!$O$144</f>
        <v/>
      </c>
      <c r="AC130" s="18">
        <f>$Z130*igst_credit_lag_days/day_count_inr*Parity!$O$144</f>
        <v/>
      </c>
      <c r="AD130" s="18">
        <f>$W130+$X130+$Y130+$AA130+$AB130+$AC130+IF(igst_itc_available,0,$Z130)</f>
        <v/>
      </c>
      <c r="AE130" s="18">
        <f>$O130*kg_per_mt+domestic_anchor_premium_inr_t</f>
        <v/>
      </c>
      <c r="AF130" s="18">
        <f>(1-Parity!$AA$144)*Parity!$AD$144*heavies_net_value_frac_of_lme_al*$J130*$F130</f>
        <v/>
      </c>
      <c r="AG130" s="18">
        <f>$AE130*Parity!$AU$144+$AF130-$AD130-Parity!$AX$144</f>
        <v/>
      </c>
      <c r="AH130" s="8">
        <f>$AG130&gt;margin_threshold_inr_t</f>
        <v/>
      </c>
      <c r="AI130" s="18">
        <f>($AG130-$P130)*grid_tonnes_mt</f>
        <v/>
      </c>
    </row>
    <row r="131">
      <c r="A131" s="7" t="inlineStr">
        <is>
          <t>june_trough</t>
        </is>
      </c>
      <c r="B131" s="11" t="n">
        <v>44729</v>
      </c>
      <c r="C131" s="7" t="inlineStr">
        <is>
          <t>zorba</t>
        </is>
      </c>
      <c r="D131" s="7" t="inlineStr">
        <is>
          <t>JEA_NSA</t>
        </is>
      </c>
      <c r="E131" s="20" t="n">
        <v>-5</v>
      </c>
      <c r="F131" s="7" t="n">
        <v>77</v>
      </c>
      <c r="G131" s="17" t="b">
        <v>0</v>
      </c>
      <c r="H131" s="8">
        <f>1+$E131/100</f>
        <v/>
      </c>
      <c r="I131" s="8">
        <f>$F131/Parity!$H$144</f>
        <v/>
      </c>
      <c r="J131" s="16">
        <f>Parity!$F$144*$H131</f>
        <v/>
      </c>
      <c r="K131" s="8">
        <f>Parity!$I$144*$I131</f>
        <v/>
      </c>
      <c r="L131" s="8">
        <f>Parity!$J$144*$I131</f>
        <v/>
      </c>
      <c r="M131" s="16">
        <f>(Market_Weekly!$K$29-mcx_domestic_premium_inr_kg)*$H131*$I131+mcx_domestic_premium_inr_kg</f>
        <v/>
      </c>
      <c r="N131" s="15">
        <f>Parity!$N$144/Market_Weekly!$K$29</f>
        <v/>
      </c>
      <c r="O131" s="16">
        <f>$M131*$N131</f>
        <v/>
      </c>
      <c r="P131" s="18">
        <f>Parity!$AY$144</f>
        <v/>
      </c>
      <c r="Q131" s="16">
        <f>$J131*Parity!$P$144</f>
        <v/>
      </c>
      <c r="R131" s="16">
        <f>Parity!$L$144*Parity!$AG$144</f>
        <v/>
      </c>
      <c r="S131" s="16">
        <f>$Q131-$R131</f>
        <v/>
      </c>
      <c r="T131" s="16">
        <f>insurance_rate*insured_value_uplift*$Q131</f>
        <v/>
      </c>
      <c r="U131" s="16">
        <f>$Q131+$T131</f>
        <v/>
      </c>
      <c r="V131" s="18">
        <f>$U131*$L131</f>
        <v/>
      </c>
      <c r="W131" s="18">
        <f>$U131*$K131</f>
        <v/>
      </c>
      <c r="X131" s="18">
        <f>$V131*bcd_scrap_hs7602</f>
        <v/>
      </c>
      <c r="Y131" s="18">
        <f>$X131*sws_rate_on_bcd</f>
        <v/>
      </c>
      <c r="Z131" s="18">
        <f>($V131+$X131+$Y131)*igst_rate_hs7602</f>
        <v/>
      </c>
      <c r="AA131" s="18">
        <f>Parity!$X$144*Parity!$AG$144+IF(Parity!$Y$144,psic_cost_usd_per_box*$F131/Parity!$W$144,0)</f>
        <v/>
      </c>
      <c r="AB131" s="18">
        <f>($W131+$X131+$Y131)*Parity!$Z$144/day_count_inr*Parity!$O$144</f>
        <v/>
      </c>
      <c r="AC131" s="18">
        <f>$Z131*igst_credit_lag_days/day_count_inr*Parity!$O$144</f>
        <v/>
      </c>
      <c r="AD131" s="18">
        <f>$W131+$X131+$Y131+$AA131+$AB131+$AC131+IF(igst_itc_available,0,$Z131)</f>
        <v/>
      </c>
      <c r="AE131" s="18">
        <f>$O131*kg_per_mt+domestic_anchor_premium_inr_t</f>
        <v/>
      </c>
      <c r="AF131" s="18">
        <f>(1-Parity!$AA$144)*Parity!$AD$144*heavies_net_value_frac_of_lme_al*$J131*$F131</f>
        <v/>
      </c>
      <c r="AG131" s="18">
        <f>$AE131*Parity!$AU$144+$AF131-$AD131-Parity!$AX$144</f>
        <v/>
      </c>
      <c r="AH131" s="8">
        <f>$AG131&gt;margin_threshold_inr_t</f>
        <v/>
      </c>
      <c r="AI131" s="18">
        <f>($AG131-$P131)*grid_tonnes_mt</f>
        <v/>
      </c>
    </row>
    <row r="132">
      <c r="A132" s="7" t="inlineStr">
        <is>
          <t>june_trough</t>
        </is>
      </c>
      <c r="B132" s="11" t="n">
        <v>44729</v>
      </c>
      <c r="C132" s="7" t="inlineStr">
        <is>
          <t>zorba</t>
        </is>
      </c>
      <c r="D132" s="7" t="inlineStr">
        <is>
          <t>JEA_NSA</t>
        </is>
      </c>
      <c r="E132" s="20" t="n">
        <v>0</v>
      </c>
      <c r="F132" s="7" t="n">
        <v>77</v>
      </c>
      <c r="G132" s="17" t="b">
        <v>0</v>
      </c>
      <c r="H132" s="8">
        <f>1+$E132/100</f>
        <v/>
      </c>
      <c r="I132" s="8">
        <f>$F132/Parity!$H$144</f>
        <v/>
      </c>
      <c r="J132" s="16">
        <f>Parity!$F$144*$H132</f>
        <v/>
      </c>
      <c r="K132" s="8">
        <f>Parity!$I$144*$I132</f>
        <v/>
      </c>
      <c r="L132" s="8">
        <f>Parity!$J$144*$I132</f>
        <v/>
      </c>
      <c r="M132" s="16">
        <f>(Market_Weekly!$K$29-mcx_domestic_premium_inr_kg)*$H132*$I132+mcx_domestic_premium_inr_kg</f>
        <v/>
      </c>
      <c r="N132" s="15">
        <f>Parity!$N$144/Market_Weekly!$K$29</f>
        <v/>
      </c>
      <c r="O132" s="16">
        <f>$M132*$N132</f>
        <v/>
      </c>
      <c r="P132" s="18">
        <f>Parity!$AY$144</f>
        <v/>
      </c>
      <c r="Q132" s="16">
        <f>$J132*Parity!$P$144</f>
        <v/>
      </c>
      <c r="R132" s="16">
        <f>Parity!$L$144*Parity!$AG$144</f>
        <v/>
      </c>
      <c r="S132" s="16">
        <f>$Q132-$R132</f>
        <v/>
      </c>
      <c r="T132" s="16">
        <f>insurance_rate*insured_value_uplift*$Q132</f>
        <v/>
      </c>
      <c r="U132" s="16">
        <f>$Q132+$T132</f>
        <v/>
      </c>
      <c r="V132" s="18">
        <f>$U132*$L132</f>
        <v/>
      </c>
      <c r="W132" s="18">
        <f>$U132*$K132</f>
        <v/>
      </c>
      <c r="X132" s="18">
        <f>$V132*bcd_scrap_hs7602</f>
        <v/>
      </c>
      <c r="Y132" s="18">
        <f>$X132*sws_rate_on_bcd</f>
        <v/>
      </c>
      <c r="Z132" s="18">
        <f>($V132+$X132+$Y132)*igst_rate_hs7602</f>
        <v/>
      </c>
      <c r="AA132" s="18">
        <f>Parity!$X$144*Parity!$AG$144+IF(Parity!$Y$144,psic_cost_usd_per_box*$F132/Parity!$W$144,0)</f>
        <v/>
      </c>
      <c r="AB132" s="18">
        <f>($W132+$X132+$Y132)*Parity!$Z$144/day_count_inr*Parity!$O$144</f>
        <v/>
      </c>
      <c r="AC132" s="18">
        <f>$Z132*igst_credit_lag_days/day_count_inr*Parity!$O$144</f>
        <v/>
      </c>
      <c r="AD132" s="18">
        <f>$W132+$X132+$Y132+$AA132+$AB132+$AC132+IF(igst_itc_available,0,$Z132)</f>
        <v/>
      </c>
      <c r="AE132" s="18">
        <f>$O132*kg_per_mt+domestic_anchor_premium_inr_t</f>
        <v/>
      </c>
      <c r="AF132" s="18">
        <f>(1-Parity!$AA$144)*Parity!$AD$144*heavies_net_value_frac_of_lme_al*$J132*$F132</f>
        <v/>
      </c>
      <c r="AG132" s="18">
        <f>$AE132*Parity!$AU$144+$AF132-$AD132-Parity!$AX$144</f>
        <v/>
      </c>
      <c r="AH132" s="8">
        <f>$AG132&gt;margin_threshold_inr_t</f>
        <v/>
      </c>
      <c r="AI132" s="18">
        <f>($AG132-$P132)*grid_tonnes_mt</f>
        <v/>
      </c>
    </row>
    <row r="133">
      <c r="A133" s="7" t="inlineStr">
        <is>
          <t>june_trough</t>
        </is>
      </c>
      <c r="B133" s="11" t="n">
        <v>44729</v>
      </c>
      <c r="C133" s="7" t="inlineStr">
        <is>
          <t>zorba</t>
        </is>
      </c>
      <c r="D133" s="7" t="inlineStr">
        <is>
          <t>JEA_NSA</t>
        </is>
      </c>
      <c r="E133" s="20" t="n">
        <v>5</v>
      </c>
      <c r="F133" s="7" t="n">
        <v>77</v>
      </c>
      <c r="G133" s="17" t="b">
        <v>0</v>
      </c>
      <c r="H133" s="8">
        <f>1+$E133/100</f>
        <v/>
      </c>
      <c r="I133" s="8">
        <f>$F133/Parity!$H$144</f>
        <v/>
      </c>
      <c r="J133" s="16">
        <f>Parity!$F$144*$H133</f>
        <v/>
      </c>
      <c r="K133" s="8">
        <f>Parity!$I$144*$I133</f>
        <v/>
      </c>
      <c r="L133" s="8">
        <f>Parity!$J$144*$I133</f>
        <v/>
      </c>
      <c r="M133" s="16">
        <f>(Market_Weekly!$K$29-mcx_domestic_premium_inr_kg)*$H133*$I133+mcx_domestic_premium_inr_kg</f>
        <v/>
      </c>
      <c r="N133" s="15">
        <f>Parity!$N$144/Market_Weekly!$K$29</f>
        <v/>
      </c>
      <c r="O133" s="16">
        <f>$M133*$N133</f>
        <v/>
      </c>
      <c r="P133" s="18">
        <f>Parity!$AY$144</f>
        <v/>
      </c>
      <c r="Q133" s="16">
        <f>$J133*Parity!$P$144</f>
        <v/>
      </c>
      <c r="R133" s="16">
        <f>Parity!$L$144*Parity!$AG$144</f>
        <v/>
      </c>
      <c r="S133" s="16">
        <f>$Q133-$R133</f>
        <v/>
      </c>
      <c r="T133" s="16">
        <f>insurance_rate*insured_value_uplift*$Q133</f>
        <v/>
      </c>
      <c r="U133" s="16">
        <f>$Q133+$T133</f>
        <v/>
      </c>
      <c r="V133" s="18">
        <f>$U133*$L133</f>
        <v/>
      </c>
      <c r="W133" s="18">
        <f>$U133*$K133</f>
        <v/>
      </c>
      <c r="X133" s="18">
        <f>$V133*bcd_scrap_hs7602</f>
        <v/>
      </c>
      <c r="Y133" s="18">
        <f>$X133*sws_rate_on_bcd</f>
        <v/>
      </c>
      <c r="Z133" s="18">
        <f>($V133+$X133+$Y133)*igst_rate_hs7602</f>
        <v/>
      </c>
      <c r="AA133" s="18">
        <f>Parity!$X$144*Parity!$AG$144+IF(Parity!$Y$144,psic_cost_usd_per_box*$F133/Parity!$W$144,0)</f>
        <v/>
      </c>
      <c r="AB133" s="18">
        <f>($W133+$X133+$Y133)*Parity!$Z$144/day_count_inr*Parity!$O$144</f>
        <v/>
      </c>
      <c r="AC133" s="18">
        <f>$Z133*igst_credit_lag_days/day_count_inr*Parity!$O$144</f>
        <v/>
      </c>
      <c r="AD133" s="18">
        <f>$W133+$X133+$Y133+$AA133+$AB133+$AC133+IF(igst_itc_available,0,$Z133)</f>
        <v/>
      </c>
      <c r="AE133" s="18">
        <f>$O133*kg_per_mt+domestic_anchor_premium_inr_t</f>
        <v/>
      </c>
      <c r="AF133" s="18">
        <f>(1-Parity!$AA$144)*Parity!$AD$144*heavies_net_value_frac_of_lme_al*$J133*$F133</f>
        <v/>
      </c>
      <c r="AG133" s="18">
        <f>$AE133*Parity!$AU$144+$AF133-$AD133-Parity!$AX$144</f>
        <v/>
      </c>
      <c r="AH133" s="8">
        <f>$AG133&gt;margin_threshold_inr_t</f>
        <v/>
      </c>
      <c r="AI133" s="18">
        <f>($AG133-$P133)*grid_tonnes_mt</f>
        <v/>
      </c>
    </row>
    <row r="134">
      <c r="A134" s="7" t="inlineStr">
        <is>
          <t>june_trough</t>
        </is>
      </c>
      <c r="B134" s="11" t="n">
        <v>44729</v>
      </c>
      <c r="C134" s="7" t="inlineStr">
        <is>
          <t>zorba</t>
        </is>
      </c>
      <c r="D134" s="7" t="inlineStr">
        <is>
          <t>JEA_NSA</t>
        </is>
      </c>
      <c r="E134" s="20" t="n">
        <v>10</v>
      </c>
      <c r="F134" s="7" t="n">
        <v>77</v>
      </c>
      <c r="G134" s="17" t="b">
        <v>0</v>
      </c>
      <c r="H134" s="8">
        <f>1+$E134/100</f>
        <v/>
      </c>
      <c r="I134" s="8">
        <f>$F134/Parity!$H$144</f>
        <v/>
      </c>
      <c r="J134" s="16">
        <f>Parity!$F$144*$H134</f>
        <v/>
      </c>
      <c r="K134" s="8">
        <f>Parity!$I$144*$I134</f>
        <v/>
      </c>
      <c r="L134" s="8">
        <f>Parity!$J$144*$I134</f>
        <v/>
      </c>
      <c r="M134" s="16">
        <f>(Market_Weekly!$K$29-mcx_domestic_premium_inr_kg)*$H134*$I134+mcx_domestic_premium_inr_kg</f>
        <v/>
      </c>
      <c r="N134" s="15">
        <f>Parity!$N$144/Market_Weekly!$K$29</f>
        <v/>
      </c>
      <c r="O134" s="16">
        <f>$M134*$N134</f>
        <v/>
      </c>
      <c r="P134" s="18">
        <f>Parity!$AY$144</f>
        <v/>
      </c>
      <c r="Q134" s="16">
        <f>$J134*Parity!$P$144</f>
        <v/>
      </c>
      <c r="R134" s="16">
        <f>Parity!$L$144*Parity!$AG$144</f>
        <v/>
      </c>
      <c r="S134" s="16">
        <f>$Q134-$R134</f>
        <v/>
      </c>
      <c r="T134" s="16">
        <f>insurance_rate*insured_value_uplift*$Q134</f>
        <v/>
      </c>
      <c r="U134" s="16">
        <f>$Q134+$T134</f>
        <v/>
      </c>
      <c r="V134" s="18">
        <f>$U134*$L134</f>
        <v/>
      </c>
      <c r="W134" s="18">
        <f>$U134*$K134</f>
        <v/>
      </c>
      <c r="X134" s="18">
        <f>$V134*bcd_scrap_hs7602</f>
        <v/>
      </c>
      <c r="Y134" s="18">
        <f>$X134*sws_rate_on_bcd</f>
        <v/>
      </c>
      <c r="Z134" s="18">
        <f>($V134+$X134+$Y134)*igst_rate_hs7602</f>
        <v/>
      </c>
      <c r="AA134" s="18">
        <f>Parity!$X$144*Parity!$AG$144+IF(Parity!$Y$144,psic_cost_usd_per_box*$F134/Parity!$W$144,0)</f>
        <v/>
      </c>
      <c r="AB134" s="18">
        <f>($W134+$X134+$Y134)*Parity!$Z$144/day_count_inr*Parity!$O$144</f>
        <v/>
      </c>
      <c r="AC134" s="18">
        <f>$Z134*igst_credit_lag_days/day_count_inr*Parity!$O$144</f>
        <v/>
      </c>
      <c r="AD134" s="18">
        <f>$W134+$X134+$Y134+$AA134+$AB134+$AC134+IF(igst_itc_available,0,$Z134)</f>
        <v/>
      </c>
      <c r="AE134" s="18">
        <f>$O134*kg_per_mt+domestic_anchor_premium_inr_t</f>
        <v/>
      </c>
      <c r="AF134" s="18">
        <f>(1-Parity!$AA$144)*Parity!$AD$144*heavies_net_value_frac_of_lme_al*$J134*$F134</f>
        <v/>
      </c>
      <c r="AG134" s="18">
        <f>$AE134*Parity!$AU$144+$AF134-$AD134-Parity!$AX$144</f>
        <v/>
      </c>
      <c r="AH134" s="8">
        <f>$AG134&gt;margin_threshold_inr_t</f>
        <v/>
      </c>
      <c r="AI134" s="18">
        <f>($AG134-$P134)*grid_tonnes_mt</f>
        <v/>
      </c>
    </row>
    <row r="135">
      <c r="A135" s="7" t="inlineStr">
        <is>
          <t>june_trough</t>
        </is>
      </c>
      <c r="B135" s="11" t="n">
        <v>44729</v>
      </c>
      <c r="C135" s="7" t="inlineStr">
        <is>
          <t>zorba</t>
        </is>
      </c>
      <c r="D135" s="7" t="inlineStr">
        <is>
          <t>JEA_NSA</t>
        </is>
      </c>
      <c r="E135" s="20" t="n">
        <v>-30</v>
      </c>
      <c r="F135" s="7" t="n">
        <v>78</v>
      </c>
      <c r="G135" s="17" t="b">
        <v>0</v>
      </c>
      <c r="H135" s="8">
        <f>1+$E135/100</f>
        <v/>
      </c>
      <c r="I135" s="8">
        <f>$F135/Parity!$H$144</f>
        <v/>
      </c>
      <c r="J135" s="16">
        <f>Parity!$F$144*$H135</f>
        <v/>
      </c>
      <c r="K135" s="8">
        <f>Parity!$I$144*$I135</f>
        <v/>
      </c>
      <c r="L135" s="8">
        <f>Parity!$J$144*$I135</f>
        <v/>
      </c>
      <c r="M135" s="16">
        <f>(Market_Weekly!$K$29-mcx_domestic_premium_inr_kg)*$H135*$I135+mcx_domestic_premium_inr_kg</f>
        <v/>
      </c>
      <c r="N135" s="15">
        <f>Parity!$N$144/Market_Weekly!$K$29</f>
        <v/>
      </c>
      <c r="O135" s="16">
        <f>$M135*$N135</f>
        <v/>
      </c>
      <c r="P135" s="18">
        <f>Parity!$AY$144</f>
        <v/>
      </c>
      <c r="Q135" s="16">
        <f>$J135*Parity!$P$144</f>
        <v/>
      </c>
      <c r="R135" s="16">
        <f>Parity!$L$144*Parity!$AG$144</f>
        <v/>
      </c>
      <c r="S135" s="16">
        <f>$Q135-$R135</f>
        <v/>
      </c>
      <c r="T135" s="16">
        <f>insurance_rate*insured_value_uplift*$Q135</f>
        <v/>
      </c>
      <c r="U135" s="16">
        <f>$Q135+$T135</f>
        <v/>
      </c>
      <c r="V135" s="18">
        <f>$U135*$L135</f>
        <v/>
      </c>
      <c r="W135" s="18">
        <f>$U135*$K135</f>
        <v/>
      </c>
      <c r="X135" s="18">
        <f>$V135*bcd_scrap_hs7602</f>
        <v/>
      </c>
      <c r="Y135" s="18">
        <f>$X135*sws_rate_on_bcd</f>
        <v/>
      </c>
      <c r="Z135" s="18">
        <f>($V135+$X135+$Y135)*igst_rate_hs7602</f>
        <v/>
      </c>
      <c r="AA135" s="18">
        <f>Parity!$X$144*Parity!$AG$144+IF(Parity!$Y$144,psic_cost_usd_per_box*$F135/Parity!$W$144,0)</f>
        <v/>
      </c>
      <c r="AB135" s="18">
        <f>($W135+$X135+$Y135)*Parity!$Z$144/day_count_inr*Parity!$O$144</f>
        <v/>
      </c>
      <c r="AC135" s="18">
        <f>$Z135*igst_credit_lag_days/day_count_inr*Parity!$O$144</f>
        <v/>
      </c>
      <c r="AD135" s="18">
        <f>$W135+$X135+$Y135+$AA135+$AB135+$AC135+IF(igst_itc_available,0,$Z135)</f>
        <v/>
      </c>
      <c r="AE135" s="18">
        <f>$O135*kg_per_mt+domestic_anchor_premium_inr_t</f>
        <v/>
      </c>
      <c r="AF135" s="18">
        <f>(1-Parity!$AA$144)*Parity!$AD$144*heavies_net_value_frac_of_lme_al*$J135*$F135</f>
        <v/>
      </c>
      <c r="AG135" s="18">
        <f>$AE135*Parity!$AU$144+$AF135-$AD135-Parity!$AX$144</f>
        <v/>
      </c>
      <c r="AH135" s="8">
        <f>$AG135&gt;margin_threshold_inr_t</f>
        <v/>
      </c>
      <c r="AI135" s="18">
        <f>($AG135-$P135)*grid_tonnes_mt</f>
        <v/>
      </c>
    </row>
    <row r="136">
      <c r="A136" s="7" t="inlineStr">
        <is>
          <t>june_trough</t>
        </is>
      </c>
      <c r="B136" s="11" t="n">
        <v>44729</v>
      </c>
      <c r="C136" s="7" t="inlineStr">
        <is>
          <t>zorba</t>
        </is>
      </c>
      <c r="D136" s="7" t="inlineStr">
        <is>
          <t>JEA_NSA</t>
        </is>
      </c>
      <c r="E136" s="20" t="n">
        <v>-25</v>
      </c>
      <c r="F136" s="7" t="n">
        <v>78</v>
      </c>
      <c r="G136" s="17" t="b">
        <v>0</v>
      </c>
      <c r="H136" s="8">
        <f>1+$E136/100</f>
        <v/>
      </c>
      <c r="I136" s="8">
        <f>$F136/Parity!$H$144</f>
        <v/>
      </c>
      <c r="J136" s="16">
        <f>Parity!$F$144*$H136</f>
        <v/>
      </c>
      <c r="K136" s="8">
        <f>Parity!$I$144*$I136</f>
        <v/>
      </c>
      <c r="L136" s="8">
        <f>Parity!$J$144*$I136</f>
        <v/>
      </c>
      <c r="M136" s="16">
        <f>(Market_Weekly!$K$29-mcx_domestic_premium_inr_kg)*$H136*$I136+mcx_domestic_premium_inr_kg</f>
        <v/>
      </c>
      <c r="N136" s="15">
        <f>Parity!$N$144/Market_Weekly!$K$29</f>
        <v/>
      </c>
      <c r="O136" s="16">
        <f>$M136*$N136</f>
        <v/>
      </c>
      <c r="P136" s="18">
        <f>Parity!$AY$144</f>
        <v/>
      </c>
      <c r="Q136" s="16">
        <f>$J136*Parity!$P$144</f>
        <v/>
      </c>
      <c r="R136" s="16">
        <f>Parity!$L$144*Parity!$AG$144</f>
        <v/>
      </c>
      <c r="S136" s="16">
        <f>$Q136-$R136</f>
        <v/>
      </c>
      <c r="T136" s="16">
        <f>insurance_rate*insured_value_uplift*$Q136</f>
        <v/>
      </c>
      <c r="U136" s="16">
        <f>$Q136+$T136</f>
        <v/>
      </c>
      <c r="V136" s="18">
        <f>$U136*$L136</f>
        <v/>
      </c>
      <c r="W136" s="18">
        <f>$U136*$K136</f>
        <v/>
      </c>
      <c r="X136" s="18">
        <f>$V136*bcd_scrap_hs7602</f>
        <v/>
      </c>
      <c r="Y136" s="18">
        <f>$X136*sws_rate_on_bcd</f>
        <v/>
      </c>
      <c r="Z136" s="18">
        <f>($V136+$X136+$Y136)*igst_rate_hs7602</f>
        <v/>
      </c>
      <c r="AA136" s="18">
        <f>Parity!$X$144*Parity!$AG$144+IF(Parity!$Y$144,psic_cost_usd_per_box*$F136/Parity!$W$144,0)</f>
        <v/>
      </c>
      <c r="AB136" s="18">
        <f>($W136+$X136+$Y136)*Parity!$Z$144/day_count_inr*Parity!$O$144</f>
        <v/>
      </c>
      <c r="AC136" s="18">
        <f>$Z136*igst_credit_lag_days/day_count_inr*Parity!$O$144</f>
        <v/>
      </c>
      <c r="AD136" s="18">
        <f>$W136+$X136+$Y136+$AA136+$AB136+$AC136+IF(igst_itc_available,0,$Z136)</f>
        <v/>
      </c>
      <c r="AE136" s="18">
        <f>$O136*kg_per_mt+domestic_anchor_premium_inr_t</f>
        <v/>
      </c>
      <c r="AF136" s="18">
        <f>(1-Parity!$AA$144)*Parity!$AD$144*heavies_net_value_frac_of_lme_al*$J136*$F136</f>
        <v/>
      </c>
      <c r="AG136" s="18">
        <f>$AE136*Parity!$AU$144+$AF136-$AD136-Parity!$AX$144</f>
        <v/>
      </c>
      <c r="AH136" s="8">
        <f>$AG136&gt;margin_threshold_inr_t</f>
        <v/>
      </c>
      <c r="AI136" s="18">
        <f>($AG136-$P136)*grid_tonnes_mt</f>
        <v/>
      </c>
    </row>
    <row r="137">
      <c r="A137" s="7" t="inlineStr">
        <is>
          <t>june_trough</t>
        </is>
      </c>
      <c r="B137" s="11" t="n">
        <v>44729</v>
      </c>
      <c r="C137" s="7" t="inlineStr">
        <is>
          <t>zorba</t>
        </is>
      </c>
      <c r="D137" s="7" t="inlineStr">
        <is>
          <t>JEA_NSA</t>
        </is>
      </c>
      <c r="E137" s="20" t="n">
        <v>-20</v>
      </c>
      <c r="F137" s="7" t="n">
        <v>78</v>
      </c>
      <c r="G137" s="17" t="b">
        <v>0</v>
      </c>
      <c r="H137" s="8">
        <f>1+$E137/100</f>
        <v/>
      </c>
      <c r="I137" s="8">
        <f>$F137/Parity!$H$144</f>
        <v/>
      </c>
      <c r="J137" s="16">
        <f>Parity!$F$144*$H137</f>
        <v/>
      </c>
      <c r="K137" s="8">
        <f>Parity!$I$144*$I137</f>
        <v/>
      </c>
      <c r="L137" s="8">
        <f>Parity!$J$144*$I137</f>
        <v/>
      </c>
      <c r="M137" s="16">
        <f>(Market_Weekly!$K$29-mcx_domestic_premium_inr_kg)*$H137*$I137+mcx_domestic_premium_inr_kg</f>
        <v/>
      </c>
      <c r="N137" s="15">
        <f>Parity!$N$144/Market_Weekly!$K$29</f>
        <v/>
      </c>
      <c r="O137" s="16">
        <f>$M137*$N137</f>
        <v/>
      </c>
      <c r="P137" s="18">
        <f>Parity!$AY$144</f>
        <v/>
      </c>
      <c r="Q137" s="16">
        <f>$J137*Parity!$P$144</f>
        <v/>
      </c>
      <c r="R137" s="16">
        <f>Parity!$L$144*Parity!$AG$144</f>
        <v/>
      </c>
      <c r="S137" s="16">
        <f>$Q137-$R137</f>
        <v/>
      </c>
      <c r="T137" s="16">
        <f>insurance_rate*insured_value_uplift*$Q137</f>
        <v/>
      </c>
      <c r="U137" s="16">
        <f>$Q137+$T137</f>
        <v/>
      </c>
      <c r="V137" s="18">
        <f>$U137*$L137</f>
        <v/>
      </c>
      <c r="W137" s="18">
        <f>$U137*$K137</f>
        <v/>
      </c>
      <c r="X137" s="18">
        <f>$V137*bcd_scrap_hs7602</f>
        <v/>
      </c>
      <c r="Y137" s="18">
        <f>$X137*sws_rate_on_bcd</f>
        <v/>
      </c>
      <c r="Z137" s="18">
        <f>($V137+$X137+$Y137)*igst_rate_hs7602</f>
        <v/>
      </c>
      <c r="AA137" s="18">
        <f>Parity!$X$144*Parity!$AG$144+IF(Parity!$Y$144,psic_cost_usd_per_box*$F137/Parity!$W$144,0)</f>
        <v/>
      </c>
      <c r="AB137" s="18">
        <f>($W137+$X137+$Y137)*Parity!$Z$144/day_count_inr*Parity!$O$144</f>
        <v/>
      </c>
      <c r="AC137" s="18">
        <f>$Z137*igst_credit_lag_days/day_count_inr*Parity!$O$144</f>
        <v/>
      </c>
      <c r="AD137" s="18">
        <f>$W137+$X137+$Y137+$AA137+$AB137+$AC137+IF(igst_itc_available,0,$Z137)</f>
        <v/>
      </c>
      <c r="AE137" s="18">
        <f>$O137*kg_per_mt+domestic_anchor_premium_inr_t</f>
        <v/>
      </c>
      <c r="AF137" s="18">
        <f>(1-Parity!$AA$144)*Parity!$AD$144*heavies_net_value_frac_of_lme_al*$J137*$F137</f>
        <v/>
      </c>
      <c r="AG137" s="18">
        <f>$AE137*Parity!$AU$144+$AF137-$AD137-Parity!$AX$144</f>
        <v/>
      </c>
      <c r="AH137" s="8">
        <f>$AG137&gt;margin_threshold_inr_t</f>
        <v/>
      </c>
      <c r="AI137" s="18">
        <f>($AG137-$P137)*grid_tonnes_mt</f>
        <v/>
      </c>
    </row>
    <row r="138">
      <c r="A138" s="7" t="inlineStr">
        <is>
          <t>june_trough</t>
        </is>
      </c>
      <c r="B138" s="11" t="n">
        <v>44729</v>
      </c>
      <c r="C138" s="7" t="inlineStr">
        <is>
          <t>zorba</t>
        </is>
      </c>
      <c r="D138" s="7" t="inlineStr">
        <is>
          <t>JEA_NSA</t>
        </is>
      </c>
      <c r="E138" s="20" t="n">
        <v>-15</v>
      </c>
      <c r="F138" s="7" t="n">
        <v>78</v>
      </c>
      <c r="G138" s="17" t="b">
        <v>0</v>
      </c>
      <c r="H138" s="8">
        <f>1+$E138/100</f>
        <v/>
      </c>
      <c r="I138" s="8">
        <f>$F138/Parity!$H$144</f>
        <v/>
      </c>
      <c r="J138" s="16">
        <f>Parity!$F$144*$H138</f>
        <v/>
      </c>
      <c r="K138" s="8">
        <f>Parity!$I$144*$I138</f>
        <v/>
      </c>
      <c r="L138" s="8">
        <f>Parity!$J$144*$I138</f>
        <v/>
      </c>
      <c r="M138" s="16">
        <f>(Market_Weekly!$K$29-mcx_domestic_premium_inr_kg)*$H138*$I138+mcx_domestic_premium_inr_kg</f>
        <v/>
      </c>
      <c r="N138" s="15">
        <f>Parity!$N$144/Market_Weekly!$K$29</f>
        <v/>
      </c>
      <c r="O138" s="16">
        <f>$M138*$N138</f>
        <v/>
      </c>
      <c r="P138" s="18">
        <f>Parity!$AY$144</f>
        <v/>
      </c>
      <c r="Q138" s="16">
        <f>$J138*Parity!$P$144</f>
        <v/>
      </c>
      <c r="R138" s="16">
        <f>Parity!$L$144*Parity!$AG$144</f>
        <v/>
      </c>
      <c r="S138" s="16">
        <f>$Q138-$R138</f>
        <v/>
      </c>
      <c r="T138" s="16">
        <f>insurance_rate*insured_value_uplift*$Q138</f>
        <v/>
      </c>
      <c r="U138" s="16">
        <f>$Q138+$T138</f>
        <v/>
      </c>
      <c r="V138" s="18">
        <f>$U138*$L138</f>
        <v/>
      </c>
      <c r="W138" s="18">
        <f>$U138*$K138</f>
        <v/>
      </c>
      <c r="X138" s="18">
        <f>$V138*bcd_scrap_hs7602</f>
        <v/>
      </c>
      <c r="Y138" s="18">
        <f>$X138*sws_rate_on_bcd</f>
        <v/>
      </c>
      <c r="Z138" s="18">
        <f>($V138+$X138+$Y138)*igst_rate_hs7602</f>
        <v/>
      </c>
      <c r="AA138" s="18">
        <f>Parity!$X$144*Parity!$AG$144+IF(Parity!$Y$144,psic_cost_usd_per_box*$F138/Parity!$W$144,0)</f>
        <v/>
      </c>
      <c r="AB138" s="18">
        <f>($W138+$X138+$Y138)*Parity!$Z$144/day_count_inr*Parity!$O$144</f>
        <v/>
      </c>
      <c r="AC138" s="18">
        <f>$Z138*igst_credit_lag_days/day_count_inr*Parity!$O$144</f>
        <v/>
      </c>
      <c r="AD138" s="18">
        <f>$W138+$X138+$Y138+$AA138+$AB138+$AC138+IF(igst_itc_available,0,$Z138)</f>
        <v/>
      </c>
      <c r="AE138" s="18">
        <f>$O138*kg_per_mt+domestic_anchor_premium_inr_t</f>
        <v/>
      </c>
      <c r="AF138" s="18">
        <f>(1-Parity!$AA$144)*Parity!$AD$144*heavies_net_value_frac_of_lme_al*$J138*$F138</f>
        <v/>
      </c>
      <c r="AG138" s="18">
        <f>$AE138*Parity!$AU$144+$AF138-$AD138-Parity!$AX$144</f>
        <v/>
      </c>
      <c r="AH138" s="8">
        <f>$AG138&gt;margin_threshold_inr_t</f>
        <v/>
      </c>
      <c r="AI138" s="18">
        <f>($AG138-$P138)*grid_tonnes_mt</f>
        <v/>
      </c>
    </row>
    <row r="139">
      <c r="A139" s="7" t="inlineStr">
        <is>
          <t>june_trough</t>
        </is>
      </c>
      <c r="B139" s="11" t="n">
        <v>44729</v>
      </c>
      <c r="C139" s="7" t="inlineStr">
        <is>
          <t>zorba</t>
        </is>
      </c>
      <c r="D139" s="7" t="inlineStr">
        <is>
          <t>JEA_NSA</t>
        </is>
      </c>
      <c r="E139" s="20" t="n">
        <v>-10</v>
      </c>
      <c r="F139" s="7" t="n">
        <v>78</v>
      </c>
      <c r="G139" s="17" t="b">
        <v>0</v>
      </c>
      <c r="H139" s="8">
        <f>1+$E139/100</f>
        <v/>
      </c>
      <c r="I139" s="8">
        <f>$F139/Parity!$H$144</f>
        <v/>
      </c>
      <c r="J139" s="16">
        <f>Parity!$F$144*$H139</f>
        <v/>
      </c>
      <c r="K139" s="8">
        <f>Parity!$I$144*$I139</f>
        <v/>
      </c>
      <c r="L139" s="8">
        <f>Parity!$J$144*$I139</f>
        <v/>
      </c>
      <c r="M139" s="16">
        <f>(Market_Weekly!$K$29-mcx_domestic_premium_inr_kg)*$H139*$I139+mcx_domestic_premium_inr_kg</f>
        <v/>
      </c>
      <c r="N139" s="15">
        <f>Parity!$N$144/Market_Weekly!$K$29</f>
        <v/>
      </c>
      <c r="O139" s="16">
        <f>$M139*$N139</f>
        <v/>
      </c>
      <c r="P139" s="18">
        <f>Parity!$AY$144</f>
        <v/>
      </c>
      <c r="Q139" s="16">
        <f>$J139*Parity!$P$144</f>
        <v/>
      </c>
      <c r="R139" s="16">
        <f>Parity!$L$144*Parity!$AG$144</f>
        <v/>
      </c>
      <c r="S139" s="16">
        <f>$Q139-$R139</f>
        <v/>
      </c>
      <c r="T139" s="16">
        <f>insurance_rate*insured_value_uplift*$Q139</f>
        <v/>
      </c>
      <c r="U139" s="16">
        <f>$Q139+$T139</f>
        <v/>
      </c>
      <c r="V139" s="18">
        <f>$U139*$L139</f>
        <v/>
      </c>
      <c r="W139" s="18">
        <f>$U139*$K139</f>
        <v/>
      </c>
      <c r="X139" s="18">
        <f>$V139*bcd_scrap_hs7602</f>
        <v/>
      </c>
      <c r="Y139" s="18">
        <f>$X139*sws_rate_on_bcd</f>
        <v/>
      </c>
      <c r="Z139" s="18">
        <f>($V139+$X139+$Y139)*igst_rate_hs7602</f>
        <v/>
      </c>
      <c r="AA139" s="18">
        <f>Parity!$X$144*Parity!$AG$144+IF(Parity!$Y$144,psic_cost_usd_per_box*$F139/Parity!$W$144,0)</f>
        <v/>
      </c>
      <c r="AB139" s="18">
        <f>($W139+$X139+$Y139)*Parity!$Z$144/day_count_inr*Parity!$O$144</f>
        <v/>
      </c>
      <c r="AC139" s="18">
        <f>$Z139*igst_credit_lag_days/day_count_inr*Parity!$O$144</f>
        <v/>
      </c>
      <c r="AD139" s="18">
        <f>$W139+$X139+$Y139+$AA139+$AB139+$AC139+IF(igst_itc_available,0,$Z139)</f>
        <v/>
      </c>
      <c r="AE139" s="18">
        <f>$O139*kg_per_mt+domestic_anchor_premium_inr_t</f>
        <v/>
      </c>
      <c r="AF139" s="18">
        <f>(1-Parity!$AA$144)*Parity!$AD$144*heavies_net_value_frac_of_lme_al*$J139*$F139</f>
        <v/>
      </c>
      <c r="AG139" s="18">
        <f>$AE139*Parity!$AU$144+$AF139-$AD139-Parity!$AX$144</f>
        <v/>
      </c>
      <c r="AH139" s="8">
        <f>$AG139&gt;margin_threshold_inr_t</f>
        <v/>
      </c>
      <c r="AI139" s="18">
        <f>($AG139-$P139)*grid_tonnes_mt</f>
        <v/>
      </c>
    </row>
    <row r="140">
      <c r="A140" s="7" t="inlineStr">
        <is>
          <t>june_trough</t>
        </is>
      </c>
      <c r="B140" s="11" t="n">
        <v>44729</v>
      </c>
      <c r="C140" s="7" t="inlineStr">
        <is>
          <t>zorba</t>
        </is>
      </c>
      <c r="D140" s="7" t="inlineStr">
        <is>
          <t>JEA_NSA</t>
        </is>
      </c>
      <c r="E140" s="20" t="n">
        <v>-5</v>
      </c>
      <c r="F140" s="7" t="n">
        <v>78</v>
      </c>
      <c r="G140" s="17" t="b">
        <v>0</v>
      </c>
      <c r="H140" s="8">
        <f>1+$E140/100</f>
        <v/>
      </c>
      <c r="I140" s="8">
        <f>$F140/Parity!$H$144</f>
        <v/>
      </c>
      <c r="J140" s="16">
        <f>Parity!$F$144*$H140</f>
        <v/>
      </c>
      <c r="K140" s="8">
        <f>Parity!$I$144*$I140</f>
        <v/>
      </c>
      <c r="L140" s="8">
        <f>Parity!$J$144*$I140</f>
        <v/>
      </c>
      <c r="M140" s="16">
        <f>(Market_Weekly!$K$29-mcx_domestic_premium_inr_kg)*$H140*$I140+mcx_domestic_premium_inr_kg</f>
        <v/>
      </c>
      <c r="N140" s="15">
        <f>Parity!$N$144/Market_Weekly!$K$29</f>
        <v/>
      </c>
      <c r="O140" s="16">
        <f>$M140*$N140</f>
        <v/>
      </c>
      <c r="P140" s="18">
        <f>Parity!$AY$144</f>
        <v/>
      </c>
      <c r="Q140" s="16">
        <f>$J140*Parity!$P$144</f>
        <v/>
      </c>
      <c r="R140" s="16">
        <f>Parity!$L$144*Parity!$AG$144</f>
        <v/>
      </c>
      <c r="S140" s="16">
        <f>$Q140-$R140</f>
        <v/>
      </c>
      <c r="T140" s="16">
        <f>insurance_rate*insured_value_uplift*$Q140</f>
        <v/>
      </c>
      <c r="U140" s="16">
        <f>$Q140+$T140</f>
        <v/>
      </c>
      <c r="V140" s="18">
        <f>$U140*$L140</f>
        <v/>
      </c>
      <c r="W140" s="18">
        <f>$U140*$K140</f>
        <v/>
      </c>
      <c r="X140" s="18">
        <f>$V140*bcd_scrap_hs7602</f>
        <v/>
      </c>
      <c r="Y140" s="18">
        <f>$X140*sws_rate_on_bcd</f>
        <v/>
      </c>
      <c r="Z140" s="18">
        <f>($V140+$X140+$Y140)*igst_rate_hs7602</f>
        <v/>
      </c>
      <c r="AA140" s="18">
        <f>Parity!$X$144*Parity!$AG$144+IF(Parity!$Y$144,psic_cost_usd_per_box*$F140/Parity!$W$144,0)</f>
        <v/>
      </c>
      <c r="AB140" s="18">
        <f>($W140+$X140+$Y140)*Parity!$Z$144/day_count_inr*Parity!$O$144</f>
        <v/>
      </c>
      <c r="AC140" s="18">
        <f>$Z140*igst_credit_lag_days/day_count_inr*Parity!$O$144</f>
        <v/>
      </c>
      <c r="AD140" s="18">
        <f>$W140+$X140+$Y140+$AA140+$AB140+$AC140+IF(igst_itc_available,0,$Z140)</f>
        <v/>
      </c>
      <c r="AE140" s="18">
        <f>$O140*kg_per_mt+domestic_anchor_premium_inr_t</f>
        <v/>
      </c>
      <c r="AF140" s="18">
        <f>(1-Parity!$AA$144)*Parity!$AD$144*heavies_net_value_frac_of_lme_al*$J140*$F140</f>
        <v/>
      </c>
      <c r="AG140" s="18">
        <f>$AE140*Parity!$AU$144+$AF140-$AD140-Parity!$AX$144</f>
        <v/>
      </c>
      <c r="AH140" s="8">
        <f>$AG140&gt;margin_threshold_inr_t</f>
        <v/>
      </c>
      <c r="AI140" s="18">
        <f>($AG140-$P140)*grid_tonnes_mt</f>
        <v/>
      </c>
    </row>
    <row r="141">
      <c r="A141" s="7" t="inlineStr">
        <is>
          <t>june_trough</t>
        </is>
      </c>
      <c r="B141" s="11" t="n">
        <v>44729</v>
      </c>
      <c r="C141" s="7" t="inlineStr">
        <is>
          <t>zorba</t>
        </is>
      </c>
      <c r="D141" s="7" t="inlineStr">
        <is>
          <t>JEA_NSA</t>
        </is>
      </c>
      <c r="E141" s="20" t="n">
        <v>0</v>
      </c>
      <c r="F141" s="7" t="n">
        <v>78</v>
      </c>
      <c r="G141" s="17" t="b">
        <v>0</v>
      </c>
      <c r="H141" s="8">
        <f>1+$E141/100</f>
        <v/>
      </c>
      <c r="I141" s="8">
        <f>$F141/Parity!$H$144</f>
        <v/>
      </c>
      <c r="J141" s="16">
        <f>Parity!$F$144*$H141</f>
        <v/>
      </c>
      <c r="K141" s="8">
        <f>Parity!$I$144*$I141</f>
        <v/>
      </c>
      <c r="L141" s="8">
        <f>Parity!$J$144*$I141</f>
        <v/>
      </c>
      <c r="M141" s="16">
        <f>(Market_Weekly!$K$29-mcx_domestic_premium_inr_kg)*$H141*$I141+mcx_domestic_premium_inr_kg</f>
        <v/>
      </c>
      <c r="N141" s="15">
        <f>Parity!$N$144/Market_Weekly!$K$29</f>
        <v/>
      </c>
      <c r="O141" s="16">
        <f>$M141*$N141</f>
        <v/>
      </c>
      <c r="P141" s="18">
        <f>Parity!$AY$144</f>
        <v/>
      </c>
      <c r="Q141" s="16">
        <f>$J141*Parity!$P$144</f>
        <v/>
      </c>
      <c r="R141" s="16">
        <f>Parity!$L$144*Parity!$AG$144</f>
        <v/>
      </c>
      <c r="S141" s="16">
        <f>$Q141-$R141</f>
        <v/>
      </c>
      <c r="T141" s="16">
        <f>insurance_rate*insured_value_uplift*$Q141</f>
        <v/>
      </c>
      <c r="U141" s="16">
        <f>$Q141+$T141</f>
        <v/>
      </c>
      <c r="V141" s="18">
        <f>$U141*$L141</f>
        <v/>
      </c>
      <c r="W141" s="18">
        <f>$U141*$K141</f>
        <v/>
      </c>
      <c r="X141" s="18">
        <f>$V141*bcd_scrap_hs7602</f>
        <v/>
      </c>
      <c r="Y141" s="18">
        <f>$X141*sws_rate_on_bcd</f>
        <v/>
      </c>
      <c r="Z141" s="18">
        <f>($V141+$X141+$Y141)*igst_rate_hs7602</f>
        <v/>
      </c>
      <c r="AA141" s="18">
        <f>Parity!$X$144*Parity!$AG$144+IF(Parity!$Y$144,psic_cost_usd_per_box*$F141/Parity!$W$144,0)</f>
        <v/>
      </c>
      <c r="AB141" s="18">
        <f>($W141+$X141+$Y141)*Parity!$Z$144/day_count_inr*Parity!$O$144</f>
        <v/>
      </c>
      <c r="AC141" s="18">
        <f>$Z141*igst_credit_lag_days/day_count_inr*Parity!$O$144</f>
        <v/>
      </c>
      <c r="AD141" s="18">
        <f>$W141+$X141+$Y141+$AA141+$AB141+$AC141+IF(igst_itc_available,0,$Z141)</f>
        <v/>
      </c>
      <c r="AE141" s="18">
        <f>$O141*kg_per_mt+domestic_anchor_premium_inr_t</f>
        <v/>
      </c>
      <c r="AF141" s="18">
        <f>(1-Parity!$AA$144)*Parity!$AD$144*heavies_net_value_frac_of_lme_al*$J141*$F141</f>
        <v/>
      </c>
      <c r="AG141" s="18">
        <f>$AE141*Parity!$AU$144+$AF141-$AD141-Parity!$AX$144</f>
        <v/>
      </c>
      <c r="AH141" s="8">
        <f>$AG141&gt;margin_threshold_inr_t</f>
        <v/>
      </c>
      <c r="AI141" s="18">
        <f>($AG141-$P141)*grid_tonnes_mt</f>
        <v/>
      </c>
    </row>
    <row r="142">
      <c r="A142" s="7" t="inlineStr">
        <is>
          <t>june_trough</t>
        </is>
      </c>
      <c r="B142" s="11" t="n">
        <v>44729</v>
      </c>
      <c r="C142" s="7" t="inlineStr">
        <is>
          <t>zorba</t>
        </is>
      </c>
      <c r="D142" s="7" t="inlineStr">
        <is>
          <t>JEA_NSA</t>
        </is>
      </c>
      <c r="E142" s="20" t="n">
        <v>5</v>
      </c>
      <c r="F142" s="7" t="n">
        <v>78</v>
      </c>
      <c r="G142" s="17" t="b">
        <v>0</v>
      </c>
      <c r="H142" s="8">
        <f>1+$E142/100</f>
        <v/>
      </c>
      <c r="I142" s="8">
        <f>$F142/Parity!$H$144</f>
        <v/>
      </c>
      <c r="J142" s="16">
        <f>Parity!$F$144*$H142</f>
        <v/>
      </c>
      <c r="K142" s="8">
        <f>Parity!$I$144*$I142</f>
        <v/>
      </c>
      <c r="L142" s="8">
        <f>Parity!$J$144*$I142</f>
        <v/>
      </c>
      <c r="M142" s="16">
        <f>(Market_Weekly!$K$29-mcx_domestic_premium_inr_kg)*$H142*$I142+mcx_domestic_premium_inr_kg</f>
        <v/>
      </c>
      <c r="N142" s="15">
        <f>Parity!$N$144/Market_Weekly!$K$29</f>
        <v/>
      </c>
      <c r="O142" s="16">
        <f>$M142*$N142</f>
        <v/>
      </c>
      <c r="P142" s="18">
        <f>Parity!$AY$144</f>
        <v/>
      </c>
      <c r="Q142" s="16">
        <f>$J142*Parity!$P$144</f>
        <v/>
      </c>
      <c r="R142" s="16">
        <f>Parity!$L$144*Parity!$AG$144</f>
        <v/>
      </c>
      <c r="S142" s="16">
        <f>$Q142-$R142</f>
        <v/>
      </c>
      <c r="T142" s="16">
        <f>insurance_rate*insured_value_uplift*$Q142</f>
        <v/>
      </c>
      <c r="U142" s="16">
        <f>$Q142+$T142</f>
        <v/>
      </c>
      <c r="V142" s="18">
        <f>$U142*$L142</f>
        <v/>
      </c>
      <c r="W142" s="18">
        <f>$U142*$K142</f>
        <v/>
      </c>
      <c r="X142" s="18">
        <f>$V142*bcd_scrap_hs7602</f>
        <v/>
      </c>
      <c r="Y142" s="18">
        <f>$X142*sws_rate_on_bcd</f>
        <v/>
      </c>
      <c r="Z142" s="18">
        <f>($V142+$X142+$Y142)*igst_rate_hs7602</f>
        <v/>
      </c>
      <c r="AA142" s="18">
        <f>Parity!$X$144*Parity!$AG$144+IF(Parity!$Y$144,psic_cost_usd_per_box*$F142/Parity!$W$144,0)</f>
        <v/>
      </c>
      <c r="AB142" s="18">
        <f>($W142+$X142+$Y142)*Parity!$Z$144/day_count_inr*Parity!$O$144</f>
        <v/>
      </c>
      <c r="AC142" s="18">
        <f>$Z142*igst_credit_lag_days/day_count_inr*Parity!$O$144</f>
        <v/>
      </c>
      <c r="AD142" s="18">
        <f>$W142+$X142+$Y142+$AA142+$AB142+$AC142+IF(igst_itc_available,0,$Z142)</f>
        <v/>
      </c>
      <c r="AE142" s="18">
        <f>$O142*kg_per_mt+domestic_anchor_premium_inr_t</f>
        <v/>
      </c>
      <c r="AF142" s="18">
        <f>(1-Parity!$AA$144)*Parity!$AD$144*heavies_net_value_frac_of_lme_al*$J142*$F142</f>
        <v/>
      </c>
      <c r="AG142" s="18">
        <f>$AE142*Parity!$AU$144+$AF142-$AD142-Parity!$AX$144</f>
        <v/>
      </c>
      <c r="AH142" s="8">
        <f>$AG142&gt;margin_threshold_inr_t</f>
        <v/>
      </c>
      <c r="AI142" s="18">
        <f>($AG142-$P142)*grid_tonnes_mt</f>
        <v/>
      </c>
    </row>
    <row r="143">
      <c r="A143" s="7" t="inlineStr">
        <is>
          <t>june_trough</t>
        </is>
      </c>
      <c r="B143" s="11" t="n">
        <v>44729</v>
      </c>
      <c r="C143" s="7" t="inlineStr">
        <is>
          <t>zorba</t>
        </is>
      </c>
      <c r="D143" s="7" t="inlineStr">
        <is>
          <t>JEA_NSA</t>
        </is>
      </c>
      <c r="E143" s="20" t="n">
        <v>10</v>
      </c>
      <c r="F143" s="7" t="n">
        <v>78</v>
      </c>
      <c r="G143" s="17" t="b">
        <v>0</v>
      </c>
      <c r="H143" s="8">
        <f>1+$E143/100</f>
        <v/>
      </c>
      <c r="I143" s="8">
        <f>$F143/Parity!$H$144</f>
        <v/>
      </c>
      <c r="J143" s="16">
        <f>Parity!$F$144*$H143</f>
        <v/>
      </c>
      <c r="K143" s="8">
        <f>Parity!$I$144*$I143</f>
        <v/>
      </c>
      <c r="L143" s="8">
        <f>Parity!$J$144*$I143</f>
        <v/>
      </c>
      <c r="M143" s="16">
        <f>(Market_Weekly!$K$29-mcx_domestic_premium_inr_kg)*$H143*$I143+mcx_domestic_premium_inr_kg</f>
        <v/>
      </c>
      <c r="N143" s="15">
        <f>Parity!$N$144/Market_Weekly!$K$29</f>
        <v/>
      </c>
      <c r="O143" s="16">
        <f>$M143*$N143</f>
        <v/>
      </c>
      <c r="P143" s="18">
        <f>Parity!$AY$144</f>
        <v/>
      </c>
      <c r="Q143" s="16">
        <f>$J143*Parity!$P$144</f>
        <v/>
      </c>
      <c r="R143" s="16">
        <f>Parity!$L$144*Parity!$AG$144</f>
        <v/>
      </c>
      <c r="S143" s="16">
        <f>$Q143-$R143</f>
        <v/>
      </c>
      <c r="T143" s="16">
        <f>insurance_rate*insured_value_uplift*$Q143</f>
        <v/>
      </c>
      <c r="U143" s="16">
        <f>$Q143+$T143</f>
        <v/>
      </c>
      <c r="V143" s="18">
        <f>$U143*$L143</f>
        <v/>
      </c>
      <c r="W143" s="18">
        <f>$U143*$K143</f>
        <v/>
      </c>
      <c r="X143" s="18">
        <f>$V143*bcd_scrap_hs7602</f>
        <v/>
      </c>
      <c r="Y143" s="18">
        <f>$X143*sws_rate_on_bcd</f>
        <v/>
      </c>
      <c r="Z143" s="18">
        <f>($V143+$X143+$Y143)*igst_rate_hs7602</f>
        <v/>
      </c>
      <c r="AA143" s="18">
        <f>Parity!$X$144*Parity!$AG$144+IF(Parity!$Y$144,psic_cost_usd_per_box*$F143/Parity!$W$144,0)</f>
        <v/>
      </c>
      <c r="AB143" s="18">
        <f>($W143+$X143+$Y143)*Parity!$Z$144/day_count_inr*Parity!$O$144</f>
        <v/>
      </c>
      <c r="AC143" s="18">
        <f>$Z143*igst_credit_lag_days/day_count_inr*Parity!$O$144</f>
        <v/>
      </c>
      <c r="AD143" s="18">
        <f>$W143+$X143+$Y143+$AA143+$AB143+$AC143+IF(igst_itc_available,0,$Z143)</f>
        <v/>
      </c>
      <c r="AE143" s="18">
        <f>$O143*kg_per_mt+domestic_anchor_premium_inr_t</f>
        <v/>
      </c>
      <c r="AF143" s="18">
        <f>(1-Parity!$AA$144)*Parity!$AD$144*heavies_net_value_frac_of_lme_al*$J143*$F143</f>
        <v/>
      </c>
      <c r="AG143" s="18">
        <f>$AE143*Parity!$AU$144+$AF143-$AD143-Parity!$AX$144</f>
        <v/>
      </c>
      <c r="AH143" s="8">
        <f>$AG143&gt;margin_threshold_inr_t</f>
        <v/>
      </c>
      <c r="AI143" s="18">
        <f>($AG143-$P143)*grid_tonnes_mt</f>
        <v/>
      </c>
    </row>
    <row r="144">
      <c r="A144" s="7" t="inlineStr">
        <is>
          <t>june_trough</t>
        </is>
      </c>
      <c r="B144" s="11" t="n">
        <v>44729</v>
      </c>
      <c r="C144" s="7" t="inlineStr">
        <is>
          <t>zorba</t>
        </is>
      </c>
      <c r="D144" s="7" t="inlineStr">
        <is>
          <t>JEA_NSA</t>
        </is>
      </c>
      <c r="E144" s="20" t="n">
        <v>-30</v>
      </c>
      <c r="F144" s="7" t="n">
        <v>79</v>
      </c>
      <c r="G144" s="17" t="b">
        <v>0</v>
      </c>
      <c r="H144" s="8">
        <f>1+$E144/100</f>
        <v/>
      </c>
      <c r="I144" s="8">
        <f>$F144/Parity!$H$144</f>
        <v/>
      </c>
      <c r="J144" s="16">
        <f>Parity!$F$144*$H144</f>
        <v/>
      </c>
      <c r="K144" s="8">
        <f>Parity!$I$144*$I144</f>
        <v/>
      </c>
      <c r="L144" s="8">
        <f>Parity!$J$144*$I144</f>
        <v/>
      </c>
      <c r="M144" s="16">
        <f>(Market_Weekly!$K$29-mcx_domestic_premium_inr_kg)*$H144*$I144+mcx_domestic_premium_inr_kg</f>
        <v/>
      </c>
      <c r="N144" s="15">
        <f>Parity!$N$144/Market_Weekly!$K$29</f>
        <v/>
      </c>
      <c r="O144" s="16">
        <f>$M144*$N144</f>
        <v/>
      </c>
      <c r="P144" s="18">
        <f>Parity!$AY$144</f>
        <v/>
      </c>
      <c r="Q144" s="16">
        <f>$J144*Parity!$P$144</f>
        <v/>
      </c>
      <c r="R144" s="16">
        <f>Parity!$L$144*Parity!$AG$144</f>
        <v/>
      </c>
      <c r="S144" s="16">
        <f>$Q144-$R144</f>
        <v/>
      </c>
      <c r="T144" s="16">
        <f>insurance_rate*insured_value_uplift*$Q144</f>
        <v/>
      </c>
      <c r="U144" s="16">
        <f>$Q144+$T144</f>
        <v/>
      </c>
      <c r="V144" s="18">
        <f>$U144*$L144</f>
        <v/>
      </c>
      <c r="W144" s="18">
        <f>$U144*$K144</f>
        <v/>
      </c>
      <c r="X144" s="18">
        <f>$V144*bcd_scrap_hs7602</f>
        <v/>
      </c>
      <c r="Y144" s="18">
        <f>$X144*sws_rate_on_bcd</f>
        <v/>
      </c>
      <c r="Z144" s="18">
        <f>($V144+$X144+$Y144)*igst_rate_hs7602</f>
        <v/>
      </c>
      <c r="AA144" s="18">
        <f>Parity!$X$144*Parity!$AG$144+IF(Parity!$Y$144,psic_cost_usd_per_box*$F144/Parity!$W$144,0)</f>
        <v/>
      </c>
      <c r="AB144" s="18">
        <f>($W144+$X144+$Y144)*Parity!$Z$144/day_count_inr*Parity!$O$144</f>
        <v/>
      </c>
      <c r="AC144" s="18">
        <f>$Z144*igst_credit_lag_days/day_count_inr*Parity!$O$144</f>
        <v/>
      </c>
      <c r="AD144" s="18">
        <f>$W144+$X144+$Y144+$AA144+$AB144+$AC144+IF(igst_itc_available,0,$Z144)</f>
        <v/>
      </c>
      <c r="AE144" s="18">
        <f>$O144*kg_per_mt+domestic_anchor_premium_inr_t</f>
        <v/>
      </c>
      <c r="AF144" s="18">
        <f>(1-Parity!$AA$144)*Parity!$AD$144*heavies_net_value_frac_of_lme_al*$J144*$F144</f>
        <v/>
      </c>
      <c r="AG144" s="18">
        <f>$AE144*Parity!$AU$144+$AF144-$AD144-Parity!$AX$144</f>
        <v/>
      </c>
      <c r="AH144" s="8">
        <f>$AG144&gt;margin_threshold_inr_t</f>
        <v/>
      </c>
      <c r="AI144" s="18">
        <f>($AG144-$P144)*grid_tonnes_mt</f>
        <v/>
      </c>
    </row>
    <row r="145">
      <c r="A145" s="7" t="inlineStr">
        <is>
          <t>june_trough</t>
        </is>
      </c>
      <c r="B145" s="11" t="n">
        <v>44729</v>
      </c>
      <c r="C145" s="7" t="inlineStr">
        <is>
          <t>zorba</t>
        </is>
      </c>
      <c r="D145" s="7" t="inlineStr">
        <is>
          <t>JEA_NSA</t>
        </is>
      </c>
      <c r="E145" s="20" t="n">
        <v>-25</v>
      </c>
      <c r="F145" s="7" t="n">
        <v>79</v>
      </c>
      <c r="G145" s="17" t="b">
        <v>0</v>
      </c>
      <c r="H145" s="8">
        <f>1+$E145/100</f>
        <v/>
      </c>
      <c r="I145" s="8">
        <f>$F145/Parity!$H$144</f>
        <v/>
      </c>
      <c r="J145" s="16">
        <f>Parity!$F$144*$H145</f>
        <v/>
      </c>
      <c r="K145" s="8">
        <f>Parity!$I$144*$I145</f>
        <v/>
      </c>
      <c r="L145" s="8">
        <f>Parity!$J$144*$I145</f>
        <v/>
      </c>
      <c r="M145" s="16">
        <f>(Market_Weekly!$K$29-mcx_domestic_premium_inr_kg)*$H145*$I145+mcx_domestic_premium_inr_kg</f>
        <v/>
      </c>
      <c r="N145" s="15">
        <f>Parity!$N$144/Market_Weekly!$K$29</f>
        <v/>
      </c>
      <c r="O145" s="16">
        <f>$M145*$N145</f>
        <v/>
      </c>
      <c r="P145" s="18">
        <f>Parity!$AY$144</f>
        <v/>
      </c>
      <c r="Q145" s="16">
        <f>$J145*Parity!$P$144</f>
        <v/>
      </c>
      <c r="R145" s="16">
        <f>Parity!$L$144*Parity!$AG$144</f>
        <v/>
      </c>
      <c r="S145" s="16">
        <f>$Q145-$R145</f>
        <v/>
      </c>
      <c r="T145" s="16">
        <f>insurance_rate*insured_value_uplift*$Q145</f>
        <v/>
      </c>
      <c r="U145" s="16">
        <f>$Q145+$T145</f>
        <v/>
      </c>
      <c r="V145" s="18">
        <f>$U145*$L145</f>
        <v/>
      </c>
      <c r="W145" s="18">
        <f>$U145*$K145</f>
        <v/>
      </c>
      <c r="X145" s="18">
        <f>$V145*bcd_scrap_hs7602</f>
        <v/>
      </c>
      <c r="Y145" s="18">
        <f>$X145*sws_rate_on_bcd</f>
        <v/>
      </c>
      <c r="Z145" s="18">
        <f>($V145+$X145+$Y145)*igst_rate_hs7602</f>
        <v/>
      </c>
      <c r="AA145" s="18">
        <f>Parity!$X$144*Parity!$AG$144+IF(Parity!$Y$144,psic_cost_usd_per_box*$F145/Parity!$W$144,0)</f>
        <v/>
      </c>
      <c r="AB145" s="18">
        <f>($W145+$X145+$Y145)*Parity!$Z$144/day_count_inr*Parity!$O$144</f>
        <v/>
      </c>
      <c r="AC145" s="18">
        <f>$Z145*igst_credit_lag_days/day_count_inr*Parity!$O$144</f>
        <v/>
      </c>
      <c r="AD145" s="18">
        <f>$W145+$X145+$Y145+$AA145+$AB145+$AC145+IF(igst_itc_available,0,$Z145)</f>
        <v/>
      </c>
      <c r="AE145" s="18">
        <f>$O145*kg_per_mt+domestic_anchor_premium_inr_t</f>
        <v/>
      </c>
      <c r="AF145" s="18">
        <f>(1-Parity!$AA$144)*Parity!$AD$144*heavies_net_value_frac_of_lme_al*$J145*$F145</f>
        <v/>
      </c>
      <c r="AG145" s="18">
        <f>$AE145*Parity!$AU$144+$AF145-$AD145-Parity!$AX$144</f>
        <v/>
      </c>
      <c r="AH145" s="8">
        <f>$AG145&gt;margin_threshold_inr_t</f>
        <v/>
      </c>
      <c r="AI145" s="18">
        <f>($AG145-$P145)*grid_tonnes_mt</f>
        <v/>
      </c>
    </row>
    <row r="146">
      <c r="A146" s="7" t="inlineStr">
        <is>
          <t>june_trough</t>
        </is>
      </c>
      <c r="B146" s="11" t="n">
        <v>44729</v>
      </c>
      <c r="C146" s="7" t="inlineStr">
        <is>
          <t>zorba</t>
        </is>
      </c>
      <c r="D146" s="7" t="inlineStr">
        <is>
          <t>JEA_NSA</t>
        </is>
      </c>
      <c r="E146" s="20" t="n">
        <v>-20</v>
      </c>
      <c r="F146" s="7" t="n">
        <v>79</v>
      </c>
      <c r="G146" s="17" t="b">
        <v>0</v>
      </c>
      <c r="H146" s="8">
        <f>1+$E146/100</f>
        <v/>
      </c>
      <c r="I146" s="8">
        <f>$F146/Parity!$H$144</f>
        <v/>
      </c>
      <c r="J146" s="16">
        <f>Parity!$F$144*$H146</f>
        <v/>
      </c>
      <c r="K146" s="8">
        <f>Parity!$I$144*$I146</f>
        <v/>
      </c>
      <c r="L146" s="8">
        <f>Parity!$J$144*$I146</f>
        <v/>
      </c>
      <c r="M146" s="16">
        <f>(Market_Weekly!$K$29-mcx_domestic_premium_inr_kg)*$H146*$I146+mcx_domestic_premium_inr_kg</f>
        <v/>
      </c>
      <c r="N146" s="15">
        <f>Parity!$N$144/Market_Weekly!$K$29</f>
        <v/>
      </c>
      <c r="O146" s="16">
        <f>$M146*$N146</f>
        <v/>
      </c>
      <c r="P146" s="18">
        <f>Parity!$AY$144</f>
        <v/>
      </c>
      <c r="Q146" s="16">
        <f>$J146*Parity!$P$144</f>
        <v/>
      </c>
      <c r="R146" s="16">
        <f>Parity!$L$144*Parity!$AG$144</f>
        <v/>
      </c>
      <c r="S146" s="16">
        <f>$Q146-$R146</f>
        <v/>
      </c>
      <c r="T146" s="16">
        <f>insurance_rate*insured_value_uplift*$Q146</f>
        <v/>
      </c>
      <c r="U146" s="16">
        <f>$Q146+$T146</f>
        <v/>
      </c>
      <c r="V146" s="18">
        <f>$U146*$L146</f>
        <v/>
      </c>
      <c r="W146" s="18">
        <f>$U146*$K146</f>
        <v/>
      </c>
      <c r="X146" s="18">
        <f>$V146*bcd_scrap_hs7602</f>
        <v/>
      </c>
      <c r="Y146" s="18">
        <f>$X146*sws_rate_on_bcd</f>
        <v/>
      </c>
      <c r="Z146" s="18">
        <f>($V146+$X146+$Y146)*igst_rate_hs7602</f>
        <v/>
      </c>
      <c r="AA146" s="18">
        <f>Parity!$X$144*Parity!$AG$144+IF(Parity!$Y$144,psic_cost_usd_per_box*$F146/Parity!$W$144,0)</f>
        <v/>
      </c>
      <c r="AB146" s="18">
        <f>($W146+$X146+$Y146)*Parity!$Z$144/day_count_inr*Parity!$O$144</f>
        <v/>
      </c>
      <c r="AC146" s="18">
        <f>$Z146*igst_credit_lag_days/day_count_inr*Parity!$O$144</f>
        <v/>
      </c>
      <c r="AD146" s="18">
        <f>$W146+$X146+$Y146+$AA146+$AB146+$AC146+IF(igst_itc_available,0,$Z146)</f>
        <v/>
      </c>
      <c r="AE146" s="18">
        <f>$O146*kg_per_mt+domestic_anchor_premium_inr_t</f>
        <v/>
      </c>
      <c r="AF146" s="18">
        <f>(1-Parity!$AA$144)*Parity!$AD$144*heavies_net_value_frac_of_lme_al*$J146*$F146</f>
        <v/>
      </c>
      <c r="AG146" s="18">
        <f>$AE146*Parity!$AU$144+$AF146-$AD146-Parity!$AX$144</f>
        <v/>
      </c>
      <c r="AH146" s="8">
        <f>$AG146&gt;margin_threshold_inr_t</f>
        <v/>
      </c>
      <c r="AI146" s="18">
        <f>($AG146-$P146)*grid_tonnes_mt</f>
        <v/>
      </c>
    </row>
    <row r="147">
      <c r="A147" s="7" t="inlineStr">
        <is>
          <t>june_trough</t>
        </is>
      </c>
      <c r="B147" s="11" t="n">
        <v>44729</v>
      </c>
      <c r="C147" s="7" t="inlineStr">
        <is>
          <t>zorba</t>
        </is>
      </c>
      <c r="D147" s="7" t="inlineStr">
        <is>
          <t>JEA_NSA</t>
        </is>
      </c>
      <c r="E147" s="20" t="n">
        <v>-15</v>
      </c>
      <c r="F147" s="7" t="n">
        <v>79</v>
      </c>
      <c r="G147" s="17" t="b">
        <v>0</v>
      </c>
      <c r="H147" s="8">
        <f>1+$E147/100</f>
        <v/>
      </c>
      <c r="I147" s="8">
        <f>$F147/Parity!$H$144</f>
        <v/>
      </c>
      <c r="J147" s="16">
        <f>Parity!$F$144*$H147</f>
        <v/>
      </c>
      <c r="K147" s="8">
        <f>Parity!$I$144*$I147</f>
        <v/>
      </c>
      <c r="L147" s="8">
        <f>Parity!$J$144*$I147</f>
        <v/>
      </c>
      <c r="M147" s="16">
        <f>(Market_Weekly!$K$29-mcx_domestic_premium_inr_kg)*$H147*$I147+mcx_domestic_premium_inr_kg</f>
        <v/>
      </c>
      <c r="N147" s="15">
        <f>Parity!$N$144/Market_Weekly!$K$29</f>
        <v/>
      </c>
      <c r="O147" s="16">
        <f>$M147*$N147</f>
        <v/>
      </c>
      <c r="P147" s="18">
        <f>Parity!$AY$144</f>
        <v/>
      </c>
      <c r="Q147" s="16">
        <f>$J147*Parity!$P$144</f>
        <v/>
      </c>
      <c r="R147" s="16">
        <f>Parity!$L$144*Parity!$AG$144</f>
        <v/>
      </c>
      <c r="S147" s="16">
        <f>$Q147-$R147</f>
        <v/>
      </c>
      <c r="T147" s="16">
        <f>insurance_rate*insured_value_uplift*$Q147</f>
        <v/>
      </c>
      <c r="U147" s="16">
        <f>$Q147+$T147</f>
        <v/>
      </c>
      <c r="V147" s="18">
        <f>$U147*$L147</f>
        <v/>
      </c>
      <c r="W147" s="18">
        <f>$U147*$K147</f>
        <v/>
      </c>
      <c r="X147" s="18">
        <f>$V147*bcd_scrap_hs7602</f>
        <v/>
      </c>
      <c r="Y147" s="18">
        <f>$X147*sws_rate_on_bcd</f>
        <v/>
      </c>
      <c r="Z147" s="18">
        <f>($V147+$X147+$Y147)*igst_rate_hs7602</f>
        <v/>
      </c>
      <c r="AA147" s="18">
        <f>Parity!$X$144*Parity!$AG$144+IF(Parity!$Y$144,psic_cost_usd_per_box*$F147/Parity!$W$144,0)</f>
        <v/>
      </c>
      <c r="AB147" s="18">
        <f>($W147+$X147+$Y147)*Parity!$Z$144/day_count_inr*Parity!$O$144</f>
        <v/>
      </c>
      <c r="AC147" s="18">
        <f>$Z147*igst_credit_lag_days/day_count_inr*Parity!$O$144</f>
        <v/>
      </c>
      <c r="AD147" s="18">
        <f>$W147+$X147+$Y147+$AA147+$AB147+$AC147+IF(igst_itc_available,0,$Z147)</f>
        <v/>
      </c>
      <c r="AE147" s="18">
        <f>$O147*kg_per_mt+domestic_anchor_premium_inr_t</f>
        <v/>
      </c>
      <c r="AF147" s="18">
        <f>(1-Parity!$AA$144)*Parity!$AD$144*heavies_net_value_frac_of_lme_al*$J147*$F147</f>
        <v/>
      </c>
      <c r="AG147" s="18">
        <f>$AE147*Parity!$AU$144+$AF147-$AD147-Parity!$AX$144</f>
        <v/>
      </c>
      <c r="AH147" s="8">
        <f>$AG147&gt;margin_threshold_inr_t</f>
        <v/>
      </c>
      <c r="AI147" s="18">
        <f>($AG147-$P147)*grid_tonnes_mt</f>
        <v/>
      </c>
    </row>
    <row r="148">
      <c r="A148" s="7" t="inlineStr">
        <is>
          <t>june_trough</t>
        </is>
      </c>
      <c r="B148" s="11" t="n">
        <v>44729</v>
      </c>
      <c r="C148" s="7" t="inlineStr">
        <is>
          <t>zorba</t>
        </is>
      </c>
      <c r="D148" s="7" t="inlineStr">
        <is>
          <t>JEA_NSA</t>
        </is>
      </c>
      <c r="E148" s="20" t="n">
        <v>-10</v>
      </c>
      <c r="F148" s="7" t="n">
        <v>79</v>
      </c>
      <c r="G148" s="17" t="b">
        <v>0</v>
      </c>
      <c r="H148" s="8">
        <f>1+$E148/100</f>
        <v/>
      </c>
      <c r="I148" s="8">
        <f>$F148/Parity!$H$144</f>
        <v/>
      </c>
      <c r="J148" s="16">
        <f>Parity!$F$144*$H148</f>
        <v/>
      </c>
      <c r="K148" s="8">
        <f>Parity!$I$144*$I148</f>
        <v/>
      </c>
      <c r="L148" s="8">
        <f>Parity!$J$144*$I148</f>
        <v/>
      </c>
      <c r="M148" s="16">
        <f>(Market_Weekly!$K$29-mcx_domestic_premium_inr_kg)*$H148*$I148+mcx_domestic_premium_inr_kg</f>
        <v/>
      </c>
      <c r="N148" s="15">
        <f>Parity!$N$144/Market_Weekly!$K$29</f>
        <v/>
      </c>
      <c r="O148" s="16">
        <f>$M148*$N148</f>
        <v/>
      </c>
      <c r="P148" s="18">
        <f>Parity!$AY$144</f>
        <v/>
      </c>
      <c r="Q148" s="16">
        <f>$J148*Parity!$P$144</f>
        <v/>
      </c>
      <c r="R148" s="16">
        <f>Parity!$L$144*Parity!$AG$144</f>
        <v/>
      </c>
      <c r="S148" s="16">
        <f>$Q148-$R148</f>
        <v/>
      </c>
      <c r="T148" s="16">
        <f>insurance_rate*insured_value_uplift*$Q148</f>
        <v/>
      </c>
      <c r="U148" s="16">
        <f>$Q148+$T148</f>
        <v/>
      </c>
      <c r="V148" s="18">
        <f>$U148*$L148</f>
        <v/>
      </c>
      <c r="W148" s="18">
        <f>$U148*$K148</f>
        <v/>
      </c>
      <c r="X148" s="18">
        <f>$V148*bcd_scrap_hs7602</f>
        <v/>
      </c>
      <c r="Y148" s="18">
        <f>$X148*sws_rate_on_bcd</f>
        <v/>
      </c>
      <c r="Z148" s="18">
        <f>($V148+$X148+$Y148)*igst_rate_hs7602</f>
        <v/>
      </c>
      <c r="AA148" s="18">
        <f>Parity!$X$144*Parity!$AG$144+IF(Parity!$Y$144,psic_cost_usd_per_box*$F148/Parity!$W$144,0)</f>
        <v/>
      </c>
      <c r="AB148" s="18">
        <f>($W148+$X148+$Y148)*Parity!$Z$144/day_count_inr*Parity!$O$144</f>
        <v/>
      </c>
      <c r="AC148" s="18">
        <f>$Z148*igst_credit_lag_days/day_count_inr*Parity!$O$144</f>
        <v/>
      </c>
      <c r="AD148" s="18">
        <f>$W148+$X148+$Y148+$AA148+$AB148+$AC148+IF(igst_itc_available,0,$Z148)</f>
        <v/>
      </c>
      <c r="AE148" s="18">
        <f>$O148*kg_per_mt+domestic_anchor_premium_inr_t</f>
        <v/>
      </c>
      <c r="AF148" s="18">
        <f>(1-Parity!$AA$144)*Parity!$AD$144*heavies_net_value_frac_of_lme_al*$J148*$F148</f>
        <v/>
      </c>
      <c r="AG148" s="18">
        <f>$AE148*Parity!$AU$144+$AF148-$AD148-Parity!$AX$144</f>
        <v/>
      </c>
      <c r="AH148" s="8">
        <f>$AG148&gt;margin_threshold_inr_t</f>
        <v/>
      </c>
      <c r="AI148" s="18">
        <f>($AG148-$P148)*grid_tonnes_mt</f>
        <v/>
      </c>
    </row>
    <row r="149">
      <c r="A149" s="7" t="inlineStr">
        <is>
          <t>june_trough</t>
        </is>
      </c>
      <c r="B149" s="11" t="n">
        <v>44729</v>
      </c>
      <c r="C149" s="7" t="inlineStr">
        <is>
          <t>zorba</t>
        </is>
      </c>
      <c r="D149" s="7" t="inlineStr">
        <is>
          <t>JEA_NSA</t>
        </is>
      </c>
      <c r="E149" s="20" t="n">
        <v>-5</v>
      </c>
      <c r="F149" s="7" t="n">
        <v>79</v>
      </c>
      <c r="G149" s="17" t="b">
        <v>0</v>
      </c>
      <c r="H149" s="8">
        <f>1+$E149/100</f>
        <v/>
      </c>
      <c r="I149" s="8">
        <f>$F149/Parity!$H$144</f>
        <v/>
      </c>
      <c r="J149" s="16">
        <f>Parity!$F$144*$H149</f>
        <v/>
      </c>
      <c r="K149" s="8">
        <f>Parity!$I$144*$I149</f>
        <v/>
      </c>
      <c r="L149" s="8">
        <f>Parity!$J$144*$I149</f>
        <v/>
      </c>
      <c r="M149" s="16">
        <f>(Market_Weekly!$K$29-mcx_domestic_premium_inr_kg)*$H149*$I149+mcx_domestic_premium_inr_kg</f>
        <v/>
      </c>
      <c r="N149" s="15">
        <f>Parity!$N$144/Market_Weekly!$K$29</f>
        <v/>
      </c>
      <c r="O149" s="16">
        <f>$M149*$N149</f>
        <v/>
      </c>
      <c r="P149" s="18">
        <f>Parity!$AY$144</f>
        <v/>
      </c>
      <c r="Q149" s="16">
        <f>$J149*Parity!$P$144</f>
        <v/>
      </c>
      <c r="R149" s="16">
        <f>Parity!$L$144*Parity!$AG$144</f>
        <v/>
      </c>
      <c r="S149" s="16">
        <f>$Q149-$R149</f>
        <v/>
      </c>
      <c r="T149" s="16">
        <f>insurance_rate*insured_value_uplift*$Q149</f>
        <v/>
      </c>
      <c r="U149" s="16">
        <f>$Q149+$T149</f>
        <v/>
      </c>
      <c r="V149" s="18">
        <f>$U149*$L149</f>
        <v/>
      </c>
      <c r="W149" s="18">
        <f>$U149*$K149</f>
        <v/>
      </c>
      <c r="X149" s="18">
        <f>$V149*bcd_scrap_hs7602</f>
        <v/>
      </c>
      <c r="Y149" s="18">
        <f>$X149*sws_rate_on_bcd</f>
        <v/>
      </c>
      <c r="Z149" s="18">
        <f>($V149+$X149+$Y149)*igst_rate_hs7602</f>
        <v/>
      </c>
      <c r="AA149" s="18">
        <f>Parity!$X$144*Parity!$AG$144+IF(Parity!$Y$144,psic_cost_usd_per_box*$F149/Parity!$W$144,0)</f>
        <v/>
      </c>
      <c r="AB149" s="18">
        <f>($W149+$X149+$Y149)*Parity!$Z$144/day_count_inr*Parity!$O$144</f>
        <v/>
      </c>
      <c r="AC149" s="18">
        <f>$Z149*igst_credit_lag_days/day_count_inr*Parity!$O$144</f>
        <v/>
      </c>
      <c r="AD149" s="18">
        <f>$W149+$X149+$Y149+$AA149+$AB149+$AC149+IF(igst_itc_available,0,$Z149)</f>
        <v/>
      </c>
      <c r="AE149" s="18">
        <f>$O149*kg_per_mt+domestic_anchor_premium_inr_t</f>
        <v/>
      </c>
      <c r="AF149" s="18">
        <f>(1-Parity!$AA$144)*Parity!$AD$144*heavies_net_value_frac_of_lme_al*$J149*$F149</f>
        <v/>
      </c>
      <c r="AG149" s="18">
        <f>$AE149*Parity!$AU$144+$AF149-$AD149-Parity!$AX$144</f>
        <v/>
      </c>
      <c r="AH149" s="8">
        <f>$AG149&gt;margin_threshold_inr_t</f>
        <v/>
      </c>
      <c r="AI149" s="18">
        <f>($AG149-$P149)*grid_tonnes_mt</f>
        <v/>
      </c>
    </row>
    <row r="150">
      <c r="A150" s="7" t="inlineStr">
        <is>
          <t>june_trough</t>
        </is>
      </c>
      <c r="B150" s="11" t="n">
        <v>44729</v>
      </c>
      <c r="C150" s="7" t="inlineStr">
        <is>
          <t>zorba</t>
        </is>
      </c>
      <c r="D150" s="7" t="inlineStr">
        <is>
          <t>JEA_NSA</t>
        </is>
      </c>
      <c r="E150" s="20" t="n">
        <v>0</v>
      </c>
      <c r="F150" s="7" t="n">
        <v>79</v>
      </c>
      <c r="G150" s="17" t="b">
        <v>0</v>
      </c>
      <c r="H150" s="8">
        <f>1+$E150/100</f>
        <v/>
      </c>
      <c r="I150" s="8">
        <f>$F150/Parity!$H$144</f>
        <v/>
      </c>
      <c r="J150" s="16">
        <f>Parity!$F$144*$H150</f>
        <v/>
      </c>
      <c r="K150" s="8">
        <f>Parity!$I$144*$I150</f>
        <v/>
      </c>
      <c r="L150" s="8">
        <f>Parity!$J$144*$I150</f>
        <v/>
      </c>
      <c r="M150" s="16">
        <f>(Market_Weekly!$K$29-mcx_domestic_premium_inr_kg)*$H150*$I150+mcx_domestic_premium_inr_kg</f>
        <v/>
      </c>
      <c r="N150" s="15">
        <f>Parity!$N$144/Market_Weekly!$K$29</f>
        <v/>
      </c>
      <c r="O150" s="16">
        <f>$M150*$N150</f>
        <v/>
      </c>
      <c r="P150" s="18">
        <f>Parity!$AY$144</f>
        <v/>
      </c>
      <c r="Q150" s="16">
        <f>$J150*Parity!$P$144</f>
        <v/>
      </c>
      <c r="R150" s="16">
        <f>Parity!$L$144*Parity!$AG$144</f>
        <v/>
      </c>
      <c r="S150" s="16">
        <f>$Q150-$R150</f>
        <v/>
      </c>
      <c r="T150" s="16">
        <f>insurance_rate*insured_value_uplift*$Q150</f>
        <v/>
      </c>
      <c r="U150" s="16">
        <f>$Q150+$T150</f>
        <v/>
      </c>
      <c r="V150" s="18">
        <f>$U150*$L150</f>
        <v/>
      </c>
      <c r="W150" s="18">
        <f>$U150*$K150</f>
        <v/>
      </c>
      <c r="X150" s="18">
        <f>$V150*bcd_scrap_hs7602</f>
        <v/>
      </c>
      <c r="Y150" s="18">
        <f>$X150*sws_rate_on_bcd</f>
        <v/>
      </c>
      <c r="Z150" s="18">
        <f>($V150+$X150+$Y150)*igst_rate_hs7602</f>
        <v/>
      </c>
      <c r="AA150" s="18">
        <f>Parity!$X$144*Parity!$AG$144+IF(Parity!$Y$144,psic_cost_usd_per_box*$F150/Parity!$W$144,0)</f>
        <v/>
      </c>
      <c r="AB150" s="18">
        <f>($W150+$X150+$Y150)*Parity!$Z$144/day_count_inr*Parity!$O$144</f>
        <v/>
      </c>
      <c r="AC150" s="18">
        <f>$Z150*igst_credit_lag_days/day_count_inr*Parity!$O$144</f>
        <v/>
      </c>
      <c r="AD150" s="18">
        <f>$W150+$X150+$Y150+$AA150+$AB150+$AC150+IF(igst_itc_available,0,$Z150)</f>
        <v/>
      </c>
      <c r="AE150" s="18">
        <f>$O150*kg_per_mt+domestic_anchor_premium_inr_t</f>
        <v/>
      </c>
      <c r="AF150" s="18">
        <f>(1-Parity!$AA$144)*Parity!$AD$144*heavies_net_value_frac_of_lme_al*$J150*$F150</f>
        <v/>
      </c>
      <c r="AG150" s="18">
        <f>$AE150*Parity!$AU$144+$AF150-$AD150-Parity!$AX$144</f>
        <v/>
      </c>
      <c r="AH150" s="8">
        <f>$AG150&gt;margin_threshold_inr_t</f>
        <v/>
      </c>
      <c r="AI150" s="18">
        <f>($AG150-$P150)*grid_tonnes_mt</f>
        <v/>
      </c>
    </row>
    <row r="151">
      <c r="A151" s="7" t="inlineStr">
        <is>
          <t>june_trough</t>
        </is>
      </c>
      <c r="B151" s="11" t="n">
        <v>44729</v>
      </c>
      <c r="C151" s="7" t="inlineStr">
        <is>
          <t>zorba</t>
        </is>
      </c>
      <c r="D151" s="7" t="inlineStr">
        <is>
          <t>JEA_NSA</t>
        </is>
      </c>
      <c r="E151" s="20" t="n">
        <v>5</v>
      </c>
      <c r="F151" s="7" t="n">
        <v>79</v>
      </c>
      <c r="G151" s="17" t="b">
        <v>0</v>
      </c>
      <c r="H151" s="8">
        <f>1+$E151/100</f>
        <v/>
      </c>
      <c r="I151" s="8">
        <f>$F151/Parity!$H$144</f>
        <v/>
      </c>
      <c r="J151" s="16">
        <f>Parity!$F$144*$H151</f>
        <v/>
      </c>
      <c r="K151" s="8">
        <f>Parity!$I$144*$I151</f>
        <v/>
      </c>
      <c r="L151" s="8">
        <f>Parity!$J$144*$I151</f>
        <v/>
      </c>
      <c r="M151" s="16">
        <f>(Market_Weekly!$K$29-mcx_domestic_premium_inr_kg)*$H151*$I151+mcx_domestic_premium_inr_kg</f>
        <v/>
      </c>
      <c r="N151" s="15">
        <f>Parity!$N$144/Market_Weekly!$K$29</f>
        <v/>
      </c>
      <c r="O151" s="16">
        <f>$M151*$N151</f>
        <v/>
      </c>
      <c r="P151" s="18">
        <f>Parity!$AY$144</f>
        <v/>
      </c>
      <c r="Q151" s="16">
        <f>$J151*Parity!$P$144</f>
        <v/>
      </c>
      <c r="R151" s="16">
        <f>Parity!$L$144*Parity!$AG$144</f>
        <v/>
      </c>
      <c r="S151" s="16">
        <f>$Q151-$R151</f>
        <v/>
      </c>
      <c r="T151" s="16">
        <f>insurance_rate*insured_value_uplift*$Q151</f>
        <v/>
      </c>
      <c r="U151" s="16">
        <f>$Q151+$T151</f>
        <v/>
      </c>
      <c r="V151" s="18">
        <f>$U151*$L151</f>
        <v/>
      </c>
      <c r="W151" s="18">
        <f>$U151*$K151</f>
        <v/>
      </c>
      <c r="X151" s="18">
        <f>$V151*bcd_scrap_hs7602</f>
        <v/>
      </c>
      <c r="Y151" s="18">
        <f>$X151*sws_rate_on_bcd</f>
        <v/>
      </c>
      <c r="Z151" s="18">
        <f>($V151+$X151+$Y151)*igst_rate_hs7602</f>
        <v/>
      </c>
      <c r="AA151" s="18">
        <f>Parity!$X$144*Parity!$AG$144+IF(Parity!$Y$144,psic_cost_usd_per_box*$F151/Parity!$W$144,0)</f>
        <v/>
      </c>
      <c r="AB151" s="18">
        <f>($W151+$X151+$Y151)*Parity!$Z$144/day_count_inr*Parity!$O$144</f>
        <v/>
      </c>
      <c r="AC151" s="18">
        <f>$Z151*igst_credit_lag_days/day_count_inr*Parity!$O$144</f>
        <v/>
      </c>
      <c r="AD151" s="18">
        <f>$W151+$X151+$Y151+$AA151+$AB151+$AC151+IF(igst_itc_available,0,$Z151)</f>
        <v/>
      </c>
      <c r="AE151" s="18">
        <f>$O151*kg_per_mt+domestic_anchor_premium_inr_t</f>
        <v/>
      </c>
      <c r="AF151" s="18">
        <f>(1-Parity!$AA$144)*Parity!$AD$144*heavies_net_value_frac_of_lme_al*$J151*$F151</f>
        <v/>
      </c>
      <c r="AG151" s="18">
        <f>$AE151*Parity!$AU$144+$AF151-$AD151-Parity!$AX$144</f>
        <v/>
      </c>
      <c r="AH151" s="8">
        <f>$AG151&gt;margin_threshold_inr_t</f>
        <v/>
      </c>
      <c r="AI151" s="18">
        <f>($AG151-$P151)*grid_tonnes_mt</f>
        <v/>
      </c>
    </row>
    <row r="152">
      <c r="A152" s="7" t="inlineStr">
        <is>
          <t>june_trough</t>
        </is>
      </c>
      <c r="B152" s="11" t="n">
        <v>44729</v>
      </c>
      <c r="C152" s="7" t="inlineStr">
        <is>
          <t>zorba</t>
        </is>
      </c>
      <c r="D152" s="7" t="inlineStr">
        <is>
          <t>JEA_NSA</t>
        </is>
      </c>
      <c r="E152" s="20" t="n">
        <v>10</v>
      </c>
      <c r="F152" s="7" t="n">
        <v>79</v>
      </c>
      <c r="G152" s="17" t="b">
        <v>0</v>
      </c>
      <c r="H152" s="8">
        <f>1+$E152/100</f>
        <v/>
      </c>
      <c r="I152" s="8">
        <f>$F152/Parity!$H$144</f>
        <v/>
      </c>
      <c r="J152" s="16">
        <f>Parity!$F$144*$H152</f>
        <v/>
      </c>
      <c r="K152" s="8">
        <f>Parity!$I$144*$I152</f>
        <v/>
      </c>
      <c r="L152" s="8">
        <f>Parity!$J$144*$I152</f>
        <v/>
      </c>
      <c r="M152" s="16">
        <f>(Market_Weekly!$K$29-mcx_domestic_premium_inr_kg)*$H152*$I152+mcx_domestic_premium_inr_kg</f>
        <v/>
      </c>
      <c r="N152" s="15">
        <f>Parity!$N$144/Market_Weekly!$K$29</f>
        <v/>
      </c>
      <c r="O152" s="16">
        <f>$M152*$N152</f>
        <v/>
      </c>
      <c r="P152" s="18">
        <f>Parity!$AY$144</f>
        <v/>
      </c>
      <c r="Q152" s="16">
        <f>$J152*Parity!$P$144</f>
        <v/>
      </c>
      <c r="R152" s="16">
        <f>Parity!$L$144*Parity!$AG$144</f>
        <v/>
      </c>
      <c r="S152" s="16">
        <f>$Q152-$R152</f>
        <v/>
      </c>
      <c r="T152" s="16">
        <f>insurance_rate*insured_value_uplift*$Q152</f>
        <v/>
      </c>
      <c r="U152" s="16">
        <f>$Q152+$T152</f>
        <v/>
      </c>
      <c r="V152" s="18">
        <f>$U152*$L152</f>
        <v/>
      </c>
      <c r="W152" s="18">
        <f>$U152*$K152</f>
        <v/>
      </c>
      <c r="X152" s="18">
        <f>$V152*bcd_scrap_hs7602</f>
        <v/>
      </c>
      <c r="Y152" s="18">
        <f>$X152*sws_rate_on_bcd</f>
        <v/>
      </c>
      <c r="Z152" s="18">
        <f>($V152+$X152+$Y152)*igst_rate_hs7602</f>
        <v/>
      </c>
      <c r="AA152" s="18">
        <f>Parity!$X$144*Parity!$AG$144+IF(Parity!$Y$144,psic_cost_usd_per_box*$F152/Parity!$W$144,0)</f>
        <v/>
      </c>
      <c r="AB152" s="18">
        <f>($W152+$X152+$Y152)*Parity!$Z$144/day_count_inr*Parity!$O$144</f>
        <v/>
      </c>
      <c r="AC152" s="18">
        <f>$Z152*igst_credit_lag_days/day_count_inr*Parity!$O$144</f>
        <v/>
      </c>
      <c r="AD152" s="18">
        <f>$W152+$X152+$Y152+$AA152+$AB152+$AC152+IF(igst_itc_available,0,$Z152)</f>
        <v/>
      </c>
      <c r="AE152" s="18">
        <f>$O152*kg_per_mt+domestic_anchor_premium_inr_t</f>
        <v/>
      </c>
      <c r="AF152" s="18">
        <f>(1-Parity!$AA$144)*Parity!$AD$144*heavies_net_value_frac_of_lme_al*$J152*$F152</f>
        <v/>
      </c>
      <c r="AG152" s="18">
        <f>$AE152*Parity!$AU$144+$AF152-$AD152-Parity!$AX$144</f>
        <v/>
      </c>
      <c r="AH152" s="8">
        <f>$AG152&gt;margin_threshold_inr_t</f>
        <v/>
      </c>
      <c r="AI152" s="18">
        <f>($AG152-$P152)*grid_tonnes_mt</f>
        <v/>
      </c>
    </row>
    <row r="153">
      <c r="A153" s="7" t="inlineStr">
        <is>
          <t>june_trough</t>
        </is>
      </c>
      <c r="B153" s="11" t="n">
        <v>44729</v>
      </c>
      <c r="C153" s="7" t="inlineStr">
        <is>
          <t>zorba</t>
        </is>
      </c>
      <c r="D153" s="7" t="inlineStr">
        <is>
          <t>JEA_NSA</t>
        </is>
      </c>
      <c r="E153" s="20" t="n">
        <v>-30</v>
      </c>
      <c r="F153" s="7" t="n">
        <v>80</v>
      </c>
      <c r="G153" s="17" t="b">
        <v>0</v>
      </c>
      <c r="H153" s="8">
        <f>1+$E153/100</f>
        <v/>
      </c>
      <c r="I153" s="8">
        <f>$F153/Parity!$H$144</f>
        <v/>
      </c>
      <c r="J153" s="16">
        <f>Parity!$F$144*$H153</f>
        <v/>
      </c>
      <c r="K153" s="8">
        <f>Parity!$I$144*$I153</f>
        <v/>
      </c>
      <c r="L153" s="8">
        <f>Parity!$J$144*$I153</f>
        <v/>
      </c>
      <c r="M153" s="16">
        <f>(Market_Weekly!$K$29-mcx_domestic_premium_inr_kg)*$H153*$I153+mcx_domestic_premium_inr_kg</f>
        <v/>
      </c>
      <c r="N153" s="15">
        <f>Parity!$N$144/Market_Weekly!$K$29</f>
        <v/>
      </c>
      <c r="O153" s="16">
        <f>$M153*$N153</f>
        <v/>
      </c>
      <c r="P153" s="18">
        <f>Parity!$AY$144</f>
        <v/>
      </c>
      <c r="Q153" s="16">
        <f>$J153*Parity!$P$144</f>
        <v/>
      </c>
      <c r="R153" s="16">
        <f>Parity!$L$144*Parity!$AG$144</f>
        <v/>
      </c>
      <c r="S153" s="16">
        <f>$Q153-$R153</f>
        <v/>
      </c>
      <c r="T153" s="16">
        <f>insurance_rate*insured_value_uplift*$Q153</f>
        <v/>
      </c>
      <c r="U153" s="16">
        <f>$Q153+$T153</f>
        <v/>
      </c>
      <c r="V153" s="18">
        <f>$U153*$L153</f>
        <v/>
      </c>
      <c r="W153" s="18">
        <f>$U153*$K153</f>
        <v/>
      </c>
      <c r="X153" s="18">
        <f>$V153*bcd_scrap_hs7602</f>
        <v/>
      </c>
      <c r="Y153" s="18">
        <f>$X153*sws_rate_on_bcd</f>
        <v/>
      </c>
      <c r="Z153" s="18">
        <f>($V153+$X153+$Y153)*igst_rate_hs7602</f>
        <v/>
      </c>
      <c r="AA153" s="18">
        <f>Parity!$X$144*Parity!$AG$144+IF(Parity!$Y$144,psic_cost_usd_per_box*$F153/Parity!$W$144,0)</f>
        <v/>
      </c>
      <c r="AB153" s="18">
        <f>($W153+$X153+$Y153)*Parity!$Z$144/day_count_inr*Parity!$O$144</f>
        <v/>
      </c>
      <c r="AC153" s="18">
        <f>$Z153*igst_credit_lag_days/day_count_inr*Parity!$O$144</f>
        <v/>
      </c>
      <c r="AD153" s="18">
        <f>$W153+$X153+$Y153+$AA153+$AB153+$AC153+IF(igst_itc_available,0,$Z153)</f>
        <v/>
      </c>
      <c r="AE153" s="18">
        <f>$O153*kg_per_mt+domestic_anchor_premium_inr_t</f>
        <v/>
      </c>
      <c r="AF153" s="18">
        <f>(1-Parity!$AA$144)*Parity!$AD$144*heavies_net_value_frac_of_lme_al*$J153*$F153</f>
        <v/>
      </c>
      <c r="AG153" s="18">
        <f>$AE153*Parity!$AU$144+$AF153-$AD153-Parity!$AX$144</f>
        <v/>
      </c>
      <c r="AH153" s="8">
        <f>$AG153&gt;margin_threshold_inr_t</f>
        <v/>
      </c>
      <c r="AI153" s="18">
        <f>($AG153-$P153)*grid_tonnes_mt</f>
        <v/>
      </c>
    </row>
    <row r="154">
      <c r="A154" s="7" t="inlineStr">
        <is>
          <t>june_trough</t>
        </is>
      </c>
      <c r="B154" s="11" t="n">
        <v>44729</v>
      </c>
      <c r="C154" s="7" t="inlineStr">
        <is>
          <t>zorba</t>
        </is>
      </c>
      <c r="D154" s="7" t="inlineStr">
        <is>
          <t>JEA_NSA</t>
        </is>
      </c>
      <c r="E154" s="20" t="n">
        <v>-25</v>
      </c>
      <c r="F154" s="7" t="n">
        <v>80</v>
      </c>
      <c r="G154" s="17" t="b">
        <v>0</v>
      </c>
      <c r="H154" s="8">
        <f>1+$E154/100</f>
        <v/>
      </c>
      <c r="I154" s="8">
        <f>$F154/Parity!$H$144</f>
        <v/>
      </c>
      <c r="J154" s="16">
        <f>Parity!$F$144*$H154</f>
        <v/>
      </c>
      <c r="K154" s="8">
        <f>Parity!$I$144*$I154</f>
        <v/>
      </c>
      <c r="L154" s="8">
        <f>Parity!$J$144*$I154</f>
        <v/>
      </c>
      <c r="M154" s="16">
        <f>(Market_Weekly!$K$29-mcx_domestic_premium_inr_kg)*$H154*$I154+mcx_domestic_premium_inr_kg</f>
        <v/>
      </c>
      <c r="N154" s="15">
        <f>Parity!$N$144/Market_Weekly!$K$29</f>
        <v/>
      </c>
      <c r="O154" s="16">
        <f>$M154*$N154</f>
        <v/>
      </c>
      <c r="P154" s="18">
        <f>Parity!$AY$144</f>
        <v/>
      </c>
      <c r="Q154" s="16">
        <f>$J154*Parity!$P$144</f>
        <v/>
      </c>
      <c r="R154" s="16">
        <f>Parity!$L$144*Parity!$AG$144</f>
        <v/>
      </c>
      <c r="S154" s="16">
        <f>$Q154-$R154</f>
        <v/>
      </c>
      <c r="T154" s="16">
        <f>insurance_rate*insured_value_uplift*$Q154</f>
        <v/>
      </c>
      <c r="U154" s="16">
        <f>$Q154+$T154</f>
        <v/>
      </c>
      <c r="V154" s="18">
        <f>$U154*$L154</f>
        <v/>
      </c>
      <c r="W154" s="18">
        <f>$U154*$K154</f>
        <v/>
      </c>
      <c r="X154" s="18">
        <f>$V154*bcd_scrap_hs7602</f>
        <v/>
      </c>
      <c r="Y154" s="18">
        <f>$X154*sws_rate_on_bcd</f>
        <v/>
      </c>
      <c r="Z154" s="18">
        <f>($V154+$X154+$Y154)*igst_rate_hs7602</f>
        <v/>
      </c>
      <c r="AA154" s="18">
        <f>Parity!$X$144*Parity!$AG$144+IF(Parity!$Y$144,psic_cost_usd_per_box*$F154/Parity!$W$144,0)</f>
        <v/>
      </c>
      <c r="AB154" s="18">
        <f>($W154+$X154+$Y154)*Parity!$Z$144/day_count_inr*Parity!$O$144</f>
        <v/>
      </c>
      <c r="AC154" s="18">
        <f>$Z154*igst_credit_lag_days/day_count_inr*Parity!$O$144</f>
        <v/>
      </c>
      <c r="AD154" s="18">
        <f>$W154+$X154+$Y154+$AA154+$AB154+$AC154+IF(igst_itc_available,0,$Z154)</f>
        <v/>
      </c>
      <c r="AE154" s="18">
        <f>$O154*kg_per_mt+domestic_anchor_premium_inr_t</f>
        <v/>
      </c>
      <c r="AF154" s="18">
        <f>(1-Parity!$AA$144)*Parity!$AD$144*heavies_net_value_frac_of_lme_al*$J154*$F154</f>
        <v/>
      </c>
      <c r="AG154" s="18">
        <f>$AE154*Parity!$AU$144+$AF154-$AD154-Parity!$AX$144</f>
        <v/>
      </c>
      <c r="AH154" s="8">
        <f>$AG154&gt;margin_threshold_inr_t</f>
        <v/>
      </c>
      <c r="AI154" s="18">
        <f>($AG154-$P154)*grid_tonnes_mt</f>
        <v/>
      </c>
    </row>
    <row r="155">
      <c r="A155" s="7" t="inlineStr">
        <is>
          <t>june_trough</t>
        </is>
      </c>
      <c r="B155" s="11" t="n">
        <v>44729</v>
      </c>
      <c r="C155" s="7" t="inlineStr">
        <is>
          <t>zorba</t>
        </is>
      </c>
      <c r="D155" s="7" t="inlineStr">
        <is>
          <t>JEA_NSA</t>
        </is>
      </c>
      <c r="E155" s="20" t="n">
        <v>-20</v>
      </c>
      <c r="F155" s="7" t="n">
        <v>80</v>
      </c>
      <c r="G155" s="17" t="b">
        <v>0</v>
      </c>
      <c r="H155" s="8">
        <f>1+$E155/100</f>
        <v/>
      </c>
      <c r="I155" s="8">
        <f>$F155/Parity!$H$144</f>
        <v/>
      </c>
      <c r="J155" s="16">
        <f>Parity!$F$144*$H155</f>
        <v/>
      </c>
      <c r="K155" s="8">
        <f>Parity!$I$144*$I155</f>
        <v/>
      </c>
      <c r="L155" s="8">
        <f>Parity!$J$144*$I155</f>
        <v/>
      </c>
      <c r="M155" s="16">
        <f>(Market_Weekly!$K$29-mcx_domestic_premium_inr_kg)*$H155*$I155+mcx_domestic_premium_inr_kg</f>
        <v/>
      </c>
      <c r="N155" s="15">
        <f>Parity!$N$144/Market_Weekly!$K$29</f>
        <v/>
      </c>
      <c r="O155" s="16">
        <f>$M155*$N155</f>
        <v/>
      </c>
      <c r="P155" s="18">
        <f>Parity!$AY$144</f>
        <v/>
      </c>
      <c r="Q155" s="16">
        <f>$J155*Parity!$P$144</f>
        <v/>
      </c>
      <c r="R155" s="16">
        <f>Parity!$L$144*Parity!$AG$144</f>
        <v/>
      </c>
      <c r="S155" s="16">
        <f>$Q155-$R155</f>
        <v/>
      </c>
      <c r="T155" s="16">
        <f>insurance_rate*insured_value_uplift*$Q155</f>
        <v/>
      </c>
      <c r="U155" s="16">
        <f>$Q155+$T155</f>
        <v/>
      </c>
      <c r="V155" s="18">
        <f>$U155*$L155</f>
        <v/>
      </c>
      <c r="W155" s="18">
        <f>$U155*$K155</f>
        <v/>
      </c>
      <c r="X155" s="18">
        <f>$V155*bcd_scrap_hs7602</f>
        <v/>
      </c>
      <c r="Y155" s="18">
        <f>$X155*sws_rate_on_bcd</f>
        <v/>
      </c>
      <c r="Z155" s="18">
        <f>($V155+$X155+$Y155)*igst_rate_hs7602</f>
        <v/>
      </c>
      <c r="AA155" s="18">
        <f>Parity!$X$144*Parity!$AG$144+IF(Parity!$Y$144,psic_cost_usd_per_box*$F155/Parity!$W$144,0)</f>
        <v/>
      </c>
      <c r="AB155" s="18">
        <f>($W155+$X155+$Y155)*Parity!$Z$144/day_count_inr*Parity!$O$144</f>
        <v/>
      </c>
      <c r="AC155" s="18">
        <f>$Z155*igst_credit_lag_days/day_count_inr*Parity!$O$144</f>
        <v/>
      </c>
      <c r="AD155" s="18">
        <f>$W155+$X155+$Y155+$AA155+$AB155+$AC155+IF(igst_itc_available,0,$Z155)</f>
        <v/>
      </c>
      <c r="AE155" s="18">
        <f>$O155*kg_per_mt+domestic_anchor_premium_inr_t</f>
        <v/>
      </c>
      <c r="AF155" s="18">
        <f>(1-Parity!$AA$144)*Parity!$AD$144*heavies_net_value_frac_of_lme_al*$J155*$F155</f>
        <v/>
      </c>
      <c r="AG155" s="18">
        <f>$AE155*Parity!$AU$144+$AF155-$AD155-Parity!$AX$144</f>
        <v/>
      </c>
      <c r="AH155" s="8">
        <f>$AG155&gt;margin_threshold_inr_t</f>
        <v/>
      </c>
      <c r="AI155" s="18">
        <f>($AG155-$P155)*grid_tonnes_mt</f>
        <v/>
      </c>
    </row>
    <row r="156">
      <c r="A156" s="7" t="inlineStr">
        <is>
          <t>june_trough</t>
        </is>
      </c>
      <c r="B156" s="11" t="n">
        <v>44729</v>
      </c>
      <c r="C156" s="7" t="inlineStr">
        <is>
          <t>zorba</t>
        </is>
      </c>
      <c r="D156" s="7" t="inlineStr">
        <is>
          <t>JEA_NSA</t>
        </is>
      </c>
      <c r="E156" s="20" t="n">
        <v>-15</v>
      </c>
      <c r="F156" s="7" t="n">
        <v>80</v>
      </c>
      <c r="G156" s="17" t="b">
        <v>0</v>
      </c>
      <c r="H156" s="8">
        <f>1+$E156/100</f>
        <v/>
      </c>
      <c r="I156" s="8">
        <f>$F156/Parity!$H$144</f>
        <v/>
      </c>
      <c r="J156" s="16">
        <f>Parity!$F$144*$H156</f>
        <v/>
      </c>
      <c r="K156" s="8">
        <f>Parity!$I$144*$I156</f>
        <v/>
      </c>
      <c r="L156" s="8">
        <f>Parity!$J$144*$I156</f>
        <v/>
      </c>
      <c r="M156" s="16">
        <f>(Market_Weekly!$K$29-mcx_domestic_premium_inr_kg)*$H156*$I156+mcx_domestic_premium_inr_kg</f>
        <v/>
      </c>
      <c r="N156" s="15">
        <f>Parity!$N$144/Market_Weekly!$K$29</f>
        <v/>
      </c>
      <c r="O156" s="16">
        <f>$M156*$N156</f>
        <v/>
      </c>
      <c r="P156" s="18">
        <f>Parity!$AY$144</f>
        <v/>
      </c>
      <c r="Q156" s="16">
        <f>$J156*Parity!$P$144</f>
        <v/>
      </c>
      <c r="R156" s="16">
        <f>Parity!$L$144*Parity!$AG$144</f>
        <v/>
      </c>
      <c r="S156" s="16">
        <f>$Q156-$R156</f>
        <v/>
      </c>
      <c r="T156" s="16">
        <f>insurance_rate*insured_value_uplift*$Q156</f>
        <v/>
      </c>
      <c r="U156" s="16">
        <f>$Q156+$T156</f>
        <v/>
      </c>
      <c r="V156" s="18">
        <f>$U156*$L156</f>
        <v/>
      </c>
      <c r="W156" s="18">
        <f>$U156*$K156</f>
        <v/>
      </c>
      <c r="X156" s="18">
        <f>$V156*bcd_scrap_hs7602</f>
        <v/>
      </c>
      <c r="Y156" s="18">
        <f>$X156*sws_rate_on_bcd</f>
        <v/>
      </c>
      <c r="Z156" s="18">
        <f>($V156+$X156+$Y156)*igst_rate_hs7602</f>
        <v/>
      </c>
      <c r="AA156" s="18">
        <f>Parity!$X$144*Parity!$AG$144+IF(Parity!$Y$144,psic_cost_usd_per_box*$F156/Parity!$W$144,0)</f>
        <v/>
      </c>
      <c r="AB156" s="18">
        <f>($W156+$X156+$Y156)*Parity!$Z$144/day_count_inr*Parity!$O$144</f>
        <v/>
      </c>
      <c r="AC156" s="18">
        <f>$Z156*igst_credit_lag_days/day_count_inr*Parity!$O$144</f>
        <v/>
      </c>
      <c r="AD156" s="18">
        <f>$W156+$X156+$Y156+$AA156+$AB156+$AC156+IF(igst_itc_available,0,$Z156)</f>
        <v/>
      </c>
      <c r="AE156" s="18">
        <f>$O156*kg_per_mt+domestic_anchor_premium_inr_t</f>
        <v/>
      </c>
      <c r="AF156" s="18">
        <f>(1-Parity!$AA$144)*Parity!$AD$144*heavies_net_value_frac_of_lme_al*$J156*$F156</f>
        <v/>
      </c>
      <c r="AG156" s="18">
        <f>$AE156*Parity!$AU$144+$AF156-$AD156-Parity!$AX$144</f>
        <v/>
      </c>
      <c r="AH156" s="8">
        <f>$AG156&gt;margin_threshold_inr_t</f>
        <v/>
      </c>
      <c r="AI156" s="18">
        <f>($AG156-$P156)*grid_tonnes_mt</f>
        <v/>
      </c>
    </row>
    <row r="157">
      <c r="A157" s="7" t="inlineStr">
        <is>
          <t>june_trough</t>
        </is>
      </c>
      <c r="B157" s="11" t="n">
        <v>44729</v>
      </c>
      <c r="C157" s="7" t="inlineStr">
        <is>
          <t>zorba</t>
        </is>
      </c>
      <c r="D157" s="7" t="inlineStr">
        <is>
          <t>JEA_NSA</t>
        </is>
      </c>
      <c r="E157" s="20" t="n">
        <v>-10</v>
      </c>
      <c r="F157" s="7" t="n">
        <v>80</v>
      </c>
      <c r="G157" s="17" t="b">
        <v>0</v>
      </c>
      <c r="H157" s="8">
        <f>1+$E157/100</f>
        <v/>
      </c>
      <c r="I157" s="8">
        <f>$F157/Parity!$H$144</f>
        <v/>
      </c>
      <c r="J157" s="16">
        <f>Parity!$F$144*$H157</f>
        <v/>
      </c>
      <c r="K157" s="8">
        <f>Parity!$I$144*$I157</f>
        <v/>
      </c>
      <c r="L157" s="8">
        <f>Parity!$J$144*$I157</f>
        <v/>
      </c>
      <c r="M157" s="16">
        <f>(Market_Weekly!$K$29-mcx_domestic_premium_inr_kg)*$H157*$I157+mcx_domestic_premium_inr_kg</f>
        <v/>
      </c>
      <c r="N157" s="15">
        <f>Parity!$N$144/Market_Weekly!$K$29</f>
        <v/>
      </c>
      <c r="O157" s="16">
        <f>$M157*$N157</f>
        <v/>
      </c>
      <c r="P157" s="18">
        <f>Parity!$AY$144</f>
        <v/>
      </c>
      <c r="Q157" s="16">
        <f>$J157*Parity!$P$144</f>
        <v/>
      </c>
      <c r="R157" s="16">
        <f>Parity!$L$144*Parity!$AG$144</f>
        <v/>
      </c>
      <c r="S157" s="16">
        <f>$Q157-$R157</f>
        <v/>
      </c>
      <c r="T157" s="16">
        <f>insurance_rate*insured_value_uplift*$Q157</f>
        <v/>
      </c>
      <c r="U157" s="16">
        <f>$Q157+$T157</f>
        <v/>
      </c>
      <c r="V157" s="18">
        <f>$U157*$L157</f>
        <v/>
      </c>
      <c r="W157" s="18">
        <f>$U157*$K157</f>
        <v/>
      </c>
      <c r="X157" s="18">
        <f>$V157*bcd_scrap_hs7602</f>
        <v/>
      </c>
      <c r="Y157" s="18">
        <f>$X157*sws_rate_on_bcd</f>
        <v/>
      </c>
      <c r="Z157" s="18">
        <f>($V157+$X157+$Y157)*igst_rate_hs7602</f>
        <v/>
      </c>
      <c r="AA157" s="18">
        <f>Parity!$X$144*Parity!$AG$144+IF(Parity!$Y$144,psic_cost_usd_per_box*$F157/Parity!$W$144,0)</f>
        <v/>
      </c>
      <c r="AB157" s="18">
        <f>($W157+$X157+$Y157)*Parity!$Z$144/day_count_inr*Parity!$O$144</f>
        <v/>
      </c>
      <c r="AC157" s="18">
        <f>$Z157*igst_credit_lag_days/day_count_inr*Parity!$O$144</f>
        <v/>
      </c>
      <c r="AD157" s="18">
        <f>$W157+$X157+$Y157+$AA157+$AB157+$AC157+IF(igst_itc_available,0,$Z157)</f>
        <v/>
      </c>
      <c r="AE157" s="18">
        <f>$O157*kg_per_mt+domestic_anchor_premium_inr_t</f>
        <v/>
      </c>
      <c r="AF157" s="18">
        <f>(1-Parity!$AA$144)*Parity!$AD$144*heavies_net_value_frac_of_lme_al*$J157*$F157</f>
        <v/>
      </c>
      <c r="AG157" s="18">
        <f>$AE157*Parity!$AU$144+$AF157-$AD157-Parity!$AX$144</f>
        <v/>
      </c>
      <c r="AH157" s="8">
        <f>$AG157&gt;margin_threshold_inr_t</f>
        <v/>
      </c>
      <c r="AI157" s="18">
        <f>($AG157-$P157)*grid_tonnes_mt</f>
        <v/>
      </c>
    </row>
    <row r="158">
      <c r="A158" s="7" t="inlineStr">
        <is>
          <t>june_trough</t>
        </is>
      </c>
      <c r="B158" s="11" t="n">
        <v>44729</v>
      </c>
      <c r="C158" s="7" t="inlineStr">
        <is>
          <t>zorba</t>
        </is>
      </c>
      <c r="D158" s="7" t="inlineStr">
        <is>
          <t>JEA_NSA</t>
        </is>
      </c>
      <c r="E158" s="20" t="n">
        <v>-5</v>
      </c>
      <c r="F158" s="7" t="n">
        <v>80</v>
      </c>
      <c r="G158" s="17" t="b">
        <v>0</v>
      </c>
      <c r="H158" s="8">
        <f>1+$E158/100</f>
        <v/>
      </c>
      <c r="I158" s="8">
        <f>$F158/Parity!$H$144</f>
        <v/>
      </c>
      <c r="J158" s="16">
        <f>Parity!$F$144*$H158</f>
        <v/>
      </c>
      <c r="K158" s="8">
        <f>Parity!$I$144*$I158</f>
        <v/>
      </c>
      <c r="L158" s="8">
        <f>Parity!$J$144*$I158</f>
        <v/>
      </c>
      <c r="M158" s="16">
        <f>(Market_Weekly!$K$29-mcx_domestic_premium_inr_kg)*$H158*$I158+mcx_domestic_premium_inr_kg</f>
        <v/>
      </c>
      <c r="N158" s="15">
        <f>Parity!$N$144/Market_Weekly!$K$29</f>
        <v/>
      </c>
      <c r="O158" s="16">
        <f>$M158*$N158</f>
        <v/>
      </c>
      <c r="P158" s="18">
        <f>Parity!$AY$144</f>
        <v/>
      </c>
      <c r="Q158" s="16">
        <f>$J158*Parity!$P$144</f>
        <v/>
      </c>
      <c r="R158" s="16">
        <f>Parity!$L$144*Parity!$AG$144</f>
        <v/>
      </c>
      <c r="S158" s="16">
        <f>$Q158-$R158</f>
        <v/>
      </c>
      <c r="T158" s="16">
        <f>insurance_rate*insured_value_uplift*$Q158</f>
        <v/>
      </c>
      <c r="U158" s="16">
        <f>$Q158+$T158</f>
        <v/>
      </c>
      <c r="V158" s="18">
        <f>$U158*$L158</f>
        <v/>
      </c>
      <c r="W158" s="18">
        <f>$U158*$K158</f>
        <v/>
      </c>
      <c r="X158" s="18">
        <f>$V158*bcd_scrap_hs7602</f>
        <v/>
      </c>
      <c r="Y158" s="18">
        <f>$X158*sws_rate_on_bcd</f>
        <v/>
      </c>
      <c r="Z158" s="18">
        <f>($V158+$X158+$Y158)*igst_rate_hs7602</f>
        <v/>
      </c>
      <c r="AA158" s="18">
        <f>Parity!$X$144*Parity!$AG$144+IF(Parity!$Y$144,psic_cost_usd_per_box*$F158/Parity!$W$144,0)</f>
        <v/>
      </c>
      <c r="AB158" s="18">
        <f>($W158+$X158+$Y158)*Parity!$Z$144/day_count_inr*Parity!$O$144</f>
        <v/>
      </c>
      <c r="AC158" s="18">
        <f>$Z158*igst_credit_lag_days/day_count_inr*Parity!$O$144</f>
        <v/>
      </c>
      <c r="AD158" s="18">
        <f>$W158+$X158+$Y158+$AA158+$AB158+$AC158+IF(igst_itc_available,0,$Z158)</f>
        <v/>
      </c>
      <c r="AE158" s="18">
        <f>$O158*kg_per_mt+domestic_anchor_premium_inr_t</f>
        <v/>
      </c>
      <c r="AF158" s="18">
        <f>(1-Parity!$AA$144)*Parity!$AD$144*heavies_net_value_frac_of_lme_al*$J158*$F158</f>
        <v/>
      </c>
      <c r="AG158" s="18">
        <f>$AE158*Parity!$AU$144+$AF158-$AD158-Parity!$AX$144</f>
        <v/>
      </c>
      <c r="AH158" s="8">
        <f>$AG158&gt;margin_threshold_inr_t</f>
        <v/>
      </c>
      <c r="AI158" s="18">
        <f>($AG158-$P158)*grid_tonnes_mt</f>
        <v/>
      </c>
    </row>
    <row r="159">
      <c r="A159" s="7" t="inlineStr">
        <is>
          <t>june_trough</t>
        </is>
      </c>
      <c r="B159" s="11" t="n">
        <v>44729</v>
      </c>
      <c r="C159" s="7" t="inlineStr">
        <is>
          <t>zorba</t>
        </is>
      </c>
      <c r="D159" s="7" t="inlineStr">
        <is>
          <t>JEA_NSA</t>
        </is>
      </c>
      <c r="E159" s="20" t="n">
        <v>0</v>
      </c>
      <c r="F159" s="7" t="n">
        <v>80</v>
      </c>
      <c r="G159" s="17" t="b">
        <v>0</v>
      </c>
      <c r="H159" s="8">
        <f>1+$E159/100</f>
        <v/>
      </c>
      <c r="I159" s="8">
        <f>$F159/Parity!$H$144</f>
        <v/>
      </c>
      <c r="J159" s="16">
        <f>Parity!$F$144*$H159</f>
        <v/>
      </c>
      <c r="K159" s="8">
        <f>Parity!$I$144*$I159</f>
        <v/>
      </c>
      <c r="L159" s="8">
        <f>Parity!$J$144*$I159</f>
        <v/>
      </c>
      <c r="M159" s="16">
        <f>(Market_Weekly!$K$29-mcx_domestic_premium_inr_kg)*$H159*$I159+mcx_domestic_premium_inr_kg</f>
        <v/>
      </c>
      <c r="N159" s="15">
        <f>Parity!$N$144/Market_Weekly!$K$29</f>
        <v/>
      </c>
      <c r="O159" s="16">
        <f>$M159*$N159</f>
        <v/>
      </c>
      <c r="P159" s="18">
        <f>Parity!$AY$144</f>
        <v/>
      </c>
      <c r="Q159" s="16">
        <f>$J159*Parity!$P$144</f>
        <v/>
      </c>
      <c r="R159" s="16">
        <f>Parity!$L$144*Parity!$AG$144</f>
        <v/>
      </c>
      <c r="S159" s="16">
        <f>$Q159-$R159</f>
        <v/>
      </c>
      <c r="T159" s="16">
        <f>insurance_rate*insured_value_uplift*$Q159</f>
        <v/>
      </c>
      <c r="U159" s="16">
        <f>$Q159+$T159</f>
        <v/>
      </c>
      <c r="V159" s="18">
        <f>$U159*$L159</f>
        <v/>
      </c>
      <c r="W159" s="18">
        <f>$U159*$K159</f>
        <v/>
      </c>
      <c r="X159" s="18">
        <f>$V159*bcd_scrap_hs7602</f>
        <v/>
      </c>
      <c r="Y159" s="18">
        <f>$X159*sws_rate_on_bcd</f>
        <v/>
      </c>
      <c r="Z159" s="18">
        <f>($V159+$X159+$Y159)*igst_rate_hs7602</f>
        <v/>
      </c>
      <c r="AA159" s="18">
        <f>Parity!$X$144*Parity!$AG$144+IF(Parity!$Y$144,psic_cost_usd_per_box*$F159/Parity!$W$144,0)</f>
        <v/>
      </c>
      <c r="AB159" s="18">
        <f>($W159+$X159+$Y159)*Parity!$Z$144/day_count_inr*Parity!$O$144</f>
        <v/>
      </c>
      <c r="AC159" s="18">
        <f>$Z159*igst_credit_lag_days/day_count_inr*Parity!$O$144</f>
        <v/>
      </c>
      <c r="AD159" s="18">
        <f>$W159+$X159+$Y159+$AA159+$AB159+$AC159+IF(igst_itc_available,0,$Z159)</f>
        <v/>
      </c>
      <c r="AE159" s="18">
        <f>$O159*kg_per_mt+domestic_anchor_premium_inr_t</f>
        <v/>
      </c>
      <c r="AF159" s="18">
        <f>(1-Parity!$AA$144)*Parity!$AD$144*heavies_net_value_frac_of_lme_al*$J159*$F159</f>
        <v/>
      </c>
      <c r="AG159" s="18">
        <f>$AE159*Parity!$AU$144+$AF159-$AD159-Parity!$AX$144</f>
        <v/>
      </c>
      <c r="AH159" s="8">
        <f>$AG159&gt;margin_threshold_inr_t</f>
        <v/>
      </c>
      <c r="AI159" s="18">
        <f>($AG159-$P159)*grid_tonnes_mt</f>
        <v/>
      </c>
    </row>
    <row r="160">
      <c r="A160" s="7" t="inlineStr">
        <is>
          <t>june_trough</t>
        </is>
      </c>
      <c r="B160" s="11" t="n">
        <v>44729</v>
      </c>
      <c r="C160" s="7" t="inlineStr">
        <is>
          <t>zorba</t>
        </is>
      </c>
      <c r="D160" s="7" t="inlineStr">
        <is>
          <t>JEA_NSA</t>
        </is>
      </c>
      <c r="E160" s="20" t="n">
        <v>5</v>
      </c>
      <c r="F160" s="7" t="n">
        <v>80</v>
      </c>
      <c r="G160" s="17" t="b">
        <v>0</v>
      </c>
      <c r="H160" s="8">
        <f>1+$E160/100</f>
        <v/>
      </c>
      <c r="I160" s="8">
        <f>$F160/Parity!$H$144</f>
        <v/>
      </c>
      <c r="J160" s="16">
        <f>Parity!$F$144*$H160</f>
        <v/>
      </c>
      <c r="K160" s="8">
        <f>Parity!$I$144*$I160</f>
        <v/>
      </c>
      <c r="L160" s="8">
        <f>Parity!$J$144*$I160</f>
        <v/>
      </c>
      <c r="M160" s="16">
        <f>(Market_Weekly!$K$29-mcx_domestic_premium_inr_kg)*$H160*$I160+mcx_domestic_premium_inr_kg</f>
        <v/>
      </c>
      <c r="N160" s="15">
        <f>Parity!$N$144/Market_Weekly!$K$29</f>
        <v/>
      </c>
      <c r="O160" s="16">
        <f>$M160*$N160</f>
        <v/>
      </c>
      <c r="P160" s="18">
        <f>Parity!$AY$144</f>
        <v/>
      </c>
      <c r="Q160" s="16">
        <f>$J160*Parity!$P$144</f>
        <v/>
      </c>
      <c r="R160" s="16">
        <f>Parity!$L$144*Parity!$AG$144</f>
        <v/>
      </c>
      <c r="S160" s="16">
        <f>$Q160-$R160</f>
        <v/>
      </c>
      <c r="T160" s="16">
        <f>insurance_rate*insured_value_uplift*$Q160</f>
        <v/>
      </c>
      <c r="U160" s="16">
        <f>$Q160+$T160</f>
        <v/>
      </c>
      <c r="V160" s="18">
        <f>$U160*$L160</f>
        <v/>
      </c>
      <c r="W160" s="18">
        <f>$U160*$K160</f>
        <v/>
      </c>
      <c r="X160" s="18">
        <f>$V160*bcd_scrap_hs7602</f>
        <v/>
      </c>
      <c r="Y160" s="18">
        <f>$X160*sws_rate_on_bcd</f>
        <v/>
      </c>
      <c r="Z160" s="18">
        <f>($V160+$X160+$Y160)*igst_rate_hs7602</f>
        <v/>
      </c>
      <c r="AA160" s="18">
        <f>Parity!$X$144*Parity!$AG$144+IF(Parity!$Y$144,psic_cost_usd_per_box*$F160/Parity!$W$144,0)</f>
        <v/>
      </c>
      <c r="AB160" s="18">
        <f>($W160+$X160+$Y160)*Parity!$Z$144/day_count_inr*Parity!$O$144</f>
        <v/>
      </c>
      <c r="AC160" s="18">
        <f>$Z160*igst_credit_lag_days/day_count_inr*Parity!$O$144</f>
        <v/>
      </c>
      <c r="AD160" s="18">
        <f>$W160+$X160+$Y160+$AA160+$AB160+$AC160+IF(igst_itc_available,0,$Z160)</f>
        <v/>
      </c>
      <c r="AE160" s="18">
        <f>$O160*kg_per_mt+domestic_anchor_premium_inr_t</f>
        <v/>
      </c>
      <c r="AF160" s="18">
        <f>(1-Parity!$AA$144)*Parity!$AD$144*heavies_net_value_frac_of_lme_al*$J160*$F160</f>
        <v/>
      </c>
      <c r="AG160" s="18">
        <f>$AE160*Parity!$AU$144+$AF160-$AD160-Parity!$AX$144</f>
        <v/>
      </c>
      <c r="AH160" s="8">
        <f>$AG160&gt;margin_threshold_inr_t</f>
        <v/>
      </c>
      <c r="AI160" s="18">
        <f>($AG160-$P160)*grid_tonnes_mt</f>
        <v/>
      </c>
    </row>
    <row r="161">
      <c r="A161" s="7" t="inlineStr">
        <is>
          <t>june_trough</t>
        </is>
      </c>
      <c r="B161" s="11" t="n">
        <v>44729</v>
      </c>
      <c r="C161" s="7" t="inlineStr">
        <is>
          <t>zorba</t>
        </is>
      </c>
      <c r="D161" s="7" t="inlineStr">
        <is>
          <t>JEA_NSA</t>
        </is>
      </c>
      <c r="E161" s="20" t="n">
        <v>10</v>
      </c>
      <c r="F161" s="7" t="n">
        <v>80</v>
      </c>
      <c r="G161" s="17" t="b">
        <v>0</v>
      </c>
      <c r="H161" s="8">
        <f>1+$E161/100</f>
        <v/>
      </c>
      <c r="I161" s="8">
        <f>$F161/Parity!$H$144</f>
        <v/>
      </c>
      <c r="J161" s="16">
        <f>Parity!$F$144*$H161</f>
        <v/>
      </c>
      <c r="K161" s="8">
        <f>Parity!$I$144*$I161</f>
        <v/>
      </c>
      <c r="L161" s="8">
        <f>Parity!$J$144*$I161</f>
        <v/>
      </c>
      <c r="M161" s="16">
        <f>(Market_Weekly!$K$29-mcx_domestic_premium_inr_kg)*$H161*$I161+mcx_domestic_premium_inr_kg</f>
        <v/>
      </c>
      <c r="N161" s="15">
        <f>Parity!$N$144/Market_Weekly!$K$29</f>
        <v/>
      </c>
      <c r="O161" s="16">
        <f>$M161*$N161</f>
        <v/>
      </c>
      <c r="P161" s="18">
        <f>Parity!$AY$144</f>
        <v/>
      </c>
      <c r="Q161" s="16">
        <f>$J161*Parity!$P$144</f>
        <v/>
      </c>
      <c r="R161" s="16">
        <f>Parity!$L$144*Parity!$AG$144</f>
        <v/>
      </c>
      <c r="S161" s="16">
        <f>$Q161-$R161</f>
        <v/>
      </c>
      <c r="T161" s="16">
        <f>insurance_rate*insured_value_uplift*$Q161</f>
        <v/>
      </c>
      <c r="U161" s="16">
        <f>$Q161+$T161</f>
        <v/>
      </c>
      <c r="V161" s="18">
        <f>$U161*$L161</f>
        <v/>
      </c>
      <c r="W161" s="18">
        <f>$U161*$K161</f>
        <v/>
      </c>
      <c r="X161" s="18">
        <f>$V161*bcd_scrap_hs7602</f>
        <v/>
      </c>
      <c r="Y161" s="18">
        <f>$X161*sws_rate_on_bcd</f>
        <v/>
      </c>
      <c r="Z161" s="18">
        <f>($V161+$X161+$Y161)*igst_rate_hs7602</f>
        <v/>
      </c>
      <c r="AA161" s="18">
        <f>Parity!$X$144*Parity!$AG$144+IF(Parity!$Y$144,psic_cost_usd_per_box*$F161/Parity!$W$144,0)</f>
        <v/>
      </c>
      <c r="AB161" s="18">
        <f>($W161+$X161+$Y161)*Parity!$Z$144/day_count_inr*Parity!$O$144</f>
        <v/>
      </c>
      <c r="AC161" s="18">
        <f>$Z161*igst_credit_lag_days/day_count_inr*Parity!$O$144</f>
        <v/>
      </c>
      <c r="AD161" s="18">
        <f>$W161+$X161+$Y161+$AA161+$AB161+$AC161+IF(igst_itc_available,0,$Z161)</f>
        <v/>
      </c>
      <c r="AE161" s="18">
        <f>$O161*kg_per_mt+domestic_anchor_premium_inr_t</f>
        <v/>
      </c>
      <c r="AF161" s="18">
        <f>(1-Parity!$AA$144)*Parity!$AD$144*heavies_net_value_frac_of_lme_al*$J161*$F161</f>
        <v/>
      </c>
      <c r="AG161" s="18">
        <f>$AE161*Parity!$AU$144+$AF161-$AD161-Parity!$AX$144</f>
        <v/>
      </c>
      <c r="AH161" s="8">
        <f>$AG161&gt;margin_threshold_inr_t</f>
        <v/>
      </c>
      <c r="AI161" s="18">
        <f>($AG161-$P161)*grid_tonnes_mt</f>
        <v/>
      </c>
    </row>
    <row r="162">
      <c r="A162" s="7" t="inlineStr">
        <is>
          <t>june_trough</t>
        </is>
      </c>
      <c r="B162" s="11" t="n">
        <v>44729</v>
      </c>
      <c r="C162" s="7" t="inlineStr">
        <is>
          <t>zorba</t>
        </is>
      </c>
      <c r="D162" s="7" t="inlineStr">
        <is>
          <t>JEA_NSA</t>
        </is>
      </c>
      <c r="E162" s="20" t="n">
        <v>-30</v>
      </c>
      <c r="F162" s="7" t="n">
        <v>81</v>
      </c>
      <c r="G162" s="17" t="b">
        <v>0</v>
      </c>
      <c r="H162" s="8">
        <f>1+$E162/100</f>
        <v/>
      </c>
      <c r="I162" s="8">
        <f>$F162/Parity!$H$144</f>
        <v/>
      </c>
      <c r="J162" s="16">
        <f>Parity!$F$144*$H162</f>
        <v/>
      </c>
      <c r="K162" s="8">
        <f>Parity!$I$144*$I162</f>
        <v/>
      </c>
      <c r="L162" s="8">
        <f>Parity!$J$144*$I162</f>
        <v/>
      </c>
      <c r="M162" s="16">
        <f>(Market_Weekly!$K$29-mcx_domestic_premium_inr_kg)*$H162*$I162+mcx_domestic_premium_inr_kg</f>
        <v/>
      </c>
      <c r="N162" s="15">
        <f>Parity!$N$144/Market_Weekly!$K$29</f>
        <v/>
      </c>
      <c r="O162" s="16">
        <f>$M162*$N162</f>
        <v/>
      </c>
      <c r="P162" s="18">
        <f>Parity!$AY$144</f>
        <v/>
      </c>
      <c r="Q162" s="16">
        <f>$J162*Parity!$P$144</f>
        <v/>
      </c>
      <c r="R162" s="16">
        <f>Parity!$L$144*Parity!$AG$144</f>
        <v/>
      </c>
      <c r="S162" s="16">
        <f>$Q162-$R162</f>
        <v/>
      </c>
      <c r="T162" s="16">
        <f>insurance_rate*insured_value_uplift*$Q162</f>
        <v/>
      </c>
      <c r="U162" s="16">
        <f>$Q162+$T162</f>
        <v/>
      </c>
      <c r="V162" s="18">
        <f>$U162*$L162</f>
        <v/>
      </c>
      <c r="W162" s="18">
        <f>$U162*$K162</f>
        <v/>
      </c>
      <c r="X162" s="18">
        <f>$V162*bcd_scrap_hs7602</f>
        <v/>
      </c>
      <c r="Y162" s="18">
        <f>$X162*sws_rate_on_bcd</f>
        <v/>
      </c>
      <c r="Z162" s="18">
        <f>($V162+$X162+$Y162)*igst_rate_hs7602</f>
        <v/>
      </c>
      <c r="AA162" s="18">
        <f>Parity!$X$144*Parity!$AG$144+IF(Parity!$Y$144,psic_cost_usd_per_box*$F162/Parity!$W$144,0)</f>
        <v/>
      </c>
      <c r="AB162" s="18">
        <f>($W162+$X162+$Y162)*Parity!$Z$144/day_count_inr*Parity!$O$144</f>
        <v/>
      </c>
      <c r="AC162" s="18">
        <f>$Z162*igst_credit_lag_days/day_count_inr*Parity!$O$144</f>
        <v/>
      </c>
      <c r="AD162" s="18">
        <f>$W162+$X162+$Y162+$AA162+$AB162+$AC162+IF(igst_itc_available,0,$Z162)</f>
        <v/>
      </c>
      <c r="AE162" s="18">
        <f>$O162*kg_per_mt+domestic_anchor_premium_inr_t</f>
        <v/>
      </c>
      <c r="AF162" s="18">
        <f>(1-Parity!$AA$144)*Parity!$AD$144*heavies_net_value_frac_of_lme_al*$J162*$F162</f>
        <v/>
      </c>
      <c r="AG162" s="18">
        <f>$AE162*Parity!$AU$144+$AF162-$AD162-Parity!$AX$144</f>
        <v/>
      </c>
      <c r="AH162" s="8">
        <f>$AG162&gt;margin_threshold_inr_t</f>
        <v/>
      </c>
      <c r="AI162" s="18">
        <f>($AG162-$P162)*grid_tonnes_mt</f>
        <v/>
      </c>
    </row>
    <row r="163">
      <c r="A163" s="7" t="inlineStr">
        <is>
          <t>june_trough</t>
        </is>
      </c>
      <c r="B163" s="11" t="n">
        <v>44729</v>
      </c>
      <c r="C163" s="7" t="inlineStr">
        <is>
          <t>zorba</t>
        </is>
      </c>
      <c r="D163" s="7" t="inlineStr">
        <is>
          <t>JEA_NSA</t>
        </is>
      </c>
      <c r="E163" s="20" t="n">
        <v>-25</v>
      </c>
      <c r="F163" s="7" t="n">
        <v>81</v>
      </c>
      <c r="G163" s="17" t="b">
        <v>0</v>
      </c>
      <c r="H163" s="8">
        <f>1+$E163/100</f>
        <v/>
      </c>
      <c r="I163" s="8">
        <f>$F163/Parity!$H$144</f>
        <v/>
      </c>
      <c r="J163" s="16">
        <f>Parity!$F$144*$H163</f>
        <v/>
      </c>
      <c r="K163" s="8">
        <f>Parity!$I$144*$I163</f>
        <v/>
      </c>
      <c r="L163" s="8">
        <f>Parity!$J$144*$I163</f>
        <v/>
      </c>
      <c r="M163" s="16">
        <f>(Market_Weekly!$K$29-mcx_domestic_premium_inr_kg)*$H163*$I163+mcx_domestic_premium_inr_kg</f>
        <v/>
      </c>
      <c r="N163" s="15">
        <f>Parity!$N$144/Market_Weekly!$K$29</f>
        <v/>
      </c>
      <c r="O163" s="16">
        <f>$M163*$N163</f>
        <v/>
      </c>
      <c r="P163" s="18">
        <f>Parity!$AY$144</f>
        <v/>
      </c>
      <c r="Q163" s="16">
        <f>$J163*Parity!$P$144</f>
        <v/>
      </c>
      <c r="R163" s="16">
        <f>Parity!$L$144*Parity!$AG$144</f>
        <v/>
      </c>
      <c r="S163" s="16">
        <f>$Q163-$R163</f>
        <v/>
      </c>
      <c r="T163" s="16">
        <f>insurance_rate*insured_value_uplift*$Q163</f>
        <v/>
      </c>
      <c r="U163" s="16">
        <f>$Q163+$T163</f>
        <v/>
      </c>
      <c r="V163" s="18">
        <f>$U163*$L163</f>
        <v/>
      </c>
      <c r="W163" s="18">
        <f>$U163*$K163</f>
        <v/>
      </c>
      <c r="X163" s="18">
        <f>$V163*bcd_scrap_hs7602</f>
        <v/>
      </c>
      <c r="Y163" s="18">
        <f>$X163*sws_rate_on_bcd</f>
        <v/>
      </c>
      <c r="Z163" s="18">
        <f>($V163+$X163+$Y163)*igst_rate_hs7602</f>
        <v/>
      </c>
      <c r="AA163" s="18">
        <f>Parity!$X$144*Parity!$AG$144+IF(Parity!$Y$144,psic_cost_usd_per_box*$F163/Parity!$W$144,0)</f>
        <v/>
      </c>
      <c r="AB163" s="18">
        <f>($W163+$X163+$Y163)*Parity!$Z$144/day_count_inr*Parity!$O$144</f>
        <v/>
      </c>
      <c r="AC163" s="18">
        <f>$Z163*igst_credit_lag_days/day_count_inr*Parity!$O$144</f>
        <v/>
      </c>
      <c r="AD163" s="18">
        <f>$W163+$X163+$Y163+$AA163+$AB163+$AC163+IF(igst_itc_available,0,$Z163)</f>
        <v/>
      </c>
      <c r="AE163" s="18">
        <f>$O163*kg_per_mt+domestic_anchor_premium_inr_t</f>
        <v/>
      </c>
      <c r="AF163" s="18">
        <f>(1-Parity!$AA$144)*Parity!$AD$144*heavies_net_value_frac_of_lme_al*$J163*$F163</f>
        <v/>
      </c>
      <c r="AG163" s="18">
        <f>$AE163*Parity!$AU$144+$AF163-$AD163-Parity!$AX$144</f>
        <v/>
      </c>
      <c r="AH163" s="8">
        <f>$AG163&gt;margin_threshold_inr_t</f>
        <v/>
      </c>
      <c r="AI163" s="18">
        <f>($AG163-$P163)*grid_tonnes_mt</f>
        <v/>
      </c>
    </row>
    <row r="164">
      <c r="A164" s="7" t="inlineStr">
        <is>
          <t>june_trough</t>
        </is>
      </c>
      <c r="B164" s="11" t="n">
        <v>44729</v>
      </c>
      <c r="C164" s="7" t="inlineStr">
        <is>
          <t>zorba</t>
        </is>
      </c>
      <c r="D164" s="7" t="inlineStr">
        <is>
          <t>JEA_NSA</t>
        </is>
      </c>
      <c r="E164" s="20" t="n">
        <v>-20</v>
      </c>
      <c r="F164" s="7" t="n">
        <v>81</v>
      </c>
      <c r="G164" s="17" t="b">
        <v>0</v>
      </c>
      <c r="H164" s="8">
        <f>1+$E164/100</f>
        <v/>
      </c>
      <c r="I164" s="8">
        <f>$F164/Parity!$H$144</f>
        <v/>
      </c>
      <c r="J164" s="16">
        <f>Parity!$F$144*$H164</f>
        <v/>
      </c>
      <c r="K164" s="8">
        <f>Parity!$I$144*$I164</f>
        <v/>
      </c>
      <c r="L164" s="8">
        <f>Parity!$J$144*$I164</f>
        <v/>
      </c>
      <c r="M164" s="16">
        <f>(Market_Weekly!$K$29-mcx_domestic_premium_inr_kg)*$H164*$I164+mcx_domestic_premium_inr_kg</f>
        <v/>
      </c>
      <c r="N164" s="15">
        <f>Parity!$N$144/Market_Weekly!$K$29</f>
        <v/>
      </c>
      <c r="O164" s="16">
        <f>$M164*$N164</f>
        <v/>
      </c>
      <c r="P164" s="18">
        <f>Parity!$AY$144</f>
        <v/>
      </c>
      <c r="Q164" s="16">
        <f>$J164*Parity!$P$144</f>
        <v/>
      </c>
      <c r="R164" s="16">
        <f>Parity!$L$144*Parity!$AG$144</f>
        <v/>
      </c>
      <c r="S164" s="16">
        <f>$Q164-$R164</f>
        <v/>
      </c>
      <c r="T164" s="16">
        <f>insurance_rate*insured_value_uplift*$Q164</f>
        <v/>
      </c>
      <c r="U164" s="16">
        <f>$Q164+$T164</f>
        <v/>
      </c>
      <c r="V164" s="18">
        <f>$U164*$L164</f>
        <v/>
      </c>
      <c r="W164" s="18">
        <f>$U164*$K164</f>
        <v/>
      </c>
      <c r="X164" s="18">
        <f>$V164*bcd_scrap_hs7602</f>
        <v/>
      </c>
      <c r="Y164" s="18">
        <f>$X164*sws_rate_on_bcd</f>
        <v/>
      </c>
      <c r="Z164" s="18">
        <f>($V164+$X164+$Y164)*igst_rate_hs7602</f>
        <v/>
      </c>
      <c r="AA164" s="18">
        <f>Parity!$X$144*Parity!$AG$144+IF(Parity!$Y$144,psic_cost_usd_per_box*$F164/Parity!$W$144,0)</f>
        <v/>
      </c>
      <c r="AB164" s="18">
        <f>($W164+$X164+$Y164)*Parity!$Z$144/day_count_inr*Parity!$O$144</f>
        <v/>
      </c>
      <c r="AC164" s="18">
        <f>$Z164*igst_credit_lag_days/day_count_inr*Parity!$O$144</f>
        <v/>
      </c>
      <c r="AD164" s="18">
        <f>$W164+$X164+$Y164+$AA164+$AB164+$AC164+IF(igst_itc_available,0,$Z164)</f>
        <v/>
      </c>
      <c r="AE164" s="18">
        <f>$O164*kg_per_mt+domestic_anchor_premium_inr_t</f>
        <v/>
      </c>
      <c r="AF164" s="18">
        <f>(1-Parity!$AA$144)*Parity!$AD$144*heavies_net_value_frac_of_lme_al*$J164*$F164</f>
        <v/>
      </c>
      <c r="AG164" s="18">
        <f>$AE164*Parity!$AU$144+$AF164-$AD164-Parity!$AX$144</f>
        <v/>
      </c>
      <c r="AH164" s="8">
        <f>$AG164&gt;margin_threshold_inr_t</f>
        <v/>
      </c>
      <c r="AI164" s="18">
        <f>($AG164-$P164)*grid_tonnes_mt</f>
        <v/>
      </c>
    </row>
    <row r="165">
      <c r="A165" s="7" t="inlineStr">
        <is>
          <t>june_trough</t>
        </is>
      </c>
      <c r="B165" s="11" t="n">
        <v>44729</v>
      </c>
      <c r="C165" s="7" t="inlineStr">
        <is>
          <t>zorba</t>
        </is>
      </c>
      <c r="D165" s="7" t="inlineStr">
        <is>
          <t>JEA_NSA</t>
        </is>
      </c>
      <c r="E165" s="20" t="n">
        <v>-15</v>
      </c>
      <c r="F165" s="7" t="n">
        <v>81</v>
      </c>
      <c r="G165" s="17" t="b">
        <v>0</v>
      </c>
      <c r="H165" s="8">
        <f>1+$E165/100</f>
        <v/>
      </c>
      <c r="I165" s="8">
        <f>$F165/Parity!$H$144</f>
        <v/>
      </c>
      <c r="J165" s="16">
        <f>Parity!$F$144*$H165</f>
        <v/>
      </c>
      <c r="K165" s="8">
        <f>Parity!$I$144*$I165</f>
        <v/>
      </c>
      <c r="L165" s="8">
        <f>Parity!$J$144*$I165</f>
        <v/>
      </c>
      <c r="M165" s="16">
        <f>(Market_Weekly!$K$29-mcx_domestic_premium_inr_kg)*$H165*$I165+mcx_domestic_premium_inr_kg</f>
        <v/>
      </c>
      <c r="N165" s="15">
        <f>Parity!$N$144/Market_Weekly!$K$29</f>
        <v/>
      </c>
      <c r="O165" s="16">
        <f>$M165*$N165</f>
        <v/>
      </c>
      <c r="P165" s="18">
        <f>Parity!$AY$144</f>
        <v/>
      </c>
      <c r="Q165" s="16">
        <f>$J165*Parity!$P$144</f>
        <v/>
      </c>
      <c r="R165" s="16">
        <f>Parity!$L$144*Parity!$AG$144</f>
        <v/>
      </c>
      <c r="S165" s="16">
        <f>$Q165-$R165</f>
        <v/>
      </c>
      <c r="T165" s="16">
        <f>insurance_rate*insured_value_uplift*$Q165</f>
        <v/>
      </c>
      <c r="U165" s="16">
        <f>$Q165+$T165</f>
        <v/>
      </c>
      <c r="V165" s="18">
        <f>$U165*$L165</f>
        <v/>
      </c>
      <c r="W165" s="18">
        <f>$U165*$K165</f>
        <v/>
      </c>
      <c r="X165" s="18">
        <f>$V165*bcd_scrap_hs7602</f>
        <v/>
      </c>
      <c r="Y165" s="18">
        <f>$X165*sws_rate_on_bcd</f>
        <v/>
      </c>
      <c r="Z165" s="18">
        <f>($V165+$X165+$Y165)*igst_rate_hs7602</f>
        <v/>
      </c>
      <c r="AA165" s="18">
        <f>Parity!$X$144*Parity!$AG$144+IF(Parity!$Y$144,psic_cost_usd_per_box*$F165/Parity!$W$144,0)</f>
        <v/>
      </c>
      <c r="AB165" s="18">
        <f>($W165+$X165+$Y165)*Parity!$Z$144/day_count_inr*Parity!$O$144</f>
        <v/>
      </c>
      <c r="AC165" s="18">
        <f>$Z165*igst_credit_lag_days/day_count_inr*Parity!$O$144</f>
        <v/>
      </c>
      <c r="AD165" s="18">
        <f>$W165+$X165+$Y165+$AA165+$AB165+$AC165+IF(igst_itc_available,0,$Z165)</f>
        <v/>
      </c>
      <c r="AE165" s="18">
        <f>$O165*kg_per_mt+domestic_anchor_premium_inr_t</f>
        <v/>
      </c>
      <c r="AF165" s="18">
        <f>(1-Parity!$AA$144)*Parity!$AD$144*heavies_net_value_frac_of_lme_al*$J165*$F165</f>
        <v/>
      </c>
      <c r="AG165" s="18">
        <f>$AE165*Parity!$AU$144+$AF165-$AD165-Parity!$AX$144</f>
        <v/>
      </c>
      <c r="AH165" s="8">
        <f>$AG165&gt;margin_threshold_inr_t</f>
        <v/>
      </c>
      <c r="AI165" s="18">
        <f>($AG165-$P165)*grid_tonnes_mt</f>
        <v/>
      </c>
    </row>
    <row r="166">
      <c r="A166" s="7" t="inlineStr">
        <is>
          <t>june_trough</t>
        </is>
      </c>
      <c r="B166" s="11" t="n">
        <v>44729</v>
      </c>
      <c r="C166" s="7" t="inlineStr">
        <is>
          <t>zorba</t>
        </is>
      </c>
      <c r="D166" s="7" t="inlineStr">
        <is>
          <t>JEA_NSA</t>
        </is>
      </c>
      <c r="E166" s="20" t="n">
        <v>-10</v>
      </c>
      <c r="F166" s="7" t="n">
        <v>81</v>
      </c>
      <c r="G166" s="17" t="b">
        <v>0</v>
      </c>
      <c r="H166" s="8">
        <f>1+$E166/100</f>
        <v/>
      </c>
      <c r="I166" s="8">
        <f>$F166/Parity!$H$144</f>
        <v/>
      </c>
      <c r="J166" s="16">
        <f>Parity!$F$144*$H166</f>
        <v/>
      </c>
      <c r="K166" s="8">
        <f>Parity!$I$144*$I166</f>
        <v/>
      </c>
      <c r="L166" s="8">
        <f>Parity!$J$144*$I166</f>
        <v/>
      </c>
      <c r="M166" s="16">
        <f>(Market_Weekly!$K$29-mcx_domestic_premium_inr_kg)*$H166*$I166+mcx_domestic_premium_inr_kg</f>
        <v/>
      </c>
      <c r="N166" s="15">
        <f>Parity!$N$144/Market_Weekly!$K$29</f>
        <v/>
      </c>
      <c r="O166" s="16">
        <f>$M166*$N166</f>
        <v/>
      </c>
      <c r="P166" s="18">
        <f>Parity!$AY$144</f>
        <v/>
      </c>
      <c r="Q166" s="16">
        <f>$J166*Parity!$P$144</f>
        <v/>
      </c>
      <c r="R166" s="16">
        <f>Parity!$L$144*Parity!$AG$144</f>
        <v/>
      </c>
      <c r="S166" s="16">
        <f>$Q166-$R166</f>
        <v/>
      </c>
      <c r="T166" s="16">
        <f>insurance_rate*insured_value_uplift*$Q166</f>
        <v/>
      </c>
      <c r="U166" s="16">
        <f>$Q166+$T166</f>
        <v/>
      </c>
      <c r="V166" s="18">
        <f>$U166*$L166</f>
        <v/>
      </c>
      <c r="W166" s="18">
        <f>$U166*$K166</f>
        <v/>
      </c>
      <c r="X166" s="18">
        <f>$V166*bcd_scrap_hs7602</f>
        <v/>
      </c>
      <c r="Y166" s="18">
        <f>$X166*sws_rate_on_bcd</f>
        <v/>
      </c>
      <c r="Z166" s="18">
        <f>($V166+$X166+$Y166)*igst_rate_hs7602</f>
        <v/>
      </c>
      <c r="AA166" s="18">
        <f>Parity!$X$144*Parity!$AG$144+IF(Parity!$Y$144,psic_cost_usd_per_box*$F166/Parity!$W$144,0)</f>
        <v/>
      </c>
      <c r="AB166" s="18">
        <f>($W166+$X166+$Y166)*Parity!$Z$144/day_count_inr*Parity!$O$144</f>
        <v/>
      </c>
      <c r="AC166" s="18">
        <f>$Z166*igst_credit_lag_days/day_count_inr*Parity!$O$144</f>
        <v/>
      </c>
      <c r="AD166" s="18">
        <f>$W166+$X166+$Y166+$AA166+$AB166+$AC166+IF(igst_itc_available,0,$Z166)</f>
        <v/>
      </c>
      <c r="AE166" s="18">
        <f>$O166*kg_per_mt+domestic_anchor_premium_inr_t</f>
        <v/>
      </c>
      <c r="AF166" s="18">
        <f>(1-Parity!$AA$144)*Parity!$AD$144*heavies_net_value_frac_of_lme_al*$J166*$F166</f>
        <v/>
      </c>
      <c r="AG166" s="18">
        <f>$AE166*Parity!$AU$144+$AF166-$AD166-Parity!$AX$144</f>
        <v/>
      </c>
      <c r="AH166" s="8">
        <f>$AG166&gt;margin_threshold_inr_t</f>
        <v/>
      </c>
      <c r="AI166" s="18">
        <f>($AG166-$P166)*grid_tonnes_mt</f>
        <v/>
      </c>
    </row>
    <row r="167">
      <c r="A167" s="7" t="inlineStr">
        <is>
          <t>june_trough</t>
        </is>
      </c>
      <c r="B167" s="11" t="n">
        <v>44729</v>
      </c>
      <c r="C167" s="7" t="inlineStr">
        <is>
          <t>zorba</t>
        </is>
      </c>
      <c r="D167" s="7" t="inlineStr">
        <is>
          <t>JEA_NSA</t>
        </is>
      </c>
      <c r="E167" s="20" t="n">
        <v>-5</v>
      </c>
      <c r="F167" s="7" t="n">
        <v>81</v>
      </c>
      <c r="G167" s="17" t="b">
        <v>0</v>
      </c>
      <c r="H167" s="8">
        <f>1+$E167/100</f>
        <v/>
      </c>
      <c r="I167" s="8">
        <f>$F167/Parity!$H$144</f>
        <v/>
      </c>
      <c r="J167" s="16">
        <f>Parity!$F$144*$H167</f>
        <v/>
      </c>
      <c r="K167" s="8">
        <f>Parity!$I$144*$I167</f>
        <v/>
      </c>
      <c r="L167" s="8">
        <f>Parity!$J$144*$I167</f>
        <v/>
      </c>
      <c r="M167" s="16">
        <f>(Market_Weekly!$K$29-mcx_domestic_premium_inr_kg)*$H167*$I167+mcx_domestic_premium_inr_kg</f>
        <v/>
      </c>
      <c r="N167" s="15">
        <f>Parity!$N$144/Market_Weekly!$K$29</f>
        <v/>
      </c>
      <c r="O167" s="16">
        <f>$M167*$N167</f>
        <v/>
      </c>
      <c r="P167" s="18">
        <f>Parity!$AY$144</f>
        <v/>
      </c>
      <c r="Q167" s="16">
        <f>$J167*Parity!$P$144</f>
        <v/>
      </c>
      <c r="R167" s="16">
        <f>Parity!$L$144*Parity!$AG$144</f>
        <v/>
      </c>
      <c r="S167" s="16">
        <f>$Q167-$R167</f>
        <v/>
      </c>
      <c r="T167" s="16">
        <f>insurance_rate*insured_value_uplift*$Q167</f>
        <v/>
      </c>
      <c r="U167" s="16">
        <f>$Q167+$T167</f>
        <v/>
      </c>
      <c r="V167" s="18">
        <f>$U167*$L167</f>
        <v/>
      </c>
      <c r="W167" s="18">
        <f>$U167*$K167</f>
        <v/>
      </c>
      <c r="X167" s="18">
        <f>$V167*bcd_scrap_hs7602</f>
        <v/>
      </c>
      <c r="Y167" s="18">
        <f>$X167*sws_rate_on_bcd</f>
        <v/>
      </c>
      <c r="Z167" s="18">
        <f>($V167+$X167+$Y167)*igst_rate_hs7602</f>
        <v/>
      </c>
      <c r="AA167" s="18">
        <f>Parity!$X$144*Parity!$AG$144+IF(Parity!$Y$144,psic_cost_usd_per_box*$F167/Parity!$W$144,0)</f>
        <v/>
      </c>
      <c r="AB167" s="18">
        <f>($W167+$X167+$Y167)*Parity!$Z$144/day_count_inr*Parity!$O$144</f>
        <v/>
      </c>
      <c r="AC167" s="18">
        <f>$Z167*igst_credit_lag_days/day_count_inr*Parity!$O$144</f>
        <v/>
      </c>
      <c r="AD167" s="18">
        <f>$W167+$X167+$Y167+$AA167+$AB167+$AC167+IF(igst_itc_available,0,$Z167)</f>
        <v/>
      </c>
      <c r="AE167" s="18">
        <f>$O167*kg_per_mt+domestic_anchor_premium_inr_t</f>
        <v/>
      </c>
      <c r="AF167" s="18">
        <f>(1-Parity!$AA$144)*Parity!$AD$144*heavies_net_value_frac_of_lme_al*$J167*$F167</f>
        <v/>
      </c>
      <c r="AG167" s="18">
        <f>$AE167*Parity!$AU$144+$AF167-$AD167-Parity!$AX$144</f>
        <v/>
      </c>
      <c r="AH167" s="8">
        <f>$AG167&gt;margin_threshold_inr_t</f>
        <v/>
      </c>
      <c r="AI167" s="18">
        <f>($AG167-$P167)*grid_tonnes_mt</f>
        <v/>
      </c>
    </row>
    <row r="168">
      <c r="A168" s="7" t="inlineStr">
        <is>
          <t>june_trough</t>
        </is>
      </c>
      <c r="B168" s="11" t="n">
        <v>44729</v>
      </c>
      <c r="C168" s="7" t="inlineStr">
        <is>
          <t>zorba</t>
        </is>
      </c>
      <c r="D168" s="7" t="inlineStr">
        <is>
          <t>JEA_NSA</t>
        </is>
      </c>
      <c r="E168" s="20" t="n">
        <v>0</v>
      </c>
      <c r="F168" s="7" t="n">
        <v>81</v>
      </c>
      <c r="G168" s="17" t="b">
        <v>0</v>
      </c>
      <c r="H168" s="8">
        <f>1+$E168/100</f>
        <v/>
      </c>
      <c r="I168" s="8">
        <f>$F168/Parity!$H$144</f>
        <v/>
      </c>
      <c r="J168" s="16">
        <f>Parity!$F$144*$H168</f>
        <v/>
      </c>
      <c r="K168" s="8">
        <f>Parity!$I$144*$I168</f>
        <v/>
      </c>
      <c r="L168" s="8">
        <f>Parity!$J$144*$I168</f>
        <v/>
      </c>
      <c r="M168" s="16">
        <f>(Market_Weekly!$K$29-mcx_domestic_premium_inr_kg)*$H168*$I168+mcx_domestic_premium_inr_kg</f>
        <v/>
      </c>
      <c r="N168" s="15">
        <f>Parity!$N$144/Market_Weekly!$K$29</f>
        <v/>
      </c>
      <c r="O168" s="16">
        <f>$M168*$N168</f>
        <v/>
      </c>
      <c r="P168" s="18">
        <f>Parity!$AY$144</f>
        <v/>
      </c>
      <c r="Q168" s="16">
        <f>$J168*Parity!$P$144</f>
        <v/>
      </c>
      <c r="R168" s="16">
        <f>Parity!$L$144*Parity!$AG$144</f>
        <v/>
      </c>
      <c r="S168" s="16">
        <f>$Q168-$R168</f>
        <v/>
      </c>
      <c r="T168" s="16">
        <f>insurance_rate*insured_value_uplift*$Q168</f>
        <v/>
      </c>
      <c r="U168" s="16">
        <f>$Q168+$T168</f>
        <v/>
      </c>
      <c r="V168" s="18">
        <f>$U168*$L168</f>
        <v/>
      </c>
      <c r="W168" s="18">
        <f>$U168*$K168</f>
        <v/>
      </c>
      <c r="X168" s="18">
        <f>$V168*bcd_scrap_hs7602</f>
        <v/>
      </c>
      <c r="Y168" s="18">
        <f>$X168*sws_rate_on_bcd</f>
        <v/>
      </c>
      <c r="Z168" s="18">
        <f>($V168+$X168+$Y168)*igst_rate_hs7602</f>
        <v/>
      </c>
      <c r="AA168" s="18">
        <f>Parity!$X$144*Parity!$AG$144+IF(Parity!$Y$144,psic_cost_usd_per_box*$F168/Parity!$W$144,0)</f>
        <v/>
      </c>
      <c r="AB168" s="18">
        <f>($W168+$X168+$Y168)*Parity!$Z$144/day_count_inr*Parity!$O$144</f>
        <v/>
      </c>
      <c r="AC168" s="18">
        <f>$Z168*igst_credit_lag_days/day_count_inr*Parity!$O$144</f>
        <v/>
      </c>
      <c r="AD168" s="18">
        <f>$W168+$X168+$Y168+$AA168+$AB168+$AC168+IF(igst_itc_available,0,$Z168)</f>
        <v/>
      </c>
      <c r="AE168" s="18">
        <f>$O168*kg_per_mt+domestic_anchor_premium_inr_t</f>
        <v/>
      </c>
      <c r="AF168" s="18">
        <f>(1-Parity!$AA$144)*Parity!$AD$144*heavies_net_value_frac_of_lme_al*$J168*$F168</f>
        <v/>
      </c>
      <c r="AG168" s="18">
        <f>$AE168*Parity!$AU$144+$AF168-$AD168-Parity!$AX$144</f>
        <v/>
      </c>
      <c r="AH168" s="8">
        <f>$AG168&gt;margin_threshold_inr_t</f>
        <v/>
      </c>
      <c r="AI168" s="18">
        <f>($AG168-$P168)*grid_tonnes_mt</f>
        <v/>
      </c>
    </row>
    <row r="169">
      <c r="A169" s="7" t="inlineStr">
        <is>
          <t>june_trough</t>
        </is>
      </c>
      <c r="B169" s="11" t="n">
        <v>44729</v>
      </c>
      <c r="C169" s="7" t="inlineStr">
        <is>
          <t>zorba</t>
        </is>
      </c>
      <c r="D169" s="7" t="inlineStr">
        <is>
          <t>JEA_NSA</t>
        </is>
      </c>
      <c r="E169" s="20" t="n">
        <v>5</v>
      </c>
      <c r="F169" s="7" t="n">
        <v>81</v>
      </c>
      <c r="G169" s="17" t="b">
        <v>0</v>
      </c>
      <c r="H169" s="8">
        <f>1+$E169/100</f>
        <v/>
      </c>
      <c r="I169" s="8">
        <f>$F169/Parity!$H$144</f>
        <v/>
      </c>
      <c r="J169" s="16">
        <f>Parity!$F$144*$H169</f>
        <v/>
      </c>
      <c r="K169" s="8">
        <f>Parity!$I$144*$I169</f>
        <v/>
      </c>
      <c r="L169" s="8">
        <f>Parity!$J$144*$I169</f>
        <v/>
      </c>
      <c r="M169" s="16">
        <f>(Market_Weekly!$K$29-mcx_domestic_premium_inr_kg)*$H169*$I169+mcx_domestic_premium_inr_kg</f>
        <v/>
      </c>
      <c r="N169" s="15">
        <f>Parity!$N$144/Market_Weekly!$K$29</f>
        <v/>
      </c>
      <c r="O169" s="16">
        <f>$M169*$N169</f>
        <v/>
      </c>
      <c r="P169" s="18">
        <f>Parity!$AY$144</f>
        <v/>
      </c>
      <c r="Q169" s="16">
        <f>$J169*Parity!$P$144</f>
        <v/>
      </c>
      <c r="R169" s="16">
        <f>Parity!$L$144*Parity!$AG$144</f>
        <v/>
      </c>
      <c r="S169" s="16">
        <f>$Q169-$R169</f>
        <v/>
      </c>
      <c r="T169" s="16">
        <f>insurance_rate*insured_value_uplift*$Q169</f>
        <v/>
      </c>
      <c r="U169" s="16">
        <f>$Q169+$T169</f>
        <v/>
      </c>
      <c r="V169" s="18">
        <f>$U169*$L169</f>
        <v/>
      </c>
      <c r="W169" s="18">
        <f>$U169*$K169</f>
        <v/>
      </c>
      <c r="X169" s="18">
        <f>$V169*bcd_scrap_hs7602</f>
        <v/>
      </c>
      <c r="Y169" s="18">
        <f>$X169*sws_rate_on_bcd</f>
        <v/>
      </c>
      <c r="Z169" s="18">
        <f>($V169+$X169+$Y169)*igst_rate_hs7602</f>
        <v/>
      </c>
      <c r="AA169" s="18">
        <f>Parity!$X$144*Parity!$AG$144+IF(Parity!$Y$144,psic_cost_usd_per_box*$F169/Parity!$W$144,0)</f>
        <v/>
      </c>
      <c r="AB169" s="18">
        <f>($W169+$X169+$Y169)*Parity!$Z$144/day_count_inr*Parity!$O$144</f>
        <v/>
      </c>
      <c r="AC169" s="18">
        <f>$Z169*igst_credit_lag_days/day_count_inr*Parity!$O$144</f>
        <v/>
      </c>
      <c r="AD169" s="18">
        <f>$W169+$X169+$Y169+$AA169+$AB169+$AC169+IF(igst_itc_available,0,$Z169)</f>
        <v/>
      </c>
      <c r="AE169" s="18">
        <f>$O169*kg_per_mt+domestic_anchor_premium_inr_t</f>
        <v/>
      </c>
      <c r="AF169" s="18">
        <f>(1-Parity!$AA$144)*Parity!$AD$144*heavies_net_value_frac_of_lme_al*$J169*$F169</f>
        <v/>
      </c>
      <c r="AG169" s="18">
        <f>$AE169*Parity!$AU$144+$AF169-$AD169-Parity!$AX$144</f>
        <v/>
      </c>
      <c r="AH169" s="8">
        <f>$AG169&gt;margin_threshold_inr_t</f>
        <v/>
      </c>
      <c r="AI169" s="18">
        <f>($AG169-$P169)*grid_tonnes_mt</f>
        <v/>
      </c>
    </row>
    <row r="170">
      <c r="A170" s="7" t="inlineStr">
        <is>
          <t>june_trough</t>
        </is>
      </c>
      <c r="B170" s="11" t="n">
        <v>44729</v>
      </c>
      <c r="C170" s="7" t="inlineStr">
        <is>
          <t>zorba</t>
        </is>
      </c>
      <c r="D170" s="7" t="inlineStr">
        <is>
          <t>JEA_NSA</t>
        </is>
      </c>
      <c r="E170" s="20" t="n">
        <v>10</v>
      </c>
      <c r="F170" s="7" t="n">
        <v>81</v>
      </c>
      <c r="G170" s="17" t="b">
        <v>0</v>
      </c>
      <c r="H170" s="8">
        <f>1+$E170/100</f>
        <v/>
      </c>
      <c r="I170" s="8">
        <f>$F170/Parity!$H$144</f>
        <v/>
      </c>
      <c r="J170" s="16">
        <f>Parity!$F$144*$H170</f>
        <v/>
      </c>
      <c r="K170" s="8">
        <f>Parity!$I$144*$I170</f>
        <v/>
      </c>
      <c r="L170" s="8">
        <f>Parity!$J$144*$I170</f>
        <v/>
      </c>
      <c r="M170" s="16">
        <f>(Market_Weekly!$K$29-mcx_domestic_premium_inr_kg)*$H170*$I170+mcx_domestic_premium_inr_kg</f>
        <v/>
      </c>
      <c r="N170" s="15">
        <f>Parity!$N$144/Market_Weekly!$K$29</f>
        <v/>
      </c>
      <c r="O170" s="16">
        <f>$M170*$N170</f>
        <v/>
      </c>
      <c r="P170" s="18">
        <f>Parity!$AY$144</f>
        <v/>
      </c>
      <c r="Q170" s="16">
        <f>$J170*Parity!$P$144</f>
        <v/>
      </c>
      <c r="R170" s="16">
        <f>Parity!$L$144*Parity!$AG$144</f>
        <v/>
      </c>
      <c r="S170" s="16">
        <f>$Q170-$R170</f>
        <v/>
      </c>
      <c r="T170" s="16">
        <f>insurance_rate*insured_value_uplift*$Q170</f>
        <v/>
      </c>
      <c r="U170" s="16">
        <f>$Q170+$T170</f>
        <v/>
      </c>
      <c r="V170" s="18">
        <f>$U170*$L170</f>
        <v/>
      </c>
      <c r="W170" s="18">
        <f>$U170*$K170</f>
        <v/>
      </c>
      <c r="X170" s="18">
        <f>$V170*bcd_scrap_hs7602</f>
        <v/>
      </c>
      <c r="Y170" s="18">
        <f>$X170*sws_rate_on_bcd</f>
        <v/>
      </c>
      <c r="Z170" s="18">
        <f>($V170+$X170+$Y170)*igst_rate_hs7602</f>
        <v/>
      </c>
      <c r="AA170" s="18">
        <f>Parity!$X$144*Parity!$AG$144+IF(Parity!$Y$144,psic_cost_usd_per_box*$F170/Parity!$W$144,0)</f>
        <v/>
      </c>
      <c r="AB170" s="18">
        <f>($W170+$X170+$Y170)*Parity!$Z$144/day_count_inr*Parity!$O$144</f>
        <v/>
      </c>
      <c r="AC170" s="18">
        <f>$Z170*igst_credit_lag_days/day_count_inr*Parity!$O$144</f>
        <v/>
      </c>
      <c r="AD170" s="18">
        <f>$W170+$X170+$Y170+$AA170+$AB170+$AC170+IF(igst_itc_available,0,$Z170)</f>
        <v/>
      </c>
      <c r="AE170" s="18">
        <f>$O170*kg_per_mt+domestic_anchor_premium_inr_t</f>
        <v/>
      </c>
      <c r="AF170" s="18">
        <f>(1-Parity!$AA$144)*Parity!$AD$144*heavies_net_value_frac_of_lme_al*$J170*$F170</f>
        <v/>
      </c>
      <c r="AG170" s="18">
        <f>$AE170*Parity!$AU$144+$AF170-$AD170-Parity!$AX$144</f>
        <v/>
      </c>
      <c r="AH170" s="8">
        <f>$AG170&gt;margin_threshold_inr_t</f>
        <v/>
      </c>
      <c r="AI170" s="18">
        <f>($AG170-$P170)*grid_tonnes_mt</f>
        <v/>
      </c>
    </row>
    <row r="171">
      <c r="A171" s="7" t="inlineStr">
        <is>
          <t>june_trough</t>
        </is>
      </c>
      <c r="B171" s="11" t="n">
        <v>44729</v>
      </c>
      <c r="C171" s="7" t="inlineStr">
        <is>
          <t>zorba</t>
        </is>
      </c>
      <c r="D171" s="7" t="inlineStr">
        <is>
          <t>JEA_NSA</t>
        </is>
      </c>
      <c r="E171" s="20" t="n">
        <v>-30</v>
      </c>
      <c r="F171" s="7" t="n">
        <v>82</v>
      </c>
      <c r="G171" s="17" t="b">
        <v>0</v>
      </c>
      <c r="H171" s="8">
        <f>1+$E171/100</f>
        <v/>
      </c>
      <c r="I171" s="8">
        <f>$F171/Parity!$H$144</f>
        <v/>
      </c>
      <c r="J171" s="16">
        <f>Parity!$F$144*$H171</f>
        <v/>
      </c>
      <c r="K171" s="8">
        <f>Parity!$I$144*$I171</f>
        <v/>
      </c>
      <c r="L171" s="8">
        <f>Parity!$J$144*$I171</f>
        <v/>
      </c>
      <c r="M171" s="16">
        <f>(Market_Weekly!$K$29-mcx_domestic_premium_inr_kg)*$H171*$I171+mcx_domestic_premium_inr_kg</f>
        <v/>
      </c>
      <c r="N171" s="15">
        <f>Parity!$N$144/Market_Weekly!$K$29</f>
        <v/>
      </c>
      <c r="O171" s="16">
        <f>$M171*$N171</f>
        <v/>
      </c>
      <c r="P171" s="18">
        <f>Parity!$AY$144</f>
        <v/>
      </c>
      <c r="Q171" s="16">
        <f>$J171*Parity!$P$144</f>
        <v/>
      </c>
      <c r="R171" s="16">
        <f>Parity!$L$144*Parity!$AG$144</f>
        <v/>
      </c>
      <c r="S171" s="16">
        <f>$Q171-$R171</f>
        <v/>
      </c>
      <c r="T171" s="16">
        <f>insurance_rate*insured_value_uplift*$Q171</f>
        <v/>
      </c>
      <c r="U171" s="16">
        <f>$Q171+$T171</f>
        <v/>
      </c>
      <c r="V171" s="18">
        <f>$U171*$L171</f>
        <v/>
      </c>
      <c r="W171" s="18">
        <f>$U171*$K171</f>
        <v/>
      </c>
      <c r="X171" s="18">
        <f>$V171*bcd_scrap_hs7602</f>
        <v/>
      </c>
      <c r="Y171" s="18">
        <f>$X171*sws_rate_on_bcd</f>
        <v/>
      </c>
      <c r="Z171" s="18">
        <f>($V171+$X171+$Y171)*igst_rate_hs7602</f>
        <v/>
      </c>
      <c r="AA171" s="18">
        <f>Parity!$X$144*Parity!$AG$144+IF(Parity!$Y$144,psic_cost_usd_per_box*$F171/Parity!$W$144,0)</f>
        <v/>
      </c>
      <c r="AB171" s="18">
        <f>($W171+$X171+$Y171)*Parity!$Z$144/day_count_inr*Parity!$O$144</f>
        <v/>
      </c>
      <c r="AC171" s="18">
        <f>$Z171*igst_credit_lag_days/day_count_inr*Parity!$O$144</f>
        <v/>
      </c>
      <c r="AD171" s="18">
        <f>$W171+$X171+$Y171+$AA171+$AB171+$AC171+IF(igst_itc_available,0,$Z171)</f>
        <v/>
      </c>
      <c r="AE171" s="18">
        <f>$O171*kg_per_mt+domestic_anchor_premium_inr_t</f>
        <v/>
      </c>
      <c r="AF171" s="18">
        <f>(1-Parity!$AA$144)*Parity!$AD$144*heavies_net_value_frac_of_lme_al*$J171*$F171</f>
        <v/>
      </c>
      <c r="AG171" s="18">
        <f>$AE171*Parity!$AU$144+$AF171-$AD171-Parity!$AX$144</f>
        <v/>
      </c>
      <c r="AH171" s="8">
        <f>$AG171&gt;margin_threshold_inr_t</f>
        <v/>
      </c>
      <c r="AI171" s="18">
        <f>($AG171-$P171)*grid_tonnes_mt</f>
        <v/>
      </c>
    </row>
    <row r="172">
      <c r="A172" s="7" t="inlineStr">
        <is>
          <t>june_trough</t>
        </is>
      </c>
      <c r="B172" s="11" t="n">
        <v>44729</v>
      </c>
      <c r="C172" s="7" t="inlineStr">
        <is>
          <t>zorba</t>
        </is>
      </c>
      <c r="D172" s="7" t="inlineStr">
        <is>
          <t>JEA_NSA</t>
        </is>
      </c>
      <c r="E172" s="20" t="n">
        <v>-25</v>
      </c>
      <c r="F172" s="7" t="n">
        <v>82</v>
      </c>
      <c r="G172" s="17" t="b">
        <v>0</v>
      </c>
      <c r="H172" s="8">
        <f>1+$E172/100</f>
        <v/>
      </c>
      <c r="I172" s="8">
        <f>$F172/Parity!$H$144</f>
        <v/>
      </c>
      <c r="J172" s="16">
        <f>Parity!$F$144*$H172</f>
        <v/>
      </c>
      <c r="K172" s="8">
        <f>Parity!$I$144*$I172</f>
        <v/>
      </c>
      <c r="L172" s="8">
        <f>Parity!$J$144*$I172</f>
        <v/>
      </c>
      <c r="M172" s="16">
        <f>(Market_Weekly!$K$29-mcx_domestic_premium_inr_kg)*$H172*$I172+mcx_domestic_premium_inr_kg</f>
        <v/>
      </c>
      <c r="N172" s="15">
        <f>Parity!$N$144/Market_Weekly!$K$29</f>
        <v/>
      </c>
      <c r="O172" s="16">
        <f>$M172*$N172</f>
        <v/>
      </c>
      <c r="P172" s="18">
        <f>Parity!$AY$144</f>
        <v/>
      </c>
      <c r="Q172" s="16">
        <f>$J172*Parity!$P$144</f>
        <v/>
      </c>
      <c r="R172" s="16">
        <f>Parity!$L$144*Parity!$AG$144</f>
        <v/>
      </c>
      <c r="S172" s="16">
        <f>$Q172-$R172</f>
        <v/>
      </c>
      <c r="T172" s="16">
        <f>insurance_rate*insured_value_uplift*$Q172</f>
        <v/>
      </c>
      <c r="U172" s="16">
        <f>$Q172+$T172</f>
        <v/>
      </c>
      <c r="V172" s="18">
        <f>$U172*$L172</f>
        <v/>
      </c>
      <c r="W172" s="18">
        <f>$U172*$K172</f>
        <v/>
      </c>
      <c r="X172" s="18">
        <f>$V172*bcd_scrap_hs7602</f>
        <v/>
      </c>
      <c r="Y172" s="18">
        <f>$X172*sws_rate_on_bcd</f>
        <v/>
      </c>
      <c r="Z172" s="18">
        <f>($V172+$X172+$Y172)*igst_rate_hs7602</f>
        <v/>
      </c>
      <c r="AA172" s="18">
        <f>Parity!$X$144*Parity!$AG$144+IF(Parity!$Y$144,psic_cost_usd_per_box*$F172/Parity!$W$144,0)</f>
        <v/>
      </c>
      <c r="AB172" s="18">
        <f>($W172+$X172+$Y172)*Parity!$Z$144/day_count_inr*Parity!$O$144</f>
        <v/>
      </c>
      <c r="AC172" s="18">
        <f>$Z172*igst_credit_lag_days/day_count_inr*Parity!$O$144</f>
        <v/>
      </c>
      <c r="AD172" s="18">
        <f>$W172+$X172+$Y172+$AA172+$AB172+$AC172+IF(igst_itc_available,0,$Z172)</f>
        <v/>
      </c>
      <c r="AE172" s="18">
        <f>$O172*kg_per_mt+domestic_anchor_premium_inr_t</f>
        <v/>
      </c>
      <c r="AF172" s="18">
        <f>(1-Parity!$AA$144)*Parity!$AD$144*heavies_net_value_frac_of_lme_al*$J172*$F172</f>
        <v/>
      </c>
      <c r="AG172" s="18">
        <f>$AE172*Parity!$AU$144+$AF172-$AD172-Parity!$AX$144</f>
        <v/>
      </c>
      <c r="AH172" s="8">
        <f>$AG172&gt;margin_threshold_inr_t</f>
        <v/>
      </c>
      <c r="AI172" s="18">
        <f>($AG172-$P172)*grid_tonnes_mt</f>
        <v/>
      </c>
    </row>
    <row r="173">
      <c r="A173" s="7" t="inlineStr">
        <is>
          <t>june_trough</t>
        </is>
      </c>
      <c r="B173" s="11" t="n">
        <v>44729</v>
      </c>
      <c r="C173" s="7" t="inlineStr">
        <is>
          <t>zorba</t>
        </is>
      </c>
      <c r="D173" s="7" t="inlineStr">
        <is>
          <t>JEA_NSA</t>
        </is>
      </c>
      <c r="E173" s="20" t="n">
        <v>-20</v>
      </c>
      <c r="F173" s="7" t="n">
        <v>82</v>
      </c>
      <c r="G173" s="17" t="b">
        <v>0</v>
      </c>
      <c r="H173" s="8">
        <f>1+$E173/100</f>
        <v/>
      </c>
      <c r="I173" s="8">
        <f>$F173/Parity!$H$144</f>
        <v/>
      </c>
      <c r="J173" s="16">
        <f>Parity!$F$144*$H173</f>
        <v/>
      </c>
      <c r="K173" s="8">
        <f>Parity!$I$144*$I173</f>
        <v/>
      </c>
      <c r="L173" s="8">
        <f>Parity!$J$144*$I173</f>
        <v/>
      </c>
      <c r="M173" s="16">
        <f>(Market_Weekly!$K$29-mcx_domestic_premium_inr_kg)*$H173*$I173+mcx_domestic_premium_inr_kg</f>
        <v/>
      </c>
      <c r="N173" s="15">
        <f>Parity!$N$144/Market_Weekly!$K$29</f>
        <v/>
      </c>
      <c r="O173" s="16">
        <f>$M173*$N173</f>
        <v/>
      </c>
      <c r="P173" s="18">
        <f>Parity!$AY$144</f>
        <v/>
      </c>
      <c r="Q173" s="16">
        <f>$J173*Parity!$P$144</f>
        <v/>
      </c>
      <c r="R173" s="16">
        <f>Parity!$L$144*Parity!$AG$144</f>
        <v/>
      </c>
      <c r="S173" s="16">
        <f>$Q173-$R173</f>
        <v/>
      </c>
      <c r="T173" s="16">
        <f>insurance_rate*insured_value_uplift*$Q173</f>
        <v/>
      </c>
      <c r="U173" s="16">
        <f>$Q173+$T173</f>
        <v/>
      </c>
      <c r="V173" s="18">
        <f>$U173*$L173</f>
        <v/>
      </c>
      <c r="W173" s="18">
        <f>$U173*$K173</f>
        <v/>
      </c>
      <c r="X173" s="18">
        <f>$V173*bcd_scrap_hs7602</f>
        <v/>
      </c>
      <c r="Y173" s="18">
        <f>$X173*sws_rate_on_bcd</f>
        <v/>
      </c>
      <c r="Z173" s="18">
        <f>($V173+$X173+$Y173)*igst_rate_hs7602</f>
        <v/>
      </c>
      <c r="AA173" s="18">
        <f>Parity!$X$144*Parity!$AG$144+IF(Parity!$Y$144,psic_cost_usd_per_box*$F173/Parity!$W$144,0)</f>
        <v/>
      </c>
      <c r="AB173" s="18">
        <f>($W173+$X173+$Y173)*Parity!$Z$144/day_count_inr*Parity!$O$144</f>
        <v/>
      </c>
      <c r="AC173" s="18">
        <f>$Z173*igst_credit_lag_days/day_count_inr*Parity!$O$144</f>
        <v/>
      </c>
      <c r="AD173" s="18">
        <f>$W173+$X173+$Y173+$AA173+$AB173+$AC173+IF(igst_itc_available,0,$Z173)</f>
        <v/>
      </c>
      <c r="AE173" s="18">
        <f>$O173*kg_per_mt+domestic_anchor_premium_inr_t</f>
        <v/>
      </c>
      <c r="AF173" s="18">
        <f>(1-Parity!$AA$144)*Parity!$AD$144*heavies_net_value_frac_of_lme_al*$J173*$F173</f>
        <v/>
      </c>
      <c r="AG173" s="18">
        <f>$AE173*Parity!$AU$144+$AF173-$AD173-Parity!$AX$144</f>
        <v/>
      </c>
      <c r="AH173" s="8">
        <f>$AG173&gt;margin_threshold_inr_t</f>
        <v/>
      </c>
      <c r="AI173" s="18">
        <f>($AG173-$P173)*grid_tonnes_mt</f>
        <v/>
      </c>
    </row>
    <row r="174">
      <c r="A174" s="7" t="inlineStr">
        <is>
          <t>june_trough</t>
        </is>
      </c>
      <c r="B174" s="11" t="n">
        <v>44729</v>
      </c>
      <c r="C174" s="7" t="inlineStr">
        <is>
          <t>zorba</t>
        </is>
      </c>
      <c r="D174" s="7" t="inlineStr">
        <is>
          <t>JEA_NSA</t>
        </is>
      </c>
      <c r="E174" s="20" t="n">
        <v>-15</v>
      </c>
      <c r="F174" s="7" t="n">
        <v>82</v>
      </c>
      <c r="G174" s="17" t="b">
        <v>0</v>
      </c>
      <c r="H174" s="8">
        <f>1+$E174/100</f>
        <v/>
      </c>
      <c r="I174" s="8">
        <f>$F174/Parity!$H$144</f>
        <v/>
      </c>
      <c r="J174" s="16">
        <f>Parity!$F$144*$H174</f>
        <v/>
      </c>
      <c r="K174" s="8">
        <f>Parity!$I$144*$I174</f>
        <v/>
      </c>
      <c r="L174" s="8">
        <f>Parity!$J$144*$I174</f>
        <v/>
      </c>
      <c r="M174" s="16">
        <f>(Market_Weekly!$K$29-mcx_domestic_premium_inr_kg)*$H174*$I174+mcx_domestic_premium_inr_kg</f>
        <v/>
      </c>
      <c r="N174" s="15">
        <f>Parity!$N$144/Market_Weekly!$K$29</f>
        <v/>
      </c>
      <c r="O174" s="16">
        <f>$M174*$N174</f>
        <v/>
      </c>
      <c r="P174" s="18">
        <f>Parity!$AY$144</f>
        <v/>
      </c>
      <c r="Q174" s="16">
        <f>$J174*Parity!$P$144</f>
        <v/>
      </c>
      <c r="R174" s="16">
        <f>Parity!$L$144*Parity!$AG$144</f>
        <v/>
      </c>
      <c r="S174" s="16">
        <f>$Q174-$R174</f>
        <v/>
      </c>
      <c r="T174" s="16">
        <f>insurance_rate*insured_value_uplift*$Q174</f>
        <v/>
      </c>
      <c r="U174" s="16">
        <f>$Q174+$T174</f>
        <v/>
      </c>
      <c r="V174" s="18">
        <f>$U174*$L174</f>
        <v/>
      </c>
      <c r="W174" s="18">
        <f>$U174*$K174</f>
        <v/>
      </c>
      <c r="X174" s="18">
        <f>$V174*bcd_scrap_hs7602</f>
        <v/>
      </c>
      <c r="Y174" s="18">
        <f>$X174*sws_rate_on_bcd</f>
        <v/>
      </c>
      <c r="Z174" s="18">
        <f>($V174+$X174+$Y174)*igst_rate_hs7602</f>
        <v/>
      </c>
      <c r="AA174" s="18">
        <f>Parity!$X$144*Parity!$AG$144+IF(Parity!$Y$144,psic_cost_usd_per_box*$F174/Parity!$W$144,0)</f>
        <v/>
      </c>
      <c r="AB174" s="18">
        <f>($W174+$X174+$Y174)*Parity!$Z$144/day_count_inr*Parity!$O$144</f>
        <v/>
      </c>
      <c r="AC174" s="18">
        <f>$Z174*igst_credit_lag_days/day_count_inr*Parity!$O$144</f>
        <v/>
      </c>
      <c r="AD174" s="18">
        <f>$W174+$X174+$Y174+$AA174+$AB174+$AC174+IF(igst_itc_available,0,$Z174)</f>
        <v/>
      </c>
      <c r="AE174" s="18">
        <f>$O174*kg_per_mt+domestic_anchor_premium_inr_t</f>
        <v/>
      </c>
      <c r="AF174" s="18">
        <f>(1-Parity!$AA$144)*Parity!$AD$144*heavies_net_value_frac_of_lme_al*$J174*$F174</f>
        <v/>
      </c>
      <c r="AG174" s="18">
        <f>$AE174*Parity!$AU$144+$AF174-$AD174-Parity!$AX$144</f>
        <v/>
      </c>
      <c r="AH174" s="8">
        <f>$AG174&gt;margin_threshold_inr_t</f>
        <v/>
      </c>
      <c r="AI174" s="18">
        <f>($AG174-$P174)*grid_tonnes_mt</f>
        <v/>
      </c>
    </row>
    <row r="175">
      <c r="A175" s="7" t="inlineStr">
        <is>
          <t>june_trough</t>
        </is>
      </c>
      <c r="B175" s="11" t="n">
        <v>44729</v>
      </c>
      <c r="C175" s="7" t="inlineStr">
        <is>
          <t>zorba</t>
        </is>
      </c>
      <c r="D175" s="7" t="inlineStr">
        <is>
          <t>JEA_NSA</t>
        </is>
      </c>
      <c r="E175" s="20" t="n">
        <v>-10</v>
      </c>
      <c r="F175" s="7" t="n">
        <v>82</v>
      </c>
      <c r="G175" s="17" t="b">
        <v>0</v>
      </c>
      <c r="H175" s="8">
        <f>1+$E175/100</f>
        <v/>
      </c>
      <c r="I175" s="8">
        <f>$F175/Parity!$H$144</f>
        <v/>
      </c>
      <c r="J175" s="16">
        <f>Parity!$F$144*$H175</f>
        <v/>
      </c>
      <c r="K175" s="8">
        <f>Parity!$I$144*$I175</f>
        <v/>
      </c>
      <c r="L175" s="8">
        <f>Parity!$J$144*$I175</f>
        <v/>
      </c>
      <c r="M175" s="16">
        <f>(Market_Weekly!$K$29-mcx_domestic_premium_inr_kg)*$H175*$I175+mcx_domestic_premium_inr_kg</f>
        <v/>
      </c>
      <c r="N175" s="15">
        <f>Parity!$N$144/Market_Weekly!$K$29</f>
        <v/>
      </c>
      <c r="O175" s="16">
        <f>$M175*$N175</f>
        <v/>
      </c>
      <c r="P175" s="18">
        <f>Parity!$AY$144</f>
        <v/>
      </c>
      <c r="Q175" s="16">
        <f>$J175*Parity!$P$144</f>
        <v/>
      </c>
      <c r="R175" s="16">
        <f>Parity!$L$144*Parity!$AG$144</f>
        <v/>
      </c>
      <c r="S175" s="16">
        <f>$Q175-$R175</f>
        <v/>
      </c>
      <c r="T175" s="16">
        <f>insurance_rate*insured_value_uplift*$Q175</f>
        <v/>
      </c>
      <c r="U175" s="16">
        <f>$Q175+$T175</f>
        <v/>
      </c>
      <c r="V175" s="18">
        <f>$U175*$L175</f>
        <v/>
      </c>
      <c r="W175" s="18">
        <f>$U175*$K175</f>
        <v/>
      </c>
      <c r="X175" s="18">
        <f>$V175*bcd_scrap_hs7602</f>
        <v/>
      </c>
      <c r="Y175" s="18">
        <f>$X175*sws_rate_on_bcd</f>
        <v/>
      </c>
      <c r="Z175" s="18">
        <f>($V175+$X175+$Y175)*igst_rate_hs7602</f>
        <v/>
      </c>
      <c r="AA175" s="18">
        <f>Parity!$X$144*Parity!$AG$144+IF(Parity!$Y$144,psic_cost_usd_per_box*$F175/Parity!$W$144,0)</f>
        <v/>
      </c>
      <c r="AB175" s="18">
        <f>($W175+$X175+$Y175)*Parity!$Z$144/day_count_inr*Parity!$O$144</f>
        <v/>
      </c>
      <c r="AC175" s="18">
        <f>$Z175*igst_credit_lag_days/day_count_inr*Parity!$O$144</f>
        <v/>
      </c>
      <c r="AD175" s="18">
        <f>$W175+$X175+$Y175+$AA175+$AB175+$AC175+IF(igst_itc_available,0,$Z175)</f>
        <v/>
      </c>
      <c r="AE175" s="18">
        <f>$O175*kg_per_mt+domestic_anchor_premium_inr_t</f>
        <v/>
      </c>
      <c r="AF175" s="18">
        <f>(1-Parity!$AA$144)*Parity!$AD$144*heavies_net_value_frac_of_lme_al*$J175*$F175</f>
        <v/>
      </c>
      <c r="AG175" s="18">
        <f>$AE175*Parity!$AU$144+$AF175-$AD175-Parity!$AX$144</f>
        <v/>
      </c>
      <c r="AH175" s="8">
        <f>$AG175&gt;margin_threshold_inr_t</f>
        <v/>
      </c>
      <c r="AI175" s="18">
        <f>($AG175-$P175)*grid_tonnes_mt</f>
        <v/>
      </c>
    </row>
    <row r="176">
      <c r="A176" s="7" t="inlineStr">
        <is>
          <t>june_trough</t>
        </is>
      </c>
      <c r="B176" s="11" t="n">
        <v>44729</v>
      </c>
      <c r="C176" s="7" t="inlineStr">
        <is>
          <t>zorba</t>
        </is>
      </c>
      <c r="D176" s="7" t="inlineStr">
        <is>
          <t>JEA_NSA</t>
        </is>
      </c>
      <c r="E176" s="20" t="n">
        <v>-5</v>
      </c>
      <c r="F176" s="7" t="n">
        <v>82</v>
      </c>
      <c r="G176" s="17" t="b">
        <v>0</v>
      </c>
      <c r="H176" s="8">
        <f>1+$E176/100</f>
        <v/>
      </c>
      <c r="I176" s="8">
        <f>$F176/Parity!$H$144</f>
        <v/>
      </c>
      <c r="J176" s="16">
        <f>Parity!$F$144*$H176</f>
        <v/>
      </c>
      <c r="K176" s="8">
        <f>Parity!$I$144*$I176</f>
        <v/>
      </c>
      <c r="L176" s="8">
        <f>Parity!$J$144*$I176</f>
        <v/>
      </c>
      <c r="M176" s="16">
        <f>(Market_Weekly!$K$29-mcx_domestic_premium_inr_kg)*$H176*$I176+mcx_domestic_premium_inr_kg</f>
        <v/>
      </c>
      <c r="N176" s="15">
        <f>Parity!$N$144/Market_Weekly!$K$29</f>
        <v/>
      </c>
      <c r="O176" s="16">
        <f>$M176*$N176</f>
        <v/>
      </c>
      <c r="P176" s="18">
        <f>Parity!$AY$144</f>
        <v/>
      </c>
      <c r="Q176" s="16">
        <f>$J176*Parity!$P$144</f>
        <v/>
      </c>
      <c r="R176" s="16">
        <f>Parity!$L$144*Parity!$AG$144</f>
        <v/>
      </c>
      <c r="S176" s="16">
        <f>$Q176-$R176</f>
        <v/>
      </c>
      <c r="T176" s="16">
        <f>insurance_rate*insured_value_uplift*$Q176</f>
        <v/>
      </c>
      <c r="U176" s="16">
        <f>$Q176+$T176</f>
        <v/>
      </c>
      <c r="V176" s="18">
        <f>$U176*$L176</f>
        <v/>
      </c>
      <c r="W176" s="18">
        <f>$U176*$K176</f>
        <v/>
      </c>
      <c r="X176" s="18">
        <f>$V176*bcd_scrap_hs7602</f>
        <v/>
      </c>
      <c r="Y176" s="18">
        <f>$X176*sws_rate_on_bcd</f>
        <v/>
      </c>
      <c r="Z176" s="18">
        <f>($V176+$X176+$Y176)*igst_rate_hs7602</f>
        <v/>
      </c>
      <c r="AA176" s="18">
        <f>Parity!$X$144*Parity!$AG$144+IF(Parity!$Y$144,psic_cost_usd_per_box*$F176/Parity!$W$144,0)</f>
        <v/>
      </c>
      <c r="AB176" s="18">
        <f>($W176+$X176+$Y176)*Parity!$Z$144/day_count_inr*Parity!$O$144</f>
        <v/>
      </c>
      <c r="AC176" s="18">
        <f>$Z176*igst_credit_lag_days/day_count_inr*Parity!$O$144</f>
        <v/>
      </c>
      <c r="AD176" s="18">
        <f>$W176+$X176+$Y176+$AA176+$AB176+$AC176+IF(igst_itc_available,0,$Z176)</f>
        <v/>
      </c>
      <c r="AE176" s="18">
        <f>$O176*kg_per_mt+domestic_anchor_premium_inr_t</f>
        <v/>
      </c>
      <c r="AF176" s="18">
        <f>(1-Parity!$AA$144)*Parity!$AD$144*heavies_net_value_frac_of_lme_al*$J176*$F176</f>
        <v/>
      </c>
      <c r="AG176" s="18">
        <f>$AE176*Parity!$AU$144+$AF176-$AD176-Parity!$AX$144</f>
        <v/>
      </c>
      <c r="AH176" s="8">
        <f>$AG176&gt;margin_threshold_inr_t</f>
        <v/>
      </c>
      <c r="AI176" s="18">
        <f>($AG176-$P176)*grid_tonnes_mt</f>
        <v/>
      </c>
    </row>
    <row r="177">
      <c r="A177" s="7" t="inlineStr">
        <is>
          <t>june_trough</t>
        </is>
      </c>
      <c r="B177" s="11" t="n">
        <v>44729</v>
      </c>
      <c r="C177" s="7" t="inlineStr">
        <is>
          <t>zorba</t>
        </is>
      </c>
      <c r="D177" s="7" t="inlineStr">
        <is>
          <t>JEA_NSA</t>
        </is>
      </c>
      <c r="E177" s="20" t="n">
        <v>0</v>
      </c>
      <c r="F177" s="7" t="n">
        <v>82</v>
      </c>
      <c r="G177" s="17" t="b">
        <v>0</v>
      </c>
      <c r="H177" s="8">
        <f>1+$E177/100</f>
        <v/>
      </c>
      <c r="I177" s="8">
        <f>$F177/Parity!$H$144</f>
        <v/>
      </c>
      <c r="J177" s="16">
        <f>Parity!$F$144*$H177</f>
        <v/>
      </c>
      <c r="K177" s="8">
        <f>Parity!$I$144*$I177</f>
        <v/>
      </c>
      <c r="L177" s="8">
        <f>Parity!$J$144*$I177</f>
        <v/>
      </c>
      <c r="M177" s="16">
        <f>(Market_Weekly!$K$29-mcx_domestic_premium_inr_kg)*$H177*$I177+mcx_domestic_premium_inr_kg</f>
        <v/>
      </c>
      <c r="N177" s="15">
        <f>Parity!$N$144/Market_Weekly!$K$29</f>
        <v/>
      </c>
      <c r="O177" s="16">
        <f>$M177*$N177</f>
        <v/>
      </c>
      <c r="P177" s="18">
        <f>Parity!$AY$144</f>
        <v/>
      </c>
      <c r="Q177" s="16">
        <f>$J177*Parity!$P$144</f>
        <v/>
      </c>
      <c r="R177" s="16">
        <f>Parity!$L$144*Parity!$AG$144</f>
        <v/>
      </c>
      <c r="S177" s="16">
        <f>$Q177-$R177</f>
        <v/>
      </c>
      <c r="T177" s="16">
        <f>insurance_rate*insured_value_uplift*$Q177</f>
        <v/>
      </c>
      <c r="U177" s="16">
        <f>$Q177+$T177</f>
        <v/>
      </c>
      <c r="V177" s="18">
        <f>$U177*$L177</f>
        <v/>
      </c>
      <c r="W177" s="18">
        <f>$U177*$K177</f>
        <v/>
      </c>
      <c r="X177" s="18">
        <f>$V177*bcd_scrap_hs7602</f>
        <v/>
      </c>
      <c r="Y177" s="18">
        <f>$X177*sws_rate_on_bcd</f>
        <v/>
      </c>
      <c r="Z177" s="18">
        <f>($V177+$X177+$Y177)*igst_rate_hs7602</f>
        <v/>
      </c>
      <c r="AA177" s="18">
        <f>Parity!$X$144*Parity!$AG$144+IF(Parity!$Y$144,psic_cost_usd_per_box*$F177/Parity!$W$144,0)</f>
        <v/>
      </c>
      <c r="AB177" s="18">
        <f>($W177+$X177+$Y177)*Parity!$Z$144/day_count_inr*Parity!$O$144</f>
        <v/>
      </c>
      <c r="AC177" s="18">
        <f>$Z177*igst_credit_lag_days/day_count_inr*Parity!$O$144</f>
        <v/>
      </c>
      <c r="AD177" s="18">
        <f>$W177+$X177+$Y177+$AA177+$AB177+$AC177+IF(igst_itc_available,0,$Z177)</f>
        <v/>
      </c>
      <c r="AE177" s="18">
        <f>$O177*kg_per_mt+domestic_anchor_premium_inr_t</f>
        <v/>
      </c>
      <c r="AF177" s="18">
        <f>(1-Parity!$AA$144)*Parity!$AD$144*heavies_net_value_frac_of_lme_al*$J177*$F177</f>
        <v/>
      </c>
      <c r="AG177" s="18">
        <f>$AE177*Parity!$AU$144+$AF177-$AD177-Parity!$AX$144</f>
        <v/>
      </c>
      <c r="AH177" s="8">
        <f>$AG177&gt;margin_threshold_inr_t</f>
        <v/>
      </c>
      <c r="AI177" s="18">
        <f>($AG177-$P177)*grid_tonnes_mt</f>
        <v/>
      </c>
    </row>
    <row r="178">
      <c r="A178" s="7" t="inlineStr">
        <is>
          <t>june_trough</t>
        </is>
      </c>
      <c r="B178" s="11" t="n">
        <v>44729</v>
      </c>
      <c r="C178" s="7" t="inlineStr">
        <is>
          <t>zorba</t>
        </is>
      </c>
      <c r="D178" s="7" t="inlineStr">
        <is>
          <t>JEA_NSA</t>
        </is>
      </c>
      <c r="E178" s="20" t="n">
        <v>5</v>
      </c>
      <c r="F178" s="7" t="n">
        <v>82</v>
      </c>
      <c r="G178" s="17" t="b">
        <v>0</v>
      </c>
      <c r="H178" s="8">
        <f>1+$E178/100</f>
        <v/>
      </c>
      <c r="I178" s="8">
        <f>$F178/Parity!$H$144</f>
        <v/>
      </c>
      <c r="J178" s="16">
        <f>Parity!$F$144*$H178</f>
        <v/>
      </c>
      <c r="K178" s="8">
        <f>Parity!$I$144*$I178</f>
        <v/>
      </c>
      <c r="L178" s="8">
        <f>Parity!$J$144*$I178</f>
        <v/>
      </c>
      <c r="M178" s="16">
        <f>(Market_Weekly!$K$29-mcx_domestic_premium_inr_kg)*$H178*$I178+mcx_domestic_premium_inr_kg</f>
        <v/>
      </c>
      <c r="N178" s="15">
        <f>Parity!$N$144/Market_Weekly!$K$29</f>
        <v/>
      </c>
      <c r="O178" s="16">
        <f>$M178*$N178</f>
        <v/>
      </c>
      <c r="P178" s="18">
        <f>Parity!$AY$144</f>
        <v/>
      </c>
      <c r="Q178" s="16">
        <f>$J178*Parity!$P$144</f>
        <v/>
      </c>
      <c r="R178" s="16">
        <f>Parity!$L$144*Parity!$AG$144</f>
        <v/>
      </c>
      <c r="S178" s="16">
        <f>$Q178-$R178</f>
        <v/>
      </c>
      <c r="T178" s="16">
        <f>insurance_rate*insured_value_uplift*$Q178</f>
        <v/>
      </c>
      <c r="U178" s="16">
        <f>$Q178+$T178</f>
        <v/>
      </c>
      <c r="V178" s="18">
        <f>$U178*$L178</f>
        <v/>
      </c>
      <c r="W178" s="18">
        <f>$U178*$K178</f>
        <v/>
      </c>
      <c r="X178" s="18">
        <f>$V178*bcd_scrap_hs7602</f>
        <v/>
      </c>
      <c r="Y178" s="18">
        <f>$X178*sws_rate_on_bcd</f>
        <v/>
      </c>
      <c r="Z178" s="18">
        <f>($V178+$X178+$Y178)*igst_rate_hs7602</f>
        <v/>
      </c>
      <c r="AA178" s="18">
        <f>Parity!$X$144*Parity!$AG$144+IF(Parity!$Y$144,psic_cost_usd_per_box*$F178/Parity!$W$144,0)</f>
        <v/>
      </c>
      <c r="AB178" s="18">
        <f>($W178+$X178+$Y178)*Parity!$Z$144/day_count_inr*Parity!$O$144</f>
        <v/>
      </c>
      <c r="AC178" s="18">
        <f>$Z178*igst_credit_lag_days/day_count_inr*Parity!$O$144</f>
        <v/>
      </c>
      <c r="AD178" s="18">
        <f>$W178+$X178+$Y178+$AA178+$AB178+$AC178+IF(igst_itc_available,0,$Z178)</f>
        <v/>
      </c>
      <c r="AE178" s="18">
        <f>$O178*kg_per_mt+domestic_anchor_premium_inr_t</f>
        <v/>
      </c>
      <c r="AF178" s="18">
        <f>(1-Parity!$AA$144)*Parity!$AD$144*heavies_net_value_frac_of_lme_al*$J178*$F178</f>
        <v/>
      </c>
      <c r="AG178" s="18">
        <f>$AE178*Parity!$AU$144+$AF178-$AD178-Parity!$AX$144</f>
        <v/>
      </c>
      <c r="AH178" s="8">
        <f>$AG178&gt;margin_threshold_inr_t</f>
        <v/>
      </c>
      <c r="AI178" s="18">
        <f>($AG178-$P178)*grid_tonnes_mt</f>
        <v/>
      </c>
    </row>
    <row r="179">
      <c r="A179" s="7" t="inlineStr">
        <is>
          <t>june_trough</t>
        </is>
      </c>
      <c r="B179" s="11" t="n">
        <v>44729</v>
      </c>
      <c r="C179" s="7" t="inlineStr">
        <is>
          <t>zorba</t>
        </is>
      </c>
      <c r="D179" s="7" t="inlineStr">
        <is>
          <t>JEA_NSA</t>
        </is>
      </c>
      <c r="E179" s="20" t="n">
        <v>10</v>
      </c>
      <c r="F179" s="7" t="n">
        <v>82</v>
      </c>
      <c r="G179" s="17" t="b">
        <v>0</v>
      </c>
      <c r="H179" s="8">
        <f>1+$E179/100</f>
        <v/>
      </c>
      <c r="I179" s="8">
        <f>$F179/Parity!$H$144</f>
        <v/>
      </c>
      <c r="J179" s="16">
        <f>Parity!$F$144*$H179</f>
        <v/>
      </c>
      <c r="K179" s="8">
        <f>Parity!$I$144*$I179</f>
        <v/>
      </c>
      <c r="L179" s="8">
        <f>Parity!$J$144*$I179</f>
        <v/>
      </c>
      <c r="M179" s="16">
        <f>(Market_Weekly!$K$29-mcx_domestic_premium_inr_kg)*$H179*$I179+mcx_domestic_premium_inr_kg</f>
        <v/>
      </c>
      <c r="N179" s="15">
        <f>Parity!$N$144/Market_Weekly!$K$29</f>
        <v/>
      </c>
      <c r="O179" s="16">
        <f>$M179*$N179</f>
        <v/>
      </c>
      <c r="P179" s="18">
        <f>Parity!$AY$144</f>
        <v/>
      </c>
      <c r="Q179" s="16">
        <f>$J179*Parity!$P$144</f>
        <v/>
      </c>
      <c r="R179" s="16">
        <f>Parity!$L$144*Parity!$AG$144</f>
        <v/>
      </c>
      <c r="S179" s="16">
        <f>$Q179-$R179</f>
        <v/>
      </c>
      <c r="T179" s="16">
        <f>insurance_rate*insured_value_uplift*$Q179</f>
        <v/>
      </c>
      <c r="U179" s="16">
        <f>$Q179+$T179</f>
        <v/>
      </c>
      <c r="V179" s="18">
        <f>$U179*$L179</f>
        <v/>
      </c>
      <c r="W179" s="18">
        <f>$U179*$K179</f>
        <v/>
      </c>
      <c r="X179" s="18">
        <f>$V179*bcd_scrap_hs7602</f>
        <v/>
      </c>
      <c r="Y179" s="18">
        <f>$X179*sws_rate_on_bcd</f>
        <v/>
      </c>
      <c r="Z179" s="18">
        <f>($V179+$X179+$Y179)*igst_rate_hs7602</f>
        <v/>
      </c>
      <c r="AA179" s="18">
        <f>Parity!$X$144*Parity!$AG$144+IF(Parity!$Y$144,psic_cost_usd_per_box*$F179/Parity!$W$144,0)</f>
        <v/>
      </c>
      <c r="AB179" s="18">
        <f>($W179+$X179+$Y179)*Parity!$Z$144/day_count_inr*Parity!$O$144</f>
        <v/>
      </c>
      <c r="AC179" s="18">
        <f>$Z179*igst_credit_lag_days/day_count_inr*Parity!$O$144</f>
        <v/>
      </c>
      <c r="AD179" s="18">
        <f>$W179+$X179+$Y179+$AA179+$AB179+$AC179+IF(igst_itc_available,0,$Z179)</f>
        <v/>
      </c>
      <c r="AE179" s="18">
        <f>$O179*kg_per_mt+domestic_anchor_premium_inr_t</f>
        <v/>
      </c>
      <c r="AF179" s="18">
        <f>(1-Parity!$AA$144)*Parity!$AD$144*heavies_net_value_frac_of_lme_al*$J179*$F179</f>
        <v/>
      </c>
      <c r="AG179" s="18">
        <f>$AE179*Parity!$AU$144+$AF179-$AD179-Parity!$AX$144</f>
        <v/>
      </c>
      <c r="AH179" s="8">
        <f>$AG179&gt;margin_threshold_inr_t</f>
        <v/>
      </c>
      <c r="AI179" s="18">
        <f>($AG179-$P179)*grid_tonnes_mt</f>
        <v/>
      </c>
    </row>
    <row r="180">
      <c r="A180" s="7" t="inlineStr">
        <is>
          <t>june_trough</t>
        </is>
      </c>
      <c r="B180" s="11" t="n">
        <v>44729</v>
      </c>
      <c r="C180" s="7" t="inlineStr">
        <is>
          <t>zorba</t>
        </is>
      </c>
      <c r="D180" s="7" t="inlineStr">
        <is>
          <t>JEA_NSA</t>
        </is>
      </c>
      <c r="E180" s="20" t="n">
        <v>-30</v>
      </c>
      <c r="F180" s="7" t="n">
        <v>78.0765</v>
      </c>
      <c r="G180" s="17" t="b">
        <v>1</v>
      </c>
      <c r="H180" s="8">
        <f>1+$E180/100</f>
        <v/>
      </c>
      <c r="I180" s="8">
        <f>$F180/Parity!$H$144</f>
        <v/>
      </c>
      <c r="J180" s="16">
        <f>Parity!$F$144*$H180</f>
        <v/>
      </c>
      <c r="K180" s="8">
        <f>Parity!$I$144*$I180</f>
        <v/>
      </c>
      <c r="L180" s="8">
        <f>Parity!$J$144*$I180</f>
        <v/>
      </c>
      <c r="M180" s="16">
        <f>(Market_Weekly!$K$29-mcx_domestic_premium_inr_kg)*$H180*$I180+mcx_domestic_premium_inr_kg</f>
        <v/>
      </c>
      <c r="N180" s="15">
        <f>Parity!$N$144/Market_Weekly!$K$29</f>
        <v/>
      </c>
      <c r="O180" s="16">
        <f>$M180*$N180</f>
        <v/>
      </c>
      <c r="P180" s="18">
        <f>Parity!$AY$144</f>
        <v/>
      </c>
      <c r="Q180" s="16">
        <f>$J180*Parity!$P$144</f>
        <v/>
      </c>
      <c r="R180" s="16">
        <f>Parity!$L$144*Parity!$AG$144</f>
        <v/>
      </c>
      <c r="S180" s="16">
        <f>$Q180-$R180</f>
        <v/>
      </c>
      <c r="T180" s="16">
        <f>insurance_rate*insured_value_uplift*$Q180</f>
        <v/>
      </c>
      <c r="U180" s="16">
        <f>$Q180+$T180</f>
        <v/>
      </c>
      <c r="V180" s="18">
        <f>$U180*$L180</f>
        <v/>
      </c>
      <c r="W180" s="18">
        <f>$U180*$K180</f>
        <v/>
      </c>
      <c r="X180" s="18">
        <f>$V180*bcd_scrap_hs7602</f>
        <v/>
      </c>
      <c r="Y180" s="18">
        <f>$X180*sws_rate_on_bcd</f>
        <v/>
      </c>
      <c r="Z180" s="18">
        <f>($V180+$X180+$Y180)*igst_rate_hs7602</f>
        <v/>
      </c>
      <c r="AA180" s="18">
        <f>Parity!$X$144*Parity!$AG$144+IF(Parity!$Y$144,psic_cost_usd_per_box*$F180/Parity!$W$144,0)</f>
        <v/>
      </c>
      <c r="AB180" s="18">
        <f>($W180+$X180+$Y180)*Parity!$Z$144/day_count_inr*Parity!$O$144</f>
        <v/>
      </c>
      <c r="AC180" s="18">
        <f>$Z180*igst_credit_lag_days/day_count_inr*Parity!$O$144</f>
        <v/>
      </c>
      <c r="AD180" s="18">
        <f>$W180+$X180+$Y180+$AA180+$AB180+$AC180+IF(igst_itc_available,0,$Z180)</f>
        <v/>
      </c>
      <c r="AE180" s="18">
        <f>$O180*kg_per_mt+domestic_anchor_premium_inr_t</f>
        <v/>
      </c>
      <c r="AF180" s="18">
        <f>(1-Parity!$AA$144)*Parity!$AD$144*heavies_net_value_frac_of_lme_al*$J180*$F180</f>
        <v/>
      </c>
      <c r="AG180" s="18">
        <f>$AE180*Parity!$AU$144+$AF180-$AD180-Parity!$AX$144</f>
        <v/>
      </c>
      <c r="AH180" s="8">
        <f>$AG180&gt;margin_threshold_inr_t</f>
        <v/>
      </c>
      <c r="AI180" s="18">
        <f>($AG180-$P180)*grid_tonnes_mt</f>
        <v/>
      </c>
    </row>
    <row r="181">
      <c r="A181" s="7" t="inlineStr">
        <is>
          <t>june_trough</t>
        </is>
      </c>
      <c r="B181" s="11" t="n">
        <v>44729</v>
      </c>
      <c r="C181" s="7" t="inlineStr">
        <is>
          <t>zorba</t>
        </is>
      </c>
      <c r="D181" s="7" t="inlineStr">
        <is>
          <t>JEA_NSA</t>
        </is>
      </c>
      <c r="E181" s="20" t="n">
        <v>-25</v>
      </c>
      <c r="F181" s="7" t="n">
        <v>78.0765</v>
      </c>
      <c r="G181" s="17" t="b">
        <v>1</v>
      </c>
      <c r="H181" s="8">
        <f>1+$E181/100</f>
        <v/>
      </c>
      <c r="I181" s="8">
        <f>$F181/Parity!$H$144</f>
        <v/>
      </c>
      <c r="J181" s="16">
        <f>Parity!$F$144*$H181</f>
        <v/>
      </c>
      <c r="K181" s="8">
        <f>Parity!$I$144*$I181</f>
        <v/>
      </c>
      <c r="L181" s="8">
        <f>Parity!$J$144*$I181</f>
        <v/>
      </c>
      <c r="M181" s="16">
        <f>(Market_Weekly!$K$29-mcx_domestic_premium_inr_kg)*$H181*$I181+mcx_domestic_premium_inr_kg</f>
        <v/>
      </c>
      <c r="N181" s="15">
        <f>Parity!$N$144/Market_Weekly!$K$29</f>
        <v/>
      </c>
      <c r="O181" s="16">
        <f>$M181*$N181</f>
        <v/>
      </c>
      <c r="P181" s="18">
        <f>Parity!$AY$144</f>
        <v/>
      </c>
      <c r="Q181" s="16">
        <f>$J181*Parity!$P$144</f>
        <v/>
      </c>
      <c r="R181" s="16">
        <f>Parity!$L$144*Parity!$AG$144</f>
        <v/>
      </c>
      <c r="S181" s="16">
        <f>$Q181-$R181</f>
        <v/>
      </c>
      <c r="T181" s="16">
        <f>insurance_rate*insured_value_uplift*$Q181</f>
        <v/>
      </c>
      <c r="U181" s="16">
        <f>$Q181+$T181</f>
        <v/>
      </c>
      <c r="V181" s="18">
        <f>$U181*$L181</f>
        <v/>
      </c>
      <c r="W181" s="18">
        <f>$U181*$K181</f>
        <v/>
      </c>
      <c r="X181" s="18">
        <f>$V181*bcd_scrap_hs7602</f>
        <v/>
      </c>
      <c r="Y181" s="18">
        <f>$X181*sws_rate_on_bcd</f>
        <v/>
      </c>
      <c r="Z181" s="18">
        <f>($V181+$X181+$Y181)*igst_rate_hs7602</f>
        <v/>
      </c>
      <c r="AA181" s="18">
        <f>Parity!$X$144*Parity!$AG$144+IF(Parity!$Y$144,psic_cost_usd_per_box*$F181/Parity!$W$144,0)</f>
        <v/>
      </c>
      <c r="AB181" s="18">
        <f>($W181+$X181+$Y181)*Parity!$Z$144/day_count_inr*Parity!$O$144</f>
        <v/>
      </c>
      <c r="AC181" s="18">
        <f>$Z181*igst_credit_lag_days/day_count_inr*Parity!$O$144</f>
        <v/>
      </c>
      <c r="AD181" s="18">
        <f>$W181+$X181+$Y181+$AA181+$AB181+$AC181+IF(igst_itc_available,0,$Z181)</f>
        <v/>
      </c>
      <c r="AE181" s="18">
        <f>$O181*kg_per_mt+domestic_anchor_premium_inr_t</f>
        <v/>
      </c>
      <c r="AF181" s="18">
        <f>(1-Parity!$AA$144)*Parity!$AD$144*heavies_net_value_frac_of_lme_al*$J181*$F181</f>
        <v/>
      </c>
      <c r="AG181" s="18">
        <f>$AE181*Parity!$AU$144+$AF181-$AD181-Parity!$AX$144</f>
        <v/>
      </c>
      <c r="AH181" s="8">
        <f>$AG181&gt;margin_threshold_inr_t</f>
        <v/>
      </c>
      <c r="AI181" s="18">
        <f>($AG181-$P181)*grid_tonnes_mt</f>
        <v/>
      </c>
    </row>
    <row r="182">
      <c r="A182" s="7" t="inlineStr">
        <is>
          <t>june_trough</t>
        </is>
      </c>
      <c r="B182" s="11" t="n">
        <v>44729</v>
      </c>
      <c r="C182" s="7" t="inlineStr">
        <is>
          <t>zorba</t>
        </is>
      </c>
      <c r="D182" s="7" t="inlineStr">
        <is>
          <t>JEA_NSA</t>
        </is>
      </c>
      <c r="E182" s="20" t="n">
        <v>-20</v>
      </c>
      <c r="F182" s="7" t="n">
        <v>78.0765</v>
      </c>
      <c r="G182" s="17" t="b">
        <v>1</v>
      </c>
      <c r="H182" s="8">
        <f>1+$E182/100</f>
        <v/>
      </c>
      <c r="I182" s="8">
        <f>$F182/Parity!$H$144</f>
        <v/>
      </c>
      <c r="J182" s="16">
        <f>Parity!$F$144*$H182</f>
        <v/>
      </c>
      <c r="K182" s="8">
        <f>Parity!$I$144*$I182</f>
        <v/>
      </c>
      <c r="L182" s="8">
        <f>Parity!$J$144*$I182</f>
        <v/>
      </c>
      <c r="M182" s="16">
        <f>(Market_Weekly!$K$29-mcx_domestic_premium_inr_kg)*$H182*$I182+mcx_domestic_premium_inr_kg</f>
        <v/>
      </c>
      <c r="N182" s="15">
        <f>Parity!$N$144/Market_Weekly!$K$29</f>
        <v/>
      </c>
      <c r="O182" s="16">
        <f>$M182*$N182</f>
        <v/>
      </c>
      <c r="P182" s="18">
        <f>Parity!$AY$144</f>
        <v/>
      </c>
      <c r="Q182" s="16">
        <f>$J182*Parity!$P$144</f>
        <v/>
      </c>
      <c r="R182" s="16">
        <f>Parity!$L$144*Parity!$AG$144</f>
        <v/>
      </c>
      <c r="S182" s="16">
        <f>$Q182-$R182</f>
        <v/>
      </c>
      <c r="T182" s="16">
        <f>insurance_rate*insured_value_uplift*$Q182</f>
        <v/>
      </c>
      <c r="U182" s="16">
        <f>$Q182+$T182</f>
        <v/>
      </c>
      <c r="V182" s="18">
        <f>$U182*$L182</f>
        <v/>
      </c>
      <c r="W182" s="18">
        <f>$U182*$K182</f>
        <v/>
      </c>
      <c r="X182" s="18">
        <f>$V182*bcd_scrap_hs7602</f>
        <v/>
      </c>
      <c r="Y182" s="18">
        <f>$X182*sws_rate_on_bcd</f>
        <v/>
      </c>
      <c r="Z182" s="18">
        <f>($V182+$X182+$Y182)*igst_rate_hs7602</f>
        <v/>
      </c>
      <c r="AA182" s="18">
        <f>Parity!$X$144*Parity!$AG$144+IF(Parity!$Y$144,psic_cost_usd_per_box*$F182/Parity!$W$144,0)</f>
        <v/>
      </c>
      <c r="AB182" s="18">
        <f>($W182+$X182+$Y182)*Parity!$Z$144/day_count_inr*Parity!$O$144</f>
        <v/>
      </c>
      <c r="AC182" s="18">
        <f>$Z182*igst_credit_lag_days/day_count_inr*Parity!$O$144</f>
        <v/>
      </c>
      <c r="AD182" s="18">
        <f>$W182+$X182+$Y182+$AA182+$AB182+$AC182+IF(igst_itc_available,0,$Z182)</f>
        <v/>
      </c>
      <c r="AE182" s="18">
        <f>$O182*kg_per_mt+domestic_anchor_premium_inr_t</f>
        <v/>
      </c>
      <c r="AF182" s="18">
        <f>(1-Parity!$AA$144)*Parity!$AD$144*heavies_net_value_frac_of_lme_al*$J182*$F182</f>
        <v/>
      </c>
      <c r="AG182" s="18">
        <f>$AE182*Parity!$AU$144+$AF182-$AD182-Parity!$AX$144</f>
        <v/>
      </c>
      <c r="AH182" s="8">
        <f>$AG182&gt;margin_threshold_inr_t</f>
        <v/>
      </c>
      <c r="AI182" s="18">
        <f>($AG182-$P182)*grid_tonnes_mt</f>
        <v/>
      </c>
    </row>
    <row r="183">
      <c r="A183" s="7" t="inlineStr">
        <is>
          <t>june_trough</t>
        </is>
      </c>
      <c r="B183" s="11" t="n">
        <v>44729</v>
      </c>
      <c r="C183" s="7" t="inlineStr">
        <is>
          <t>zorba</t>
        </is>
      </c>
      <c r="D183" s="7" t="inlineStr">
        <is>
          <t>JEA_NSA</t>
        </is>
      </c>
      <c r="E183" s="20" t="n">
        <v>-15</v>
      </c>
      <c r="F183" s="7" t="n">
        <v>78.0765</v>
      </c>
      <c r="G183" s="17" t="b">
        <v>1</v>
      </c>
      <c r="H183" s="8">
        <f>1+$E183/100</f>
        <v/>
      </c>
      <c r="I183" s="8">
        <f>$F183/Parity!$H$144</f>
        <v/>
      </c>
      <c r="J183" s="16">
        <f>Parity!$F$144*$H183</f>
        <v/>
      </c>
      <c r="K183" s="8">
        <f>Parity!$I$144*$I183</f>
        <v/>
      </c>
      <c r="L183" s="8">
        <f>Parity!$J$144*$I183</f>
        <v/>
      </c>
      <c r="M183" s="16">
        <f>(Market_Weekly!$K$29-mcx_domestic_premium_inr_kg)*$H183*$I183+mcx_domestic_premium_inr_kg</f>
        <v/>
      </c>
      <c r="N183" s="15">
        <f>Parity!$N$144/Market_Weekly!$K$29</f>
        <v/>
      </c>
      <c r="O183" s="16">
        <f>$M183*$N183</f>
        <v/>
      </c>
      <c r="P183" s="18">
        <f>Parity!$AY$144</f>
        <v/>
      </c>
      <c r="Q183" s="16">
        <f>$J183*Parity!$P$144</f>
        <v/>
      </c>
      <c r="R183" s="16">
        <f>Parity!$L$144*Parity!$AG$144</f>
        <v/>
      </c>
      <c r="S183" s="16">
        <f>$Q183-$R183</f>
        <v/>
      </c>
      <c r="T183" s="16">
        <f>insurance_rate*insured_value_uplift*$Q183</f>
        <v/>
      </c>
      <c r="U183" s="16">
        <f>$Q183+$T183</f>
        <v/>
      </c>
      <c r="V183" s="18">
        <f>$U183*$L183</f>
        <v/>
      </c>
      <c r="W183" s="18">
        <f>$U183*$K183</f>
        <v/>
      </c>
      <c r="X183" s="18">
        <f>$V183*bcd_scrap_hs7602</f>
        <v/>
      </c>
      <c r="Y183" s="18">
        <f>$X183*sws_rate_on_bcd</f>
        <v/>
      </c>
      <c r="Z183" s="18">
        <f>($V183+$X183+$Y183)*igst_rate_hs7602</f>
        <v/>
      </c>
      <c r="AA183" s="18">
        <f>Parity!$X$144*Parity!$AG$144+IF(Parity!$Y$144,psic_cost_usd_per_box*$F183/Parity!$W$144,0)</f>
        <v/>
      </c>
      <c r="AB183" s="18">
        <f>($W183+$X183+$Y183)*Parity!$Z$144/day_count_inr*Parity!$O$144</f>
        <v/>
      </c>
      <c r="AC183" s="18">
        <f>$Z183*igst_credit_lag_days/day_count_inr*Parity!$O$144</f>
        <v/>
      </c>
      <c r="AD183" s="18">
        <f>$W183+$X183+$Y183+$AA183+$AB183+$AC183+IF(igst_itc_available,0,$Z183)</f>
        <v/>
      </c>
      <c r="AE183" s="18">
        <f>$O183*kg_per_mt+domestic_anchor_premium_inr_t</f>
        <v/>
      </c>
      <c r="AF183" s="18">
        <f>(1-Parity!$AA$144)*Parity!$AD$144*heavies_net_value_frac_of_lme_al*$J183*$F183</f>
        <v/>
      </c>
      <c r="AG183" s="18">
        <f>$AE183*Parity!$AU$144+$AF183-$AD183-Parity!$AX$144</f>
        <v/>
      </c>
      <c r="AH183" s="8">
        <f>$AG183&gt;margin_threshold_inr_t</f>
        <v/>
      </c>
      <c r="AI183" s="18">
        <f>($AG183-$P183)*grid_tonnes_mt</f>
        <v/>
      </c>
    </row>
    <row r="184">
      <c r="A184" s="7" t="inlineStr">
        <is>
          <t>june_trough</t>
        </is>
      </c>
      <c r="B184" s="11" t="n">
        <v>44729</v>
      </c>
      <c r="C184" s="7" t="inlineStr">
        <is>
          <t>zorba</t>
        </is>
      </c>
      <c r="D184" s="7" t="inlineStr">
        <is>
          <t>JEA_NSA</t>
        </is>
      </c>
      <c r="E184" s="20" t="n">
        <v>-10</v>
      </c>
      <c r="F184" s="7" t="n">
        <v>78.0765</v>
      </c>
      <c r="G184" s="17" t="b">
        <v>1</v>
      </c>
      <c r="H184" s="8">
        <f>1+$E184/100</f>
        <v/>
      </c>
      <c r="I184" s="8">
        <f>$F184/Parity!$H$144</f>
        <v/>
      </c>
      <c r="J184" s="16">
        <f>Parity!$F$144*$H184</f>
        <v/>
      </c>
      <c r="K184" s="8">
        <f>Parity!$I$144*$I184</f>
        <v/>
      </c>
      <c r="L184" s="8">
        <f>Parity!$J$144*$I184</f>
        <v/>
      </c>
      <c r="M184" s="16">
        <f>(Market_Weekly!$K$29-mcx_domestic_premium_inr_kg)*$H184*$I184+mcx_domestic_premium_inr_kg</f>
        <v/>
      </c>
      <c r="N184" s="15">
        <f>Parity!$N$144/Market_Weekly!$K$29</f>
        <v/>
      </c>
      <c r="O184" s="16">
        <f>$M184*$N184</f>
        <v/>
      </c>
      <c r="P184" s="18">
        <f>Parity!$AY$144</f>
        <v/>
      </c>
      <c r="Q184" s="16">
        <f>$J184*Parity!$P$144</f>
        <v/>
      </c>
      <c r="R184" s="16">
        <f>Parity!$L$144*Parity!$AG$144</f>
        <v/>
      </c>
      <c r="S184" s="16">
        <f>$Q184-$R184</f>
        <v/>
      </c>
      <c r="T184" s="16">
        <f>insurance_rate*insured_value_uplift*$Q184</f>
        <v/>
      </c>
      <c r="U184" s="16">
        <f>$Q184+$T184</f>
        <v/>
      </c>
      <c r="V184" s="18">
        <f>$U184*$L184</f>
        <v/>
      </c>
      <c r="W184" s="18">
        <f>$U184*$K184</f>
        <v/>
      </c>
      <c r="X184" s="18">
        <f>$V184*bcd_scrap_hs7602</f>
        <v/>
      </c>
      <c r="Y184" s="18">
        <f>$X184*sws_rate_on_bcd</f>
        <v/>
      </c>
      <c r="Z184" s="18">
        <f>($V184+$X184+$Y184)*igst_rate_hs7602</f>
        <v/>
      </c>
      <c r="AA184" s="18">
        <f>Parity!$X$144*Parity!$AG$144+IF(Parity!$Y$144,psic_cost_usd_per_box*$F184/Parity!$W$144,0)</f>
        <v/>
      </c>
      <c r="AB184" s="18">
        <f>($W184+$X184+$Y184)*Parity!$Z$144/day_count_inr*Parity!$O$144</f>
        <v/>
      </c>
      <c r="AC184" s="18">
        <f>$Z184*igst_credit_lag_days/day_count_inr*Parity!$O$144</f>
        <v/>
      </c>
      <c r="AD184" s="18">
        <f>$W184+$X184+$Y184+$AA184+$AB184+$AC184+IF(igst_itc_available,0,$Z184)</f>
        <v/>
      </c>
      <c r="AE184" s="18">
        <f>$O184*kg_per_mt+domestic_anchor_premium_inr_t</f>
        <v/>
      </c>
      <c r="AF184" s="18">
        <f>(1-Parity!$AA$144)*Parity!$AD$144*heavies_net_value_frac_of_lme_al*$J184*$F184</f>
        <v/>
      </c>
      <c r="AG184" s="18">
        <f>$AE184*Parity!$AU$144+$AF184-$AD184-Parity!$AX$144</f>
        <v/>
      </c>
      <c r="AH184" s="8">
        <f>$AG184&gt;margin_threshold_inr_t</f>
        <v/>
      </c>
      <c r="AI184" s="18">
        <f>($AG184-$P184)*grid_tonnes_mt</f>
        <v/>
      </c>
    </row>
    <row r="185">
      <c r="A185" s="7" t="inlineStr">
        <is>
          <t>june_trough</t>
        </is>
      </c>
      <c r="B185" s="11" t="n">
        <v>44729</v>
      </c>
      <c r="C185" s="7" t="inlineStr">
        <is>
          <t>zorba</t>
        </is>
      </c>
      <c r="D185" s="7" t="inlineStr">
        <is>
          <t>JEA_NSA</t>
        </is>
      </c>
      <c r="E185" s="20" t="n">
        <v>-5</v>
      </c>
      <c r="F185" s="7" t="n">
        <v>78.0765</v>
      </c>
      <c r="G185" s="17" t="b">
        <v>1</v>
      </c>
      <c r="H185" s="8">
        <f>1+$E185/100</f>
        <v/>
      </c>
      <c r="I185" s="8">
        <f>$F185/Parity!$H$144</f>
        <v/>
      </c>
      <c r="J185" s="16">
        <f>Parity!$F$144*$H185</f>
        <v/>
      </c>
      <c r="K185" s="8">
        <f>Parity!$I$144*$I185</f>
        <v/>
      </c>
      <c r="L185" s="8">
        <f>Parity!$J$144*$I185</f>
        <v/>
      </c>
      <c r="M185" s="16">
        <f>(Market_Weekly!$K$29-mcx_domestic_premium_inr_kg)*$H185*$I185+mcx_domestic_premium_inr_kg</f>
        <v/>
      </c>
      <c r="N185" s="15">
        <f>Parity!$N$144/Market_Weekly!$K$29</f>
        <v/>
      </c>
      <c r="O185" s="16">
        <f>$M185*$N185</f>
        <v/>
      </c>
      <c r="P185" s="18">
        <f>Parity!$AY$144</f>
        <v/>
      </c>
      <c r="Q185" s="16">
        <f>$J185*Parity!$P$144</f>
        <v/>
      </c>
      <c r="R185" s="16">
        <f>Parity!$L$144*Parity!$AG$144</f>
        <v/>
      </c>
      <c r="S185" s="16">
        <f>$Q185-$R185</f>
        <v/>
      </c>
      <c r="T185" s="16">
        <f>insurance_rate*insured_value_uplift*$Q185</f>
        <v/>
      </c>
      <c r="U185" s="16">
        <f>$Q185+$T185</f>
        <v/>
      </c>
      <c r="V185" s="18">
        <f>$U185*$L185</f>
        <v/>
      </c>
      <c r="W185" s="18">
        <f>$U185*$K185</f>
        <v/>
      </c>
      <c r="X185" s="18">
        <f>$V185*bcd_scrap_hs7602</f>
        <v/>
      </c>
      <c r="Y185" s="18">
        <f>$X185*sws_rate_on_bcd</f>
        <v/>
      </c>
      <c r="Z185" s="18">
        <f>($V185+$X185+$Y185)*igst_rate_hs7602</f>
        <v/>
      </c>
      <c r="AA185" s="18">
        <f>Parity!$X$144*Parity!$AG$144+IF(Parity!$Y$144,psic_cost_usd_per_box*$F185/Parity!$W$144,0)</f>
        <v/>
      </c>
      <c r="AB185" s="18">
        <f>($W185+$X185+$Y185)*Parity!$Z$144/day_count_inr*Parity!$O$144</f>
        <v/>
      </c>
      <c r="AC185" s="18">
        <f>$Z185*igst_credit_lag_days/day_count_inr*Parity!$O$144</f>
        <v/>
      </c>
      <c r="AD185" s="18">
        <f>$W185+$X185+$Y185+$AA185+$AB185+$AC185+IF(igst_itc_available,0,$Z185)</f>
        <v/>
      </c>
      <c r="AE185" s="18">
        <f>$O185*kg_per_mt+domestic_anchor_premium_inr_t</f>
        <v/>
      </c>
      <c r="AF185" s="18">
        <f>(1-Parity!$AA$144)*Parity!$AD$144*heavies_net_value_frac_of_lme_al*$J185*$F185</f>
        <v/>
      </c>
      <c r="AG185" s="18">
        <f>$AE185*Parity!$AU$144+$AF185-$AD185-Parity!$AX$144</f>
        <v/>
      </c>
      <c r="AH185" s="8">
        <f>$AG185&gt;margin_threshold_inr_t</f>
        <v/>
      </c>
      <c r="AI185" s="18">
        <f>($AG185-$P185)*grid_tonnes_mt</f>
        <v/>
      </c>
    </row>
    <row r="186">
      <c r="A186" s="7" t="inlineStr">
        <is>
          <t>june_trough</t>
        </is>
      </c>
      <c r="B186" s="11" t="n">
        <v>44729</v>
      </c>
      <c r="C186" s="7" t="inlineStr">
        <is>
          <t>zorba</t>
        </is>
      </c>
      <c r="D186" s="7" t="inlineStr">
        <is>
          <t>JEA_NSA</t>
        </is>
      </c>
      <c r="E186" s="20" t="n">
        <v>0</v>
      </c>
      <c r="F186" s="7" t="n">
        <v>78.0765</v>
      </c>
      <c r="G186" s="17" t="b">
        <v>1</v>
      </c>
      <c r="H186" s="8">
        <f>1+$E186/100</f>
        <v/>
      </c>
      <c r="I186" s="8">
        <f>$F186/Parity!$H$144</f>
        <v/>
      </c>
      <c r="J186" s="16">
        <f>Parity!$F$144*$H186</f>
        <v/>
      </c>
      <c r="K186" s="8">
        <f>Parity!$I$144*$I186</f>
        <v/>
      </c>
      <c r="L186" s="8">
        <f>Parity!$J$144*$I186</f>
        <v/>
      </c>
      <c r="M186" s="16">
        <f>(Market_Weekly!$K$29-mcx_domestic_premium_inr_kg)*$H186*$I186+mcx_domestic_premium_inr_kg</f>
        <v/>
      </c>
      <c r="N186" s="15">
        <f>Parity!$N$144/Market_Weekly!$K$29</f>
        <v/>
      </c>
      <c r="O186" s="16">
        <f>$M186*$N186</f>
        <v/>
      </c>
      <c r="P186" s="18">
        <f>Parity!$AY$144</f>
        <v/>
      </c>
      <c r="Q186" s="16">
        <f>$J186*Parity!$P$144</f>
        <v/>
      </c>
      <c r="R186" s="16">
        <f>Parity!$L$144*Parity!$AG$144</f>
        <v/>
      </c>
      <c r="S186" s="16">
        <f>$Q186-$R186</f>
        <v/>
      </c>
      <c r="T186" s="16">
        <f>insurance_rate*insured_value_uplift*$Q186</f>
        <v/>
      </c>
      <c r="U186" s="16">
        <f>$Q186+$T186</f>
        <v/>
      </c>
      <c r="V186" s="18">
        <f>$U186*$L186</f>
        <v/>
      </c>
      <c r="W186" s="18">
        <f>$U186*$K186</f>
        <v/>
      </c>
      <c r="X186" s="18">
        <f>$V186*bcd_scrap_hs7602</f>
        <v/>
      </c>
      <c r="Y186" s="18">
        <f>$X186*sws_rate_on_bcd</f>
        <v/>
      </c>
      <c r="Z186" s="18">
        <f>($V186+$X186+$Y186)*igst_rate_hs7602</f>
        <v/>
      </c>
      <c r="AA186" s="18">
        <f>Parity!$X$144*Parity!$AG$144+IF(Parity!$Y$144,psic_cost_usd_per_box*$F186/Parity!$W$144,0)</f>
        <v/>
      </c>
      <c r="AB186" s="18">
        <f>($W186+$X186+$Y186)*Parity!$Z$144/day_count_inr*Parity!$O$144</f>
        <v/>
      </c>
      <c r="AC186" s="18">
        <f>$Z186*igst_credit_lag_days/day_count_inr*Parity!$O$144</f>
        <v/>
      </c>
      <c r="AD186" s="18">
        <f>$W186+$X186+$Y186+$AA186+$AB186+$AC186+IF(igst_itc_available,0,$Z186)</f>
        <v/>
      </c>
      <c r="AE186" s="18">
        <f>$O186*kg_per_mt+domestic_anchor_premium_inr_t</f>
        <v/>
      </c>
      <c r="AF186" s="18">
        <f>(1-Parity!$AA$144)*Parity!$AD$144*heavies_net_value_frac_of_lme_al*$J186*$F186</f>
        <v/>
      </c>
      <c r="AG186" s="18">
        <f>$AE186*Parity!$AU$144+$AF186-$AD186-Parity!$AX$144</f>
        <v/>
      </c>
      <c r="AH186" s="8">
        <f>$AG186&gt;margin_threshold_inr_t</f>
        <v/>
      </c>
      <c r="AI186" s="18">
        <f>($AG186-$P186)*grid_tonnes_mt</f>
        <v/>
      </c>
    </row>
    <row r="187">
      <c r="A187" s="7" t="inlineStr">
        <is>
          <t>june_trough</t>
        </is>
      </c>
      <c r="B187" s="11" t="n">
        <v>44729</v>
      </c>
      <c r="C187" s="7" t="inlineStr">
        <is>
          <t>zorba</t>
        </is>
      </c>
      <c r="D187" s="7" t="inlineStr">
        <is>
          <t>JEA_NSA</t>
        </is>
      </c>
      <c r="E187" s="20" t="n">
        <v>5</v>
      </c>
      <c r="F187" s="7" t="n">
        <v>78.0765</v>
      </c>
      <c r="G187" s="17" t="b">
        <v>1</v>
      </c>
      <c r="H187" s="8">
        <f>1+$E187/100</f>
        <v/>
      </c>
      <c r="I187" s="8">
        <f>$F187/Parity!$H$144</f>
        <v/>
      </c>
      <c r="J187" s="16">
        <f>Parity!$F$144*$H187</f>
        <v/>
      </c>
      <c r="K187" s="8">
        <f>Parity!$I$144*$I187</f>
        <v/>
      </c>
      <c r="L187" s="8">
        <f>Parity!$J$144*$I187</f>
        <v/>
      </c>
      <c r="M187" s="16">
        <f>(Market_Weekly!$K$29-mcx_domestic_premium_inr_kg)*$H187*$I187+mcx_domestic_premium_inr_kg</f>
        <v/>
      </c>
      <c r="N187" s="15">
        <f>Parity!$N$144/Market_Weekly!$K$29</f>
        <v/>
      </c>
      <c r="O187" s="16">
        <f>$M187*$N187</f>
        <v/>
      </c>
      <c r="P187" s="18">
        <f>Parity!$AY$144</f>
        <v/>
      </c>
      <c r="Q187" s="16">
        <f>$J187*Parity!$P$144</f>
        <v/>
      </c>
      <c r="R187" s="16">
        <f>Parity!$L$144*Parity!$AG$144</f>
        <v/>
      </c>
      <c r="S187" s="16">
        <f>$Q187-$R187</f>
        <v/>
      </c>
      <c r="T187" s="16">
        <f>insurance_rate*insured_value_uplift*$Q187</f>
        <v/>
      </c>
      <c r="U187" s="16">
        <f>$Q187+$T187</f>
        <v/>
      </c>
      <c r="V187" s="18">
        <f>$U187*$L187</f>
        <v/>
      </c>
      <c r="W187" s="18">
        <f>$U187*$K187</f>
        <v/>
      </c>
      <c r="X187" s="18">
        <f>$V187*bcd_scrap_hs7602</f>
        <v/>
      </c>
      <c r="Y187" s="18">
        <f>$X187*sws_rate_on_bcd</f>
        <v/>
      </c>
      <c r="Z187" s="18">
        <f>($V187+$X187+$Y187)*igst_rate_hs7602</f>
        <v/>
      </c>
      <c r="AA187" s="18">
        <f>Parity!$X$144*Parity!$AG$144+IF(Parity!$Y$144,psic_cost_usd_per_box*$F187/Parity!$W$144,0)</f>
        <v/>
      </c>
      <c r="AB187" s="18">
        <f>($W187+$X187+$Y187)*Parity!$Z$144/day_count_inr*Parity!$O$144</f>
        <v/>
      </c>
      <c r="AC187" s="18">
        <f>$Z187*igst_credit_lag_days/day_count_inr*Parity!$O$144</f>
        <v/>
      </c>
      <c r="AD187" s="18">
        <f>$W187+$X187+$Y187+$AA187+$AB187+$AC187+IF(igst_itc_available,0,$Z187)</f>
        <v/>
      </c>
      <c r="AE187" s="18">
        <f>$O187*kg_per_mt+domestic_anchor_premium_inr_t</f>
        <v/>
      </c>
      <c r="AF187" s="18">
        <f>(1-Parity!$AA$144)*Parity!$AD$144*heavies_net_value_frac_of_lme_al*$J187*$F187</f>
        <v/>
      </c>
      <c r="AG187" s="18">
        <f>$AE187*Parity!$AU$144+$AF187-$AD187-Parity!$AX$144</f>
        <v/>
      </c>
      <c r="AH187" s="8">
        <f>$AG187&gt;margin_threshold_inr_t</f>
        <v/>
      </c>
      <c r="AI187" s="18">
        <f>($AG187-$P187)*grid_tonnes_mt</f>
        <v/>
      </c>
    </row>
    <row r="188">
      <c r="A188" s="7" t="inlineStr">
        <is>
          <t>june_trough</t>
        </is>
      </c>
      <c r="B188" s="11" t="n">
        <v>44729</v>
      </c>
      <c r="C188" s="7" t="inlineStr">
        <is>
          <t>zorba</t>
        </is>
      </c>
      <c r="D188" s="7" t="inlineStr">
        <is>
          <t>JEA_NSA</t>
        </is>
      </c>
      <c r="E188" s="20" t="n">
        <v>10</v>
      </c>
      <c r="F188" s="7" t="n">
        <v>78.0765</v>
      </c>
      <c r="G188" s="17" t="b">
        <v>1</v>
      </c>
      <c r="H188" s="8">
        <f>1+$E188/100</f>
        <v/>
      </c>
      <c r="I188" s="8">
        <f>$F188/Parity!$H$144</f>
        <v/>
      </c>
      <c r="J188" s="16">
        <f>Parity!$F$144*$H188</f>
        <v/>
      </c>
      <c r="K188" s="8">
        <f>Parity!$I$144*$I188</f>
        <v/>
      </c>
      <c r="L188" s="8">
        <f>Parity!$J$144*$I188</f>
        <v/>
      </c>
      <c r="M188" s="16">
        <f>(Market_Weekly!$K$29-mcx_domestic_premium_inr_kg)*$H188*$I188+mcx_domestic_premium_inr_kg</f>
        <v/>
      </c>
      <c r="N188" s="15">
        <f>Parity!$N$144/Market_Weekly!$K$29</f>
        <v/>
      </c>
      <c r="O188" s="16">
        <f>$M188*$N188</f>
        <v/>
      </c>
      <c r="P188" s="18">
        <f>Parity!$AY$144</f>
        <v/>
      </c>
      <c r="Q188" s="16">
        <f>$J188*Parity!$P$144</f>
        <v/>
      </c>
      <c r="R188" s="16">
        <f>Parity!$L$144*Parity!$AG$144</f>
        <v/>
      </c>
      <c r="S188" s="16">
        <f>$Q188-$R188</f>
        <v/>
      </c>
      <c r="T188" s="16">
        <f>insurance_rate*insured_value_uplift*$Q188</f>
        <v/>
      </c>
      <c r="U188" s="16">
        <f>$Q188+$T188</f>
        <v/>
      </c>
      <c r="V188" s="18">
        <f>$U188*$L188</f>
        <v/>
      </c>
      <c r="W188" s="18">
        <f>$U188*$K188</f>
        <v/>
      </c>
      <c r="X188" s="18">
        <f>$V188*bcd_scrap_hs7602</f>
        <v/>
      </c>
      <c r="Y188" s="18">
        <f>$X188*sws_rate_on_bcd</f>
        <v/>
      </c>
      <c r="Z188" s="18">
        <f>($V188+$X188+$Y188)*igst_rate_hs7602</f>
        <v/>
      </c>
      <c r="AA188" s="18">
        <f>Parity!$X$144*Parity!$AG$144+IF(Parity!$Y$144,psic_cost_usd_per_box*$F188/Parity!$W$144,0)</f>
        <v/>
      </c>
      <c r="AB188" s="18">
        <f>($W188+$X188+$Y188)*Parity!$Z$144/day_count_inr*Parity!$O$144</f>
        <v/>
      </c>
      <c r="AC188" s="18">
        <f>$Z188*igst_credit_lag_days/day_count_inr*Parity!$O$144</f>
        <v/>
      </c>
      <c r="AD188" s="18">
        <f>$W188+$X188+$Y188+$AA188+$AB188+$AC188+IF(igst_itc_available,0,$Z188)</f>
        <v/>
      </c>
      <c r="AE188" s="18">
        <f>$O188*kg_per_mt+domestic_anchor_premium_inr_t</f>
        <v/>
      </c>
      <c r="AF188" s="18">
        <f>(1-Parity!$AA$144)*Parity!$AD$144*heavies_net_value_frac_of_lme_al*$J188*$F188</f>
        <v/>
      </c>
      <c r="AG188" s="18">
        <f>$AE188*Parity!$AU$144+$AF188-$AD188-Parity!$AX$144</f>
        <v/>
      </c>
      <c r="AH188" s="8">
        <f>$AG188&gt;margin_threshold_inr_t</f>
        <v/>
      </c>
      <c r="AI188" s="18">
        <f>($AG188-$P188)*grid_tonnes_mt</f>
        <v/>
      </c>
    </row>
    <row r="189">
      <c r="A189" s="7" t="inlineStr">
        <is>
          <t>first_eligible_long_lane</t>
        </is>
      </c>
      <c r="B189" s="11" t="n">
        <v>44624</v>
      </c>
      <c r="C189" s="7" t="inlineStr">
        <is>
          <t>zorba</t>
        </is>
      </c>
      <c r="D189" s="7" t="inlineStr">
        <is>
          <t>USEC_MUN</t>
        </is>
      </c>
      <c r="E189" s="20" t="n">
        <v>-30</v>
      </c>
      <c r="F189" s="7" t="n">
        <v>74</v>
      </c>
      <c r="G189" s="17" t="b">
        <v>0</v>
      </c>
      <c r="H189" s="8">
        <f>1+$E189/100</f>
        <v/>
      </c>
      <c r="I189" s="8">
        <f>$F189/Parity!$H$55</f>
        <v/>
      </c>
      <c r="J189" s="16">
        <f>Parity!$F$55*$H189</f>
        <v/>
      </c>
      <c r="K189" s="8">
        <f>Parity!$I$55*$I189</f>
        <v/>
      </c>
      <c r="L189" s="8">
        <f>Parity!$J$55*$I189</f>
        <v/>
      </c>
      <c r="M189" s="16">
        <f>(Market_Weekly!$K$14-mcx_domestic_premium_inr_kg)*$H189*$I189+mcx_domestic_premium_inr_kg</f>
        <v/>
      </c>
      <c r="N189" s="15">
        <f>Parity!$N$55/Market_Weekly!$K$14</f>
        <v/>
      </c>
      <c r="O189" s="16">
        <f>$M189*$N189</f>
        <v/>
      </c>
      <c r="P189" s="18">
        <f>Parity!$AY$55</f>
        <v/>
      </c>
      <c r="Q189" s="16">
        <f>$J189*Parity!$P$55</f>
        <v/>
      </c>
      <c r="R189" s="16">
        <f>Parity!$L$55*Parity!$AG$55</f>
        <v/>
      </c>
      <c r="S189" s="16">
        <f>$Q189-$R189</f>
        <v/>
      </c>
      <c r="T189" s="16">
        <f>insurance_rate*insured_value_uplift*$Q189</f>
        <v/>
      </c>
      <c r="U189" s="16">
        <f>$Q189+$T189</f>
        <v/>
      </c>
      <c r="V189" s="18">
        <f>$U189*$L189</f>
        <v/>
      </c>
      <c r="W189" s="18">
        <f>$U189*$K189</f>
        <v/>
      </c>
      <c r="X189" s="18">
        <f>$V189*bcd_scrap_hs7602</f>
        <v/>
      </c>
      <c r="Y189" s="18">
        <f>$X189*sws_rate_on_bcd</f>
        <v/>
      </c>
      <c r="Z189" s="18">
        <f>($V189+$X189+$Y189)*igst_rate_hs7602</f>
        <v/>
      </c>
      <c r="AA189" s="18">
        <f>Parity!$X$55*Parity!$AG$55+IF(Parity!$Y$55,psic_cost_usd_per_box*$F189/Parity!$W$55,0)</f>
        <v/>
      </c>
      <c r="AB189" s="18">
        <f>($W189+$X189+$Y189)*Parity!$Z$55/day_count_inr*Parity!$O$55</f>
        <v/>
      </c>
      <c r="AC189" s="18">
        <f>$Z189*igst_credit_lag_days/day_count_inr*Parity!$O$55</f>
        <v/>
      </c>
      <c r="AD189" s="18">
        <f>$W189+$X189+$Y189+$AA189+$AB189+$AC189+IF(igst_itc_available,0,$Z189)</f>
        <v/>
      </c>
      <c r="AE189" s="18">
        <f>$O189*kg_per_mt+domestic_anchor_premium_inr_t</f>
        <v/>
      </c>
      <c r="AF189" s="18">
        <f>(1-Parity!$AA$55)*Parity!$AD$55*heavies_net_value_frac_of_lme_al*$J189*$F189</f>
        <v/>
      </c>
      <c r="AG189" s="18">
        <f>$AE189*Parity!$AU$55+$AF189-$AD189-Parity!$AX$55</f>
        <v/>
      </c>
      <c r="AH189" s="8">
        <f>$AG189&gt;margin_threshold_inr_t</f>
        <v/>
      </c>
      <c r="AI189" s="18">
        <f>($AG189-$P189)*grid_tonnes_mt</f>
        <v/>
      </c>
    </row>
    <row r="190">
      <c r="A190" s="7" t="inlineStr">
        <is>
          <t>first_eligible_long_lane</t>
        </is>
      </c>
      <c r="B190" s="11" t="n">
        <v>44624</v>
      </c>
      <c r="C190" s="7" t="inlineStr">
        <is>
          <t>zorba</t>
        </is>
      </c>
      <c r="D190" s="7" t="inlineStr">
        <is>
          <t>USEC_MUN</t>
        </is>
      </c>
      <c r="E190" s="20" t="n">
        <v>-25</v>
      </c>
      <c r="F190" s="7" t="n">
        <v>74</v>
      </c>
      <c r="G190" s="17" t="b">
        <v>0</v>
      </c>
      <c r="H190" s="8">
        <f>1+$E190/100</f>
        <v/>
      </c>
      <c r="I190" s="8">
        <f>$F190/Parity!$H$55</f>
        <v/>
      </c>
      <c r="J190" s="16">
        <f>Parity!$F$55*$H190</f>
        <v/>
      </c>
      <c r="K190" s="8">
        <f>Parity!$I$55*$I190</f>
        <v/>
      </c>
      <c r="L190" s="8">
        <f>Parity!$J$55*$I190</f>
        <v/>
      </c>
      <c r="M190" s="16">
        <f>(Market_Weekly!$K$14-mcx_domestic_premium_inr_kg)*$H190*$I190+mcx_domestic_premium_inr_kg</f>
        <v/>
      </c>
      <c r="N190" s="15">
        <f>Parity!$N$55/Market_Weekly!$K$14</f>
        <v/>
      </c>
      <c r="O190" s="16">
        <f>$M190*$N190</f>
        <v/>
      </c>
      <c r="P190" s="18">
        <f>Parity!$AY$55</f>
        <v/>
      </c>
      <c r="Q190" s="16">
        <f>$J190*Parity!$P$55</f>
        <v/>
      </c>
      <c r="R190" s="16">
        <f>Parity!$L$55*Parity!$AG$55</f>
        <v/>
      </c>
      <c r="S190" s="16">
        <f>$Q190-$R190</f>
        <v/>
      </c>
      <c r="T190" s="16">
        <f>insurance_rate*insured_value_uplift*$Q190</f>
        <v/>
      </c>
      <c r="U190" s="16">
        <f>$Q190+$T190</f>
        <v/>
      </c>
      <c r="V190" s="18">
        <f>$U190*$L190</f>
        <v/>
      </c>
      <c r="W190" s="18">
        <f>$U190*$K190</f>
        <v/>
      </c>
      <c r="X190" s="18">
        <f>$V190*bcd_scrap_hs7602</f>
        <v/>
      </c>
      <c r="Y190" s="18">
        <f>$X190*sws_rate_on_bcd</f>
        <v/>
      </c>
      <c r="Z190" s="18">
        <f>($V190+$X190+$Y190)*igst_rate_hs7602</f>
        <v/>
      </c>
      <c r="AA190" s="18">
        <f>Parity!$X$55*Parity!$AG$55+IF(Parity!$Y$55,psic_cost_usd_per_box*$F190/Parity!$W$55,0)</f>
        <v/>
      </c>
      <c r="AB190" s="18">
        <f>($W190+$X190+$Y190)*Parity!$Z$55/day_count_inr*Parity!$O$55</f>
        <v/>
      </c>
      <c r="AC190" s="18">
        <f>$Z190*igst_credit_lag_days/day_count_inr*Parity!$O$55</f>
        <v/>
      </c>
      <c r="AD190" s="18">
        <f>$W190+$X190+$Y190+$AA190+$AB190+$AC190+IF(igst_itc_available,0,$Z190)</f>
        <v/>
      </c>
      <c r="AE190" s="18">
        <f>$O190*kg_per_mt+domestic_anchor_premium_inr_t</f>
        <v/>
      </c>
      <c r="AF190" s="18">
        <f>(1-Parity!$AA$55)*Parity!$AD$55*heavies_net_value_frac_of_lme_al*$J190*$F190</f>
        <v/>
      </c>
      <c r="AG190" s="18">
        <f>$AE190*Parity!$AU$55+$AF190-$AD190-Parity!$AX$55</f>
        <v/>
      </c>
      <c r="AH190" s="8">
        <f>$AG190&gt;margin_threshold_inr_t</f>
        <v/>
      </c>
      <c r="AI190" s="18">
        <f>($AG190-$P190)*grid_tonnes_mt</f>
        <v/>
      </c>
    </row>
    <row r="191">
      <c r="A191" s="7" t="inlineStr">
        <is>
          <t>first_eligible_long_lane</t>
        </is>
      </c>
      <c r="B191" s="11" t="n">
        <v>44624</v>
      </c>
      <c r="C191" s="7" t="inlineStr">
        <is>
          <t>zorba</t>
        </is>
      </c>
      <c r="D191" s="7" t="inlineStr">
        <is>
          <t>USEC_MUN</t>
        </is>
      </c>
      <c r="E191" s="20" t="n">
        <v>-20</v>
      </c>
      <c r="F191" s="7" t="n">
        <v>74</v>
      </c>
      <c r="G191" s="17" t="b">
        <v>0</v>
      </c>
      <c r="H191" s="8">
        <f>1+$E191/100</f>
        <v/>
      </c>
      <c r="I191" s="8">
        <f>$F191/Parity!$H$55</f>
        <v/>
      </c>
      <c r="J191" s="16">
        <f>Parity!$F$55*$H191</f>
        <v/>
      </c>
      <c r="K191" s="8">
        <f>Parity!$I$55*$I191</f>
        <v/>
      </c>
      <c r="L191" s="8">
        <f>Parity!$J$55*$I191</f>
        <v/>
      </c>
      <c r="M191" s="16">
        <f>(Market_Weekly!$K$14-mcx_domestic_premium_inr_kg)*$H191*$I191+mcx_domestic_premium_inr_kg</f>
        <v/>
      </c>
      <c r="N191" s="15">
        <f>Parity!$N$55/Market_Weekly!$K$14</f>
        <v/>
      </c>
      <c r="O191" s="16">
        <f>$M191*$N191</f>
        <v/>
      </c>
      <c r="P191" s="18">
        <f>Parity!$AY$55</f>
        <v/>
      </c>
      <c r="Q191" s="16">
        <f>$J191*Parity!$P$55</f>
        <v/>
      </c>
      <c r="R191" s="16">
        <f>Parity!$L$55*Parity!$AG$55</f>
        <v/>
      </c>
      <c r="S191" s="16">
        <f>$Q191-$R191</f>
        <v/>
      </c>
      <c r="T191" s="16">
        <f>insurance_rate*insured_value_uplift*$Q191</f>
        <v/>
      </c>
      <c r="U191" s="16">
        <f>$Q191+$T191</f>
        <v/>
      </c>
      <c r="V191" s="18">
        <f>$U191*$L191</f>
        <v/>
      </c>
      <c r="W191" s="18">
        <f>$U191*$K191</f>
        <v/>
      </c>
      <c r="X191" s="18">
        <f>$V191*bcd_scrap_hs7602</f>
        <v/>
      </c>
      <c r="Y191" s="18">
        <f>$X191*sws_rate_on_bcd</f>
        <v/>
      </c>
      <c r="Z191" s="18">
        <f>($V191+$X191+$Y191)*igst_rate_hs7602</f>
        <v/>
      </c>
      <c r="AA191" s="18">
        <f>Parity!$X$55*Parity!$AG$55+IF(Parity!$Y$55,psic_cost_usd_per_box*$F191/Parity!$W$55,0)</f>
        <v/>
      </c>
      <c r="AB191" s="18">
        <f>($W191+$X191+$Y191)*Parity!$Z$55/day_count_inr*Parity!$O$55</f>
        <v/>
      </c>
      <c r="AC191" s="18">
        <f>$Z191*igst_credit_lag_days/day_count_inr*Parity!$O$55</f>
        <v/>
      </c>
      <c r="AD191" s="18">
        <f>$W191+$X191+$Y191+$AA191+$AB191+$AC191+IF(igst_itc_available,0,$Z191)</f>
        <v/>
      </c>
      <c r="AE191" s="18">
        <f>$O191*kg_per_mt+domestic_anchor_premium_inr_t</f>
        <v/>
      </c>
      <c r="AF191" s="18">
        <f>(1-Parity!$AA$55)*Parity!$AD$55*heavies_net_value_frac_of_lme_al*$J191*$F191</f>
        <v/>
      </c>
      <c r="AG191" s="18">
        <f>$AE191*Parity!$AU$55+$AF191-$AD191-Parity!$AX$55</f>
        <v/>
      </c>
      <c r="AH191" s="8">
        <f>$AG191&gt;margin_threshold_inr_t</f>
        <v/>
      </c>
      <c r="AI191" s="18">
        <f>($AG191-$P191)*grid_tonnes_mt</f>
        <v/>
      </c>
    </row>
    <row r="192">
      <c r="A192" s="7" t="inlineStr">
        <is>
          <t>first_eligible_long_lane</t>
        </is>
      </c>
      <c r="B192" s="11" t="n">
        <v>44624</v>
      </c>
      <c r="C192" s="7" t="inlineStr">
        <is>
          <t>zorba</t>
        </is>
      </c>
      <c r="D192" s="7" t="inlineStr">
        <is>
          <t>USEC_MUN</t>
        </is>
      </c>
      <c r="E192" s="20" t="n">
        <v>-15</v>
      </c>
      <c r="F192" s="7" t="n">
        <v>74</v>
      </c>
      <c r="G192" s="17" t="b">
        <v>0</v>
      </c>
      <c r="H192" s="8">
        <f>1+$E192/100</f>
        <v/>
      </c>
      <c r="I192" s="8">
        <f>$F192/Parity!$H$55</f>
        <v/>
      </c>
      <c r="J192" s="16">
        <f>Parity!$F$55*$H192</f>
        <v/>
      </c>
      <c r="K192" s="8">
        <f>Parity!$I$55*$I192</f>
        <v/>
      </c>
      <c r="L192" s="8">
        <f>Parity!$J$55*$I192</f>
        <v/>
      </c>
      <c r="M192" s="16">
        <f>(Market_Weekly!$K$14-mcx_domestic_premium_inr_kg)*$H192*$I192+mcx_domestic_premium_inr_kg</f>
        <v/>
      </c>
      <c r="N192" s="15">
        <f>Parity!$N$55/Market_Weekly!$K$14</f>
        <v/>
      </c>
      <c r="O192" s="16">
        <f>$M192*$N192</f>
        <v/>
      </c>
      <c r="P192" s="18">
        <f>Parity!$AY$55</f>
        <v/>
      </c>
      <c r="Q192" s="16">
        <f>$J192*Parity!$P$55</f>
        <v/>
      </c>
      <c r="R192" s="16">
        <f>Parity!$L$55*Parity!$AG$55</f>
        <v/>
      </c>
      <c r="S192" s="16">
        <f>$Q192-$R192</f>
        <v/>
      </c>
      <c r="T192" s="16">
        <f>insurance_rate*insured_value_uplift*$Q192</f>
        <v/>
      </c>
      <c r="U192" s="16">
        <f>$Q192+$T192</f>
        <v/>
      </c>
      <c r="V192" s="18">
        <f>$U192*$L192</f>
        <v/>
      </c>
      <c r="W192" s="18">
        <f>$U192*$K192</f>
        <v/>
      </c>
      <c r="X192" s="18">
        <f>$V192*bcd_scrap_hs7602</f>
        <v/>
      </c>
      <c r="Y192" s="18">
        <f>$X192*sws_rate_on_bcd</f>
        <v/>
      </c>
      <c r="Z192" s="18">
        <f>($V192+$X192+$Y192)*igst_rate_hs7602</f>
        <v/>
      </c>
      <c r="AA192" s="18">
        <f>Parity!$X$55*Parity!$AG$55+IF(Parity!$Y$55,psic_cost_usd_per_box*$F192/Parity!$W$55,0)</f>
        <v/>
      </c>
      <c r="AB192" s="18">
        <f>($W192+$X192+$Y192)*Parity!$Z$55/day_count_inr*Parity!$O$55</f>
        <v/>
      </c>
      <c r="AC192" s="18">
        <f>$Z192*igst_credit_lag_days/day_count_inr*Parity!$O$55</f>
        <v/>
      </c>
      <c r="AD192" s="18">
        <f>$W192+$X192+$Y192+$AA192+$AB192+$AC192+IF(igst_itc_available,0,$Z192)</f>
        <v/>
      </c>
      <c r="AE192" s="18">
        <f>$O192*kg_per_mt+domestic_anchor_premium_inr_t</f>
        <v/>
      </c>
      <c r="AF192" s="18">
        <f>(1-Parity!$AA$55)*Parity!$AD$55*heavies_net_value_frac_of_lme_al*$J192*$F192</f>
        <v/>
      </c>
      <c r="AG192" s="18">
        <f>$AE192*Parity!$AU$55+$AF192-$AD192-Parity!$AX$55</f>
        <v/>
      </c>
      <c r="AH192" s="8">
        <f>$AG192&gt;margin_threshold_inr_t</f>
        <v/>
      </c>
      <c r="AI192" s="18">
        <f>($AG192-$P192)*grid_tonnes_mt</f>
        <v/>
      </c>
    </row>
    <row r="193">
      <c r="A193" s="7" t="inlineStr">
        <is>
          <t>first_eligible_long_lane</t>
        </is>
      </c>
      <c r="B193" s="11" t="n">
        <v>44624</v>
      </c>
      <c r="C193" s="7" t="inlineStr">
        <is>
          <t>zorba</t>
        </is>
      </c>
      <c r="D193" s="7" t="inlineStr">
        <is>
          <t>USEC_MUN</t>
        </is>
      </c>
      <c r="E193" s="20" t="n">
        <v>-10</v>
      </c>
      <c r="F193" s="7" t="n">
        <v>74</v>
      </c>
      <c r="G193" s="17" t="b">
        <v>0</v>
      </c>
      <c r="H193" s="8">
        <f>1+$E193/100</f>
        <v/>
      </c>
      <c r="I193" s="8">
        <f>$F193/Parity!$H$55</f>
        <v/>
      </c>
      <c r="J193" s="16">
        <f>Parity!$F$55*$H193</f>
        <v/>
      </c>
      <c r="K193" s="8">
        <f>Parity!$I$55*$I193</f>
        <v/>
      </c>
      <c r="L193" s="8">
        <f>Parity!$J$55*$I193</f>
        <v/>
      </c>
      <c r="M193" s="16">
        <f>(Market_Weekly!$K$14-mcx_domestic_premium_inr_kg)*$H193*$I193+mcx_domestic_premium_inr_kg</f>
        <v/>
      </c>
      <c r="N193" s="15">
        <f>Parity!$N$55/Market_Weekly!$K$14</f>
        <v/>
      </c>
      <c r="O193" s="16">
        <f>$M193*$N193</f>
        <v/>
      </c>
      <c r="P193" s="18">
        <f>Parity!$AY$55</f>
        <v/>
      </c>
      <c r="Q193" s="16">
        <f>$J193*Parity!$P$55</f>
        <v/>
      </c>
      <c r="R193" s="16">
        <f>Parity!$L$55*Parity!$AG$55</f>
        <v/>
      </c>
      <c r="S193" s="16">
        <f>$Q193-$R193</f>
        <v/>
      </c>
      <c r="T193" s="16">
        <f>insurance_rate*insured_value_uplift*$Q193</f>
        <v/>
      </c>
      <c r="U193" s="16">
        <f>$Q193+$T193</f>
        <v/>
      </c>
      <c r="V193" s="18">
        <f>$U193*$L193</f>
        <v/>
      </c>
      <c r="W193" s="18">
        <f>$U193*$K193</f>
        <v/>
      </c>
      <c r="X193" s="18">
        <f>$V193*bcd_scrap_hs7602</f>
        <v/>
      </c>
      <c r="Y193" s="18">
        <f>$X193*sws_rate_on_bcd</f>
        <v/>
      </c>
      <c r="Z193" s="18">
        <f>($V193+$X193+$Y193)*igst_rate_hs7602</f>
        <v/>
      </c>
      <c r="AA193" s="18">
        <f>Parity!$X$55*Parity!$AG$55+IF(Parity!$Y$55,psic_cost_usd_per_box*$F193/Parity!$W$55,0)</f>
        <v/>
      </c>
      <c r="AB193" s="18">
        <f>($W193+$X193+$Y193)*Parity!$Z$55/day_count_inr*Parity!$O$55</f>
        <v/>
      </c>
      <c r="AC193" s="18">
        <f>$Z193*igst_credit_lag_days/day_count_inr*Parity!$O$55</f>
        <v/>
      </c>
      <c r="AD193" s="18">
        <f>$W193+$X193+$Y193+$AA193+$AB193+$AC193+IF(igst_itc_available,0,$Z193)</f>
        <v/>
      </c>
      <c r="AE193" s="18">
        <f>$O193*kg_per_mt+domestic_anchor_premium_inr_t</f>
        <v/>
      </c>
      <c r="AF193" s="18">
        <f>(1-Parity!$AA$55)*Parity!$AD$55*heavies_net_value_frac_of_lme_al*$J193*$F193</f>
        <v/>
      </c>
      <c r="AG193" s="18">
        <f>$AE193*Parity!$AU$55+$AF193-$AD193-Parity!$AX$55</f>
        <v/>
      </c>
      <c r="AH193" s="8">
        <f>$AG193&gt;margin_threshold_inr_t</f>
        <v/>
      </c>
      <c r="AI193" s="18">
        <f>($AG193-$P193)*grid_tonnes_mt</f>
        <v/>
      </c>
    </row>
    <row r="194">
      <c r="A194" s="7" t="inlineStr">
        <is>
          <t>first_eligible_long_lane</t>
        </is>
      </c>
      <c r="B194" s="11" t="n">
        <v>44624</v>
      </c>
      <c r="C194" s="7" t="inlineStr">
        <is>
          <t>zorba</t>
        </is>
      </c>
      <c r="D194" s="7" t="inlineStr">
        <is>
          <t>USEC_MUN</t>
        </is>
      </c>
      <c r="E194" s="20" t="n">
        <v>-5</v>
      </c>
      <c r="F194" s="7" t="n">
        <v>74</v>
      </c>
      <c r="G194" s="17" t="b">
        <v>0</v>
      </c>
      <c r="H194" s="8">
        <f>1+$E194/100</f>
        <v/>
      </c>
      <c r="I194" s="8">
        <f>$F194/Parity!$H$55</f>
        <v/>
      </c>
      <c r="J194" s="16">
        <f>Parity!$F$55*$H194</f>
        <v/>
      </c>
      <c r="K194" s="8">
        <f>Parity!$I$55*$I194</f>
        <v/>
      </c>
      <c r="L194" s="8">
        <f>Parity!$J$55*$I194</f>
        <v/>
      </c>
      <c r="M194" s="16">
        <f>(Market_Weekly!$K$14-mcx_domestic_premium_inr_kg)*$H194*$I194+mcx_domestic_premium_inr_kg</f>
        <v/>
      </c>
      <c r="N194" s="15">
        <f>Parity!$N$55/Market_Weekly!$K$14</f>
        <v/>
      </c>
      <c r="O194" s="16">
        <f>$M194*$N194</f>
        <v/>
      </c>
      <c r="P194" s="18">
        <f>Parity!$AY$55</f>
        <v/>
      </c>
      <c r="Q194" s="16">
        <f>$J194*Parity!$P$55</f>
        <v/>
      </c>
      <c r="R194" s="16">
        <f>Parity!$L$55*Parity!$AG$55</f>
        <v/>
      </c>
      <c r="S194" s="16">
        <f>$Q194-$R194</f>
        <v/>
      </c>
      <c r="T194" s="16">
        <f>insurance_rate*insured_value_uplift*$Q194</f>
        <v/>
      </c>
      <c r="U194" s="16">
        <f>$Q194+$T194</f>
        <v/>
      </c>
      <c r="V194" s="18">
        <f>$U194*$L194</f>
        <v/>
      </c>
      <c r="W194" s="18">
        <f>$U194*$K194</f>
        <v/>
      </c>
      <c r="X194" s="18">
        <f>$V194*bcd_scrap_hs7602</f>
        <v/>
      </c>
      <c r="Y194" s="18">
        <f>$X194*sws_rate_on_bcd</f>
        <v/>
      </c>
      <c r="Z194" s="18">
        <f>($V194+$X194+$Y194)*igst_rate_hs7602</f>
        <v/>
      </c>
      <c r="AA194" s="18">
        <f>Parity!$X$55*Parity!$AG$55+IF(Parity!$Y$55,psic_cost_usd_per_box*$F194/Parity!$W$55,0)</f>
        <v/>
      </c>
      <c r="AB194" s="18">
        <f>($W194+$X194+$Y194)*Parity!$Z$55/day_count_inr*Parity!$O$55</f>
        <v/>
      </c>
      <c r="AC194" s="18">
        <f>$Z194*igst_credit_lag_days/day_count_inr*Parity!$O$55</f>
        <v/>
      </c>
      <c r="AD194" s="18">
        <f>$W194+$X194+$Y194+$AA194+$AB194+$AC194+IF(igst_itc_available,0,$Z194)</f>
        <v/>
      </c>
      <c r="AE194" s="18">
        <f>$O194*kg_per_mt+domestic_anchor_premium_inr_t</f>
        <v/>
      </c>
      <c r="AF194" s="18">
        <f>(1-Parity!$AA$55)*Parity!$AD$55*heavies_net_value_frac_of_lme_al*$J194*$F194</f>
        <v/>
      </c>
      <c r="AG194" s="18">
        <f>$AE194*Parity!$AU$55+$AF194-$AD194-Parity!$AX$55</f>
        <v/>
      </c>
      <c r="AH194" s="8">
        <f>$AG194&gt;margin_threshold_inr_t</f>
        <v/>
      </c>
      <c r="AI194" s="18">
        <f>($AG194-$P194)*grid_tonnes_mt</f>
        <v/>
      </c>
    </row>
    <row r="195">
      <c r="A195" s="7" t="inlineStr">
        <is>
          <t>first_eligible_long_lane</t>
        </is>
      </c>
      <c r="B195" s="11" t="n">
        <v>44624</v>
      </c>
      <c r="C195" s="7" t="inlineStr">
        <is>
          <t>zorba</t>
        </is>
      </c>
      <c r="D195" s="7" t="inlineStr">
        <is>
          <t>USEC_MUN</t>
        </is>
      </c>
      <c r="E195" s="20" t="n">
        <v>0</v>
      </c>
      <c r="F195" s="7" t="n">
        <v>74</v>
      </c>
      <c r="G195" s="17" t="b">
        <v>0</v>
      </c>
      <c r="H195" s="8">
        <f>1+$E195/100</f>
        <v/>
      </c>
      <c r="I195" s="8">
        <f>$F195/Parity!$H$55</f>
        <v/>
      </c>
      <c r="J195" s="16">
        <f>Parity!$F$55*$H195</f>
        <v/>
      </c>
      <c r="K195" s="8">
        <f>Parity!$I$55*$I195</f>
        <v/>
      </c>
      <c r="L195" s="8">
        <f>Parity!$J$55*$I195</f>
        <v/>
      </c>
      <c r="M195" s="16">
        <f>(Market_Weekly!$K$14-mcx_domestic_premium_inr_kg)*$H195*$I195+mcx_domestic_premium_inr_kg</f>
        <v/>
      </c>
      <c r="N195" s="15">
        <f>Parity!$N$55/Market_Weekly!$K$14</f>
        <v/>
      </c>
      <c r="O195" s="16">
        <f>$M195*$N195</f>
        <v/>
      </c>
      <c r="P195" s="18">
        <f>Parity!$AY$55</f>
        <v/>
      </c>
      <c r="Q195" s="16">
        <f>$J195*Parity!$P$55</f>
        <v/>
      </c>
      <c r="R195" s="16">
        <f>Parity!$L$55*Parity!$AG$55</f>
        <v/>
      </c>
      <c r="S195" s="16">
        <f>$Q195-$R195</f>
        <v/>
      </c>
      <c r="T195" s="16">
        <f>insurance_rate*insured_value_uplift*$Q195</f>
        <v/>
      </c>
      <c r="U195" s="16">
        <f>$Q195+$T195</f>
        <v/>
      </c>
      <c r="V195" s="18">
        <f>$U195*$L195</f>
        <v/>
      </c>
      <c r="W195" s="18">
        <f>$U195*$K195</f>
        <v/>
      </c>
      <c r="X195" s="18">
        <f>$V195*bcd_scrap_hs7602</f>
        <v/>
      </c>
      <c r="Y195" s="18">
        <f>$X195*sws_rate_on_bcd</f>
        <v/>
      </c>
      <c r="Z195" s="18">
        <f>($V195+$X195+$Y195)*igst_rate_hs7602</f>
        <v/>
      </c>
      <c r="AA195" s="18">
        <f>Parity!$X$55*Parity!$AG$55+IF(Parity!$Y$55,psic_cost_usd_per_box*$F195/Parity!$W$55,0)</f>
        <v/>
      </c>
      <c r="AB195" s="18">
        <f>($W195+$X195+$Y195)*Parity!$Z$55/day_count_inr*Parity!$O$55</f>
        <v/>
      </c>
      <c r="AC195" s="18">
        <f>$Z195*igst_credit_lag_days/day_count_inr*Parity!$O$55</f>
        <v/>
      </c>
      <c r="AD195" s="18">
        <f>$W195+$X195+$Y195+$AA195+$AB195+$AC195+IF(igst_itc_available,0,$Z195)</f>
        <v/>
      </c>
      <c r="AE195" s="18">
        <f>$O195*kg_per_mt+domestic_anchor_premium_inr_t</f>
        <v/>
      </c>
      <c r="AF195" s="18">
        <f>(1-Parity!$AA$55)*Parity!$AD$55*heavies_net_value_frac_of_lme_al*$J195*$F195</f>
        <v/>
      </c>
      <c r="AG195" s="18">
        <f>$AE195*Parity!$AU$55+$AF195-$AD195-Parity!$AX$55</f>
        <v/>
      </c>
      <c r="AH195" s="8">
        <f>$AG195&gt;margin_threshold_inr_t</f>
        <v/>
      </c>
      <c r="AI195" s="18">
        <f>($AG195-$P195)*grid_tonnes_mt</f>
        <v/>
      </c>
    </row>
    <row r="196">
      <c r="A196" s="7" t="inlineStr">
        <is>
          <t>first_eligible_long_lane</t>
        </is>
      </c>
      <c r="B196" s="11" t="n">
        <v>44624</v>
      </c>
      <c r="C196" s="7" t="inlineStr">
        <is>
          <t>zorba</t>
        </is>
      </c>
      <c r="D196" s="7" t="inlineStr">
        <is>
          <t>USEC_MUN</t>
        </is>
      </c>
      <c r="E196" s="20" t="n">
        <v>5</v>
      </c>
      <c r="F196" s="7" t="n">
        <v>74</v>
      </c>
      <c r="G196" s="17" t="b">
        <v>0</v>
      </c>
      <c r="H196" s="8">
        <f>1+$E196/100</f>
        <v/>
      </c>
      <c r="I196" s="8">
        <f>$F196/Parity!$H$55</f>
        <v/>
      </c>
      <c r="J196" s="16">
        <f>Parity!$F$55*$H196</f>
        <v/>
      </c>
      <c r="K196" s="8">
        <f>Parity!$I$55*$I196</f>
        <v/>
      </c>
      <c r="L196" s="8">
        <f>Parity!$J$55*$I196</f>
        <v/>
      </c>
      <c r="M196" s="16">
        <f>(Market_Weekly!$K$14-mcx_domestic_premium_inr_kg)*$H196*$I196+mcx_domestic_premium_inr_kg</f>
        <v/>
      </c>
      <c r="N196" s="15">
        <f>Parity!$N$55/Market_Weekly!$K$14</f>
        <v/>
      </c>
      <c r="O196" s="16">
        <f>$M196*$N196</f>
        <v/>
      </c>
      <c r="P196" s="18">
        <f>Parity!$AY$55</f>
        <v/>
      </c>
      <c r="Q196" s="16">
        <f>$J196*Parity!$P$55</f>
        <v/>
      </c>
      <c r="R196" s="16">
        <f>Parity!$L$55*Parity!$AG$55</f>
        <v/>
      </c>
      <c r="S196" s="16">
        <f>$Q196-$R196</f>
        <v/>
      </c>
      <c r="T196" s="16">
        <f>insurance_rate*insured_value_uplift*$Q196</f>
        <v/>
      </c>
      <c r="U196" s="16">
        <f>$Q196+$T196</f>
        <v/>
      </c>
      <c r="V196" s="18">
        <f>$U196*$L196</f>
        <v/>
      </c>
      <c r="W196" s="18">
        <f>$U196*$K196</f>
        <v/>
      </c>
      <c r="X196" s="18">
        <f>$V196*bcd_scrap_hs7602</f>
        <v/>
      </c>
      <c r="Y196" s="18">
        <f>$X196*sws_rate_on_bcd</f>
        <v/>
      </c>
      <c r="Z196" s="18">
        <f>($V196+$X196+$Y196)*igst_rate_hs7602</f>
        <v/>
      </c>
      <c r="AA196" s="18">
        <f>Parity!$X$55*Parity!$AG$55+IF(Parity!$Y$55,psic_cost_usd_per_box*$F196/Parity!$W$55,0)</f>
        <v/>
      </c>
      <c r="AB196" s="18">
        <f>($W196+$X196+$Y196)*Parity!$Z$55/day_count_inr*Parity!$O$55</f>
        <v/>
      </c>
      <c r="AC196" s="18">
        <f>$Z196*igst_credit_lag_days/day_count_inr*Parity!$O$55</f>
        <v/>
      </c>
      <c r="AD196" s="18">
        <f>$W196+$X196+$Y196+$AA196+$AB196+$AC196+IF(igst_itc_available,0,$Z196)</f>
        <v/>
      </c>
      <c r="AE196" s="18">
        <f>$O196*kg_per_mt+domestic_anchor_premium_inr_t</f>
        <v/>
      </c>
      <c r="AF196" s="18">
        <f>(1-Parity!$AA$55)*Parity!$AD$55*heavies_net_value_frac_of_lme_al*$J196*$F196</f>
        <v/>
      </c>
      <c r="AG196" s="18">
        <f>$AE196*Parity!$AU$55+$AF196-$AD196-Parity!$AX$55</f>
        <v/>
      </c>
      <c r="AH196" s="8">
        <f>$AG196&gt;margin_threshold_inr_t</f>
        <v/>
      </c>
      <c r="AI196" s="18">
        <f>($AG196-$P196)*grid_tonnes_mt</f>
        <v/>
      </c>
    </row>
    <row r="197">
      <c r="A197" s="7" t="inlineStr">
        <is>
          <t>first_eligible_long_lane</t>
        </is>
      </c>
      <c r="B197" s="11" t="n">
        <v>44624</v>
      </c>
      <c r="C197" s="7" t="inlineStr">
        <is>
          <t>zorba</t>
        </is>
      </c>
      <c r="D197" s="7" t="inlineStr">
        <is>
          <t>USEC_MUN</t>
        </is>
      </c>
      <c r="E197" s="20" t="n">
        <v>10</v>
      </c>
      <c r="F197" s="7" t="n">
        <v>74</v>
      </c>
      <c r="G197" s="17" t="b">
        <v>0</v>
      </c>
      <c r="H197" s="8">
        <f>1+$E197/100</f>
        <v/>
      </c>
      <c r="I197" s="8">
        <f>$F197/Parity!$H$55</f>
        <v/>
      </c>
      <c r="J197" s="16">
        <f>Parity!$F$55*$H197</f>
        <v/>
      </c>
      <c r="K197" s="8">
        <f>Parity!$I$55*$I197</f>
        <v/>
      </c>
      <c r="L197" s="8">
        <f>Parity!$J$55*$I197</f>
        <v/>
      </c>
      <c r="M197" s="16">
        <f>(Market_Weekly!$K$14-mcx_domestic_premium_inr_kg)*$H197*$I197+mcx_domestic_premium_inr_kg</f>
        <v/>
      </c>
      <c r="N197" s="15">
        <f>Parity!$N$55/Market_Weekly!$K$14</f>
        <v/>
      </c>
      <c r="O197" s="16">
        <f>$M197*$N197</f>
        <v/>
      </c>
      <c r="P197" s="18">
        <f>Parity!$AY$55</f>
        <v/>
      </c>
      <c r="Q197" s="16">
        <f>$J197*Parity!$P$55</f>
        <v/>
      </c>
      <c r="R197" s="16">
        <f>Parity!$L$55*Parity!$AG$55</f>
        <v/>
      </c>
      <c r="S197" s="16">
        <f>$Q197-$R197</f>
        <v/>
      </c>
      <c r="T197" s="16">
        <f>insurance_rate*insured_value_uplift*$Q197</f>
        <v/>
      </c>
      <c r="U197" s="16">
        <f>$Q197+$T197</f>
        <v/>
      </c>
      <c r="V197" s="18">
        <f>$U197*$L197</f>
        <v/>
      </c>
      <c r="W197" s="18">
        <f>$U197*$K197</f>
        <v/>
      </c>
      <c r="X197" s="18">
        <f>$V197*bcd_scrap_hs7602</f>
        <v/>
      </c>
      <c r="Y197" s="18">
        <f>$X197*sws_rate_on_bcd</f>
        <v/>
      </c>
      <c r="Z197" s="18">
        <f>($V197+$X197+$Y197)*igst_rate_hs7602</f>
        <v/>
      </c>
      <c r="AA197" s="18">
        <f>Parity!$X$55*Parity!$AG$55+IF(Parity!$Y$55,psic_cost_usd_per_box*$F197/Parity!$W$55,0)</f>
        <v/>
      </c>
      <c r="AB197" s="18">
        <f>($W197+$X197+$Y197)*Parity!$Z$55/day_count_inr*Parity!$O$55</f>
        <v/>
      </c>
      <c r="AC197" s="18">
        <f>$Z197*igst_credit_lag_days/day_count_inr*Parity!$O$55</f>
        <v/>
      </c>
      <c r="AD197" s="18">
        <f>$W197+$X197+$Y197+$AA197+$AB197+$AC197+IF(igst_itc_available,0,$Z197)</f>
        <v/>
      </c>
      <c r="AE197" s="18">
        <f>$O197*kg_per_mt+domestic_anchor_premium_inr_t</f>
        <v/>
      </c>
      <c r="AF197" s="18">
        <f>(1-Parity!$AA$55)*Parity!$AD$55*heavies_net_value_frac_of_lme_al*$J197*$F197</f>
        <v/>
      </c>
      <c r="AG197" s="18">
        <f>$AE197*Parity!$AU$55+$AF197-$AD197-Parity!$AX$55</f>
        <v/>
      </c>
      <c r="AH197" s="8">
        <f>$AG197&gt;margin_threshold_inr_t</f>
        <v/>
      </c>
      <c r="AI197" s="18">
        <f>($AG197-$P197)*grid_tonnes_mt</f>
        <v/>
      </c>
    </row>
    <row r="198">
      <c r="A198" s="7" t="inlineStr">
        <is>
          <t>first_eligible_long_lane</t>
        </is>
      </c>
      <c r="B198" s="11" t="n">
        <v>44624</v>
      </c>
      <c r="C198" s="7" t="inlineStr">
        <is>
          <t>zorba</t>
        </is>
      </c>
      <c r="D198" s="7" t="inlineStr">
        <is>
          <t>USEC_MUN</t>
        </is>
      </c>
      <c r="E198" s="20" t="n">
        <v>-30</v>
      </c>
      <c r="F198" s="7" t="n">
        <v>75</v>
      </c>
      <c r="G198" s="17" t="b">
        <v>0</v>
      </c>
      <c r="H198" s="8">
        <f>1+$E198/100</f>
        <v/>
      </c>
      <c r="I198" s="8">
        <f>$F198/Parity!$H$55</f>
        <v/>
      </c>
      <c r="J198" s="16">
        <f>Parity!$F$55*$H198</f>
        <v/>
      </c>
      <c r="K198" s="8">
        <f>Parity!$I$55*$I198</f>
        <v/>
      </c>
      <c r="L198" s="8">
        <f>Parity!$J$55*$I198</f>
        <v/>
      </c>
      <c r="M198" s="16">
        <f>(Market_Weekly!$K$14-mcx_domestic_premium_inr_kg)*$H198*$I198+mcx_domestic_premium_inr_kg</f>
        <v/>
      </c>
      <c r="N198" s="15">
        <f>Parity!$N$55/Market_Weekly!$K$14</f>
        <v/>
      </c>
      <c r="O198" s="16">
        <f>$M198*$N198</f>
        <v/>
      </c>
      <c r="P198" s="18">
        <f>Parity!$AY$55</f>
        <v/>
      </c>
      <c r="Q198" s="16">
        <f>$J198*Parity!$P$55</f>
        <v/>
      </c>
      <c r="R198" s="16">
        <f>Parity!$L$55*Parity!$AG$55</f>
        <v/>
      </c>
      <c r="S198" s="16">
        <f>$Q198-$R198</f>
        <v/>
      </c>
      <c r="T198" s="16">
        <f>insurance_rate*insured_value_uplift*$Q198</f>
        <v/>
      </c>
      <c r="U198" s="16">
        <f>$Q198+$T198</f>
        <v/>
      </c>
      <c r="V198" s="18">
        <f>$U198*$L198</f>
        <v/>
      </c>
      <c r="W198" s="18">
        <f>$U198*$K198</f>
        <v/>
      </c>
      <c r="X198" s="18">
        <f>$V198*bcd_scrap_hs7602</f>
        <v/>
      </c>
      <c r="Y198" s="18">
        <f>$X198*sws_rate_on_bcd</f>
        <v/>
      </c>
      <c r="Z198" s="18">
        <f>($V198+$X198+$Y198)*igst_rate_hs7602</f>
        <v/>
      </c>
      <c r="AA198" s="18">
        <f>Parity!$X$55*Parity!$AG$55+IF(Parity!$Y$55,psic_cost_usd_per_box*$F198/Parity!$W$55,0)</f>
        <v/>
      </c>
      <c r="AB198" s="18">
        <f>($W198+$X198+$Y198)*Parity!$Z$55/day_count_inr*Parity!$O$55</f>
        <v/>
      </c>
      <c r="AC198" s="18">
        <f>$Z198*igst_credit_lag_days/day_count_inr*Parity!$O$55</f>
        <v/>
      </c>
      <c r="AD198" s="18">
        <f>$W198+$X198+$Y198+$AA198+$AB198+$AC198+IF(igst_itc_available,0,$Z198)</f>
        <v/>
      </c>
      <c r="AE198" s="18">
        <f>$O198*kg_per_mt+domestic_anchor_premium_inr_t</f>
        <v/>
      </c>
      <c r="AF198" s="18">
        <f>(1-Parity!$AA$55)*Parity!$AD$55*heavies_net_value_frac_of_lme_al*$J198*$F198</f>
        <v/>
      </c>
      <c r="AG198" s="18">
        <f>$AE198*Parity!$AU$55+$AF198-$AD198-Parity!$AX$55</f>
        <v/>
      </c>
      <c r="AH198" s="8">
        <f>$AG198&gt;margin_threshold_inr_t</f>
        <v/>
      </c>
      <c r="AI198" s="18">
        <f>($AG198-$P198)*grid_tonnes_mt</f>
        <v/>
      </c>
    </row>
    <row r="199">
      <c r="A199" s="7" t="inlineStr">
        <is>
          <t>first_eligible_long_lane</t>
        </is>
      </c>
      <c r="B199" s="11" t="n">
        <v>44624</v>
      </c>
      <c r="C199" s="7" t="inlineStr">
        <is>
          <t>zorba</t>
        </is>
      </c>
      <c r="D199" s="7" t="inlineStr">
        <is>
          <t>USEC_MUN</t>
        </is>
      </c>
      <c r="E199" s="20" t="n">
        <v>-25</v>
      </c>
      <c r="F199" s="7" t="n">
        <v>75</v>
      </c>
      <c r="G199" s="17" t="b">
        <v>0</v>
      </c>
      <c r="H199" s="8">
        <f>1+$E199/100</f>
        <v/>
      </c>
      <c r="I199" s="8">
        <f>$F199/Parity!$H$55</f>
        <v/>
      </c>
      <c r="J199" s="16">
        <f>Parity!$F$55*$H199</f>
        <v/>
      </c>
      <c r="K199" s="8">
        <f>Parity!$I$55*$I199</f>
        <v/>
      </c>
      <c r="L199" s="8">
        <f>Parity!$J$55*$I199</f>
        <v/>
      </c>
      <c r="M199" s="16">
        <f>(Market_Weekly!$K$14-mcx_domestic_premium_inr_kg)*$H199*$I199+mcx_domestic_premium_inr_kg</f>
        <v/>
      </c>
      <c r="N199" s="15">
        <f>Parity!$N$55/Market_Weekly!$K$14</f>
        <v/>
      </c>
      <c r="O199" s="16">
        <f>$M199*$N199</f>
        <v/>
      </c>
      <c r="P199" s="18">
        <f>Parity!$AY$55</f>
        <v/>
      </c>
      <c r="Q199" s="16">
        <f>$J199*Parity!$P$55</f>
        <v/>
      </c>
      <c r="R199" s="16">
        <f>Parity!$L$55*Parity!$AG$55</f>
        <v/>
      </c>
      <c r="S199" s="16">
        <f>$Q199-$R199</f>
        <v/>
      </c>
      <c r="T199" s="16">
        <f>insurance_rate*insured_value_uplift*$Q199</f>
        <v/>
      </c>
      <c r="U199" s="16">
        <f>$Q199+$T199</f>
        <v/>
      </c>
      <c r="V199" s="18">
        <f>$U199*$L199</f>
        <v/>
      </c>
      <c r="W199" s="18">
        <f>$U199*$K199</f>
        <v/>
      </c>
      <c r="X199" s="18">
        <f>$V199*bcd_scrap_hs7602</f>
        <v/>
      </c>
      <c r="Y199" s="18">
        <f>$X199*sws_rate_on_bcd</f>
        <v/>
      </c>
      <c r="Z199" s="18">
        <f>($V199+$X199+$Y199)*igst_rate_hs7602</f>
        <v/>
      </c>
      <c r="AA199" s="18">
        <f>Parity!$X$55*Parity!$AG$55+IF(Parity!$Y$55,psic_cost_usd_per_box*$F199/Parity!$W$55,0)</f>
        <v/>
      </c>
      <c r="AB199" s="18">
        <f>($W199+$X199+$Y199)*Parity!$Z$55/day_count_inr*Parity!$O$55</f>
        <v/>
      </c>
      <c r="AC199" s="18">
        <f>$Z199*igst_credit_lag_days/day_count_inr*Parity!$O$55</f>
        <v/>
      </c>
      <c r="AD199" s="18">
        <f>$W199+$X199+$Y199+$AA199+$AB199+$AC199+IF(igst_itc_available,0,$Z199)</f>
        <v/>
      </c>
      <c r="AE199" s="18">
        <f>$O199*kg_per_mt+domestic_anchor_premium_inr_t</f>
        <v/>
      </c>
      <c r="AF199" s="18">
        <f>(1-Parity!$AA$55)*Parity!$AD$55*heavies_net_value_frac_of_lme_al*$J199*$F199</f>
        <v/>
      </c>
      <c r="AG199" s="18">
        <f>$AE199*Parity!$AU$55+$AF199-$AD199-Parity!$AX$55</f>
        <v/>
      </c>
      <c r="AH199" s="8">
        <f>$AG199&gt;margin_threshold_inr_t</f>
        <v/>
      </c>
      <c r="AI199" s="18">
        <f>($AG199-$P199)*grid_tonnes_mt</f>
        <v/>
      </c>
    </row>
    <row r="200">
      <c r="A200" s="7" t="inlineStr">
        <is>
          <t>first_eligible_long_lane</t>
        </is>
      </c>
      <c r="B200" s="11" t="n">
        <v>44624</v>
      </c>
      <c r="C200" s="7" t="inlineStr">
        <is>
          <t>zorba</t>
        </is>
      </c>
      <c r="D200" s="7" t="inlineStr">
        <is>
          <t>USEC_MUN</t>
        </is>
      </c>
      <c r="E200" s="20" t="n">
        <v>-20</v>
      </c>
      <c r="F200" s="7" t="n">
        <v>75</v>
      </c>
      <c r="G200" s="17" t="b">
        <v>0</v>
      </c>
      <c r="H200" s="8">
        <f>1+$E200/100</f>
        <v/>
      </c>
      <c r="I200" s="8">
        <f>$F200/Parity!$H$55</f>
        <v/>
      </c>
      <c r="J200" s="16">
        <f>Parity!$F$55*$H200</f>
        <v/>
      </c>
      <c r="K200" s="8">
        <f>Parity!$I$55*$I200</f>
        <v/>
      </c>
      <c r="L200" s="8">
        <f>Parity!$J$55*$I200</f>
        <v/>
      </c>
      <c r="M200" s="16">
        <f>(Market_Weekly!$K$14-mcx_domestic_premium_inr_kg)*$H200*$I200+mcx_domestic_premium_inr_kg</f>
        <v/>
      </c>
      <c r="N200" s="15">
        <f>Parity!$N$55/Market_Weekly!$K$14</f>
        <v/>
      </c>
      <c r="O200" s="16">
        <f>$M200*$N200</f>
        <v/>
      </c>
      <c r="P200" s="18">
        <f>Parity!$AY$55</f>
        <v/>
      </c>
      <c r="Q200" s="16">
        <f>$J200*Parity!$P$55</f>
        <v/>
      </c>
      <c r="R200" s="16">
        <f>Parity!$L$55*Parity!$AG$55</f>
        <v/>
      </c>
      <c r="S200" s="16">
        <f>$Q200-$R200</f>
        <v/>
      </c>
      <c r="T200" s="16">
        <f>insurance_rate*insured_value_uplift*$Q200</f>
        <v/>
      </c>
      <c r="U200" s="16">
        <f>$Q200+$T200</f>
        <v/>
      </c>
      <c r="V200" s="18">
        <f>$U200*$L200</f>
        <v/>
      </c>
      <c r="W200" s="18">
        <f>$U200*$K200</f>
        <v/>
      </c>
      <c r="X200" s="18">
        <f>$V200*bcd_scrap_hs7602</f>
        <v/>
      </c>
      <c r="Y200" s="18">
        <f>$X200*sws_rate_on_bcd</f>
        <v/>
      </c>
      <c r="Z200" s="18">
        <f>($V200+$X200+$Y200)*igst_rate_hs7602</f>
        <v/>
      </c>
      <c r="AA200" s="18">
        <f>Parity!$X$55*Parity!$AG$55+IF(Parity!$Y$55,psic_cost_usd_per_box*$F200/Parity!$W$55,0)</f>
        <v/>
      </c>
      <c r="AB200" s="18">
        <f>($W200+$X200+$Y200)*Parity!$Z$55/day_count_inr*Parity!$O$55</f>
        <v/>
      </c>
      <c r="AC200" s="18">
        <f>$Z200*igst_credit_lag_days/day_count_inr*Parity!$O$55</f>
        <v/>
      </c>
      <c r="AD200" s="18">
        <f>$W200+$X200+$Y200+$AA200+$AB200+$AC200+IF(igst_itc_available,0,$Z200)</f>
        <v/>
      </c>
      <c r="AE200" s="18">
        <f>$O200*kg_per_mt+domestic_anchor_premium_inr_t</f>
        <v/>
      </c>
      <c r="AF200" s="18">
        <f>(1-Parity!$AA$55)*Parity!$AD$55*heavies_net_value_frac_of_lme_al*$J200*$F200</f>
        <v/>
      </c>
      <c r="AG200" s="18">
        <f>$AE200*Parity!$AU$55+$AF200-$AD200-Parity!$AX$55</f>
        <v/>
      </c>
      <c r="AH200" s="8">
        <f>$AG200&gt;margin_threshold_inr_t</f>
        <v/>
      </c>
      <c r="AI200" s="18">
        <f>($AG200-$P200)*grid_tonnes_mt</f>
        <v/>
      </c>
    </row>
    <row r="201">
      <c r="A201" s="7" t="inlineStr">
        <is>
          <t>first_eligible_long_lane</t>
        </is>
      </c>
      <c r="B201" s="11" t="n">
        <v>44624</v>
      </c>
      <c r="C201" s="7" t="inlineStr">
        <is>
          <t>zorba</t>
        </is>
      </c>
      <c r="D201" s="7" t="inlineStr">
        <is>
          <t>USEC_MUN</t>
        </is>
      </c>
      <c r="E201" s="20" t="n">
        <v>-15</v>
      </c>
      <c r="F201" s="7" t="n">
        <v>75</v>
      </c>
      <c r="G201" s="17" t="b">
        <v>0</v>
      </c>
      <c r="H201" s="8">
        <f>1+$E201/100</f>
        <v/>
      </c>
      <c r="I201" s="8">
        <f>$F201/Parity!$H$55</f>
        <v/>
      </c>
      <c r="J201" s="16">
        <f>Parity!$F$55*$H201</f>
        <v/>
      </c>
      <c r="K201" s="8">
        <f>Parity!$I$55*$I201</f>
        <v/>
      </c>
      <c r="L201" s="8">
        <f>Parity!$J$55*$I201</f>
        <v/>
      </c>
      <c r="M201" s="16">
        <f>(Market_Weekly!$K$14-mcx_domestic_premium_inr_kg)*$H201*$I201+mcx_domestic_premium_inr_kg</f>
        <v/>
      </c>
      <c r="N201" s="15">
        <f>Parity!$N$55/Market_Weekly!$K$14</f>
        <v/>
      </c>
      <c r="O201" s="16">
        <f>$M201*$N201</f>
        <v/>
      </c>
      <c r="P201" s="18">
        <f>Parity!$AY$55</f>
        <v/>
      </c>
      <c r="Q201" s="16">
        <f>$J201*Parity!$P$55</f>
        <v/>
      </c>
      <c r="R201" s="16">
        <f>Parity!$L$55*Parity!$AG$55</f>
        <v/>
      </c>
      <c r="S201" s="16">
        <f>$Q201-$R201</f>
        <v/>
      </c>
      <c r="T201" s="16">
        <f>insurance_rate*insured_value_uplift*$Q201</f>
        <v/>
      </c>
      <c r="U201" s="16">
        <f>$Q201+$T201</f>
        <v/>
      </c>
      <c r="V201" s="18">
        <f>$U201*$L201</f>
        <v/>
      </c>
      <c r="W201" s="18">
        <f>$U201*$K201</f>
        <v/>
      </c>
      <c r="X201" s="18">
        <f>$V201*bcd_scrap_hs7602</f>
        <v/>
      </c>
      <c r="Y201" s="18">
        <f>$X201*sws_rate_on_bcd</f>
        <v/>
      </c>
      <c r="Z201" s="18">
        <f>($V201+$X201+$Y201)*igst_rate_hs7602</f>
        <v/>
      </c>
      <c r="AA201" s="18">
        <f>Parity!$X$55*Parity!$AG$55+IF(Parity!$Y$55,psic_cost_usd_per_box*$F201/Parity!$W$55,0)</f>
        <v/>
      </c>
      <c r="AB201" s="18">
        <f>($W201+$X201+$Y201)*Parity!$Z$55/day_count_inr*Parity!$O$55</f>
        <v/>
      </c>
      <c r="AC201" s="18">
        <f>$Z201*igst_credit_lag_days/day_count_inr*Parity!$O$55</f>
        <v/>
      </c>
      <c r="AD201" s="18">
        <f>$W201+$X201+$Y201+$AA201+$AB201+$AC201+IF(igst_itc_available,0,$Z201)</f>
        <v/>
      </c>
      <c r="AE201" s="18">
        <f>$O201*kg_per_mt+domestic_anchor_premium_inr_t</f>
        <v/>
      </c>
      <c r="AF201" s="18">
        <f>(1-Parity!$AA$55)*Parity!$AD$55*heavies_net_value_frac_of_lme_al*$J201*$F201</f>
        <v/>
      </c>
      <c r="AG201" s="18">
        <f>$AE201*Parity!$AU$55+$AF201-$AD201-Parity!$AX$55</f>
        <v/>
      </c>
      <c r="AH201" s="8">
        <f>$AG201&gt;margin_threshold_inr_t</f>
        <v/>
      </c>
      <c r="AI201" s="18">
        <f>($AG201-$P201)*grid_tonnes_mt</f>
        <v/>
      </c>
    </row>
    <row r="202">
      <c r="A202" s="7" t="inlineStr">
        <is>
          <t>first_eligible_long_lane</t>
        </is>
      </c>
      <c r="B202" s="11" t="n">
        <v>44624</v>
      </c>
      <c r="C202" s="7" t="inlineStr">
        <is>
          <t>zorba</t>
        </is>
      </c>
      <c r="D202" s="7" t="inlineStr">
        <is>
          <t>USEC_MUN</t>
        </is>
      </c>
      <c r="E202" s="20" t="n">
        <v>-10</v>
      </c>
      <c r="F202" s="7" t="n">
        <v>75</v>
      </c>
      <c r="G202" s="17" t="b">
        <v>0</v>
      </c>
      <c r="H202" s="8">
        <f>1+$E202/100</f>
        <v/>
      </c>
      <c r="I202" s="8">
        <f>$F202/Parity!$H$55</f>
        <v/>
      </c>
      <c r="J202" s="16">
        <f>Parity!$F$55*$H202</f>
        <v/>
      </c>
      <c r="K202" s="8">
        <f>Parity!$I$55*$I202</f>
        <v/>
      </c>
      <c r="L202" s="8">
        <f>Parity!$J$55*$I202</f>
        <v/>
      </c>
      <c r="M202" s="16">
        <f>(Market_Weekly!$K$14-mcx_domestic_premium_inr_kg)*$H202*$I202+mcx_domestic_premium_inr_kg</f>
        <v/>
      </c>
      <c r="N202" s="15">
        <f>Parity!$N$55/Market_Weekly!$K$14</f>
        <v/>
      </c>
      <c r="O202" s="16">
        <f>$M202*$N202</f>
        <v/>
      </c>
      <c r="P202" s="18">
        <f>Parity!$AY$55</f>
        <v/>
      </c>
      <c r="Q202" s="16">
        <f>$J202*Parity!$P$55</f>
        <v/>
      </c>
      <c r="R202" s="16">
        <f>Parity!$L$55*Parity!$AG$55</f>
        <v/>
      </c>
      <c r="S202" s="16">
        <f>$Q202-$R202</f>
        <v/>
      </c>
      <c r="T202" s="16">
        <f>insurance_rate*insured_value_uplift*$Q202</f>
        <v/>
      </c>
      <c r="U202" s="16">
        <f>$Q202+$T202</f>
        <v/>
      </c>
      <c r="V202" s="18">
        <f>$U202*$L202</f>
        <v/>
      </c>
      <c r="W202" s="18">
        <f>$U202*$K202</f>
        <v/>
      </c>
      <c r="X202" s="18">
        <f>$V202*bcd_scrap_hs7602</f>
        <v/>
      </c>
      <c r="Y202" s="18">
        <f>$X202*sws_rate_on_bcd</f>
        <v/>
      </c>
      <c r="Z202" s="18">
        <f>($V202+$X202+$Y202)*igst_rate_hs7602</f>
        <v/>
      </c>
      <c r="AA202" s="18">
        <f>Parity!$X$55*Parity!$AG$55+IF(Parity!$Y$55,psic_cost_usd_per_box*$F202/Parity!$W$55,0)</f>
        <v/>
      </c>
      <c r="AB202" s="18">
        <f>($W202+$X202+$Y202)*Parity!$Z$55/day_count_inr*Parity!$O$55</f>
        <v/>
      </c>
      <c r="AC202" s="18">
        <f>$Z202*igst_credit_lag_days/day_count_inr*Parity!$O$55</f>
        <v/>
      </c>
      <c r="AD202" s="18">
        <f>$W202+$X202+$Y202+$AA202+$AB202+$AC202+IF(igst_itc_available,0,$Z202)</f>
        <v/>
      </c>
      <c r="AE202" s="18">
        <f>$O202*kg_per_mt+domestic_anchor_premium_inr_t</f>
        <v/>
      </c>
      <c r="AF202" s="18">
        <f>(1-Parity!$AA$55)*Parity!$AD$55*heavies_net_value_frac_of_lme_al*$J202*$F202</f>
        <v/>
      </c>
      <c r="AG202" s="18">
        <f>$AE202*Parity!$AU$55+$AF202-$AD202-Parity!$AX$55</f>
        <v/>
      </c>
      <c r="AH202" s="8">
        <f>$AG202&gt;margin_threshold_inr_t</f>
        <v/>
      </c>
      <c r="AI202" s="18">
        <f>($AG202-$P202)*grid_tonnes_mt</f>
        <v/>
      </c>
    </row>
    <row r="203">
      <c r="A203" s="7" t="inlineStr">
        <is>
          <t>first_eligible_long_lane</t>
        </is>
      </c>
      <c r="B203" s="11" t="n">
        <v>44624</v>
      </c>
      <c r="C203" s="7" t="inlineStr">
        <is>
          <t>zorba</t>
        </is>
      </c>
      <c r="D203" s="7" t="inlineStr">
        <is>
          <t>USEC_MUN</t>
        </is>
      </c>
      <c r="E203" s="20" t="n">
        <v>-5</v>
      </c>
      <c r="F203" s="7" t="n">
        <v>75</v>
      </c>
      <c r="G203" s="17" t="b">
        <v>0</v>
      </c>
      <c r="H203" s="8">
        <f>1+$E203/100</f>
        <v/>
      </c>
      <c r="I203" s="8">
        <f>$F203/Parity!$H$55</f>
        <v/>
      </c>
      <c r="J203" s="16">
        <f>Parity!$F$55*$H203</f>
        <v/>
      </c>
      <c r="K203" s="8">
        <f>Parity!$I$55*$I203</f>
        <v/>
      </c>
      <c r="L203" s="8">
        <f>Parity!$J$55*$I203</f>
        <v/>
      </c>
      <c r="M203" s="16">
        <f>(Market_Weekly!$K$14-mcx_domestic_premium_inr_kg)*$H203*$I203+mcx_domestic_premium_inr_kg</f>
        <v/>
      </c>
      <c r="N203" s="15">
        <f>Parity!$N$55/Market_Weekly!$K$14</f>
        <v/>
      </c>
      <c r="O203" s="16">
        <f>$M203*$N203</f>
        <v/>
      </c>
      <c r="P203" s="18">
        <f>Parity!$AY$55</f>
        <v/>
      </c>
      <c r="Q203" s="16">
        <f>$J203*Parity!$P$55</f>
        <v/>
      </c>
      <c r="R203" s="16">
        <f>Parity!$L$55*Parity!$AG$55</f>
        <v/>
      </c>
      <c r="S203" s="16">
        <f>$Q203-$R203</f>
        <v/>
      </c>
      <c r="T203" s="16">
        <f>insurance_rate*insured_value_uplift*$Q203</f>
        <v/>
      </c>
      <c r="U203" s="16">
        <f>$Q203+$T203</f>
        <v/>
      </c>
      <c r="V203" s="18">
        <f>$U203*$L203</f>
        <v/>
      </c>
      <c r="W203" s="18">
        <f>$U203*$K203</f>
        <v/>
      </c>
      <c r="X203" s="18">
        <f>$V203*bcd_scrap_hs7602</f>
        <v/>
      </c>
      <c r="Y203" s="18">
        <f>$X203*sws_rate_on_bcd</f>
        <v/>
      </c>
      <c r="Z203" s="18">
        <f>($V203+$X203+$Y203)*igst_rate_hs7602</f>
        <v/>
      </c>
      <c r="AA203" s="18">
        <f>Parity!$X$55*Parity!$AG$55+IF(Parity!$Y$55,psic_cost_usd_per_box*$F203/Parity!$W$55,0)</f>
        <v/>
      </c>
      <c r="AB203" s="18">
        <f>($W203+$X203+$Y203)*Parity!$Z$55/day_count_inr*Parity!$O$55</f>
        <v/>
      </c>
      <c r="AC203" s="18">
        <f>$Z203*igst_credit_lag_days/day_count_inr*Parity!$O$55</f>
        <v/>
      </c>
      <c r="AD203" s="18">
        <f>$W203+$X203+$Y203+$AA203+$AB203+$AC203+IF(igst_itc_available,0,$Z203)</f>
        <v/>
      </c>
      <c r="AE203" s="18">
        <f>$O203*kg_per_mt+domestic_anchor_premium_inr_t</f>
        <v/>
      </c>
      <c r="AF203" s="18">
        <f>(1-Parity!$AA$55)*Parity!$AD$55*heavies_net_value_frac_of_lme_al*$J203*$F203</f>
        <v/>
      </c>
      <c r="AG203" s="18">
        <f>$AE203*Parity!$AU$55+$AF203-$AD203-Parity!$AX$55</f>
        <v/>
      </c>
      <c r="AH203" s="8">
        <f>$AG203&gt;margin_threshold_inr_t</f>
        <v/>
      </c>
      <c r="AI203" s="18">
        <f>($AG203-$P203)*grid_tonnes_mt</f>
        <v/>
      </c>
    </row>
    <row r="204">
      <c r="A204" s="7" t="inlineStr">
        <is>
          <t>first_eligible_long_lane</t>
        </is>
      </c>
      <c r="B204" s="11" t="n">
        <v>44624</v>
      </c>
      <c r="C204" s="7" t="inlineStr">
        <is>
          <t>zorba</t>
        </is>
      </c>
      <c r="D204" s="7" t="inlineStr">
        <is>
          <t>USEC_MUN</t>
        </is>
      </c>
      <c r="E204" s="20" t="n">
        <v>0</v>
      </c>
      <c r="F204" s="7" t="n">
        <v>75</v>
      </c>
      <c r="G204" s="17" t="b">
        <v>0</v>
      </c>
      <c r="H204" s="8">
        <f>1+$E204/100</f>
        <v/>
      </c>
      <c r="I204" s="8">
        <f>$F204/Parity!$H$55</f>
        <v/>
      </c>
      <c r="J204" s="16">
        <f>Parity!$F$55*$H204</f>
        <v/>
      </c>
      <c r="K204" s="8">
        <f>Parity!$I$55*$I204</f>
        <v/>
      </c>
      <c r="L204" s="8">
        <f>Parity!$J$55*$I204</f>
        <v/>
      </c>
      <c r="M204" s="16">
        <f>(Market_Weekly!$K$14-mcx_domestic_premium_inr_kg)*$H204*$I204+mcx_domestic_premium_inr_kg</f>
        <v/>
      </c>
      <c r="N204" s="15">
        <f>Parity!$N$55/Market_Weekly!$K$14</f>
        <v/>
      </c>
      <c r="O204" s="16">
        <f>$M204*$N204</f>
        <v/>
      </c>
      <c r="P204" s="18">
        <f>Parity!$AY$55</f>
        <v/>
      </c>
      <c r="Q204" s="16">
        <f>$J204*Parity!$P$55</f>
        <v/>
      </c>
      <c r="R204" s="16">
        <f>Parity!$L$55*Parity!$AG$55</f>
        <v/>
      </c>
      <c r="S204" s="16">
        <f>$Q204-$R204</f>
        <v/>
      </c>
      <c r="T204" s="16">
        <f>insurance_rate*insured_value_uplift*$Q204</f>
        <v/>
      </c>
      <c r="U204" s="16">
        <f>$Q204+$T204</f>
        <v/>
      </c>
      <c r="V204" s="18">
        <f>$U204*$L204</f>
        <v/>
      </c>
      <c r="W204" s="18">
        <f>$U204*$K204</f>
        <v/>
      </c>
      <c r="X204" s="18">
        <f>$V204*bcd_scrap_hs7602</f>
        <v/>
      </c>
      <c r="Y204" s="18">
        <f>$X204*sws_rate_on_bcd</f>
        <v/>
      </c>
      <c r="Z204" s="18">
        <f>($V204+$X204+$Y204)*igst_rate_hs7602</f>
        <v/>
      </c>
      <c r="AA204" s="18">
        <f>Parity!$X$55*Parity!$AG$55+IF(Parity!$Y$55,psic_cost_usd_per_box*$F204/Parity!$W$55,0)</f>
        <v/>
      </c>
      <c r="AB204" s="18">
        <f>($W204+$X204+$Y204)*Parity!$Z$55/day_count_inr*Parity!$O$55</f>
        <v/>
      </c>
      <c r="AC204" s="18">
        <f>$Z204*igst_credit_lag_days/day_count_inr*Parity!$O$55</f>
        <v/>
      </c>
      <c r="AD204" s="18">
        <f>$W204+$X204+$Y204+$AA204+$AB204+$AC204+IF(igst_itc_available,0,$Z204)</f>
        <v/>
      </c>
      <c r="AE204" s="18">
        <f>$O204*kg_per_mt+domestic_anchor_premium_inr_t</f>
        <v/>
      </c>
      <c r="AF204" s="18">
        <f>(1-Parity!$AA$55)*Parity!$AD$55*heavies_net_value_frac_of_lme_al*$J204*$F204</f>
        <v/>
      </c>
      <c r="AG204" s="18">
        <f>$AE204*Parity!$AU$55+$AF204-$AD204-Parity!$AX$55</f>
        <v/>
      </c>
      <c r="AH204" s="8">
        <f>$AG204&gt;margin_threshold_inr_t</f>
        <v/>
      </c>
      <c r="AI204" s="18">
        <f>($AG204-$P204)*grid_tonnes_mt</f>
        <v/>
      </c>
    </row>
    <row r="205">
      <c r="A205" s="7" t="inlineStr">
        <is>
          <t>first_eligible_long_lane</t>
        </is>
      </c>
      <c r="B205" s="11" t="n">
        <v>44624</v>
      </c>
      <c r="C205" s="7" t="inlineStr">
        <is>
          <t>zorba</t>
        </is>
      </c>
      <c r="D205" s="7" t="inlineStr">
        <is>
          <t>USEC_MUN</t>
        </is>
      </c>
      <c r="E205" s="20" t="n">
        <v>5</v>
      </c>
      <c r="F205" s="7" t="n">
        <v>75</v>
      </c>
      <c r="G205" s="17" t="b">
        <v>0</v>
      </c>
      <c r="H205" s="8">
        <f>1+$E205/100</f>
        <v/>
      </c>
      <c r="I205" s="8">
        <f>$F205/Parity!$H$55</f>
        <v/>
      </c>
      <c r="J205" s="16">
        <f>Parity!$F$55*$H205</f>
        <v/>
      </c>
      <c r="K205" s="8">
        <f>Parity!$I$55*$I205</f>
        <v/>
      </c>
      <c r="L205" s="8">
        <f>Parity!$J$55*$I205</f>
        <v/>
      </c>
      <c r="M205" s="16">
        <f>(Market_Weekly!$K$14-mcx_domestic_premium_inr_kg)*$H205*$I205+mcx_domestic_premium_inr_kg</f>
        <v/>
      </c>
      <c r="N205" s="15">
        <f>Parity!$N$55/Market_Weekly!$K$14</f>
        <v/>
      </c>
      <c r="O205" s="16">
        <f>$M205*$N205</f>
        <v/>
      </c>
      <c r="P205" s="18">
        <f>Parity!$AY$55</f>
        <v/>
      </c>
      <c r="Q205" s="16">
        <f>$J205*Parity!$P$55</f>
        <v/>
      </c>
      <c r="R205" s="16">
        <f>Parity!$L$55*Parity!$AG$55</f>
        <v/>
      </c>
      <c r="S205" s="16">
        <f>$Q205-$R205</f>
        <v/>
      </c>
      <c r="T205" s="16">
        <f>insurance_rate*insured_value_uplift*$Q205</f>
        <v/>
      </c>
      <c r="U205" s="16">
        <f>$Q205+$T205</f>
        <v/>
      </c>
      <c r="V205" s="18">
        <f>$U205*$L205</f>
        <v/>
      </c>
      <c r="W205" s="18">
        <f>$U205*$K205</f>
        <v/>
      </c>
      <c r="X205" s="18">
        <f>$V205*bcd_scrap_hs7602</f>
        <v/>
      </c>
      <c r="Y205" s="18">
        <f>$X205*sws_rate_on_bcd</f>
        <v/>
      </c>
      <c r="Z205" s="18">
        <f>($V205+$X205+$Y205)*igst_rate_hs7602</f>
        <v/>
      </c>
      <c r="AA205" s="18">
        <f>Parity!$X$55*Parity!$AG$55+IF(Parity!$Y$55,psic_cost_usd_per_box*$F205/Parity!$W$55,0)</f>
        <v/>
      </c>
      <c r="AB205" s="18">
        <f>($W205+$X205+$Y205)*Parity!$Z$55/day_count_inr*Parity!$O$55</f>
        <v/>
      </c>
      <c r="AC205" s="18">
        <f>$Z205*igst_credit_lag_days/day_count_inr*Parity!$O$55</f>
        <v/>
      </c>
      <c r="AD205" s="18">
        <f>$W205+$X205+$Y205+$AA205+$AB205+$AC205+IF(igst_itc_available,0,$Z205)</f>
        <v/>
      </c>
      <c r="AE205" s="18">
        <f>$O205*kg_per_mt+domestic_anchor_premium_inr_t</f>
        <v/>
      </c>
      <c r="AF205" s="18">
        <f>(1-Parity!$AA$55)*Parity!$AD$55*heavies_net_value_frac_of_lme_al*$J205*$F205</f>
        <v/>
      </c>
      <c r="AG205" s="18">
        <f>$AE205*Parity!$AU$55+$AF205-$AD205-Parity!$AX$55</f>
        <v/>
      </c>
      <c r="AH205" s="8">
        <f>$AG205&gt;margin_threshold_inr_t</f>
        <v/>
      </c>
      <c r="AI205" s="18">
        <f>($AG205-$P205)*grid_tonnes_mt</f>
        <v/>
      </c>
    </row>
    <row r="206">
      <c r="A206" s="7" t="inlineStr">
        <is>
          <t>first_eligible_long_lane</t>
        </is>
      </c>
      <c r="B206" s="11" t="n">
        <v>44624</v>
      </c>
      <c r="C206" s="7" t="inlineStr">
        <is>
          <t>zorba</t>
        </is>
      </c>
      <c r="D206" s="7" t="inlineStr">
        <is>
          <t>USEC_MUN</t>
        </is>
      </c>
      <c r="E206" s="20" t="n">
        <v>10</v>
      </c>
      <c r="F206" s="7" t="n">
        <v>75</v>
      </c>
      <c r="G206" s="17" t="b">
        <v>0</v>
      </c>
      <c r="H206" s="8">
        <f>1+$E206/100</f>
        <v/>
      </c>
      <c r="I206" s="8">
        <f>$F206/Parity!$H$55</f>
        <v/>
      </c>
      <c r="J206" s="16">
        <f>Parity!$F$55*$H206</f>
        <v/>
      </c>
      <c r="K206" s="8">
        <f>Parity!$I$55*$I206</f>
        <v/>
      </c>
      <c r="L206" s="8">
        <f>Parity!$J$55*$I206</f>
        <v/>
      </c>
      <c r="M206" s="16">
        <f>(Market_Weekly!$K$14-mcx_domestic_premium_inr_kg)*$H206*$I206+mcx_domestic_premium_inr_kg</f>
        <v/>
      </c>
      <c r="N206" s="15">
        <f>Parity!$N$55/Market_Weekly!$K$14</f>
        <v/>
      </c>
      <c r="O206" s="16">
        <f>$M206*$N206</f>
        <v/>
      </c>
      <c r="P206" s="18">
        <f>Parity!$AY$55</f>
        <v/>
      </c>
      <c r="Q206" s="16">
        <f>$J206*Parity!$P$55</f>
        <v/>
      </c>
      <c r="R206" s="16">
        <f>Parity!$L$55*Parity!$AG$55</f>
        <v/>
      </c>
      <c r="S206" s="16">
        <f>$Q206-$R206</f>
        <v/>
      </c>
      <c r="T206" s="16">
        <f>insurance_rate*insured_value_uplift*$Q206</f>
        <v/>
      </c>
      <c r="U206" s="16">
        <f>$Q206+$T206</f>
        <v/>
      </c>
      <c r="V206" s="18">
        <f>$U206*$L206</f>
        <v/>
      </c>
      <c r="W206" s="18">
        <f>$U206*$K206</f>
        <v/>
      </c>
      <c r="X206" s="18">
        <f>$V206*bcd_scrap_hs7602</f>
        <v/>
      </c>
      <c r="Y206" s="18">
        <f>$X206*sws_rate_on_bcd</f>
        <v/>
      </c>
      <c r="Z206" s="18">
        <f>($V206+$X206+$Y206)*igst_rate_hs7602</f>
        <v/>
      </c>
      <c r="AA206" s="18">
        <f>Parity!$X$55*Parity!$AG$55+IF(Parity!$Y$55,psic_cost_usd_per_box*$F206/Parity!$W$55,0)</f>
        <v/>
      </c>
      <c r="AB206" s="18">
        <f>($W206+$X206+$Y206)*Parity!$Z$55/day_count_inr*Parity!$O$55</f>
        <v/>
      </c>
      <c r="AC206" s="18">
        <f>$Z206*igst_credit_lag_days/day_count_inr*Parity!$O$55</f>
        <v/>
      </c>
      <c r="AD206" s="18">
        <f>$W206+$X206+$Y206+$AA206+$AB206+$AC206+IF(igst_itc_available,0,$Z206)</f>
        <v/>
      </c>
      <c r="AE206" s="18">
        <f>$O206*kg_per_mt+domestic_anchor_premium_inr_t</f>
        <v/>
      </c>
      <c r="AF206" s="18">
        <f>(1-Parity!$AA$55)*Parity!$AD$55*heavies_net_value_frac_of_lme_al*$J206*$F206</f>
        <v/>
      </c>
      <c r="AG206" s="18">
        <f>$AE206*Parity!$AU$55+$AF206-$AD206-Parity!$AX$55</f>
        <v/>
      </c>
      <c r="AH206" s="8">
        <f>$AG206&gt;margin_threshold_inr_t</f>
        <v/>
      </c>
      <c r="AI206" s="18">
        <f>($AG206-$P206)*grid_tonnes_mt</f>
        <v/>
      </c>
    </row>
    <row r="207">
      <c r="A207" s="7" t="inlineStr">
        <is>
          <t>first_eligible_long_lane</t>
        </is>
      </c>
      <c r="B207" s="11" t="n">
        <v>44624</v>
      </c>
      <c r="C207" s="7" t="inlineStr">
        <is>
          <t>zorba</t>
        </is>
      </c>
      <c r="D207" s="7" t="inlineStr">
        <is>
          <t>USEC_MUN</t>
        </is>
      </c>
      <c r="E207" s="20" t="n">
        <v>-30</v>
      </c>
      <c r="F207" s="7" t="n">
        <v>76</v>
      </c>
      <c r="G207" s="17" t="b">
        <v>0</v>
      </c>
      <c r="H207" s="8">
        <f>1+$E207/100</f>
        <v/>
      </c>
      <c r="I207" s="8">
        <f>$F207/Parity!$H$55</f>
        <v/>
      </c>
      <c r="J207" s="16">
        <f>Parity!$F$55*$H207</f>
        <v/>
      </c>
      <c r="K207" s="8">
        <f>Parity!$I$55*$I207</f>
        <v/>
      </c>
      <c r="L207" s="8">
        <f>Parity!$J$55*$I207</f>
        <v/>
      </c>
      <c r="M207" s="16">
        <f>(Market_Weekly!$K$14-mcx_domestic_premium_inr_kg)*$H207*$I207+mcx_domestic_premium_inr_kg</f>
        <v/>
      </c>
      <c r="N207" s="15">
        <f>Parity!$N$55/Market_Weekly!$K$14</f>
        <v/>
      </c>
      <c r="O207" s="16">
        <f>$M207*$N207</f>
        <v/>
      </c>
      <c r="P207" s="18">
        <f>Parity!$AY$55</f>
        <v/>
      </c>
      <c r="Q207" s="16">
        <f>$J207*Parity!$P$55</f>
        <v/>
      </c>
      <c r="R207" s="16">
        <f>Parity!$L$55*Parity!$AG$55</f>
        <v/>
      </c>
      <c r="S207" s="16">
        <f>$Q207-$R207</f>
        <v/>
      </c>
      <c r="T207" s="16">
        <f>insurance_rate*insured_value_uplift*$Q207</f>
        <v/>
      </c>
      <c r="U207" s="16">
        <f>$Q207+$T207</f>
        <v/>
      </c>
      <c r="V207" s="18">
        <f>$U207*$L207</f>
        <v/>
      </c>
      <c r="W207" s="18">
        <f>$U207*$K207</f>
        <v/>
      </c>
      <c r="X207" s="18">
        <f>$V207*bcd_scrap_hs7602</f>
        <v/>
      </c>
      <c r="Y207" s="18">
        <f>$X207*sws_rate_on_bcd</f>
        <v/>
      </c>
      <c r="Z207" s="18">
        <f>($V207+$X207+$Y207)*igst_rate_hs7602</f>
        <v/>
      </c>
      <c r="AA207" s="18">
        <f>Parity!$X$55*Parity!$AG$55+IF(Parity!$Y$55,psic_cost_usd_per_box*$F207/Parity!$W$55,0)</f>
        <v/>
      </c>
      <c r="AB207" s="18">
        <f>($W207+$X207+$Y207)*Parity!$Z$55/day_count_inr*Parity!$O$55</f>
        <v/>
      </c>
      <c r="AC207" s="18">
        <f>$Z207*igst_credit_lag_days/day_count_inr*Parity!$O$55</f>
        <v/>
      </c>
      <c r="AD207" s="18">
        <f>$W207+$X207+$Y207+$AA207+$AB207+$AC207+IF(igst_itc_available,0,$Z207)</f>
        <v/>
      </c>
      <c r="AE207" s="18">
        <f>$O207*kg_per_mt+domestic_anchor_premium_inr_t</f>
        <v/>
      </c>
      <c r="AF207" s="18">
        <f>(1-Parity!$AA$55)*Parity!$AD$55*heavies_net_value_frac_of_lme_al*$J207*$F207</f>
        <v/>
      </c>
      <c r="AG207" s="18">
        <f>$AE207*Parity!$AU$55+$AF207-$AD207-Parity!$AX$55</f>
        <v/>
      </c>
      <c r="AH207" s="8">
        <f>$AG207&gt;margin_threshold_inr_t</f>
        <v/>
      </c>
      <c r="AI207" s="18">
        <f>($AG207-$P207)*grid_tonnes_mt</f>
        <v/>
      </c>
    </row>
    <row r="208">
      <c r="A208" s="7" t="inlineStr">
        <is>
          <t>first_eligible_long_lane</t>
        </is>
      </c>
      <c r="B208" s="11" t="n">
        <v>44624</v>
      </c>
      <c r="C208" s="7" t="inlineStr">
        <is>
          <t>zorba</t>
        </is>
      </c>
      <c r="D208" s="7" t="inlineStr">
        <is>
          <t>USEC_MUN</t>
        </is>
      </c>
      <c r="E208" s="20" t="n">
        <v>-25</v>
      </c>
      <c r="F208" s="7" t="n">
        <v>76</v>
      </c>
      <c r="G208" s="17" t="b">
        <v>0</v>
      </c>
      <c r="H208" s="8">
        <f>1+$E208/100</f>
        <v/>
      </c>
      <c r="I208" s="8">
        <f>$F208/Parity!$H$55</f>
        <v/>
      </c>
      <c r="J208" s="16">
        <f>Parity!$F$55*$H208</f>
        <v/>
      </c>
      <c r="K208" s="8">
        <f>Parity!$I$55*$I208</f>
        <v/>
      </c>
      <c r="L208" s="8">
        <f>Parity!$J$55*$I208</f>
        <v/>
      </c>
      <c r="M208" s="16">
        <f>(Market_Weekly!$K$14-mcx_domestic_premium_inr_kg)*$H208*$I208+mcx_domestic_premium_inr_kg</f>
        <v/>
      </c>
      <c r="N208" s="15">
        <f>Parity!$N$55/Market_Weekly!$K$14</f>
        <v/>
      </c>
      <c r="O208" s="16">
        <f>$M208*$N208</f>
        <v/>
      </c>
      <c r="P208" s="18">
        <f>Parity!$AY$55</f>
        <v/>
      </c>
      <c r="Q208" s="16">
        <f>$J208*Parity!$P$55</f>
        <v/>
      </c>
      <c r="R208" s="16">
        <f>Parity!$L$55*Parity!$AG$55</f>
        <v/>
      </c>
      <c r="S208" s="16">
        <f>$Q208-$R208</f>
        <v/>
      </c>
      <c r="T208" s="16">
        <f>insurance_rate*insured_value_uplift*$Q208</f>
        <v/>
      </c>
      <c r="U208" s="16">
        <f>$Q208+$T208</f>
        <v/>
      </c>
      <c r="V208" s="18">
        <f>$U208*$L208</f>
        <v/>
      </c>
      <c r="W208" s="18">
        <f>$U208*$K208</f>
        <v/>
      </c>
      <c r="X208" s="18">
        <f>$V208*bcd_scrap_hs7602</f>
        <v/>
      </c>
      <c r="Y208" s="18">
        <f>$X208*sws_rate_on_bcd</f>
        <v/>
      </c>
      <c r="Z208" s="18">
        <f>($V208+$X208+$Y208)*igst_rate_hs7602</f>
        <v/>
      </c>
      <c r="AA208" s="18">
        <f>Parity!$X$55*Parity!$AG$55+IF(Parity!$Y$55,psic_cost_usd_per_box*$F208/Parity!$W$55,0)</f>
        <v/>
      </c>
      <c r="AB208" s="18">
        <f>($W208+$X208+$Y208)*Parity!$Z$55/day_count_inr*Parity!$O$55</f>
        <v/>
      </c>
      <c r="AC208" s="18">
        <f>$Z208*igst_credit_lag_days/day_count_inr*Parity!$O$55</f>
        <v/>
      </c>
      <c r="AD208" s="18">
        <f>$W208+$X208+$Y208+$AA208+$AB208+$AC208+IF(igst_itc_available,0,$Z208)</f>
        <v/>
      </c>
      <c r="AE208" s="18">
        <f>$O208*kg_per_mt+domestic_anchor_premium_inr_t</f>
        <v/>
      </c>
      <c r="AF208" s="18">
        <f>(1-Parity!$AA$55)*Parity!$AD$55*heavies_net_value_frac_of_lme_al*$J208*$F208</f>
        <v/>
      </c>
      <c r="AG208" s="18">
        <f>$AE208*Parity!$AU$55+$AF208-$AD208-Parity!$AX$55</f>
        <v/>
      </c>
      <c r="AH208" s="8">
        <f>$AG208&gt;margin_threshold_inr_t</f>
        <v/>
      </c>
      <c r="AI208" s="18">
        <f>($AG208-$P208)*grid_tonnes_mt</f>
        <v/>
      </c>
    </row>
    <row r="209">
      <c r="A209" s="7" t="inlineStr">
        <is>
          <t>first_eligible_long_lane</t>
        </is>
      </c>
      <c r="B209" s="11" t="n">
        <v>44624</v>
      </c>
      <c r="C209" s="7" t="inlineStr">
        <is>
          <t>zorba</t>
        </is>
      </c>
      <c r="D209" s="7" t="inlineStr">
        <is>
          <t>USEC_MUN</t>
        </is>
      </c>
      <c r="E209" s="20" t="n">
        <v>-20</v>
      </c>
      <c r="F209" s="7" t="n">
        <v>76</v>
      </c>
      <c r="G209" s="17" t="b">
        <v>0</v>
      </c>
      <c r="H209" s="8">
        <f>1+$E209/100</f>
        <v/>
      </c>
      <c r="I209" s="8">
        <f>$F209/Parity!$H$55</f>
        <v/>
      </c>
      <c r="J209" s="16">
        <f>Parity!$F$55*$H209</f>
        <v/>
      </c>
      <c r="K209" s="8">
        <f>Parity!$I$55*$I209</f>
        <v/>
      </c>
      <c r="L209" s="8">
        <f>Parity!$J$55*$I209</f>
        <v/>
      </c>
      <c r="M209" s="16">
        <f>(Market_Weekly!$K$14-mcx_domestic_premium_inr_kg)*$H209*$I209+mcx_domestic_premium_inr_kg</f>
        <v/>
      </c>
      <c r="N209" s="15">
        <f>Parity!$N$55/Market_Weekly!$K$14</f>
        <v/>
      </c>
      <c r="O209" s="16">
        <f>$M209*$N209</f>
        <v/>
      </c>
      <c r="P209" s="18">
        <f>Parity!$AY$55</f>
        <v/>
      </c>
      <c r="Q209" s="16">
        <f>$J209*Parity!$P$55</f>
        <v/>
      </c>
      <c r="R209" s="16">
        <f>Parity!$L$55*Parity!$AG$55</f>
        <v/>
      </c>
      <c r="S209" s="16">
        <f>$Q209-$R209</f>
        <v/>
      </c>
      <c r="T209" s="16">
        <f>insurance_rate*insured_value_uplift*$Q209</f>
        <v/>
      </c>
      <c r="U209" s="16">
        <f>$Q209+$T209</f>
        <v/>
      </c>
      <c r="V209" s="18">
        <f>$U209*$L209</f>
        <v/>
      </c>
      <c r="W209" s="18">
        <f>$U209*$K209</f>
        <v/>
      </c>
      <c r="X209" s="18">
        <f>$V209*bcd_scrap_hs7602</f>
        <v/>
      </c>
      <c r="Y209" s="18">
        <f>$X209*sws_rate_on_bcd</f>
        <v/>
      </c>
      <c r="Z209" s="18">
        <f>($V209+$X209+$Y209)*igst_rate_hs7602</f>
        <v/>
      </c>
      <c r="AA209" s="18">
        <f>Parity!$X$55*Parity!$AG$55+IF(Parity!$Y$55,psic_cost_usd_per_box*$F209/Parity!$W$55,0)</f>
        <v/>
      </c>
      <c r="AB209" s="18">
        <f>($W209+$X209+$Y209)*Parity!$Z$55/day_count_inr*Parity!$O$55</f>
        <v/>
      </c>
      <c r="AC209" s="18">
        <f>$Z209*igst_credit_lag_days/day_count_inr*Parity!$O$55</f>
        <v/>
      </c>
      <c r="AD209" s="18">
        <f>$W209+$X209+$Y209+$AA209+$AB209+$AC209+IF(igst_itc_available,0,$Z209)</f>
        <v/>
      </c>
      <c r="AE209" s="18">
        <f>$O209*kg_per_mt+domestic_anchor_premium_inr_t</f>
        <v/>
      </c>
      <c r="AF209" s="18">
        <f>(1-Parity!$AA$55)*Parity!$AD$55*heavies_net_value_frac_of_lme_al*$J209*$F209</f>
        <v/>
      </c>
      <c r="AG209" s="18">
        <f>$AE209*Parity!$AU$55+$AF209-$AD209-Parity!$AX$55</f>
        <v/>
      </c>
      <c r="AH209" s="8">
        <f>$AG209&gt;margin_threshold_inr_t</f>
        <v/>
      </c>
      <c r="AI209" s="18">
        <f>($AG209-$P209)*grid_tonnes_mt</f>
        <v/>
      </c>
    </row>
    <row r="210">
      <c r="A210" s="7" t="inlineStr">
        <is>
          <t>first_eligible_long_lane</t>
        </is>
      </c>
      <c r="B210" s="11" t="n">
        <v>44624</v>
      </c>
      <c r="C210" s="7" t="inlineStr">
        <is>
          <t>zorba</t>
        </is>
      </c>
      <c r="D210" s="7" t="inlineStr">
        <is>
          <t>USEC_MUN</t>
        </is>
      </c>
      <c r="E210" s="20" t="n">
        <v>-15</v>
      </c>
      <c r="F210" s="7" t="n">
        <v>76</v>
      </c>
      <c r="G210" s="17" t="b">
        <v>0</v>
      </c>
      <c r="H210" s="8">
        <f>1+$E210/100</f>
        <v/>
      </c>
      <c r="I210" s="8">
        <f>$F210/Parity!$H$55</f>
        <v/>
      </c>
      <c r="J210" s="16">
        <f>Parity!$F$55*$H210</f>
        <v/>
      </c>
      <c r="K210" s="8">
        <f>Parity!$I$55*$I210</f>
        <v/>
      </c>
      <c r="L210" s="8">
        <f>Parity!$J$55*$I210</f>
        <v/>
      </c>
      <c r="M210" s="16">
        <f>(Market_Weekly!$K$14-mcx_domestic_premium_inr_kg)*$H210*$I210+mcx_domestic_premium_inr_kg</f>
        <v/>
      </c>
      <c r="N210" s="15">
        <f>Parity!$N$55/Market_Weekly!$K$14</f>
        <v/>
      </c>
      <c r="O210" s="16">
        <f>$M210*$N210</f>
        <v/>
      </c>
      <c r="P210" s="18">
        <f>Parity!$AY$55</f>
        <v/>
      </c>
      <c r="Q210" s="16">
        <f>$J210*Parity!$P$55</f>
        <v/>
      </c>
      <c r="R210" s="16">
        <f>Parity!$L$55*Parity!$AG$55</f>
        <v/>
      </c>
      <c r="S210" s="16">
        <f>$Q210-$R210</f>
        <v/>
      </c>
      <c r="T210" s="16">
        <f>insurance_rate*insured_value_uplift*$Q210</f>
        <v/>
      </c>
      <c r="U210" s="16">
        <f>$Q210+$T210</f>
        <v/>
      </c>
      <c r="V210" s="18">
        <f>$U210*$L210</f>
        <v/>
      </c>
      <c r="W210" s="18">
        <f>$U210*$K210</f>
        <v/>
      </c>
      <c r="X210" s="18">
        <f>$V210*bcd_scrap_hs7602</f>
        <v/>
      </c>
      <c r="Y210" s="18">
        <f>$X210*sws_rate_on_bcd</f>
        <v/>
      </c>
      <c r="Z210" s="18">
        <f>($V210+$X210+$Y210)*igst_rate_hs7602</f>
        <v/>
      </c>
      <c r="AA210" s="18">
        <f>Parity!$X$55*Parity!$AG$55+IF(Parity!$Y$55,psic_cost_usd_per_box*$F210/Parity!$W$55,0)</f>
        <v/>
      </c>
      <c r="AB210" s="18">
        <f>($W210+$X210+$Y210)*Parity!$Z$55/day_count_inr*Parity!$O$55</f>
        <v/>
      </c>
      <c r="AC210" s="18">
        <f>$Z210*igst_credit_lag_days/day_count_inr*Parity!$O$55</f>
        <v/>
      </c>
      <c r="AD210" s="18">
        <f>$W210+$X210+$Y210+$AA210+$AB210+$AC210+IF(igst_itc_available,0,$Z210)</f>
        <v/>
      </c>
      <c r="AE210" s="18">
        <f>$O210*kg_per_mt+domestic_anchor_premium_inr_t</f>
        <v/>
      </c>
      <c r="AF210" s="18">
        <f>(1-Parity!$AA$55)*Parity!$AD$55*heavies_net_value_frac_of_lme_al*$J210*$F210</f>
        <v/>
      </c>
      <c r="AG210" s="18">
        <f>$AE210*Parity!$AU$55+$AF210-$AD210-Parity!$AX$55</f>
        <v/>
      </c>
      <c r="AH210" s="8">
        <f>$AG210&gt;margin_threshold_inr_t</f>
        <v/>
      </c>
      <c r="AI210" s="18">
        <f>($AG210-$P210)*grid_tonnes_mt</f>
        <v/>
      </c>
    </row>
    <row r="211">
      <c r="A211" s="7" t="inlineStr">
        <is>
          <t>first_eligible_long_lane</t>
        </is>
      </c>
      <c r="B211" s="11" t="n">
        <v>44624</v>
      </c>
      <c r="C211" s="7" t="inlineStr">
        <is>
          <t>zorba</t>
        </is>
      </c>
      <c r="D211" s="7" t="inlineStr">
        <is>
          <t>USEC_MUN</t>
        </is>
      </c>
      <c r="E211" s="20" t="n">
        <v>-10</v>
      </c>
      <c r="F211" s="7" t="n">
        <v>76</v>
      </c>
      <c r="G211" s="17" t="b">
        <v>0</v>
      </c>
      <c r="H211" s="8">
        <f>1+$E211/100</f>
        <v/>
      </c>
      <c r="I211" s="8">
        <f>$F211/Parity!$H$55</f>
        <v/>
      </c>
      <c r="J211" s="16">
        <f>Parity!$F$55*$H211</f>
        <v/>
      </c>
      <c r="K211" s="8">
        <f>Parity!$I$55*$I211</f>
        <v/>
      </c>
      <c r="L211" s="8">
        <f>Parity!$J$55*$I211</f>
        <v/>
      </c>
      <c r="M211" s="16">
        <f>(Market_Weekly!$K$14-mcx_domestic_premium_inr_kg)*$H211*$I211+mcx_domestic_premium_inr_kg</f>
        <v/>
      </c>
      <c r="N211" s="15">
        <f>Parity!$N$55/Market_Weekly!$K$14</f>
        <v/>
      </c>
      <c r="O211" s="16">
        <f>$M211*$N211</f>
        <v/>
      </c>
      <c r="P211" s="18">
        <f>Parity!$AY$55</f>
        <v/>
      </c>
      <c r="Q211" s="16">
        <f>$J211*Parity!$P$55</f>
        <v/>
      </c>
      <c r="R211" s="16">
        <f>Parity!$L$55*Parity!$AG$55</f>
        <v/>
      </c>
      <c r="S211" s="16">
        <f>$Q211-$R211</f>
        <v/>
      </c>
      <c r="T211" s="16">
        <f>insurance_rate*insured_value_uplift*$Q211</f>
        <v/>
      </c>
      <c r="U211" s="16">
        <f>$Q211+$T211</f>
        <v/>
      </c>
      <c r="V211" s="18">
        <f>$U211*$L211</f>
        <v/>
      </c>
      <c r="W211" s="18">
        <f>$U211*$K211</f>
        <v/>
      </c>
      <c r="X211" s="18">
        <f>$V211*bcd_scrap_hs7602</f>
        <v/>
      </c>
      <c r="Y211" s="18">
        <f>$X211*sws_rate_on_bcd</f>
        <v/>
      </c>
      <c r="Z211" s="18">
        <f>($V211+$X211+$Y211)*igst_rate_hs7602</f>
        <v/>
      </c>
      <c r="AA211" s="18">
        <f>Parity!$X$55*Parity!$AG$55+IF(Parity!$Y$55,psic_cost_usd_per_box*$F211/Parity!$W$55,0)</f>
        <v/>
      </c>
      <c r="AB211" s="18">
        <f>($W211+$X211+$Y211)*Parity!$Z$55/day_count_inr*Parity!$O$55</f>
        <v/>
      </c>
      <c r="AC211" s="18">
        <f>$Z211*igst_credit_lag_days/day_count_inr*Parity!$O$55</f>
        <v/>
      </c>
      <c r="AD211" s="18">
        <f>$W211+$X211+$Y211+$AA211+$AB211+$AC211+IF(igst_itc_available,0,$Z211)</f>
        <v/>
      </c>
      <c r="AE211" s="18">
        <f>$O211*kg_per_mt+domestic_anchor_premium_inr_t</f>
        <v/>
      </c>
      <c r="AF211" s="18">
        <f>(1-Parity!$AA$55)*Parity!$AD$55*heavies_net_value_frac_of_lme_al*$J211*$F211</f>
        <v/>
      </c>
      <c r="AG211" s="18">
        <f>$AE211*Parity!$AU$55+$AF211-$AD211-Parity!$AX$55</f>
        <v/>
      </c>
      <c r="AH211" s="8">
        <f>$AG211&gt;margin_threshold_inr_t</f>
        <v/>
      </c>
      <c r="AI211" s="18">
        <f>($AG211-$P211)*grid_tonnes_mt</f>
        <v/>
      </c>
    </row>
    <row r="212">
      <c r="A212" s="7" t="inlineStr">
        <is>
          <t>first_eligible_long_lane</t>
        </is>
      </c>
      <c r="B212" s="11" t="n">
        <v>44624</v>
      </c>
      <c r="C212" s="7" t="inlineStr">
        <is>
          <t>zorba</t>
        </is>
      </c>
      <c r="D212" s="7" t="inlineStr">
        <is>
          <t>USEC_MUN</t>
        </is>
      </c>
      <c r="E212" s="20" t="n">
        <v>-5</v>
      </c>
      <c r="F212" s="7" t="n">
        <v>76</v>
      </c>
      <c r="G212" s="17" t="b">
        <v>0</v>
      </c>
      <c r="H212" s="8">
        <f>1+$E212/100</f>
        <v/>
      </c>
      <c r="I212" s="8">
        <f>$F212/Parity!$H$55</f>
        <v/>
      </c>
      <c r="J212" s="16">
        <f>Parity!$F$55*$H212</f>
        <v/>
      </c>
      <c r="K212" s="8">
        <f>Parity!$I$55*$I212</f>
        <v/>
      </c>
      <c r="L212" s="8">
        <f>Parity!$J$55*$I212</f>
        <v/>
      </c>
      <c r="M212" s="16">
        <f>(Market_Weekly!$K$14-mcx_domestic_premium_inr_kg)*$H212*$I212+mcx_domestic_premium_inr_kg</f>
        <v/>
      </c>
      <c r="N212" s="15">
        <f>Parity!$N$55/Market_Weekly!$K$14</f>
        <v/>
      </c>
      <c r="O212" s="16">
        <f>$M212*$N212</f>
        <v/>
      </c>
      <c r="P212" s="18">
        <f>Parity!$AY$55</f>
        <v/>
      </c>
      <c r="Q212" s="16">
        <f>$J212*Parity!$P$55</f>
        <v/>
      </c>
      <c r="R212" s="16">
        <f>Parity!$L$55*Parity!$AG$55</f>
        <v/>
      </c>
      <c r="S212" s="16">
        <f>$Q212-$R212</f>
        <v/>
      </c>
      <c r="T212" s="16">
        <f>insurance_rate*insured_value_uplift*$Q212</f>
        <v/>
      </c>
      <c r="U212" s="16">
        <f>$Q212+$T212</f>
        <v/>
      </c>
      <c r="V212" s="18">
        <f>$U212*$L212</f>
        <v/>
      </c>
      <c r="W212" s="18">
        <f>$U212*$K212</f>
        <v/>
      </c>
      <c r="X212" s="18">
        <f>$V212*bcd_scrap_hs7602</f>
        <v/>
      </c>
      <c r="Y212" s="18">
        <f>$X212*sws_rate_on_bcd</f>
        <v/>
      </c>
      <c r="Z212" s="18">
        <f>($V212+$X212+$Y212)*igst_rate_hs7602</f>
        <v/>
      </c>
      <c r="AA212" s="18">
        <f>Parity!$X$55*Parity!$AG$55+IF(Parity!$Y$55,psic_cost_usd_per_box*$F212/Parity!$W$55,0)</f>
        <v/>
      </c>
      <c r="AB212" s="18">
        <f>($W212+$X212+$Y212)*Parity!$Z$55/day_count_inr*Parity!$O$55</f>
        <v/>
      </c>
      <c r="AC212" s="18">
        <f>$Z212*igst_credit_lag_days/day_count_inr*Parity!$O$55</f>
        <v/>
      </c>
      <c r="AD212" s="18">
        <f>$W212+$X212+$Y212+$AA212+$AB212+$AC212+IF(igst_itc_available,0,$Z212)</f>
        <v/>
      </c>
      <c r="AE212" s="18">
        <f>$O212*kg_per_mt+domestic_anchor_premium_inr_t</f>
        <v/>
      </c>
      <c r="AF212" s="18">
        <f>(1-Parity!$AA$55)*Parity!$AD$55*heavies_net_value_frac_of_lme_al*$J212*$F212</f>
        <v/>
      </c>
      <c r="AG212" s="18">
        <f>$AE212*Parity!$AU$55+$AF212-$AD212-Parity!$AX$55</f>
        <v/>
      </c>
      <c r="AH212" s="8">
        <f>$AG212&gt;margin_threshold_inr_t</f>
        <v/>
      </c>
      <c r="AI212" s="18">
        <f>($AG212-$P212)*grid_tonnes_mt</f>
        <v/>
      </c>
    </row>
    <row r="213">
      <c r="A213" s="7" t="inlineStr">
        <is>
          <t>first_eligible_long_lane</t>
        </is>
      </c>
      <c r="B213" s="11" t="n">
        <v>44624</v>
      </c>
      <c r="C213" s="7" t="inlineStr">
        <is>
          <t>zorba</t>
        </is>
      </c>
      <c r="D213" s="7" t="inlineStr">
        <is>
          <t>USEC_MUN</t>
        </is>
      </c>
      <c r="E213" s="20" t="n">
        <v>0</v>
      </c>
      <c r="F213" s="7" t="n">
        <v>76</v>
      </c>
      <c r="G213" s="17" t="b">
        <v>0</v>
      </c>
      <c r="H213" s="8">
        <f>1+$E213/100</f>
        <v/>
      </c>
      <c r="I213" s="8">
        <f>$F213/Parity!$H$55</f>
        <v/>
      </c>
      <c r="J213" s="16">
        <f>Parity!$F$55*$H213</f>
        <v/>
      </c>
      <c r="K213" s="8">
        <f>Parity!$I$55*$I213</f>
        <v/>
      </c>
      <c r="L213" s="8">
        <f>Parity!$J$55*$I213</f>
        <v/>
      </c>
      <c r="M213" s="16">
        <f>(Market_Weekly!$K$14-mcx_domestic_premium_inr_kg)*$H213*$I213+mcx_domestic_premium_inr_kg</f>
        <v/>
      </c>
      <c r="N213" s="15">
        <f>Parity!$N$55/Market_Weekly!$K$14</f>
        <v/>
      </c>
      <c r="O213" s="16">
        <f>$M213*$N213</f>
        <v/>
      </c>
      <c r="P213" s="18">
        <f>Parity!$AY$55</f>
        <v/>
      </c>
      <c r="Q213" s="16">
        <f>$J213*Parity!$P$55</f>
        <v/>
      </c>
      <c r="R213" s="16">
        <f>Parity!$L$55*Parity!$AG$55</f>
        <v/>
      </c>
      <c r="S213" s="16">
        <f>$Q213-$R213</f>
        <v/>
      </c>
      <c r="T213" s="16">
        <f>insurance_rate*insured_value_uplift*$Q213</f>
        <v/>
      </c>
      <c r="U213" s="16">
        <f>$Q213+$T213</f>
        <v/>
      </c>
      <c r="V213" s="18">
        <f>$U213*$L213</f>
        <v/>
      </c>
      <c r="W213" s="18">
        <f>$U213*$K213</f>
        <v/>
      </c>
      <c r="X213" s="18">
        <f>$V213*bcd_scrap_hs7602</f>
        <v/>
      </c>
      <c r="Y213" s="18">
        <f>$X213*sws_rate_on_bcd</f>
        <v/>
      </c>
      <c r="Z213" s="18">
        <f>($V213+$X213+$Y213)*igst_rate_hs7602</f>
        <v/>
      </c>
      <c r="AA213" s="18">
        <f>Parity!$X$55*Parity!$AG$55+IF(Parity!$Y$55,psic_cost_usd_per_box*$F213/Parity!$W$55,0)</f>
        <v/>
      </c>
      <c r="AB213" s="18">
        <f>($W213+$X213+$Y213)*Parity!$Z$55/day_count_inr*Parity!$O$55</f>
        <v/>
      </c>
      <c r="AC213" s="18">
        <f>$Z213*igst_credit_lag_days/day_count_inr*Parity!$O$55</f>
        <v/>
      </c>
      <c r="AD213" s="18">
        <f>$W213+$X213+$Y213+$AA213+$AB213+$AC213+IF(igst_itc_available,0,$Z213)</f>
        <v/>
      </c>
      <c r="AE213" s="18">
        <f>$O213*kg_per_mt+domestic_anchor_premium_inr_t</f>
        <v/>
      </c>
      <c r="AF213" s="18">
        <f>(1-Parity!$AA$55)*Parity!$AD$55*heavies_net_value_frac_of_lme_al*$J213*$F213</f>
        <v/>
      </c>
      <c r="AG213" s="18">
        <f>$AE213*Parity!$AU$55+$AF213-$AD213-Parity!$AX$55</f>
        <v/>
      </c>
      <c r="AH213" s="8">
        <f>$AG213&gt;margin_threshold_inr_t</f>
        <v/>
      </c>
      <c r="AI213" s="18">
        <f>($AG213-$P213)*grid_tonnes_mt</f>
        <v/>
      </c>
    </row>
    <row r="214">
      <c r="A214" s="7" t="inlineStr">
        <is>
          <t>first_eligible_long_lane</t>
        </is>
      </c>
      <c r="B214" s="11" t="n">
        <v>44624</v>
      </c>
      <c r="C214" s="7" t="inlineStr">
        <is>
          <t>zorba</t>
        </is>
      </c>
      <c r="D214" s="7" t="inlineStr">
        <is>
          <t>USEC_MUN</t>
        </is>
      </c>
      <c r="E214" s="20" t="n">
        <v>5</v>
      </c>
      <c r="F214" s="7" t="n">
        <v>76</v>
      </c>
      <c r="G214" s="17" t="b">
        <v>0</v>
      </c>
      <c r="H214" s="8">
        <f>1+$E214/100</f>
        <v/>
      </c>
      <c r="I214" s="8">
        <f>$F214/Parity!$H$55</f>
        <v/>
      </c>
      <c r="J214" s="16">
        <f>Parity!$F$55*$H214</f>
        <v/>
      </c>
      <c r="K214" s="8">
        <f>Parity!$I$55*$I214</f>
        <v/>
      </c>
      <c r="L214" s="8">
        <f>Parity!$J$55*$I214</f>
        <v/>
      </c>
      <c r="M214" s="16">
        <f>(Market_Weekly!$K$14-mcx_domestic_premium_inr_kg)*$H214*$I214+mcx_domestic_premium_inr_kg</f>
        <v/>
      </c>
      <c r="N214" s="15">
        <f>Parity!$N$55/Market_Weekly!$K$14</f>
        <v/>
      </c>
      <c r="O214" s="16">
        <f>$M214*$N214</f>
        <v/>
      </c>
      <c r="P214" s="18">
        <f>Parity!$AY$55</f>
        <v/>
      </c>
      <c r="Q214" s="16">
        <f>$J214*Parity!$P$55</f>
        <v/>
      </c>
      <c r="R214" s="16">
        <f>Parity!$L$55*Parity!$AG$55</f>
        <v/>
      </c>
      <c r="S214" s="16">
        <f>$Q214-$R214</f>
        <v/>
      </c>
      <c r="T214" s="16">
        <f>insurance_rate*insured_value_uplift*$Q214</f>
        <v/>
      </c>
      <c r="U214" s="16">
        <f>$Q214+$T214</f>
        <v/>
      </c>
      <c r="V214" s="18">
        <f>$U214*$L214</f>
        <v/>
      </c>
      <c r="W214" s="18">
        <f>$U214*$K214</f>
        <v/>
      </c>
      <c r="X214" s="18">
        <f>$V214*bcd_scrap_hs7602</f>
        <v/>
      </c>
      <c r="Y214" s="18">
        <f>$X214*sws_rate_on_bcd</f>
        <v/>
      </c>
      <c r="Z214" s="18">
        <f>($V214+$X214+$Y214)*igst_rate_hs7602</f>
        <v/>
      </c>
      <c r="AA214" s="18">
        <f>Parity!$X$55*Parity!$AG$55+IF(Parity!$Y$55,psic_cost_usd_per_box*$F214/Parity!$W$55,0)</f>
        <v/>
      </c>
      <c r="AB214" s="18">
        <f>($W214+$X214+$Y214)*Parity!$Z$55/day_count_inr*Parity!$O$55</f>
        <v/>
      </c>
      <c r="AC214" s="18">
        <f>$Z214*igst_credit_lag_days/day_count_inr*Parity!$O$55</f>
        <v/>
      </c>
      <c r="AD214" s="18">
        <f>$W214+$X214+$Y214+$AA214+$AB214+$AC214+IF(igst_itc_available,0,$Z214)</f>
        <v/>
      </c>
      <c r="AE214" s="18">
        <f>$O214*kg_per_mt+domestic_anchor_premium_inr_t</f>
        <v/>
      </c>
      <c r="AF214" s="18">
        <f>(1-Parity!$AA$55)*Parity!$AD$55*heavies_net_value_frac_of_lme_al*$J214*$F214</f>
        <v/>
      </c>
      <c r="AG214" s="18">
        <f>$AE214*Parity!$AU$55+$AF214-$AD214-Parity!$AX$55</f>
        <v/>
      </c>
      <c r="AH214" s="8">
        <f>$AG214&gt;margin_threshold_inr_t</f>
        <v/>
      </c>
      <c r="AI214" s="18">
        <f>($AG214-$P214)*grid_tonnes_mt</f>
        <v/>
      </c>
    </row>
    <row r="215">
      <c r="A215" s="7" t="inlineStr">
        <is>
          <t>first_eligible_long_lane</t>
        </is>
      </c>
      <c r="B215" s="11" t="n">
        <v>44624</v>
      </c>
      <c r="C215" s="7" t="inlineStr">
        <is>
          <t>zorba</t>
        </is>
      </c>
      <c r="D215" s="7" t="inlineStr">
        <is>
          <t>USEC_MUN</t>
        </is>
      </c>
      <c r="E215" s="20" t="n">
        <v>10</v>
      </c>
      <c r="F215" s="7" t="n">
        <v>76</v>
      </c>
      <c r="G215" s="17" t="b">
        <v>0</v>
      </c>
      <c r="H215" s="8">
        <f>1+$E215/100</f>
        <v/>
      </c>
      <c r="I215" s="8">
        <f>$F215/Parity!$H$55</f>
        <v/>
      </c>
      <c r="J215" s="16">
        <f>Parity!$F$55*$H215</f>
        <v/>
      </c>
      <c r="K215" s="8">
        <f>Parity!$I$55*$I215</f>
        <v/>
      </c>
      <c r="L215" s="8">
        <f>Parity!$J$55*$I215</f>
        <v/>
      </c>
      <c r="M215" s="16">
        <f>(Market_Weekly!$K$14-mcx_domestic_premium_inr_kg)*$H215*$I215+mcx_domestic_premium_inr_kg</f>
        <v/>
      </c>
      <c r="N215" s="15">
        <f>Parity!$N$55/Market_Weekly!$K$14</f>
        <v/>
      </c>
      <c r="O215" s="16">
        <f>$M215*$N215</f>
        <v/>
      </c>
      <c r="P215" s="18">
        <f>Parity!$AY$55</f>
        <v/>
      </c>
      <c r="Q215" s="16">
        <f>$J215*Parity!$P$55</f>
        <v/>
      </c>
      <c r="R215" s="16">
        <f>Parity!$L$55*Parity!$AG$55</f>
        <v/>
      </c>
      <c r="S215" s="16">
        <f>$Q215-$R215</f>
        <v/>
      </c>
      <c r="T215" s="16">
        <f>insurance_rate*insured_value_uplift*$Q215</f>
        <v/>
      </c>
      <c r="U215" s="16">
        <f>$Q215+$T215</f>
        <v/>
      </c>
      <c r="V215" s="18">
        <f>$U215*$L215</f>
        <v/>
      </c>
      <c r="W215" s="18">
        <f>$U215*$K215</f>
        <v/>
      </c>
      <c r="X215" s="18">
        <f>$V215*bcd_scrap_hs7602</f>
        <v/>
      </c>
      <c r="Y215" s="18">
        <f>$X215*sws_rate_on_bcd</f>
        <v/>
      </c>
      <c r="Z215" s="18">
        <f>($V215+$X215+$Y215)*igst_rate_hs7602</f>
        <v/>
      </c>
      <c r="AA215" s="18">
        <f>Parity!$X$55*Parity!$AG$55+IF(Parity!$Y$55,psic_cost_usd_per_box*$F215/Parity!$W$55,0)</f>
        <v/>
      </c>
      <c r="AB215" s="18">
        <f>($W215+$X215+$Y215)*Parity!$Z$55/day_count_inr*Parity!$O$55</f>
        <v/>
      </c>
      <c r="AC215" s="18">
        <f>$Z215*igst_credit_lag_days/day_count_inr*Parity!$O$55</f>
        <v/>
      </c>
      <c r="AD215" s="18">
        <f>$W215+$X215+$Y215+$AA215+$AB215+$AC215+IF(igst_itc_available,0,$Z215)</f>
        <v/>
      </c>
      <c r="AE215" s="18">
        <f>$O215*kg_per_mt+domestic_anchor_premium_inr_t</f>
        <v/>
      </c>
      <c r="AF215" s="18">
        <f>(1-Parity!$AA$55)*Parity!$AD$55*heavies_net_value_frac_of_lme_al*$J215*$F215</f>
        <v/>
      </c>
      <c r="AG215" s="18">
        <f>$AE215*Parity!$AU$55+$AF215-$AD215-Parity!$AX$55</f>
        <v/>
      </c>
      <c r="AH215" s="8">
        <f>$AG215&gt;margin_threshold_inr_t</f>
        <v/>
      </c>
      <c r="AI215" s="18">
        <f>($AG215-$P215)*grid_tonnes_mt</f>
        <v/>
      </c>
    </row>
    <row r="216">
      <c r="A216" s="7" t="inlineStr">
        <is>
          <t>first_eligible_long_lane</t>
        </is>
      </c>
      <c r="B216" s="11" t="n">
        <v>44624</v>
      </c>
      <c r="C216" s="7" t="inlineStr">
        <is>
          <t>zorba</t>
        </is>
      </c>
      <c r="D216" s="7" t="inlineStr">
        <is>
          <t>USEC_MUN</t>
        </is>
      </c>
      <c r="E216" s="20" t="n">
        <v>-30</v>
      </c>
      <c r="F216" s="7" t="n">
        <v>77</v>
      </c>
      <c r="G216" s="17" t="b">
        <v>0</v>
      </c>
      <c r="H216" s="8">
        <f>1+$E216/100</f>
        <v/>
      </c>
      <c r="I216" s="8">
        <f>$F216/Parity!$H$55</f>
        <v/>
      </c>
      <c r="J216" s="16">
        <f>Parity!$F$55*$H216</f>
        <v/>
      </c>
      <c r="K216" s="8">
        <f>Parity!$I$55*$I216</f>
        <v/>
      </c>
      <c r="L216" s="8">
        <f>Parity!$J$55*$I216</f>
        <v/>
      </c>
      <c r="M216" s="16">
        <f>(Market_Weekly!$K$14-mcx_domestic_premium_inr_kg)*$H216*$I216+mcx_domestic_premium_inr_kg</f>
        <v/>
      </c>
      <c r="N216" s="15">
        <f>Parity!$N$55/Market_Weekly!$K$14</f>
        <v/>
      </c>
      <c r="O216" s="16">
        <f>$M216*$N216</f>
        <v/>
      </c>
      <c r="P216" s="18">
        <f>Parity!$AY$55</f>
        <v/>
      </c>
      <c r="Q216" s="16">
        <f>$J216*Parity!$P$55</f>
        <v/>
      </c>
      <c r="R216" s="16">
        <f>Parity!$L$55*Parity!$AG$55</f>
        <v/>
      </c>
      <c r="S216" s="16">
        <f>$Q216-$R216</f>
        <v/>
      </c>
      <c r="T216" s="16">
        <f>insurance_rate*insured_value_uplift*$Q216</f>
        <v/>
      </c>
      <c r="U216" s="16">
        <f>$Q216+$T216</f>
        <v/>
      </c>
      <c r="V216" s="18">
        <f>$U216*$L216</f>
        <v/>
      </c>
      <c r="W216" s="18">
        <f>$U216*$K216</f>
        <v/>
      </c>
      <c r="X216" s="18">
        <f>$V216*bcd_scrap_hs7602</f>
        <v/>
      </c>
      <c r="Y216" s="18">
        <f>$X216*sws_rate_on_bcd</f>
        <v/>
      </c>
      <c r="Z216" s="18">
        <f>($V216+$X216+$Y216)*igst_rate_hs7602</f>
        <v/>
      </c>
      <c r="AA216" s="18">
        <f>Parity!$X$55*Parity!$AG$55+IF(Parity!$Y$55,psic_cost_usd_per_box*$F216/Parity!$W$55,0)</f>
        <v/>
      </c>
      <c r="AB216" s="18">
        <f>($W216+$X216+$Y216)*Parity!$Z$55/day_count_inr*Parity!$O$55</f>
        <v/>
      </c>
      <c r="AC216" s="18">
        <f>$Z216*igst_credit_lag_days/day_count_inr*Parity!$O$55</f>
        <v/>
      </c>
      <c r="AD216" s="18">
        <f>$W216+$X216+$Y216+$AA216+$AB216+$AC216+IF(igst_itc_available,0,$Z216)</f>
        <v/>
      </c>
      <c r="AE216" s="18">
        <f>$O216*kg_per_mt+domestic_anchor_premium_inr_t</f>
        <v/>
      </c>
      <c r="AF216" s="18">
        <f>(1-Parity!$AA$55)*Parity!$AD$55*heavies_net_value_frac_of_lme_al*$J216*$F216</f>
        <v/>
      </c>
      <c r="AG216" s="18">
        <f>$AE216*Parity!$AU$55+$AF216-$AD216-Parity!$AX$55</f>
        <v/>
      </c>
      <c r="AH216" s="8">
        <f>$AG216&gt;margin_threshold_inr_t</f>
        <v/>
      </c>
      <c r="AI216" s="18">
        <f>($AG216-$P216)*grid_tonnes_mt</f>
        <v/>
      </c>
    </row>
    <row r="217">
      <c r="A217" s="7" t="inlineStr">
        <is>
          <t>first_eligible_long_lane</t>
        </is>
      </c>
      <c r="B217" s="11" t="n">
        <v>44624</v>
      </c>
      <c r="C217" s="7" t="inlineStr">
        <is>
          <t>zorba</t>
        </is>
      </c>
      <c r="D217" s="7" t="inlineStr">
        <is>
          <t>USEC_MUN</t>
        </is>
      </c>
      <c r="E217" s="20" t="n">
        <v>-25</v>
      </c>
      <c r="F217" s="7" t="n">
        <v>77</v>
      </c>
      <c r="G217" s="17" t="b">
        <v>0</v>
      </c>
      <c r="H217" s="8">
        <f>1+$E217/100</f>
        <v/>
      </c>
      <c r="I217" s="8">
        <f>$F217/Parity!$H$55</f>
        <v/>
      </c>
      <c r="J217" s="16">
        <f>Parity!$F$55*$H217</f>
        <v/>
      </c>
      <c r="K217" s="8">
        <f>Parity!$I$55*$I217</f>
        <v/>
      </c>
      <c r="L217" s="8">
        <f>Parity!$J$55*$I217</f>
        <v/>
      </c>
      <c r="M217" s="16">
        <f>(Market_Weekly!$K$14-mcx_domestic_premium_inr_kg)*$H217*$I217+mcx_domestic_premium_inr_kg</f>
        <v/>
      </c>
      <c r="N217" s="15">
        <f>Parity!$N$55/Market_Weekly!$K$14</f>
        <v/>
      </c>
      <c r="O217" s="16">
        <f>$M217*$N217</f>
        <v/>
      </c>
      <c r="P217" s="18">
        <f>Parity!$AY$55</f>
        <v/>
      </c>
      <c r="Q217" s="16">
        <f>$J217*Parity!$P$55</f>
        <v/>
      </c>
      <c r="R217" s="16">
        <f>Parity!$L$55*Parity!$AG$55</f>
        <v/>
      </c>
      <c r="S217" s="16">
        <f>$Q217-$R217</f>
        <v/>
      </c>
      <c r="T217" s="16">
        <f>insurance_rate*insured_value_uplift*$Q217</f>
        <v/>
      </c>
      <c r="U217" s="16">
        <f>$Q217+$T217</f>
        <v/>
      </c>
      <c r="V217" s="18">
        <f>$U217*$L217</f>
        <v/>
      </c>
      <c r="W217" s="18">
        <f>$U217*$K217</f>
        <v/>
      </c>
      <c r="X217" s="18">
        <f>$V217*bcd_scrap_hs7602</f>
        <v/>
      </c>
      <c r="Y217" s="18">
        <f>$X217*sws_rate_on_bcd</f>
        <v/>
      </c>
      <c r="Z217" s="18">
        <f>($V217+$X217+$Y217)*igst_rate_hs7602</f>
        <v/>
      </c>
      <c r="AA217" s="18">
        <f>Parity!$X$55*Parity!$AG$55+IF(Parity!$Y$55,psic_cost_usd_per_box*$F217/Parity!$W$55,0)</f>
        <v/>
      </c>
      <c r="AB217" s="18">
        <f>($W217+$X217+$Y217)*Parity!$Z$55/day_count_inr*Parity!$O$55</f>
        <v/>
      </c>
      <c r="AC217" s="18">
        <f>$Z217*igst_credit_lag_days/day_count_inr*Parity!$O$55</f>
        <v/>
      </c>
      <c r="AD217" s="18">
        <f>$W217+$X217+$Y217+$AA217+$AB217+$AC217+IF(igst_itc_available,0,$Z217)</f>
        <v/>
      </c>
      <c r="AE217" s="18">
        <f>$O217*kg_per_mt+domestic_anchor_premium_inr_t</f>
        <v/>
      </c>
      <c r="AF217" s="18">
        <f>(1-Parity!$AA$55)*Parity!$AD$55*heavies_net_value_frac_of_lme_al*$J217*$F217</f>
        <v/>
      </c>
      <c r="AG217" s="18">
        <f>$AE217*Parity!$AU$55+$AF217-$AD217-Parity!$AX$55</f>
        <v/>
      </c>
      <c r="AH217" s="8">
        <f>$AG217&gt;margin_threshold_inr_t</f>
        <v/>
      </c>
      <c r="AI217" s="18">
        <f>($AG217-$P217)*grid_tonnes_mt</f>
        <v/>
      </c>
    </row>
    <row r="218">
      <c r="A218" s="7" t="inlineStr">
        <is>
          <t>first_eligible_long_lane</t>
        </is>
      </c>
      <c r="B218" s="11" t="n">
        <v>44624</v>
      </c>
      <c r="C218" s="7" t="inlineStr">
        <is>
          <t>zorba</t>
        </is>
      </c>
      <c r="D218" s="7" t="inlineStr">
        <is>
          <t>USEC_MUN</t>
        </is>
      </c>
      <c r="E218" s="20" t="n">
        <v>-20</v>
      </c>
      <c r="F218" s="7" t="n">
        <v>77</v>
      </c>
      <c r="G218" s="17" t="b">
        <v>0</v>
      </c>
      <c r="H218" s="8">
        <f>1+$E218/100</f>
        <v/>
      </c>
      <c r="I218" s="8">
        <f>$F218/Parity!$H$55</f>
        <v/>
      </c>
      <c r="J218" s="16">
        <f>Parity!$F$55*$H218</f>
        <v/>
      </c>
      <c r="K218" s="8">
        <f>Parity!$I$55*$I218</f>
        <v/>
      </c>
      <c r="L218" s="8">
        <f>Parity!$J$55*$I218</f>
        <v/>
      </c>
      <c r="M218" s="16">
        <f>(Market_Weekly!$K$14-mcx_domestic_premium_inr_kg)*$H218*$I218+mcx_domestic_premium_inr_kg</f>
        <v/>
      </c>
      <c r="N218" s="15">
        <f>Parity!$N$55/Market_Weekly!$K$14</f>
        <v/>
      </c>
      <c r="O218" s="16">
        <f>$M218*$N218</f>
        <v/>
      </c>
      <c r="P218" s="18">
        <f>Parity!$AY$55</f>
        <v/>
      </c>
      <c r="Q218" s="16">
        <f>$J218*Parity!$P$55</f>
        <v/>
      </c>
      <c r="R218" s="16">
        <f>Parity!$L$55*Parity!$AG$55</f>
        <v/>
      </c>
      <c r="S218" s="16">
        <f>$Q218-$R218</f>
        <v/>
      </c>
      <c r="T218" s="16">
        <f>insurance_rate*insured_value_uplift*$Q218</f>
        <v/>
      </c>
      <c r="U218" s="16">
        <f>$Q218+$T218</f>
        <v/>
      </c>
      <c r="V218" s="18">
        <f>$U218*$L218</f>
        <v/>
      </c>
      <c r="W218" s="18">
        <f>$U218*$K218</f>
        <v/>
      </c>
      <c r="X218" s="18">
        <f>$V218*bcd_scrap_hs7602</f>
        <v/>
      </c>
      <c r="Y218" s="18">
        <f>$X218*sws_rate_on_bcd</f>
        <v/>
      </c>
      <c r="Z218" s="18">
        <f>($V218+$X218+$Y218)*igst_rate_hs7602</f>
        <v/>
      </c>
      <c r="AA218" s="18">
        <f>Parity!$X$55*Parity!$AG$55+IF(Parity!$Y$55,psic_cost_usd_per_box*$F218/Parity!$W$55,0)</f>
        <v/>
      </c>
      <c r="AB218" s="18">
        <f>($W218+$X218+$Y218)*Parity!$Z$55/day_count_inr*Parity!$O$55</f>
        <v/>
      </c>
      <c r="AC218" s="18">
        <f>$Z218*igst_credit_lag_days/day_count_inr*Parity!$O$55</f>
        <v/>
      </c>
      <c r="AD218" s="18">
        <f>$W218+$X218+$Y218+$AA218+$AB218+$AC218+IF(igst_itc_available,0,$Z218)</f>
        <v/>
      </c>
      <c r="AE218" s="18">
        <f>$O218*kg_per_mt+domestic_anchor_premium_inr_t</f>
        <v/>
      </c>
      <c r="AF218" s="18">
        <f>(1-Parity!$AA$55)*Parity!$AD$55*heavies_net_value_frac_of_lme_al*$J218*$F218</f>
        <v/>
      </c>
      <c r="AG218" s="18">
        <f>$AE218*Parity!$AU$55+$AF218-$AD218-Parity!$AX$55</f>
        <v/>
      </c>
      <c r="AH218" s="8">
        <f>$AG218&gt;margin_threshold_inr_t</f>
        <v/>
      </c>
      <c r="AI218" s="18">
        <f>($AG218-$P218)*grid_tonnes_mt</f>
        <v/>
      </c>
    </row>
    <row r="219">
      <c r="A219" s="7" t="inlineStr">
        <is>
          <t>first_eligible_long_lane</t>
        </is>
      </c>
      <c r="B219" s="11" t="n">
        <v>44624</v>
      </c>
      <c r="C219" s="7" t="inlineStr">
        <is>
          <t>zorba</t>
        </is>
      </c>
      <c r="D219" s="7" t="inlineStr">
        <is>
          <t>USEC_MUN</t>
        </is>
      </c>
      <c r="E219" s="20" t="n">
        <v>-15</v>
      </c>
      <c r="F219" s="7" t="n">
        <v>77</v>
      </c>
      <c r="G219" s="17" t="b">
        <v>0</v>
      </c>
      <c r="H219" s="8">
        <f>1+$E219/100</f>
        <v/>
      </c>
      <c r="I219" s="8">
        <f>$F219/Parity!$H$55</f>
        <v/>
      </c>
      <c r="J219" s="16">
        <f>Parity!$F$55*$H219</f>
        <v/>
      </c>
      <c r="K219" s="8">
        <f>Parity!$I$55*$I219</f>
        <v/>
      </c>
      <c r="L219" s="8">
        <f>Parity!$J$55*$I219</f>
        <v/>
      </c>
      <c r="M219" s="16">
        <f>(Market_Weekly!$K$14-mcx_domestic_premium_inr_kg)*$H219*$I219+mcx_domestic_premium_inr_kg</f>
        <v/>
      </c>
      <c r="N219" s="15">
        <f>Parity!$N$55/Market_Weekly!$K$14</f>
        <v/>
      </c>
      <c r="O219" s="16">
        <f>$M219*$N219</f>
        <v/>
      </c>
      <c r="P219" s="18">
        <f>Parity!$AY$55</f>
        <v/>
      </c>
      <c r="Q219" s="16">
        <f>$J219*Parity!$P$55</f>
        <v/>
      </c>
      <c r="R219" s="16">
        <f>Parity!$L$55*Parity!$AG$55</f>
        <v/>
      </c>
      <c r="S219" s="16">
        <f>$Q219-$R219</f>
        <v/>
      </c>
      <c r="T219" s="16">
        <f>insurance_rate*insured_value_uplift*$Q219</f>
        <v/>
      </c>
      <c r="U219" s="16">
        <f>$Q219+$T219</f>
        <v/>
      </c>
      <c r="V219" s="18">
        <f>$U219*$L219</f>
        <v/>
      </c>
      <c r="W219" s="18">
        <f>$U219*$K219</f>
        <v/>
      </c>
      <c r="X219" s="18">
        <f>$V219*bcd_scrap_hs7602</f>
        <v/>
      </c>
      <c r="Y219" s="18">
        <f>$X219*sws_rate_on_bcd</f>
        <v/>
      </c>
      <c r="Z219" s="18">
        <f>($V219+$X219+$Y219)*igst_rate_hs7602</f>
        <v/>
      </c>
      <c r="AA219" s="18">
        <f>Parity!$X$55*Parity!$AG$55+IF(Parity!$Y$55,psic_cost_usd_per_box*$F219/Parity!$W$55,0)</f>
        <v/>
      </c>
      <c r="AB219" s="18">
        <f>($W219+$X219+$Y219)*Parity!$Z$55/day_count_inr*Parity!$O$55</f>
        <v/>
      </c>
      <c r="AC219" s="18">
        <f>$Z219*igst_credit_lag_days/day_count_inr*Parity!$O$55</f>
        <v/>
      </c>
      <c r="AD219" s="18">
        <f>$W219+$X219+$Y219+$AA219+$AB219+$AC219+IF(igst_itc_available,0,$Z219)</f>
        <v/>
      </c>
      <c r="AE219" s="18">
        <f>$O219*kg_per_mt+domestic_anchor_premium_inr_t</f>
        <v/>
      </c>
      <c r="AF219" s="18">
        <f>(1-Parity!$AA$55)*Parity!$AD$55*heavies_net_value_frac_of_lme_al*$J219*$F219</f>
        <v/>
      </c>
      <c r="AG219" s="18">
        <f>$AE219*Parity!$AU$55+$AF219-$AD219-Parity!$AX$55</f>
        <v/>
      </c>
      <c r="AH219" s="8">
        <f>$AG219&gt;margin_threshold_inr_t</f>
        <v/>
      </c>
      <c r="AI219" s="18">
        <f>($AG219-$P219)*grid_tonnes_mt</f>
        <v/>
      </c>
    </row>
    <row r="220">
      <c r="A220" s="7" t="inlineStr">
        <is>
          <t>first_eligible_long_lane</t>
        </is>
      </c>
      <c r="B220" s="11" t="n">
        <v>44624</v>
      </c>
      <c r="C220" s="7" t="inlineStr">
        <is>
          <t>zorba</t>
        </is>
      </c>
      <c r="D220" s="7" t="inlineStr">
        <is>
          <t>USEC_MUN</t>
        </is>
      </c>
      <c r="E220" s="20" t="n">
        <v>-10</v>
      </c>
      <c r="F220" s="7" t="n">
        <v>77</v>
      </c>
      <c r="G220" s="17" t="b">
        <v>0</v>
      </c>
      <c r="H220" s="8">
        <f>1+$E220/100</f>
        <v/>
      </c>
      <c r="I220" s="8">
        <f>$F220/Parity!$H$55</f>
        <v/>
      </c>
      <c r="J220" s="16">
        <f>Parity!$F$55*$H220</f>
        <v/>
      </c>
      <c r="K220" s="8">
        <f>Parity!$I$55*$I220</f>
        <v/>
      </c>
      <c r="L220" s="8">
        <f>Parity!$J$55*$I220</f>
        <v/>
      </c>
      <c r="M220" s="16">
        <f>(Market_Weekly!$K$14-mcx_domestic_premium_inr_kg)*$H220*$I220+mcx_domestic_premium_inr_kg</f>
        <v/>
      </c>
      <c r="N220" s="15">
        <f>Parity!$N$55/Market_Weekly!$K$14</f>
        <v/>
      </c>
      <c r="O220" s="16">
        <f>$M220*$N220</f>
        <v/>
      </c>
      <c r="P220" s="18">
        <f>Parity!$AY$55</f>
        <v/>
      </c>
      <c r="Q220" s="16">
        <f>$J220*Parity!$P$55</f>
        <v/>
      </c>
      <c r="R220" s="16">
        <f>Parity!$L$55*Parity!$AG$55</f>
        <v/>
      </c>
      <c r="S220" s="16">
        <f>$Q220-$R220</f>
        <v/>
      </c>
      <c r="T220" s="16">
        <f>insurance_rate*insured_value_uplift*$Q220</f>
        <v/>
      </c>
      <c r="U220" s="16">
        <f>$Q220+$T220</f>
        <v/>
      </c>
      <c r="V220" s="18">
        <f>$U220*$L220</f>
        <v/>
      </c>
      <c r="W220" s="18">
        <f>$U220*$K220</f>
        <v/>
      </c>
      <c r="X220" s="18">
        <f>$V220*bcd_scrap_hs7602</f>
        <v/>
      </c>
      <c r="Y220" s="18">
        <f>$X220*sws_rate_on_bcd</f>
        <v/>
      </c>
      <c r="Z220" s="18">
        <f>($V220+$X220+$Y220)*igst_rate_hs7602</f>
        <v/>
      </c>
      <c r="AA220" s="18">
        <f>Parity!$X$55*Parity!$AG$55+IF(Parity!$Y$55,psic_cost_usd_per_box*$F220/Parity!$W$55,0)</f>
        <v/>
      </c>
      <c r="AB220" s="18">
        <f>($W220+$X220+$Y220)*Parity!$Z$55/day_count_inr*Parity!$O$55</f>
        <v/>
      </c>
      <c r="AC220" s="18">
        <f>$Z220*igst_credit_lag_days/day_count_inr*Parity!$O$55</f>
        <v/>
      </c>
      <c r="AD220" s="18">
        <f>$W220+$X220+$Y220+$AA220+$AB220+$AC220+IF(igst_itc_available,0,$Z220)</f>
        <v/>
      </c>
      <c r="AE220" s="18">
        <f>$O220*kg_per_mt+domestic_anchor_premium_inr_t</f>
        <v/>
      </c>
      <c r="AF220" s="18">
        <f>(1-Parity!$AA$55)*Parity!$AD$55*heavies_net_value_frac_of_lme_al*$J220*$F220</f>
        <v/>
      </c>
      <c r="AG220" s="18">
        <f>$AE220*Parity!$AU$55+$AF220-$AD220-Parity!$AX$55</f>
        <v/>
      </c>
      <c r="AH220" s="8">
        <f>$AG220&gt;margin_threshold_inr_t</f>
        <v/>
      </c>
      <c r="AI220" s="18">
        <f>($AG220-$P220)*grid_tonnes_mt</f>
        <v/>
      </c>
    </row>
    <row r="221">
      <c r="A221" s="7" t="inlineStr">
        <is>
          <t>first_eligible_long_lane</t>
        </is>
      </c>
      <c r="B221" s="11" t="n">
        <v>44624</v>
      </c>
      <c r="C221" s="7" t="inlineStr">
        <is>
          <t>zorba</t>
        </is>
      </c>
      <c r="D221" s="7" t="inlineStr">
        <is>
          <t>USEC_MUN</t>
        </is>
      </c>
      <c r="E221" s="20" t="n">
        <v>-5</v>
      </c>
      <c r="F221" s="7" t="n">
        <v>77</v>
      </c>
      <c r="G221" s="17" t="b">
        <v>0</v>
      </c>
      <c r="H221" s="8">
        <f>1+$E221/100</f>
        <v/>
      </c>
      <c r="I221" s="8">
        <f>$F221/Parity!$H$55</f>
        <v/>
      </c>
      <c r="J221" s="16">
        <f>Parity!$F$55*$H221</f>
        <v/>
      </c>
      <c r="K221" s="8">
        <f>Parity!$I$55*$I221</f>
        <v/>
      </c>
      <c r="L221" s="8">
        <f>Parity!$J$55*$I221</f>
        <v/>
      </c>
      <c r="M221" s="16">
        <f>(Market_Weekly!$K$14-mcx_domestic_premium_inr_kg)*$H221*$I221+mcx_domestic_premium_inr_kg</f>
        <v/>
      </c>
      <c r="N221" s="15">
        <f>Parity!$N$55/Market_Weekly!$K$14</f>
        <v/>
      </c>
      <c r="O221" s="16">
        <f>$M221*$N221</f>
        <v/>
      </c>
      <c r="P221" s="18">
        <f>Parity!$AY$55</f>
        <v/>
      </c>
      <c r="Q221" s="16">
        <f>$J221*Parity!$P$55</f>
        <v/>
      </c>
      <c r="R221" s="16">
        <f>Parity!$L$55*Parity!$AG$55</f>
        <v/>
      </c>
      <c r="S221" s="16">
        <f>$Q221-$R221</f>
        <v/>
      </c>
      <c r="T221" s="16">
        <f>insurance_rate*insured_value_uplift*$Q221</f>
        <v/>
      </c>
      <c r="U221" s="16">
        <f>$Q221+$T221</f>
        <v/>
      </c>
      <c r="V221" s="18">
        <f>$U221*$L221</f>
        <v/>
      </c>
      <c r="W221" s="18">
        <f>$U221*$K221</f>
        <v/>
      </c>
      <c r="X221" s="18">
        <f>$V221*bcd_scrap_hs7602</f>
        <v/>
      </c>
      <c r="Y221" s="18">
        <f>$X221*sws_rate_on_bcd</f>
        <v/>
      </c>
      <c r="Z221" s="18">
        <f>($V221+$X221+$Y221)*igst_rate_hs7602</f>
        <v/>
      </c>
      <c r="AA221" s="18">
        <f>Parity!$X$55*Parity!$AG$55+IF(Parity!$Y$55,psic_cost_usd_per_box*$F221/Parity!$W$55,0)</f>
        <v/>
      </c>
      <c r="AB221" s="18">
        <f>($W221+$X221+$Y221)*Parity!$Z$55/day_count_inr*Parity!$O$55</f>
        <v/>
      </c>
      <c r="AC221" s="18">
        <f>$Z221*igst_credit_lag_days/day_count_inr*Parity!$O$55</f>
        <v/>
      </c>
      <c r="AD221" s="18">
        <f>$W221+$X221+$Y221+$AA221+$AB221+$AC221+IF(igst_itc_available,0,$Z221)</f>
        <v/>
      </c>
      <c r="AE221" s="18">
        <f>$O221*kg_per_mt+domestic_anchor_premium_inr_t</f>
        <v/>
      </c>
      <c r="AF221" s="18">
        <f>(1-Parity!$AA$55)*Parity!$AD$55*heavies_net_value_frac_of_lme_al*$J221*$F221</f>
        <v/>
      </c>
      <c r="AG221" s="18">
        <f>$AE221*Parity!$AU$55+$AF221-$AD221-Parity!$AX$55</f>
        <v/>
      </c>
      <c r="AH221" s="8">
        <f>$AG221&gt;margin_threshold_inr_t</f>
        <v/>
      </c>
      <c r="AI221" s="18">
        <f>($AG221-$P221)*grid_tonnes_mt</f>
        <v/>
      </c>
    </row>
    <row r="222">
      <c r="A222" s="7" t="inlineStr">
        <is>
          <t>first_eligible_long_lane</t>
        </is>
      </c>
      <c r="B222" s="11" t="n">
        <v>44624</v>
      </c>
      <c r="C222" s="7" t="inlineStr">
        <is>
          <t>zorba</t>
        </is>
      </c>
      <c r="D222" s="7" t="inlineStr">
        <is>
          <t>USEC_MUN</t>
        </is>
      </c>
      <c r="E222" s="20" t="n">
        <v>0</v>
      </c>
      <c r="F222" s="7" t="n">
        <v>77</v>
      </c>
      <c r="G222" s="17" t="b">
        <v>0</v>
      </c>
      <c r="H222" s="8">
        <f>1+$E222/100</f>
        <v/>
      </c>
      <c r="I222" s="8">
        <f>$F222/Parity!$H$55</f>
        <v/>
      </c>
      <c r="J222" s="16">
        <f>Parity!$F$55*$H222</f>
        <v/>
      </c>
      <c r="K222" s="8">
        <f>Parity!$I$55*$I222</f>
        <v/>
      </c>
      <c r="L222" s="8">
        <f>Parity!$J$55*$I222</f>
        <v/>
      </c>
      <c r="M222" s="16">
        <f>(Market_Weekly!$K$14-mcx_domestic_premium_inr_kg)*$H222*$I222+mcx_domestic_premium_inr_kg</f>
        <v/>
      </c>
      <c r="N222" s="15">
        <f>Parity!$N$55/Market_Weekly!$K$14</f>
        <v/>
      </c>
      <c r="O222" s="16">
        <f>$M222*$N222</f>
        <v/>
      </c>
      <c r="P222" s="18">
        <f>Parity!$AY$55</f>
        <v/>
      </c>
      <c r="Q222" s="16">
        <f>$J222*Parity!$P$55</f>
        <v/>
      </c>
      <c r="R222" s="16">
        <f>Parity!$L$55*Parity!$AG$55</f>
        <v/>
      </c>
      <c r="S222" s="16">
        <f>$Q222-$R222</f>
        <v/>
      </c>
      <c r="T222" s="16">
        <f>insurance_rate*insured_value_uplift*$Q222</f>
        <v/>
      </c>
      <c r="U222" s="16">
        <f>$Q222+$T222</f>
        <v/>
      </c>
      <c r="V222" s="18">
        <f>$U222*$L222</f>
        <v/>
      </c>
      <c r="W222" s="18">
        <f>$U222*$K222</f>
        <v/>
      </c>
      <c r="X222" s="18">
        <f>$V222*bcd_scrap_hs7602</f>
        <v/>
      </c>
      <c r="Y222" s="18">
        <f>$X222*sws_rate_on_bcd</f>
        <v/>
      </c>
      <c r="Z222" s="18">
        <f>($V222+$X222+$Y222)*igst_rate_hs7602</f>
        <v/>
      </c>
      <c r="AA222" s="18">
        <f>Parity!$X$55*Parity!$AG$55+IF(Parity!$Y$55,psic_cost_usd_per_box*$F222/Parity!$W$55,0)</f>
        <v/>
      </c>
      <c r="AB222" s="18">
        <f>($W222+$X222+$Y222)*Parity!$Z$55/day_count_inr*Parity!$O$55</f>
        <v/>
      </c>
      <c r="AC222" s="18">
        <f>$Z222*igst_credit_lag_days/day_count_inr*Parity!$O$55</f>
        <v/>
      </c>
      <c r="AD222" s="18">
        <f>$W222+$X222+$Y222+$AA222+$AB222+$AC222+IF(igst_itc_available,0,$Z222)</f>
        <v/>
      </c>
      <c r="AE222" s="18">
        <f>$O222*kg_per_mt+domestic_anchor_premium_inr_t</f>
        <v/>
      </c>
      <c r="AF222" s="18">
        <f>(1-Parity!$AA$55)*Parity!$AD$55*heavies_net_value_frac_of_lme_al*$J222*$F222</f>
        <v/>
      </c>
      <c r="AG222" s="18">
        <f>$AE222*Parity!$AU$55+$AF222-$AD222-Parity!$AX$55</f>
        <v/>
      </c>
      <c r="AH222" s="8">
        <f>$AG222&gt;margin_threshold_inr_t</f>
        <v/>
      </c>
      <c r="AI222" s="18">
        <f>($AG222-$P222)*grid_tonnes_mt</f>
        <v/>
      </c>
    </row>
    <row r="223">
      <c r="A223" s="7" t="inlineStr">
        <is>
          <t>first_eligible_long_lane</t>
        </is>
      </c>
      <c r="B223" s="11" t="n">
        <v>44624</v>
      </c>
      <c r="C223" s="7" t="inlineStr">
        <is>
          <t>zorba</t>
        </is>
      </c>
      <c r="D223" s="7" t="inlineStr">
        <is>
          <t>USEC_MUN</t>
        </is>
      </c>
      <c r="E223" s="20" t="n">
        <v>5</v>
      </c>
      <c r="F223" s="7" t="n">
        <v>77</v>
      </c>
      <c r="G223" s="17" t="b">
        <v>0</v>
      </c>
      <c r="H223" s="8">
        <f>1+$E223/100</f>
        <v/>
      </c>
      <c r="I223" s="8">
        <f>$F223/Parity!$H$55</f>
        <v/>
      </c>
      <c r="J223" s="16">
        <f>Parity!$F$55*$H223</f>
        <v/>
      </c>
      <c r="K223" s="8">
        <f>Parity!$I$55*$I223</f>
        <v/>
      </c>
      <c r="L223" s="8">
        <f>Parity!$J$55*$I223</f>
        <v/>
      </c>
      <c r="M223" s="16">
        <f>(Market_Weekly!$K$14-mcx_domestic_premium_inr_kg)*$H223*$I223+mcx_domestic_premium_inr_kg</f>
        <v/>
      </c>
      <c r="N223" s="15">
        <f>Parity!$N$55/Market_Weekly!$K$14</f>
        <v/>
      </c>
      <c r="O223" s="16">
        <f>$M223*$N223</f>
        <v/>
      </c>
      <c r="P223" s="18">
        <f>Parity!$AY$55</f>
        <v/>
      </c>
      <c r="Q223" s="16">
        <f>$J223*Parity!$P$55</f>
        <v/>
      </c>
      <c r="R223" s="16">
        <f>Parity!$L$55*Parity!$AG$55</f>
        <v/>
      </c>
      <c r="S223" s="16">
        <f>$Q223-$R223</f>
        <v/>
      </c>
      <c r="T223" s="16">
        <f>insurance_rate*insured_value_uplift*$Q223</f>
        <v/>
      </c>
      <c r="U223" s="16">
        <f>$Q223+$T223</f>
        <v/>
      </c>
      <c r="V223" s="18">
        <f>$U223*$L223</f>
        <v/>
      </c>
      <c r="W223" s="18">
        <f>$U223*$K223</f>
        <v/>
      </c>
      <c r="X223" s="18">
        <f>$V223*bcd_scrap_hs7602</f>
        <v/>
      </c>
      <c r="Y223" s="18">
        <f>$X223*sws_rate_on_bcd</f>
        <v/>
      </c>
      <c r="Z223" s="18">
        <f>($V223+$X223+$Y223)*igst_rate_hs7602</f>
        <v/>
      </c>
      <c r="AA223" s="18">
        <f>Parity!$X$55*Parity!$AG$55+IF(Parity!$Y$55,psic_cost_usd_per_box*$F223/Parity!$W$55,0)</f>
        <v/>
      </c>
      <c r="AB223" s="18">
        <f>($W223+$X223+$Y223)*Parity!$Z$55/day_count_inr*Parity!$O$55</f>
        <v/>
      </c>
      <c r="AC223" s="18">
        <f>$Z223*igst_credit_lag_days/day_count_inr*Parity!$O$55</f>
        <v/>
      </c>
      <c r="AD223" s="18">
        <f>$W223+$X223+$Y223+$AA223+$AB223+$AC223+IF(igst_itc_available,0,$Z223)</f>
        <v/>
      </c>
      <c r="AE223" s="18">
        <f>$O223*kg_per_mt+domestic_anchor_premium_inr_t</f>
        <v/>
      </c>
      <c r="AF223" s="18">
        <f>(1-Parity!$AA$55)*Parity!$AD$55*heavies_net_value_frac_of_lme_al*$J223*$F223</f>
        <v/>
      </c>
      <c r="AG223" s="18">
        <f>$AE223*Parity!$AU$55+$AF223-$AD223-Parity!$AX$55</f>
        <v/>
      </c>
      <c r="AH223" s="8">
        <f>$AG223&gt;margin_threshold_inr_t</f>
        <v/>
      </c>
      <c r="AI223" s="18">
        <f>($AG223-$P223)*grid_tonnes_mt</f>
        <v/>
      </c>
    </row>
    <row r="224">
      <c r="A224" s="7" t="inlineStr">
        <is>
          <t>first_eligible_long_lane</t>
        </is>
      </c>
      <c r="B224" s="11" t="n">
        <v>44624</v>
      </c>
      <c r="C224" s="7" t="inlineStr">
        <is>
          <t>zorba</t>
        </is>
      </c>
      <c r="D224" s="7" t="inlineStr">
        <is>
          <t>USEC_MUN</t>
        </is>
      </c>
      <c r="E224" s="20" t="n">
        <v>10</v>
      </c>
      <c r="F224" s="7" t="n">
        <v>77</v>
      </c>
      <c r="G224" s="17" t="b">
        <v>0</v>
      </c>
      <c r="H224" s="8">
        <f>1+$E224/100</f>
        <v/>
      </c>
      <c r="I224" s="8">
        <f>$F224/Parity!$H$55</f>
        <v/>
      </c>
      <c r="J224" s="16">
        <f>Parity!$F$55*$H224</f>
        <v/>
      </c>
      <c r="K224" s="8">
        <f>Parity!$I$55*$I224</f>
        <v/>
      </c>
      <c r="L224" s="8">
        <f>Parity!$J$55*$I224</f>
        <v/>
      </c>
      <c r="M224" s="16">
        <f>(Market_Weekly!$K$14-mcx_domestic_premium_inr_kg)*$H224*$I224+mcx_domestic_premium_inr_kg</f>
        <v/>
      </c>
      <c r="N224" s="15">
        <f>Parity!$N$55/Market_Weekly!$K$14</f>
        <v/>
      </c>
      <c r="O224" s="16">
        <f>$M224*$N224</f>
        <v/>
      </c>
      <c r="P224" s="18">
        <f>Parity!$AY$55</f>
        <v/>
      </c>
      <c r="Q224" s="16">
        <f>$J224*Parity!$P$55</f>
        <v/>
      </c>
      <c r="R224" s="16">
        <f>Parity!$L$55*Parity!$AG$55</f>
        <v/>
      </c>
      <c r="S224" s="16">
        <f>$Q224-$R224</f>
        <v/>
      </c>
      <c r="T224" s="16">
        <f>insurance_rate*insured_value_uplift*$Q224</f>
        <v/>
      </c>
      <c r="U224" s="16">
        <f>$Q224+$T224</f>
        <v/>
      </c>
      <c r="V224" s="18">
        <f>$U224*$L224</f>
        <v/>
      </c>
      <c r="W224" s="18">
        <f>$U224*$K224</f>
        <v/>
      </c>
      <c r="X224" s="18">
        <f>$V224*bcd_scrap_hs7602</f>
        <v/>
      </c>
      <c r="Y224" s="18">
        <f>$X224*sws_rate_on_bcd</f>
        <v/>
      </c>
      <c r="Z224" s="18">
        <f>($V224+$X224+$Y224)*igst_rate_hs7602</f>
        <v/>
      </c>
      <c r="AA224" s="18">
        <f>Parity!$X$55*Parity!$AG$55+IF(Parity!$Y$55,psic_cost_usd_per_box*$F224/Parity!$W$55,0)</f>
        <v/>
      </c>
      <c r="AB224" s="18">
        <f>($W224+$X224+$Y224)*Parity!$Z$55/day_count_inr*Parity!$O$55</f>
        <v/>
      </c>
      <c r="AC224" s="18">
        <f>$Z224*igst_credit_lag_days/day_count_inr*Parity!$O$55</f>
        <v/>
      </c>
      <c r="AD224" s="18">
        <f>$W224+$X224+$Y224+$AA224+$AB224+$AC224+IF(igst_itc_available,0,$Z224)</f>
        <v/>
      </c>
      <c r="AE224" s="18">
        <f>$O224*kg_per_mt+domestic_anchor_premium_inr_t</f>
        <v/>
      </c>
      <c r="AF224" s="18">
        <f>(1-Parity!$AA$55)*Parity!$AD$55*heavies_net_value_frac_of_lme_al*$J224*$F224</f>
        <v/>
      </c>
      <c r="AG224" s="18">
        <f>$AE224*Parity!$AU$55+$AF224-$AD224-Parity!$AX$55</f>
        <v/>
      </c>
      <c r="AH224" s="8">
        <f>$AG224&gt;margin_threshold_inr_t</f>
        <v/>
      </c>
      <c r="AI224" s="18">
        <f>($AG224-$P224)*grid_tonnes_mt</f>
        <v/>
      </c>
    </row>
    <row r="225">
      <c r="A225" s="7" t="inlineStr">
        <is>
          <t>first_eligible_long_lane</t>
        </is>
      </c>
      <c r="B225" s="11" t="n">
        <v>44624</v>
      </c>
      <c r="C225" s="7" t="inlineStr">
        <is>
          <t>zorba</t>
        </is>
      </c>
      <c r="D225" s="7" t="inlineStr">
        <is>
          <t>USEC_MUN</t>
        </is>
      </c>
      <c r="E225" s="20" t="n">
        <v>-30</v>
      </c>
      <c r="F225" s="7" t="n">
        <v>78</v>
      </c>
      <c r="G225" s="17" t="b">
        <v>0</v>
      </c>
      <c r="H225" s="8">
        <f>1+$E225/100</f>
        <v/>
      </c>
      <c r="I225" s="8">
        <f>$F225/Parity!$H$55</f>
        <v/>
      </c>
      <c r="J225" s="16">
        <f>Parity!$F$55*$H225</f>
        <v/>
      </c>
      <c r="K225" s="8">
        <f>Parity!$I$55*$I225</f>
        <v/>
      </c>
      <c r="L225" s="8">
        <f>Parity!$J$55*$I225</f>
        <v/>
      </c>
      <c r="M225" s="16">
        <f>(Market_Weekly!$K$14-mcx_domestic_premium_inr_kg)*$H225*$I225+mcx_domestic_premium_inr_kg</f>
        <v/>
      </c>
      <c r="N225" s="15">
        <f>Parity!$N$55/Market_Weekly!$K$14</f>
        <v/>
      </c>
      <c r="O225" s="16">
        <f>$M225*$N225</f>
        <v/>
      </c>
      <c r="P225" s="18">
        <f>Parity!$AY$55</f>
        <v/>
      </c>
      <c r="Q225" s="16">
        <f>$J225*Parity!$P$55</f>
        <v/>
      </c>
      <c r="R225" s="16">
        <f>Parity!$L$55*Parity!$AG$55</f>
        <v/>
      </c>
      <c r="S225" s="16">
        <f>$Q225-$R225</f>
        <v/>
      </c>
      <c r="T225" s="16">
        <f>insurance_rate*insured_value_uplift*$Q225</f>
        <v/>
      </c>
      <c r="U225" s="16">
        <f>$Q225+$T225</f>
        <v/>
      </c>
      <c r="V225" s="18">
        <f>$U225*$L225</f>
        <v/>
      </c>
      <c r="W225" s="18">
        <f>$U225*$K225</f>
        <v/>
      </c>
      <c r="X225" s="18">
        <f>$V225*bcd_scrap_hs7602</f>
        <v/>
      </c>
      <c r="Y225" s="18">
        <f>$X225*sws_rate_on_bcd</f>
        <v/>
      </c>
      <c r="Z225" s="18">
        <f>($V225+$X225+$Y225)*igst_rate_hs7602</f>
        <v/>
      </c>
      <c r="AA225" s="18">
        <f>Parity!$X$55*Parity!$AG$55+IF(Parity!$Y$55,psic_cost_usd_per_box*$F225/Parity!$W$55,0)</f>
        <v/>
      </c>
      <c r="AB225" s="18">
        <f>($W225+$X225+$Y225)*Parity!$Z$55/day_count_inr*Parity!$O$55</f>
        <v/>
      </c>
      <c r="AC225" s="18">
        <f>$Z225*igst_credit_lag_days/day_count_inr*Parity!$O$55</f>
        <v/>
      </c>
      <c r="AD225" s="18">
        <f>$W225+$X225+$Y225+$AA225+$AB225+$AC225+IF(igst_itc_available,0,$Z225)</f>
        <v/>
      </c>
      <c r="AE225" s="18">
        <f>$O225*kg_per_mt+domestic_anchor_premium_inr_t</f>
        <v/>
      </c>
      <c r="AF225" s="18">
        <f>(1-Parity!$AA$55)*Parity!$AD$55*heavies_net_value_frac_of_lme_al*$J225*$F225</f>
        <v/>
      </c>
      <c r="AG225" s="18">
        <f>$AE225*Parity!$AU$55+$AF225-$AD225-Parity!$AX$55</f>
        <v/>
      </c>
      <c r="AH225" s="8">
        <f>$AG225&gt;margin_threshold_inr_t</f>
        <v/>
      </c>
      <c r="AI225" s="18">
        <f>($AG225-$P225)*grid_tonnes_mt</f>
        <v/>
      </c>
    </row>
    <row r="226">
      <c r="A226" s="7" t="inlineStr">
        <is>
          <t>first_eligible_long_lane</t>
        </is>
      </c>
      <c r="B226" s="11" t="n">
        <v>44624</v>
      </c>
      <c r="C226" s="7" t="inlineStr">
        <is>
          <t>zorba</t>
        </is>
      </c>
      <c r="D226" s="7" t="inlineStr">
        <is>
          <t>USEC_MUN</t>
        </is>
      </c>
      <c r="E226" s="20" t="n">
        <v>-25</v>
      </c>
      <c r="F226" s="7" t="n">
        <v>78</v>
      </c>
      <c r="G226" s="17" t="b">
        <v>0</v>
      </c>
      <c r="H226" s="8">
        <f>1+$E226/100</f>
        <v/>
      </c>
      <c r="I226" s="8">
        <f>$F226/Parity!$H$55</f>
        <v/>
      </c>
      <c r="J226" s="16">
        <f>Parity!$F$55*$H226</f>
        <v/>
      </c>
      <c r="K226" s="8">
        <f>Parity!$I$55*$I226</f>
        <v/>
      </c>
      <c r="L226" s="8">
        <f>Parity!$J$55*$I226</f>
        <v/>
      </c>
      <c r="M226" s="16">
        <f>(Market_Weekly!$K$14-mcx_domestic_premium_inr_kg)*$H226*$I226+mcx_domestic_premium_inr_kg</f>
        <v/>
      </c>
      <c r="N226" s="15">
        <f>Parity!$N$55/Market_Weekly!$K$14</f>
        <v/>
      </c>
      <c r="O226" s="16">
        <f>$M226*$N226</f>
        <v/>
      </c>
      <c r="P226" s="18">
        <f>Parity!$AY$55</f>
        <v/>
      </c>
      <c r="Q226" s="16">
        <f>$J226*Parity!$P$55</f>
        <v/>
      </c>
      <c r="R226" s="16">
        <f>Parity!$L$55*Parity!$AG$55</f>
        <v/>
      </c>
      <c r="S226" s="16">
        <f>$Q226-$R226</f>
        <v/>
      </c>
      <c r="T226" s="16">
        <f>insurance_rate*insured_value_uplift*$Q226</f>
        <v/>
      </c>
      <c r="U226" s="16">
        <f>$Q226+$T226</f>
        <v/>
      </c>
      <c r="V226" s="18">
        <f>$U226*$L226</f>
        <v/>
      </c>
      <c r="W226" s="18">
        <f>$U226*$K226</f>
        <v/>
      </c>
      <c r="X226" s="18">
        <f>$V226*bcd_scrap_hs7602</f>
        <v/>
      </c>
      <c r="Y226" s="18">
        <f>$X226*sws_rate_on_bcd</f>
        <v/>
      </c>
      <c r="Z226" s="18">
        <f>($V226+$X226+$Y226)*igst_rate_hs7602</f>
        <v/>
      </c>
      <c r="AA226" s="18">
        <f>Parity!$X$55*Parity!$AG$55+IF(Parity!$Y$55,psic_cost_usd_per_box*$F226/Parity!$W$55,0)</f>
        <v/>
      </c>
      <c r="AB226" s="18">
        <f>($W226+$X226+$Y226)*Parity!$Z$55/day_count_inr*Parity!$O$55</f>
        <v/>
      </c>
      <c r="AC226" s="18">
        <f>$Z226*igst_credit_lag_days/day_count_inr*Parity!$O$55</f>
        <v/>
      </c>
      <c r="AD226" s="18">
        <f>$W226+$X226+$Y226+$AA226+$AB226+$AC226+IF(igst_itc_available,0,$Z226)</f>
        <v/>
      </c>
      <c r="AE226" s="18">
        <f>$O226*kg_per_mt+domestic_anchor_premium_inr_t</f>
        <v/>
      </c>
      <c r="AF226" s="18">
        <f>(1-Parity!$AA$55)*Parity!$AD$55*heavies_net_value_frac_of_lme_al*$J226*$F226</f>
        <v/>
      </c>
      <c r="AG226" s="18">
        <f>$AE226*Parity!$AU$55+$AF226-$AD226-Parity!$AX$55</f>
        <v/>
      </c>
      <c r="AH226" s="8">
        <f>$AG226&gt;margin_threshold_inr_t</f>
        <v/>
      </c>
      <c r="AI226" s="18">
        <f>($AG226-$P226)*grid_tonnes_mt</f>
        <v/>
      </c>
    </row>
    <row r="227">
      <c r="A227" s="7" t="inlineStr">
        <is>
          <t>first_eligible_long_lane</t>
        </is>
      </c>
      <c r="B227" s="11" t="n">
        <v>44624</v>
      </c>
      <c r="C227" s="7" t="inlineStr">
        <is>
          <t>zorba</t>
        </is>
      </c>
      <c r="D227" s="7" t="inlineStr">
        <is>
          <t>USEC_MUN</t>
        </is>
      </c>
      <c r="E227" s="20" t="n">
        <v>-20</v>
      </c>
      <c r="F227" s="7" t="n">
        <v>78</v>
      </c>
      <c r="G227" s="17" t="b">
        <v>0</v>
      </c>
      <c r="H227" s="8">
        <f>1+$E227/100</f>
        <v/>
      </c>
      <c r="I227" s="8">
        <f>$F227/Parity!$H$55</f>
        <v/>
      </c>
      <c r="J227" s="16">
        <f>Parity!$F$55*$H227</f>
        <v/>
      </c>
      <c r="K227" s="8">
        <f>Parity!$I$55*$I227</f>
        <v/>
      </c>
      <c r="L227" s="8">
        <f>Parity!$J$55*$I227</f>
        <v/>
      </c>
      <c r="M227" s="16">
        <f>(Market_Weekly!$K$14-mcx_domestic_premium_inr_kg)*$H227*$I227+mcx_domestic_premium_inr_kg</f>
        <v/>
      </c>
      <c r="N227" s="15">
        <f>Parity!$N$55/Market_Weekly!$K$14</f>
        <v/>
      </c>
      <c r="O227" s="16">
        <f>$M227*$N227</f>
        <v/>
      </c>
      <c r="P227" s="18">
        <f>Parity!$AY$55</f>
        <v/>
      </c>
      <c r="Q227" s="16">
        <f>$J227*Parity!$P$55</f>
        <v/>
      </c>
      <c r="R227" s="16">
        <f>Parity!$L$55*Parity!$AG$55</f>
        <v/>
      </c>
      <c r="S227" s="16">
        <f>$Q227-$R227</f>
        <v/>
      </c>
      <c r="T227" s="16">
        <f>insurance_rate*insured_value_uplift*$Q227</f>
        <v/>
      </c>
      <c r="U227" s="16">
        <f>$Q227+$T227</f>
        <v/>
      </c>
      <c r="V227" s="18">
        <f>$U227*$L227</f>
        <v/>
      </c>
      <c r="W227" s="18">
        <f>$U227*$K227</f>
        <v/>
      </c>
      <c r="X227" s="18">
        <f>$V227*bcd_scrap_hs7602</f>
        <v/>
      </c>
      <c r="Y227" s="18">
        <f>$X227*sws_rate_on_bcd</f>
        <v/>
      </c>
      <c r="Z227" s="18">
        <f>($V227+$X227+$Y227)*igst_rate_hs7602</f>
        <v/>
      </c>
      <c r="AA227" s="18">
        <f>Parity!$X$55*Parity!$AG$55+IF(Parity!$Y$55,psic_cost_usd_per_box*$F227/Parity!$W$55,0)</f>
        <v/>
      </c>
      <c r="AB227" s="18">
        <f>($W227+$X227+$Y227)*Parity!$Z$55/day_count_inr*Parity!$O$55</f>
        <v/>
      </c>
      <c r="AC227" s="18">
        <f>$Z227*igst_credit_lag_days/day_count_inr*Parity!$O$55</f>
        <v/>
      </c>
      <c r="AD227" s="18">
        <f>$W227+$X227+$Y227+$AA227+$AB227+$AC227+IF(igst_itc_available,0,$Z227)</f>
        <v/>
      </c>
      <c r="AE227" s="18">
        <f>$O227*kg_per_mt+domestic_anchor_premium_inr_t</f>
        <v/>
      </c>
      <c r="AF227" s="18">
        <f>(1-Parity!$AA$55)*Parity!$AD$55*heavies_net_value_frac_of_lme_al*$J227*$F227</f>
        <v/>
      </c>
      <c r="AG227" s="18">
        <f>$AE227*Parity!$AU$55+$AF227-$AD227-Parity!$AX$55</f>
        <v/>
      </c>
      <c r="AH227" s="8">
        <f>$AG227&gt;margin_threshold_inr_t</f>
        <v/>
      </c>
      <c r="AI227" s="18">
        <f>($AG227-$P227)*grid_tonnes_mt</f>
        <v/>
      </c>
    </row>
    <row r="228">
      <c r="A228" s="7" t="inlineStr">
        <is>
          <t>first_eligible_long_lane</t>
        </is>
      </c>
      <c r="B228" s="11" t="n">
        <v>44624</v>
      </c>
      <c r="C228" s="7" t="inlineStr">
        <is>
          <t>zorba</t>
        </is>
      </c>
      <c r="D228" s="7" t="inlineStr">
        <is>
          <t>USEC_MUN</t>
        </is>
      </c>
      <c r="E228" s="20" t="n">
        <v>-15</v>
      </c>
      <c r="F228" s="7" t="n">
        <v>78</v>
      </c>
      <c r="G228" s="17" t="b">
        <v>0</v>
      </c>
      <c r="H228" s="8">
        <f>1+$E228/100</f>
        <v/>
      </c>
      <c r="I228" s="8">
        <f>$F228/Parity!$H$55</f>
        <v/>
      </c>
      <c r="J228" s="16">
        <f>Parity!$F$55*$H228</f>
        <v/>
      </c>
      <c r="K228" s="8">
        <f>Parity!$I$55*$I228</f>
        <v/>
      </c>
      <c r="L228" s="8">
        <f>Parity!$J$55*$I228</f>
        <v/>
      </c>
      <c r="M228" s="16">
        <f>(Market_Weekly!$K$14-mcx_domestic_premium_inr_kg)*$H228*$I228+mcx_domestic_premium_inr_kg</f>
        <v/>
      </c>
      <c r="N228" s="15">
        <f>Parity!$N$55/Market_Weekly!$K$14</f>
        <v/>
      </c>
      <c r="O228" s="16">
        <f>$M228*$N228</f>
        <v/>
      </c>
      <c r="P228" s="18">
        <f>Parity!$AY$55</f>
        <v/>
      </c>
      <c r="Q228" s="16">
        <f>$J228*Parity!$P$55</f>
        <v/>
      </c>
      <c r="R228" s="16">
        <f>Parity!$L$55*Parity!$AG$55</f>
        <v/>
      </c>
      <c r="S228" s="16">
        <f>$Q228-$R228</f>
        <v/>
      </c>
      <c r="T228" s="16">
        <f>insurance_rate*insured_value_uplift*$Q228</f>
        <v/>
      </c>
      <c r="U228" s="16">
        <f>$Q228+$T228</f>
        <v/>
      </c>
      <c r="V228" s="18">
        <f>$U228*$L228</f>
        <v/>
      </c>
      <c r="W228" s="18">
        <f>$U228*$K228</f>
        <v/>
      </c>
      <c r="X228" s="18">
        <f>$V228*bcd_scrap_hs7602</f>
        <v/>
      </c>
      <c r="Y228" s="18">
        <f>$X228*sws_rate_on_bcd</f>
        <v/>
      </c>
      <c r="Z228" s="18">
        <f>($V228+$X228+$Y228)*igst_rate_hs7602</f>
        <v/>
      </c>
      <c r="AA228" s="18">
        <f>Parity!$X$55*Parity!$AG$55+IF(Parity!$Y$55,psic_cost_usd_per_box*$F228/Parity!$W$55,0)</f>
        <v/>
      </c>
      <c r="AB228" s="18">
        <f>($W228+$X228+$Y228)*Parity!$Z$55/day_count_inr*Parity!$O$55</f>
        <v/>
      </c>
      <c r="AC228" s="18">
        <f>$Z228*igst_credit_lag_days/day_count_inr*Parity!$O$55</f>
        <v/>
      </c>
      <c r="AD228" s="18">
        <f>$W228+$X228+$Y228+$AA228+$AB228+$AC228+IF(igst_itc_available,0,$Z228)</f>
        <v/>
      </c>
      <c r="AE228" s="18">
        <f>$O228*kg_per_mt+domestic_anchor_premium_inr_t</f>
        <v/>
      </c>
      <c r="AF228" s="18">
        <f>(1-Parity!$AA$55)*Parity!$AD$55*heavies_net_value_frac_of_lme_al*$J228*$F228</f>
        <v/>
      </c>
      <c r="AG228" s="18">
        <f>$AE228*Parity!$AU$55+$AF228-$AD228-Parity!$AX$55</f>
        <v/>
      </c>
      <c r="AH228" s="8">
        <f>$AG228&gt;margin_threshold_inr_t</f>
        <v/>
      </c>
      <c r="AI228" s="18">
        <f>($AG228-$P228)*grid_tonnes_mt</f>
        <v/>
      </c>
    </row>
    <row r="229">
      <c r="A229" s="7" t="inlineStr">
        <is>
          <t>first_eligible_long_lane</t>
        </is>
      </c>
      <c r="B229" s="11" t="n">
        <v>44624</v>
      </c>
      <c r="C229" s="7" t="inlineStr">
        <is>
          <t>zorba</t>
        </is>
      </c>
      <c r="D229" s="7" t="inlineStr">
        <is>
          <t>USEC_MUN</t>
        </is>
      </c>
      <c r="E229" s="20" t="n">
        <v>-10</v>
      </c>
      <c r="F229" s="7" t="n">
        <v>78</v>
      </c>
      <c r="G229" s="17" t="b">
        <v>0</v>
      </c>
      <c r="H229" s="8">
        <f>1+$E229/100</f>
        <v/>
      </c>
      <c r="I229" s="8">
        <f>$F229/Parity!$H$55</f>
        <v/>
      </c>
      <c r="J229" s="16">
        <f>Parity!$F$55*$H229</f>
        <v/>
      </c>
      <c r="K229" s="8">
        <f>Parity!$I$55*$I229</f>
        <v/>
      </c>
      <c r="L229" s="8">
        <f>Parity!$J$55*$I229</f>
        <v/>
      </c>
      <c r="M229" s="16">
        <f>(Market_Weekly!$K$14-mcx_domestic_premium_inr_kg)*$H229*$I229+mcx_domestic_premium_inr_kg</f>
        <v/>
      </c>
      <c r="N229" s="15">
        <f>Parity!$N$55/Market_Weekly!$K$14</f>
        <v/>
      </c>
      <c r="O229" s="16">
        <f>$M229*$N229</f>
        <v/>
      </c>
      <c r="P229" s="18">
        <f>Parity!$AY$55</f>
        <v/>
      </c>
      <c r="Q229" s="16">
        <f>$J229*Parity!$P$55</f>
        <v/>
      </c>
      <c r="R229" s="16">
        <f>Parity!$L$55*Parity!$AG$55</f>
        <v/>
      </c>
      <c r="S229" s="16">
        <f>$Q229-$R229</f>
        <v/>
      </c>
      <c r="T229" s="16">
        <f>insurance_rate*insured_value_uplift*$Q229</f>
        <v/>
      </c>
      <c r="U229" s="16">
        <f>$Q229+$T229</f>
        <v/>
      </c>
      <c r="V229" s="18">
        <f>$U229*$L229</f>
        <v/>
      </c>
      <c r="W229" s="18">
        <f>$U229*$K229</f>
        <v/>
      </c>
      <c r="X229" s="18">
        <f>$V229*bcd_scrap_hs7602</f>
        <v/>
      </c>
      <c r="Y229" s="18">
        <f>$X229*sws_rate_on_bcd</f>
        <v/>
      </c>
      <c r="Z229" s="18">
        <f>($V229+$X229+$Y229)*igst_rate_hs7602</f>
        <v/>
      </c>
      <c r="AA229" s="18">
        <f>Parity!$X$55*Parity!$AG$55+IF(Parity!$Y$55,psic_cost_usd_per_box*$F229/Parity!$W$55,0)</f>
        <v/>
      </c>
      <c r="AB229" s="18">
        <f>($W229+$X229+$Y229)*Parity!$Z$55/day_count_inr*Parity!$O$55</f>
        <v/>
      </c>
      <c r="AC229" s="18">
        <f>$Z229*igst_credit_lag_days/day_count_inr*Parity!$O$55</f>
        <v/>
      </c>
      <c r="AD229" s="18">
        <f>$W229+$X229+$Y229+$AA229+$AB229+$AC229+IF(igst_itc_available,0,$Z229)</f>
        <v/>
      </c>
      <c r="AE229" s="18">
        <f>$O229*kg_per_mt+domestic_anchor_premium_inr_t</f>
        <v/>
      </c>
      <c r="AF229" s="18">
        <f>(1-Parity!$AA$55)*Parity!$AD$55*heavies_net_value_frac_of_lme_al*$J229*$F229</f>
        <v/>
      </c>
      <c r="AG229" s="18">
        <f>$AE229*Parity!$AU$55+$AF229-$AD229-Parity!$AX$55</f>
        <v/>
      </c>
      <c r="AH229" s="8">
        <f>$AG229&gt;margin_threshold_inr_t</f>
        <v/>
      </c>
      <c r="AI229" s="18">
        <f>($AG229-$P229)*grid_tonnes_mt</f>
        <v/>
      </c>
    </row>
    <row r="230">
      <c r="A230" s="7" t="inlineStr">
        <is>
          <t>first_eligible_long_lane</t>
        </is>
      </c>
      <c r="B230" s="11" t="n">
        <v>44624</v>
      </c>
      <c r="C230" s="7" t="inlineStr">
        <is>
          <t>zorba</t>
        </is>
      </c>
      <c r="D230" s="7" t="inlineStr">
        <is>
          <t>USEC_MUN</t>
        </is>
      </c>
      <c r="E230" s="20" t="n">
        <v>-5</v>
      </c>
      <c r="F230" s="7" t="n">
        <v>78</v>
      </c>
      <c r="G230" s="17" t="b">
        <v>0</v>
      </c>
      <c r="H230" s="8">
        <f>1+$E230/100</f>
        <v/>
      </c>
      <c r="I230" s="8">
        <f>$F230/Parity!$H$55</f>
        <v/>
      </c>
      <c r="J230" s="16">
        <f>Parity!$F$55*$H230</f>
        <v/>
      </c>
      <c r="K230" s="8">
        <f>Parity!$I$55*$I230</f>
        <v/>
      </c>
      <c r="L230" s="8">
        <f>Parity!$J$55*$I230</f>
        <v/>
      </c>
      <c r="M230" s="16">
        <f>(Market_Weekly!$K$14-mcx_domestic_premium_inr_kg)*$H230*$I230+mcx_domestic_premium_inr_kg</f>
        <v/>
      </c>
      <c r="N230" s="15">
        <f>Parity!$N$55/Market_Weekly!$K$14</f>
        <v/>
      </c>
      <c r="O230" s="16">
        <f>$M230*$N230</f>
        <v/>
      </c>
      <c r="P230" s="18">
        <f>Parity!$AY$55</f>
        <v/>
      </c>
      <c r="Q230" s="16">
        <f>$J230*Parity!$P$55</f>
        <v/>
      </c>
      <c r="R230" s="16">
        <f>Parity!$L$55*Parity!$AG$55</f>
        <v/>
      </c>
      <c r="S230" s="16">
        <f>$Q230-$R230</f>
        <v/>
      </c>
      <c r="T230" s="16">
        <f>insurance_rate*insured_value_uplift*$Q230</f>
        <v/>
      </c>
      <c r="U230" s="16">
        <f>$Q230+$T230</f>
        <v/>
      </c>
      <c r="V230" s="18">
        <f>$U230*$L230</f>
        <v/>
      </c>
      <c r="W230" s="18">
        <f>$U230*$K230</f>
        <v/>
      </c>
      <c r="X230" s="18">
        <f>$V230*bcd_scrap_hs7602</f>
        <v/>
      </c>
      <c r="Y230" s="18">
        <f>$X230*sws_rate_on_bcd</f>
        <v/>
      </c>
      <c r="Z230" s="18">
        <f>($V230+$X230+$Y230)*igst_rate_hs7602</f>
        <v/>
      </c>
      <c r="AA230" s="18">
        <f>Parity!$X$55*Parity!$AG$55+IF(Parity!$Y$55,psic_cost_usd_per_box*$F230/Parity!$W$55,0)</f>
        <v/>
      </c>
      <c r="AB230" s="18">
        <f>($W230+$X230+$Y230)*Parity!$Z$55/day_count_inr*Parity!$O$55</f>
        <v/>
      </c>
      <c r="AC230" s="18">
        <f>$Z230*igst_credit_lag_days/day_count_inr*Parity!$O$55</f>
        <v/>
      </c>
      <c r="AD230" s="18">
        <f>$W230+$X230+$Y230+$AA230+$AB230+$AC230+IF(igst_itc_available,0,$Z230)</f>
        <v/>
      </c>
      <c r="AE230" s="18">
        <f>$O230*kg_per_mt+domestic_anchor_premium_inr_t</f>
        <v/>
      </c>
      <c r="AF230" s="18">
        <f>(1-Parity!$AA$55)*Parity!$AD$55*heavies_net_value_frac_of_lme_al*$J230*$F230</f>
        <v/>
      </c>
      <c r="AG230" s="18">
        <f>$AE230*Parity!$AU$55+$AF230-$AD230-Parity!$AX$55</f>
        <v/>
      </c>
      <c r="AH230" s="8">
        <f>$AG230&gt;margin_threshold_inr_t</f>
        <v/>
      </c>
      <c r="AI230" s="18">
        <f>($AG230-$P230)*grid_tonnes_mt</f>
        <v/>
      </c>
    </row>
    <row r="231">
      <c r="A231" s="7" t="inlineStr">
        <is>
          <t>first_eligible_long_lane</t>
        </is>
      </c>
      <c r="B231" s="11" t="n">
        <v>44624</v>
      </c>
      <c r="C231" s="7" t="inlineStr">
        <is>
          <t>zorba</t>
        </is>
      </c>
      <c r="D231" s="7" t="inlineStr">
        <is>
          <t>USEC_MUN</t>
        </is>
      </c>
      <c r="E231" s="20" t="n">
        <v>0</v>
      </c>
      <c r="F231" s="7" t="n">
        <v>78</v>
      </c>
      <c r="G231" s="17" t="b">
        <v>0</v>
      </c>
      <c r="H231" s="8">
        <f>1+$E231/100</f>
        <v/>
      </c>
      <c r="I231" s="8">
        <f>$F231/Parity!$H$55</f>
        <v/>
      </c>
      <c r="J231" s="16">
        <f>Parity!$F$55*$H231</f>
        <v/>
      </c>
      <c r="K231" s="8">
        <f>Parity!$I$55*$I231</f>
        <v/>
      </c>
      <c r="L231" s="8">
        <f>Parity!$J$55*$I231</f>
        <v/>
      </c>
      <c r="M231" s="16">
        <f>(Market_Weekly!$K$14-mcx_domestic_premium_inr_kg)*$H231*$I231+mcx_domestic_premium_inr_kg</f>
        <v/>
      </c>
      <c r="N231" s="15">
        <f>Parity!$N$55/Market_Weekly!$K$14</f>
        <v/>
      </c>
      <c r="O231" s="16">
        <f>$M231*$N231</f>
        <v/>
      </c>
      <c r="P231" s="18">
        <f>Parity!$AY$55</f>
        <v/>
      </c>
      <c r="Q231" s="16">
        <f>$J231*Parity!$P$55</f>
        <v/>
      </c>
      <c r="R231" s="16">
        <f>Parity!$L$55*Parity!$AG$55</f>
        <v/>
      </c>
      <c r="S231" s="16">
        <f>$Q231-$R231</f>
        <v/>
      </c>
      <c r="T231" s="16">
        <f>insurance_rate*insured_value_uplift*$Q231</f>
        <v/>
      </c>
      <c r="U231" s="16">
        <f>$Q231+$T231</f>
        <v/>
      </c>
      <c r="V231" s="18">
        <f>$U231*$L231</f>
        <v/>
      </c>
      <c r="W231" s="18">
        <f>$U231*$K231</f>
        <v/>
      </c>
      <c r="X231" s="18">
        <f>$V231*bcd_scrap_hs7602</f>
        <v/>
      </c>
      <c r="Y231" s="18">
        <f>$X231*sws_rate_on_bcd</f>
        <v/>
      </c>
      <c r="Z231" s="18">
        <f>($V231+$X231+$Y231)*igst_rate_hs7602</f>
        <v/>
      </c>
      <c r="AA231" s="18">
        <f>Parity!$X$55*Parity!$AG$55+IF(Parity!$Y$55,psic_cost_usd_per_box*$F231/Parity!$W$55,0)</f>
        <v/>
      </c>
      <c r="AB231" s="18">
        <f>($W231+$X231+$Y231)*Parity!$Z$55/day_count_inr*Parity!$O$55</f>
        <v/>
      </c>
      <c r="AC231" s="18">
        <f>$Z231*igst_credit_lag_days/day_count_inr*Parity!$O$55</f>
        <v/>
      </c>
      <c r="AD231" s="18">
        <f>$W231+$X231+$Y231+$AA231+$AB231+$AC231+IF(igst_itc_available,0,$Z231)</f>
        <v/>
      </c>
      <c r="AE231" s="18">
        <f>$O231*kg_per_mt+domestic_anchor_premium_inr_t</f>
        <v/>
      </c>
      <c r="AF231" s="18">
        <f>(1-Parity!$AA$55)*Parity!$AD$55*heavies_net_value_frac_of_lme_al*$J231*$F231</f>
        <v/>
      </c>
      <c r="AG231" s="18">
        <f>$AE231*Parity!$AU$55+$AF231-$AD231-Parity!$AX$55</f>
        <v/>
      </c>
      <c r="AH231" s="8">
        <f>$AG231&gt;margin_threshold_inr_t</f>
        <v/>
      </c>
      <c r="AI231" s="18">
        <f>($AG231-$P231)*grid_tonnes_mt</f>
        <v/>
      </c>
    </row>
    <row r="232">
      <c r="A232" s="7" t="inlineStr">
        <is>
          <t>first_eligible_long_lane</t>
        </is>
      </c>
      <c r="B232" s="11" t="n">
        <v>44624</v>
      </c>
      <c r="C232" s="7" t="inlineStr">
        <is>
          <t>zorba</t>
        </is>
      </c>
      <c r="D232" s="7" t="inlineStr">
        <is>
          <t>USEC_MUN</t>
        </is>
      </c>
      <c r="E232" s="20" t="n">
        <v>5</v>
      </c>
      <c r="F232" s="7" t="n">
        <v>78</v>
      </c>
      <c r="G232" s="17" t="b">
        <v>0</v>
      </c>
      <c r="H232" s="8">
        <f>1+$E232/100</f>
        <v/>
      </c>
      <c r="I232" s="8">
        <f>$F232/Parity!$H$55</f>
        <v/>
      </c>
      <c r="J232" s="16">
        <f>Parity!$F$55*$H232</f>
        <v/>
      </c>
      <c r="K232" s="8">
        <f>Parity!$I$55*$I232</f>
        <v/>
      </c>
      <c r="L232" s="8">
        <f>Parity!$J$55*$I232</f>
        <v/>
      </c>
      <c r="M232" s="16">
        <f>(Market_Weekly!$K$14-mcx_domestic_premium_inr_kg)*$H232*$I232+mcx_domestic_premium_inr_kg</f>
        <v/>
      </c>
      <c r="N232" s="15">
        <f>Parity!$N$55/Market_Weekly!$K$14</f>
        <v/>
      </c>
      <c r="O232" s="16">
        <f>$M232*$N232</f>
        <v/>
      </c>
      <c r="P232" s="18">
        <f>Parity!$AY$55</f>
        <v/>
      </c>
      <c r="Q232" s="16">
        <f>$J232*Parity!$P$55</f>
        <v/>
      </c>
      <c r="R232" s="16">
        <f>Parity!$L$55*Parity!$AG$55</f>
        <v/>
      </c>
      <c r="S232" s="16">
        <f>$Q232-$R232</f>
        <v/>
      </c>
      <c r="T232" s="16">
        <f>insurance_rate*insured_value_uplift*$Q232</f>
        <v/>
      </c>
      <c r="U232" s="16">
        <f>$Q232+$T232</f>
        <v/>
      </c>
      <c r="V232" s="18">
        <f>$U232*$L232</f>
        <v/>
      </c>
      <c r="W232" s="18">
        <f>$U232*$K232</f>
        <v/>
      </c>
      <c r="X232" s="18">
        <f>$V232*bcd_scrap_hs7602</f>
        <v/>
      </c>
      <c r="Y232" s="18">
        <f>$X232*sws_rate_on_bcd</f>
        <v/>
      </c>
      <c r="Z232" s="18">
        <f>($V232+$X232+$Y232)*igst_rate_hs7602</f>
        <v/>
      </c>
      <c r="AA232" s="18">
        <f>Parity!$X$55*Parity!$AG$55+IF(Parity!$Y$55,psic_cost_usd_per_box*$F232/Parity!$W$55,0)</f>
        <v/>
      </c>
      <c r="AB232" s="18">
        <f>($W232+$X232+$Y232)*Parity!$Z$55/day_count_inr*Parity!$O$55</f>
        <v/>
      </c>
      <c r="AC232" s="18">
        <f>$Z232*igst_credit_lag_days/day_count_inr*Parity!$O$55</f>
        <v/>
      </c>
      <c r="AD232" s="18">
        <f>$W232+$X232+$Y232+$AA232+$AB232+$AC232+IF(igst_itc_available,0,$Z232)</f>
        <v/>
      </c>
      <c r="AE232" s="18">
        <f>$O232*kg_per_mt+domestic_anchor_premium_inr_t</f>
        <v/>
      </c>
      <c r="AF232" s="18">
        <f>(1-Parity!$AA$55)*Parity!$AD$55*heavies_net_value_frac_of_lme_al*$J232*$F232</f>
        <v/>
      </c>
      <c r="AG232" s="18">
        <f>$AE232*Parity!$AU$55+$AF232-$AD232-Parity!$AX$55</f>
        <v/>
      </c>
      <c r="AH232" s="8">
        <f>$AG232&gt;margin_threshold_inr_t</f>
        <v/>
      </c>
      <c r="AI232" s="18">
        <f>($AG232-$P232)*grid_tonnes_mt</f>
        <v/>
      </c>
    </row>
    <row r="233">
      <c r="A233" s="7" t="inlineStr">
        <is>
          <t>first_eligible_long_lane</t>
        </is>
      </c>
      <c r="B233" s="11" t="n">
        <v>44624</v>
      </c>
      <c r="C233" s="7" t="inlineStr">
        <is>
          <t>zorba</t>
        </is>
      </c>
      <c r="D233" s="7" t="inlineStr">
        <is>
          <t>USEC_MUN</t>
        </is>
      </c>
      <c r="E233" s="20" t="n">
        <v>10</v>
      </c>
      <c r="F233" s="7" t="n">
        <v>78</v>
      </c>
      <c r="G233" s="17" t="b">
        <v>0</v>
      </c>
      <c r="H233" s="8">
        <f>1+$E233/100</f>
        <v/>
      </c>
      <c r="I233" s="8">
        <f>$F233/Parity!$H$55</f>
        <v/>
      </c>
      <c r="J233" s="16">
        <f>Parity!$F$55*$H233</f>
        <v/>
      </c>
      <c r="K233" s="8">
        <f>Parity!$I$55*$I233</f>
        <v/>
      </c>
      <c r="L233" s="8">
        <f>Parity!$J$55*$I233</f>
        <v/>
      </c>
      <c r="M233" s="16">
        <f>(Market_Weekly!$K$14-mcx_domestic_premium_inr_kg)*$H233*$I233+mcx_domestic_premium_inr_kg</f>
        <v/>
      </c>
      <c r="N233" s="15">
        <f>Parity!$N$55/Market_Weekly!$K$14</f>
        <v/>
      </c>
      <c r="O233" s="16">
        <f>$M233*$N233</f>
        <v/>
      </c>
      <c r="P233" s="18">
        <f>Parity!$AY$55</f>
        <v/>
      </c>
      <c r="Q233" s="16">
        <f>$J233*Parity!$P$55</f>
        <v/>
      </c>
      <c r="R233" s="16">
        <f>Parity!$L$55*Parity!$AG$55</f>
        <v/>
      </c>
      <c r="S233" s="16">
        <f>$Q233-$R233</f>
        <v/>
      </c>
      <c r="T233" s="16">
        <f>insurance_rate*insured_value_uplift*$Q233</f>
        <v/>
      </c>
      <c r="U233" s="16">
        <f>$Q233+$T233</f>
        <v/>
      </c>
      <c r="V233" s="18">
        <f>$U233*$L233</f>
        <v/>
      </c>
      <c r="W233" s="18">
        <f>$U233*$K233</f>
        <v/>
      </c>
      <c r="X233" s="18">
        <f>$V233*bcd_scrap_hs7602</f>
        <v/>
      </c>
      <c r="Y233" s="18">
        <f>$X233*sws_rate_on_bcd</f>
        <v/>
      </c>
      <c r="Z233" s="18">
        <f>($V233+$X233+$Y233)*igst_rate_hs7602</f>
        <v/>
      </c>
      <c r="AA233" s="18">
        <f>Parity!$X$55*Parity!$AG$55+IF(Parity!$Y$55,psic_cost_usd_per_box*$F233/Parity!$W$55,0)</f>
        <v/>
      </c>
      <c r="AB233" s="18">
        <f>($W233+$X233+$Y233)*Parity!$Z$55/day_count_inr*Parity!$O$55</f>
        <v/>
      </c>
      <c r="AC233" s="18">
        <f>$Z233*igst_credit_lag_days/day_count_inr*Parity!$O$55</f>
        <v/>
      </c>
      <c r="AD233" s="18">
        <f>$W233+$X233+$Y233+$AA233+$AB233+$AC233+IF(igst_itc_available,0,$Z233)</f>
        <v/>
      </c>
      <c r="AE233" s="18">
        <f>$O233*kg_per_mt+domestic_anchor_premium_inr_t</f>
        <v/>
      </c>
      <c r="AF233" s="18">
        <f>(1-Parity!$AA$55)*Parity!$AD$55*heavies_net_value_frac_of_lme_al*$J233*$F233</f>
        <v/>
      </c>
      <c r="AG233" s="18">
        <f>$AE233*Parity!$AU$55+$AF233-$AD233-Parity!$AX$55</f>
        <v/>
      </c>
      <c r="AH233" s="8">
        <f>$AG233&gt;margin_threshold_inr_t</f>
        <v/>
      </c>
      <c r="AI233" s="18">
        <f>($AG233-$P233)*grid_tonnes_mt</f>
        <v/>
      </c>
    </row>
    <row r="234">
      <c r="A234" s="7" t="inlineStr">
        <is>
          <t>first_eligible_long_lane</t>
        </is>
      </c>
      <c r="B234" s="11" t="n">
        <v>44624</v>
      </c>
      <c r="C234" s="7" t="inlineStr">
        <is>
          <t>zorba</t>
        </is>
      </c>
      <c r="D234" s="7" t="inlineStr">
        <is>
          <t>USEC_MUN</t>
        </is>
      </c>
      <c r="E234" s="20" t="n">
        <v>-30</v>
      </c>
      <c r="F234" s="7" t="n">
        <v>79</v>
      </c>
      <c r="G234" s="17" t="b">
        <v>0</v>
      </c>
      <c r="H234" s="8">
        <f>1+$E234/100</f>
        <v/>
      </c>
      <c r="I234" s="8">
        <f>$F234/Parity!$H$55</f>
        <v/>
      </c>
      <c r="J234" s="16">
        <f>Parity!$F$55*$H234</f>
        <v/>
      </c>
      <c r="K234" s="8">
        <f>Parity!$I$55*$I234</f>
        <v/>
      </c>
      <c r="L234" s="8">
        <f>Parity!$J$55*$I234</f>
        <v/>
      </c>
      <c r="M234" s="16">
        <f>(Market_Weekly!$K$14-mcx_domestic_premium_inr_kg)*$H234*$I234+mcx_domestic_premium_inr_kg</f>
        <v/>
      </c>
      <c r="N234" s="15">
        <f>Parity!$N$55/Market_Weekly!$K$14</f>
        <v/>
      </c>
      <c r="O234" s="16">
        <f>$M234*$N234</f>
        <v/>
      </c>
      <c r="P234" s="18">
        <f>Parity!$AY$55</f>
        <v/>
      </c>
      <c r="Q234" s="16">
        <f>$J234*Parity!$P$55</f>
        <v/>
      </c>
      <c r="R234" s="16">
        <f>Parity!$L$55*Parity!$AG$55</f>
        <v/>
      </c>
      <c r="S234" s="16">
        <f>$Q234-$R234</f>
        <v/>
      </c>
      <c r="T234" s="16">
        <f>insurance_rate*insured_value_uplift*$Q234</f>
        <v/>
      </c>
      <c r="U234" s="16">
        <f>$Q234+$T234</f>
        <v/>
      </c>
      <c r="V234" s="18">
        <f>$U234*$L234</f>
        <v/>
      </c>
      <c r="W234" s="18">
        <f>$U234*$K234</f>
        <v/>
      </c>
      <c r="X234" s="18">
        <f>$V234*bcd_scrap_hs7602</f>
        <v/>
      </c>
      <c r="Y234" s="18">
        <f>$X234*sws_rate_on_bcd</f>
        <v/>
      </c>
      <c r="Z234" s="18">
        <f>($V234+$X234+$Y234)*igst_rate_hs7602</f>
        <v/>
      </c>
      <c r="AA234" s="18">
        <f>Parity!$X$55*Parity!$AG$55+IF(Parity!$Y$55,psic_cost_usd_per_box*$F234/Parity!$W$55,0)</f>
        <v/>
      </c>
      <c r="AB234" s="18">
        <f>($W234+$X234+$Y234)*Parity!$Z$55/day_count_inr*Parity!$O$55</f>
        <v/>
      </c>
      <c r="AC234" s="18">
        <f>$Z234*igst_credit_lag_days/day_count_inr*Parity!$O$55</f>
        <v/>
      </c>
      <c r="AD234" s="18">
        <f>$W234+$X234+$Y234+$AA234+$AB234+$AC234+IF(igst_itc_available,0,$Z234)</f>
        <v/>
      </c>
      <c r="AE234" s="18">
        <f>$O234*kg_per_mt+domestic_anchor_premium_inr_t</f>
        <v/>
      </c>
      <c r="AF234" s="18">
        <f>(1-Parity!$AA$55)*Parity!$AD$55*heavies_net_value_frac_of_lme_al*$J234*$F234</f>
        <v/>
      </c>
      <c r="AG234" s="18">
        <f>$AE234*Parity!$AU$55+$AF234-$AD234-Parity!$AX$55</f>
        <v/>
      </c>
      <c r="AH234" s="8">
        <f>$AG234&gt;margin_threshold_inr_t</f>
        <v/>
      </c>
      <c r="AI234" s="18">
        <f>($AG234-$P234)*grid_tonnes_mt</f>
        <v/>
      </c>
    </row>
    <row r="235">
      <c r="A235" s="7" t="inlineStr">
        <is>
          <t>first_eligible_long_lane</t>
        </is>
      </c>
      <c r="B235" s="11" t="n">
        <v>44624</v>
      </c>
      <c r="C235" s="7" t="inlineStr">
        <is>
          <t>zorba</t>
        </is>
      </c>
      <c r="D235" s="7" t="inlineStr">
        <is>
          <t>USEC_MUN</t>
        </is>
      </c>
      <c r="E235" s="20" t="n">
        <v>-25</v>
      </c>
      <c r="F235" s="7" t="n">
        <v>79</v>
      </c>
      <c r="G235" s="17" t="b">
        <v>0</v>
      </c>
      <c r="H235" s="8">
        <f>1+$E235/100</f>
        <v/>
      </c>
      <c r="I235" s="8">
        <f>$F235/Parity!$H$55</f>
        <v/>
      </c>
      <c r="J235" s="16">
        <f>Parity!$F$55*$H235</f>
        <v/>
      </c>
      <c r="K235" s="8">
        <f>Parity!$I$55*$I235</f>
        <v/>
      </c>
      <c r="L235" s="8">
        <f>Parity!$J$55*$I235</f>
        <v/>
      </c>
      <c r="M235" s="16">
        <f>(Market_Weekly!$K$14-mcx_domestic_premium_inr_kg)*$H235*$I235+mcx_domestic_premium_inr_kg</f>
        <v/>
      </c>
      <c r="N235" s="15">
        <f>Parity!$N$55/Market_Weekly!$K$14</f>
        <v/>
      </c>
      <c r="O235" s="16">
        <f>$M235*$N235</f>
        <v/>
      </c>
      <c r="P235" s="18">
        <f>Parity!$AY$55</f>
        <v/>
      </c>
      <c r="Q235" s="16">
        <f>$J235*Parity!$P$55</f>
        <v/>
      </c>
      <c r="R235" s="16">
        <f>Parity!$L$55*Parity!$AG$55</f>
        <v/>
      </c>
      <c r="S235" s="16">
        <f>$Q235-$R235</f>
        <v/>
      </c>
      <c r="T235" s="16">
        <f>insurance_rate*insured_value_uplift*$Q235</f>
        <v/>
      </c>
      <c r="U235" s="16">
        <f>$Q235+$T235</f>
        <v/>
      </c>
      <c r="V235" s="18">
        <f>$U235*$L235</f>
        <v/>
      </c>
      <c r="W235" s="18">
        <f>$U235*$K235</f>
        <v/>
      </c>
      <c r="X235" s="18">
        <f>$V235*bcd_scrap_hs7602</f>
        <v/>
      </c>
      <c r="Y235" s="18">
        <f>$X235*sws_rate_on_bcd</f>
        <v/>
      </c>
      <c r="Z235" s="18">
        <f>($V235+$X235+$Y235)*igst_rate_hs7602</f>
        <v/>
      </c>
      <c r="AA235" s="18">
        <f>Parity!$X$55*Parity!$AG$55+IF(Parity!$Y$55,psic_cost_usd_per_box*$F235/Parity!$W$55,0)</f>
        <v/>
      </c>
      <c r="AB235" s="18">
        <f>($W235+$X235+$Y235)*Parity!$Z$55/day_count_inr*Parity!$O$55</f>
        <v/>
      </c>
      <c r="AC235" s="18">
        <f>$Z235*igst_credit_lag_days/day_count_inr*Parity!$O$55</f>
        <v/>
      </c>
      <c r="AD235" s="18">
        <f>$W235+$X235+$Y235+$AA235+$AB235+$AC235+IF(igst_itc_available,0,$Z235)</f>
        <v/>
      </c>
      <c r="AE235" s="18">
        <f>$O235*kg_per_mt+domestic_anchor_premium_inr_t</f>
        <v/>
      </c>
      <c r="AF235" s="18">
        <f>(1-Parity!$AA$55)*Parity!$AD$55*heavies_net_value_frac_of_lme_al*$J235*$F235</f>
        <v/>
      </c>
      <c r="AG235" s="18">
        <f>$AE235*Parity!$AU$55+$AF235-$AD235-Parity!$AX$55</f>
        <v/>
      </c>
      <c r="AH235" s="8">
        <f>$AG235&gt;margin_threshold_inr_t</f>
        <v/>
      </c>
      <c r="AI235" s="18">
        <f>($AG235-$P235)*grid_tonnes_mt</f>
        <v/>
      </c>
    </row>
    <row r="236">
      <c r="A236" s="7" t="inlineStr">
        <is>
          <t>first_eligible_long_lane</t>
        </is>
      </c>
      <c r="B236" s="11" t="n">
        <v>44624</v>
      </c>
      <c r="C236" s="7" t="inlineStr">
        <is>
          <t>zorba</t>
        </is>
      </c>
      <c r="D236" s="7" t="inlineStr">
        <is>
          <t>USEC_MUN</t>
        </is>
      </c>
      <c r="E236" s="20" t="n">
        <v>-20</v>
      </c>
      <c r="F236" s="7" t="n">
        <v>79</v>
      </c>
      <c r="G236" s="17" t="b">
        <v>0</v>
      </c>
      <c r="H236" s="8">
        <f>1+$E236/100</f>
        <v/>
      </c>
      <c r="I236" s="8">
        <f>$F236/Parity!$H$55</f>
        <v/>
      </c>
      <c r="J236" s="16">
        <f>Parity!$F$55*$H236</f>
        <v/>
      </c>
      <c r="K236" s="8">
        <f>Parity!$I$55*$I236</f>
        <v/>
      </c>
      <c r="L236" s="8">
        <f>Parity!$J$55*$I236</f>
        <v/>
      </c>
      <c r="M236" s="16">
        <f>(Market_Weekly!$K$14-mcx_domestic_premium_inr_kg)*$H236*$I236+mcx_domestic_premium_inr_kg</f>
        <v/>
      </c>
      <c r="N236" s="15">
        <f>Parity!$N$55/Market_Weekly!$K$14</f>
        <v/>
      </c>
      <c r="O236" s="16">
        <f>$M236*$N236</f>
        <v/>
      </c>
      <c r="P236" s="18">
        <f>Parity!$AY$55</f>
        <v/>
      </c>
      <c r="Q236" s="16">
        <f>$J236*Parity!$P$55</f>
        <v/>
      </c>
      <c r="R236" s="16">
        <f>Parity!$L$55*Parity!$AG$55</f>
        <v/>
      </c>
      <c r="S236" s="16">
        <f>$Q236-$R236</f>
        <v/>
      </c>
      <c r="T236" s="16">
        <f>insurance_rate*insured_value_uplift*$Q236</f>
        <v/>
      </c>
      <c r="U236" s="16">
        <f>$Q236+$T236</f>
        <v/>
      </c>
      <c r="V236" s="18">
        <f>$U236*$L236</f>
        <v/>
      </c>
      <c r="W236" s="18">
        <f>$U236*$K236</f>
        <v/>
      </c>
      <c r="X236" s="18">
        <f>$V236*bcd_scrap_hs7602</f>
        <v/>
      </c>
      <c r="Y236" s="18">
        <f>$X236*sws_rate_on_bcd</f>
        <v/>
      </c>
      <c r="Z236" s="18">
        <f>($V236+$X236+$Y236)*igst_rate_hs7602</f>
        <v/>
      </c>
      <c r="AA236" s="18">
        <f>Parity!$X$55*Parity!$AG$55+IF(Parity!$Y$55,psic_cost_usd_per_box*$F236/Parity!$W$55,0)</f>
        <v/>
      </c>
      <c r="AB236" s="18">
        <f>($W236+$X236+$Y236)*Parity!$Z$55/day_count_inr*Parity!$O$55</f>
        <v/>
      </c>
      <c r="AC236" s="18">
        <f>$Z236*igst_credit_lag_days/day_count_inr*Parity!$O$55</f>
        <v/>
      </c>
      <c r="AD236" s="18">
        <f>$W236+$X236+$Y236+$AA236+$AB236+$AC236+IF(igst_itc_available,0,$Z236)</f>
        <v/>
      </c>
      <c r="AE236" s="18">
        <f>$O236*kg_per_mt+domestic_anchor_premium_inr_t</f>
        <v/>
      </c>
      <c r="AF236" s="18">
        <f>(1-Parity!$AA$55)*Parity!$AD$55*heavies_net_value_frac_of_lme_al*$J236*$F236</f>
        <v/>
      </c>
      <c r="AG236" s="18">
        <f>$AE236*Parity!$AU$55+$AF236-$AD236-Parity!$AX$55</f>
        <v/>
      </c>
      <c r="AH236" s="8">
        <f>$AG236&gt;margin_threshold_inr_t</f>
        <v/>
      </c>
      <c r="AI236" s="18">
        <f>($AG236-$P236)*grid_tonnes_mt</f>
        <v/>
      </c>
    </row>
    <row r="237">
      <c r="A237" s="7" t="inlineStr">
        <is>
          <t>first_eligible_long_lane</t>
        </is>
      </c>
      <c r="B237" s="11" t="n">
        <v>44624</v>
      </c>
      <c r="C237" s="7" t="inlineStr">
        <is>
          <t>zorba</t>
        </is>
      </c>
      <c r="D237" s="7" t="inlineStr">
        <is>
          <t>USEC_MUN</t>
        </is>
      </c>
      <c r="E237" s="20" t="n">
        <v>-15</v>
      </c>
      <c r="F237" s="7" t="n">
        <v>79</v>
      </c>
      <c r="G237" s="17" t="b">
        <v>0</v>
      </c>
      <c r="H237" s="8">
        <f>1+$E237/100</f>
        <v/>
      </c>
      <c r="I237" s="8">
        <f>$F237/Parity!$H$55</f>
        <v/>
      </c>
      <c r="J237" s="16">
        <f>Parity!$F$55*$H237</f>
        <v/>
      </c>
      <c r="K237" s="8">
        <f>Parity!$I$55*$I237</f>
        <v/>
      </c>
      <c r="L237" s="8">
        <f>Parity!$J$55*$I237</f>
        <v/>
      </c>
      <c r="M237" s="16">
        <f>(Market_Weekly!$K$14-mcx_domestic_premium_inr_kg)*$H237*$I237+mcx_domestic_premium_inr_kg</f>
        <v/>
      </c>
      <c r="N237" s="15">
        <f>Parity!$N$55/Market_Weekly!$K$14</f>
        <v/>
      </c>
      <c r="O237" s="16">
        <f>$M237*$N237</f>
        <v/>
      </c>
      <c r="P237" s="18">
        <f>Parity!$AY$55</f>
        <v/>
      </c>
      <c r="Q237" s="16">
        <f>$J237*Parity!$P$55</f>
        <v/>
      </c>
      <c r="R237" s="16">
        <f>Parity!$L$55*Parity!$AG$55</f>
        <v/>
      </c>
      <c r="S237" s="16">
        <f>$Q237-$R237</f>
        <v/>
      </c>
      <c r="T237" s="16">
        <f>insurance_rate*insured_value_uplift*$Q237</f>
        <v/>
      </c>
      <c r="U237" s="16">
        <f>$Q237+$T237</f>
        <v/>
      </c>
      <c r="V237" s="18">
        <f>$U237*$L237</f>
        <v/>
      </c>
      <c r="W237" s="18">
        <f>$U237*$K237</f>
        <v/>
      </c>
      <c r="X237" s="18">
        <f>$V237*bcd_scrap_hs7602</f>
        <v/>
      </c>
      <c r="Y237" s="18">
        <f>$X237*sws_rate_on_bcd</f>
        <v/>
      </c>
      <c r="Z237" s="18">
        <f>($V237+$X237+$Y237)*igst_rate_hs7602</f>
        <v/>
      </c>
      <c r="AA237" s="18">
        <f>Parity!$X$55*Parity!$AG$55+IF(Parity!$Y$55,psic_cost_usd_per_box*$F237/Parity!$W$55,0)</f>
        <v/>
      </c>
      <c r="AB237" s="18">
        <f>($W237+$X237+$Y237)*Parity!$Z$55/day_count_inr*Parity!$O$55</f>
        <v/>
      </c>
      <c r="AC237" s="18">
        <f>$Z237*igst_credit_lag_days/day_count_inr*Parity!$O$55</f>
        <v/>
      </c>
      <c r="AD237" s="18">
        <f>$W237+$X237+$Y237+$AA237+$AB237+$AC237+IF(igst_itc_available,0,$Z237)</f>
        <v/>
      </c>
      <c r="AE237" s="18">
        <f>$O237*kg_per_mt+domestic_anchor_premium_inr_t</f>
        <v/>
      </c>
      <c r="AF237" s="18">
        <f>(1-Parity!$AA$55)*Parity!$AD$55*heavies_net_value_frac_of_lme_al*$J237*$F237</f>
        <v/>
      </c>
      <c r="AG237" s="18">
        <f>$AE237*Parity!$AU$55+$AF237-$AD237-Parity!$AX$55</f>
        <v/>
      </c>
      <c r="AH237" s="8">
        <f>$AG237&gt;margin_threshold_inr_t</f>
        <v/>
      </c>
      <c r="AI237" s="18">
        <f>($AG237-$P237)*grid_tonnes_mt</f>
        <v/>
      </c>
    </row>
    <row r="238">
      <c r="A238" s="7" t="inlineStr">
        <is>
          <t>first_eligible_long_lane</t>
        </is>
      </c>
      <c r="B238" s="11" t="n">
        <v>44624</v>
      </c>
      <c r="C238" s="7" t="inlineStr">
        <is>
          <t>zorba</t>
        </is>
      </c>
      <c r="D238" s="7" t="inlineStr">
        <is>
          <t>USEC_MUN</t>
        </is>
      </c>
      <c r="E238" s="20" t="n">
        <v>-10</v>
      </c>
      <c r="F238" s="7" t="n">
        <v>79</v>
      </c>
      <c r="G238" s="17" t="b">
        <v>0</v>
      </c>
      <c r="H238" s="8">
        <f>1+$E238/100</f>
        <v/>
      </c>
      <c r="I238" s="8">
        <f>$F238/Parity!$H$55</f>
        <v/>
      </c>
      <c r="J238" s="16">
        <f>Parity!$F$55*$H238</f>
        <v/>
      </c>
      <c r="K238" s="8">
        <f>Parity!$I$55*$I238</f>
        <v/>
      </c>
      <c r="L238" s="8">
        <f>Parity!$J$55*$I238</f>
        <v/>
      </c>
      <c r="M238" s="16">
        <f>(Market_Weekly!$K$14-mcx_domestic_premium_inr_kg)*$H238*$I238+mcx_domestic_premium_inr_kg</f>
        <v/>
      </c>
      <c r="N238" s="15">
        <f>Parity!$N$55/Market_Weekly!$K$14</f>
        <v/>
      </c>
      <c r="O238" s="16">
        <f>$M238*$N238</f>
        <v/>
      </c>
      <c r="P238" s="18">
        <f>Parity!$AY$55</f>
        <v/>
      </c>
      <c r="Q238" s="16">
        <f>$J238*Parity!$P$55</f>
        <v/>
      </c>
      <c r="R238" s="16">
        <f>Parity!$L$55*Parity!$AG$55</f>
        <v/>
      </c>
      <c r="S238" s="16">
        <f>$Q238-$R238</f>
        <v/>
      </c>
      <c r="T238" s="16">
        <f>insurance_rate*insured_value_uplift*$Q238</f>
        <v/>
      </c>
      <c r="U238" s="16">
        <f>$Q238+$T238</f>
        <v/>
      </c>
      <c r="V238" s="18">
        <f>$U238*$L238</f>
        <v/>
      </c>
      <c r="W238" s="18">
        <f>$U238*$K238</f>
        <v/>
      </c>
      <c r="X238" s="18">
        <f>$V238*bcd_scrap_hs7602</f>
        <v/>
      </c>
      <c r="Y238" s="18">
        <f>$X238*sws_rate_on_bcd</f>
        <v/>
      </c>
      <c r="Z238" s="18">
        <f>($V238+$X238+$Y238)*igst_rate_hs7602</f>
        <v/>
      </c>
      <c r="AA238" s="18">
        <f>Parity!$X$55*Parity!$AG$55+IF(Parity!$Y$55,psic_cost_usd_per_box*$F238/Parity!$W$55,0)</f>
        <v/>
      </c>
      <c r="AB238" s="18">
        <f>($W238+$X238+$Y238)*Parity!$Z$55/day_count_inr*Parity!$O$55</f>
        <v/>
      </c>
      <c r="AC238" s="18">
        <f>$Z238*igst_credit_lag_days/day_count_inr*Parity!$O$55</f>
        <v/>
      </c>
      <c r="AD238" s="18">
        <f>$W238+$X238+$Y238+$AA238+$AB238+$AC238+IF(igst_itc_available,0,$Z238)</f>
        <v/>
      </c>
      <c r="AE238" s="18">
        <f>$O238*kg_per_mt+domestic_anchor_premium_inr_t</f>
        <v/>
      </c>
      <c r="AF238" s="18">
        <f>(1-Parity!$AA$55)*Parity!$AD$55*heavies_net_value_frac_of_lme_al*$J238*$F238</f>
        <v/>
      </c>
      <c r="AG238" s="18">
        <f>$AE238*Parity!$AU$55+$AF238-$AD238-Parity!$AX$55</f>
        <v/>
      </c>
      <c r="AH238" s="8">
        <f>$AG238&gt;margin_threshold_inr_t</f>
        <v/>
      </c>
      <c r="AI238" s="18">
        <f>($AG238-$P238)*grid_tonnes_mt</f>
        <v/>
      </c>
    </row>
    <row r="239">
      <c r="A239" s="7" t="inlineStr">
        <is>
          <t>first_eligible_long_lane</t>
        </is>
      </c>
      <c r="B239" s="11" t="n">
        <v>44624</v>
      </c>
      <c r="C239" s="7" t="inlineStr">
        <is>
          <t>zorba</t>
        </is>
      </c>
      <c r="D239" s="7" t="inlineStr">
        <is>
          <t>USEC_MUN</t>
        </is>
      </c>
      <c r="E239" s="20" t="n">
        <v>-5</v>
      </c>
      <c r="F239" s="7" t="n">
        <v>79</v>
      </c>
      <c r="G239" s="17" t="b">
        <v>0</v>
      </c>
      <c r="H239" s="8">
        <f>1+$E239/100</f>
        <v/>
      </c>
      <c r="I239" s="8">
        <f>$F239/Parity!$H$55</f>
        <v/>
      </c>
      <c r="J239" s="16">
        <f>Parity!$F$55*$H239</f>
        <v/>
      </c>
      <c r="K239" s="8">
        <f>Parity!$I$55*$I239</f>
        <v/>
      </c>
      <c r="L239" s="8">
        <f>Parity!$J$55*$I239</f>
        <v/>
      </c>
      <c r="M239" s="16">
        <f>(Market_Weekly!$K$14-mcx_domestic_premium_inr_kg)*$H239*$I239+mcx_domestic_premium_inr_kg</f>
        <v/>
      </c>
      <c r="N239" s="15">
        <f>Parity!$N$55/Market_Weekly!$K$14</f>
        <v/>
      </c>
      <c r="O239" s="16">
        <f>$M239*$N239</f>
        <v/>
      </c>
      <c r="P239" s="18">
        <f>Parity!$AY$55</f>
        <v/>
      </c>
      <c r="Q239" s="16">
        <f>$J239*Parity!$P$55</f>
        <v/>
      </c>
      <c r="R239" s="16">
        <f>Parity!$L$55*Parity!$AG$55</f>
        <v/>
      </c>
      <c r="S239" s="16">
        <f>$Q239-$R239</f>
        <v/>
      </c>
      <c r="T239" s="16">
        <f>insurance_rate*insured_value_uplift*$Q239</f>
        <v/>
      </c>
      <c r="U239" s="16">
        <f>$Q239+$T239</f>
        <v/>
      </c>
      <c r="V239" s="18">
        <f>$U239*$L239</f>
        <v/>
      </c>
      <c r="W239" s="18">
        <f>$U239*$K239</f>
        <v/>
      </c>
      <c r="X239" s="18">
        <f>$V239*bcd_scrap_hs7602</f>
        <v/>
      </c>
      <c r="Y239" s="18">
        <f>$X239*sws_rate_on_bcd</f>
        <v/>
      </c>
      <c r="Z239" s="18">
        <f>($V239+$X239+$Y239)*igst_rate_hs7602</f>
        <v/>
      </c>
      <c r="AA239" s="18">
        <f>Parity!$X$55*Parity!$AG$55+IF(Parity!$Y$55,psic_cost_usd_per_box*$F239/Parity!$W$55,0)</f>
        <v/>
      </c>
      <c r="AB239" s="18">
        <f>($W239+$X239+$Y239)*Parity!$Z$55/day_count_inr*Parity!$O$55</f>
        <v/>
      </c>
      <c r="AC239" s="18">
        <f>$Z239*igst_credit_lag_days/day_count_inr*Parity!$O$55</f>
        <v/>
      </c>
      <c r="AD239" s="18">
        <f>$W239+$X239+$Y239+$AA239+$AB239+$AC239+IF(igst_itc_available,0,$Z239)</f>
        <v/>
      </c>
      <c r="AE239" s="18">
        <f>$O239*kg_per_mt+domestic_anchor_premium_inr_t</f>
        <v/>
      </c>
      <c r="AF239" s="18">
        <f>(1-Parity!$AA$55)*Parity!$AD$55*heavies_net_value_frac_of_lme_al*$J239*$F239</f>
        <v/>
      </c>
      <c r="AG239" s="18">
        <f>$AE239*Parity!$AU$55+$AF239-$AD239-Parity!$AX$55</f>
        <v/>
      </c>
      <c r="AH239" s="8">
        <f>$AG239&gt;margin_threshold_inr_t</f>
        <v/>
      </c>
      <c r="AI239" s="18">
        <f>($AG239-$P239)*grid_tonnes_mt</f>
        <v/>
      </c>
    </row>
    <row r="240">
      <c r="A240" s="7" t="inlineStr">
        <is>
          <t>first_eligible_long_lane</t>
        </is>
      </c>
      <c r="B240" s="11" t="n">
        <v>44624</v>
      </c>
      <c r="C240" s="7" t="inlineStr">
        <is>
          <t>zorba</t>
        </is>
      </c>
      <c r="D240" s="7" t="inlineStr">
        <is>
          <t>USEC_MUN</t>
        </is>
      </c>
      <c r="E240" s="20" t="n">
        <v>0</v>
      </c>
      <c r="F240" s="7" t="n">
        <v>79</v>
      </c>
      <c r="G240" s="17" t="b">
        <v>0</v>
      </c>
      <c r="H240" s="8">
        <f>1+$E240/100</f>
        <v/>
      </c>
      <c r="I240" s="8">
        <f>$F240/Parity!$H$55</f>
        <v/>
      </c>
      <c r="J240" s="16">
        <f>Parity!$F$55*$H240</f>
        <v/>
      </c>
      <c r="K240" s="8">
        <f>Parity!$I$55*$I240</f>
        <v/>
      </c>
      <c r="L240" s="8">
        <f>Parity!$J$55*$I240</f>
        <v/>
      </c>
      <c r="M240" s="16">
        <f>(Market_Weekly!$K$14-mcx_domestic_premium_inr_kg)*$H240*$I240+mcx_domestic_premium_inr_kg</f>
        <v/>
      </c>
      <c r="N240" s="15">
        <f>Parity!$N$55/Market_Weekly!$K$14</f>
        <v/>
      </c>
      <c r="O240" s="16">
        <f>$M240*$N240</f>
        <v/>
      </c>
      <c r="P240" s="18">
        <f>Parity!$AY$55</f>
        <v/>
      </c>
      <c r="Q240" s="16">
        <f>$J240*Parity!$P$55</f>
        <v/>
      </c>
      <c r="R240" s="16">
        <f>Parity!$L$55*Parity!$AG$55</f>
        <v/>
      </c>
      <c r="S240" s="16">
        <f>$Q240-$R240</f>
        <v/>
      </c>
      <c r="T240" s="16">
        <f>insurance_rate*insured_value_uplift*$Q240</f>
        <v/>
      </c>
      <c r="U240" s="16">
        <f>$Q240+$T240</f>
        <v/>
      </c>
      <c r="V240" s="18">
        <f>$U240*$L240</f>
        <v/>
      </c>
      <c r="W240" s="18">
        <f>$U240*$K240</f>
        <v/>
      </c>
      <c r="X240" s="18">
        <f>$V240*bcd_scrap_hs7602</f>
        <v/>
      </c>
      <c r="Y240" s="18">
        <f>$X240*sws_rate_on_bcd</f>
        <v/>
      </c>
      <c r="Z240" s="18">
        <f>($V240+$X240+$Y240)*igst_rate_hs7602</f>
        <v/>
      </c>
      <c r="AA240" s="18">
        <f>Parity!$X$55*Parity!$AG$55+IF(Parity!$Y$55,psic_cost_usd_per_box*$F240/Parity!$W$55,0)</f>
        <v/>
      </c>
      <c r="AB240" s="18">
        <f>($W240+$X240+$Y240)*Parity!$Z$55/day_count_inr*Parity!$O$55</f>
        <v/>
      </c>
      <c r="AC240" s="18">
        <f>$Z240*igst_credit_lag_days/day_count_inr*Parity!$O$55</f>
        <v/>
      </c>
      <c r="AD240" s="18">
        <f>$W240+$X240+$Y240+$AA240+$AB240+$AC240+IF(igst_itc_available,0,$Z240)</f>
        <v/>
      </c>
      <c r="AE240" s="18">
        <f>$O240*kg_per_mt+domestic_anchor_premium_inr_t</f>
        <v/>
      </c>
      <c r="AF240" s="18">
        <f>(1-Parity!$AA$55)*Parity!$AD$55*heavies_net_value_frac_of_lme_al*$J240*$F240</f>
        <v/>
      </c>
      <c r="AG240" s="18">
        <f>$AE240*Parity!$AU$55+$AF240-$AD240-Parity!$AX$55</f>
        <v/>
      </c>
      <c r="AH240" s="8">
        <f>$AG240&gt;margin_threshold_inr_t</f>
        <v/>
      </c>
      <c r="AI240" s="18">
        <f>($AG240-$P240)*grid_tonnes_mt</f>
        <v/>
      </c>
    </row>
    <row r="241">
      <c r="A241" s="7" t="inlineStr">
        <is>
          <t>first_eligible_long_lane</t>
        </is>
      </c>
      <c r="B241" s="11" t="n">
        <v>44624</v>
      </c>
      <c r="C241" s="7" t="inlineStr">
        <is>
          <t>zorba</t>
        </is>
      </c>
      <c r="D241" s="7" t="inlineStr">
        <is>
          <t>USEC_MUN</t>
        </is>
      </c>
      <c r="E241" s="20" t="n">
        <v>5</v>
      </c>
      <c r="F241" s="7" t="n">
        <v>79</v>
      </c>
      <c r="G241" s="17" t="b">
        <v>0</v>
      </c>
      <c r="H241" s="8">
        <f>1+$E241/100</f>
        <v/>
      </c>
      <c r="I241" s="8">
        <f>$F241/Parity!$H$55</f>
        <v/>
      </c>
      <c r="J241" s="16">
        <f>Parity!$F$55*$H241</f>
        <v/>
      </c>
      <c r="K241" s="8">
        <f>Parity!$I$55*$I241</f>
        <v/>
      </c>
      <c r="L241" s="8">
        <f>Parity!$J$55*$I241</f>
        <v/>
      </c>
      <c r="M241" s="16">
        <f>(Market_Weekly!$K$14-mcx_domestic_premium_inr_kg)*$H241*$I241+mcx_domestic_premium_inr_kg</f>
        <v/>
      </c>
      <c r="N241" s="15">
        <f>Parity!$N$55/Market_Weekly!$K$14</f>
        <v/>
      </c>
      <c r="O241" s="16">
        <f>$M241*$N241</f>
        <v/>
      </c>
      <c r="P241" s="18">
        <f>Parity!$AY$55</f>
        <v/>
      </c>
      <c r="Q241" s="16">
        <f>$J241*Parity!$P$55</f>
        <v/>
      </c>
      <c r="R241" s="16">
        <f>Parity!$L$55*Parity!$AG$55</f>
        <v/>
      </c>
      <c r="S241" s="16">
        <f>$Q241-$R241</f>
        <v/>
      </c>
      <c r="T241" s="16">
        <f>insurance_rate*insured_value_uplift*$Q241</f>
        <v/>
      </c>
      <c r="U241" s="16">
        <f>$Q241+$T241</f>
        <v/>
      </c>
      <c r="V241" s="18">
        <f>$U241*$L241</f>
        <v/>
      </c>
      <c r="W241" s="18">
        <f>$U241*$K241</f>
        <v/>
      </c>
      <c r="X241" s="18">
        <f>$V241*bcd_scrap_hs7602</f>
        <v/>
      </c>
      <c r="Y241" s="18">
        <f>$X241*sws_rate_on_bcd</f>
        <v/>
      </c>
      <c r="Z241" s="18">
        <f>($V241+$X241+$Y241)*igst_rate_hs7602</f>
        <v/>
      </c>
      <c r="AA241" s="18">
        <f>Parity!$X$55*Parity!$AG$55+IF(Parity!$Y$55,psic_cost_usd_per_box*$F241/Parity!$W$55,0)</f>
        <v/>
      </c>
      <c r="AB241" s="18">
        <f>($W241+$X241+$Y241)*Parity!$Z$55/day_count_inr*Parity!$O$55</f>
        <v/>
      </c>
      <c r="AC241" s="18">
        <f>$Z241*igst_credit_lag_days/day_count_inr*Parity!$O$55</f>
        <v/>
      </c>
      <c r="AD241" s="18">
        <f>$W241+$X241+$Y241+$AA241+$AB241+$AC241+IF(igst_itc_available,0,$Z241)</f>
        <v/>
      </c>
      <c r="AE241" s="18">
        <f>$O241*kg_per_mt+domestic_anchor_premium_inr_t</f>
        <v/>
      </c>
      <c r="AF241" s="18">
        <f>(1-Parity!$AA$55)*Parity!$AD$55*heavies_net_value_frac_of_lme_al*$J241*$F241</f>
        <v/>
      </c>
      <c r="AG241" s="18">
        <f>$AE241*Parity!$AU$55+$AF241-$AD241-Parity!$AX$55</f>
        <v/>
      </c>
      <c r="AH241" s="8">
        <f>$AG241&gt;margin_threshold_inr_t</f>
        <v/>
      </c>
      <c r="AI241" s="18">
        <f>($AG241-$P241)*grid_tonnes_mt</f>
        <v/>
      </c>
    </row>
    <row r="242">
      <c r="A242" s="7" t="inlineStr">
        <is>
          <t>first_eligible_long_lane</t>
        </is>
      </c>
      <c r="B242" s="11" t="n">
        <v>44624</v>
      </c>
      <c r="C242" s="7" t="inlineStr">
        <is>
          <t>zorba</t>
        </is>
      </c>
      <c r="D242" s="7" t="inlineStr">
        <is>
          <t>USEC_MUN</t>
        </is>
      </c>
      <c r="E242" s="20" t="n">
        <v>10</v>
      </c>
      <c r="F242" s="7" t="n">
        <v>79</v>
      </c>
      <c r="G242" s="17" t="b">
        <v>0</v>
      </c>
      <c r="H242" s="8">
        <f>1+$E242/100</f>
        <v/>
      </c>
      <c r="I242" s="8">
        <f>$F242/Parity!$H$55</f>
        <v/>
      </c>
      <c r="J242" s="16">
        <f>Parity!$F$55*$H242</f>
        <v/>
      </c>
      <c r="K242" s="8">
        <f>Parity!$I$55*$I242</f>
        <v/>
      </c>
      <c r="L242" s="8">
        <f>Parity!$J$55*$I242</f>
        <v/>
      </c>
      <c r="M242" s="16">
        <f>(Market_Weekly!$K$14-mcx_domestic_premium_inr_kg)*$H242*$I242+mcx_domestic_premium_inr_kg</f>
        <v/>
      </c>
      <c r="N242" s="15">
        <f>Parity!$N$55/Market_Weekly!$K$14</f>
        <v/>
      </c>
      <c r="O242" s="16">
        <f>$M242*$N242</f>
        <v/>
      </c>
      <c r="P242" s="18">
        <f>Parity!$AY$55</f>
        <v/>
      </c>
      <c r="Q242" s="16">
        <f>$J242*Parity!$P$55</f>
        <v/>
      </c>
      <c r="R242" s="16">
        <f>Parity!$L$55*Parity!$AG$55</f>
        <v/>
      </c>
      <c r="S242" s="16">
        <f>$Q242-$R242</f>
        <v/>
      </c>
      <c r="T242" s="16">
        <f>insurance_rate*insured_value_uplift*$Q242</f>
        <v/>
      </c>
      <c r="U242" s="16">
        <f>$Q242+$T242</f>
        <v/>
      </c>
      <c r="V242" s="18">
        <f>$U242*$L242</f>
        <v/>
      </c>
      <c r="W242" s="18">
        <f>$U242*$K242</f>
        <v/>
      </c>
      <c r="X242" s="18">
        <f>$V242*bcd_scrap_hs7602</f>
        <v/>
      </c>
      <c r="Y242" s="18">
        <f>$X242*sws_rate_on_bcd</f>
        <v/>
      </c>
      <c r="Z242" s="18">
        <f>($V242+$X242+$Y242)*igst_rate_hs7602</f>
        <v/>
      </c>
      <c r="AA242" s="18">
        <f>Parity!$X$55*Parity!$AG$55+IF(Parity!$Y$55,psic_cost_usd_per_box*$F242/Parity!$W$55,0)</f>
        <v/>
      </c>
      <c r="AB242" s="18">
        <f>($W242+$X242+$Y242)*Parity!$Z$55/day_count_inr*Parity!$O$55</f>
        <v/>
      </c>
      <c r="AC242" s="18">
        <f>$Z242*igst_credit_lag_days/day_count_inr*Parity!$O$55</f>
        <v/>
      </c>
      <c r="AD242" s="18">
        <f>$W242+$X242+$Y242+$AA242+$AB242+$AC242+IF(igst_itc_available,0,$Z242)</f>
        <v/>
      </c>
      <c r="AE242" s="18">
        <f>$O242*kg_per_mt+domestic_anchor_premium_inr_t</f>
        <v/>
      </c>
      <c r="AF242" s="18">
        <f>(1-Parity!$AA$55)*Parity!$AD$55*heavies_net_value_frac_of_lme_al*$J242*$F242</f>
        <v/>
      </c>
      <c r="AG242" s="18">
        <f>$AE242*Parity!$AU$55+$AF242-$AD242-Parity!$AX$55</f>
        <v/>
      </c>
      <c r="AH242" s="8">
        <f>$AG242&gt;margin_threshold_inr_t</f>
        <v/>
      </c>
      <c r="AI242" s="18">
        <f>($AG242-$P242)*grid_tonnes_mt</f>
        <v/>
      </c>
    </row>
    <row r="243">
      <c r="A243" s="7" t="inlineStr">
        <is>
          <t>first_eligible_long_lane</t>
        </is>
      </c>
      <c r="B243" s="11" t="n">
        <v>44624</v>
      </c>
      <c r="C243" s="7" t="inlineStr">
        <is>
          <t>zorba</t>
        </is>
      </c>
      <c r="D243" s="7" t="inlineStr">
        <is>
          <t>USEC_MUN</t>
        </is>
      </c>
      <c r="E243" s="20" t="n">
        <v>-30</v>
      </c>
      <c r="F243" s="7" t="n">
        <v>80</v>
      </c>
      <c r="G243" s="17" t="b">
        <v>0</v>
      </c>
      <c r="H243" s="8">
        <f>1+$E243/100</f>
        <v/>
      </c>
      <c r="I243" s="8">
        <f>$F243/Parity!$H$55</f>
        <v/>
      </c>
      <c r="J243" s="16">
        <f>Parity!$F$55*$H243</f>
        <v/>
      </c>
      <c r="K243" s="8">
        <f>Parity!$I$55*$I243</f>
        <v/>
      </c>
      <c r="L243" s="8">
        <f>Parity!$J$55*$I243</f>
        <v/>
      </c>
      <c r="M243" s="16">
        <f>(Market_Weekly!$K$14-mcx_domestic_premium_inr_kg)*$H243*$I243+mcx_domestic_premium_inr_kg</f>
        <v/>
      </c>
      <c r="N243" s="15">
        <f>Parity!$N$55/Market_Weekly!$K$14</f>
        <v/>
      </c>
      <c r="O243" s="16">
        <f>$M243*$N243</f>
        <v/>
      </c>
      <c r="P243" s="18">
        <f>Parity!$AY$55</f>
        <v/>
      </c>
      <c r="Q243" s="16">
        <f>$J243*Parity!$P$55</f>
        <v/>
      </c>
      <c r="R243" s="16">
        <f>Parity!$L$55*Parity!$AG$55</f>
        <v/>
      </c>
      <c r="S243" s="16">
        <f>$Q243-$R243</f>
        <v/>
      </c>
      <c r="T243" s="16">
        <f>insurance_rate*insured_value_uplift*$Q243</f>
        <v/>
      </c>
      <c r="U243" s="16">
        <f>$Q243+$T243</f>
        <v/>
      </c>
      <c r="V243" s="18">
        <f>$U243*$L243</f>
        <v/>
      </c>
      <c r="W243" s="18">
        <f>$U243*$K243</f>
        <v/>
      </c>
      <c r="X243" s="18">
        <f>$V243*bcd_scrap_hs7602</f>
        <v/>
      </c>
      <c r="Y243" s="18">
        <f>$X243*sws_rate_on_bcd</f>
        <v/>
      </c>
      <c r="Z243" s="18">
        <f>($V243+$X243+$Y243)*igst_rate_hs7602</f>
        <v/>
      </c>
      <c r="AA243" s="18">
        <f>Parity!$X$55*Parity!$AG$55+IF(Parity!$Y$55,psic_cost_usd_per_box*$F243/Parity!$W$55,0)</f>
        <v/>
      </c>
      <c r="AB243" s="18">
        <f>($W243+$X243+$Y243)*Parity!$Z$55/day_count_inr*Parity!$O$55</f>
        <v/>
      </c>
      <c r="AC243" s="18">
        <f>$Z243*igst_credit_lag_days/day_count_inr*Parity!$O$55</f>
        <v/>
      </c>
      <c r="AD243" s="18">
        <f>$W243+$X243+$Y243+$AA243+$AB243+$AC243+IF(igst_itc_available,0,$Z243)</f>
        <v/>
      </c>
      <c r="AE243" s="18">
        <f>$O243*kg_per_mt+domestic_anchor_premium_inr_t</f>
        <v/>
      </c>
      <c r="AF243" s="18">
        <f>(1-Parity!$AA$55)*Parity!$AD$55*heavies_net_value_frac_of_lme_al*$J243*$F243</f>
        <v/>
      </c>
      <c r="AG243" s="18">
        <f>$AE243*Parity!$AU$55+$AF243-$AD243-Parity!$AX$55</f>
        <v/>
      </c>
      <c r="AH243" s="8">
        <f>$AG243&gt;margin_threshold_inr_t</f>
        <v/>
      </c>
      <c r="AI243" s="18">
        <f>($AG243-$P243)*grid_tonnes_mt</f>
        <v/>
      </c>
    </row>
    <row r="244">
      <c r="A244" s="7" t="inlineStr">
        <is>
          <t>first_eligible_long_lane</t>
        </is>
      </c>
      <c r="B244" s="11" t="n">
        <v>44624</v>
      </c>
      <c r="C244" s="7" t="inlineStr">
        <is>
          <t>zorba</t>
        </is>
      </c>
      <c r="D244" s="7" t="inlineStr">
        <is>
          <t>USEC_MUN</t>
        </is>
      </c>
      <c r="E244" s="20" t="n">
        <v>-25</v>
      </c>
      <c r="F244" s="7" t="n">
        <v>80</v>
      </c>
      <c r="G244" s="17" t="b">
        <v>0</v>
      </c>
      <c r="H244" s="8">
        <f>1+$E244/100</f>
        <v/>
      </c>
      <c r="I244" s="8">
        <f>$F244/Parity!$H$55</f>
        <v/>
      </c>
      <c r="J244" s="16">
        <f>Parity!$F$55*$H244</f>
        <v/>
      </c>
      <c r="K244" s="8">
        <f>Parity!$I$55*$I244</f>
        <v/>
      </c>
      <c r="L244" s="8">
        <f>Parity!$J$55*$I244</f>
        <v/>
      </c>
      <c r="M244" s="16">
        <f>(Market_Weekly!$K$14-mcx_domestic_premium_inr_kg)*$H244*$I244+mcx_domestic_premium_inr_kg</f>
        <v/>
      </c>
      <c r="N244" s="15">
        <f>Parity!$N$55/Market_Weekly!$K$14</f>
        <v/>
      </c>
      <c r="O244" s="16">
        <f>$M244*$N244</f>
        <v/>
      </c>
      <c r="P244" s="18">
        <f>Parity!$AY$55</f>
        <v/>
      </c>
      <c r="Q244" s="16">
        <f>$J244*Parity!$P$55</f>
        <v/>
      </c>
      <c r="R244" s="16">
        <f>Parity!$L$55*Parity!$AG$55</f>
        <v/>
      </c>
      <c r="S244" s="16">
        <f>$Q244-$R244</f>
        <v/>
      </c>
      <c r="T244" s="16">
        <f>insurance_rate*insured_value_uplift*$Q244</f>
        <v/>
      </c>
      <c r="U244" s="16">
        <f>$Q244+$T244</f>
        <v/>
      </c>
      <c r="V244" s="18">
        <f>$U244*$L244</f>
        <v/>
      </c>
      <c r="W244" s="18">
        <f>$U244*$K244</f>
        <v/>
      </c>
      <c r="X244" s="18">
        <f>$V244*bcd_scrap_hs7602</f>
        <v/>
      </c>
      <c r="Y244" s="18">
        <f>$X244*sws_rate_on_bcd</f>
        <v/>
      </c>
      <c r="Z244" s="18">
        <f>($V244+$X244+$Y244)*igst_rate_hs7602</f>
        <v/>
      </c>
      <c r="AA244" s="18">
        <f>Parity!$X$55*Parity!$AG$55+IF(Parity!$Y$55,psic_cost_usd_per_box*$F244/Parity!$W$55,0)</f>
        <v/>
      </c>
      <c r="AB244" s="18">
        <f>($W244+$X244+$Y244)*Parity!$Z$55/day_count_inr*Parity!$O$55</f>
        <v/>
      </c>
      <c r="AC244" s="18">
        <f>$Z244*igst_credit_lag_days/day_count_inr*Parity!$O$55</f>
        <v/>
      </c>
      <c r="AD244" s="18">
        <f>$W244+$X244+$Y244+$AA244+$AB244+$AC244+IF(igst_itc_available,0,$Z244)</f>
        <v/>
      </c>
      <c r="AE244" s="18">
        <f>$O244*kg_per_mt+domestic_anchor_premium_inr_t</f>
        <v/>
      </c>
      <c r="AF244" s="18">
        <f>(1-Parity!$AA$55)*Parity!$AD$55*heavies_net_value_frac_of_lme_al*$J244*$F244</f>
        <v/>
      </c>
      <c r="AG244" s="18">
        <f>$AE244*Parity!$AU$55+$AF244-$AD244-Parity!$AX$55</f>
        <v/>
      </c>
      <c r="AH244" s="8">
        <f>$AG244&gt;margin_threshold_inr_t</f>
        <v/>
      </c>
      <c r="AI244" s="18">
        <f>($AG244-$P244)*grid_tonnes_mt</f>
        <v/>
      </c>
    </row>
    <row r="245">
      <c r="A245" s="7" t="inlineStr">
        <is>
          <t>first_eligible_long_lane</t>
        </is>
      </c>
      <c r="B245" s="11" t="n">
        <v>44624</v>
      </c>
      <c r="C245" s="7" t="inlineStr">
        <is>
          <t>zorba</t>
        </is>
      </c>
      <c r="D245" s="7" t="inlineStr">
        <is>
          <t>USEC_MUN</t>
        </is>
      </c>
      <c r="E245" s="20" t="n">
        <v>-20</v>
      </c>
      <c r="F245" s="7" t="n">
        <v>80</v>
      </c>
      <c r="G245" s="17" t="b">
        <v>0</v>
      </c>
      <c r="H245" s="8">
        <f>1+$E245/100</f>
        <v/>
      </c>
      <c r="I245" s="8">
        <f>$F245/Parity!$H$55</f>
        <v/>
      </c>
      <c r="J245" s="16">
        <f>Parity!$F$55*$H245</f>
        <v/>
      </c>
      <c r="K245" s="8">
        <f>Parity!$I$55*$I245</f>
        <v/>
      </c>
      <c r="L245" s="8">
        <f>Parity!$J$55*$I245</f>
        <v/>
      </c>
      <c r="M245" s="16">
        <f>(Market_Weekly!$K$14-mcx_domestic_premium_inr_kg)*$H245*$I245+mcx_domestic_premium_inr_kg</f>
        <v/>
      </c>
      <c r="N245" s="15">
        <f>Parity!$N$55/Market_Weekly!$K$14</f>
        <v/>
      </c>
      <c r="O245" s="16">
        <f>$M245*$N245</f>
        <v/>
      </c>
      <c r="P245" s="18">
        <f>Parity!$AY$55</f>
        <v/>
      </c>
      <c r="Q245" s="16">
        <f>$J245*Parity!$P$55</f>
        <v/>
      </c>
      <c r="R245" s="16">
        <f>Parity!$L$55*Parity!$AG$55</f>
        <v/>
      </c>
      <c r="S245" s="16">
        <f>$Q245-$R245</f>
        <v/>
      </c>
      <c r="T245" s="16">
        <f>insurance_rate*insured_value_uplift*$Q245</f>
        <v/>
      </c>
      <c r="U245" s="16">
        <f>$Q245+$T245</f>
        <v/>
      </c>
      <c r="V245" s="18">
        <f>$U245*$L245</f>
        <v/>
      </c>
      <c r="W245" s="18">
        <f>$U245*$K245</f>
        <v/>
      </c>
      <c r="X245" s="18">
        <f>$V245*bcd_scrap_hs7602</f>
        <v/>
      </c>
      <c r="Y245" s="18">
        <f>$X245*sws_rate_on_bcd</f>
        <v/>
      </c>
      <c r="Z245" s="18">
        <f>($V245+$X245+$Y245)*igst_rate_hs7602</f>
        <v/>
      </c>
      <c r="AA245" s="18">
        <f>Parity!$X$55*Parity!$AG$55+IF(Parity!$Y$55,psic_cost_usd_per_box*$F245/Parity!$W$55,0)</f>
        <v/>
      </c>
      <c r="AB245" s="18">
        <f>($W245+$X245+$Y245)*Parity!$Z$55/day_count_inr*Parity!$O$55</f>
        <v/>
      </c>
      <c r="AC245" s="18">
        <f>$Z245*igst_credit_lag_days/day_count_inr*Parity!$O$55</f>
        <v/>
      </c>
      <c r="AD245" s="18">
        <f>$W245+$X245+$Y245+$AA245+$AB245+$AC245+IF(igst_itc_available,0,$Z245)</f>
        <v/>
      </c>
      <c r="AE245" s="18">
        <f>$O245*kg_per_mt+domestic_anchor_premium_inr_t</f>
        <v/>
      </c>
      <c r="AF245" s="18">
        <f>(1-Parity!$AA$55)*Parity!$AD$55*heavies_net_value_frac_of_lme_al*$J245*$F245</f>
        <v/>
      </c>
      <c r="AG245" s="18">
        <f>$AE245*Parity!$AU$55+$AF245-$AD245-Parity!$AX$55</f>
        <v/>
      </c>
      <c r="AH245" s="8">
        <f>$AG245&gt;margin_threshold_inr_t</f>
        <v/>
      </c>
      <c r="AI245" s="18">
        <f>($AG245-$P245)*grid_tonnes_mt</f>
        <v/>
      </c>
    </row>
    <row r="246">
      <c r="A246" s="7" t="inlineStr">
        <is>
          <t>first_eligible_long_lane</t>
        </is>
      </c>
      <c r="B246" s="11" t="n">
        <v>44624</v>
      </c>
      <c r="C246" s="7" t="inlineStr">
        <is>
          <t>zorba</t>
        </is>
      </c>
      <c r="D246" s="7" t="inlineStr">
        <is>
          <t>USEC_MUN</t>
        </is>
      </c>
      <c r="E246" s="20" t="n">
        <v>-15</v>
      </c>
      <c r="F246" s="7" t="n">
        <v>80</v>
      </c>
      <c r="G246" s="17" t="b">
        <v>0</v>
      </c>
      <c r="H246" s="8">
        <f>1+$E246/100</f>
        <v/>
      </c>
      <c r="I246" s="8">
        <f>$F246/Parity!$H$55</f>
        <v/>
      </c>
      <c r="J246" s="16">
        <f>Parity!$F$55*$H246</f>
        <v/>
      </c>
      <c r="K246" s="8">
        <f>Parity!$I$55*$I246</f>
        <v/>
      </c>
      <c r="L246" s="8">
        <f>Parity!$J$55*$I246</f>
        <v/>
      </c>
      <c r="M246" s="16">
        <f>(Market_Weekly!$K$14-mcx_domestic_premium_inr_kg)*$H246*$I246+mcx_domestic_premium_inr_kg</f>
        <v/>
      </c>
      <c r="N246" s="15">
        <f>Parity!$N$55/Market_Weekly!$K$14</f>
        <v/>
      </c>
      <c r="O246" s="16">
        <f>$M246*$N246</f>
        <v/>
      </c>
      <c r="P246" s="18">
        <f>Parity!$AY$55</f>
        <v/>
      </c>
      <c r="Q246" s="16">
        <f>$J246*Parity!$P$55</f>
        <v/>
      </c>
      <c r="R246" s="16">
        <f>Parity!$L$55*Parity!$AG$55</f>
        <v/>
      </c>
      <c r="S246" s="16">
        <f>$Q246-$R246</f>
        <v/>
      </c>
      <c r="T246" s="16">
        <f>insurance_rate*insured_value_uplift*$Q246</f>
        <v/>
      </c>
      <c r="U246" s="16">
        <f>$Q246+$T246</f>
        <v/>
      </c>
      <c r="V246" s="18">
        <f>$U246*$L246</f>
        <v/>
      </c>
      <c r="W246" s="18">
        <f>$U246*$K246</f>
        <v/>
      </c>
      <c r="X246" s="18">
        <f>$V246*bcd_scrap_hs7602</f>
        <v/>
      </c>
      <c r="Y246" s="18">
        <f>$X246*sws_rate_on_bcd</f>
        <v/>
      </c>
      <c r="Z246" s="18">
        <f>($V246+$X246+$Y246)*igst_rate_hs7602</f>
        <v/>
      </c>
      <c r="AA246" s="18">
        <f>Parity!$X$55*Parity!$AG$55+IF(Parity!$Y$55,psic_cost_usd_per_box*$F246/Parity!$W$55,0)</f>
        <v/>
      </c>
      <c r="AB246" s="18">
        <f>($W246+$X246+$Y246)*Parity!$Z$55/day_count_inr*Parity!$O$55</f>
        <v/>
      </c>
      <c r="AC246" s="18">
        <f>$Z246*igst_credit_lag_days/day_count_inr*Parity!$O$55</f>
        <v/>
      </c>
      <c r="AD246" s="18">
        <f>$W246+$X246+$Y246+$AA246+$AB246+$AC246+IF(igst_itc_available,0,$Z246)</f>
        <v/>
      </c>
      <c r="AE246" s="18">
        <f>$O246*kg_per_mt+domestic_anchor_premium_inr_t</f>
        <v/>
      </c>
      <c r="AF246" s="18">
        <f>(1-Parity!$AA$55)*Parity!$AD$55*heavies_net_value_frac_of_lme_al*$J246*$F246</f>
        <v/>
      </c>
      <c r="AG246" s="18">
        <f>$AE246*Parity!$AU$55+$AF246-$AD246-Parity!$AX$55</f>
        <v/>
      </c>
      <c r="AH246" s="8">
        <f>$AG246&gt;margin_threshold_inr_t</f>
        <v/>
      </c>
      <c r="AI246" s="18">
        <f>($AG246-$P246)*grid_tonnes_mt</f>
        <v/>
      </c>
    </row>
    <row r="247">
      <c r="A247" s="7" t="inlineStr">
        <is>
          <t>first_eligible_long_lane</t>
        </is>
      </c>
      <c r="B247" s="11" t="n">
        <v>44624</v>
      </c>
      <c r="C247" s="7" t="inlineStr">
        <is>
          <t>zorba</t>
        </is>
      </c>
      <c r="D247" s="7" t="inlineStr">
        <is>
          <t>USEC_MUN</t>
        </is>
      </c>
      <c r="E247" s="20" t="n">
        <v>-10</v>
      </c>
      <c r="F247" s="7" t="n">
        <v>80</v>
      </c>
      <c r="G247" s="17" t="b">
        <v>0</v>
      </c>
      <c r="H247" s="8">
        <f>1+$E247/100</f>
        <v/>
      </c>
      <c r="I247" s="8">
        <f>$F247/Parity!$H$55</f>
        <v/>
      </c>
      <c r="J247" s="16">
        <f>Parity!$F$55*$H247</f>
        <v/>
      </c>
      <c r="K247" s="8">
        <f>Parity!$I$55*$I247</f>
        <v/>
      </c>
      <c r="L247" s="8">
        <f>Parity!$J$55*$I247</f>
        <v/>
      </c>
      <c r="M247" s="16">
        <f>(Market_Weekly!$K$14-mcx_domestic_premium_inr_kg)*$H247*$I247+mcx_domestic_premium_inr_kg</f>
        <v/>
      </c>
      <c r="N247" s="15">
        <f>Parity!$N$55/Market_Weekly!$K$14</f>
        <v/>
      </c>
      <c r="O247" s="16">
        <f>$M247*$N247</f>
        <v/>
      </c>
      <c r="P247" s="18">
        <f>Parity!$AY$55</f>
        <v/>
      </c>
      <c r="Q247" s="16">
        <f>$J247*Parity!$P$55</f>
        <v/>
      </c>
      <c r="R247" s="16">
        <f>Parity!$L$55*Parity!$AG$55</f>
        <v/>
      </c>
      <c r="S247" s="16">
        <f>$Q247-$R247</f>
        <v/>
      </c>
      <c r="T247" s="16">
        <f>insurance_rate*insured_value_uplift*$Q247</f>
        <v/>
      </c>
      <c r="U247" s="16">
        <f>$Q247+$T247</f>
        <v/>
      </c>
      <c r="V247" s="18">
        <f>$U247*$L247</f>
        <v/>
      </c>
      <c r="W247" s="18">
        <f>$U247*$K247</f>
        <v/>
      </c>
      <c r="X247" s="18">
        <f>$V247*bcd_scrap_hs7602</f>
        <v/>
      </c>
      <c r="Y247" s="18">
        <f>$X247*sws_rate_on_bcd</f>
        <v/>
      </c>
      <c r="Z247" s="18">
        <f>($V247+$X247+$Y247)*igst_rate_hs7602</f>
        <v/>
      </c>
      <c r="AA247" s="18">
        <f>Parity!$X$55*Parity!$AG$55+IF(Parity!$Y$55,psic_cost_usd_per_box*$F247/Parity!$W$55,0)</f>
        <v/>
      </c>
      <c r="AB247" s="18">
        <f>($W247+$X247+$Y247)*Parity!$Z$55/day_count_inr*Parity!$O$55</f>
        <v/>
      </c>
      <c r="AC247" s="18">
        <f>$Z247*igst_credit_lag_days/day_count_inr*Parity!$O$55</f>
        <v/>
      </c>
      <c r="AD247" s="18">
        <f>$W247+$X247+$Y247+$AA247+$AB247+$AC247+IF(igst_itc_available,0,$Z247)</f>
        <v/>
      </c>
      <c r="AE247" s="18">
        <f>$O247*kg_per_mt+domestic_anchor_premium_inr_t</f>
        <v/>
      </c>
      <c r="AF247" s="18">
        <f>(1-Parity!$AA$55)*Parity!$AD$55*heavies_net_value_frac_of_lme_al*$J247*$F247</f>
        <v/>
      </c>
      <c r="AG247" s="18">
        <f>$AE247*Parity!$AU$55+$AF247-$AD247-Parity!$AX$55</f>
        <v/>
      </c>
      <c r="AH247" s="8">
        <f>$AG247&gt;margin_threshold_inr_t</f>
        <v/>
      </c>
      <c r="AI247" s="18">
        <f>($AG247-$P247)*grid_tonnes_mt</f>
        <v/>
      </c>
    </row>
    <row r="248">
      <c r="A248" s="7" t="inlineStr">
        <is>
          <t>first_eligible_long_lane</t>
        </is>
      </c>
      <c r="B248" s="11" t="n">
        <v>44624</v>
      </c>
      <c r="C248" s="7" t="inlineStr">
        <is>
          <t>zorba</t>
        </is>
      </c>
      <c r="D248" s="7" t="inlineStr">
        <is>
          <t>USEC_MUN</t>
        </is>
      </c>
      <c r="E248" s="20" t="n">
        <v>-5</v>
      </c>
      <c r="F248" s="7" t="n">
        <v>80</v>
      </c>
      <c r="G248" s="17" t="b">
        <v>0</v>
      </c>
      <c r="H248" s="8">
        <f>1+$E248/100</f>
        <v/>
      </c>
      <c r="I248" s="8">
        <f>$F248/Parity!$H$55</f>
        <v/>
      </c>
      <c r="J248" s="16">
        <f>Parity!$F$55*$H248</f>
        <v/>
      </c>
      <c r="K248" s="8">
        <f>Parity!$I$55*$I248</f>
        <v/>
      </c>
      <c r="L248" s="8">
        <f>Parity!$J$55*$I248</f>
        <v/>
      </c>
      <c r="M248" s="16">
        <f>(Market_Weekly!$K$14-mcx_domestic_premium_inr_kg)*$H248*$I248+mcx_domestic_premium_inr_kg</f>
        <v/>
      </c>
      <c r="N248" s="15">
        <f>Parity!$N$55/Market_Weekly!$K$14</f>
        <v/>
      </c>
      <c r="O248" s="16">
        <f>$M248*$N248</f>
        <v/>
      </c>
      <c r="P248" s="18">
        <f>Parity!$AY$55</f>
        <v/>
      </c>
      <c r="Q248" s="16">
        <f>$J248*Parity!$P$55</f>
        <v/>
      </c>
      <c r="R248" s="16">
        <f>Parity!$L$55*Parity!$AG$55</f>
        <v/>
      </c>
      <c r="S248" s="16">
        <f>$Q248-$R248</f>
        <v/>
      </c>
      <c r="T248" s="16">
        <f>insurance_rate*insured_value_uplift*$Q248</f>
        <v/>
      </c>
      <c r="U248" s="16">
        <f>$Q248+$T248</f>
        <v/>
      </c>
      <c r="V248" s="18">
        <f>$U248*$L248</f>
        <v/>
      </c>
      <c r="W248" s="18">
        <f>$U248*$K248</f>
        <v/>
      </c>
      <c r="X248" s="18">
        <f>$V248*bcd_scrap_hs7602</f>
        <v/>
      </c>
      <c r="Y248" s="18">
        <f>$X248*sws_rate_on_bcd</f>
        <v/>
      </c>
      <c r="Z248" s="18">
        <f>($V248+$X248+$Y248)*igst_rate_hs7602</f>
        <v/>
      </c>
      <c r="AA248" s="18">
        <f>Parity!$X$55*Parity!$AG$55+IF(Parity!$Y$55,psic_cost_usd_per_box*$F248/Parity!$W$55,0)</f>
        <v/>
      </c>
      <c r="AB248" s="18">
        <f>($W248+$X248+$Y248)*Parity!$Z$55/day_count_inr*Parity!$O$55</f>
        <v/>
      </c>
      <c r="AC248" s="18">
        <f>$Z248*igst_credit_lag_days/day_count_inr*Parity!$O$55</f>
        <v/>
      </c>
      <c r="AD248" s="18">
        <f>$W248+$X248+$Y248+$AA248+$AB248+$AC248+IF(igst_itc_available,0,$Z248)</f>
        <v/>
      </c>
      <c r="AE248" s="18">
        <f>$O248*kg_per_mt+domestic_anchor_premium_inr_t</f>
        <v/>
      </c>
      <c r="AF248" s="18">
        <f>(1-Parity!$AA$55)*Parity!$AD$55*heavies_net_value_frac_of_lme_al*$J248*$F248</f>
        <v/>
      </c>
      <c r="AG248" s="18">
        <f>$AE248*Parity!$AU$55+$AF248-$AD248-Parity!$AX$55</f>
        <v/>
      </c>
      <c r="AH248" s="8">
        <f>$AG248&gt;margin_threshold_inr_t</f>
        <v/>
      </c>
      <c r="AI248" s="18">
        <f>($AG248-$P248)*grid_tonnes_mt</f>
        <v/>
      </c>
    </row>
    <row r="249">
      <c r="A249" s="7" t="inlineStr">
        <is>
          <t>first_eligible_long_lane</t>
        </is>
      </c>
      <c r="B249" s="11" t="n">
        <v>44624</v>
      </c>
      <c r="C249" s="7" t="inlineStr">
        <is>
          <t>zorba</t>
        </is>
      </c>
      <c r="D249" s="7" t="inlineStr">
        <is>
          <t>USEC_MUN</t>
        </is>
      </c>
      <c r="E249" s="20" t="n">
        <v>0</v>
      </c>
      <c r="F249" s="7" t="n">
        <v>80</v>
      </c>
      <c r="G249" s="17" t="b">
        <v>0</v>
      </c>
      <c r="H249" s="8">
        <f>1+$E249/100</f>
        <v/>
      </c>
      <c r="I249" s="8">
        <f>$F249/Parity!$H$55</f>
        <v/>
      </c>
      <c r="J249" s="16">
        <f>Parity!$F$55*$H249</f>
        <v/>
      </c>
      <c r="K249" s="8">
        <f>Parity!$I$55*$I249</f>
        <v/>
      </c>
      <c r="L249" s="8">
        <f>Parity!$J$55*$I249</f>
        <v/>
      </c>
      <c r="M249" s="16">
        <f>(Market_Weekly!$K$14-mcx_domestic_premium_inr_kg)*$H249*$I249+mcx_domestic_premium_inr_kg</f>
        <v/>
      </c>
      <c r="N249" s="15">
        <f>Parity!$N$55/Market_Weekly!$K$14</f>
        <v/>
      </c>
      <c r="O249" s="16">
        <f>$M249*$N249</f>
        <v/>
      </c>
      <c r="P249" s="18">
        <f>Parity!$AY$55</f>
        <v/>
      </c>
      <c r="Q249" s="16">
        <f>$J249*Parity!$P$55</f>
        <v/>
      </c>
      <c r="R249" s="16">
        <f>Parity!$L$55*Parity!$AG$55</f>
        <v/>
      </c>
      <c r="S249" s="16">
        <f>$Q249-$R249</f>
        <v/>
      </c>
      <c r="T249" s="16">
        <f>insurance_rate*insured_value_uplift*$Q249</f>
        <v/>
      </c>
      <c r="U249" s="16">
        <f>$Q249+$T249</f>
        <v/>
      </c>
      <c r="V249" s="18">
        <f>$U249*$L249</f>
        <v/>
      </c>
      <c r="W249" s="18">
        <f>$U249*$K249</f>
        <v/>
      </c>
      <c r="X249" s="18">
        <f>$V249*bcd_scrap_hs7602</f>
        <v/>
      </c>
      <c r="Y249" s="18">
        <f>$X249*sws_rate_on_bcd</f>
        <v/>
      </c>
      <c r="Z249" s="18">
        <f>($V249+$X249+$Y249)*igst_rate_hs7602</f>
        <v/>
      </c>
      <c r="AA249" s="18">
        <f>Parity!$X$55*Parity!$AG$55+IF(Parity!$Y$55,psic_cost_usd_per_box*$F249/Parity!$W$55,0)</f>
        <v/>
      </c>
      <c r="AB249" s="18">
        <f>($W249+$X249+$Y249)*Parity!$Z$55/day_count_inr*Parity!$O$55</f>
        <v/>
      </c>
      <c r="AC249" s="18">
        <f>$Z249*igst_credit_lag_days/day_count_inr*Parity!$O$55</f>
        <v/>
      </c>
      <c r="AD249" s="18">
        <f>$W249+$X249+$Y249+$AA249+$AB249+$AC249+IF(igst_itc_available,0,$Z249)</f>
        <v/>
      </c>
      <c r="AE249" s="18">
        <f>$O249*kg_per_mt+domestic_anchor_premium_inr_t</f>
        <v/>
      </c>
      <c r="AF249" s="18">
        <f>(1-Parity!$AA$55)*Parity!$AD$55*heavies_net_value_frac_of_lme_al*$J249*$F249</f>
        <v/>
      </c>
      <c r="AG249" s="18">
        <f>$AE249*Parity!$AU$55+$AF249-$AD249-Parity!$AX$55</f>
        <v/>
      </c>
      <c r="AH249" s="8">
        <f>$AG249&gt;margin_threshold_inr_t</f>
        <v/>
      </c>
      <c r="AI249" s="18">
        <f>($AG249-$P249)*grid_tonnes_mt</f>
        <v/>
      </c>
    </row>
    <row r="250">
      <c r="A250" s="7" t="inlineStr">
        <is>
          <t>first_eligible_long_lane</t>
        </is>
      </c>
      <c r="B250" s="11" t="n">
        <v>44624</v>
      </c>
      <c r="C250" s="7" t="inlineStr">
        <is>
          <t>zorba</t>
        </is>
      </c>
      <c r="D250" s="7" t="inlineStr">
        <is>
          <t>USEC_MUN</t>
        </is>
      </c>
      <c r="E250" s="20" t="n">
        <v>5</v>
      </c>
      <c r="F250" s="7" t="n">
        <v>80</v>
      </c>
      <c r="G250" s="17" t="b">
        <v>0</v>
      </c>
      <c r="H250" s="8">
        <f>1+$E250/100</f>
        <v/>
      </c>
      <c r="I250" s="8">
        <f>$F250/Parity!$H$55</f>
        <v/>
      </c>
      <c r="J250" s="16">
        <f>Parity!$F$55*$H250</f>
        <v/>
      </c>
      <c r="K250" s="8">
        <f>Parity!$I$55*$I250</f>
        <v/>
      </c>
      <c r="L250" s="8">
        <f>Parity!$J$55*$I250</f>
        <v/>
      </c>
      <c r="M250" s="16">
        <f>(Market_Weekly!$K$14-mcx_domestic_premium_inr_kg)*$H250*$I250+mcx_domestic_premium_inr_kg</f>
        <v/>
      </c>
      <c r="N250" s="15">
        <f>Parity!$N$55/Market_Weekly!$K$14</f>
        <v/>
      </c>
      <c r="O250" s="16">
        <f>$M250*$N250</f>
        <v/>
      </c>
      <c r="P250" s="18">
        <f>Parity!$AY$55</f>
        <v/>
      </c>
      <c r="Q250" s="16">
        <f>$J250*Parity!$P$55</f>
        <v/>
      </c>
      <c r="R250" s="16">
        <f>Parity!$L$55*Parity!$AG$55</f>
        <v/>
      </c>
      <c r="S250" s="16">
        <f>$Q250-$R250</f>
        <v/>
      </c>
      <c r="T250" s="16">
        <f>insurance_rate*insured_value_uplift*$Q250</f>
        <v/>
      </c>
      <c r="U250" s="16">
        <f>$Q250+$T250</f>
        <v/>
      </c>
      <c r="V250" s="18">
        <f>$U250*$L250</f>
        <v/>
      </c>
      <c r="W250" s="18">
        <f>$U250*$K250</f>
        <v/>
      </c>
      <c r="X250" s="18">
        <f>$V250*bcd_scrap_hs7602</f>
        <v/>
      </c>
      <c r="Y250" s="18">
        <f>$X250*sws_rate_on_bcd</f>
        <v/>
      </c>
      <c r="Z250" s="18">
        <f>($V250+$X250+$Y250)*igst_rate_hs7602</f>
        <v/>
      </c>
      <c r="AA250" s="18">
        <f>Parity!$X$55*Parity!$AG$55+IF(Parity!$Y$55,psic_cost_usd_per_box*$F250/Parity!$W$55,0)</f>
        <v/>
      </c>
      <c r="AB250" s="18">
        <f>($W250+$X250+$Y250)*Parity!$Z$55/day_count_inr*Parity!$O$55</f>
        <v/>
      </c>
      <c r="AC250" s="18">
        <f>$Z250*igst_credit_lag_days/day_count_inr*Parity!$O$55</f>
        <v/>
      </c>
      <c r="AD250" s="18">
        <f>$W250+$X250+$Y250+$AA250+$AB250+$AC250+IF(igst_itc_available,0,$Z250)</f>
        <v/>
      </c>
      <c r="AE250" s="18">
        <f>$O250*kg_per_mt+domestic_anchor_premium_inr_t</f>
        <v/>
      </c>
      <c r="AF250" s="18">
        <f>(1-Parity!$AA$55)*Parity!$AD$55*heavies_net_value_frac_of_lme_al*$J250*$F250</f>
        <v/>
      </c>
      <c r="AG250" s="18">
        <f>$AE250*Parity!$AU$55+$AF250-$AD250-Parity!$AX$55</f>
        <v/>
      </c>
      <c r="AH250" s="8">
        <f>$AG250&gt;margin_threshold_inr_t</f>
        <v/>
      </c>
      <c r="AI250" s="18">
        <f>($AG250-$P250)*grid_tonnes_mt</f>
        <v/>
      </c>
    </row>
    <row r="251">
      <c r="A251" s="7" t="inlineStr">
        <is>
          <t>first_eligible_long_lane</t>
        </is>
      </c>
      <c r="B251" s="11" t="n">
        <v>44624</v>
      </c>
      <c r="C251" s="7" t="inlineStr">
        <is>
          <t>zorba</t>
        </is>
      </c>
      <c r="D251" s="7" t="inlineStr">
        <is>
          <t>USEC_MUN</t>
        </is>
      </c>
      <c r="E251" s="20" t="n">
        <v>10</v>
      </c>
      <c r="F251" s="7" t="n">
        <v>80</v>
      </c>
      <c r="G251" s="17" t="b">
        <v>0</v>
      </c>
      <c r="H251" s="8">
        <f>1+$E251/100</f>
        <v/>
      </c>
      <c r="I251" s="8">
        <f>$F251/Parity!$H$55</f>
        <v/>
      </c>
      <c r="J251" s="16">
        <f>Parity!$F$55*$H251</f>
        <v/>
      </c>
      <c r="K251" s="8">
        <f>Parity!$I$55*$I251</f>
        <v/>
      </c>
      <c r="L251" s="8">
        <f>Parity!$J$55*$I251</f>
        <v/>
      </c>
      <c r="M251" s="16">
        <f>(Market_Weekly!$K$14-mcx_domestic_premium_inr_kg)*$H251*$I251+mcx_domestic_premium_inr_kg</f>
        <v/>
      </c>
      <c r="N251" s="15">
        <f>Parity!$N$55/Market_Weekly!$K$14</f>
        <v/>
      </c>
      <c r="O251" s="16">
        <f>$M251*$N251</f>
        <v/>
      </c>
      <c r="P251" s="18">
        <f>Parity!$AY$55</f>
        <v/>
      </c>
      <c r="Q251" s="16">
        <f>$J251*Parity!$P$55</f>
        <v/>
      </c>
      <c r="R251" s="16">
        <f>Parity!$L$55*Parity!$AG$55</f>
        <v/>
      </c>
      <c r="S251" s="16">
        <f>$Q251-$R251</f>
        <v/>
      </c>
      <c r="T251" s="16">
        <f>insurance_rate*insured_value_uplift*$Q251</f>
        <v/>
      </c>
      <c r="U251" s="16">
        <f>$Q251+$T251</f>
        <v/>
      </c>
      <c r="V251" s="18">
        <f>$U251*$L251</f>
        <v/>
      </c>
      <c r="W251" s="18">
        <f>$U251*$K251</f>
        <v/>
      </c>
      <c r="X251" s="18">
        <f>$V251*bcd_scrap_hs7602</f>
        <v/>
      </c>
      <c r="Y251" s="18">
        <f>$X251*sws_rate_on_bcd</f>
        <v/>
      </c>
      <c r="Z251" s="18">
        <f>($V251+$X251+$Y251)*igst_rate_hs7602</f>
        <v/>
      </c>
      <c r="AA251" s="18">
        <f>Parity!$X$55*Parity!$AG$55+IF(Parity!$Y$55,psic_cost_usd_per_box*$F251/Parity!$W$55,0)</f>
        <v/>
      </c>
      <c r="AB251" s="18">
        <f>($W251+$X251+$Y251)*Parity!$Z$55/day_count_inr*Parity!$O$55</f>
        <v/>
      </c>
      <c r="AC251" s="18">
        <f>$Z251*igst_credit_lag_days/day_count_inr*Parity!$O$55</f>
        <v/>
      </c>
      <c r="AD251" s="18">
        <f>$W251+$X251+$Y251+$AA251+$AB251+$AC251+IF(igst_itc_available,0,$Z251)</f>
        <v/>
      </c>
      <c r="AE251" s="18">
        <f>$O251*kg_per_mt+domestic_anchor_premium_inr_t</f>
        <v/>
      </c>
      <c r="AF251" s="18">
        <f>(1-Parity!$AA$55)*Parity!$AD$55*heavies_net_value_frac_of_lme_al*$J251*$F251</f>
        <v/>
      </c>
      <c r="AG251" s="18">
        <f>$AE251*Parity!$AU$55+$AF251-$AD251-Parity!$AX$55</f>
        <v/>
      </c>
      <c r="AH251" s="8">
        <f>$AG251&gt;margin_threshold_inr_t</f>
        <v/>
      </c>
      <c r="AI251" s="18">
        <f>($AG251-$P251)*grid_tonnes_mt</f>
        <v/>
      </c>
    </row>
    <row r="252">
      <c r="A252" s="7" t="inlineStr">
        <is>
          <t>first_eligible_long_lane</t>
        </is>
      </c>
      <c r="B252" s="11" t="n">
        <v>44624</v>
      </c>
      <c r="C252" s="7" t="inlineStr">
        <is>
          <t>zorba</t>
        </is>
      </c>
      <c r="D252" s="7" t="inlineStr">
        <is>
          <t>USEC_MUN</t>
        </is>
      </c>
      <c r="E252" s="20" t="n">
        <v>-30</v>
      </c>
      <c r="F252" s="7" t="n">
        <v>81</v>
      </c>
      <c r="G252" s="17" t="b">
        <v>0</v>
      </c>
      <c r="H252" s="8">
        <f>1+$E252/100</f>
        <v/>
      </c>
      <c r="I252" s="8">
        <f>$F252/Parity!$H$55</f>
        <v/>
      </c>
      <c r="J252" s="16">
        <f>Parity!$F$55*$H252</f>
        <v/>
      </c>
      <c r="K252" s="8">
        <f>Parity!$I$55*$I252</f>
        <v/>
      </c>
      <c r="L252" s="8">
        <f>Parity!$J$55*$I252</f>
        <v/>
      </c>
      <c r="M252" s="16">
        <f>(Market_Weekly!$K$14-mcx_domestic_premium_inr_kg)*$H252*$I252+mcx_domestic_premium_inr_kg</f>
        <v/>
      </c>
      <c r="N252" s="15">
        <f>Parity!$N$55/Market_Weekly!$K$14</f>
        <v/>
      </c>
      <c r="O252" s="16">
        <f>$M252*$N252</f>
        <v/>
      </c>
      <c r="P252" s="18">
        <f>Parity!$AY$55</f>
        <v/>
      </c>
      <c r="Q252" s="16">
        <f>$J252*Parity!$P$55</f>
        <v/>
      </c>
      <c r="R252" s="16">
        <f>Parity!$L$55*Parity!$AG$55</f>
        <v/>
      </c>
      <c r="S252" s="16">
        <f>$Q252-$R252</f>
        <v/>
      </c>
      <c r="T252" s="16">
        <f>insurance_rate*insured_value_uplift*$Q252</f>
        <v/>
      </c>
      <c r="U252" s="16">
        <f>$Q252+$T252</f>
        <v/>
      </c>
      <c r="V252" s="18">
        <f>$U252*$L252</f>
        <v/>
      </c>
      <c r="W252" s="18">
        <f>$U252*$K252</f>
        <v/>
      </c>
      <c r="X252" s="18">
        <f>$V252*bcd_scrap_hs7602</f>
        <v/>
      </c>
      <c r="Y252" s="18">
        <f>$X252*sws_rate_on_bcd</f>
        <v/>
      </c>
      <c r="Z252" s="18">
        <f>($V252+$X252+$Y252)*igst_rate_hs7602</f>
        <v/>
      </c>
      <c r="AA252" s="18">
        <f>Parity!$X$55*Parity!$AG$55+IF(Parity!$Y$55,psic_cost_usd_per_box*$F252/Parity!$W$55,0)</f>
        <v/>
      </c>
      <c r="AB252" s="18">
        <f>($W252+$X252+$Y252)*Parity!$Z$55/day_count_inr*Parity!$O$55</f>
        <v/>
      </c>
      <c r="AC252" s="18">
        <f>$Z252*igst_credit_lag_days/day_count_inr*Parity!$O$55</f>
        <v/>
      </c>
      <c r="AD252" s="18">
        <f>$W252+$X252+$Y252+$AA252+$AB252+$AC252+IF(igst_itc_available,0,$Z252)</f>
        <v/>
      </c>
      <c r="AE252" s="18">
        <f>$O252*kg_per_mt+domestic_anchor_premium_inr_t</f>
        <v/>
      </c>
      <c r="AF252" s="18">
        <f>(1-Parity!$AA$55)*Parity!$AD$55*heavies_net_value_frac_of_lme_al*$J252*$F252</f>
        <v/>
      </c>
      <c r="AG252" s="18">
        <f>$AE252*Parity!$AU$55+$AF252-$AD252-Parity!$AX$55</f>
        <v/>
      </c>
      <c r="AH252" s="8">
        <f>$AG252&gt;margin_threshold_inr_t</f>
        <v/>
      </c>
      <c r="AI252" s="18">
        <f>($AG252-$P252)*grid_tonnes_mt</f>
        <v/>
      </c>
    </row>
    <row r="253">
      <c r="A253" s="7" t="inlineStr">
        <is>
          <t>first_eligible_long_lane</t>
        </is>
      </c>
      <c r="B253" s="11" t="n">
        <v>44624</v>
      </c>
      <c r="C253" s="7" t="inlineStr">
        <is>
          <t>zorba</t>
        </is>
      </c>
      <c r="D253" s="7" t="inlineStr">
        <is>
          <t>USEC_MUN</t>
        </is>
      </c>
      <c r="E253" s="20" t="n">
        <v>-25</v>
      </c>
      <c r="F253" s="7" t="n">
        <v>81</v>
      </c>
      <c r="G253" s="17" t="b">
        <v>0</v>
      </c>
      <c r="H253" s="8">
        <f>1+$E253/100</f>
        <v/>
      </c>
      <c r="I253" s="8">
        <f>$F253/Parity!$H$55</f>
        <v/>
      </c>
      <c r="J253" s="16">
        <f>Parity!$F$55*$H253</f>
        <v/>
      </c>
      <c r="K253" s="8">
        <f>Parity!$I$55*$I253</f>
        <v/>
      </c>
      <c r="L253" s="8">
        <f>Parity!$J$55*$I253</f>
        <v/>
      </c>
      <c r="M253" s="16">
        <f>(Market_Weekly!$K$14-mcx_domestic_premium_inr_kg)*$H253*$I253+mcx_domestic_premium_inr_kg</f>
        <v/>
      </c>
      <c r="N253" s="15">
        <f>Parity!$N$55/Market_Weekly!$K$14</f>
        <v/>
      </c>
      <c r="O253" s="16">
        <f>$M253*$N253</f>
        <v/>
      </c>
      <c r="P253" s="18">
        <f>Parity!$AY$55</f>
        <v/>
      </c>
      <c r="Q253" s="16">
        <f>$J253*Parity!$P$55</f>
        <v/>
      </c>
      <c r="R253" s="16">
        <f>Parity!$L$55*Parity!$AG$55</f>
        <v/>
      </c>
      <c r="S253" s="16">
        <f>$Q253-$R253</f>
        <v/>
      </c>
      <c r="T253" s="16">
        <f>insurance_rate*insured_value_uplift*$Q253</f>
        <v/>
      </c>
      <c r="U253" s="16">
        <f>$Q253+$T253</f>
        <v/>
      </c>
      <c r="V253" s="18">
        <f>$U253*$L253</f>
        <v/>
      </c>
      <c r="W253" s="18">
        <f>$U253*$K253</f>
        <v/>
      </c>
      <c r="X253" s="18">
        <f>$V253*bcd_scrap_hs7602</f>
        <v/>
      </c>
      <c r="Y253" s="18">
        <f>$X253*sws_rate_on_bcd</f>
        <v/>
      </c>
      <c r="Z253" s="18">
        <f>($V253+$X253+$Y253)*igst_rate_hs7602</f>
        <v/>
      </c>
      <c r="AA253" s="18">
        <f>Parity!$X$55*Parity!$AG$55+IF(Parity!$Y$55,psic_cost_usd_per_box*$F253/Parity!$W$55,0)</f>
        <v/>
      </c>
      <c r="AB253" s="18">
        <f>($W253+$X253+$Y253)*Parity!$Z$55/day_count_inr*Parity!$O$55</f>
        <v/>
      </c>
      <c r="AC253" s="18">
        <f>$Z253*igst_credit_lag_days/day_count_inr*Parity!$O$55</f>
        <v/>
      </c>
      <c r="AD253" s="18">
        <f>$W253+$X253+$Y253+$AA253+$AB253+$AC253+IF(igst_itc_available,0,$Z253)</f>
        <v/>
      </c>
      <c r="AE253" s="18">
        <f>$O253*kg_per_mt+domestic_anchor_premium_inr_t</f>
        <v/>
      </c>
      <c r="AF253" s="18">
        <f>(1-Parity!$AA$55)*Parity!$AD$55*heavies_net_value_frac_of_lme_al*$J253*$F253</f>
        <v/>
      </c>
      <c r="AG253" s="18">
        <f>$AE253*Parity!$AU$55+$AF253-$AD253-Parity!$AX$55</f>
        <v/>
      </c>
      <c r="AH253" s="8">
        <f>$AG253&gt;margin_threshold_inr_t</f>
        <v/>
      </c>
      <c r="AI253" s="18">
        <f>($AG253-$P253)*grid_tonnes_mt</f>
        <v/>
      </c>
    </row>
    <row r="254">
      <c r="A254" s="7" t="inlineStr">
        <is>
          <t>first_eligible_long_lane</t>
        </is>
      </c>
      <c r="B254" s="11" t="n">
        <v>44624</v>
      </c>
      <c r="C254" s="7" t="inlineStr">
        <is>
          <t>zorba</t>
        </is>
      </c>
      <c r="D254" s="7" t="inlineStr">
        <is>
          <t>USEC_MUN</t>
        </is>
      </c>
      <c r="E254" s="20" t="n">
        <v>-20</v>
      </c>
      <c r="F254" s="7" t="n">
        <v>81</v>
      </c>
      <c r="G254" s="17" t="b">
        <v>0</v>
      </c>
      <c r="H254" s="8">
        <f>1+$E254/100</f>
        <v/>
      </c>
      <c r="I254" s="8">
        <f>$F254/Parity!$H$55</f>
        <v/>
      </c>
      <c r="J254" s="16">
        <f>Parity!$F$55*$H254</f>
        <v/>
      </c>
      <c r="K254" s="8">
        <f>Parity!$I$55*$I254</f>
        <v/>
      </c>
      <c r="L254" s="8">
        <f>Parity!$J$55*$I254</f>
        <v/>
      </c>
      <c r="M254" s="16">
        <f>(Market_Weekly!$K$14-mcx_domestic_premium_inr_kg)*$H254*$I254+mcx_domestic_premium_inr_kg</f>
        <v/>
      </c>
      <c r="N254" s="15">
        <f>Parity!$N$55/Market_Weekly!$K$14</f>
        <v/>
      </c>
      <c r="O254" s="16">
        <f>$M254*$N254</f>
        <v/>
      </c>
      <c r="P254" s="18">
        <f>Parity!$AY$55</f>
        <v/>
      </c>
      <c r="Q254" s="16">
        <f>$J254*Parity!$P$55</f>
        <v/>
      </c>
      <c r="R254" s="16">
        <f>Parity!$L$55*Parity!$AG$55</f>
        <v/>
      </c>
      <c r="S254" s="16">
        <f>$Q254-$R254</f>
        <v/>
      </c>
      <c r="T254" s="16">
        <f>insurance_rate*insured_value_uplift*$Q254</f>
        <v/>
      </c>
      <c r="U254" s="16">
        <f>$Q254+$T254</f>
        <v/>
      </c>
      <c r="V254" s="18">
        <f>$U254*$L254</f>
        <v/>
      </c>
      <c r="W254" s="18">
        <f>$U254*$K254</f>
        <v/>
      </c>
      <c r="X254" s="18">
        <f>$V254*bcd_scrap_hs7602</f>
        <v/>
      </c>
      <c r="Y254" s="18">
        <f>$X254*sws_rate_on_bcd</f>
        <v/>
      </c>
      <c r="Z254" s="18">
        <f>($V254+$X254+$Y254)*igst_rate_hs7602</f>
        <v/>
      </c>
      <c r="AA254" s="18">
        <f>Parity!$X$55*Parity!$AG$55+IF(Parity!$Y$55,psic_cost_usd_per_box*$F254/Parity!$W$55,0)</f>
        <v/>
      </c>
      <c r="AB254" s="18">
        <f>($W254+$X254+$Y254)*Parity!$Z$55/day_count_inr*Parity!$O$55</f>
        <v/>
      </c>
      <c r="AC254" s="18">
        <f>$Z254*igst_credit_lag_days/day_count_inr*Parity!$O$55</f>
        <v/>
      </c>
      <c r="AD254" s="18">
        <f>$W254+$X254+$Y254+$AA254+$AB254+$AC254+IF(igst_itc_available,0,$Z254)</f>
        <v/>
      </c>
      <c r="AE254" s="18">
        <f>$O254*kg_per_mt+domestic_anchor_premium_inr_t</f>
        <v/>
      </c>
      <c r="AF254" s="18">
        <f>(1-Parity!$AA$55)*Parity!$AD$55*heavies_net_value_frac_of_lme_al*$J254*$F254</f>
        <v/>
      </c>
      <c r="AG254" s="18">
        <f>$AE254*Parity!$AU$55+$AF254-$AD254-Parity!$AX$55</f>
        <v/>
      </c>
      <c r="AH254" s="8">
        <f>$AG254&gt;margin_threshold_inr_t</f>
        <v/>
      </c>
      <c r="AI254" s="18">
        <f>($AG254-$P254)*grid_tonnes_mt</f>
        <v/>
      </c>
    </row>
    <row r="255">
      <c r="A255" s="7" t="inlineStr">
        <is>
          <t>first_eligible_long_lane</t>
        </is>
      </c>
      <c r="B255" s="11" t="n">
        <v>44624</v>
      </c>
      <c r="C255" s="7" t="inlineStr">
        <is>
          <t>zorba</t>
        </is>
      </c>
      <c r="D255" s="7" t="inlineStr">
        <is>
          <t>USEC_MUN</t>
        </is>
      </c>
      <c r="E255" s="20" t="n">
        <v>-15</v>
      </c>
      <c r="F255" s="7" t="n">
        <v>81</v>
      </c>
      <c r="G255" s="17" t="b">
        <v>0</v>
      </c>
      <c r="H255" s="8">
        <f>1+$E255/100</f>
        <v/>
      </c>
      <c r="I255" s="8">
        <f>$F255/Parity!$H$55</f>
        <v/>
      </c>
      <c r="J255" s="16">
        <f>Parity!$F$55*$H255</f>
        <v/>
      </c>
      <c r="K255" s="8">
        <f>Parity!$I$55*$I255</f>
        <v/>
      </c>
      <c r="L255" s="8">
        <f>Parity!$J$55*$I255</f>
        <v/>
      </c>
      <c r="M255" s="16">
        <f>(Market_Weekly!$K$14-mcx_domestic_premium_inr_kg)*$H255*$I255+mcx_domestic_premium_inr_kg</f>
        <v/>
      </c>
      <c r="N255" s="15">
        <f>Parity!$N$55/Market_Weekly!$K$14</f>
        <v/>
      </c>
      <c r="O255" s="16">
        <f>$M255*$N255</f>
        <v/>
      </c>
      <c r="P255" s="18">
        <f>Parity!$AY$55</f>
        <v/>
      </c>
      <c r="Q255" s="16">
        <f>$J255*Parity!$P$55</f>
        <v/>
      </c>
      <c r="R255" s="16">
        <f>Parity!$L$55*Parity!$AG$55</f>
        <v/>
      </c>
      <c r="S255" s="16">
        <f>$Q255-$R255</f>
        <v/>
      </c>
      <c r="T255" s="16">
        <f>insurance_rate*insured_value_uplift*$Q255</f>
        <v/>
      </c>
      <c r="U255" s="16">
        <f>$Q255+$T255</f>
        <v/>
      </c>
      <c r="V255" s="18">
        <f>$U255*$L255</f>
        <v/>
      </c>
      <c r="W255" s="18">
        <f>$U255*$K255</f>
        <v/>
      </c>
      <c r="X255" s="18">
        <f>$V255*bcd_scrap_hs7602</f>
        <v/>
      </c>
      <c r="Y255" s="18">
        <f>$X255*sws_rate_on_bcd</f>
        <v/>
      </c>
      <c r="Z255" s="18">
        <f>($V255+$X255+$Y255)*igst_rate_hs7602</f>
        <v/>
      </c>
      <c r="AA255" s="18">
        <f>Parity!$X$55*Parity!$AG$55+IF(Parity!$Y$55,psic_cost_usd_per_box*$F255/Parity!$W$55,0)</f>
        <v/>
      </c>
      <c r="AB255" s="18">
        <f>($W255+$X255+$Y255)*Parity!$Z$55/day_count_inr*Parity!$O$55</f>
        <v/>
      </c>
      <c r="AC255" s="18">
        <f>$Z255*igst_credit_lag_days/day_count_inr*Parity!$O$55</f>
        <v/>
      </c>
      <c r="AD255" s="18">
        <f>$W255+$X255+$Y255+$AA255+$AB255+$AC255+IF(igst_itc_available,0,$Z255)</f>
        <v/>
      </c>
      <c r="AE255" s="18">
        <f>$O255*kg_per_mt+domestic_anchor_premium_inr_t</f>
        <v/>
      </c>
      <c r="AF255" s="18">
        <f>(1-Parity!$AA$55)*Parity!$AD$55*heavies_net_value_frac_of_lme_al*$J255*$F255</f>
        <v/>
      </c>
      <c r="AG255" s="18">
        <f>$AE255*Parity!$AU$55+$AF255-$AD255-Parity!$AX$55</f>
        <v/>
      </c>
      <c r="AH255" s="8">
        <f>$AG255&gt;margin_threshold_inr_t</f>
        <v/>
      </c>
      <c r="AI255" s="18">
        <f>($AG255-$P255)*grid_tonnes_mt</f>
        <v/>
      </c>
    </row>
    <row r="256">
      <c r="A256" s="7" t="inlineStr">
        <is>
          <t>first_eligible_long_lane</t>
        </is>
      </c>
      <c r="B256" s="11" t="n">
        <v>44624</v>
      </c>
      <c r="C256" s="7" t="inlineStr">
        <is>
          <t>zorba</t>
        </is>
      </c>
      <c r="D256" s="7" t="inlineStr">
        <is>
          <t>USEC_MUN</t>
        </is>
      </c>
      <c r="E256" s="20" t="n">
        <v>-10</v>
      </c>
      <c r="F256" s="7" t="n">
        <v>81</v>
      </c>
      <c r="G256" s="17" t="b">
        <v>0</v>
      </c>
      <c r="H256" s="8">
        <f>1+$E256/100</f>
        <v/>
      </c>
      <c r="I256" s="8">
        <f>$F256/Parity!$H$55</f>
        <v/>
      </c>
      <c r="J256" s="16">
        <f>Parity!$F$55*$H256</f>
        <v/>
      </c>
      <c r="K256" s="8">
        <f>Parity!$I$55*$I256</f>
        <v/>
      </c>
      <c r="L256" s="8">
        <f>Parity!$J$55*$I256</f>
        <v/>
      </c>
      <c r="M256" s="16">
        <f>(Market_Weekly!$K$14-mcx_domestic_premium_inr_kg)*$H256*$I256+mcx_domestic_premium_inr_kg</f>
        <v/>
      </c>
      <c r="N256" s="15">
        <f>Parity!$N$55/Market_Weekly!$K$14</f>
        <v/>
      </c>
      <c r="O256" s="16">
        <f>$M256*$N256</f>
        <v/>
      </c>
      <c r="P256" s="18">
        <f>Parity!$AY$55</f>
        <v/>
      </c>
      <c r="Q256" s="16">
        <f>$J256*Parity!$P$55</f>
        <v/>
      </c>
      <c r="R256" s="16">
        <f>Parity!$L$55*Parity!$AG$55</f>
        <v/>
      </c>
      <c r="S256" s="16">
        <f>$Q256-$R256</f>
        <v/>
      </c>
      <c r="T256" s="16">
        <f>insurance_rate*insured_value_uplift*$Q256</f>
        <v/>
      </c>
      <c r="U256" s="16">
        <f>$Q256+$T256</f>
        <v/>
      </c>
      <c r="V256" s="18">
        <f>$U256*$L256</f>
        <v/>
      </c>
      <c r="W256" s="18">
        <f>$U256*$K256</f>
        <v/>
      </c>
      <c r="X256" s="18">
        <f>$V256*bcd_scrap_hs7602</f>
        <v/>
      </c>
      <c r="Y256" s="18">
        <f>$X256*sws_rate_on_bcd</f>
        <v/>
      </c>
      <c r="Z256" s="18">
        <f>($V256+$X256+$Y256)*igst_rate_hs7602</f>
        <v/>
      </c>
      <c r="AA256" s="18">
        <f>Parity!$X$55*Parity!$AG$55+IF(Parity!$Y$55,psic_cost_usd_per_box*$F256/Parity!$W$55,0)</f>
        <v/>
      </c>
      <c r="AB256" s="18">
        <f>($W256+$X256+$Y256)*Parity!$Z$55/day_count_inr*Parity!$O$55</f>
        <v/>
      </c>
      <c r="AC256" s="18">
        <f>$Z256*igst_credit_lag_days/day_count_inr*Parity!$O$55</f>
        <v/>
      </c>
      <c r="AD256" s="18">
        <f>$W256+$X256+$Y256+$AA256+$AB256+$AC256+IF(igst_itc_available,0,$Z256)</f>
        <v/>
      </c>
      <c r="AE256" s="18">
        <f>$O256*kg_per_mt+domestic_anchor_premium_inr_t</f>
        <v/>
      </c>
      <c r="AF256" s="18">
        <f>(1-Parity!$AA$55)*Parity!$AD$55*heavies_net_value_frac_of_lme_al*$J256*$F256</f>
        <v/>
      </c>
      <c r="AG256" s="18">
        <f>$AE256*Parity!$AU$55+$AF256-$AD256-Parity!$AX$55</f>
        <v/>
      </c>
      <c r="AH256" s="8">
        <f>$AG256&gt;margin_threshold_inr_t</f>
        <v/>
      </c>
      <c r="AI256" s="18">
        <f>($AG256-$P256)*grid_tonnes_mt</f>
        <v/>
      </c>
    </row>
    <row r="257">
      <c r="A257" s="7" t="inlineStr">
        <is>
          <t>first_eligible_long_lane</t>
        </is>
      </c>
      <c r="B257" s="11" t="n">
        <v>44624</v>
      </c>
      <c r="C257" s="7" t="inlineStr">
        <is>
          <t>zorba</t>
        </is>
      </c>
      <c r="D257" s="7" t="inlineStr">
        <is>
          <t>USEC_MUN</t>
        </is>
      </c>
      <c r="E257" s="20" t="n">
        <v>-5</v>
      </c>
      <c r="F257" s="7" t="n">
        <v>81</v>
      </c>
      <c r="G257" s="17" t="b">
        <v>0</v>
      </c>
      <c r="H257" s="8">
        <f>1+$E257/100</f>
        <v/>
      </c>
      <c r="I257" s="8">
        <f>$F257/Parity!$H$55</f>
        <v/>
      </c>
      <c r="J257" s="16">
        <f>Parity!$F$55*$H257</f>
        <v/>
      </c>
      <c r="K257" s="8">
        <f>Parity!$I$55*$I257</f>
        <v/>
      </c>
      <c r="L257" s="8">
        <f>Parity!$J$55*$I257</f>
        <v/>
      </c>
      <c r="M257" s="16">
        <f>(Market_Weekly!$K$14-mcx_domestic_premium_inr_kg)*$H257*$I257+mcx_domestic_premium_inr_kg</f>
        <v/>
      </c>
      <c r="N257" s="15">
        <f>Parity!$N$55/Market_Weekly!$K$14</f>
        <v/>
      </c>
      <c r="O257" s="16">
        <f>$M257*$N257</f>
        <v/>
      </c>
      <c r="P257" s="18">
        <f>Parity!$AY$55</f>
        <v/>
      </c>
      <c r="Q257" s="16">
        <f>$J257*Parity!$P$55</f>
        <v/>
      </c>
      <c r="R257" s="16">
        <f>Parity!$L$55*Parity!$AG$55</f>
        <v/>
      </c>
      <c r="S257" s="16">
        <f>$Q257-$R257</f>
        <v/>
      </c>
      <c r="T257" s="16">
        <f>insurance_rate*insured_value_uplift*$Q257</f>
        <v/>
      </c>
      <c r="U257" s="16">
        <f>$Q257+$T257</f>
        <v/>
      </c>
      <c r="V257" s="18">
        <f>$U257*$L257</f>
        <v/>
      </c>
      <c r="W257" s="18">
        <f>$U257*$K257</f>
        <v/>
      </c>
      <c r="X257" s="18">
        <f>$V257*bcd_scrap_hs7602</f>
        <v/>
      </c>
      <c r="Y257" s="18">
        <f>$X257*sws_rate_on_bcd</f>
        <v/>
      </c>
      <c r="Z257" s="18">
        <f>($V257+$X257+$Y257)*igst_rate_hs7602</f>
        <v/>
      </c>
      <c r="AA257" s="18">
        <f>Parity!$X$55*Parity!$AG$55+IF(Parity!$Y$55,psic_cost_usd_per_box*$F257/Parity!$W$55,0)</f>
        <v/>
      </c>
      <c r="AB257" s="18">
        <f>($W257+$X257+$Y257)*Parity!$Z$55/day_count_inr*Parity!$O$55</f>
        <v/>
      </c>
      <c r="AC257" s="18">
        <f>$Z257*igst_credit_lag_days/day_count_inr*Parity!$O$55</f>
        <v/>
      </c>
      <c r="AD257" s="18">
        <f>$W257+$X257+$Y257+$AA257+$AB257+$AC257+IF(igst_itc_available,0,$Z257)</f>
        <v/>
      </c>
      <c r="AE257" s="18">
        <f>$O257*kg_per_mt+domestic_anchor_premium_inr_t</f>
        <v/>
      </c>
      <c r="AF257" s="18">
        <f>(1-Parity!$AA$55)*Parity!$AD$55*heavies_net_value_frac_of_lme_al*$J257*$F257</f>
        <v/>
      </c>
      <c r="AG257" s="18">
        <f>$AE257*Parity!$AU$55+$AF257-$AD257-Parity!$AX$55</f>
        <v/>
      </c>
      <c r="AH257" s="8">
        <f>$AG257&gt;margin_threshold_inr_t</f>
        <v/>
      </c>
      <c r="AI257" s="18">
        <f>($AG257-$P257)*grid_tonnes_mt</f>
        <v/>
      </c>
    </row>
    <row r="258">
      <c r="A258" s="7" t="inlineStr">
        <is>
          <t>first_eligible_long_lane</t>
        </is>
      </c>
      <c r="B258" s="11" t="n">
        <v>44624</v>
      </c>
      <c r="C258" s="7" t="inlineStr">
        <is>
          <t>zorba</t>
        </is>
      </c>
      <c r="D258" s="7" t="inlineStr">
        <is>
          <t>USEC_MUN</t>
        </is>
      </c>
      <c r="E258" s="20" t="n">
        <v>0</v>
      </c>
      <c r="F258" s="7" t="n">
        <v>81</v>
      </c>
      <c r="G258" s="17" t="b">
        <v>0</v>
      </c>
      <c r="H258" s="8">
        <f>1+$E258/100</f>
        <v/>
      </c>
      <c r="I258" s="8">
        <f>$F258/Parity!$H$55</f>
        <v/>
      </c>
      <c r="J258" s="16">
        <f>Parity!$F$55*$H258</f>
        <v/>
      </c>
      <c r="K258" s="8">
        <f>Parity!$I$55*$I258</f>
        <v/>
      </c>
      <c r="L258" s="8">
        <f>Parity!$J$55*$I258</f>
        <v/>
      </c>
      <c r="M258" s="16">
        <f>(Market_Weekly!$K$14-mcx_domestic_premium_inr_kg)*$H258*$I258+mcx_domestic_premium_inr_kg</f>
        <v/>
      </c>
      <c r="N258" s="15">
        <f>Parity!$N$55/Market_Weekly!$K$14</f>
        <v/>
      </c>
      <c r="O258" s="16">
        <f>$M258*$N258</f>
        <v/>
      </c>
      <c r="P258" s="18">
        <f>Parity!$AY$55</f>
        <v/>
      </c>
      <c r="Q258" s="16">
        <f>$J258*Parity!$P$55</f>
        <v/>
      </c>
      <c r="R258" s="16">
        <f>Parity!$L$55*Parity!$AG$55</f>
        <v/>
      </c>
      <c r="S258" s="16">
        <f>$Q258-$R258</f>
        <v/>
      </c>
      <c r="T258" s="16">
        <f>insurance_rate*insured_value_uplift*$Q258</f>
        <v/>
      </c>
      <c r="U258" s="16">
        <f>$Q258+$T258</f>
        <v/>
      </c>
      <c r="V258" s="18">
        <f>$U258*$L258</f>
        <v/>
      </c>
      <c r="W258" s="18">
        <f>$U258*$K258</f>
        <v/>
      </c>
      <c r="X258" s="18">
        <f>$V258*bcd_scrap_hs7602</f>
        <v/>
      </c>
      <c r="Y258" s="18">
        <f>$X258*sws_rate_on_bcd</f>
        <v/>
      </c>
      <c r="Z258" s="18">
        <f>($V258+$X258+$Y258)*igst_rate_hs7602</f>
        <v/>
      </c>
      <c r="AA258" s="18">
        <f>Parity!$X$55*Parity!$AG$55+IF(Parity!$Y$55,psic_cost_usd_per_box*$F258/Parity!$W$55,0)</f>
        <v/>
      </c>
      <c r="AB258" s="18">
        <f>($W258+$X258+$Y258)*Parity!$Z$55/day_count_inr*Parity!$O$55</f>
        <v/>
      </c>
      <c r="AC258" s="18">
        <f>$Z258*igst_credit_lag_days/day_count_inr*Parity!$O$55</f>
        <v/>
      </c>
      <c r="AD258" s="18">
        <f>$W258+$X258+$Y258+$AA258+$AB258+$AC258+IF(igst_itc_available,0,$Z258)</f>
        <v/>
      </c>
      <c r="AE258" s="18">
        <f>$O258*kg_per_mt+domestic_anchor_premium_inr_t</f>
        <v/>
      </c>
      <c r="AF258" s="18">
        <f>(1-Parity!$AA$55)*Parity!$AD$55*heavies_net_value_frac_of_lme_al*$J258*$F258</f>
        <v/>
      </c>
      <c r="AG258" s="18">
        <f>$AE258*Parity!$AU$55+$AF258-$AD258-Parity!$AX$55</f>
        <v/>
      </c>
      <c r="AH258" s="8">
        <f>$AG258&gt;margin_threshold_inr_t</f>
        <v/>
      </c>
      <c r="AI258" s="18">
        <f>($AG258-$P258)*grid_tonnes_mt</f>
        <v/>
      </c>
    </row>
    <row r="259">
      <c r="A259" s="7" t="inlineStr">
        <is>
          <t>first_eligible_long_lane</t>
        </is>
      </c>
      <c r="B259" s="11" t="n">
        <v>44624</v>
      </c>
      <c r="C259" s="7" t="inlineStr">
        <is>
          <t>zorba</t>
        </is>
      </c>
      <c r="D259" s="7" t="inlineStr">
        <is>
          <t>USEC_MUN</t>
        </is>
      </c>
      <c r="E259" s="20" t="n">
        <v>5</v>
      </c>
      <c r="F259" s="7" t="n">
        <v>81</v>
      </c>
      <c r="G259" s="17" t="b">
        <v>0</v>
      </c>
      <c r="H259" s="8">
        <f>1+$E259/100</f>
        <v/>
      </c>
      <c r="I259" s="8">
        <f>$F259/Parity!$H$55</f>
        <v/>
      </c>
      <c r="J259" s="16">
        <f>Parity!$F$55*$H259</f>
        <v/>
      </c>
      <c r="K259" s="8">
        <f>Parity!$I$55*$I259</f>
        <v/>
      </c>
      <c r="L259" s="8">
        <f>Parity!$J$55*$I259</f>
        <v/>
      </c>
      <c r="M259" s="16">
        <f>(Market_Weekly!$K$14-mcx_domestic_premium_inr_kg)*$H259*$I259+mcx_domestic_premium_inr_kg</f>
        <v/>
      </c>
      <c r="N259" s="15">
        <f>Parity!$N$55/Market_Weekly!$K$14</f>
        <v/>
      </c>
      <c r="O259" s="16">
        <f>$M259*$N259</f>
        <v/>
      </c>
      <c r="P259" s="18">
        <f>Parity!$AY$55</f>
        <v/>
      </c>
      <c r="Q259" s="16">
        <f>$J259*Parity!$P$55</f>
        <v/>
      </c>
      <c r="R259" s="16">
        <f>Parity!$L$55*Parity!$AG$55</f>
        <v/>
      </c>
      <c r="S259" s="16">
        <f>$Q259-$R259</f>
        <v/>
      </c>
      <c r="T259" s="16">
        <f>insurance_rate*insured_value_uplift*$Q259</f>
        <v/>
      </c>
      <c r="U259" s="16">
        <f>$Q259+$T259</f>
        <v/>
      </c>
      <c r="V259" s="18">
        <f>$U259*$L259</f>
        <v/>
      </c>
      <c r="W259" s="18">
        <f>$U259*$K259</f>
        <v/>
      </c>
      <c r="X259" s="18">
        <f>$V259*bcd_scrap_hs7602</f>
        <v/>
      </c>
      <c r="Y259" s="18">
        <f>$X259*sws_rate_on_bcd</f>
        <v/>
      </c>
      <c r="Z259" s="18">
        <f>($V259+$X259+$Y259)*igst_rate_hs7602</f>
        <v/>
      </c>
      <c r="AA259" s="18">
        <f>Parity!$X$55*Parity!$AG$55+IF(Parity!$Y$55,psic_cost_usd_per_box*$F259/Parity!$W$55,0)</f>
        <v/>
      </c>
      <c r="AB259" s="18">
        <f>($W259+$X259+$Y259)*Parity!$Z$55/day_count_inr*Parity!$O$55</f>
        <v/>
      </c>
      <c r="AC259" s="18">
        <f>$Z259*igst_credit_lag_days/day_count_inr*Parity!$O$55</f>
        <v/>
      </c>
      <c r="AD259" s="18">
        <f>$W259+$X259+$Y259+$AA259+$AB259+$AC259+IF(igst_itc_available,0,$Z259)</f>
        <v/>
      </c>
      <c r="AE259" s="18">
        <f>$O259*kg_per_mt+domestic_anchor_premium_inr_t</f>
        <v/>
      </c>
      <c r="AF259" s="18">
        <f>(1-Parity!$AA$55)*Parity!$AD$55*heavies_net_value_frac_of_lme_al*$J259*$F259</f>
        <v/>
      </c>
      <c r="AG259" s="18">
        <f>$AE259*Parity!$AU$55+$AF259-$AD259-Parity!$AX$55</f>
        <v/>
      </c>
      <c r="AH259" s="8">
        <f>$AG259&gt;margin_threshold_inr_t</f>
        <v/>
      </c>
      <c r="AI259" s="18">
        <f>($AG259-$P259)*grid_tonnes_mt</f>
        <v/>
      </c>
    </row>
    <row r="260">
      <c r="A260" s="7" t="inlineStr">
        <is>
          <t>first_eligible_long_lane</t>
        </is>
      </c>
      <c r="B260" s="11" t="n">
        <v>44624</v>
      </c>
      <c r="C260" s="7" t="inlineStr">
        <is>
          <t>zorba</t>
        </is>
      </c>
      <c r="D260" s="7" t="inlineStr">
        <is>
          <t>USEC_MUN</t>
        </is>
      </c>
      <c r="E260" s="20" t="n">
        <v>10</v>
      </c>
      <c r="F260" s="7" t="n">
        <v>81</v>
      </c>
      <c r="G260" s="17" t="b">
        <v>0</v>
      </c>
      <c r="H260" s="8">
        <f>1+$E260/100</f>
        <v/>
      </c>
      <c r="I260" s="8">
        <f>$F260/Parity!$H$55</f>
        <v/>
      </c>
      <c r="J260" s="16">
        <f>Parity!$F$55*$H260</f>
        <v/>
      </c>
      <c r="K260" s="8">
        <f>Parity!$I$55*$I260</f>
        <v/>
      </c>
      <c r="L260" s="8">
        <f>Parity!$J$55*$I260</f>
        <v/>
      </c>
      <c r="M260" s="16">
        <f>(Market_Weekly!$K$14-mcx_domestic_premium_inr_kg)*$H260*$I260+mcx_domestic_premium_inr_kg</f>
        <v/>
      </c>
      <c r="N260" s="15">
        <f>Parity!$N$55/Market_Weekly!$K$14</f>
        <v/>
      </c>
      <c r="O260" s="16">
        <f>$M260*$N260</f>
        <v/>
      </c>
      <c r="P260" s="18">
        <f>Parity!$AY$55</f>
        <v/>
      </c>
      <c r="Q260" s="16">
        <f>$J260*Parity!$P$55</f>
        <v/>
      </c>
      <c r="R260" s="16">
        <f>Parity!$L$55*Parity!$AG$55</f>
        <v/>
      </c>
      <c r="S260" s="16">
        <f>$Q260-$R260</f>
        <v/>
      </c>
      <c r="T260" s="16">
        <f>insurance_rate*insured_value_uplift*$Q260</f>
        <v/>
      </c>
      <c r="U260" s="16">
        <f>$Q260+$T260</f>
        <v/>
      </c>
      <c r="V260" s="18">
        <f>$U260*$L260</f>
        <v/>
      </c>
      <c r="W260" s="18">
        <f>$U260*$K260</f>
        <v/>
      </c>
      <c r="X260" s="18">
        <f>$V260*bcd_scrap_hs7602</f>
        <v/>
      </c>
      <c r="Y260" s="18">
        <f>$X260*sws_rate_on_bcd</f>
        <v/>
      </c>
      <c r="Z260" s="18">
        <f>($V260+$X260+$Y260)*igst_rate_hs7602</f>
        <v/>
      </c>
      <c r="AA260" s="18">
        <f>Parity!$X$55*Parity!$AG$55+IF(Parity!$Y$55,psic_cost_usd_per_box*$F260/Parity!$W$55,0)</f>
        <v/>
      </c>
      <c r="AB260" s="18">
        <f>($W260+$X260+$Y260)*Parity!$Z$55/day_count_inr*Parity!$O$55</f>
        <v/>
      </c>
      <c r="AC260" s="18">
        <f>$Z260*igst_credit_lag_days/day_count_inr*Parity!$O$55</f>
        <v/>
      </c>
      <c r="AD260" s="18">
        <f>$W260+$X260+$Y260+$AA260+$AB260+$AC260+IF(igst_itc_available,0,$Z260)</f>
        <v/>
      </c>
      <c r="AE260" s="18">
        <f>$O260*kg_per_mt+domestic_anchor_premium_inr_t</f>
        <v/>
      </c>
      <c r="AF260" s="18">
        <f>(1-Parity!$AA$55)*Parity!$AD$55*heavies_net_value_frac_of_lme_al*$J260*$F260</f>
        <v/>
      </c>
      <c r="AG260" s="18">
        <f>$AE260*Parity!$AU$55+$AF260-$AD260-Parity!$AX$55</f>
        <v/>
      </c>
      <c r="AH260" s="8">
        <f>$AG260&gt;margin_threshold_inr_t</f>
        <v/>
      </c>
      <c r="AI260" s="18">
        <f>($AG260-$P260)*grid_tonnes_mt</f>
        <v/>
      </c>
    </row>
    <row r="261">
      <c r="A261" s="7" t="inlineStr">
        <is>
          <t>first_eligible_long_lane</t>
        </is>
      </c>
      <c r="B261" s="11" t="n">
        <v>44624</v>
      </c>
      <c r="C261" s="7" t="inlineStr">
        <is>
          <t>zorba</t>
        </is>
      </c>
      <c r="D261" s="7" t="inlineStr">
        <is>
          <t>USEC_MUN</t>
        </is>
      </c>
      <c r="E261" s="20" t="n">
        <v>-30</v>
      </c>
      <c r="F261" s="7" t="n">
        <v>82</v>
      </c>
      <c r="G261" s="17" t="b">
        <v>0</v>
      </c>
      <c r="H261" s="8">
        <f>1+$E261/100</f>
        <v/>
      </c>
      <c r="I261" s="8">
        <f>$F261/Parity!$H$55</f>
        <v/>
      </c>
      <c r="J261" s="16">
        <f>Parity!$F$55*$H261</f>
        <v/>
      </c>
      <c r="K261" s="8">
        <f>Parity!$I$55*$I261</f>
        <v/>
      </c>
      <c r="L261" s="8">
        <f>Parity!$J$55*$I261</f>
        <v/>
      </c>
      <c r="M261" s="16">
        <f>(Market_Weekly!$K$14-mcx_domestic_premium_inr_kg)*$H261*$I261+mcx_domestic_premium_inr_kg</f>
        <v/>
      </c>
      <c r="N261" s="15">
        <f>Parity!$N$55/Market_Weekly!$K$14</f>
        <v/>
      </c>
      <c r="O261" s="16">
        <f>$M261*$N261</f>
        <v/>
      </c>
      <c r="P261" s="18">
        <f>Parity!$AY$55</f>
        <v/>
      </c>
      <c r="Q261" s="16">
        <f>$J261*Parity!$P$55</f>
        <v/>
      </c>
      <c r="R261" s="16">
        <f>Parity!$L$55*Parity!$AG$55</f>
        <v/>
      </c>
      <c r="S261" s="16">
        <f>$Q261-$R261</f>
        <v/>
      </c>
      <c r="T261" s="16">
        <f>insurance_rate*insured_value_uplift*$Q261</f>
        <v/>
      </c>
      <c r="U261" s="16">
        <f>$Q261+$T261</f>
        <v/>
      </c>
      <c r="V261" s="18">
        <f>$U261*$L261</f>
        <v/>
      </c>
      <c r="W261" s="18">
        <f>$U261*$K261</f>
        <v/>
      </c>
      <c r="X261" s="18">
        <f>$V261*bcd_scrap_hs7602</f>
        <v/>
      </c>
      <c r="Y261" s="18">
        <f>$X261*sws_rate_on_bcd</f>
        <v/>
      </c>
      <c r="Z261" s="18">
        <f>($V261+$X261+$Y261)*igst_rate_hs7602</f>
        <v/>
      </c>
      <c r="AA261" s="18">
        <f>Parity!$X$55*Parity!$AG$55+IF(Parity!$Y$55,psic_cost_usd_per_box*$F261/Parity!$W$55,0)</f>
        <v/>
      </c>
      <c r="AB261" s="18">
        <f>($W261+$X261+$Y261)*Parity!$Z$55/day_count_inr*Parity!$O$55</f>
        <v/>
      </c>
      <c r="AC261" s="18">
        <f>$Z261*igst_credit_lag_days/day_count_inr*Parity!$O$55</f>
        <v/>
      </c>
      <c r="AD261" s="18">
        <f>$W261+$X261+$Y261+$AA261+$AB261+$AC261+IF(igst_itc_available,0,$Z261)</f>
        <v/>
      </c>
      <c r="AE261" s="18">
        <f>$O261*kg_per_mt+domestic_anchor_premium_inr_t</f>
        <v/>
      </c>
      <c r="AF261" s="18">
        <f>(1-Parity!$AA$55)*Parity!$AD$55*heavies_net_value_frac_of_lme_al*$J261*$F261</f>
        <v/>
      </c>
      <c r="AG261" s="18">
        <f>$AE261*Parity!$AU$55+$AF261-$AD261-Parity!$AX$55</f>
        <v/>
      </c>
      <c r="AH261" s="8">
        <f>$AG261&gt;margin_threshold_inr_t</f>
        <v/>
      </c>
      <c r="AI261" s="18">
        <f>($AG261-$P261)*grid_tonnes_mt</f>
        <v/>
      </c>
    </row>
    <row r="262">
      <c r="A262" s="7" t="inlineStr">
        <is>
          <t>first_eligible_long_lane</t>
        </is>
      </c>
      <c r="B262" s="11" t="n">
        <v>44624</v>
      </c>
      <c r="C262" s="7" t="inlineStr">
        <is>
          <t>zorba</t>
        </is>
      </c>
      <c r="D262" s="7" t="inlineStr">
        <is>
          <t>USEC_MUN</t>
        </is>
      </c>
      <c r="E262" s="20" t="n">
        <v>-25</v>
      </c>
      <c r="F262" s="7" t="n">
        <v>82</v>
      </c>
      <c r="G262" s="17" t="b">
        <v>0</v>
      </c>
      <c r="H262" s="8">
        <f>1+$E262/100</f>
        <v/>
      </c>
      <c r="I262" s="8">
        <f>$F262/Parity!$H$55</f>
        <v/>
      </c>
      <c r="J262" s="16">
        <f>Parity!$F$55*$H262</f>
        <v/>
      </c>
      <c r="K262" s="8">
        <f>Parity!$I$55*$I262</f>
        <v/>
      </c>
      <c r="L262" s="8">
        <f>Parity!$J$55*$I262</f>
        <v/>
      </c>
      <c r="M262" s="16">
        <f>(Market_Weekly!$K$14-mcx_domestic_premium_inr_kg)*$H262*$I262+mcx_domestic_premium_inr_kg</f>
        <v/>
      </c>
      <c r="N262" s="15">
        <f>Parity!$N$55/Market_Weekly!$K$14</f>
        <v/>
      </c>
      <c r="O262" s="16">
        <f>$M262*$N262</f>
        <v/>
      </c>
      <c r="P262" s="18">
        <f>Parity!$AY$55</f>
        <v/>
      </c>
      <c r="Q262" s="16">
        <f>$J262*Parity!$P$55</f>
        <v/>
      </c>
      <c r="R262" s="16">
        <f>Parity!$L$55*Parity!$AG$55</f>
        <v/>
      </c>
      <c r="S262" s="16">
        <f>$Q262-$R262</f>
        <v/>
      </c>
      <c r="T262" s="16">
        <f>insurance_rate*insured_value_uplift*$Q262</f>
        <v/>
      </c>
      <c r="U262" s="16">
        <f>$Q262+$T262</f>
        <v/>
      </c>
      <c r="V262" s="18">
        <f>$U262*$L262</f>
        <v/>
      </c>
      <c r="W262" s="18">
        <f>$U262*$K262</f>
        <v/>
      </c>
      <c r="X262" s="18">
        <f>$V262*bcd_scrap_hs7602</f>
        <v/>
      </c>
      <c r="Y262" s="18">
        <f>$X262*sws_rate_on_bcd</f>
        <v/>
      </c>
      <c r="Z262" s="18">
        <f>($V262+$X262+$Y262)*igst_rate_hs7602</f>
        <v/>
      </c>
      <c r="AA262" s="18">
        <f>Parity!$X$55*Parity!$AG$55+IF(Parity!$Y$55,psic_cost_usd_per_box*$F262/Parity!$W$55,0)</f>
        <v/>
      </c>
      <c r="AB262" s="18">
        <f>($W262+$X262+$Y262)*Parity!$Z$55/day_count_inr*Parity!$O$55</f>
        <v/>
      </c>
      <c r="AC262" s="18">
        <f>$Z262*igst_credit_lag_days/day_count_inr*Parity!$O$55</f>
        <v/>
      </c>
      <c r="AD262" s="18">
        <f>$W262+$X262+$Y262+$AA262+$AB262+$AC262+IF(igst_itc_available,0,$Z262)</f>
        <v/>
      </c>
      <c r="AE262" s="18">
        <f>$O262*kg_per_mt+domestic_anchor_premium_inr_t</f>
        <v/>
      </c>
      <c r="AF262" s="18">
        <f>(1-Parity!$AA$55)*Parity!$AD$55*heavies_net_value_frac_of_lme_al*$J262*$F262</f>
        <v/>
      </c>
      <c r="AG262" s="18">
        <f>$AE262*Parity!$AU$55+$AF262-$AD262-Parity!$AX$55</f>
        <v/>
      </c>
      <c r="AH262" s="8">
        <f>$AG262&gt;margin_threshold_inr_t</f>
        <v/>
      </c>
      <c r="AI262" s="18">
        <f>($AG262-$P262)*grid_tonnes_mt</f>
        <v/>
      </c>
    </row>
    <row r="263">
      <c r="A263" s="7" t="inlineStr">
        <is>
          <t>first_eligible_long_lane</t>
        </is>
      </c>
      <c r="B263" s="11" t="n">
        <v>44624</v>
      </c>
      <c r="C263" s="7" t="inlineStr">
        <is>
          <t>zorba</t>
        </is>
      </c>
      <c r="D263" s="7" t="inlineStr">
        <is>
          <t>USEC_MUN</t>
        </is>
      </c>
      <c r="E263" s="20" t="n">
        <v>-20</v>
      </c>
      <c r="F263" s="7" t="n">
        <v>82</v>
      </c>
      <c r="G263" s="17" t="b">
        <v>0</v>
      </c>
      <c r="H263" s="8">
        <f>1+$E263/100</f>
        <v/>
      </c>
      <c r="I263" s="8">
        <f>$F263/Parity!$H$55</f>
        <v/>
      </c>
      <c r="J263" s="16">
        <f>Parity!$F$55*$H263</f>
        <v/>
      </c>
      <c r="K263" s="8">
        <f>Parity!$I$55*$I263</f>
        <v/>
      </c>
      <c r="L263" s="8">
        <f>Parity!$J$55*$I263</f>
        <v/>
      </c>
      <c r="M263" s="16">
        <f>(Market_Weekly!$K$14-mcx_domestic_premium_inr_kg)*$H263*$I263+mcx_domestic_premium_inr_kg</f>
        <v/>
      </c>
      <c r="N263" s="15">
        <f>Parity!$N$55/Market_Weekly!$K$14</f>
        <v/>
      </c>
      <c r="O263" s="16">
        <f>$M263*$N263</f>
        <v/>
      </c>
      <c r="P263" s="18">
        <f>Parity!$AY$55</f>
        <v/>
      </c>
      <c r="Q263" s="16">
        <f>$J263*Parity!$P$55</f>
        <v/>
      </c>
      <c r="R263" s="16">
        <f>Parity!$L$55*Parity!$AG$55</f>
        <v/>
      </c>
      <c r="S263" s="16">
        <f>$Q263-$R263</f>
        <v/>
      </c>
      <c r="T263" s="16">
        <f>insurance_rate*insured_value_uplift*$Q263</f>
        <v/>
      </c>
      <c r="U263" s="16">
        <f>$Q263+$T263</f>
        <v/>
      </c>
      <c r="V263" s="18">
        <f>$U263*$L263</f>
        <v/>
      </c>
      <c r="W263" s="18">
        <f>$U263*$K263</f>
        <v/>
      </c>
      <c r="X263" s="18">
        <f>$V263*bcd_scrap_hs7602</f>
        <v/>
      </c>
      <c r="Y263" s="18">
        <f>$X263*sws_rate_on_bcd</f>
        <v/>
      </c>
      <c r="Z263" s="18">
        <f>($V263+$X263+$Y263)*igst_rate_hs7602</f>
        <v/>
      </c>
      <c r="AA263" s="18">
        <f>Parity!$X$55*Parity!$AG$55+IF(Parity!$Y$55,psic_cost_usd_per_box*$F263/Parity!$W$55,0)</f>
        <v/>
      </c>
      <c r="AB263" s="18">
        <f>($W263+$X263+$Y263)*Parity!$Z$55/day_count_inr*Parity!$O$55</f>
        <v/>
      </c>
      <c r="AC263" s="18">
        <f>$Z263*igst_credit_lag_days/day_count_inr*Parity!$O$55</f>
        <v/>
      </c>
      <c r="AD263" s="18">
        <f>$W263+$X263+$Y263+$AA263+$AB263+$AC263+IF(igst_itc_available,0,$Z263)</f>
        <v/>
      </c>
      <c r="AE263" s="18">
        <f>$O263*kg_per_mt+domestic_anchor_premium_inr_t</f>
        <v/>
      </c>
      <c r="AF263" s="18">
        <f>(1-Parity!$AA$55)*Parity!$AD$55*heavies_net_value_frac_of_lme_al*$J263*$F263</f>
        <v/>
      </c>
      <c r="AG263" s="18">
        <f>$AE263*Parity!$AU$55+$AF263-$AD263-Parity!$AX$55</f>
        <v/>
      </c>
      <c r="AH263" s="8">
        <f>$AG263&gt;margin_threshold_inr_t</f>
        <v/>
      </c>
      <c r="AI263" s="18">
        <f>($AG263-$P263)*grid_tonnes_mt</f>
        <v/>
      </c>
    </row>
    <row r="264">
      <c r="A264" s="7" t="inlineStr">
        <is>
          <t>first_eligible_long_lane</t>
        </is>
      </c>
      <c r="B264" s="11" t="n">
        <v>44624</v>
      </c>
      <c r="C264" s="7" t="inlineStr">
        <is>
          <t>zorba</t>
        </is>
      </c>
      <c r="D264" s="7" t="inlineStr">
        <is>
          <t>USEC_MUN</t>
        </is>
      </c>
      <c r="E264" s="20" t="n">
        <v>-15</v>
      </c>
      <c r="F264" s="7" t="n">
        <v>82</v>
      </c>
      <c r="G264" s="17" t="b">
        <v>0</v>
      </c>
      <c r="H264" s="8">
        <f>1+$E264/100</f>
        <v/>
      </c>
      <c r="I264" s="8">
        <f>$F264/Parity!$H$55</f>
        <v/>
      </c>
      <c r="J264" s="16">
        <f>Parity!$F$55*$H264</f>
        <v/>
      </c>
      <c r="K264" s="8">
        <f>Parity!$I$55*$I264</f>
        <v/>
      </c>
      <c r="L264" s="8">
        <f>Parity!$J$55*$I264</f>
        <v/>
      </c>
      <c r="M264" s="16">
        <f>(Market_Weekly!$K$14-mcx_domestic_premium_inr_kg)*$H264*$I264+mcx_domestic_premium_inr_kg</f>
        <v/>
      </c>
      <c r="N264" s="15">
        <f>Parity!$N$55/Market_Weekly!$K$14</f>
        <v/>
      </c>
      <c r="O264" s="16">
        <f>$M264*$N264</f>
        <v/>
      </c>
      <c r="P264" s="18">
        <f>Parity!$AY$55</f>
        <v/>
      </c>
      <c r="Q264" s="16">
        <f>$J264*Parity!$P$55</f>
        <v/>
      </c>
      <c r="R264" s="16">
        <f>Parity!$L$55*Parity!$AG$55</f>
        <v/>
      </c>
      <c r="S264" s="16">
        <f>$Q264-$R264</f>
        <v/>
      </c>
      <c r="T264" s="16">
        <f>insurance_rate*insured_value_uplift*$Q264</f>
        <v/>
      </c>
      <c r="U264" s="16">
        <f>$Q264+$T264</f>
        <v/>
      </c>
      <c r="V264" s="18">
        <f>$U264*$L264</f>
        <v/>
      </c>
      <c r="W264" s="18">
        <f>$U264*$K264</f>
        <v/>
      </c>
      <c r="X264" s="18">
        <f>$V264*bcd_scrap_hs7602</f>
        <v/>
      </c>
      <c r="Y264" s="18">
        <f>$X264*sws_rate_on_bcd</f>
        <v/>
      </c>
      <c r="Z264" s="18">
        <f>($V264+$X264+$Y264)*igst_rate_hs7602</f>
        <v/>
      </c>
      <c r="AA264" s="18">
        <f>Parity!$X$55*Parity!$AG$55+IF(Parity!$Y$55,psic_cost_usd_per_box*$F264/Parity!$W$55,0)</f>
        <v/>
      </c>
      <c r="AB264" s="18">
        <f>($W264+$X264+$Y264)*Parity!$Z$55/day_count_inr*Parity!$O$55</f>
        <v/>
      </c>
      <c r="AC264" s="18">
        <f>$Z264*igst_credit_lag_days/day_count_inr*Parity!$O$55</f>
        <v/>
      </c>
      <c r="AD264" s="18">
        <f>$W264+$X264+$Y264+$AA264+$AB264+$AC264+IF(igst_itc_available,0,$Z264)</f>
        <v/>
      </c>
      <c r="AE264" s="18">
        <f>$O264*kg_per_mt+domestic_anchor_premium_inr_t</f>
        <v/>
      </c>
      <c r="AF264" s="18">
        <f>(1-Parity!$AA$55)*Parity!$AD$55*heavies_net_value_frac_of_lme_al*$J264*$F264</f>
        <v/>
      </c>
      <c r="AG264" s="18">
        <f>$AE264*Parity!$AU$55+$AF264-$AD264-Parity!$AX$55</f>
        <v/>
      </c>
      <c r="AH264" s="8">
        <f>$AG264&gt;margin_threshold_inr_t</f>
        <v/>
      </c>
      <c r="AI264" s="18">
        <f>($AG264-$P264)*grid_tonnes_mt</f>
        <v/>
      </c>
    </row>
    <row r="265">
      <c r="A265" s="7" t="inlineStr">
        <is>
          <t>first_eligible_long_lane</t>
        </is>
      </c>
      <c r="B265" s="11" t="n">
        <v>44624</v>
      </c>
      <c r="C265" s="7" t="inlineStr">
        <is>
          <t>zorba</t>
        </is>
      </c>
      <c r="D265" s="7" t="inlineStr">
        <is>
          <t>USEC_MUN</t>
        </is>
      </c>
      <c r="E265" s="20" t="n">
        <v>-10</v>
      </c>
      <c r="F265" s="7" t="n">
        <v>82</v>
      </c>
      <c r="G265" s="17" t="b">
        <v>0</v>
      </c>
      <c r="H265" s="8">
        <f>1+$E265/100</f>
        <v/>
      </c>
      <c r="I265" s="8">
        <f>$F265/Parity!$H$55</f>
        <v/>
      </c>
      <c r="J265" s="16">
        <f>Parity!$F$55*$H265</f>
        <v/>
      </c>
      <c r="K265" s="8">
        <f>Parity!$I$55*$I265</f>
        <v/>
      </c>
      <c r="L265" s="8">
        <f>Parity!$J$55*$I265</f>
        <v/>
      </c>
      <c r="M265" s="16">
        <f>(Market_Weekly!$K$14-mcx_domestic_premium_inr_kg)*$H265*$I265+mcx_domestic_premium_inr_kg</f>
        <v/>
      </c>
      <c r="N265" s="15">
        <f>Parity!$N$55/Market_Weekly!$K$14</f>
        <v/>
      </c>
      <c r="O265" s="16">
        <f>$M265*$N265</f>
        <v/>
      </c>
      <c r="P265" s="18">
        <f>Parity!$AY$55</f>
        <v/>
      </c>
      <c r="Q265" s="16">
        <f>$J265*Parity!$P$55</f>
        <v/>
      </c>
      <c r="R265" s="16">
        <f>Parity!$L$55*Parity!$AG$55</f>
        <v/>
      </c>
      <c r="S265" s="16">
        <f>$Q265-$R265</f>
        <v/>
      </c>
      <c r="T265" s="16">
        <f>insurance_rate*insured_value_uplift*$Q265</f>
        <v/>
      </c>
      <c r="U265" s="16">
        <f>$Q265+$T265</f>
        <v/>
      </c>
      <c r="V265" s="18">
        <f>$U265*$L265</f>
        <v/>
      </c>
      <c r="W265" s="18">
        <f>$U265*$K265</f>
        <v/>
      </c>
      <c r="X265" s="18">
        <f>$V265*bcd_scrap_hs7602</f>
        <v/>
      </c>
      <c r="Y265" s="18">
        <f>$X265*sws_rate_on_bcd</f>
        <v/>
      </c>
      <c r="Z265" s="18">
        <f>($V265+$X265+$Y265)*igst_rate_hs7602</f>
        <v/>
      </c>
      <c r="AA265" s="18">
        <f>Parity!$X$55*Parity!$AG$55+IF(Parity!$Y$55,psic_cost_usd_per_box*$F265/Parity!$W$55,0)</f>
        <v/>
      </c>
      <c r="AB265" s="18">
        <f>($W265+$X265+$Y265)*Parity!$Z$55/day_count_inr*Parity!$O$55</f>
        <v/>
      </c>
      <c r="AC265" s="18">
        <f>$Z265*igst_credit_lag_days/day_count_inr*Parity!$O$55</f>
        <v/>
      </c>
      <c r="AD265" s="18">
        <f>$W265+$X265+$Y265+$AA265+$AB265+$AC265+IF(igst_itc_available,0,$Z265)</f>
        <v/>
      </c>
      <c r="AE265" s="18">
        <f>$O265*kg_per_mt+domestic_anchor_premium_inr_t</f>
        <v/>
      </c>
      <c r="AF265" s="18">
        <f>(1-Parity!$AA$55)*Parity!$AD$55*heavies_net_value_frac_of_lme_al*$J265*$F265</f>
        <v/>
      </c>
      <c r="AG265" s="18">
        <f>$AE265*Parity!$AU$55+$AF265-$AD265-Parity!$AX$55</f>
        <v/>
      </c>
      <c r="AH265" s="8">
        <f>$AG265&gt;margin_threshold_inr_t</f>
        <v/>
      </c>
      <c r="AI265" s="18">
        <f>($AG265-$P265)*grid_tonnes_mt</f>
        <v/>
      </c>
    </row>
    <row r="266">
      <c r="A266" s="7" t="inlineStr">
        <is>
          <t>first_eligible_long_lane</t>
        </is>
      </c>
      <c r="B266" s="11" t="n">
        <v>44624</v>
      </c>
      <c r="C266" s="7" t="inlineStr">
        <is>
          <t>zorba</t>
        </is>
      </c>
      <c r="D266" s="7" t="inlineStr">
        <is>
          <t>USEC_MUN</t>
        </is>
      </c>
      <c r="E266" s="20" t="n">
        <v>-5</v>
      </c>
      <c r="F266" s="7" t="n">
        <v>82</v>
      </c>
      <c r="G266" s="17" t="b">
        <v>0</v>
      </c>
      <c r="H266" s="8">
        <f>1+$E266/100</f>
        <v/>
      </c>
      <c r="I266" s="8">
        <f>$F266/Parity!$H$55</f>
        <v/>
      </c>
      <c r="J266" s="16">
        <f>Parity!$F$55*$H266</f>
        <v/>
      </c>
      <c r="K266" s="8">
        <f>Parity!$I$55*$I266</f>
        <v/>
      </c>
      <c r="L266" s="8">
        <f>Parity!$J$55*$I266</f>
        <v/>
      </c>
      <c r="M266" s="16">
        <f>(Market_Weekly!$K$14-mcx_domestic_premium_inr_kg)*$H266*$I266+mcx_domestic_premium_inr_kg</f>
        <v/>
      </c>
      <c r="N266" s="15">
        <f>Parity!$N$55/Market_Weekly!$K$14</f>
        <v/>
      </c>
      <c r="O266" s="16">
        <f>$M266*$N266</f>
        <v/>
      </c>
      <c r="P266" s="18">
        <f>Parity!$AY$55</f>
        <v/>
      </c>
      <c r="Q266" s="16">
        <f>$J266*Parity!$P$55</f>
        <v/>
      </c>
      <c r="R266" s="16">
        <f>Parity!$L$55*Parity!$AG$55</f>
        <v/>
      </c>
      <c r="S266" s="16">
        <f>$Q266-$R266</f>
        <v/>
      </c>
      <c r="T266" s="16">
        <f>insurance_rate*insured_value_uplift*$Q266</f>
        <v/>
      </c>
      <c r="U266" s="16">
        <f>$Q266+$T266</f>
        <v/>
      </c>
      <c r="V266" s="18">
        <f>$U266*$L266</f>
        <v/>
      </c>
      <c r="W266" s="18">
        <f>$U266*$K266</f>
        <v/>
      </c>
      <c r="X266" s="18">
        <f>$V266*bcd_scrap_hs7602</f>
        <v/>
      </c>
      <c r="Y266" s="18">
        <f>$X266*sws_rate_on_bcd</f>
        <v/>
      </c>
      <c r="Z266" s="18">
        <f>($V266+$X266+$Y266)*igst_rate_hs7602</f>
        <v/>
      </c>
      <c r="AA266" s="18">
        <f>Parity!$X$55*Parity!$AG$55+IF(Parity!$Y$55,psic_cost_usd_per_box*$F266/Parity!$W$55,0)</f>
        <v/>
      </c>
      <c r="AB266" s="18">
        <f>($W266+$X266+$Y266)*Parity!$Z$55/day_count_inr*Parity!$O$55</f>
        <v/>
      </c>
      <c r="AC266" s="18">
        <f>$Z266*igst_credit_lag_days/day_count_inr*Parity!$O$55</f>
        <v/>
      </c>
      <c r="AD266" s="18">
        <f>$W266+$X266+$Y266+$AA266+$AB266+$AC266+IF(igst_itc_available,0,$Z266)</f>
        <v/>
      </c>
      <c r="AE266" s="18">
        <f>$O266*kg_per_mt+domestic_anchor_premium_inr_t</f>
        <v/>
      </c>
      <c r="AF266" s="18">
        <f>(1-Parity!$AA$55)*Parity!$AD$55*heavies_net_value_frac_of_lme_al*$J266*$F266</f>
        <v/>
      </c>
      <c r="AG266" s="18">
        <f>$AE266*Parity!$AU$55+$AF266-$AD266-Parity!$AX$55</f>
        <v/>
      </c>
      <c r="AH266" s="8">
        <f>$AG266&gt;margin_threshold_inr_t</f>
        <v/>
      </c>
      <c r="AI266" s="18">
        <f>($AG266-$P266)*grid_tonnes_mt</f>
        <v/>
      </c>
    </row>
    <row r="267">
      <c r="A267" s="7" t="inlineStr">
        <is>
          <t>first_eligible_long_lane</t>
        </is>
      </c>
      <c r="B267" s="11" t="n">
        <v>44624</v>
      </c>
      <c r="C267" s="7" t="inlineStr">
        <is>
          <t>zorba</t>
        </is>
      </c>
      <c r="D267" s="7" t="inlineStr">
        <is>
          <t>USEC_MUN</t>
        </is>
      </c>
      <c r="E267" s="20" t="n">
        <v>0</v>
      </c>
      <c r="F267" s="7" t="n">
        <v>82</v>
      </c>
      <c r="G267" s="17" t="b">
        <v>0</v>
      </c>
      <c r="H267" s="8">
        <f>1+$E267/100</f>
        <v/>
      </c>
      <c r="I267" s="8">
        <f>$F267/Parity!$H$55</f>
        <v/>
      </c>
      <c r="J267" s="16">
        <f>Parity!$F$55*$H267</f>
        <v/>
      </c>
      <c r="K267" s="8">
        <f>Parity!$I$55*$I267</f>
        <v/>
      </c>
      <c r="L267" s="8">
        <f>Parity!$J$55*$I267</f>
        <v/>
      </c>
      <c r="M267" s="16">
        <f>(Market_Weekly!$K$14-mcx_domestic_premium_inr_kg)*$H267*$I267+mcx_domestic_premium_inr_kg</f>
        <v/>
      </c>
      <c r="N267" s="15">
        <f>Parity!$N$55/Market_Weekly!$K$14</f>
        <v/>
      </c>
      <c r="O267" s="16">
        <f>$M267*$N267</f>
        <v/>
      </c>
      <c r="P267" s="18">
        <f>Parity!$AY$55</f>
        <v/>
      </c>
      <c r="Q267" s="16">
        <f>$J267*Parity!$P$55</f>
        <v/>
      </c>
      <c r="R267" s="16">
        <f>Parity!$L$55*Parity!$AG$55</f>
        <v/>
      </c>
      <c r="S267" s="16">
        <f>$Q267-$R267</f>
        <v/>
      </c>
      <c r="T267" s="16">
        <f>insurance_rate*insured_value_uplift*$Q267</f>
        <v/>
      </c>
      <c r="U267" s="16">
        <f>$Q267+$T267</f>
        <v/>
      </c>
      <c r="V267" s="18">
        <f>$U267*$L267</f>
        <v/>
      </c>
      <c r="W267" s="18">
        <f>$U267*$K267</f>
        <v/>
      </c>
      <c r="X267" s="18">
        <f>$V267*bcd_scrap_hs7602</f>
        <v/>
      </c>
      <c r="Y267" s="18">
        <f>$X267*sws_rate_on_bcd</f>
        <v/>
      </c>
      <c r="Z267" s="18">
        <f>($V267+$X267+$Y267)*igst_rate_hs7602</f>
        <v/>
      </c>
      <c r="AA267" s="18">
        <f>Parity!$X$55*Parity!$AG$55+IF(Parity!$Y$55,psic_cost_usd_per_box*$F267/Parity!$W$55,0)</f>
        <v/>
      </c>
      <c r="AB267" s="18">
        <f>($W267+$X267+$Y267)*Parity!$Z$55/day_count_inr*Parity!$O$55</f>
        <v/>
      </c>
      <c r="AC267" s="18">
        <f>$Z267*igst_credit_lag_days/day_count_inr*Parity!$O$55</f>
        <v/>
      </c>
      <c r="AD267" s="18">
        <f>$W267+$X267+$Y267+$AA267+$AB267+$AC267+IF(igst_itc_available,0,$Z267)</f>
        <v/>
      </c>
      <c r="AE267" s="18">
        <f>$O267*kg_per_mt+domestic_anchor_premium_inr_t</f>
        <v/>
      </c>
      <c r="AF267" s="18">
        <f>(1-Parity!$AA$55)*Parity!$AD$55*heavies_net_value_frac_of_lme_al*$J267*$F267</f>
        <v/>
      </c>
      <c r="AG267" s="18">
        <f>$AE267*Parity!$AU$55+$AF267-$AD267-Parity!$AX$55</f>
        <v/>
      </c>
      <c r="AH267" s="8">
        <f>$AG267&gt;margin_threshold_inr_t</f>
        <v/>
      </c>
      <c r="AI267" s="18">
        <f>($AG267-$P267)*grid_tonnes_mt</f>
        <v/>
      </c>
    </row>
    <row r="268">
      <c r="A268" s="7" t="inlineStr">
        <is>
          <t>first_eligible_long_lane</t>
        </is>
      </c>
      <c r="B268" s="11" t="n">
        <v>44624</v>
      </c>
      <c r="C268" s="7" t="inlineStr">
        <is>
          <t>zorba</t>
        </is>
      </c>
      <c r="D268" s="7" t="inlineStr">
        <is>
          <t>USEC_MUN</t>
        </is>
      </c>
      <c r="E268" s="20" t="n">
        <v>5</v>
      </c>
      <c r="F268" s="7" t="n">
        <v>82</v>
      </c>
      <c r="G268" s="17" t="b">
        <v>0</v>
      </c>
      <c r="H268" s="8">
        <f>1+$E268/100</f>
        <v/>
      </c>
      <c r="I268" s="8">
        <f>$F268/Parity!$H$55</f>
        <v/>
      </c>
      <c r="J268" s="16">
        <f>Parity!$F$55*$H268</f>
        <v/>
      </c>
      <c r="K268" s="8">
        <f>Parity!$I$55*$I268</f>
        <v/>
      </c>
      <c r="L268" s="8">
        <f>Parity!$J$55*$I268</f>
        <v/>
      </c>
      <c r="M268" s="16">
        <f>(Market_Weekly!$K$14-mcx_domestic_premium_inr_kg)*$H268*$I268+mcx_domestic_premium_inr_kg</f>
        <v/>
      </c>
      <c r="N268" s="15">
        <f>Parity!$N$55/Market_Weekly!$K$14</f>
        <v/>
      </c>
      <c r="O268" s="16">
        <f>$M268*$N268</f>
        <v/>
      </c>
      <c r="P268" s="18">
        <f>Parity!$AY$55</f>
        <v/>
      </c>
      <c r="Q268" s="16">
        <f>$J268*Parity!$P$55</f>
        <v/>
      </c>
      <c r="R268" s="16">
        <f>Parity!$L$55*Parity!$AG$55</f>
        <v/>
      </c>
      <c r="S268" s="16">
        <f>$Q268-$R268</f>
        <v/>
      </c>
      <c r="T268" s="16">
        <f>insurance_rate*insured_value_uplift*$Q268</f>
        <v/>
      </c>
      <c r="U268" s="16">
        <f>$Q268+$T268</f>
        <v/>
      </c>
      <c r="V268" s="18">
        <f>$U268*$L268</f>
        <v/>
      </c>
      <c r="W268" s="18">
        <f>$U268*$K268</f>
        <v/>
      </c>
      <c r="X268" s="18">
        <f>$V268*bcd_scrap_hs7602</f>
        <v/>
      </c>
      <c r="Y268" s="18">
        <f>$X268*sws_rate_on_bcd</f>
        <v/>
      </c>
      <c r="Z268" s="18">
        <f>($V268+$X268+$Y268)*igst_rate_hs7602</f>
        <v/>
      </c>
      <c r="AA268" s="18">
        <f>Parity!$X$55*Parity!$AG$55+IF(Parity!$Y$55,psic_cost_usd_per_box*$F268/Parity!$W$55,0)</f>
        <v/>
      </c>
      <c r="AB268" s="18">
        <f>($W268+$X268+$Y268)*Parity!$Z$55/day_count_inr*Parity!$O$55</f>
        <v/>
      </c>
      <c r="AC268" s="18">
        <f>$Z268*igst_credit_lag_days/day_count_inr*Parity!$O$55</f>
        <v/>
      </c>
      <c r="AD268" s="18">
        <f>$W268+$X268+$Y268+$AA268+$AB268+$AC268+IF(igst_itc_available,0,$Z268)</f>
        <v/>
      </c>
      <c r="AE268" s="18">
        <f>$O268*kg_per_mt+domestic_anchor_premium_inr_t</f>
        <v/>
      </c>
      <c r="AF268" s="18">
        <f>(1-Parity!$AA$55)*Parity!$AD$55*heavies_net_value_frac_of_lme_al*$J268*$F268</f>
        <v/>
      </c>
      <c r="AG268" s="18">
        <f>$AE268*Parity!$AU$55+$AF268-$AD268-Parity!$AX$55</f>
        <v/>
      </c>
      <c r="AH268" s="8">
        <f>$AG268&gt;margin_threshold_inr_t</f>
        <v/>
      </c>
      <c r="AI268" s="18">
        <f>($AG268-$P268)*grid_tonnes_mt</f>
        <v/>
      </c>
    </row>
    <row r="269">
      <c r="A269" s="7" t="inlineStr">
        <is>
          <t>first_eligible_long_lane</t>
        </is>
      </c>
      <c r="B269" s="11" t="n">
        <v>44624</v>
      </c>
      <c r="C269" s="7" t="inlineStr">
        <is>
          <t>zorba</t>
        </is>
      </c>
      <c r="D269" s="7" t="inlineStr">
        <is>
          <t>USEC_MUN</t>
        </is>
      </c>
      <c r="E269" s="20" t="n">
        <v>10</v>
      </c>
      <c r="F269" s="7" t="n">
        <v>82</v>
      </c>
      <c r="G269" s="17" t="b">
        <v>0</v>
      </c>
      <c r="H269" s="8">
        <f>1+$E269/100</f>
        <v/>
      </c>
      <c r="I269" s="8">
        <f>$F269/Parity!$H$55</f>
        <v/>
      </c>
      <c r="J269" s="16">
        <f>Parity!$F$55*$H269</f>
        <v/>
      </c>
      <c r="K269" s="8">
        <f>Parity!$I$55*$I269</f>
        <v/>
      </c>
      <c r="L269" s="8">
        <f>Parity!$J$55*$I269</f>
        <v/>
      </c>
      <c r="M269" s="16">
        <f>(Market_Weekly!$K$14-mcx_domestic_premium_inr_kg)*$H269*$I269+mcx_domestic_premium_inr_kg</f>
        <v/>
      </c>
      <c r="N269" s="15">
        <f>Parity!$N$55/Market_Weekly!$K$14</f>
        <v/>
      </c>
      <c r="O269" s="16">
        <f>$M269*$N269</f>
        <v/>
      </c>
      <c r="P269" s="18">
        <f>Parity!$AY$55</f>
        <v/>
      </c>
      <c r="Q269" s="16">
        <f>$J269*Parity!$P$55</f>
        <v/>
      </c>
      <c r="R269" s="16">
        <f>Parity!$L$55*Parity!$AG$55</f>
        <v/>
      </c>
      <c r="S269" s="16">
        <f>$Q269-$R269</f>
        <v/>
      </c>
      <c r="T269" s="16">
        <f>insurance_rate*insured_value_uplift*$Q269</f>
        <v/>
      </c>
      <c r="U269" s="16">
        <f>$Q269+$T269</f>
        <v/>
      </c>
      <c r="V269" s="18">
        <f>$U269*$L269</f>
        <v/>
      </c>
      <c r="W269" s="18">
        <f>$U269*$K269</f>
        <v/>
      </c>
      <c r="X269" s="18">
        <f>$V269*bcd_scrap_hs7602</f>
        <v/>
      </c>
      <c r="Y269" s="18">
        <f>$X269*sws_rate_on_bcd</f>
        <v/>
      </c>
      <c r="Z269" s="18">
        <f>($V269+$X269+$Y269)*igst_rate_hs7602</f>
        <v/>
      </c>
      <c r="AA269" s="18">
        <f>Parity!$X$55*Parity!$AG$55+IF(Parity!$Y$55,psic_cost_usd_per_box*$F269/Parity!$W$55,0)</f>
        <v/>
      </c>
      <c r="AB269" s="18">
        <f>($W269+$X269+$Y269)*Parity!$Z$55/day_count_inr*Parity!$O$55</f>
        <v/>
      </c>
      <c r="AC269" s="18">
        <f>$Z269*igst_credit_lag_days/day_count_inr*Parity!$O$55</f>
        <v/>
      </c>
      <c r="AD269" s="18">
        <f>$W269+$X269+$Y269+$AA269+$AB269+$AC269+IF(igst_itc_available,0,$Z269)</f>
        <v/>
      </c>
      <c r="AE269" s="18">
        <f>$O269*kg_per_mt+domestic_anchor_premium_inr_t</f>
        <v/>
      </c>
      <c r="AF269" s="18">
        <f>(1-Parity!$AA$55)*Parity!$AD$55*heavies_net_value_frac_of_lme_al*$J269*$F269</f>
        <v/>
      </c>
      <c r="AG269" s="18">
        <f>$AE269*Parity!$AU$55+$AF269-$AD269-Parity!$AX$55</f>
        <v/>
      </c>
      <c r="AH269" s="8">
        <f>$AG269&gt;margin_threshold_inr_t</f>
        <v/>
      </c>
      <c r="AI269" s="18">
        <f>($AG269-$P269)*grid_tonnes_mt</f>
        <v/>
      </c>
    </row>
    <row r="270">
      <c r="A270" s="7" t="inlineStr">
        <is>
          <t>first_eligible_long_lane</t>
        </is>
      </c>
      <c r="B270" s="11" t="n">
        <v>44624</v>
      </c>
      <c r="C270" s="7" t="inlineStr">
        <is>
          <t>zorba</t>
        </is>
      </c>
      <c r="D270" s="7" t="inlineStr">
        <is>
          <t>USEC_MUN</t>
        </is>
      </c>
      <c r="E270" s="20" t="n">
        <v>-30</v>
      </c>
      <c r="F270" s="7" t="n">
        <v>76.34310000000001</v>
      </c>
      <c r="G270" s="17" t="b">
        <v>1</v>
      </c>
      <c r="H270" s="8">
        <f>1+$E270/100</f>
        <v/>
      </c>
      <c r="I270" s="8">
        <f>$F270/Parity!$H$55</f>
        <v/>
      </c>
      <c r="J270" s="16">
        <f>Parity!$F$55*$H270</f>
        <v/>
      </c>
      <c r="K270" s="8">
        <f>Parity!$I$55*$I270</f>
        <v/>
      </c>
      <c r="L270" s="8">
        <f>Parity!$J$55*$I270</f>
        <v/>
      </c>
      <c r="M270" s="16">
        <f>(Market_Weekly!$K$14-mcx_domestic_premium_inr_kg)*$H270*$I270+mcx_domestic_premium_inr_kg</f>
        <v/>
      </c>
      <c r="N270" s="15">
        <f>Parity!$N$55/Market_Weekly!$K$14</f>
        <v/>
      </c>
      <c r="O270" s="16">
        <f>$M270*$N270</f>
        <v/>
      </c>
      <c r="P270" s="18">
        <f>Parity!$AY$55</f>
        <v/>
      </c>
      <c r="Q270" s="16">
        <f>$J270*Parity!$P$55</f>
        <v/>
      </c>
      <c r="R270" s="16">
        <f>Parity!$L$55*Parity!$AG$55</f>
        <v/>
      </c>
      <c r="S270" s="16">
        <f>$Q270-$R270</f>
        <v/>
      </c>
      <c r="T270" s="16">
        <f>insurance_rate*insured_value_uplift*$Q270</f>
        <v/>
      </c>
      <c r="U270" s="16">
        <f>$Q270+$T270</f>
        <v/>
      </c>
      <c r="V270" s="18">
        <f>$U270*$L270</f>
        <v/>
      </c>
      <c r="W270" s="18">
        <f>$U270*$K270</f>
        <v/>
      </c>
      <c r="X270" s="18">
        <f>$V270*bcd_scrap_hs7602</f>
        <v/>
      </c>
      <c r="Y270" s="18">
        <f>$X270*sws_rate_on_bcd</f>
        <v/>
      </c>
      <c r="Z270" s="18">
        <f>($V270+$X270+$Y270)*igst_rate_hs7602</f>
        <v/>
      </c>
      <c r="AA270" s="18">
        <f>Parity!$X$55*Parity!$AG$55+IF(Parity!$Y$55,psic_cost_usd_per_box*$F270/Parity!$W$55,0)</f>
        <v/>
      </c>
      <c r="AB270" s="18">
        <f>($W270+$X270+$Y270)*Parity!$Z$55/day_count_inr*Parity!$O$55</f>
        <v/>
      </c>
      <c r="AC270" s="18">
        <f>$Z270*igst_credit_lag_days/day_count_inr*Parity!$O$55</f>
        <v/>
      </c>
      <c r="AD270" s="18">
        <f>$W270+$X270+$Y270+$AA270+$AB270+$AC270+IF(igst_itc_available,0,$Z270)</f>
        <v/>
      </c>
      <c r="AE270" s="18">
        <f>$O270*kg_per_mt+domestic_anchor_premium_inr_t</f>
        <v/>
      </c>
      <c r="AF270" s="18">
        <f>(1-Parity!$AA$55)*Parity!$AD$55*heavies_net_value_frac_of_lme_al*$J270*$F270</f>
        <v/>
      </c>
      <c r="AG270" s="18">
        <f>$AE270*Parity!$AU$55+$AF270-$AD270-Parity!$AX$55</f>
        <v/>
      </c>
      <c r="AH270" s="8">
        <f>$AG270&gt;margin_threshold_inr_t</f>
        <v/>
      </c>
      <c r="AI270" s="18">
        <f>($AG270-$P270)*grid_tonnes_mt</f>
        <v/>
      </c>
    </row>
    <row r="271">
      <c r="A271" s="7" t="inlineStr">
        <is>
          <t>first_eligible_long_lane</t>
        </is>
      </c>
      <c r="B271" s="11" t="n">
        <v>44624</v>
      </c>
      <c r="C271" s="7" t="inlineStr">
        <is>
          <t>zorba</t>
        </is>
      </c>
      <c r="D271" s="7" t="inlineStr">
        <is>
          <t>USEC_MUN</t>
        </is>
      </c>
      <c r="E271" s="20" t="n">
        <v>-25</v>
      </c>
      <c r="F271" s="7" t="n">
        <v>76.34310000000001</v>
      </c>
      <c r="G271" s="17" t="b">
        <v>1</v>
      </c>
      <c r="H271" s="8">
        <f>1+$E271/100</f>
        <v/>
      </c>
      <c r="I271" s="8">
        <f>$F271/Parity!$H$55</f>
        <v/>
      </c>
      <c r="J271" s="16">
        <f>Parity!$F$55*$H271</f>
        <v/>
      </c>
      <c r="K271" s="8">
        <f>Parity!$I$55*$I271</f>
        <v/>
      </c>
      <c r="L271" s="8">
        <f>Parity!$J$55*$I271</f>
        <v/>
      </c>
      <c r="M271" s="16">
        <f>(Market_Weekly!$K$14-mcx_domestic_premium_inr_kg)*$H271*$I271+mcx_domestic_premium_inr_kg</f>
        <v/>
      </c>
      <c r="N271" s="15">
        <f>Parity!$N$55/Market_Weekly!$K$14</f>
        <v/>
      </c>
      <c r="O271" s="16">
        <f>$M271*$N271</f>
        <v/>
      </c>
      <c r="P271" s="18">
        <f>Parity!$AY$55</f>
        <v/>
      </c>
      <c r="Q271" s="16">
        <f>$J271*Parity!$P$55</f>
        <v/>
      </c>
      <c r="R271" s="16">
        <f>Parity!$L$55*Parity!$AG$55</f>
        <v/>
      </c>
      <c r="S271" s="16">
        <f>$Q271-$R271</f>
        <v/>
      </c>
      <c r="T271" s="16">
        <f>insurance_rate*insured_value_uplift*$Q271</f>
        <v/>
      </c>
      <c r="U271" s="16">
        <f>$Q271+$T271</f>
        <v/>
      </c>
      <c r="V271" s="18">
        <f>$U271*$L271</f>
        <v/>
      </c>
      <c r="W271" s="18">
        <f>$U271*$K271</f>
        <v/>
      </c>
      <c r="X271" s="18">
        <f>$V271*bcd_scrap_hs7602</f>
        <v/>
      </c>
      <c r="Y271" s="18">
        <f>$X271*sws_rate_on_bcd</f>
        <v/>
      </c>
      <c r="Z271" s="18">
        <f>($V271+$X271+$Y271)*igst_rate_hs7602</f>
        <v/>
      </c>
      <c r="AA271" s="18">
        <f>Parity!$X$55*Parity!$AG$55+IF(Parity!$Y$55,psic_cost_usd_per_box*$F271/Parity!$W$55,0)</f>
        <v/>
      </c>
      <c r="AB271" s="18">
        <f>($W271+$X271+$Y271)*Parity!$Z$55/day_count_inr*Parity!$O$55</f>
        <v/>
      </c>
      <c r="AC271" s="18">
        <f>$Z271*igst_credit_lag_days/day_count_inr*Parity!$O$55</f>
        <v/>
      </c>
      <c r="AD271" s="18">
        <f>$W271+$X271+$Y271+$AA271+$AB271+$AC271+IF(igst_itc_available,0,$Z271)</f>
        <v/>
      </c>
      <c r="AE271" s="18">
        <f>$O271*kg_per_mt+domestic_anchor_premium_inr_t</f>
        <v/>
      </c>
      <c r="AF271" s="18">
        <f>(1-Parity!$AA$55)*Parity!$AD$55*heavies_net_value_frac_of_lme_al*$J271*$F271</f>
        <v/>
      </c>
      <c r="AG271" s="18">
        <f>$AE271*Parity!$AU$55+$AF271-$AD271-Parity!$AX$55</f>
        <v/>
      </c>
      <c r="AH271" s="8">
        <f>$AG271&gt;margin_threshold_inr_t</f>
        <v/>
      </c>
      <c r="AI271" s="18">
        <f>($AG271-$P271)*grid_tonnes_mt</f>
        <v/>
      </c>
    </row>
    <row r="272">
      <c r="A272" s="7" t="inlineStr">
        <is>
          <t>first_eligible_long_lane</t>
        </is>
      </c>
      <c r="B272" s="11" t="n">
        <v>44624</v>
      </c>
      <c r="C272" s="7" t="inlineStr">
        <is>
          <t>zorba</t>
        </is>
      </c>
      <c r="D272" s="7" t="inlineStr">
        <is>
          <t>USEC_MUN</t>
        </is>
      </c>
      <c r="E272" s="20" t="n">
        <v>-20</v>
      </c>
      <c r="F272" s="7" t="n">
        <v>76.34310000000001</v>
      </c>
      <c r="G272" s="17" t="b">
        <v>1</v>
      </c>
      <c r="H272" s="8">
        <f>1+$E272/100</f>
        <v/>
      </c>
      <c r="I272" s="8">
        <f>$F272/Parity!$H$55</f>
        <v/>
      </c>
      <c r="J272" s="16">
        <f>Parity!$F$55*$H272</f>
        <v/>
      </c>
      <c r="K272" s="8">
        <f>Parity!$I$55*$I272</f>
        <v/>
      </c>
      <c r="L272" s="8">
        <f>Parity!$J$55*$I272</f>
        <v/>
      </c>
      <c r="M272" s="16">
        <f>(Market_Weekly!$K$14-mcx_domestic_premium_inr_kg)*$H272*$I272+mcx_domestic_premium_inr_kg</f>
        <v/>
      </c>
      <c r="N272" s="15">
        <f>Parity!$N$55/Market_Weekly!$K$14</f>
        <v/>
      </c>
      <c r="O272" s="16">
        <f>$M272*$N272</f>
        <v/>
      </c>
      <c r="P272" s="18">
        <f>Parity!$AY$55</f>
        <v/>
      </c>
      <c r="Q272" s="16">
        <f>$J272*Parity!$P$55</f>
        <v/>
      </c>
      <c r="R272" s="16">
        <f>Parity!$L$55*Parity!$AG$55</f>
        <v/>
      </c>
      <c r="S272" s="16">
        <f>$Q272-$R272</f>
        <v/>
      </c>
      <c r="T272" s="16">
        <f>insurance_rate*insured_value_uplift*$Q272</f>
        <v/>
      </c>
      <c r="U272" s="16">
        <f>$Q272+$T272</f>
        <v/>
      </c>
      <c r="V272" s="18">
        <f>$U272*$L272</f>
        <v/>
      </c>
      <c r="W272" s="18">
        <f>$U272*$K272</f>
        <v/>
      </c>
      <c r="X272" s="18">
        <f>$V272*bcd_scrap_hs7602</f>
        <v/>
      </c>
      <c r="Y272" s="18">
        <f>$X272*sws_rate_on_bcd</f>
        <v/>
      </c>
      <c r="Z272" s="18">
        <f>($V272+$X272+$Y272)*igst_rate_hs7602</f>
        <v/>
      </c>
      <c r="AA272" s="18">
        <f>Parity!$X$55*Parity!$AG$55+IF(Parity!$Y$55,psic_cost_usd_per_box*$F272/Parity!$W$55,0)</f>
        <v/>
      </c>
      <c r="AB272" s="18">
        <f>($W272+$X272+$Y272)*Parity!$Z$55/day_count_inr*Parity!$O$55</f>
        <v/>
      </c>
      <c r="AC272" s="18">
        <f>$Z272*igst_credit_lag_days/day_count_inr*Parity!$O$55</f>
        <v/>
      </c>
      <c r="AD272" s="18">
        <f>$W272+$X272+$Y272+$AA272+$AB272+$AC272+IF(igst_itc_available,0,$Z272)</f>
        <v/>
      </c>
      <c r="AE272" s="18">
        <f>$O272*kg_per_mt+domestic_anchor_premium_inr_t</f>
        <v/>
      </c>
      <c r="AF272" s="18">
        <f>(1-Parity!$AA$55)*Parity!$AD$55*heavies_net_value_frac_of_lme_al*$J272*$F272</f>
        <v/>
      </c>
      <c r="AG272" s="18">
        <f>$AE272*Parity!$AU$55+$AF272-$AD272-Parity!$AX$55</f>
        <v/>
      </c>
      <c r="AH272" s="8">
        <f>$AG272&gt;margin_threshold_inr_t</f>
        <v/>
      </c>
      <c r="AI272" s="18">
        <f>($AG272-$P272)*grid_tonnes_mt</f>
        <v/>
      </c>
    </row>
    <row r="273">
      <c r="A273" s="7" t="inlineStr">
        <is>
          <t>first_eligible_long_lane</t>
        </is>
      </c>
      <c r="B273" s="11" t="n">
        <v>44624</v>
      </c>
      <c r="C273" s="7" t="inlineStr">
        <is>
          <t>zorba</t>
        </is>
      </c>
      <c r="D273" s="7" t="inlineStr">
        <is>
          <t>USEC_MUN</t>
        </is>
      </c>
      <c r="E273" s="20" t="n">
        <v>-15</v>
      </c>
      <c r="F273" s="7" t="n">
        <v>76.34310000000001</v>
      </c>
      <c r="G273" s="17" t="b">
        <v>1</v>
      </c>
      <c r="H273" s="8">
        <f>1+$E273/100</f>
        <v/>
      </c>
      <c r="I273" s="8">
        <f>$F273/Parity!$H$55</f>
        <v/>
      </c>
      <c r="J273" s="16">
        <f>Parity!$F$55*$H273</f>
        <v/>
      </c>
      <c r="K273" s="8">
        <f>Parity!$I$55*$I273</f>
        <v/>
      </c>
      <c r="L273" s="8">
        <f>Parity!$J$55*$I273</f>
        <v/>
      </c>
      <c r="M273" s="16">
        <f>(Market_Weekly!$K$14-mcx_domestic_premium_inr_kg)*$H273*$I273+mcx_domestic_premium_inr_kg</f>
        <v/>
      </c>
      <c r="N273" s="15">
        <f>Parity!$N$55/Market_Weekly!$K$14</f>
        <v/>
      </c>
      <c r="O273" s="16">
        <f>$M273*$N273</f>
        <v/>
      </c>
      <c r="P273" s="18">
        <f>Parity!$AY$55</f>
        <v/>
      </c>
      <c r="Q273" s="16">
        <f>$J273*Parity!$P$55</f>
        <v/>
      </c>
      <c r="R273" s="16">
        <f>Parity!$L$55*Parity!$AG$55</f>
        <v/>
      </c>
      <c r="S273" s="16">
        <f>$Q273-$R273</f>
        <v/>
      </c>
      <c r="T273" s="16">
        <f>insurance_rate*insured_value_uplift*$Q273</f>
        <v/>
      </c>
      <c r="U273" s="16">
        <f>$Q273+$T273</f>
        <v/>
      </c>
      <c r="V273" s="18">
        <f>$U273*$L273</f>
        <v/>
      </c>
      <c r="W273" s="18">
        <f>$U273*$K273</f>
        <v/>
      </c>
      <c r="X273" s="18">
        <f>$V273*bcd_scrap_hs7602</f>
        <v/>
      </c>
      <c r="Y273" s="18">
        <f>$X273*sws_rate_on_bcd</f>
        <v/>
      </c>
      <c r="Z273" s="18">
        <f>($V273+$X273+$Y273)*igst_rate_hs7602</f>
        <v/>
      </c>
      <c r="AA273" s="18">
        <f>Parity!$X$55*Parity!$AG$55+IF(Parity!$Y$55,psic_cost_usd_per_box*$F273/Parity!$W$55,0)</f>
        <v/>
      </c>
      <c r="AB273" s="18">
        <f>($W273+$X273+$Y273)*Parity!$Z$55/day_count_inr*Parity!$O$55</f>
        <v/>
      </c>
      <c r="AC273" s="18">
        <f>$Z273*igst_credit_lag_days/day_count_inr*Parity!$O$55</f>
        <v/>
      </c>
      <c r="AD273" s="18">
        <f>$W273+$X273+$Y273+$AA273+$AB273+$AC273+IF(igst_itc_available,0,$Z273)</f>
        <v/>
      </c>
      <c r="AE273" s="18">
        <f>$O273*kg_per_mt+domestic_anchor_premium_inr_t</f>
        <v/>
      </c>
      <c r="AF273" s="18">
        <f>(1-Parity!$AA$55)*Parity!$AD$55*heavies_net_value_frac_of_lme_al*$J273*$F273</f>
        <v/>
      </c>
      <c r="AG273" s="18">
        <f>$AE273*Parity!$AU$55+$AF273-$AD273-Parity!$AX$55</f>
        <v/>
      </c>
      <c r="AH273" s="8">
        <f>$AG273&gt;margin_threshold_inr_t</f>
        <v/>
      </c>
      <c r="AI273" s="18">
        <f>($AG273-$P273)*grid_tonnes_mt</f>
        <v/>
      </c>
    </row>
    <row r="274">
      <c r="A274" s="7" t="inlineStr">
        <is>
          <t>first_eligible_long_lane</t>
        </is>
      </c>
      <c r="B274" s="11" t="n">
        <v>44624</v>
      </c>
      <c r="C274" s="7" t="inlineStr">
        <is>
          <t>zorba</t>
        </is>
      </c>
      <c r="D274" s="7" t="inlineStr">
        <is>
          <t>USEC_MUN</t>
        </is>
      </c>
      <c r="E274" s="20" t="n">
        <v>-10</v>
      </c>
      <c r="F274" s="7" t="n">
        <v>76.34310000000001</v>
      </c>
      <c r="G274" s="17" t="b">
        <v>1</v>
      </c>
      <c r="H274" s="8">
        <f>1+$E274/100</f>
        <v/>
      </c>
      <c r="I274" s="8">
        <f>$F274/Parity!$H$55</f>
        <v/>
      </c>
      <c r="J274" s="16">
        <f>Parity!$F$55*$H274</f>
        <v/>
      </c>
      <c r="K274" s="8">
        <f>Parity!$I$55*$I274</f>
        <v/>
      </c>
      <c r="L274" s="8">
        <f>Parity!$J$55*$I274</f>
        <v/>
      </c>
      <c r="M274" s="16">
        <f>(Market_Weekly!$K$14-mcx_domestic_premium_inr_kg)*$H274*$I274+mcx_domestic_premium_inr_kg</f>
        <v/>
      </c>
      <c r="N274" s="15">
        <f>Parity!$N$55/Market_Weekly!$K$14</f>
        <v/>
      </c>
      <c r="O274" s="16">
        <f>$M274*$N274</f>
        <v/>
      </c>
      <c r="P274" s="18">
        <f>Parity!$AY$55</f>
        <v/>
      </c>
      <c r="Q274" s="16">
        <f>$J274*Parity!$P$55</f>
        <v/>
      </c>
      <c r="R274" s="16">
        <f>Parity!$L$55*Parity!$AG$55</f>
        <v/>
      </c>
      <c r="S274" s="16">
        <f>$Q274-$R274</f>
        <v/>
      </c>
      <c r="T274" s="16">
        <f>insurance_rate*insured_value_uplift*$Q274</f>
        <v/>
      </c>
      <c r="U274" s="16">
        <f>$Q274+$T274</f>
        <v/>
      </c>
      <c r="V274" s="18">
        <f>$U274*$L274</f>
        <v/>
      </c>
      <c r="W274" s="18">
        <f>$U274*$K274</f>
        <v/>
      </c>
      <c r="X274" s="18">
        <f>$V274*bcd_scrap_hs7602</f>
        <v/>
      </c>
      <c r="Y274" s="18">
        <f>$X274*sws_rate_on_bcd</f>
        <v/>
      </c>
      <c r="Z274" s="18">
        <f>($V274+$X274+$Y274)*igst_rate_hs7602</f>
        <v/>
      </c>
      <c r="AA274" s="18">
        <f>Parity!$X$55*Parity!$AG$55+IF(Parity!$Y$55,psic_cost_usd_per_box*$F274/Parity!$W$55,0)</f>
        <v/>
      </c>
      <c r="AB274" s="18">
        <f>($W274+$X274+$Y274)*Parity!$Z$55/day_count_inr*Parity!$O$55</f>
        <v/>
      </c>
      <c r="AC274" s="18">
        <f>$Z274*igst_credit_lag_days/day_count_inr*Parity!$O$55</f>
        <v/>
      </c>
      <c r="AD274" s="18">
        <f>$W274+$X274+$Y274+$AA274+$AB274+$AC274+IF(igst_itc_available,0,$Z274)</f>
        <v/>
      </c>
      <c r="AE274" s="18">
        <f>$O274*kg_per_mt+domestic_anchor_premium_inr_t</f>
        <v/>
      </c>
      <c r="AF274" s="18">
        <f>(1-Parity!$AA$55)*Parity!$AD$55*heavies_net_value_frac_of_lme_al*$J274*$F274</f>
        <v/>
      </c>
      <c r="AG274" s="18">
        <f>$AE274*Parity!$AU$55+$AF274-$AD274-Parity!$AX$55</f>
        <v/>
      </c>
      <c r="AH274" s="8">
        <f>$AG274&gt;margin_threshold_inr_t</f>
        <v/>
      </c>
      <c r="AI274" s="18">
        <f>($AG274-$P274)*grid_tonnes_mt</f>
        <v/>
      </c>
    </row>
    <row r="275">
      <c r="A275" s="7" t="inlineStr">
        <is>
          <t>first_eligible_long_lane</t>
        </is>
      </c>
      <c r="B275" s="11" t="n">
        <v>44624</v>
      </c>
      <c r="C275" s="7" t="inlineStr">
        <is>
          <t>zorba</t>
        </is>
      </c>
      <c r="D275" s="7" t="inlineStr">
        <is>
          <t>USEC_MUN</t>
        </is>
      </c>
      <c r="E275" s="20" t="n">
        <v>-5</v>
      </c>
      <c r="F275" s="7" t="n">
        <v>76.34310000000001</v>
      </c>
      <c r="G275" s="17" t="b">
        <v>1</v>
      </c>
      <c r="H275" s="8">
        <f>1+$E275/100</f>
        <v/>
      </c>
      <c r="I275" s="8">
        <f>$F275/Parity!$H$55</f>
        <v/>
      </c>
      <c r="J275" s="16">
        <f>Parity!$F$55*$H275</f>
        <v/>
      </c>
      <c r="K275" s="8">
        <f>Parity!$I$55*$I275</f>
        <v/>
      </c>
      <c r="L275" s="8">
        <f>Parity!$J$55*$I275</f>
        <v/>
      </c>
      <c r="M275" s="16">
        <f>(Market_Weekly!$K$14-mcx_domestic_premium_inr_kg)*$H275*$I275+mcx_domestic_premium_inr_kg</f>
        <v/>
      </c>
      <c r="N275" s="15">
        <f>Parity!$N$55/Market_Weekly!$K$14</f>
        <v/>
      </c>
      <c r="O275" s="16">
        <f>$M275*$N275</f>
        <v/>
      </c>
      <c r="P275" s="18">
        <f>Parity!$AY$55</f>
        <v/>
      </c>
      <c r="Q275" s="16">
        <f>$J275*Parity!$P$55</f>
        <v/>
      </c>
      <c r="R275" s="16">
        <f>Parity!$L$55*Parity!$AG$55</f>
        <v/>
      </c>
      <c r="S275" s="16">
        <f>$Q275-$R275</f>
        <v/>
      </c>
      <c r="T275" s="16">
        <f>insurance_rate*insured_value_uplift*$Q275</f>
        <v/>
      </c>
      <c r="U275" s="16">
        <f>$Q275+$T275</f>
        <v/>
      </c>
      <c r="V275" s="18">
        <f>$U275*$L275</f>
        <v/>
      </c>
      <c r="W275" s="18">
        <f>$U275*$K275</f>
        <v/>
      </c>
      <c r="X275" s="18">
        <f>$V275*bcd_scrap_hs7602</f>
        <v/>
      </c>
      <c r="Y275" s="18">
        <f>$X275*sws_rate_on_bcd</f>
        <v/>
      </c>
      <c r="Z275" s="18">
        <f>($V275+$X275+$Y275)*igst_rate_hs7602</f>
        <v/>
      </c>
      <c r="AA275" s="18">
        <f>Parity!$X$55*Parity!$AG$55+IF(Parity!$Y$55,psic_cost_usd_per_box*$F275/Parity!$W$55,0)</f>
        <v/>
      </c>
      <c r="AB275" s="18">
        <f>($W275+$X275+$Y275)*Parity!$Z$55/day_count_inr*Parity!$O$55</f>
        <v/>
      </c>
      <c r="AC275" s="18">
        <f>$Z275*igst_credit_lag_days/day_count_inr*Parity!$O$55</f>
        <v/>
      </c>
      <c r="AD275" s="18">
        <f>$W275+$X275+$Y275+$AA275+$AB275+$AC275+IF(igst_itc_available,0,$Z275)</f>
        <v/>
      </c>
      <c r="AE275" s="18">
        <f>$O275*kg_per_mt+domestic_anchor_premium_inr_t</f>
        <v/>
      </c>
      <c r="AF275" s="18">
        <f>(1-Parity!$AA$55)*Parity!$AD$55*heavies_net_value_frac_of_lme_al*$J275*$F275</f>
        <v/>
      </c>
      <c r="AG275" s="18">
        <f>$AE275*Parity!$AU$55+$AF275-$AD275-Parity!$AX$55</f>
        <v/>
      </c>
      <c r="AH275" s="8">
        <f>$AG275&gt;margin_threshold_inr_t</f>
        <v/>
      </c>
      <c r="AI275" s="18">
        <f>($AG275-$P275)*grid_tonnes_mt</f>
        <v/>
      </c>
    </row>
    <row r="276">
      <c r="A276" s="7" t="inlineStr">
        <is>
          <t>first_eligible_long_lane</t>
        </is>
      </c>
      <c r="B276" s="11" t="n">
        <v>44624</v>
      </c>
      <c r="C276" s="7" t="inlineStr">
        <is>
          <t>zorba</t>
        </is>
      </c>
      <c r="D276" s="7" t="inlineStr">
        <is>
          <t>USEC_MUN</t>
        </is>
      </c>
      <c r="E276" s="20" t="n">
        <v>0</v>
      </c>
      <c r="F276" s="7" t="n">
        <v>76.34310000000001</v>
      </c>
      <c r="G276" s="17" t="b">
        <v>1</v>
      </c>
      <c r="H276" s="8">
        <f>1+$E276/100</f>
        <v/>
      </c>
      <c r="I276" s="8">
        <f>$F276/Parity!$H$55</f>
        <v/>
      </c>
      <c r="J276" s="16">
        <f>Parity!$F$55*$H276</f>
        <v/>
      </c>
      <c r="K276" s="8">
        <f>Parity!$I$55*$I276</f>
        <v/>
      </c>
      <c r="L276" s="8">
        <f>Parity!$J$55*$I276</f>
        <v/>
      </c>
      <c r="M276" s="16">
        <f>(Market_Weekly!$K$14-mcx_domestic_premium_inr_kg)*$H276*$I276+mcx_domestic_premium_inr_kg</f>
        <v/>
      </c>
      <c r="N276" s="15">
        <f>Parity!$N$55/Market_Weekly!$K$14</f>
        <v/>
      </c>
      <c r="O276" s="16">
        <f>$M276*$N276</f>
        <v/>
      </c>
      <c r="P276" s="18">
        <f>Parity!$AY$55</f>
        <v/>
      </c>
      <c r="Q276" s="16">
        <f>$J276*Parity!$P$55</f>
        <v/>
      </c>
      <c r="R276" s="16">
        <f>Parity!$L$55*Parity!$AG$55</f>
        <v/>
      </c>
      <c r="S276" s="16">
        <f>$Q276-$R276</f>
        <v/>
      </c>
      <c r="T276" s="16">
        <f>insurance_rate*insured_value_uplift*$Q276</f>
        <v/>
      </c>
      <c r="U276" s="16">
        <f>$Q276+$T276</f>
        <v/>
      </c>
      <c r="V276" s="18">
        <f>$U276*$L276</f>
        <v/>
      </c>
      <c r="W276" s="18">
        <f>$U276*$K276</f>
        <v/>
      </c>
      <c r="X276" s="18">
        <f>$V276*bcd_scrap_hs7602</f>
        <v/>
      </c>
      <c r="Y276" s="18">
        <f>$X276*sws_rate_on_bcd</f>
        <v/>
      </c>
      <c r="Z276" s="18">
        <f>($V276+$X276+$Y276)*igst_rate_hs7602</f>
        <v/>
      </c>
      <c r="AA276" s="18">
        <f>Parity!$X$55*Parity!$AG$55+IF(Parity!$Y$55,psic_cost_usd_per_box*$F276/Parity!$W$55,0)</f>
        <v/>
      </c>
      <c r="AB276" s="18">
        <f>($W276+$X276+$Y276)*Parity!$Z$55/day_count_inr*Parity!$O$55</f>
        <v/>
      </c>
      <c r="AC276" s="18">
        <f>$Z276*igst_credit_lag_days/day_count_inr*Parity!$O$55</f>
        <v/>
      </c>
      <c r="AD276" s="18">
        <f>$W276+$X276+$Y276+$AA276+$AB276+$AC276+IF(igst_itc_available,0,$Z276)</f>
        <v/>
      </c>
      <c r="AE276" s="18">
        <f>$O276*kg_per_mt+domestic_anchor_premium_inr_t</f>
        <v/>
      </c>
      <c r="AF276" s="18">
        <f>(1-Parity!$AA$55)*Parity!$AD$55*heavies_net_value_frac_of_lme_al*$J276*$F276</f>
        <v/>
      </c>
      <c r="AG276" s="18">
        <f>$AE276*Parity!$AU$55+$AF276-$AD276-Parity!$AX$55</f>
        <v/>
      </c>
      <c r="AH276" s="8">
        <f>$AG276&gt;margin_threshold_inr_t</f>
        <v/>
      </c>
      <c r="AI276" s="18">
        <f>($AG276-$P276)*grid_tonnes_mt</f>
        <v/>
      </c>
    </row>
    <row r="277">
      <c r="A277" s="7" t="inlineStr">
        <is>
          <t>first_eligible_long_lane</t>
        </is>
      </c>
      <c r="B277" s="11" t="n">
        <v>44624</v>
      </c>
      <c r="C277" s="7" t="inlineStr">
        <is>
          <t>zorba</t>
        </is>
      </c>
      <c r="D277" s="7" t="inlineStr">
        <is>
          <t>USEC_MUN</t>
        </is>
      </c>
      <c r="E277" s="20" t="n">
        <v>5</v>
      </c>
      <c r="F277" s="7" t="n">
        <v>76.34310000000001</v>
      </c>
      <c r="G277" s="17" t="b">
        <v>1</v>
      </c>
      <c r="H277" s="8">
        <f>1+$E277/100</f>
        <v/>
      </c>
      <c r="I277" s="8">
        <f>$F277/Parity!$H$55</f>
        <v/>
      </c>
      <c r="J277" s="16">
        <f>Parity!$F$55*$H277</f>
        <v/>
      </c>
      <c r="K277" s="8">
        <f>Parity!$I$55*$I277</f>
        <v/>
      </c>
      <c r="L277" s="8">
        <f>Parity!$J$55*$I277</f>
        <v/>
      </c>
      <c r="M277" s="16">
        <f>(Market_Weekly!$K$14-mcx_domestic_premium_inr_kg)*$H277*$I277+mcx_domestic_premium_inr_kg</f>
        <v/>
      </c>
      <c r="N277" s="15">
        <f>Parity!$N$55/Market_Weekly!$K$14</f>
        <v/>
      </c>
      <c r="O277" s="16">
        <f>$M277*$N277</f>
        <v/>
      </c>
      <c r="P277" s="18">
        <f>Parity!$AY$55</f>
        <v/>
      </c>
      <c r="Q277" s="16">
        <f>$J277*Parity!$P$55</f>
        <v/>
      </c>
      <c r="R277" s="16">
        <f>Parity!$L$55*Parity!$AG$55</f>
        <v/>
      </c>
      <c r="S277" s="16">
        <f>$Q277-$R277</f>
        <v/>
      </c>
      <c r="T277" s="16">
        <f>insurance_rate*insured_value_uplift*$Q277</f>
        <v/>
      </c>
      <c r="U277" s="16">
        <f>$Q277+$T277</f>
        <v/>
      </c>
      <c r="V277" s="18">
        <f>$U277*$L277</f>
        <v/>
      </c>
      <c r="W277" s="18">
        <f>$U277*$K277</f>
        <v/>
      </c>
      <c r="X277" s="18">
        <f>$V277*bcd_scrap_hs7602</f>
        <v/>
      </c>
      <c r="Y277" s="18">
        <f>$X277*sws_rate_on_bcd</f>
        <v/>
      </c>
      <c r="Z277" s="18">
        <f>($V277+$X277+$Y277)*igst_rate_hs7602</f>
        <v/>
      </c>
      <c r="AA277" s="18">
        <f>Parity!$X$55*Parity!$AG$55+IF(Parity!$Y$55,psic_cost_usd_per_box*$F277/Parity!$W$55,0)</f>
        <v/>
      </c>
      <c r="AB277" s="18">
        <f>($W277+$X277+$Y277)*Parity!$Z$55/day_count_inr*Parity!$O$55</f>
        <v/>
      </c>
      <c r="AC277" s="18">
        <f>$Z277*igst_credit_lag_days/day_count_inr*Parity!$O$55</f>
        <v/>
      </c>
      <c r="AD277" s="18">
        <f>$W277+$X277+$Y277+$AA277+$AB277+$AC277+IF(igst_itc_available,0,$Z277)</f>
        <v/>
      </c>
      <c r="AE277" s="18">
        <f>$O277*kg_per_mt+domestic_anchor_premium_inr_t</f>
        <v/>
      </c>
      <c r="AF277" s="18">
        <f>(1-Parity!$AA$55)*Parity!$AD$55*heavies_net_value_frac_of_lme_al*$J277*$F277</f>
        <v/>
      </c>
      <c r="AG277" s="18">
        <f>$AE277*Parity!$AU$55+$AF277-$AD277-Parity!$AX$55</f>
        <v/>
      </c>
      <c r="AH277" s="8">
        <f>$AG277&gt;margin_threshold_inr_t</f>
        <v/>
      </c>
      <c r="AI277" s="18">
        <f>($AG277-$P277)*grid_tonnes_mt</f>
        <v/>
      </c>
    </row>
    <row r="278">
      <c r="A278" s="7" t="inlineStr">
        <is>
          <t>first_eligible_long_lane</t>
        </is>
      </c>
      <c r="B278" s="11" t="n">
        <v>44624</v>
      </c>
      <c r="C278" s="7" t="inlineStr">
        <is>
          <t>zorba</t>
        </is>
      </c>
      <c r="D278" s="7" t="inlineStr">
        <is>
          <t>USEC_MUN</t>
        </is>
      </c>
      <c r="E278" s="20" t="n">
        <v>10</v>
      </c>
      <c r="F278" s="7" t="n">
        <v>76.34310000000001</v>
      </c>
      <c r="G278" s="17" t="b">
        <v>1</v>
      </c>
      <c r="H278" s="8">
        <f>1+$E278/100</f>
        <v/>
      </c>
      <c r="I278" s="8">
        <f>$F278/Parity!$H$55</f>
        <v/>
      </c>
      <c r="J278" s="16">
        <f>Parity!$F$55*$H278</f>
        <v/>
      </c>
      <c r="K278" s="8">
        <f>Parity!$I$55*$I278</f>
        <v/>
      </c>
      <c r="L278" s="8">
        <f>Parity!$J$55*$I278</f>
        <v/>
      </c>
      <c r="M278" s="16">
        <f>(Market_Weekly!$K$14-mcx_domestic_premium_inr_kg)*$H278*$I278+mcx_domestic_premium_inr_kg</f>
        <v/>
      </c>
      <c r="N278" s="15">
        <f>Parity!$N$55/Market_Weekly!$K$14</f>
        <v/>
      </c>
      <c r="O278" s="16">
        <f>$M278*$N278</f>
        <v/>
      </c>
      <c r="P278" s="18">
        <f>Parity!$AY$55</f>
        <v/>
      </c>
      <c r="Q278" s="16">
        <f>$J278*Parity!$P$55</f>
        <v/>
      </c>
      <c r="R278" s="16">
        <f>Parity!$L$55*Parity!$AG$55</f>
        <v/>
      </c>
      <c r="S278" s="16">
        <f>$Q278-$R278</f>
        <v/>
      </c>
      <c r="T278" s="16">
        <f>insurance_rate*insured_value_uplift*$Q278</f>
        <v/>
      </c>
      <c r="U278" s="16">
        <f>$Q278+$T278</f>
        <v/>
      </c>
      <c r="V278" s="18">
        <f>$U278*$L278</f>
        <v/>
      </c>
      <c r="W278" s="18">
        <f>$U278*$K278</f>
        <v/>
      </c>
      <c r="X278" s="18">
        <f>$V278*bcd_scrap_hs7602</f>
        <v/>
      </c>
      <c r="Y278" s="18">
        <f>$X278*sws_rate_on_bcd</f>
        <v/>
      </c>
      <c r="Z278" s="18">
        <f>($V278+$X278+$Y278)*igst_rate_hs7602</f>
        <v/>
      </c>
      <c r="AA278" s="18">
        <f>Parity!$X$55*Parity!$AG$55+IF(Parity!$Y$55,psic_cost_usd_per_box*$F278/Parity!$W$55,0)</f>
        <v/>
      </c>
      <c r="AB278" s="18">
        <f>($W278+$X278+$Y278)*Parity!$Z$55/day_count_inr*Parity!$O$55</f>
        <v/>
      </c>
      <c r="AC278" s="18">
        <f>$Z278*igst_credit_lag_days/day_count_inr*Parity!$O$55</f>
        <v/>
      </c>
      <c r="AD278" s="18">
        <f>$W278+$X278+$Y278+$AA278+$AB278+$AC278+IF(igst_itc_available,0,$Z278)</f>
        <v/>
      </c>
      <c r="AE278" s="18">
        <f>$O278*kg_per_mt+domestic_anchor_premium_inr_t</f>
        <v/>
      </c>
      <c r="AF278" s="18">
        <f>(1-Parity!$AA$55)*Parity!$AD$55*heavies_net_value_frac_of_lme_al*$J278*$F278</f>
        <v/>
      </c>
      <c r="AG278" s="18">
        <f>$AE278*Parity!$AU$55+$AF278-$AD278-Parity!$AX$55</f>
        <v/>
      </c>
      <c r="AH278" s="8">
        <f>$AG278&gt;margin_threshold_inr_t</f>
        <v/>
      </c>
      <c r="AI278" s="18">
        <f>($AG278-$P278)*grid_tonnes_mt</f>
        <v/>
      </c>
    </row>
    <row r="281">
      <c r="A281" s="4" t="inlineStr">
        <is>
          <t>(b) Freight × import duty (BCD on HS 7602) — Table 1.5(b)</t>
        </is>
      </c>
    </row>
    <row r="282">
      <c r="A282" s="3" t="inlineStr">
        <is>
          <t>freight_shock_pct −40 % … +60 % step 20 %; BCD 0 / 2.5 / 5 / 7.5 / 10 %. FOB = the desk books freight; CFR = the seller books it, so only the duty columns move.</t>
        </is>
      </c>
    </row>
    <row r="284" ht="30" customHeight="1">
      <c r="A284" s="5" t="inlineStr">
        <is>
          <t>ref_case</t>
        </is>
      </c>
      <c r="B284" s="5" t="inlineStr">
        <is>
          <t>week_end</t>
        </is>
      </c>
      <c r="C284" s="5" t="inlineStr">
        <is>
          <t>grade</t>
        </is>
      </c>
      <c r="D284" s="5" t="inlineStr">
        <is>
          <t>lane</t>
        </is>
      </c>
      <c r="E284" s="5" t="inlineStr">
        <is>
          <t>freight_terms</t>
        </is>
      </c>
      <c r="F284" s="5" t="inlineStr">
        <is>
          <t>freight_shock_pct</t>
        </is>
      </c>
      <c r="G284" s="5" t="inlineStr">
        <is>
          <t>bcd_rate_pct</t>
        </is>
      </c>
      <c r="H284" s="5" t="inlineStr">
        <is>
          <t>freight_base_shocked_usd_t</t>
        </is>
      </c>
      <c r="I284" s="5" t="inlineStr">
        <is>
          <t>d_freight_usd_t</t>
        </is>
      </c>
      <c r="J284" s="5" t="inlineStr">
        <is>
          <t>grade_factor_used</t>
        </is>
      </c>
      <c r="K284" s="5" t="inlineStr">
        <is>
          <t>bcd_rate_used</t>
        </is>
      </c>
      <c r="L284" s="5" t="inlineStr">
        <is>
          <t>net_arb_base_inr_t</t>
        </is>
      </c>
      <c r="M284" s="5" t="inlineStr">
        <is>
          <t>cfr_usd_t</t>
        </is>
      </c>
      <c r="N284" s="5" t="inlineStr">
        <is>
          <t>freight_usd_t</t>
        </is>
      </c>
      <c r="O284" s="5" t="inlineStr">
        <is>
          <t>fob_usd_t</t>
        </is>
      </c>
      <c r="P284" s="5" t="inlineStr">
        <is>
          <t>insurance_usd_t</t>
        </is>
      </c>
      <c r="Q284" s="5" t="inlineStr">
        <is>
          <t>cif_usd_t</t>
        </is>
      </c>
      <c r="R284" s="5" t="inlineStr">
        <is>
          <t>av_customs_inr_t</t>
        </is>
      </c>
      <c r="S284" s="5" t="inlineStr">
        <is>
          <t>goods_inr_t</t>
        </is>
      </c>
      <c r="T284" s="5" t="inlineStr">
        <is>
          <t>bcd_inr_t</t>
        </is>
      </c>
      <c r="U284" s="5" t="inlineStr">
        <is>
          <t>sws_inr_t</t>
        </is>
      </c>
      <c r="V284" s="5" t="inlineStr">
        <is>
          <t>igst_inr_t</t>
        </is>
      </c>
      <c r="W284" s="5" t="inlineStr">
        <is>
          <t>port_inr_t</t>
        </is>
      </c>
      <c r="X284" s="5" t="inlineStr">
        <is>
          <t>finance_inr_t</t>
        </is>
      </c>
      <c r="Y284" s="5" t="inlineStr">
        <is>
          <t>igst_finance_inr_t</t>
        </is>
      </c>
      <c r="Z284" s="5" t="inlineStr">
        <is>
          <t>landed_inr_t</t>
        </is>
      </c>
      <c r="AA284" s="5" t="inlineStr">
        <is>
          <t>anchor_inr_t</t>
        </is>
      </c>
      <c r="AB284" s="5" t="inlineStr">
        <is>
          <t>byproduct_inr_t</t>
        </is>
      </c>
      <c r="AC284" s="5" t="inlineStr">
        <is>
          <t>net_arb_shocked_inr_t</t>
        </is>
      </c>
      <c r="AD284" s="5" t="inlineStr">
        <is>
          <t>window_open_shocked</t>
        </is>
      </c>
      <c r="AE284" s="5" t="inlineStr">
        <is>
          <t>pnl_impact_1000mt_inr</t>
        </is>
      </c>
    </row>
    <row r="285">
      <c r="A285" s="7" t="inlineStr">
        <is>
          <t>first_eligible</t>
        </is>
      </c>
      <c r="B285" s="11" t="n">
        <v>44624</v>
      </c>
      <c r="C285" s="7" t="inlineStr">
        <is>
          <t>zorba</t>
        </is>
      </c>
      <c r="D285" s="7" t="inlineStr">
        <is>
          <t>JEA_NSA</t>
        </is>
      </c>
      <c r="E285" s="7" t="inlineStr">
        <is>
          <t>FOB_desk_books_freight</t>
        </is>
      </c>
      <c r="F285" s="20" t="n">
        <v>-40</v>
      </c>
      <c r="G285" s="20" t="n">
        <v>0</v>
      </c>
      <c r="H285" s="16">
        <f>Parity!$L$54*(1+$F285/100)</f>
        <v/>
      </c>
      <c r="I285" s="16">
        <f>Parity!$L$54*Parity!$AG$54*$F285/100</f>
        <v/>
      </c>
      <c r="J285" s="8">
        <f>IF($E285="FOB_desk_books_freight",Parity!$P$54+$I285/Parity!$F$54,Parity!$P$54)</f>
        <v/>
      </c>
      <c r="K285" s="8">
        <f>$G285/100</f>
        <v/>
      </c>
      <c r="L285" s="18">
        <f>Parity!$AY$54</f>
        <v/>
      </c>
      <c r="M285" s="16">
        <f>Parity!$F$54*$J285</f>
        <v/>
      </c>
      <c r="N285" s="16">
        <f>$H285*Parity!$AG$54</f>
        <v/>
      </c>
      <c r="O285" s="16">
        <f>$M285-$N285</f>
        <v/>
      </c>
      <c r="P285" s="16">
        <f>insurance_rate*insured_value_uplift*$M285</f>
        <v/>
      </c>
      <c r="Q285" s="16">
        <f>$M285+$P285</f>
        <v/>
      </c>
      <c r="R285" s="18">
        <f>$Q285*Parity!$J$54</f>
        <v/>
      </c>
      <c r="S285" s="18">
        <f>$Q285*Parity!$I$54</f>
        <v/>
      </c>
      <c r="T285" s="18">
        <f>$R285*$K285</f>
        <v/>
      </c>
      <c r="U285" s="18">
        <f>$T285*sws_rate_on_bcd</f>
        <v/>
      </c>
      <c r="V285" s="18">
        <f>($R285+$T285+$U285)*igst_rate_hs7602</f>
        <v/>
      </c>
      <c r="W285" s="18">
        <f>Parity!$X$54*Parity!$AG$54+IF(Parity!$Y$54,psic_cost_usd_per_box*Parity!$H$54/Parity!$W$54,0)</f>
        <v/>
      </c>
      <c r="X285" s="18">
        <f>($S285+$T285+$U285)*Parity!$Z$54/day_count_inr*Parity!$O$54</f>
        <v/>
      </c>
      <c r="Y285" s="18">
        <f>$V285*igst_credit_lag_days/day_count_inr*Parity!$O$54</f>
        <v/>
      </c>
      <c r="Z285" s="18">
        <f>$S285+$T285+$U285+$W285+$X285+$Y285+IF(igst_itc_available,0,$V285)</f>
        <v/>
      </c>
      <c r="AA285" s="18">
        <f>Parity!$N$54*kg_per_mt+domestic_anchor_premium_inr_t</f>
        <v/>
      </c>
      <c r="AB285" s="18">
        <f>(1-Parity!$AA$54)*Parity!$AD$54*heavies_net_value_frac_of_lme_al*Parity!$F$54*Parity!$H$54</f>
        <v/>
      </c>
      <c r="AC285" s="18">
        <f>$AA285*Parity!$AU$54+$AB285-$Z285-Parity!$AX$54</f>
        <v/>
      </c>
      <c r="AD285" s="8">
        <f>$AC285&gt;margin_threshold_inr_t</f>
        <v/>
      </c>
      <c r="AE285" s="18">
        <f>($AC285-$L285)*grid_tonnes_mt</f>
        <v/>
      </c>
    </row>
    <row r="286">
      <c r="A286" s="7" t="inlineStr">
        <is>
          <t>first_eligible</t>
        </is>
      </c>
      <c r="B286" s="11" t="n">
        <v>44624</v>
      </c>
      <c r="C286" s="7" t="inlineStr">
        <is>
          <t>zorba</t>
        </is>
      </c>
      <c r="D286" s="7" t="inlineStr">
        <is>
          <t>JEA_NSA</t>
        </is>
      </c>
      <c r="E286" s="7" t="inlineStr">
        <is>
          <t>FOB_desk_books_freight</t>
        </is>
      </c>
      <c r="F286" s="20" t="n">
        <v>-40</v>
      </c>
      <c r="G286" s="20" t="n">
        <v>2.5</v>
      </c>
      <c r="H286" s="16">
        <f>Parity!$L$54*(1+$F286/100)</f>
        <v/>
      </c>
      <c r="I286" s="16">
        <f>Parity!$L$54*Parity!$AG$54*$F286/100</f>
        <v/>
      </c>
      <c r="J286" s="8">
        <f>IF($E286="FOB_desk_books_freight",Parity!$P$54+$I286/Parity!$F$54,Parity!$P$54)</f>
        <v/>
      </c>
      <c r="K286" s="8">
        <f>$G286/100</f>
        <v/>
      </c>
      <c r="L286" s="18">
        <f>Parity!$AY$54</f>
        <v/>
      </c>
      <c r="M286" s="16">
        <f>Parity!$F$54*$J286</f>
        <v/>
      </c>
      <c r="N286" s="16">
        <f>$H286*Parity!$AG$54</f>
        <v/>
      </c>
      <c r="O286" s="16">
        <f>$M286-$N286</f>
        <v/>
      </c>
      <c r="P286" s="16">
        <f>insurance_rate*insured_value_uplift*$M286</f>
        <v/>
      </c>
      <c r="Q286" s="16">
        <f>$M286+$P286</f>
        <v/>
      </c>
      <c r="R286" s="18">
        <f>$Q286*Parity!$J$54</f>
        <v/>
      </c>
      <c r="S286" s="18">
        <f>$Q286*Parity!$I$54</f>
        <v/>
      </c>
      <c r="T286" s="18">
        <f>$R286*$K286</f>
        <v/>
      </c>
      <c r="U286" s="18">
        <f>$T286*sws_rate_on_bcd</f>
        <v/>
      </c>
      <c r="V286" s="18">
        <f>($R286+$T286+$U286)*igst_rate_hs7602</f>
        <v/>
      </c>
      <c r="W286" s="18">
        <f>Parity!$X$54*Parity!$AG$54+IF(Parity!$Y$54,psic_cost_usd_per_box*Parity!$H$54/Parity!$W$54,0)</f>
        <v/>
      </c>
      <c r="X286" s="18">
        <f>($S286+$T286+$U286)*Parity!$Z$54/day_count_inr*Parity!$O$54</f>
        <v/>
      </c>
      <c r="Y286" s="18">
        <f>$V286*igst_credit_lag_days/day_count_inr*Parity!$O$54</f>
        <v/>
      </c>
      <c r="Z286" s="18">
        <f>$S286+$T286+$U286+$W286+$X286+$Y286+IF(igst_itc_available,0,$V286)</f>
        <v/>
      </c>
      <c r="AA286" s="18">
        <f>Parity!$N$54*kg_per_mt+domestic_anchor_premium_inr_t</f>
        <v/>
      </c>
      <c r="AB286" s="18">
        <f>(1-Parity!$AA$54)*Parity!$AD$54*heavies_net_value_frac_of_lme_al*Parity!$F$54*Parity!$H$54</f>
        <v/>
      </c>
      <c r="AC286" s="18">
        <f>$AA286*Parity!$AU$54+$AB286-$Z286-Parity!$AX$54</f>
        <v/>
      </c>
      <c r="AD286" s="8">
        <f>$AC286&gt;margin_threshold_inr_t</f>
        <v/>
      </c>
      <c r="AE286" s="18">
        <f>($AC286-$L286)*grid_tonnes_mt</f>
        <v/>
      </c>
    </row>
    <row r="287">
      <c r="A287" s="7" t="inlineStr">
        <is>
          <t>first_eligible</t>
        </is>
      </c>
      <c r="B287" s="11" t="n">
        <v>44624</v>
      </c>
      <c r="C287" s="7" t="inlineStr">
        <is>
          <t>zorba</t>
        </is>
      </c>
      <c r="D287" s="7" t="inlineStr">
        <is>
          <t>JEA_NSA</t>
        </is>
      </c>
      <c r="E287" s="7" t="inlineStr">
        <is>
          <t>FOB_desk_books_freight</t>
        </is>
      </c>
      <c r="F287" s="20" t="n">
        <v>-40</v>
      </c>
      <c r="G287" s="20" t="n">
        <v>5</v>
      </c>
      <c r="H287" s="16">
        <f>Parity!$L$54*(1+$F287/100)</f>
        <v/>
      </c>
      <c r="I287" s="16">
        <f>Parity!$L$54*Parity!$AG$54*$F287/100</f>
        <v/>
      </c>
      <c r="J287" s="8">
        <f>IF($E287="FOB_desk_books_freight",Parity!$P$54+$I287/Parity!$F$54,Parity!$P$54)</f>
        <v/>
      </c>
      <c r="K287" s="8">
        <f>$G287/100</f>
        <v/>
      </c>
      <c r="L287" s="18">
        <f>Parity!$AY$54</f>
        <v/>
      </c>
      <c r="M287" s="16">
        <f>Parity!$F$54*$J287</f>
        <v/>
      </c>
      <c r="N287" s="16">
        <f>$H287*Parity!$AG$54</f>
        <v/>
      </c>
      <c r="O287" s="16">
        <f>$M287-$N287</f>
        <v/>
      </c>
      <c r="P287" s="16">
        <f>insurance_rate*insured_value_uplift*$M287</f>
        <v/>
      </c>
      <c r="Q287" s="16">
        <f>$M287+$P287</f>
        <v/>
      </c>
      <c r="R287" s="18">
        <f>$Q287*Parity!$J$54</f>
        <v/>
      </c>
      <c r="S287" s="18">
        <f>$Q287*Parity!$I$54</f>
        <v/>
      </c>
      <c r="T287" s="18">
        <f>$R287*$K287</f>
        <v/>
      </c>
      <c r="U287" s="18">
        <f>$T287*sws_rate_on_bcd</f>
        <v/>
      </c>
      <c r="V287" s="18">
        <f>($R287+$T287+$U287)*igst_rate_hs7602</f>
        <v/>
      </c>
      <c r="W287" s="18">
        <f>Parity!$X$54*Parity!$AG$54+IF(Parity!$Y$54,psic_cost_usd_per_box*Parity!$H$54/Parity!$W$54,0)</f>
        <v/>
      </c>
      <c r="X287" s="18">
        <f>($S287+$T287+$U287)*Parity!$Z$54/day_count_inr*Parity!$O$54</f>
        <v/>
      </c>
      <c r="Y287" s="18">
        <f>$V287*igst_credit_lag_days/day_count_inr*Parity!$O$54</f>
        <v/>
      </c>
      <c r="Z287" s="18">
        <f>$S287+$T287+$U287+$W287+$X287+$Y287+IF(igst_itc_available,0,$V287)</f>
        <v/>
      </c>
      <c r="AA287" s="18">
        <f>Parity!$N$54*kg_per_mt+domestic_anchor_premium_inr_t</f>
        <v/>
      </c>
      <c r="AB287" s="18">
        <f>(1-Parity!$AA$54)*Parity!$AD$54*heavies_net_value_frac_of_lme_al*Parity!$F$54*Parity!$H$54</f>
        <v/>
      </c>
      <c r="AC287" s="18">
        <f>$AA287*Parity!$AU$54+$AB287-$Z287-Parity!$AX$54</f>
        <v/>
      </c>
      <c r="AD287" s="8">
        <f>$AC287&gt;margin_threshold_inr_t</f>
        <v/>
      </c>
      <c r="AE287" s="18">
        <f>($AC287-$L287)*grid_tonnes_mt</f>
        <v/>
      </c>
    </row>
    <row r="288">
      <c r="A288" s="7" t="inlineStr">
        <is>
          <t>first_eligible</t>
        </is>
      </c>
      <c r="B288" s="11" t="n">
        <v>44624</v>
      </c>
      <c r="C288" s="7" t="inlineStr">
        <is>
          <t>zorba</t>
        </is>
      </c>
      <c r="D288" s="7" t="inlineStr">
        <is>
          <t>JEA_NSA</t>
        </is>
      </c>
      <c r="E288" s="7" t="inlineStr">
        <is>
          <t>FOB_desk_books_freight</t>
        </is>
      </c>
      <c r="F288" s="20" t="n">
        <v>-40</v>
      </c>
      <c r="G288" s="20" t="n">
        <v>7.5</v>
      </c>
      <c r="H288" s="16">
        <f>Parity!$L$54*(1+$F288/100)</f>
        <v/>
      </c>
      <c r="I288" s="16">
        <f>Parity!$L$54*Parity!$AG$54*$F288/100</f>
        <v/>
      </c>
      <c r="J288" s="8">
        <f>IF($E288="FOB_desk_books_freight",Parity!$P$54+$I288/Parity!$F$54,Parity!$P$54)</f>
        <v/>
      </c>
      <c r="K288" s="8">
        <f>$G288/100</f>
        <v/>
      </c>
      <c r="L288" s="18">
        <f>Parity!$AY$54</f>
        <v/>
      </c>
      <c r="M288" s="16">
        <f>Parity!$F$54*$J288</f>
        <v/>
      </c>
      <c r="N288" s="16">
        <f>$H288*Parity!$AG$54</f>
        <v/>
      </c>
      <c r="O288" s="16">
        <f>$M288-$N288</f>
        <v/>
      </c>
      <c r="P288" s="16">
        <f>insurance_rate*insured_value_uplift*$M288</f>
        <v/>
      </c>
      <c r="Q288" s="16">
        <f>$M288+$P288</f>
        <v/>
      </c>
      <c r="R288" s="18">
        <f>$Q288*Parity!$J$54</f>
        <v/>
      </c>
      <c r="S288" s="18">
        <f>$Q288*Parity!$I$54</f>
        <v/>
      </c>
      <c r="T288" s="18">
        <f>$R288*$K288</f>
        <v/>
      </c>
      <c r="U288" s="18">
        <f>$T288*sws_rate_on_bcd</f>
        <v/>
      </c>
      <c r="V288" s="18">
        <f>($R288+$T288+$U288)*igst_rate_hs7602</f>
        <v/>
      </c>
      <c r="W288" s="18">
        <f>Parity!$X$54*Parity!$AG$54+IF(Parity!$Y$54,psic_cost_usd_per_box*Parity!$H$54/Parity!$W$54,0)</f>
        <v/>
      </c>
      <c r="X288" s="18">
        <f>($S288+$T288+$U288)*Parity!$Z$54/day_count_inr*Parity!$O$54</f>
        <v/>
      </c>
      <c r="Y288" s="18">
        <f>$V288*igst_credit_lag_days/day_count_inr*Parity!$O$54</f>
        <v/>
      </c>
      <c r="Z288" s="18">
        <f>$S288+$T288+$U288+$W288+$X288+$Y288+IF(igst_itc_available,0,$V288)</f>
        <v/>
      </c>
      <c r="AA288" s="18">
        <f>Parity!$N$54*kg_per_mt+domestic_anchor_premium_inr_t</f>
        <v/>
      </c>
      <c r="AB288" s="18">
        <f>(1-Parity!$AA$54)*Parity!$AD$54*heavies_net_value_frac_of_lme_al*Parity!$F$54*Parity!$H$54</f>
        <v/>
      </c>
      <c r="AC288" s="18">
        <f>$AA288*Parity!$AU$54+$AB288-$Z288-Parity!$AX$54</f>
        <v/>
      </c>
      <c r="AD288" s="8">
        <f>$AC288&gt;margin_threshold_inr_t</f>
        <v/>
      </c>
      <c r="AE288" s="18">
        <f>($AC288-$L288)*grid_tonnes_mt</f>
        <v/>
      </c>
    </row>
    <row r="289">
      <c r="A289" s="7" t="inlineStr">
        <is>
          <t>first_eligible</t>
        </is>
      </c>
      <c r="B289" s="11" t="n">
        <v>44624</v>
      </c>
      <c r="C289" s="7" t="inlineStr">
        <is>
          <t>zorba</t>
        </is>
      </c>
      <c r="D289" s="7" t="inlineStr">
        <is>
          <t>JEA_NSA</t>
        </is>
      </c>
      <c r="E289" s="7" t="inlineStr">
        <is>
          <t>FOB_desk_books_freight</t>
        </is>
      </c>
      <c r="F289" s="20" t="n">
        <v>-40</v>
      </c>
      <c r="G289" s="20" t="n">
        <v>10</v>
      </c>
      <c r="H289" s="16">
        <f>Parity!$L$54*(1+$F289/100)</f>
        <v/>
      </c>
      <c r="I289" s="16">
        <f>Parity!$L$54*Parity!$AG$54*$F289/100</f>
        <v/>
      </c>
      <c r="J289" s="8">
        <f>IF($E289="FOB_desk_books_freight",Parity!$P$54+$I289/Parity!$F$54,Parity!$P$54)</f>
        <v/>
      </c>
      <c r="K289" s="8">
        <f>$G289/100</f>
        <v/>
      </c>
      <c r="L289" s="18">
        <f>Parity!$AY$54</f>
        <v/>
      </c>
      <c r="M289" s="16">
        <f>Parity!$F$54*$J289</f>
        <v/>
      </c>
      <c r="N289" s="16">
        <f>$H289*Parity!$AG$54</f>
        <v/>
      </c>
      <c r="O289" s="16">
        <f>$M289-$N289</f>
        <v/>
      </c>
      <c r="P289" s="16">
        <f>insurance_rate*insured_value_uplift*$M289</f>
        <v/>
      </c>
      <c r="Q289" s="16">
        <f>$M289+$P289</f>
        <v/>
      </c>
      <c r="R289" s="18">
        <f>$Q289*Parity!$J$54</f>
        <v/>
      </c>
      <c r="S289" s="18">
        <f>$Q289*Parity!$I$54</f>
        <v/>
      </c>
      <c r="T289" s="18">
        <f>$R289*$K289</f>
        <v/>
      </c>
      <c r="U289" s="18">
        <f>$T289*sws_rate_on_bcd</f>
        <v/>
      </c>
      <c r="V289" s="18">
        <f>($R289+$T289+$U289)*igst_rate_hs7602</f>
        <v/>
      </c>
      <c r="W289" s="18">
        <f>Parity!$X$54*Parity!$AG$54+IF(Parity!$Y$54,psic_cost_usd_per_box*Parity!$H$54/Parity!$W$54,0)</f>
        <v/>
      </c>
      <c r="X289" s="18">
        <f>($S289+$T289+$U289)*Parity!$Z$54/day_count_inr*Parity!$O$54</f>
        <v/>
      </c>
      <c r="Y289" s="18">
        <f>$V289*igst_credit_lag_days/day_count_inr*Parity!$O$54</f>
        <v/>
      </c>
      <c r="Z289" s="18">
        <f>$S289+$T289+$U289+$W289+$X289+$Y289+IF(igst_itc_available,0,$V289)</f>
        <v/>
      </c>
      <c r="AA289" s="18">
        <f>Parity!$N$54*kg_per_mt+domestic_anchor_premium_inr_t</f>
        <v/>
      </c>
      <c r="AB289" s="18">
        <f>(1-Parity!$AA$54)*Parity!$AD$54*heavies_net_value_frac_of_lme_al*Parity!$F$54*Parity!$H$54</f>
        <v/>
      </c>
      <c r="AC289" s="18">
        <f>$AA289*Parity!$AU$54+$AB289-$Z289-Parity!$AX$54</f>
        <v/>
      </c>
      <c r="AD289" s="8">
        <f>$AC289&gt;margin_threshold_inr_t</f>
        <v/>
      </c>
      <c r="AE289" s="18">
        <f>($AC289-$L289)*grid_tonnes_mt</f>
        <v/>
      </c>
    </row>
    <row r="290">
      <c r="A290" s="7" t="inlineStr">
        <is>
          <t>first_eligible</t>
        </is>
      </c>
      <c r="B290" s="11" t="n">
        <v>44624</v>
      </c>
      <c r="C290" s="7" t="inlineStr">
        <is>
          <t>zorba</t>
        </is>
      </c>
      <c r="D290" s="7" t="inlineStr">
        <is>
          <t>JEA_NSA</t>
        </is>
      </c>
      <c r="E290" s="7" t="inlineStr">
        <is>
          <t>FOB_desk_books_freight</t>
        </is>
      </c>
      <c r="F290" s="20" t="n">
        <v>-20</v>
      </c>
      <c r="G290" s="20" t="n">
        <v>0</v>
      </c>
      <c r="H290" s="16">
        <f>Parity!$L$54*(1+$F290/100)</f>
        <v/>
      </c>
      <c r="I290" s="16">
        <f>Parity!$L$54*Parity!$AG$54*$F290/100</f>
        <v/>
      </c>
      <c r="J290" s="8">
        <f>IF($E290="FOB_desk_books_freight",Parity!$P$54+$I290/Parity!$F$54,Parity!$P$54)</f>
        <v/>
      </c>
      <c r="K290" s="8">
        <f>$G290/100</f>
        <v/>
      </c>
      <c r="L290" s="18">
        <f>Parity!$AY$54</f>
        <v/>
      </c>
      <c r="M290" s="16">
        <f>Parity!$F$54*$J290</f>
        <v/>
      </c>
      <c r="N290" s="16">
        <f>$H290*Parity!$AG$54</f>
        <v/>
      </c>
      <c r="O290" s="16">
        <f>$M290-$N290</f>
        <v/>
      </c>
      <c r="P290" s="16">
        <f>insurance_rate*insured_value_uplift*$M290</f>
        <v/>
      </c>
      <c r="Q290" s="16">
        <f>$M290+$P290</f>
        <v/>
      </c>
      <c r="R290" s="18">
        <f>$Q290*Parity!$J$54</f>
        <v/>
      </c>
      <c r="S290" s="18">
        <f>$Q290*Parity!$I$54</f>
        <v/>
      </c>
      <c r="T290" s="18">
        <f>$R290*$K290</f>
        <v/>
      </c>
      <c r="U290" s="18">
        <f>$T290*sws_rate_on_bcd</f>
        <v/>
      </c>
      <c r="V290" s="18">
        <f>($R290+$T290+$U290)*igst_rate_hs7602</f>
        <v/>
      </c>
      <c r="W290" s="18">
        <f>Parity!$X$54*Parity!$AG$54+IF(Parity!$Y$54,psic_cost_usd_per_box*Parity!$H$54/Parity!$W$54,0)</f>
        <v/>
      </c>
      <c r="X290" s="18">
        <f>($S290+$T290+$U290)*Parity!$Z$54/day_count_inr*Parity!$O$54</f>
        <v/>
      </c>
      <c r="Y290" s="18">
        <f>$V290*igst_credit_lag_days/day_count_inr*Parity!$O$54</f>
        <v/>
      </c>
      <c r="Z290" s="18">
        <f>$S290+$T290+$U290+$W290+$X290+$Y290+IF(igst_itc_available,0,$V290)</f>
        <v/>
      </c>
      <c r="AA290" s="18">
        <f>Parity!$N$54*kg_per_mt+domestic_anchor_premium_inr_t</f>
        <v/>
      </c>
      <c r="AB290" s="18">
        <f>(1-Parity!$AA$54)*Parity!$AD$54*heavies_net_value_frac_of_lme_al*Parity!$F$54*Parity!$H$54</f>
        <v/>
      </c>
      <c r="AC290" s="18">
        <f>$AA290*Parity!$AU$54+$AB290-$Z290-Parity!$AX$54</f>
        <v/>
      </c>
      <c r="AD290" s="8">
        <f>$AC290&gt;margin_threshold_inr_t</f>
        <v/>
      </c>
      <c r="AE290" s="18">
        <f>($AC290-$L290)*grid_tonnes_mt</f>
        <v/>
      </c>
    </row>
    <row r="291">
      <c r="A291" s="7" t="inlineStr">
        <is>
          <t>first_eligible</t>
        </is>
      </c>
      <c r="B291" s="11" t="n">
        <v>44624</v>
      </c>
      <c r="C291" s="7" t="inlineStr">
        <is>
          <t>zorba</t>
        </is>
      </c>
      <c r="D291" s="7" t="inlineStr">
        <is>
          <t>JEA_NSA</t>
        </is>
      </c>
      <c r="E291" s="7" t="inlineStr">
        <is>
          <t>FOB_desk_books_freight</t>
        </is>
      </c>
      <c r="F291" s="20" t="n">
        <v>-20</v>
      </c>
      <c r="G291" s="20" t="n">
        <v>2.5</v>
      </c>
      <c r="H291" s="16">
        <f>Parity!$L$54*(1+$F291/100)</f>
        <v/>
      </c>
      <c r="I291" s="16">
        <f>Parity!$L$54*Parity!$AG$54*$F291/100</f>
        <v/>
      </c>
      <c r="J291" s="8">
        <f>IF($E291="FOB_desk_books_freight",Parity!$P$54+$I291/Parity!$F$54,Parity!$P$54)</f>
        <v/>
      </c>
      <c r="K291" s="8">
        <f>$G291/100</f>
        <v/>
      </c>
      <c r="L291" s="18">
        <f>Parity!$AY$54</f>
        <v/>
      </c>
      <c r="M291" s="16">
        <f>Parity!$F$54*$J291</f>
        <v/>
      </c>
      <c r="N291" s="16">
        <f>$H291*Parity!$AG$54</f>
        <v/>
      </c>
      <c r="O291" s="16">
        <f>$M291-$N291</f>
        <v/>
      </c>
      <c r="P291" s="16">
        <f>insurance_rate*insured_value_uplift*$M291</f>
        <v/>
      </c>
      <c r="Q291" s="16">
        <f>$M291+$P291</f>
        <v/>
      </c>
      <c r="R291" s="18">
        <f>$Q291*Parity!$J$54</f>
        <v/>
      </c>
      <c r="S291" s="18">
        <f>$Q291*Parity!$I$54</f>
        <v/>
      </c>
      <c r="T291" s="18">
        <f>$R291*$K291</f>
        <v/>
      </c>
      <c r="U291" s="18">
        <f>$T291*sws_rate_on_bcd</f>
        <v/>
      </c>
      <c r="V291" s="18">
        <f>($R291+$T291+$U291)*igst_rate_hs7602</f>
        <v/>
      </c>
      <c r="W291" s="18">
        <f>Parity!$X$54*Parity!$AG$54+IF(Parity!$Y$54,psic_cost_usd_per_box*Parity!$H$54/Parity!$W$54,0)</f>
        <v/>
      </c>
      <c r="X291" s="18">
        <f>($S291+$T291+$U291)*Parity!$Z$54/day_count_inr*Parity!$O$54</f>
        <v/>
      </c>
      <c r="Y291" s="18">
        <f>$V291*igst_credit_lag_days/day_count_inr*Parity!$O$54</f>
        <v/>
      </c>
      <c r="Z291" s="18">
        <f>$S291+$T291+$U291+$W291+$X291+$Y291+IF(igst_itc_available,0,$V291)</f>
        <v/>
      </c>
      <c r="AA291" s="18">
        <f>Parity!$N$54*kg_per_mt+domestic_anchor_premium_inr_t</f>
        <v/>
      </c>
      <c r="AB291" s="18">
        <f>(1-Parity!$AA$54)*Parity!$AD$54*heavies_net_value_frac_of_lme_al*Parity!$F$54*Parity!$H$54</f>
        <v/>
      </c>
      <c r="AC291" s="18">
        <f>$AA291*Parity!$AU$54+$AB291-$Z291-Parity!$AX$54</f>
        <v/>
      </c>
      <c r="AD291" s="8">
        <f>$AC291&gt;margin_threshold_inr_t</f>
        <v/>
      </c>
      <c r="AE291" s="18">
        <f>($AC291-$L291)*grid_tonnes_mt</f>
        <v/>
      </c>
    </row>
    <row r="292">
      <c r="A292" s="7" t="inlineStr">
        <is>
          <t>first_eligible</t>
        </is>
      </c>
      <c r="B292" s="11" t="n">
        <v>44624</v>
      </c>
      <c r="C292" s="7" t="inlineStr">
        <is>
          <t>zorba</t>
        </is>
      </c>
      <c r="D292" s="7" t="inlineStr">
        <is>
          <t>JEA_NSA</t>
        </is>
      </c>
      <c r="E292" s="7" t="inlineStr">
        <is>
          <t>FOB_desk_books_freight</t>
        </is>
      </c>
      <c r="F292" s="20" t="n">
        <v>-20</v>
      </c>
      <c r="G292" s="20" t="n">
        <v>5</v>
      </c>
      <c r="H292" s="16">
        <f>Parity!$L$54*(1+$F292/100)</f>
        <v/>
      </c>
      <c r="I292" s="16">
        <f>Parity!$L$54*Parity!$AG$54*$F292/100</f>
        <v/>
      </c>
      <c r="J292" s="8">
        <f>IF($E292="FOB_desk_books_freight",Parity!$P$54+$I292/Parity!$F$54,Parity!$P$54)</f>
        <v/>
      </c>
      <c r="K292" s="8">
        <f>$G292/100</f>
        <v/>
      </c>
      <c r="L292" s="18">
        <f>Parity!$AY$54</f>
        <v/>
      </c>
      <c r="M292" s="16">
        <f>Parity!$F$54*$J292</f>
        <v/>
      </c>
      <c r="N292" s="16">
        <f>$H292*Parity!$AG$54</f>
        <v/>
      </c>
      <c r="O292" s="16">
        <f>$M292-$N292</f>
        <v/>
      </c>
      <c r="P292" s="16">
        <f>insurance_rate*insured_value_uplift*$M292</f>
        <v/>
      </c>
      <c r="Q292" s="16">
        <f>$M292+$P292</f>
        <v/>
      </c>
      <c r="R292" s="18">
        <f>$Q292*Parity!$J$54</f>
        <v/>
      </c>
      <c r="S292" s="18">
        <f>$Q292*Parity!$I$54</f>
        <v/>
      </c>
      <c r="T292" s="18">
        <f>$R292*$K292</f>
        <v/>
      </c>
      <c r="U292" s="18">
        <f>$T292*sws_rate_on_bcd</f>
        <v/>
      </c>
      <c r="V292" s="18">
        <f>($R292+$T292+$U292)*igst_rate_hs7602</f>
        <v/>
      </c>
      <c r="W292" s="18">
        <f>Parity!$X$54*Parity!$AG$54+IF(Parity!$Y$54,psic_cost_usd_per_box*Parity!$H$54/Parity!$W$54,0)</f>
        <v/>
      </c>
      <c r="X292" s="18">
        <f>($S292+$T292+$U292)*Parity!$Z$54/day_count_inr*Parity!$O$54</f>
        <v/>
      </c>
      <c r="Y292" s="18">
        <f>$V292*igst_credit_lag_days/day_count_inr*Parity!$O$54</f>
        <v/>
      </c>
      <c r="Z292" s="18">
        <f>$S292+$T292+$U292+$W292+$X292+$Y292+IF(igst_itc_available,0,$V292)</f>
        <v/>
      </c>
      <c r="AA292" s="18">
        <f>Parity!$N$54*kg_per_mt+domestic_anchor_premium_inr_t</f>
        <v/>
      </c>
      <c r="AB292" s="18">
        <f>(1-Parity!$AA$54)*Parity!$AD$54*heavies_net_value_frac_of_lme_al*Parity!$F$54*Parity!$H$54</f>
        <v/>
      </c>
      <c r="AC292" s="18">
        <f>$AA292*Parity!$AU$54+$AB292-$Z292-Parity!$AX$54</f>
        <v/>
      </c>
      <c r="AD292" s="8">
        <f>$AC292&gt;margin_threshold_inr_t</f>
        <v/>
      </c>
      <c r="AE292" s="18">
        <f>($AC292-$L292)*grid_tonnes_mt</f>
        <v/>
      </c>
    </row>
    <row r="293">
      <c r="A293" s="7" t="inlineStr">
        <is>
          <t>first_eligible</t>
        </is>
      </c>
      <c r="B293" s="11" t="n">
        <v>44624</v>
      </c>
      <c r="C293" s="7" t="inlineStr">
        <is>
          <t>zorba</t>
        </is>
      </c>
      <c r="D293" s="7" t="inlineStr">
        <is>
          <t>JEA_NSA</t>
        </is>
      </c>
      <c r="E293" s="7" t="inlineStr">
        <is>
          <t>FOB_desk_books_freight</t>
        </is>
      </c>
      <c r="F293" s="20" t="n">
        <v>-20</v>
      </c>
      <c r="G293" s="20" t="n">
        <v>7.5</v>
      </c>
      <c r="H293" s="16">
        <f>Parity!$L$54*(1+$F293/100)</f>
        <v/>
      </c>
      <c r="I293" s="16">
        <f>Parity!$L$54*Parity!$AG$54*$F293/100</f>
        <v/>
      </c>
      <c r="J293" s="8">
        <f>IF($E293="FOB_desk_books_freight",Parity!$P$54+$I293/Parity!$F$54,Parity!$P$54)</f>
        <v/>
      </c>
      <c r="K293" s="8">
        <f>$G293/100</f>
        <v/>
      </c>
      <c r="L293" s="18">
        <f>Parity!$AY$54</f>
        <v/>
      </c>
      <c r="M293" s="16">
        <f>Parity!$F$54*$J293</f>
        <v/>
      </c>
      <c r="N293" s="16">
        <f>$H293*Parity!$AG$54</f>
        <v/>
      </c>
      <c r="O293" s="16">
        <f>$M293-$N293</f>
        <v/>
      </c>
      <c r="P293" s="16">
        <f>insurance_rate*insured_value_uplift*$M293</f>
        <v/>
      </c>
      <c r="Q293" s="16">
        <f>$M293+$P293</f>
        <v/>
      </c>
      <c r="R293" s="18">
        <f>$Q293*Parity!$J$54</f>
        <v/>
      </c>
      <c r="S293" s="18">
        <f>$Q293*Parity!$I$54</f>
        <v/>
      </c>
      <c r="T293" s="18">
        <f>$R293*$K293</f>
        <v/>
      </c>
      <c r="U293" s="18">
        <f>$T293*sws_rate_on_bcd</f>
        <v/>
      </c>
      <c r="V293" s="18">
        <f>($R293+$T293+$U293)*igst_rate_hs7602</f>
        <v/>
      </c>
      <c r="W293" s="18">
        <f>Parity!$X$54*Parity!$AG$54+IF(Parity!$Y$54,psic_cost_usd_per_box*Parity!$H$54/Parity!$W$54,0)</f>
        <v/>
      </c>
      <c r="X293" s="18">
        <f>($S293+$T293+$U293)*Parity!$Z$54/day_count_inr*Parity!$O$54</f>
        <v/>
      </c>
      <c r="Y293" s="18">
        <f>$V293*igst_credit_lag_days/day_count_inr*Parity!$O$54</f>
        <v/>
      </c>
      <c r="Z293" s="18">
        <f>$S293+$T293+$U293+$W293+$X293+$Y293+IF(igst_itc_available,0,$V293)</f>
        <v/>
      </c>
      <c r="AA293" s="18">
        <f>Parity!$N$54*kg_per_mt+domestic_anchor_premium_inr_t</f>
        <v/>
      </c>
      <c r="AB293" s="18">
        <f>(1-Parity!$AA$54)*Parity!$AD$54*heavies_net_value_frac_of_lme_al*Parity!$F$54*Parity!$H$54</f>
        <v/>
      </c>
      <c r="AC293" s="18">
        <f>$AA293*Parity!$AU$54+$AB293-$Z293-Parity!$AX$54</f>
        <v/>
      </c>
      <c r="AD293" s="8">
        <f>$AC293&gt;margin_threshold_inr_t</f>
        <v/>
      </c>
      <c r="AE293" s="18">
        <f>($AC293-$L293)*grid_tonnes_mt</f>
        <v/>
      </c>
    </row>
    <row r="294">
      <c r="A294" s="7" t="inlineStr">
        <is>
          <t>first_eligible</t>
        </is>
      </c>
      <c r="B294" s="11" t="n">
        <v>44624</v>
      </c>
      <c r="C294" s="7" t="inlineStr">
        <is>
          <t>zorba</t>
        </is>
      </c>
      <c r="D294" s="7" t="inlineStr">
        <is>
          <t>JEA_NSA</t>
        </is>
      </c>
      <c r="E294" s="7" t="inlineStr">
        <is>
          <t>FOB_desk_books_freight</t>
        </is>
      </c>
      <c r="F294" s="20" t="n">
        <v>-20</v>
      </c>
      <c r="G294" s="20" t="n">
        <v>10</v>
      </c>
      <c r="H294" s="16">
        <f>Parity!$L$54*(1+$F294/100)</f>
        <v/>
      </c>
      <c r="I294" s="16">
        <f>Parity!$L$54*Parity!$AG$54*$F294/100</f>
        <v/>
      </c>
      <c r="J294" s="8">
        <f>IF($E294="FOB_desk_books_freight",Parity!$P$54+$I294/Parity!$F$54,Parity!$P$54)</f>
        <v/>
      </c>
      <c r="K294" s="8">
        <f>$G294/100</f>
        <v/>
      </c>
      <c r="L294" s="18">
        <f>Parity!$AY$54</f>
        <v/>
      </c>
      <c r="M294" s="16">
        <f>Parity!$F$54*$J294</f>
        <v/>
      </c>
      <c r="N294" s="16">
        <f>$H294*Parity!$AG$54</f>
        <v/>
      </c>
      <c r="O294" s="16">
        <f>$M294-$N294</f>
        <v/>
      </c>
      <c r="P294" s="16">
        <f>insurance_rate*insured_value_uplift*$M294</f>
        <v/>
      </c>
      <c r="Q294" s="16">
        <f>$M294+$P294</f>
        <v/>
      </c>
      <c r="R294" s="18">
        <f>$Q294*Parity!$J$54</f>
        <v/>
      </c>
      <c r="S294" s="18">
        <f>$Q294*Parity!$I$54</f>
        <v/>
      </c>
      <c r="T294" s="18">
        <f>$R294*$K294</f>
        <v/>
      </c>
      <c r="U294" s="18">
        <f>$T294*sws_rate_on_bcd</f>
        <v/>
      </c>
      <c r="V294" s="18">
        <f>($R294+$T294+$U294)*igst_rate_hs7602</f>
        <v/>
      </c>
      <c r="W294" s="18">
        <f>Parity!$X$54*Parity!$AG$54+IF(Parity!$Y$54,psic_cost_usd_per_box*Parity!$H$54/Parity!$W$54,0)</f>
        <v/>
      </c>
      <c r="X294" s="18">
        <f>($S294+$T294+$U294)*Parity!$Z$54/day_count_inr*Parity!$O$54</f>
        <v/>
      </c>
      <c r="Y294" s="18">
        <f>$V294*igst_credit_lag_days/day_count_inr*Parity!$O$54</f>
        <v/>
      </c>
      <c r="Z294" s="18">
        <f>$S294+$T294+$U294+$W294+$X294+$Y294+IF(igst_itc_available,0,$V294)</f>
        <v/>
      </c>
      <c r="AA294" s="18">
        <f>Parity!$N$54*kg_per_mt+domestic_anchor_premium_inr_t</f>
        <v/>
      </c>
      <c r="AB294" s="18">
        <f>(1-Parity!$AA$54)*Parity!$AD$54*heavies_net_value_frac_of_lme_al*Parity!$F$54*Parity!$H$54</f>
        <v/>
      </c>
      <c r="AC294" s="18">
        <f>$AA294*Parity!$AU$54+$AB294-$Z294-Parity!$AX$54</f>
        <v/>
      </c>
      <c r="AD294" s="8">
        <f>$AC294&gt;margin_threshold_inr_t</f>
        <v/>
      </c>
      <c r="AE294" s="18">
        <f>($AC294-$L294)*grid_tonnes_mt</f>
        <v/>
      </c>
    </row>
    <row r="295">
      <c r="A295" s="7" t="inlineStr">
        <is>
          <t>first_eligible</t>
        </is>
      </c>
      <c r="B295" s="11" t="n">
        <v>44624</v>
      </c>
      <c r="C295" s="7" t="inlineStr">
        <is>
          <t>zorba</t>
        </is>
      </c>
      <c r="D295" s="7" t="inlineStr">
        <is>
          <t>JEA_NSA</t>
        </is>
      </c>
      <c r="E295" s="7" t="inlineStr">
        <is>
          <t>FOB_desk_books_freight</t>
        </is>
      </c>
      <c r="F295" s="20" t="n">
        <v>0</v>
      </c>
      <c r="G295" s="20" t="n">
        <v>0</v>
      </c>
      <c r="H295" s="16">
        <f>Parity!$L$54*(1+$F295/100)</f>
        <v/>
      </c>
      <c r="I295" s="16">
        <f>Parity!$L$54*Parity!$AG$54*$F295/100</f>
        <v/>
      </c>
      <c r="J295" s="8">
        <f>IF($E295="FOB_desk_books_freight",Parity!$P$54+$I295/Parity!$F$54,Parity!$P$54)</f>
        <v/>
      </c>
      <c r="K295" s="8">
        <f>$G295/100</f>
        <v/>
      </c>
      <c r="L295" s="18">
        <f>Parity!$AY$54</f>
        <v/>
      </c>
      <c r="M295" s="16">
        <f>Parity!$F$54*$J295</f>
        <v/>
      </c>
      <c r="N295" s="16">
        <f>$H295*Parity!$AG$54</f>
        <v/>
      </c>
      <c r="O295" s="16">
        <f>$M295-$N295</f>
        <v/>
      </c>
      <c r="P295" s="16">
        <f>insurance_rate*insured_value_uplift*$M295</f>
        <v/>
      </c>
      <c r="Q295" s="16">
        <f>$M295+$P295</f>
        <v/>
      </c>
      <c r="R295" s="18">
        <f>$Q295*Parity!$J$54</f>
        <v/>
      </c>
      <c r="S295" s="18">
        <f>$Q295*Parity!$I$54</f>
        <v/>
      </c>
      <c r="T295" s="18">
        <f>$R295*$K295</f>
        <v/>
      </c>
      <c r="U295" s="18">
        <f>$T295*sws_rate_on_bcd</f>
        <v/>
      </c>
      <c r="V295" s="18">
        <f>($R295+$T295+$U295)*igst_rate_hs7602</f>
        <v/>
      </c>
      <c r="W295" s="18">
        <f>Parity!$X$54*Parity!$AG$54+IF(Parity!$Y$54,psic_cost_usd_per_box*Parity!$H$54/Parity!$W$54,0)</f>
        <v/>
      </c>
      <c r="X295" s="18">
        <f>($S295+$T295+$U295)*Parity!$Z$54/day_count_inr*Parity!$O$54</f>
        <v/>
      </c>
      <c r="Y295" s="18">
        <f>$V295*igst_credit_lag_days/day_count_inr*Parity!$O$54</f>
        <v/>
      </c>
      <c r="Z295" s="18">
        <f>$S295+$T295+$U295+$W295+$X295+$Y295+IF(igst_itc_available,0,$V295)</f>
        <v/>
      </c>
      <c r="AA295" s="18">
        <f>Parity!$N$54*kg_per_mt+domestic_anchor_premium_inr_t</f>
        <v/>
      </c>
      <c r="AB295" s="18">
        <f>(1-Parity!$AA$54)*Parity!$AD$54*heavies_net_value_frac_of_lme_al*Parity!$F$54*Parity!$H$54</f>
        <v/>
      </c>
      <c r="AC295" s="18">
        <f>$AA295*Parity!$AU$54+$AB295-$Z295-Parity!$AX$54</f>
        <v/>
      </c>
      <c r="AD295" s="8">
        <f>$AC295&gt;margin_threshold_inr_t</f>
        <v/>
      </c>
      <c r="AE295" s="18">
        <f>($AC295-$L295)*grid_tonnes_mt</f>
        <v/>
      </c>
    </row>
    <row r="296">
      <c r="A296" s="7" t="inlineStr">
        <is>
          <t>first_eligible</t>
        </is>
      </c>
      <c r="B296" s="11" t="n">
        <v>44624</v>
      </c>
      <c r="C296" s="7" t="inlineStr">
        <is>
          <t>zorba</t>
        </is>
      </c>
      <c r="D296" s="7" t="inlineStr">
        <is>
          <t>JEA_NSA</t>
        </is>
      </c>
      <c r="E296" s="7" t="inlineStr">
        <is>
          <t>FOB_desk_books_freight</t>
        </is>
      </c>
      <c r="F296" s="20" t="n">
        <v>0</v>
      </c>
      <c r="G296" s="20" t="n">
        <v>2.5</v>
      </c>
      <c r="H296" s="16">
        <f>Parity!$L$54*(1+$F296/100)</f>
        <v/>
      </c>
      <c r="I296" s="16">
        <f>Parity!$L$54*Parity!$AG$54*$F296/100</f>
        <v/>
      </c>
      <c r="J296" s="8">
        <f>IF($E296="FOB_desk_books_freight",Parity!$P$54+$I296/Parity!$F$54,Parity!$P$54)</f>
        <v/>
      </c>
      <c r="K296" s="8">
        <f>$G296/100</f>
        <v/>
      </c>
      <c r="L296" s="18">
        <f>Parity!$AY$54</f>
        <v/>
      </c>
      <c r="M296" s="16">
        <f>Parity!$F$54*$J296</f>
        <v/>
      </c>
      <c r="N296" s="16">
        <f>$H296*Parity!$AG$54</f>
        <v/>
      </c>
      <c r="O296" s="16">
        <f>$M296-$N296</f>
        <v/>
      </c>
      <c r="P296" s="16">
        <f>insurance_rate*insured_value_uplift*$M296</f>
        <v/>
      </c>
      <c r="Q296" s="16">
        <f>$M296+$P296</f>
        <v/>
      </c>
      <c r="R296" s="18">
        <f>$Q296*Parity!$J$54</f>
        <v/>
      </c>
      <c r="S296" s="18">
        <f>$Q296*Parity!$I$54</f>
        <v/>
      </c>
      <c r="T296" s="18">
        <f>$R296*$K296</f>
        <v/>
      </c>
      <c r="U296" s="18">
        <f>$T296*sws_rate_on_bcd</f>
        <v/>
      </c>
      <c r="V296" s="18">
        <f>($R296+$T296+$U296)*igst_rate_hs7602</f>
        <v/>
      </c>
      <c r="W296" s="18">
        <f>Parity!$X$54*Parity!$AG$54+IF(Parity!$Y$54,psic_cost_usd_per_box*Parity!$H$54/Parity!$W$54,0)</f>
        <v/>
      </c>
      <c r="X296" s="18">
        <f>($S296+$T296+$U296)*Parity!$Z$54/day_count_inr*Parity!$O$54</f>
        <v/>
      </c>
      <c r="Y296" s="18">
        <f>$V296*igst_credit_lag_days/day_count_inr*Parity!$O$54</f>
        <v/>
      </c>
      <c r="Z296" s="18">
        <f>$S296+$T296+$U296+$W296+$X296+$Y296+IF(igst_itc_available,0,$V296)</f>
        <v/>
      </c>
      <c r="AA296" s="18">
        <f>Parity!$N$54*kg_per_mt+domestic_anchor_premium_inr_t</f>
        <v/>
      </c>
      <c r="AB296" s="18">
        <f>(1-Parity!$AA$54)*Parity!$AD$54*heavies_net_value_frac_of_lme_al*Parity!$F$54*Parity!$H$54</f>
        <v/>
      </c>
      <c r="AC296" s="18">
        <f>$AA296*Parity!$AU$54+$AB296-$Z296-Parity!$AX$54</f>
        <v/>
      </c>
      <c r="AD296" s="8">
        <f>$AC296&gt;margin_threshold_inr_t</f>
        <v/>
      </c>
      <c r="AE296" s="18">
        <f>($AC296-$L296)*grid_tonnes_mt</f>
        <v/>
      </c>
    </row>
    <row r="297">
      <c r="A297" s="7" t="inlineStr">
        <is>
          <t>first_eligible</t>
        </is>
      </c>
      <c r="B297" s="11" t="n">
        <v>44624</v>
      </c>
      <c r="C297" s="7" t="inlineStr">
        <is>
          <t>zorba</t>
        </is>
      </c>
      <c r="D297" s="7" t="inlineStr">
        <is>
          <t>JEA_NSA</t>
        </is>
      </c>
      <c r="E297" s="7" t="inlineStr">
        <is>
          <t>FOB_desk_books_freight</t>
        </is>
      </c>
      <c r="F297" s="20" t="n">
        <v>0</v>
      </c>
      <c r="G297" s="20" t="n">
        <v>5</v>
      </c>
      <c r="H297" s="16">
        <f>Parity!$L$54*(1+$F297/100)</f>
        <v/>
      </c>
      <c r="I297" s="16">
        <f>Parity!$L$54*Parity!$AG$54*$F297/100</f>
        <v/>
      </c>
      <c r="J297" s="8">
        <f>IF($E297="FOB_desk_books_freight",Parity!$P$54+$I297/Parity!$F$54,Parity!$P$54)</f>
        <v/>
      </c>
      <c r="K297" s="8">
        <f>$G297/100</f>
        <v/>
      </c>
      <c r="L297" s="18">
        <f>Parity!$AY$54</f>
        <v/>
      </c>
      <c r="M297" s="16">
        <f>Parity!$F$54*$J297</f>
        <v/>
      </c>
      <c r="N297" s="16">
        <f>$H297*Parity!$AG$54</f>
        <v/>
      </c>
      <c r="O297" s="16">
        <f>$M297-$N297</f>
        <v/>
      </c>
      <c r="P297" s="16">
        <f>insurance_rate*insured_value_uplift*$M297</f>
        <v/>
      </c>
      <c r="Q297" s="16">
        <f>$M297+$P297</f>
        <v/>
      </c>
      <c r="R297" s="18">
        <f>$Q297*Parity!$J$54</f>
        <v/>
      </c>
      <c r="S297" s="18">
        <f>$Q297*Parity!$I$54</f>
        <v/>
      </c>
      <c r="T297" s="18">
        <f>$R297*$K297</f>
        <v/>
      </c>
      <c r="U297" s="18">
        <f>$T297*sws_rate_on_bcd</f>
        <v/>
      </c>
      <c r="V297" s="18">
        <f>($R297+$T297+$U297)*igst_rate_hs7602</f>
        <v/>
      </c>
      <c r="W297" s="18">
        <f>Parity!$X$54*Parity!$AG$54+IF(Parity!$Y$54,psic_cost_usd_per_box*Parity!$H$54/Parity!$W$54,0)</f>
        <v/>
      </c>
      <c r="X297" s="18">
        <f>($S297+$T297+$U297)*Parity!$Z$54/day_count_inr*Parity!$O$54</f>
        <v/>
      </c>
      <c r="Y297" s="18">
        <f>$V297*igst_credit_lag_days/day_count_inr*Parity!$O$54</f>
        <v/>
      </c>
      <c r="Z297" s="18">
        <f>$S297+$T297+$U297+$W297+$X297+$Y297+IF(igst_itc_available,0,$V297)</f>
        <v/>
      </c>
      <c r="AA297" s="18">
        <f>Parity!$N$54*kg_per_mt+domestic_anchor_premium_inr_t</f>
        <v/>
      </c>
      <c r="AB297" s="18">
        <f>(1-Parity!$AA$54)*Parity!$AD$54*heavies_net_value_frac_of_lme_al*Parity!$F$54*Parity!$H$54</f>
        <v/>
      </c>
      <c r="AC297" s="18">
        <f>$AA297*Parity!$AU$54+$AB297-$Z297-Parity!$AX$54</f>
        <v/>
      </c>
      <c r="AD297" s="8">
        <f>$AC297&gt;margin_threshold_inr_t</f>
        <v/>
      </c>
      <c r="AE297" s="18">
        <f>($AC297-$L297)*grid_tonnes_mt</f>
        <v/>
      </c>
    </row>
    <row r="298">
      <c r="A298" s="7" t="inlineStr">
        <is>
          <t>first_eligible</t>
        </is>
      </c>
      <c r="B298" s="11" t="n">
        <v>44624</v>
      </c>
      <c r="C298" s="7" t="inlineStr">
        <is>
          <t>zorba</t>
        </is>
      </c>
      <c r="D298" s="7" t="inlineStr">
        <is>
          <t>JEA_NSA</t>
        </is>
      </c>
      <c r="E298" s="7" t="inlineStr">
        <is>
          <t>FOB_desk_books_freight</t>
        </is>
      </c>
      <c r="F298" s="20" t="n">
        <v>0</v>
      </c>
      <c r="G298" s="20" t="n">
        <v>7.5</v>
      </c>
      <c r="H298" s="16">
        <f>Parity!$L$54*(1+$F298/100)</f>
        <v/>
      </c>
      <c r="I298" s="16">
        <f>Parity!$L$54*Parity!$AG$54*$F298/100</f>
        <v/>
      </c>
      <c r="J298" s="8">
        <f>IF($E298="FOB_desk_books_freight",Parity!$P$54+$I298/Parity!$F$54,Parity!$P$54)</f>
        <v/>
      </c>
      <c r="K298" s="8">
        <f>$G298/100</f>
        <v/>
      </c>
      <c r="L298" s="18">
        <f>Parity!$AY$54</f>
        <v/>
      </c>
      <c r="M298" s="16">
        <f>Parity!$F$54*$J298</f>
        <v/>
      </c>
      <c r="N298" s="16">
        <f>$H298*Parity!$AG$54</f>
        <v/>
      </c>
      <c r="O298" s="16">
        <f>$M298-$N298</f>
        <v/>
      </c>
      <c r="P298" s="16">
        <f>insurance_rate*insured_value_uplift*$M298</f>
        <v/>
      </c>
      <c r="Q298" s="16">
        <f>$M298+$P298</f>
        <v/>
      </c>
      <c r="R298" s="18">
        <f>$Q298*Parity!$J$54</f>
        <v/>
      </c>
      <c r="S298" s="18">
        <f>$Q298*Parity!$I$54</f>
        <v/>
      </c>
      <c r="T298" s="18">
        <f>$R298*$K298</f>
        <v/>
      </c>
      <c r="U298" s="18">
        <f>$T298*sws_rate_on_bcd</f>
        <v/>
      </c>
      <c r="V298" s="18">
        <f>($R298+$T298+$U298)*igst_rate_hs7602</f>
        <v/>
      </c>
      <c r="W298" s="18">
        <f>Parity!$X$54*Parity!$AG$54+IF(Parity!$Y$54,psic_cost_usd_per_box*Parity!$H$54/Parity!$W$54,0)</f>
        <v/>
      </c>
      <c r="X298" s="18">
        <f>($S298+$T298+$U298)*Parity!$Z$54/day_count_inr*Parity!$O$54</f>
        <v/>
      </c>
      <c r="Y298" s="18">
        <f>$V298*igst_credit_lag_days/day_count_inr*Parity!$O$54</f>
        <v/>
      </c>
      <c r="Z298" s="18">
        <f>$S298+$T298+$U298+$W298+$X298+$Y298+IF(igst_itc_available,0,$V298)</f>
        <v/>
      </c>
      <c r="AA298" s="18">
        <f>Parity!$N$54*kg_per_mt+domestic_anchor_premium_inr_t</f>
        <v/>
      </c>
      <c r="AB298" s="18">
        <f>(1-Parity!$AA$54)*Parity!$AD$54*heavies_net_value_frac_of_lme_al*Parity!$F$54*Parity!$H$54</f>
        <v/>
      </c>
      <c r="AC298" s="18">
        <f>$AA298*Parity!$AU$54+$AB298-$Z298-Parity!$AX$54</f>
        <v/>
      </c>
      <c r="AD298" s="8">
        <f>$AC298&gt;margin_threshold_inr_t</f>
        <v/>
      </c>
      <c r="AE298" s="18">
        <f>($AC298-$L298)*grid_tonnes_mt</f>
        <v/>
      </c>
    </row>
    <row r="299">
      <c r="A299" s="7" t="inlineStr">
        <is>
          <t>first_eligible</t>
        </is>
      </c>
      <c r="B299" s="11" t="n">
        <v>44624</v>
      </c>
      <c r="C299" s="7" t="inlineStr">
        <is>
          <t>zorba</t>
        </is>
      </c>
      <c r="D299" s="7" t="inlineStr">
        <is>
          <t>JEA_NSA</t>
        </is>
      </c>
      <c r="E299" s="7" t="inlineStr">
        <is>
          <t>FOB_desk_books_freight</t>
        </is>
      </c>
      <c r="F299" s="20" t="n">
        <v>0</v>
      </c>
      <c r="G299" s="20" t="n">
        <v>10</v>
      </c>
      <c r="H299" s="16">
        <f>Parity!$L$54*(1+$F299/100)</f>
        <v/>
      </c>
      <c r="I299" s="16">
        <f>Parity!$L$54*Parity!$AG$54*$F299/100</f>
        <v/>
      </c>
      <c r="J299" s="8">
        <f>IF($E299="FOB_desk_books_freight",Parity!$P$54+$I299/Parity!$F$54,Parity!$P$54)</f>
        <v/>
      </c>
      <c r="K299" s="8">
        <f>$G299/100</f>
        <v/>
      </c>
      <c r="L299" s="18">
        <f>Parity!$AY$54</f>
        <v/>
      </c>
      <c r="M299" s="16">
        <f>Parity!$F$54*$J299</f>
        <v/>
      </c>
      <c r="N299" s="16">
        <f>$H299*Parity!$AG$54</f>
        <v/>
      </c>
      <c r="O299" s="16">
        <f>$M299-$N299</f>
        <v/>
      </c>
      <c r="P299" s="16">
        <f>insurance_rate*insured_value_uplift*$M299</f>
        <v/>
      </c>
      <c r="Q299" s="16">
        <f>$M299+$P299</f>
        <v/>
      </c>
      <c r="R299" s="18">
        <f>$Q299*Parity!$J$54</f>
        <v/>
      </c>
      <c r="S299" s="18">
        <f>$Q299*Parity!$I$54</f>
        <v/>
      </c>
      <c r="T299" s="18">
        <f>$R299*$K299</f>
        <v/>
      </c>
      <c r="U299" s="18">
        <f>$T299*sws_rate_on_bcd</f>
        <v/>
      </c>
      <c r="V299" s="18">
        <f>($R299+$T299+$U299)*igst_rate_hs7602</f>
        <v/>
      </c>
      <c r="W299" s="18">
        <f>Parity!$X$54*Parity!$AG$54+IF(Parity!$Y$54,psic_cost_usd_per_box*Parity!$H$54/Parity!$W$54,0)</f>
        <v/>
      </c>
      <c r="X299" s="18">
        <f>($S299+$T299+$U299)*Parity!$Z$54/day_count_inr*Parity!$O$54</f>
        <v/>
      </c>
      <c r="Y299" s="18">
        <f>$V299*igst_credit_lag_days/day_count_inr*Parity!$O$54</f>
        <v/>
      </c>
      <c r="Z299" s="18">
        <f>$S299+$T299+$U299+$W299+$X299+$Y299+IF(igst_itc_available,0,$V299)</f>
        <v/>
      </c>
      <c r="AA299" s="18">
        <f>Parity!$N$54*kg_per_mt+domestic_anchor_premium_inr_t</f>
        <v/>
      </c>
      <c r="AB299" s="18">
        <f>(1-Parity!$AA$54)*Parity!$AD$54*heavies_net_value_frac_of_lme_al*Parity!$F$54*Parity!$H$54</f>
        <v/>
      </c>
      <c r="AC299" s="18">
        <f>$AA299*Parity!$AU$54+$AB299-$Z299-Parity!$AX$54</f>
        <v/>
      </c>
      <c r="AD299" s="8">
        <f>$AC299&gt;margin_threshold_inr_t</f>
        <v/>
      </c>
      <c r="AE299" s="18">
        <f>($AC299-$L299)*grid_tonnes_mt</f>
        <v/>
      </c>
    </row>
    <row r="300">
      <c r="A300" s="7" t="inlineStr">
        <is>
          <t>first_eligible</t>
        </is>
      </c>
      <c r="B300" s="11" t="n">
        <v>44624</v>
      </c>
      <c r="C300" s="7" t="inlineStr">
        <is>
          <t>zorba</t>
        </is>
      </c>
      <c r="D300" s="7" t="inlineStr">
        <is>
          <t>JEA_NSA</t>
        </is>
      </c>
      <c r="E300" s="7" t="inlineStr">
        <is>
          <t>FOB_desk_books_freight</t>
        </is>
      </c>
      <c r="F300" s="20" t="n">
        <v>20</v>
      </c>
      <c r="G300" s="20" t="n">
        <v>0</v>
      </c>
      <c r="H300" s="16">
        <f>Parity!$L$54*(1+$F300/100)</f>
        <v/>
      </c>
      <c r="I300" s="16">
        <f>Parity!$L$54*Parity!$AG$54*$F300/100</f>
        <v/>
      </c>
      <c r="J300" s="8">
        <f>IF($E300="FOB_desk_books_freight",Parity!$P$54+$I300/Parity!$F$54,Parity!$P$54)</f>
        <v/>
      </c>
      <c r="K300" s="8">
        <f>$G300/100</f>
        <v/>
      </c>
      <c r="L300" s="18">
        <f>Parity!$AY$54</f>
        <v/>
      </c>
      <c r="M300" s="16">
        <f>Parity!$F$54*$J300</f>
        <v/>
      </c>
      <c r="N300" s="16">
        <f>$H300*Parity!$AG$54</f>
        <v/>
      </c>
      <c r="O300" s="16">
        <f>$M300-$N300</f>
        <v/>
      </c>
      <c r="P300" s="16">
        <f>insurance_rate*insured_value_uplift*$M300</f>
        <v/>
      </c>
      <c r="Q300" s="16">
        <f>$M300+$P300</f>
        <v/>
      </c>
      <c r="R300" s="18">
        <f>$Q300*Parity!$J$54</f>
        <v/>
      </c>
      <c r="S300" s="18">
        <f>$Q300*Parity!$I$54</f>
        <v/>
      </c>
      <c r="T300" s="18">
        <f>$R300*$K300</f>
        <v/>
      </c>
      <c r="U300" s="18">
        <f>$T300*sws_rate_on_bcd</f>
        <v/>
      </c>
      <c r="V300" s="18">
        <f>($R300+$T300+$U300)*igst_rate_hs7602</f>
        <v/>
      </c>
      <c r="W300" s="18">
        <f>Parity!$X$54*Parity!$AG$54+IF(Parity!$Y$54,psic_cost_usd_per_box*Parity!$H$54/Parity!$W$54,0)</f>
        <v/>
      </c>
      <c r="X300" s="18">
        <f>($S300+$T300+$U300)*Parity!$Z$54/day_count_inr*Parity!$O$54</f>
        <v/>
      </c>
      <c r="Y300" s="18">
        <f>$V300*igst_credit_lag_days/day_count_inr*Parity!$O$54</f>
        <v/>
      </c>
      <c r="Z300" s="18">
        <f>$S300+$T300+$U300+$W300+$X300+$Y300+IF(igst_itc_available,0,$V300)</f>
        <v/>
      </c>
      <c r="AA300" s="18">
        <f>Parity!$N$54*kg_per_mt+domestic_anchor_premium_inr_t</f>
        <v/>
      </c>
      <c r="AB300" s="18">
        <f>(1-Parity!$AA$54)*Parity!$AD$54*heavies_net_value_frac_of_lme_al*Parity!$F$54*Parity!$H$54</f>
        <v/>
      </c>
      <c r="AC300" s="18">
        <f>$AA300*Parity!$AU$54+$AB300-$Z300-Parity!$AX$54</f>
        <v/>
      </c>
      <c r="AD300" s="8">
        <f>$AC300&gt;margin_threshold_inr_t</f>
        <v/>
      </c>
      <c r="AE300" s="18">
        <f>($AC300-$L300)*grid_tonnes_mt</f>
        <v/>
      </c>
    </row>
    <row r="301">
      <c r="A301" s="7" t="inlineStr">
        <is>
          <t>first_eligible</t>
        </is>
      </c>
      <c r="B301" s="11" t="n">
        <v>44624</v>
      </c>
      <c r="C301" s="7" t="inlineStr">
        <is>
          <t>zorba</t>
        </is>
      </c>
      <c r="D301" s="7" t="inlineStr">
        <is>
          <t>JEA_NSA</t>
        </is>
      </c>
      <c r="E301" s="7" t="inlineStr">
        <is>
          <t>FOB_desk_books_freight</t>
        </is>
      </c>
      <c r="F301" s="20" t="n">
        <v>20</v>
      </c>
      <c r="G301" s="20" t="n">
        <v>2.5</v>
      </c>
      <c r="H301" s="16">
        <f>Parity!$L$54*(1+$F301/100)</f>
        <v/>
      </c>
      <c r="I301" s="16">
        <f>Parity!$L$54*Parity!$AG$54*$F301/100</f>
        <v/>
      </c>
      <c r="J301" s="8">
        <f>IF($E301="FOB_desk_books_freight",Parity!$P$54+$I301/Parity!$F$54,Parity!$P$54)</f>
        <v/>
      </c>
      <c r="K301" s="8">
        <f>$G301/100</f>
        <v/>
      </c>
      <c r="L301" s="18">
        <f>Parity!$AY$54</f>
        <v/>
      </c>
      <c r="M301" s="16">
        <f>Parity!$F$54*$J301</f>
        <v/>
      </c>
      <c r="N301" s="16">
        <f>$H301*Parity!$AG$54</f>
        <v/>
      </c>
      <c r="O301" s="16">
        <f>$M301-$N301</f>
        <v/>
      </c>
      <c r="P301" s="16">
        <f>insurance_rate*insured_value_uplift*$M301</f>
        <v/>
      </c>
      <c r="Q301" s="16">
        <f>$M301+$P301</f>
        <v/>
      </c>
      <c r="R301" s="18">
        <f>$Q301*Parity!$J$54</f>
        <v/>
      </c>
      <c r="S301" s="18">
        <f>$Q301*Parity!$I$54</f>
        <v/>
      </c>
      <c r="T301" s="18">
        <f>$R301*$K301</f>
        <v/>
      </c>
      <c r="U301" s="18">
        <f>$T301*sws_rate_on_bcd</f>
        <v/>
      </c>
      <c r="V301" s="18">
        <f>($R301+$T301+$U301)*igst_rate_hs7602</f>
        <v/>
      </c>
      <c r="W301" s="18">
        <f>Parity!$X$54*Parity!$AG$54+IF(Parity!$Y$54,psic_cost_usd_per_box*Parity!$H$54/Parity!$W$54,0)</f>
        <v/>
      </c>
      <c r="X301" s="18">
        <f>($S301+$T301+$U301)*Parity!$Z$54/day_count_inr*Parity!$O$54</f>
        <v/>
      </c>
      <c r="Y301" s="18">
        <f>$V301*igst_credit_lag_days/day_count_inr*Parity!$O$54</f>
        <v/>
      </c>
      <c r="Z301" s="18">
        <f>$S301+$T301+$U301+$W301+$X301+$Y301+IF(igst_itc_available,0,$V301)</f>
        <v/>
      </c>
      <c r="AA301" s="18">
        <f>Parity!$N$54*kg_per_mt+domestic_anchor_premium_inr_t</f>
        <v/>
      </c>
      <c r="AB301" s="18">
        <f>(1-Parity!$AA$54)*Parity!$AD$54*heavies_net_value_frac_of_lme_al*Parity!$F$54*Parity!$H$54</f>
        <v/>
      </c>
      <c r="AC301" s="18">
        <f>$AA301*Parity!$AU$54+$AB301-$Z301-Parity!$AX$54</f>
        <v/>
      </c>
      <c r="AD301" s="8">
        <f>$AC301&gt;margin_threshold_inr_t</f>
        <v/>
      </c>
      <c r="AE301" s="18">
        <f>($AC301-$L301)*grid_tonnes_mt</f>
        <v/>
      </c>
    </row>
    <row r="302">
      <c r="A302" s="7" t="inlineStr">
        <is>
          <t>first_eligible</t>
        </is>
      </c>
      <c r="B302" s="11" t="n">
        <v>44624</v>
      </c>
      <c r="C302" s="7" t="inlineStr">
        <is>
          <t>zorba</t>
        </is>
      </c>
      <c r="D302" s="7" t="inlineStr">
        <is>
          <t>JEA_NSA</t>
        </is>
      </c>
      <c r="E302" s="7" t="inlineStr">
        <is>
          <t>FOB_desk_books_freight</t>
        </is>
      </c>
      <c r="F302" s="20" t="n">
        <v>20</v>
      </c>
      <c r="G302" s="20" t="n">
        <v>5</v>
      </c>
      <c r="H302" s="16">
        <f>Parity!$L$54*(1+$F302/100)</f>
        <v/>
      </c>
      <c r="I302" s="16">
        <f>Parity!$L$54*Parity!$AG$54*$F302/100</f>
        <v/>
      </c>
      <c r="J302" s="8">
        <f>IF($E302="FOB_desk_books_freight",Parity!$P$54+$I302/Parity!$F$54,Parity!$P$54)</f>
        <v/>
      </c>
      <c r="K302" s="8">
        <f>$G302/100</f>
        <v/>
      </c>
      <c r="L302" s="18">
        <f>Parity!$AY$54</f>
        <v/>
      </c>
      <c r="M302" s="16">
        <f>Parity!$F$54*$J302</f>
        <v/>
      </c>
      <c r="N302" s="16">
        <f>$H302*Parity!$AG$54</f>
        <v/>
      </c>
      <c r="O302" s="16">
        <f>$M302-$N302</f>
        <v/>
      </c>
      <c r="P302" s="16">
        <f>insurance_rate*insured_value_uplift*$M302</f>
        <v/>
      </c>
      <c r="Q302" s="16">
        <f>$M302+$P302</f>
        <v/>
      </c>
      <c r="R302" s="18">
        <f>$Q302*Parity!$J$54</f>
        <v/>
      </c>
      <c r="S302" s="18">
        <f>$Q302*Parity!$I$54</f>
        <v/>
      </c>
      <c r="T302" s="18">
        <f>$R302*$K302</f>
        <v/>
      </c>
      <c r="U302" s="18">
        <f>$T302*sws_rate_on_bcd</f>
        <v/>
      </c>
      <c r="V302" s="18">
        <f>($R302+$T302+$U302)*igst_rate_hs7602</f>
        <v/>
      </c>
      <c r="W302" s="18">
        <f>Parity!$X$54*Parity!$AG$54+IF(Parity!$Y$54,psic_cost_usd_per_box*Parity!$H$54/Parity!$W$54,0)</f>
        <v/>
      </c>
      <c r="X302" s="18">
        <f>($S302+$T302+$U302)*Parity!$Z$54/day_count_inr*Parity!$O$54</f>
        <v/>
      </c>
      <c r="Y302" s="18">
        <f>$V302*igst_credit_lag_days/day_count_inr*Parity!$O$54</f>
        <v/>
      </c>
      <c r="Z302" s="18">
        <f>$S302+$T302+$U302+$W302+$X302+$Y302+IF(igst_itc_available,0,$V302)</f>
        <v/>
      </c>
      <c r="AA302" s="18">
        <f>Parity!$N$54*kg_per_mt+domestic_anchor_premium_inr_t</f>
        <v/>
      </c>
      <c r="AB302" s="18">
        <f>(1-Parity!$AA$54)*Parity!$AD$54*heavies_net_value_frac_of_lme_al*Parity!$F$54*Parity!$H$54</f>
        <v/>
      </c>
      <c r="AC302" s="18">
        <f>$AA302*Parity!$AU$54+$AB302-$Z302-Parity!$AX$54</f>
        <v/>
      </c>
      <c r="AD302" s="8">
        <f>$AC302&gt;margin_threshold_inr_t</f>
        <v/>
      </c>
      <c r="AE302" s="18">
        <f>($AC302-$L302)*grid_tonnes_mt</f>
        <v/>
      </c>
    </row>
    <row r="303">
      <c r="A303" s="7" t="inlineStr">
        <is>
          <t>first_eligible</t>
        </is>
      </c>
      <c r="B303" s="11" t="n">
        <v>44624</v>
      </c>
      <c r="C303" s="7" t="inlineStr">
        <is>
          <t>zorba</t>
        </is>
      </c>
      <c r="D303" s="7" t="inlineStr">
        <is>
          <t>JEA_NSA</t>
        </is>
      </c>
      <c r="E303" s="7" t="inlineStr">
        <is>
          <t>FOB_desk_books_freight</t>
        </is>
      </c>
      <c r="F303" s="20" t="n">
        <v>20</v>
      </c>
      <c r="G303" s="20" t="n">
        <v>7.5</v>
      </c>
      <c r="H303" s="16">
        <f>Parity!$L$54*(1+$F303/100)</f>
        <v/>
      </c>
      <c r="I303" s="16">
        <f>Parity!$L$54*Parity!$AG$54*$F303/100</f>
        <v/>
      </c>
      <c r="J303" s="8">
        <f>IF($E303="FOB_desk_books_freight",Parity!$P$54+$I303/Parity!$F$54,Parity!$P$54)</f>
        <v/>
      </c>
      <c r="K303" s="8">
        <f>$G303/100</f>
        <v/>
      </c>
      <c r="L303" s="18">
        <f>Parity!$AY$54</f>
        <v/>
      </c>
      <c r="M303" s="16">
        <f>Parity!$F$54*$J303</f>
        <v/>
      </c>
      <c r="N303" s="16">
        <f>$H303*Parity!$AG$54</f>
        <v/>
      </c>
      <c r="O303" s="16">
        <f>$M303-$N303</f>
        <v/>
      </c>
      <c r="P303" s="16">
        <f>insurance_rate*insured_value_uplift*$M303</f>
        <v/>
      </c>
      <c r="Q303" s="16">
        <f>$M303+$P303</f>
        <v/>
      </c>
      <c r="R303" s="18">
        <f>$Q303*Parity!$J$54</f>
        <v/>
      </c>
      <c r="S303" s="18">
        <f>$Q303*Parity!$I$54</f>
        <v/>
      </c>
      <c r="T303" s="18">
        <f>$R303*$K303</f>
        <v/>
      </c>
      <c r="U303" s="18">
        <f>$T303*sws_rate_on_bcd</f>
        <v/>
      </c>
      <c r="V303" s="18">
        <f>($R303+$T303+$U303)*igst_rate_hs7602</f>
        <v/>
      </c>
      <c r="W303" s="18">
        <f>Parity!$X$54*Parity!$AG$54+IF(Parity!$Y$54,psic_cost_usd_per_box*Parity!$H$54/Parity!$W$54,0)</f>
        <v/>
      </c>
      <c r="X303" s="18">
        <f>($S303+$T303+$U303)*Parity!$Z$54/day_count_inr*Parity!$O$54</f>
        <v/>
      </c>
      <c r="Y303" s="18">
        <f>$V303*igst_credit_lag_days/day_count_inr*Parity!$O$54</f>
        <v/>
      </c>
      <c r="Z303" s="18">
        <f>$S303+$T303+$U303+$W303+$X303+$Y303+IF(igst_itc_available,0,$V303)</f>
        <v/>
      </c>
      <c r="AA303" s="18">
        <f>Parity!$N$54*kg_per_mt+domestic_anchor_premium_inr_t</f>
        <v/>
      </c>
      <c r="AB303" s="18">
        <f>(1-Parity!$AA$54)*Parity!$AD$54*heavies_net_value_frac_of_lme_al*Parity!$F$54*Parity!$H$54</f>
        <v/>
      </c>
      <c r="AC303" s="18">
        <f>$AA303*Parity!$AU$54+$AB303-$Z303-Parity!$AX$54</f>
        <v/>
      </c>
      <c r="AD303" s="8">
        <f>$AC303&gt;margin_threshold_inr_t</f>
        <v/>
      </c>
      <c r="AE303" s="18">
        <f>($AC303-$L303)*grid_tonnes_mt</f>
        <v/>
      </c>
    </row>
    <row r="304">
      <c r="A304" s="7" t="inlineStr">
        <is>
          <t>first_eligible</t>
        </is>
      </c>
      <c r="B304" s="11" t="n">
        <v>44624</v>
      </c>
      <c r="C304" s="7" t="inlineStr">
        <is>
          <t>zorba</t>
        </is>
      </c>
      <c r="D304" s="7" t="inlineStr">
        <is>
          <t>JEA_NSA</t>
        </is>
      </c>
      <c r="E304" s="7" t="inlineStr">
        <is>
          <t>FOB_desk_books_freight</t>
        </is>
      </c>
      <c r="F304" s="20" t="n">
        <v>20</v>
      </c>
      <c r="G304" s="20" t="n">
        <v>10</v>
      </c>
      <c r="H304" s="16">
        <f>Parity!$L$54*(1+$F304/100)</f>
        <v/>
      </c>
      <c r="I304" s="16">
        <f>Parity!$L$54*Parity!$AG$54*$F304/100</f>
        <v/>
      </c>
      <c r="J304" s="8">
        <f>IF($E304="FOB_desk_books_freight",Parity!$P$54+$I304/Parity!$F$54,Parity!$P$54)</f>
        <v/>
      </c>
      <c r="K304" s="8">
        <f>$G304/100</f>
        <v/>
      </c>
      <c r="L304" s="18">
        <f>Parity!$AY$54</f>
        <v/>
      </c>
      <c r="M304" s="16">
        <f>Parity!$F$54*$J304</f>
        <v/>
      </c>
      <c r="N304" s="16">
        <f>$H304*Parity!$AG$54</f>
        <v/>
      </c>
      <c r="O304" s="16">
        <f>$M304-$N304</f>
        <v/>
      </c>
      <c r="P304" s="16">
        <f>insurance_rate*insured_value_uplift*$M304</f>
        <v/>
      </c>
      <c r="Q304" s="16">
        <f>$M304+$P304</f>
        <v/>
      </c>
      <c r="R304" s="18">
        <f>$Q304*Parity!$J$54</f>
        <v/>
      </c>
      <c r="S304" s="18">
        <f>$Q304*Parity!$I$54</f>
        <v/>
      </c>
      <c r="T304" s="18">
        <f>$R304*$K304</f>
        <v/>
      </c>
      <c r="U304" s="18">
        <f>$T304*sws_rate_on_bcd</f>
        <v/>
      </c>
      <c r="V304" s="18">
        <f>($R304+$T304+$U304)*igst_rate_hs7602</f>
        <v/>
      </c>
      <c r="W304" s="18">
        <f>Parity!$X$54*Parity!$AG$54+IF(Parity!$Y$54,psic_cost_usd_per_box*Parity!$H$54/Parity!$W$54,0)</f>
        <v/>
      </c>
      <c r="X304" s="18">
        <f>($S304+$T304+$U304)*Parity!$Z$54/day_count_inr*Parity!$O$54</f>
        <v/>
      </c>
      <c r="Y304" s="18">
        <f>$V304*igst_credit_lag_days/day_count_inr*Parity!$O$54</f>
        <v/>
      </c>
      <c r="Z304" s="18">
        <f>$S304+$T304+$U304+$W304+$X304+$Y304+IF(igst_itc_available,0,$V304)</f>
        <v/>
      </c>
      <c r="AA304" s="18">
        <f>Parity!$N$54*kg_per_mt+domestic_anchor_premium_inr_t</f>
        <v/>
      </c>
      <c r="AB304" s="18">
        <f>(1-Parity!$AA$54)*Parity!$AD$54*heavies_net_value_frac_of_lme_al*Parity!$F$54*Parity!$H$54</f>
        <v/>
      </c>
      <c r="AC304" s="18">
        <f>$AA304*Parity!$AU$54+$AB304-$Z304-Parity!$AX$54</f>
        <v/>
      </c>
      <c r="AD304" s="8">
        <f>$AC304&gt;margin_threshold_inr_t</f>
        <v/>
      </c>
      <c r="AE304" s="18">
        <f>($AC304-$L304)*grid_tonnes_mt</f>
        <v/>
      </c>
    </row>
    <row r="305">
      <c r="A305" s="7" t="inlineStr">
        <is>
          <t>first_eligible</t>
        </is>
      </c>
      <c r="B305" s="11" t="n">
        <v>44624</v>
      </c>
      <c r="C305" s="7" t="inlineStr">
        <is>
          <t>zorba</t>
        </is>
      </c>
      <c r="D305" s="7" t="inlineStr">
        <is>
          <t>JEA_NSA</t>
        </is>
      </c>
      <c r="E305" s="7" t="inlineStr">
        <is>
          <t>FOB_desk_books_freight</t>
        </is>
      </c>
      <c r="F305" s="20" t="n">
        <v>40</v>
      </c>
      <c r="G305" s="20" t="n">
        <v>0</v>
      </c>
      <c r="H305" s="16">
        <f>Parity!$L$54*(1+$F305/100)</f>
        <v/>
      </c>
      <c r="I305" s="16">
        <f>Parity!$L$54*Parity!$AG$54*$F305/100</f>
        <v/>
      </c>
      <c r="J305" s="8">
        <f>IF($E305="FOB_desk_books_freight",Parity!$P$54+$I305/Parity!$F$54,Parity!$P$54)</f>
        <v/>
      </c>
      <c r="K305" s="8">
        <f>$G305/100</f>
        <v/>
      </c>
      <c r="L305" s="18">
        <f>Parity!$AY$54</f>
        <v/>
      </c>
      <c r="M305" s="16">
        <f>Parity!$F$54*$J305</f>
        <v/>
      </c>
      <c r="N305" s="16">
        <f>$H305*Parity!$AG$54</f>
        <v/>
      </c>
      <c r="O305" s="16">
        <f>$M305-$N305</f>
        <v/>
      </c>
      <c r="P305" s="16">
        <f>insurance_rate*insured_value_uplift*$M305</f>
        <v/>
      </c>
      <c r="Q305" s="16">
        <f>$M305+$P305</f>
        <v/>
      </c>
      <c r="R305" s="18">
        <f>$Q305*Parity!$J$54</f>
        <v/>
      </c>
      <c r="S305" s="18">
        <f>$Q305*Parity!$I$54</f>
        <v/>
      </c>
      <c r="T305" s="18">
        <f>$R305*$K305</f>
        <v/>
      </c>
      <c r="U305" s="18">
        <f>$T305*sws_rate_on_bcd</f>
        <v/>
      </c>
      <c r="V305" s="18">
        <f>($R305+$T305+$U305)*igst_rate_hs7602</f>
        <v/>
      </c>
      <c r="W305" s="18">
        <f>Parity!$X$54*Parity!$AG$54+IF(Parity!$Y$54,psic_cost_usd_per_box*Parity!$H$54/Parity!$W$54,0)</f>
        <v/>
      </c>
      <c r="X305" s="18">
        <f>($S305+$T305+$U305)*Parity!$Z$54/day_count_inr*Parity!$O$54</f>
        <v/>
      </c>
      <c r="Y305" s="18">
        <f>$V305*igst_credit_lag_days/day_count_inr*Parity!$O$54</f>
        <v/>
      </c>
      <c r="Z305" s="18">
        <f>$S305+$T305+$U305+$W305+$X305+$Y305+IF(igst_itc_available,0,$V305)</f>
        <v/>
      </c>
      <c r="AA305" s="18">
        <f>Parity!$N$54*kg_per_mt+domestic_anchor_premium_inr_t</f>
        <v/>
      </c>
      <c r="AB305" s="18">
        <f>(1-Parity!$AA$54)*Parity!$AD$54*heavies_net_value_frac_of_lme_al*Parity!$F$54*Parity!$H$54</f>
        <v/>
      </c>
      <c r="AC305" s="18">
        <f>$AA305*Parity!$AU$54+$AB305-$Z305-Parity!$AX$54</f>
        <v/>
      </c>
      <c r="AD305" s="8">
        <f>$AC305&gt;margin_threshold_inr_t</f>
        <v/>
      </c>
      <c r="AE305" s="18">
        <f>($AC305-$L305)*grid_tonnes_mt</f>
        <v/>
      </c>
    </row>
    <row r="306">
      <c r="A306" s="7" t="inlineStr">
        <is>
          <t>first_eligible</t>
        </is>
      </c>
      <c r="B306" s="11" t="n">
        <v>44624</v>
      </c>
      <c r="C306" s="7" t="inlineStr">
        <is>
          <t>zorba</t>
        </is>
      </c>
      <c r="D306" s="7" t="inlineStr">
        <is>
          <t>JEA_NSA</t>
        </is>
      </c>
      <c r="E306" s="7" t="inlineStr">
        <is>
          <t>FOB_desk_books_freight</t>
        </is>
      </c>
      <c r="F306" s="20" t="n">
        <v>40</v>
      </c>
      <c r="G306" s="20" t="n">
        <v>2.5</v>
      </c>
      <c r="H306" s="16">
        <f>Parity!$L$54*(1+$F306/100)</f>
        <v/>
      </c>
      <c r="I306" s="16">
        <f>Parity!$L$54*Parity!$AG$54*$F306/100</f>
        <v/>
      </c>
      <c r="J306" s="8">
        <f>IF($E306="FOB_desk_books_freight",Parity!$P$54+$I306/Parity!$F$54,Parity!$P$54)</f>
        <v/>
      </c>
      <c r="K306" s="8">
        <f>$G306/100</f>
        <v/>
      </c>
      <c r="L306" s="18">
        <f>Parity!$AY$54</f>
        <v/>
      </c>
      <c r="M306" s="16">
        <f>Parity!$F$54*$J306</f>
        <v/>
      </c>
      <c r="N306" s="16">
        <f>$H306*Parity!$AG$54</f>
        <v/>
      </c>
      <c r="O306" s="16">
        <f>$M306-$N306</f>
        <v/>
      </c>
      <c r="P306" s="16">
        <f>insurance_rate*insured_value_uplift*$M306</f>
        <v/>
      </c>
      <c r="Q306" s="16">
        <f>$M306+$P306</f>
        <v/>
      </c>
      <c r="R306" s="18">
        <f>$Q306*Parity!$J$54</f>
        <v/>
      </c>
      <c r="S306" s="18">
        <f>$Q306*Parity!$I$54</f>
        <v/>
      </c>
      <c r="T306" s="18">
        <f>$R306*$K306</f>
        <v/>
      </c>
      <c r="U306" s="18">
        <f>$T306*sws_rate_on_bcd</f>
        <v/>
      </c>
      <c r="V306" s="18">
        <f>($R306+$T306+$U306)*igst_rate_hs7602</f>
        <v/>
      </c>
      <c r="W306" s="18">
        <f>Parity!$X$54*Parity!$AG$54+IF(Parity!$Y$54,psic_cost_usd_per_box*Parity!$H$54/Parity!$W$54,0)</f>
        <v/>
      </c>
      <c r="X306" s="18">
        <f>($S306+$T306+$U306)*Parity!$Z$54/day_count_inr*Parity!$O$54</f>
        <v/>
      </c>
      <c r="Y306" s="18">
        <f>$V306*igst_credit_lag_days/day_count_inr*Parity!$O$54</f>
        <v/>
      </c>
      <c r="Z306" s="18">
        <f>$S306+$T306+$U306+$W306+$X306+$Y306+IF(igst_itc_available,0,$V306)</f>
        <v/>
      </c>
      <c r="AA306" s="18">
        <f>Parity!$N$54*kg_per_mt+domestic_anchor_premium_inr_t</f>
        <v/>
      </c>
      <c r="AB306" s="18">
        <f>(1-Parity!$AA$54)*Parity!$AD$54*heavies_net_value_frac_of_lme_al*Parity!$F$54*Parity!$H$54</f>
        <v/>
      </c>
      <c r="AC306" s="18">
        <f>$AA306*Parity!$AU$54+$AB306-$Z306-Parity!$AX$54</f>
        <v/>
      </c>
      <c r="AD306" s="8">
        <f>$AC306&gt;margin_threshold_inr_t</f>
        <v/>
      </c>
      <c r="AE306" s="18">
        <f>($AC306-$L306)*grid_tonnes_mt</f>
        <v/>
      </c>
    </row>
    <row r="307">
      <c r="A307" s="7" t="inlineStr">
        <is>
          <t>first_eligible</t>
        </is>
      </c>
      <c r="B307" s="11" t="n">
        <v>44624</v>
      </c>
      <c r="C307" s="7" t="inlineStr">
        <is>
          <t>zorba</t>
        </is>
      </c>
      <c r="D307" s="7" t="inlineStr">
        <is>
          <t>JEA_NSA</t>
        </is>
      </c>
      <c r="E307" s="7" t="inlineStr">
        <is>
          <t>FOB_desk_books_freight</t>
        </is>
      </c>
      <c r="F307" s="20" t="n">
        <v>40</v>
      </c>
      <c r="G307" s="20" t="n">
        <v>5</v>
      </c>
      <c r="H307" s="16">
        <f>Parity!$L$54*(1+$F307/100)</f>
        <v/>
      </c>
      <c r="I307" s="16">
        <f>Parity!$L$54*Parity!$AG$54*$F307/100</f>
        <v/>
      </c>
      <c r="J307" s="8">
        <f>IF($E307="FOB_desk_books_freight",Parity!$P$54+$I307/Parity!$F$54,Parity!$P$54)</f>
        <v/>
      </c>
      <c r="K307" s="8">
        <f>$G307/100</f>
        <v/>
      </c>
      <c r="L307" s="18">
        <f>Parity!$AY$54</f>
        <v/>
      </c>
      <c r="M307" s="16">
        <f>Parity!$F$54*$J307</f>
        <v/>
      </c>
      <c r="N307" s="16">
        <f>$H307*Parity!$AG$54</f>
        <v/>
      </c>
      <c r="O307" s="16">
        <f>$M307-$N307</f>
        <v/>
      </c>
      <c r="P307" s="16">
        <f>insurance_rate*insured_value_uplift*$M307</f>
        <v/>
      </c>
      <c r="Q307" s="16">
        <f>$M307+$P307</f>
        <v/>
      </c>
      <c r="R307" s="18">
        <f>$Q307*Parity!$J$54</f>
        <v/>
      </c>
      <c r="S307" s="18">
        <f>$Q307*Parity!$I$54</f>
        <v/>
      </c>
      <c r="T307" s="18">
        <f>$R307*$K307</f>
        <v/>
      </c>
      <c r="U307" s="18">
        <f>$T307*sws_rate_on_bcd</f>
        <v/>
      </c>
      <c r="V307" s="18">
        <f>($R307+$T307+$U307)*igst_rate_hs7602</f>
        <v/>
      </c>
      <c r="W307" s="18">
        <f>Parity!$X$54*Parity!$AG$54+IF(Parity!$Y$54,psic_cost_usd_per_box*Parity!$H$54/Parity!$W$54,0)</f>
        <v/>
      </c>
      <c r="X307" s="18">
        <f>($S307+$T307+$U307)*Parity!$Z$54/day_count_inr*Parity!$O$54</f>
        <v/>
      </c>
      <c r="Y307" s="18">
        <f>$V307*igst_credit_lag_days/day_count_inr*Parity!$O$54</f>
        <v/>
      </c>
      <c r="Z307" s="18">
        <f>$S307+$T307+$U307+$W307+$X307+$Y307+IF(igst_itc_available,0,$V307)</f>
        <v/>
      </c>
      <c r="AA307" s="18">
        <f>Parity!$N$54*kg_per_mt+domestic_anchor_premium_inr_t</f>
        <v/>
      </c>
      <c r="AB307" s="18">
        <f>(1-Parity!$AA$54)*Parity!$AD$54*heavies_net_value_frac_of_lme_al*Parity!$F$54*Parity!$H$54</f>
        <v/>
      </c>
      <c r="AC307" s="18">
        <f>$AA307*Parity!$AU$54+$AB307-$Z307-Parity!$AX$54</f>
        <v/>
      </c>
      <c r="AD307" s="8">
        <f>$AC307&gt;margin_threshold_inr_t</f>
        <v/>
      </c>
      <c r="AE307" s="18">
        <f>($AC307-$L307)*grid_tonnes_mt</f>
        <v/>
      </c>
    </row>
    <row r="308">
      <c r="A308" s="7" t="inlineStr">
        <is>
          <t>first_eligible</t>
        </is>
      </c>
      <c r="B308" s="11" t="n">
        <v>44624</v>
      </c>
      <c r="C308" s="7" t="inlineStr">
        <is>
          <t>zorba</t>
        </is>
      </c>
      <c r="D308" s="7" t="inlineStr">
        <is>
          <t>JEA_NSA</t>
        </is>
      </c>
      <c r="E308" s="7" t="inlineStr">
        <is>
          <t>FOB_desk_books_freight</t>
        </is>
      </c>
      <c r="F308" s="20" t="n">
        <v>40</v>
      </c>
      <c r="G308" s="20" t="n">
        <v>7.5</v>
      </c>
      <c r="H308" s="16">
        <f>Parity!$L$54*(1+$F308/100)</f>
        <v/>
      </c>
      <c r="I308" s="16">
        <f>Parity!$L$54*Parity!$AG$54*$F308/100</f>
        <v/>
      </c>
      <c r="J308" s="8">
        <f>IF($E308="FOB_desk_books_freight",Parity!$P$54+$I308/Parity!$F$54,Parity!$P$54)</f>
        <v/>
      </c>
      <c r="K308" s="8">
        <f>$G308/100</f>
        <v/>
      </c>
      <c r="L308" s="18">
        <f>Parity!$AY$54</f>
        <v/>
      </c>
      <c r="M308" s="16">
        <f>Parity!$F$54*$J308</f>
        <v/>
      </c>
      <c r="N308" s="16">
        <f>$H308*Parity!$AG$54</f>
        <v/>
      </c>
      <c r="O308" s="16">
        <f>$M308-$N308</f>
        <v/>
      </c>
      <c r="P308" s="16">
        <f>insurance_rate*insured_value_uplift*$M308</f>
        <v/>
      </c>
      <c r="Q308" s="16">
        <f>$M308+$P308</f>
        <v/>
      </c>
      <c r="R308" s="18">
        <f>$Q308*Parity!$J$54</f>
        <v/>
      </c>
      <c r="S308" s="18">
        <f>$Q308*Parity!$I$54</f>
        <v/>
      </c>
      <c r="T308" s="18">
        <f>$R308*$K308</f>
        <v/>
      </c>
      <c r="U308" s="18">
        <f>$T308*sws_rate_on_bcd</f>
        <v/>
      </c>
      <c r="V308" s="18">
        <f>($R308+$T308+$U308)*igst_rate_hs7602</f>
        <v/>
      </c>
      <c r="W308" s="18">
        <f>Parity!$X$54*Parity!$AG$54+IF(Parity!$Y$54,psic_cost_usd_per_box*Parity!$H$54/Parity!$W$54,0)</f>
        <v/>
      </c>
      <c r="X308" s="18">
        <f>($S308+$T308+$U308)*Parity!$Z$54/day_count_inr*Parity!$O$54</f>
        <v/>
      </c>
      <c r="Y308" s="18">
        <f>$V308*igst_credit_lag_days/day_count_inr*Parity!$O$54</f>
        <v/>
      </c>
      <c r="Z308" s="18">
        <f>$S308+$T308+$U308+$W308+$X308+$Y308+IF(igst_itc_available,0,$V308)</f>
        <v/>
      </c>
      <c r="AA308" s="18">
        <f>Parity!$N$54*kg_per_mt+domestic_anchor_premium_inr_t</f>
        <v/>
      </c>
      <c r="AB308" s="18">
        <f>(1-Parity!$AA$54)*Parity!$AD$54*heavies_net_value_frac_of_lme_al*Parity!$F$54*Parity!$H$54</f>
        <v/>
      </c>
      <c r="AC308" s="18">
        <f>$AA308*Parity!$AU$54+$AB308-$Z308-Parity!$AX$54</f>
        <v/>
      </c>
      <c r="AD308" s="8">
        <f>$AC308&gt;margin_threshold_inr_t</f>
        <v/>
      </c>
      <c r="AE308" s="18">
        <f>($AC308-$L308)*grid_tonnes_mt</f>
        <v/>
      </c>
    </row>
    <row r="309">
      <c r="A309" s="7" t="inlineStr">
        <is>
          <t>first_eligible</t>
        </is>
      </c>
      <c r="B309" s="11" t="n">
        <v>44624</v>
      </c>
      <c r="C309" s="7" t="inlineStr">
        <is>
          <t>zorba</t>
        </is>
      </c>
      <c r="D309" s="7" t="inlineStr">
        <is>
          <t>JEA_NSA</t>
        </is>
      </c>
      <c r="E309" s="7" t="inlineStr">
        <is>
          <t>FOB_desk_books_freight</t>
        </is>
      </c>
      <c r="F309" s="20" t="n">
        <v>40</v>
      </c>
      <c r="G309" s="20" t="n">
        <v>10</v>
      </c>
      <c r="H309" s="16">
        <f>Parity!$L$54*(1+$F309/100)</f>
        <v/>
      </c>
      <c r="I309" s="16">
        <f>Parity!$L$54*Parity!$AG$54*$F309/100</f>
        <v/>
      </c>
      <c r="J309" s="8">
        <f>IF($E309="FOB_desk_books_freight",Parity!$P$54+$I309/Parity!$F$54,Parity!$P$54)</f>
        <v/>
      </c>
      <c r="K309" s="8">
        <f>$G309/100</f>
        <v/>
      </c>
      <c r="L309" s="18">
        <f>Parity!$AY$54</f>
        <v/>
      </c>
      <c r="M309" s="16">
        <f>Parity!$F$54*$J309</f>
        <v/>
      </c>
      <c r="N309" s="16">
        <f>$H309*Parity!$AG$54</f>
        <v/>
      </c>
      <c r="O309" s="16">
        <f>$M309-$N309</f>
        <v/>
      </c>
      <c r="P309" s="16">
        <f>insurance_rate*insured_value_uplift*$M309</f>
        <v/>
      </c>
      <c r="Q309" s="16">
        <f>$M309+$P309</f>
        <v/>
      </c>
      <c r="R309" s="18">
        <f>$Q309*Parity!$J$54</f>
        <v/>
      </c>
      <c r="S309" s="18">
        <f>$Q309*Parity!$I$54</f>
        <v/>
      </c>
      <c r="T309" s="18">
        <f>$R309*$K309</f>
        <v/>
      </c>
      <c r="U309" s="18">
        <f>$T309*sws_rate_on_bcd</f>
        <v/>
      </c>
      <c r="V309" s="18">
        <f>($R309+$T309+$U309)*igst_rate_hs7602</f>
        <v/>
      </c>
      <c r="W309" s="18">
        <f>Parity!$X$54*Parity!$AG$54+IF(Parity!$Y$54,psic_cost_usd_per_box*Parity!$H$54/Parity!$W$54,0)</f>
        <v/>
      </c>
      <c r="X309" s="18">
        <f>($S309+$T309+$U309)*Parity!$Z$54/day_count_inr*Parity!$O$54</f>
        <v/>
      </c>
      <c r="Y309" s="18">
        <f>$V309*igst_credit_lag_days/day_count_inr*Parity!$O$54</f>
        <v/>
      </c>
      <c r="Z309" s="18">
        <f>$S309+$T309+$U309+$W309+$X309+$Y309+IF(igst_itc_available,0,$V309)</f>
        <v/>
      </c>
      <c r="AA309" s="18">
        <f>Parity!$N$54*kg_per_mt+domestic_anchor_premium_inr_t</f>
        <v/>
      </c>
      <c r="AB309" s="18">
        <f>(1-Parity!$AA$54)*Parity!$AD$54*heavies_net_value_frac_of_lme_al*Parity!$F$54*Parity!$H$54</f>
        <v/>
      </c>
      <c r="AC309" s="18">
        <f>$AA309*Parity!$AU$54+$AB309-$Z309-Parity!$AX$54</f>
        <v/>
      </c>
      <c r="AD309" s="8">
        <f>$AC309&gt;margin_threshold_inr_t</f>
        <v/>
      </c>
      <c r="AE309" s="18">
        <f>($AC309-$L309)*grid_tonnes_mt</f>
        <v/>
      </c>
    </row>
    <row r="310">
      <c r="A310" s="7" t="inlineStr">
        <is>
          <t>first_eligible</t>
        </is>
      </c>
      <c r="B310" s="11" t="n">
        <v>44624</v>
      </c>
      <c r="C310" s="7" t="inlineStr">
        <is>
          <t>zorba</t>
        </is>
      </c>
      <c r="D310" s="7" t="inlineStr">
        <is>
          <t>JEA_NSA</t>
        </is>
      </c>
      <c r="E310" s="7" t="inlineStr">
        <is>
          <t>FOB_desk_books_freight</t>
        </is>
      </c>
      <c r="F310" s="20" t="n">
        <v>60</v>
      </c>
      <c r="G310" s="20" t="n">
        <v>0</v>
      </c>
      <c r="H310" s="16">
        <f>Parity!$L$54*(1+$F310/100)</f>
        <v/>
      </c>
      <c r="I310" s="16">
        <f>Parity!$L$54*Parity!$AG$54*$F310/100</f>
        <v/>
      </c>
      <c r="J310" s="8">
        <f>IF($E310="FOB_desk_books_freight",Parity!$P$54+$I310/Parity!$F$54,Parity!$P$54)</f>
        <v/>
      </c>
      <c r="K310" s="8">
        <f>$G310/100</f>
        <v/>
      </c>
      <c r="L310" s="18">
        <f>Parity!$AY$54</f>
        <v/>
      </c>
      <c r="M310" s="16">
        <f>Parity!$F$54*$J310</f>
        <v/>
      </c>
      <c r="N310" s="16">
        <f>$H310*Parity!$AG$54</f>
        <v/>
      </c>
      <c r="O310" s="16">
        <f>$M310-$N310</f>
        <v/>
      </c>
      <c r="P310" s="16">
        <f>insurance_rate*insured_value_uplift*$M310</f>
        <v/>
      </c>
      <c r="Q310" s="16">
        <f>$M310+$P310</f>
        <v/>
      </c>
      <c r="R310" s="18">
        <f>$Q310*Parity!$J$54</f>
        <v/>
      </c>
      <c r="S310" s="18">
        <f>$Q310*Parity!$I$54</f>
        <v/>
      </c>
      <c r="T310" s="18">
        <f>$R310*$K310</f>
        <v/>
      </c>
      <c r="U310" s="18">
        <f>$T310*sws_rate_on_bcd</f>
        <v/>
      </c>
      <c r="V310" s="18">
        <f>($R310+$T310+$U310)*igst_rate_hs7602</f>
        <v/>
      </c>
      <c r="W310" s="18">
        <f>Parity!$X$54*Parity!$AG$54+IF(Parity!$Y$54,psic_cost_usd_per_box*Parity!$H$54/Parity!$W$54,0)</f>
        <v/>
      </c>
      <c r="X310" s="18">
        <f>($S310+$T310+$U310)*Parity!$Z$54/day_count_inr*Parity!$O$54</f>
        <v/>
      </c>
      <c r="Y310" s="18">
        <f>$V310*igst_credit_lag_days/day_count_inr*Parity!$O$54</f>
        <v/>
      </c>
      <c r="Z310" s="18">
        <f>$S310+$T310+$U310+$W310+$X310+$Y310+IF(igst_itc_available,0,$V310)</f>
        <v/>
      </c>
      <c r="AA310" s="18">
        <f>Parity!$N$54*kg_per_mt+domestic_anchor_premium_inr_t</f>
        <v/>
      </c>
      <c r="AB310" s="18">
        <f>(1-Parity!$AA$54)*Parity!$AD$54*heavies_net_value_frac_of_lme_al*Parity!$F$54*Parity!$H$54</f>
        <v/>
      </c>
      <c r="AC310" s="18">
        <f>$AA310*Parity!$AU$54+$AB310-$Z310-Parity!$AX$54</f>
        <v/>
      </c>
      <c r="AD310" s="8">
        <f>$AC310&gt;margin_threshold_inr_t</f>
        <v/>
      </c>
      <c r="AE310" s="18">
        <f>($AC310-$L310)*grid_tonnes_mt</f>
        <v/>
      </c>
    </row>
    <row r="311">
      <c r="A311" s="7" t="inlineStr">
        <is>
          <t>first_eligible</t>
        </is>
      </c>
      <c r="B311" s="11" t="n">
        <v>44624</v>
      </c>
      <c r="C311" s="7" t="inlineStr">
        <is>
          <t>zorba</t>
        </is>
      </c>
      <c r="D311" s="7" t="inlineStr">
        <is>
          <t>JEA_NSA</t>
        </is>
      </c>
      <c r="E311" s="7" t="inlineStr">
        <is>
          <t>FOB_desk_books_freight</t>
        </is>
      </c>
      <c r="F311" s="20" t="n">
        <v>60</v>
      </c>
      <c r="G311" s="20" t="n">
        <v>2.5</v>
      </c>
      <c r="H311" s="16">
        <f>Parity!$L$54*(1+$F311/100)</f>
        <v/>
      </c>
      <c r="I311" s="16">
        <f>Parity!$L$54*Parity!$AG$54*$F311/100</f>
        <v/>
      </c>
      <c r="J311" s="8">
        <f>IF($E311="FOB_desk_books_freight",Parity!$P$54+$I311/Parity!$F$54,Parity!$P$54)</f>
        <v/>
      </c>
      <c r="K311" s="8">
        <f>$G311/100</f>
        <v/>
      </c>
      <c r="L311" s="18">
        <f>Parity!$AY$54</f>
        <v/>
      </c>
      <c r="M311" s="16">
        <f>Parity!$F$54*$J311</f>
        <v/>
      </c>
      <c r="N311" s="16">
        <f>$H311*Parity!$AG$54</f>
        <v/>
      </c>
      <c r="O311" s="16">
        <f>$M311-$N311</f>
        <v/>
      </c>
      <c r="P311" s="16">
        <f>insurance_rate*insured_value_uplift*$M311</f>
        <v/>
      </c>
      <c r="Q311" s="16">
        <f>$M311+$P311</f>
        <v/>
      </c>
      <c r="R311" s="18">
        <f>$Q311*Parity!$J$54</f>
        <v/>
      </c>
      <c r="S311" s="18">
        <f>$Q311*Parity!$I$54</f>
        <v/>
      </c>
      <c r="T311" s="18">
        <f>$R311*$K311</f>
        <v/>
      </c>
      <c r="U311" s="18">
        <f>$T311*sws_rate_on_bcd</f>
        <v/>
      </c>
      <c r="V311" s="18">
        <f>($R311+$T311+$U311)*igst_rate_hs7602</f>
        <v/>
      </c>
      <c r="W311" s="18">
        <f>Parity!$X$54*Parity!$AG$54+IF(Parity!$Y$54,psic_cost_usd_per_box*Parity!$H$54/Parity!$W$54,0)</f>
        <v/>
      </c>
      <c r="X311" s="18">
        <f>($S311+$T311+$U311)*Parity!$Z$54/day_count_inr*Parity!$O$54</f>
        <v/>
      </c>
      <c r="Y311" s="18">
        <f>$V311*igst_credit_lag_days/day_count_inr*Parity!$O$54</f>
        <v/>
      </c>
      <c r="Z311" s="18">
        <f>$S311+$T311+$U311+$W311+$X311+$Y311+IF(igst_itc_available,0,$V311)</f>
        <v/>
      </c>
      <c r="AA311" s="18">
        <f>Parity!$N$54*kg_per_mt+domestic_anchor_premium_inr_t</f>
        <v/>
      </c>
      <c r="AB311" s="18">
        <f>(1-Parity!$AA$54)*Parity!$AD$54*heavies_net_value_frac_of_lme_al*Parity!$F$54*Parity!$H$54</f>
        <v/>
      </c>
      <c r="AC311" s="18">
        <f>$AA311*Parity!$AU$54+$AB311-$Z311-Parity!$AX$54</f>
        <v/>
      </c>
      <c r="AD311" s="8">
        <f>$AC311&gt;margin_threshold_inr_t</f>
        <v/>
      </c>
      <c r="AE311" s="18">
        <f>($AC311-$L311)*grid_tonnes_mt</f>
        <v/>
      </c>
    </row>
    <row r="312">
      <c r="A312" s="7" t="inlineStr">
        <is>
          <t>first_eligible</t>
        </is>
      </c>
      <c r="B312" s="11" t="n">
        <v>44624</v>
      </c>
      <c r="C312" s="7" t="inlineStr">
        <is>
          <t>zorba</t>
        </is>
      </c>
      <c r="D312" s="7" t="inlineStr">
        <is>
          <t>JEA_NSA</t>
        </is>
      </c>
      <c r="E312" s="7" t="inlineStr">
        <is>
          <t>FOB_desk_books_freight</t>
        </is>
      </c>
      <c r="F312" s="20" t="n">
        <v>60</v>
      </c>
      <c r="G312" s="20" t="n">
        <v>5</v>
      </c>
      <c r="H312" s="16">
        <f>Parity!$L$54*(1+$F312/100)</f>
        <v/>
      </c>
      <c r="I312" s="16">
        <f>Parity!$L$54*Parity!$AG$54*$F312/100</f>
        <v/>
      </c>
      <c r="J312" s="8">
        <f>IF($E312="FOB_desk_books_freight",Parity!$P$54+$I312/Parity!$F$54,Parity!$P$54)</f>
        <v/>
      </c>
      <c r="K312" s="8">
        <f>$G312/100</f>
        <v/>
      </c>
      <c r="L312" s="18">
        <f>Parity!$AY$54</f>
        <v/>
      </c>
      <c r="M312" s="16">
        <f>Parity!$F$54*$J312</f>
        <v/>
      </c>
      <c r="N312" s="16">
        <f>$H312*Parity!$AG$54</f>
        <v/>
      </c>
      <c r="O312" s="16">
        <f>$M312-$N312</f>
        <v/>
      </c>
      <c r="P312" s="16">
        <f>insurance_rate*insured_value_uplift*$M312</f>
        <v/>
      </c>
      <c r="Q312" s="16">
        <f>$M312+$P312</f>
        <v/>
      </c>
      <c r="R312" s="18">
        <f>$Q312*Parity!$J$54</f>
        <v/>
      </c>
      <c r="S312" s="18">
        <f>$Q312*Parity!$I$54</f>
        <v/>
      </c>
      <c r="T312" s="18">
        <f>$R312*$K312</f>
        <v/>
      </c>
      <c r="U312" s="18">
        <f>$T312*sws_rate_on_bcd</f>
        <v/>
      </c>
      <c r="V312" s="18">
        <f>($R312+$T312+$U312)*igst_rate_hs7602</f>
        <v/>
      </c>
      <c r="W312" s="18">
        <f>Parity!$X$54*Parity!$AG$54+IF(Parity!$Y$54,psic_cost_usd_per_box*Parity!$H$54/Parity!$W$54,0)</f>
        <v/>
      </c>
      <c r="X312" s="18">
        <f>($S312+$T312+$U312)*Parity!$Z$54/day_count_inr*Parity!$O$54</f>
        <v/>
      </c>
      <c r="Y312" s="18">
        <f>$V312*igst_credit_lag_days/day_count_inr*Parity!$O$54</f>
        <v/>
      </c>
      <c r="Z312" s="18">
        <f>$S312+$T312+$U312+$W312+$X312+$Y312+IF(igst_itc_available,0,$V312)</f>
        <v/>
      </c>
      <c r="AA312" s="18">
        <f>Parity!$N$54*kg_per_mt+domestic_anchor_premium_inr_t</f>
        <v/>
      </c>
      <c r="AB312" s="18">
        <f>(1-Parity!$AA$54)*Parity!$AD$54*heavies_net_value_frac_of_lme_al*Parity!$F$54*Parity!$H$54</f>
        <v/>
      </c>
      <c r="AC312" s="18">
        <f>$AA312*Parity!$AU$54+$AB312-$Z312-Parity!$AX$54</f>
        <v/>
      </c>
      <c r="AD312" s="8">
        <f>$AC312&gt;margin_threshold_inr_t</f>
        <v/>
      </c>
      <c r="AE312" s="18">
        <f>($AC312-$L312)*grid_tonnes_mt</f>
        <v/>
      </c>
    </row>
    <row r="313">
      <c r="A313" s="7" t="inlineStr">
        <is>
          <t>first_eligible</t>
        </is>
      </c>
      <c r="B313" s="11" t="n">
        <v>44624</v>
      </c>
      <c r="C313" s="7" t="inlineStr">
        <is>
          <t>zorba</t>
        </is>
      </c>
      <c r="D313" s="7" t="inlineStr">
        <is>
          <t>JEA_NSA</t>
        </is>
      </c>
      <c r="E313" s="7" t="inlineStr">
        <is>
          <t>FOB_desk_books_freight</t>
        </is>
      </c>
      <c r="F313" s="20" t="n">
        <v>60</v>
      </c>
      <c r="G313" s="20" t="n">
        <v>7.5</v>
      </c>
      <c r="H313" s="16">
        <f>Parity!$L$54*(1+$F313/100)</f>
        <v/>
      </c>
      <c r="I313" s="16">
        <f>Parity!$L$54*Parity!$AG$54*$F313/100</f>
        <v/>
      </c>
      <c r="J313" s="8">
        <f>IF($E313="FOB_desk_books_freight",Parity!$P$54+$I313/Parity!$F$54,Parity!$P$54)</f>
        <v/>
      </c>
      <c r="K313" s="8">
        <f>$G313/100</f>
        <v/>
      </c>
      <c r="L313" s="18">
        <f>Parity!$AY$54</f>
        <v/>
      </c>
      <c r="M313" s="16">
        <f>Parity!$F$54*$J313</f>
        <v/>
      </c>
      <c r="N313" s="16">
        <f>$H313*Parity!$AG$54</f>
        <v/>
      </c>
      <c r="O313" s="16">
        <f>$M313-$N313</f>
        <v/>
      </c>
      <c r="P313" s="16">
        <f>insurance_rate*insured_value_uplift*$M313</f>
        <v/>
      </c>
      <c r="Q313" s="16">
        <f>$M313+$P313</f>
        <v/>
      </c>
      <c r="R313" s="18">
        <f>$Q313*Parity!$J$54</f>
        <v/>
      </c>
      <c r="S313" s="18">
        <f>$Q313*Parity!$I$54</f>
        <v/>
      </c>
      <c r="T313" s="18">
        <f>$R313*$K313</f>
        <v/>
      </c>
      <c r="U313" s="18">
        <f>$T313*sws_rate_on_bcd</f>
        <v/>
      </c>
      <c r="V313" s="18">
        <f>($R313+$T313+$U313)*igst_rate_hs7602</f>
        <v/>
      </c>
      <c r="W313" s="18">
        <f>Parity!$X$54*Parity!$AG$54+IF(Parity!$Y$54,psic_cost_usd_per_box*Parity!$H$54/Parity!$W$54,0)</f>
        <v/>
      </c>
      <c r="X313" s="18">
        <f>($S313+$T313+$U313)*Parity!$Z$54/day_count_inr*Parity!$O$54</f>
        <v/>
      </c>
      <c r="Y313" s="18">
        <f>$V313*igst_credit_lag_days/day_count_inr*Parity!$O$54</f>
        <v/>
      </c>
      <c r="Z313" s="18">
        <f>$S313+$T313+$U313+$W313+$X313+$Y313+IF(igst_itc_available,0,$V313)</f>
        <v/>
      </c>
      <c r="AA313" s="18">
        <f>Parity!$N$54*kg_per_mt+domestic_anchor_premium_inr_t</f>
        <v/>
      </c>
      <c r="AB313" s="18">
        <f>(1-Parity!$AA$54)*Parity!$AD$54*heavies_net_value_frac_of_lme_al*Parity!$F$54*Parity!$H$54</f>
        <v/>
      </c>
      <c r="AC313" s="18">
        <f>$AA313*Parity!$AU$54+$AB313-$Z313-Parity!$AX$54</f>
        <v/>
      </c>
      <c r="AD313" s="8">
        <f>$AC313&gt;margin_threshold_inr_t</f>
        <v/>
      </c>
      <c r="AE313" s="18">
        <f>($AC313-$L313)*grid_tonnes_mt</f>
        <v/>
      </c>
    </row>
    <row r="314">
      <c r="A314" s="7" t="inlineStr">
        <is>
          <t>first_eligible</t>
        </is>
      </c>
      <c r="B314" s="11" t="n">
        <v>44624</v>
      </c>
      <c r="C314" s="7" t="inlineStr">
        <is>
          <t>zorba</t>
        </is>
      </c>
      <c r="D314" s="7" t="inlineStr">
        <is>
          <t>JEA_NSA</t>
        </is>
      </c>
      <c r="E314" s="7" t="inlineStr">
        <is>
          <t>FOB_desk_books_freight</t>
        </is>
      </c>
      <c r="F314" s="20" t="n">
        <v>60</v>
      </c>
      <c r="G314" s="20" t="n">
        <v>10</v>
      </c>
      <c r="H314" s="16">
        <f>Parity!$L$54*(1+$F314/100)</f>
        <v/>
      </c>
      <c r="I314" s="16">
        <f>Parity!$L$54*Parity!$AG$54*$F314/100</f>
        <v/>
      </c>
      <c r="J314" s="8">
        <f>IF($E314="FOB_desk_books_freight",Parity!$P$54+$I314/Parity!$F$54,Parity!$P$54)</f>
        <v/>
      </c>
      <c r="K314" s="8">
        <f>$G314/100</f>
        <v/>
      </c>
      <c r="L314" s="18">
        <f>Parity!$AY$54</f>
        <v/>
      </c>
      <c r="M314" s="16">
        <f>Parity!$F$54*$J314</f>
        <v/>
      </c>
      <c r="N314" s="16">
        <f>$H314*Parity!$AG$54</f>
        <v/>
      </c>
      <c r="O314" s="16">
        <f>$M314-$N314</f>
        <v/>
      </c>
      <c r="P314" s="16">
        <f>insurance_rate*insured_value_uplift*$M314</f>
        <v/>
      </c>
      <c r="Q314" s="16">
        <f>$M314+$P314</f>
        <v/>
      </c>
      <c r="R314" s="18">
        <f>$Q314*Parity!$J$54</f>
        <v/>
      </c>
      <c r="S314" s="18">
        <f>$Q314*Parity!$I$54</f>
        <v/>
      </c>
      <c r="T314" s="18">
        <f>$R314*$K314</f>
        <v/>
      </c>
      <c r="U314" s="18">
        <f>$T314*sws_rate_on_bcd</f>
        <v/>
      </c>
      <c r="V314" s="18">
        <f>($R314+$T314+$U314)*igst_rate_hs7602</f>
        <v/>
      </c>
      <c r="W314" s="18">
        <f>Parity!$X$54*Parity!$AG$54+IF(Parity!$Y$54,psic_cost_usd_per_box*Parity!$H$54/Parity!$W$54,0)</f>
        <v/>
      </c>
      <c r="X314" s="18">
        <f>($S314+$T314+$U314)*Parity!$Z$54/day_count_inr*Parity!$O$54</f>
        <v/>
      </c>
      <c r="Y314" s="18">
        <f>$V314*igst_credit_lag_days/day_count_inr*Parity!$O$54</f>
        <v/>
      </c>
      <c r="Z314" s="18">
        <f>$S314+$T314+$U314+$W314+$X314+$Y314+IF(igst_itc_available,0,$V314)</f>
        <v/>
      </c>
      <c r="AA314" s="18">
        <f>Parity!$N$54*kg_per_mt+domestic_anchor_premium_inr_t</f>
        <v/>
      </c>
      <c r="AB314" s="18">
        <f>(1-Parity!$AA$54)*Parity!$AD$54*heavies_net_value_frac_of_lme_al*Parity!$F$54*Parity!$H$54</f>
        <v/>
      </c>
      <c r="AC314" s="18">
        <f>$AA314*Parity!$AU$54+$AB314-$Z314-Parity!$AX$54</f>
        <v/>
      </c>
      <c r="AD314" s="8">
        <f>$AC314&gt;margin_threshold_inr_t</f>
        <v/>
      </c>
      <c r="AE314" s="18">
        <f>($AC314-$L314)*grid_tonnes_mt</f>
        <v/>
      </c>
    </row>
    <row r="315">
      <c r="A315" s="7" t="inlineStr">
        <is>
          <t>first_eligible</t>
        </is>
      </c>
      <c r="B315" s="11" t="n">
        <v>44624</v>
      </c>
      <c r="C315" s="7" t="inlineStr">
        <is>
          <t>zorba</t>
        </is>
      </c>
      <c r="D315" s="7" t="inlineStr">
        <is>
          <t>JEA_NSA</t>
        </is>
      </c>
      <c r="E315" s="7" t="inlineStr">
        <is>
          <t>CFR_seller_books_freight</t>
        </is>
      </c>
      <c r="F315" s="20" t="n">
        <v>-40</v>
      </c>
      <c r="G315" s="20" t="n">
        <v>0</v>
      </c>
      <c r="H315" s="16">
        <f>Parity!$L$54*(1+$F315/100)</f>
        <v/>
      </c>
      <c r="I315" s="16">
        <f>Parity!$L$54*Parity!$AG$54*$F315/100</f>
        <v/>
      </c>
      <c r="J315" s="8">
        <f>IF($E315="FOB_desk_books_freight",Parity!$P$54+$I315/Parity!$F$54,Parity!$P$54)</f>
        <v/>
      </c>
      <c r="K315" s="8">
        <f>$G315/100</f>
        <v/>
      </c>
      <c r="L315" s="18">
        <f>Parity!$AY$54</f>
        <v/>
      </c>
      <c r="M315" s="16">
        <f>Parity!$F$54*$J315</f>
        <v/>
      </c>
      <c r="N315" s="16">
        <f>$H315*Parity!$AG$54</f>
        <v/>
      </c>
      <c r="O315" s="16">
        <f>$M315-$N315</f>
        <v/>
      </c>
      <c r="P315" s="16">
        <f>insurance_rate*insured_value_uplift*$M315</f>
        <v/>
      </c>
      <c r="Q315" s="16">
        <f>$M315+$P315</f>
        <v/>
      </c>
      <c r="R315" s="18">
        <f>$Q315*Parity!$J$54</f>
        <v/>
      </c>
      <c r="S315" s="18">
        <f>$Q315*Parity!$I$54</f>
        <v/>
      </c>
      <c r="T315" s="18">
        <f>$R315*$K315</f>
        <v/>
      </c>
      <c r="U315" s="18">
        <f>$T315*sws_rate_on_bcd</f>
        <v/>
      </c>
      <c r="V315" s="18">
        <f>($R315+$T315+$U315)*igst_rate_hs7602</f>
        <v/>
      </c>
      <c r="W315" s="18">
        <f>Parity!$X$54*Parity!$AG$54+IF(Parity!$Y$54,psic_cost_usd_per_box*Parity!$H$54/Parity!$W$54,0)</f>
        <v/>
      </c>
      <c r="X315" s="18">
        <f>($S315+$T315+$U315)*Parity!$Z$54/day_count_inr*Parity!$O$54</f>
        <v/>
      </c>
      <c r="Y315" s="18">
        <f>$V315*igst_credit_lag_days/day_count_inr*Parity!$O$54</f>
        <v/>
      </c>
      <c r="Z315" s="18">
        <f>$S315+$T315+$U315+$W315+$X315+$Y315+IF(igst_itc_available,0,$V315)</f>
        <v/>
      </c>
      <c r="AA315" s="18">
        <f>Parity!$N$54*kg_per_mt+domestic_anchor_premium_inr_t</f>
        <v/>
      </c>
      <c r="AB315" s="18">
        <f>(1-Parity!$AA$54)*Parity!$AD$54*heavies_net_value_frac_of_lme_al*Parity!$F$54*Parity!$H$54</f>
        <v/>
      </c>
      <c r="AC315" s="18">
        <f>$AA315*Parity!$AU$54+$AB315-$Z315-Parity!$AX$54</f>
        <v/>
      </c>
      <c r="AD315" s="8">
        <f>$AC315&gt;margin_threshold_inr_t</f>
        <v/>
      </c>
      <c r="AE315" s="18">
        <f>($AC315-$L315)*grid_tonnes_mt</f>
        <v/>
      </c>
    </row>
    <row r="316">
      <c r="A316" s="7" t="inlineStr">
        <is>
          <t>first_eligible</t>
        </is>
      </c>
      <c r="B316" s="11" t="n">
        <v>44624</v>
      </c>
      <c r="C316" s="7" t="inlineStr">
        <is>
          <t>zorba</t>
        </is>
      </c>
      <c r="D316" s="7" t="inlineStr">
        <is>
          <t>JEA_NSA</t>
        </is>
      </c>
      <c r="E316" s="7" t="inlineStr">
        <is>
          <t>CFR_seller_books_freight</t>
        </is>
      </c>
      <c r="F316" s="20" t="n">
        <v>-40</v>
      </c>
      <c r="G316" s="20" t="n">
        <v>2.5</v>
      </c>
      <c r="H316" s="16">
        <f>Parity!$L$54*(1+$F316/100)</f>
        <v/>
      </c>
      <c r="I316" s="16">
        <f>Parity!$L$54*Parity!$AG$54*$F316/100</f>
        <v/>
      </c>
      <c r="J316" s="8">
        <f>IF($E316="FOB_desk_books_freight",Parity!$P$54+$I316/Parity!$F$54,Parity!$P$54)</f>
        <v/>
      </c>
      <c r="K316" s="8">
        <f>$G316/100</f>
        <v/>
      </c>
      <c r="L316" s="18">
        <f>Parity!$AY$54</f>
        <v/>
      </c>
      <c r="M316" s="16">
        <f>Parity!$F$54*$J316</f>
        <v/>
      </c>
      <c r="N316" s="16">
        <f>$H316*Parity!$AG$54</f>
        <v/>
      </c>
      <c r="O316" s="16">
        <f>$M316-$N316</f>
        <v/>
      </c>
      <c r="P316" s="16">
        <f>insurance_rate*insured_value_uplift*$M316</f>
        <v/>
      </c>
      <c r="Q316" s="16">
        <f>$M316+$P316</f>
        <v/>
      </c>
      <c r="R316" s="18">
        <f>$Q316*Parity!$J$54</f>
        <v/>
      </c>
      <c r="S316" s="18">
        <f>$Q316*Parity!$I$54</f>
        <v/>
      </c>
      <c r="T316" s="18">
        <f>$R316*$K316</f>
        <v/>
      </c>
      <c r="U316" s="18">
        <f>$T316*sws_rate_on_bcd</f>
        <v/>
      </c>
      <c r="V316" s="18">
        <f>($R316+$T316+$U316)*igst_rate_hs7602</f>
        <v/>
      </c>
      <c r="W316" s="18">
        <f>Parity!$X$54*Parity!$AG$54+IF(Parity!$Y$54,psic_cost_usd_per_box*Parity!$H$54/Parity!$W$54,0)</f>
        <v/>
      </c>
      <c r="X316" s="18">
        <f>($S316+$T316+$U316)*Parity!$Z$54/day_count_inr*Parity!$O$54</f>
        <v/>
      </c>
      <c r="Y316" s="18">
        <f>$V316*igst_credit_lag_days/day_count_inr*Parity!$O$54</f>
        <v/>
      </c>
      <c r="Z316" s="18">
        <f>$S316+$T316+$U316+$W316+$X316+$Y316+IF(igst_itc_available,0,$V316)</f>
        <v/>
      </c>
      <c r="AA316" s="18">
        <f>Parity!$N$54*kg_per_mt+domestic_anchor_premium_inr_t</f>
        <v/>
      </c>
      <c r="AB316" s="18">
        <f>(1-Parity!$AA$54)*Parity!$AD$54*heavies_net_value_frac_of_lme_al*Parity!$F$54*Parity!$H$54</f>
        <v/>
      </c>
      <c r="AC316" s="18">
        <f>$AA316*Parity!$AU$54+$AB316-$Z316-Parity!$AX$54</f>
        <v/>
      </c>
      <c r="AD316" s="8">
        <f>$AC316&gt;margin_threshold_inr_t</f>
        <v/>
      </c>
      <c r="AE316" s="18">
        <f>($AC316-$L316)*grid_tonnes_mt</f>
        <v/>
      </c>
    </row>
    <row r="317">
      <c r="A317" s="7" t="inlineStr">
        <is>
          <t>first_eligible</t>
        </is>
      </c>
      <c r="B317" s="11" t="n">
        <v>44624</v>
      </c>
      <c r="C317" s="7" t="inlineStr">
        <is>
          <t>zorba</t>
        </is>
      </c>
      <c r="D317" s="7" t="inlineStr">
        <is>
          <t>JEA_NSA</t>
        </is>
      </c>
      <c r="E317" s="7" t="inlineStr">
        <is>
          <t>CFR_seller_books_freight</t>
        </is>
      </c>
      <c r="F317" s="20" t="n">
        <v>-40</v>
      </c>
      <c r="G317" s="20" t="n">
        <v>5</v>
      </c>
      <c r="H317" s="16">
        <f>Parity!$L$54*(1+$F317/100)</f>
        <v/>
      </c>
      <c r="I317" s="16">
        <f>Parity!$L$54*Parity!$AG$54*$F317/100</f>
        <v/>
      </c>
      <c r="J317" s="8">
        <f>IF($E317="FOB_desk_books_freight",Parity!$P$54+$I317/Parity!$F$54,Parity!$P$54)</f>
        <v/>
      </c>
      <c r="K317" s="8">
        <f>$G317/100</f>
        <v/>
      </c>
      <c r="L317" s="18">
        <f>Parity!$AY$54</f>
        <v/>
      </c>
      <c r="M317" s="16">
        <f>Parity!$F$54*$J317</f>
        <v/>
      </c>
      <c r="N317" s="16">
        <f>$H317*Parity!$AG$54</f>
        <v/>
      </c>
      <c r="O317" s="16">
        <f>$M317-$N317</f>
        <v/>
      </c>
      <c r="P317" s="16">
        <f>insurance_rate*insured_value_uplift*$M317</f>
        <v/>
      </c>
      <c r="Q317" s="16">
        <f>$M317+$P317</f>
        <v/>
      </c>
      <c r="R317" s="18">
        <f>$Q317*Parity!$J$54</f>
        <v/>
      </c>
      <c r="S317" s="18">
        <f>$Q317*Parity!$I$54</f>
        <v/>
      </c>
      <c r="T317" s="18">
        <f>$R317*$K317</f>
        <v/>
      </c>
      <c r="U317" s="18">
        <f>$T317*sws_rate_on_bcd</f>
        <v/>
      </c>
      <c r="V317" s="18">
        <f>($R317+$T317+$U317)*igst_rate_hs7602</f>
        <v/>
      </c>
      <c r="W317" s="18">
        <f>Parity!$X$54*Parity!$AG$54+IF(Parity!$Y$54,psic_cost_usd_per_box*Parity!$H$54/Parity!$W$54,0)</f>
        <v/>
      </c>
      <c r="X317" s="18">
        <f>($S317+$T317+$U317)*Parity!$Z$54/day_count_inr*Parity!$O$54</f>
        <v/>
      </c>
      <c r="Y317" s="18">
        <f>$V317*igst_credit_lag_days/day_count_inr*Parity!$O$54</f>
        <v/>
      </c>
      <c r="Z317" s="18">
        <f>$S317+$T317+$U317+$W317+$X317+$Y317+IF(igst_itc_available,0,$V317)</f>
        <v/>
      </c>
      <c r="AA317" s="18">
        <f>Parity!$N$54*kg_per_mt+domestic_anchor_premium_inr_t</f>
        <v/>
      </c>
      <c r="AB317" s="18">
        <f>(1-Parity!$AA$54)*Parity!$AD$54*heavies_net_value_frac_of_lme_al*Parity!$F$54*Parity!$H$54</f>
        <v/>
      </c>
      <c r="AC317" s="18">
        <f>$AA317*Parity!$AU$54+$AB317-$Z317-Parity!$AX$54</f>
        <v/>
      </c>
      <c r="AD317" s="8">
        <f>$AC317&gt;margin_threshold_inr_t</f>
        <v/>
      </c>
      <c r="AE317" s="18">
        <f>($AC317-$L317)*grid_tonnes_mt</f>
        <v/>
      </c>
    </row>
    <row r="318">
      <c r="A318" s="7" t="inlineStr">
        <is>
          <t>first_eligible</t>
        </is>
      </c>
      <c r="B318" s="11" t="n">
        <v>44624</v>
      </c>
      <c r="C318" s="7" t="inlineStr">
        <is>
          <t>zorba</t>
        </is>
      </c>
      <c r="D318" s="7" t="inlineStr">
        <is>
          <t>JEA_NSA</t>
        </is>
      </c>
      <c r="E318" s="7" t="inlineStr">
        <is>
          <t>CFR_seller_books_freight</t>
        </is>
      </c>
      <c r="F318" s="20" t="n">
        <v>-40</v>
      </c>
      <c r="G318" s="20" t="n">
        <v>7.5</v>
      </c>
      <c r="H318" s="16">
        <f>Parity!$L$54*(1+$F318/100)</f>
        <v/>
      </c>
      <c r="I318" s="16">
        <f>Parity!$L$54*Parity!$AG$54*$F318/100</f>
        <v/>
      </c>
      <c r="J318" s="8">
        <f>IF($E318="FOB_desk_books_freight",Parity!$P$54+$I318/Parity!$F$54,Parity!$P$54)</f>
        <v/>
      </c>
      <c r="K318" s="8">
        <f>$G318/100</f>
        <v/>
      </c>
      <c r="L318" s="18">
        <f>Parity!$AY$54</f>
        <v/>
      </c>
      <c r="M318" s="16">
        <f>Parity!$F$54*$J318</f>
        <v/>
      </c>
      <c r="N318" s="16">
        <f>$H318*Parity!$AG$54</f>
        <v/>
      </c>
      <c r="O318" s="16">
        <f>$M318-$N318</f>
        <v/>
      </c>
      <c r="P318" s="16">
        <f>insurance_rate*insured_value_uplift*$M318</f>
        <v/>
      </c>
      <c r="Q318" s="16">
        <f>$M318+$P318</f>
        <v/>
      </c>
      <c r="R318" s="18">
        <f>$Q318*Parity!$J$54</f>
        <v/>
      </c>
      <c r="S318" s="18">
        <f>$Q318*Parity!$I$54</f>
        <v/>
      </c>
      <c r="T318" s="18">
        <f>$R318*$K318</f>
        <v/>
      </c>
      <c r="U318" s="18">
        <f>$T318*sws_rate_on_bcd</f>
        <v/>
      </c>
      <c r="V318" s="18">
        <f>($R318+$T318+$U318)*igst_rate_hs7602</f>
        <v/>
      </c>
      <c r="W318" s="18">
        <f>Parity!$X$54*Parity!$AG$54+IF(Parity!$Y$54,psic_cost_usd_per_box*Parity!$H$54/Parity!$W$54,0)</f>
        <v/>
      </c>
      <c r="X318" s="18">
        <f>($S318+$T318+$U318)*Parity!$Z$54/day_count_inr*Parity!$O$54</f>
        <v/>
      </c>
      <c r="Y318" s="18">
        <f>$V318*igst_credit_lag_days/day_count_inr*Parity!$O$54</f>
        <v/>
      </c>
      <c r="Z318" s="18">
        <f>$S318+$T318+$U318+$W318+$X318+$Y318+IF(igst_itc_available,0,$V318)</f>
        <v/>
      </c>
      <c r="AA318" s="18">
        <f>Parity!$N$54*kg_per_mt+domestic_anchor_premium_inr_t</f>
        <v/>
      </c>
      <c r="AB318" s="18">
        <f>(1-Parity!$AA$54)*Parity!$AD$54*heavies_net_value_frac_of_lme_al*Parity!$F$54*Parity!$H$54</f>
        <v/>
      </c>
      <c r="AC318" s="18">
        <f>$AA318*Parity!$AU$54+$AB318-$Z318-Parity!$AX$54</f>
        <v/>
      </c>
      <c r="AD318" s="8">
        <f>$AC318&gt;margin_threshold_inr_t</f>
        <v/>
      </c>
      <c r="AE318" s="18">
        <f>($AC318-$L318)*grid_tonnes_mt</f>
        <v/>
      </c>
    </row>
    <row r="319">
      <c r="A319" s="7" t="inlineStr">
        <is>
          <t>first_eligible</t>
        </is>
      </c>
      <c r="B319" s="11" t="n">
        <v>44624</v>
      </c>
      <c r="C319" s="7" t="inlineStr">
        <is>
          <t>zorba</t>
        </is>
      </c>
      <c r="D319" s="7" t="inlineStr">
        <is>
          <t>JEA_NSA</t>
        </is>
      </c>
      <c r="E319" s="7" t="inlineStr">
        <is>
          <t>CFR_seller_books_freight</t>
        </is>
      </c>
      <c r="F319" s="20" t="n">
        <v>-40</v>
      </c>
      <c r="G319" s="20" t="n">
        <v>10</v>
      </c>
      <c r="H319" s="16">
        <f>Parity!$L$54*(1+$F319/100)</f>
        <v/>
      </c>
      <c r="I319" s="16">
        <f>Parity!$L$54*Parity!$AG$54*$F319/100</f>
        <v/>
      </c>
      <c r="J319" s="8">
        <f>IF($E319="FOB_desk_books_freight",Parity!$P$54+$I319/Parity!$F$54,Parity!$P$54)</f>
        <v/>
      </c>
      <c r="K319" s="8">
        <f>$G319/100</f>
        <v/>
      </c>
      <c r="L319" s="18">
        <f>Parity!$AY$54</f>
        <v/>
      </c>
      <c r="M319" s="16">
        <f>Parity!$F$54*$J319</f>
        <v/>
      </c>
      <c r="N319" s="16">
        <f>$H319*Parity!$AG$54</f>
        <v/>
      </c>
      <c r="O319" s="16">
        <f>$M319-$N319</f>
        <v/>
      </c>
      <c r="P319" s="16">
        <f>insurance_rate*insured_value_uplift*$M319</f>
        <v/>
      </c>
      <c r="Q319" s="16">
        <f>$M319+$P319</f>
        <v/>
      </c>
      <c r="R319" s="18">
        <f>$Q319*Parity!$J$54</f>
        <v/>
      </c>
      <c r="S319" s="18">
        <f>$Q319*Parity!$I$54</f>
        <v/>
      </c>
      <c r="T319" s="18">
        <f>$R319*$K319</f>
        <v/>
      </c>
      <c r="U319" s="18">
        <f>$T319*sws_rate_on_bcd</f>
        <v/>
      </c>
      <c r="V319" s="18">
        <f>($R319+$T319+$U319)*igst_rate_hs7602</f>
        <v/>
      </c>
      <c r="W319" s="18">
        <f>Parity!$X$54*Parity!$AG$54+IF(Parity!$Y$54,psic_cost_usd_per_box*Parity!$H$54/Parity!$W$54,0)</f>
        <v/>
      </c>
      <c r="X319" s="18">
        <f>($S319+$T319+$U319)*Parity!$Z$54/day_count_inr*Parity!$O$54</f>
        <v/>
      </c>
      <c r="Y319" s="18">
        <f>$V319*igst_credit_lag_days/day_count_inr*Parity!$O$54</f>
        <v/>
      </c>
      <c r="Z319" s="18">
        <f>$S319+$T319+$U319+$W319+$X319+$Y319+IF(igst_itc_available,0,$V319)</f>
        <v/>
      </c>
      <c r="AA319" s="18">
        <f>Parity!$N$54*kg_per_mt+domestic_anchor_premium_inr_t</f>
        <v/>
      </c>
      <c r="AB319" s="18">
        <f>(1-Parity!$AA$54)*Parity!$AD$54*heavies_net_value_frac_of_lme_al*Parity!$F$54*Parity!$H$54</f>
        <v/>
      </c>
      <c r="AC319" s="18">
        <f>$AA319*Parity!$AU$54+$AB319-$Z319-Parity!$AX$54</f>
        <v/>
      </c>
      <c r="AD319" s="8">
        <f>$AC319&gt;margin_threshold_inr_t</f>
        <v/>
      </c>
      <c r="AE319" s="18">
        <f>($AC319-$L319)*grid_tonnes_mt</f>
        <v/>
      </c>
    </row>
    <row r="320">
      <c r="A320" s="7" t="inlineStr">
        <is>
          <t>first_eligible</t>
        </is>
      </c>
      <c r="B320" s="11" t="n">
        <v>44624</v>
      </c>
      <c r="C320" s="7" t="inlineStr">
        <is>
          <t>zorba</t>
        </is>
      </c>
      <c r="D320" s="7" t="inlineStr">
        <is>
          <t>JEA_NSA</t>
        </is>
      </c>
      <c r="E320" s="7" t="inlineStr">
        <is>
          <t>CFR_seller_books_freight</t>
        </is>
      </c>
      <c r="F320" s="20" t="n">
        <v>-20</v>
      </c>
      <c r="G320" s="20" t="n">
        <v>0</v>
      </c>
      <c r="H320" s="16">
        <f>Parity!$L$54*(1+$F320/100)</f>
        <v/>
      </c>
      <c r="I320" s="16">
        <f>Parity!$L$54*Parity!$AG$54*$F320/100</f>
        <v/>
      </c>
      <c r="J320" s="8">
        <f>IF($E320="FOB_desk_books_freight",Parity!$P$54+$I320/Parity!$F$54,Parity!$P$54)</f>
        <v/>
      </c>
      <c r="K320" s="8">
        <f>$G320/100</f>
        <v/>
      </c>
      <c r="L320" s="18">
        <f>Parity!$AY$54</f>
        <v/>
      </c>
      <c r="M320" s="16">
        <f>Parity!$F$54*$J320</f>
        <v/>
      </c>
      <c r="N320" s="16">
        <f>$H320*Parity!$AG$54</f>
        <v/>
      </c>
      <c r="O320" s="16">
        <f>$M320-$N320</f>
        <v/>
      </c>
      <c r="P320" s="16">
        <f>insurance_rate*insured_value_uplift*$M320</f>
        <v/>
      </c>
      <c r="Q320" s="16">
        <f>$M320+$P320</f>
        <v/>
      </c>
      <c r="R320" s="18">
        <f>$Q320*Parity!$J$54</f>
        <v/>
      </c>
      <c r="S320" s="18">
        <f>$Q320*Parity!$I$54</f>
        <v/>
      </c>
      <c r="T320" s="18">
        <f>$R320*$K320</f>
        <v/>
      </c>
      <c r="U320" s="18">
        <f>$T320*sws_rate_on_bcd</f>
        <v/>
      </c>
      <c r="V320" s="18">
        <f>($R320+$T320+$U320)*igst_rate_hs7602</f>
        <v/>
      </c>
      <c r="W320" s="18">
        <f>Parity!$X$54*Parity!$AG$54+IF(Parity!$Y$54,psic_cost_usd_per_box*Parity!$H$54/Parity!$W$54,0)</f>
        <v/>
      </c>
      <c r="X320" s="18">
        <f>($S320+$T320+$U320)*Parity!$Z$54/day_count_inr*Parity!$O$54</f>
        <v/>
      </c>
      <c r="Y320" s="18">
        <f>$V320*igst_credit_lag_days/day_count_inr*Parity!$O$54</f>
        <v/>
      </c>
      <c r="Z320" s="18">
        <f>$S320+$T320+$U320+$W320+$X320+$Y320+IF(igst_itc_available,0,$V320)</f>
        <v/>
      </c>
      <c r="AA320" s="18">
        <f>Parity!$N$54*kg_per_mt+domestic_anchor_premium_inr_t</f>
        <v/>
      </c>
      <c r="AB320" s="18">
        <f>(1-Parity!$AA$54)*Parity!$AD$54*heavies_net_value_frac_of_lme_al*Parity!$F$54*Parity!$H$54</f>
        <v/>
      </c>
      <c r="AC320" s="18">
        <f>$AA320*Parity!$AU$54+$AB320-$Z320-Parity!$AX$54</f>
        <v/>
      </c>
      <c r="AD320" s="8">
        <f>$AC320&gt;margin_threshold_inr_t</f>
        <v/>
      </c>
      <c r="AE320" s="18">
        <f>($AC320-$L320)*grid_tonnes_mt</f>
        <v/>
      </c>
    </row>
    <row r="321">
      <c r="A321" s="7" t="inlineStr">
        <is>
          <t>first_eligible</t>
        </is>
      </c>
      <c r="B321" s="11" t="n">
        <v>44624</v>
      </c>
      <c r="C321" s="7" t="inlineStr">
        <is>
          <t>zorba</t>
        </is>
      </c>
      <c r="D321" s="7" t="inlineStr">
        <is>
          <t>JEA_NSA</t>
        </is>
      </c>
      <c r="E321" s="7" t="inlineStr">
        <is>
          <t>CFR_seller_books_freight</t>
        </is>
      </c>
      <c r="F321" s="20" t="n">
        <v>-20</v>
      </c>
      <c r="G321" s="20" t="n">
        <v>2.5</v>
      </c>
      <c r="H321" s="16">
        <f>Parity!$L$54*(1+$F321/100)</f>
        <v/>
      </c>
      <c r="I321" s="16">
        <f>Parity!$L$54*Parity!$AG$54*$F321/100</f>
        <v/>
      </c>
      <c r="J321" s="8">
        <f>IF($E321="FOB_desk_books_freight",Parity!$P$54+$I321/Parity!$F$54,Parity!$P$54)</f>
        <v/>
      </c>
      <c r="K321" s="8">
        <f>$G321/100</f>
        <v/>
      </c>
      <c r="L321" s="18">
        <f>Parity!$AY$54</f>
        <v/>
      </c>
      <c r="M321" s="16">
        <f>Parity!$F$54*$J321</f>
        <v/>
      </c>
      <c r="N321" s="16">
        <f>$H321*Parity!$AG$54</f>
        <v/>
      </c>
      <c r="O321" s="16">
        <f>$M321-$N321</f>
        <v/>
      </c>
      <c r="P321" s="16">
        <f>insurance_rate*insured_value_uplift*$M321</f>
        <v/>
      </c>
      <c r="Q321" s="16">
        <f>$M321+$P321</f>
        <v/>
      </c>
      <c r="R321" s="18">
        <f>$Q321*Parity!$J$54</f>
        <v/>
      </c>
      <c r="S321" s="18">
        <f>$Q321*Parity!$I$54</f>
        <v/>
      </c>
      <c r="T321" s="18">
        <f>$R321*$K321</f>
        <v/>
      </c>
      <c r="U321" s="18">
        <f>$T321*sws_rate_on_bcd</f>
        <v/>
      </c>
      <c r="V321" s="18">
        <f>($R321+$T321+$U321)*igst_rate_hs7602</f>
        <v/>
      </c>
      <c r="W321" s="18">
        <f>Parity!$X$54*Parity!$AG$54+IF(Parity!$Y$54,psic_cost_usd_per_box*Parity!$H$54/Parity!$W$54,0)</f>
        <v/>
      </c>
      <c r="X321" s="18">
        <f>($S321+$T321+$U321)*Parity!$Z$54/day_count_inr*Parity!$O$54</f>
        <v/>
      </c>
      <c r="Y321" s="18">
        <f>$V321*igst_credit_lag_days/day_count_inr*Parity!$O$54</f>
        <v/>
      </c>
      <c r="Z321" s="18">
        <f>$S321+$T321+$U321+$W321+$X321+$Y321+IF(igst_itc_available,0,$V321)</f>
        <v/>
      </c>
      <c r="AA321" s="18">
        <f>Parity!$N$54*kg_per_mt+domestic_anchor_premium_inr_t</f>
        <v/>
      </c>
      <c r="AB321" s="18">
        <f>(1-Parity!$AA$54)*Parity!$AD$54*heavies_net_value_frac_of_lme_al*Parity!$F$54*Parity!$H$54</f>
        <v/>
      </c>
      <c r="AC321" s="18">
        <f>$AA321*Parity!$AU$54+$AB321-$Z321-Parity!$AX$54</f>
        <v/>
      </c>
      <c r="AD321" s="8">
        <f>$AC321&gt;margin_threshold_inr_t</f>
        <v/>
      </c>
      <c r="AE321" s="18">
        <f>($AC321-$L321)*grid_tonnes_mt</f>
        <v/>
      </c>
    </row>
    <row r="322">
      <c r="A322" s="7" t="inlineStr">
        <is>
          <t>first_eligible</t>
        </is>
      </c>
      <c r="B322" s="11" t="n">
        <v>44624</v>
      </c>
      <c r="C322" s="7" t="inlineStr">
        <is>
          <t>zorba</t>
        </is>
      </c>
      <c r="D322" s="7" t="inlineStr">
        <is>
          <t>JEA_NSA</t>
        </is>
      </c>
      <c r="E322" s="7" t="inlineStr">
        <is>
          <t>CFR_seller_books_freight</t>
        </is>
      </c>
      <c r="F322" s="20" t="n">
        <v>-20</v>
      </c>
      <c r="G322" s="20" t="n">
        <v>5</v>
      </c>
      <c r="H322" s="16">
        <f>Parity!$L$54*(1+$F322/100)</f>
        <v/>
      </c>
      <c r="I322" s="16">
        <f>Parity!$L$54*Parity!$AG$54*$F322/100</f>
        <v/>
      </c>
      <c r="J322" s="8">
        <f>IF($E322="FOB_desk_books_freight",Parity!$P$54+$I322/Parity!$F$54,Parity!$P$54)</f>
        <v/>
      </c>
      <c r="K322" s="8">
        <f>$G322/100</f>
        <v/>
      </c>
      <c r="L322" s="18">
        <f>Parity!$AY$54</f>
        <v/>
      </c>
      <c r="M322" s="16">
        <f>Parity!$F$54*$J322</f>
        <v/>
      </c>
      <c r="N322" s="16">
        <f>$H322*Parity!$AG$54</f>
        <v/>
      </c>
      <c r="O322" s="16">
        <f>$M322-$N322</f>
        <v/>
      </c>
      <c r="P322" s="16">
        <f>insurance_rate*insured_value_uplift*$M322</f>
        <v/>
      </c>
      <c r="Q322" s="16">
        <f>$M322+$P322</f>
        <v/>
      </c>
      <c r="R322" s="18">
        <f>$Q322*Parity!$J$54</f>
        <v/>
      </c>
      <c r="S322" s="18">
        <f>$Q322*Parity!$I$54</f>
        <v/>
      </c>
      <c r="T322" s="18">
        <f>$R322*$K322</f>
        <v/>
      </c>
      <c r="U322" s="18">
        <f>$T322*sws_rate_on_bcd</f>
        <v/>
      </c>
      <c r="V322" s="18">
        <f>($R322+$T322+$U322)*igst_rate_hs7602</f>
        <v/>
      </c>
      <c r="W322" s="18">
        <f>Parity!$X$54*Parity!$AG$54+IF(Parity!$Y$54,psic_cost_usd_per_box*Parity!$H$54/Parity!$W$54,0)</f>
        <v/>
      </c>
      <c r="X322" s="18">
        <f>($S322+$T322+$U322)*Parity!$Z$54/day_count_inr*Parity!$O$54</f>
        <v/>
      </c>
      <c r="Y322" s="18">
        <f>$V322*igst_credit_lag_days/day_count_inr*Parity!$O$54</f>
        <v/>
      </c>
      <c r="Z322" s="18">
        <f>$S322+$T322+$U322+$W322+$X322+$Y322+IF(igst_itc_available,0,$V322)</f>
        <v/>
      </c>
      <c r="AA322" s="18">
        <f>Parity!$N$54*kg_per_mt+domestic_anchor_premium_inr_t</f>
        <v/>
      </c>
      <c r="AB322" s="18">
        <f>(1-Parity!$AA$54)*Parity!$AD$54*heavies_net_value_frac_of_lme_al*Parity!$F$54*Parity!$H$54</f>
        <v/>
      </c>
      <c r="AC322" s="18">
        <f>$AA322*Parity!$AU$54+$AB322-$Z322-Parity!$AX$54</f>
        <v/>
      </c>
      <c r="AD322" s="8">
        <f>$AC322&gt;margin_threshold_inr_t</f>
        <v/>
      </c>
      <c r="AE322" s="18">
        <f>($AC322-$L322)*grid_tonnes_mt</f>
        <v/>
      </c>
    </row>
    <row r="323">
      <c r="A323" s="7" t="inlineStr">
        <is>
          <t>first_eligible</t>
        </is>
      </c>
      <c r="B323" s="11" t="n">
        <v>44624</v>
      </c>
      <c r="C323" s="7" t="inlineStr">
        <is>
          <t>zorba</t>
        </is>
      </c>
      <c r="D323" s="7" t="inlineStr">
        <is>
          <t>JEA_NSA</t>
        </is>
      </c>
      <c r="E323" s="7" t="inlineStr">
        <is>
          <t>CFR_seller_books_freight</t>
        </is>
      </c>
      <c r="F323" s="20" t="n">
        <v>-20</v>
      </c>
      <c r="G323" s="20" t="n">
        <v>7.5</v>
      </c>
      <c r="H323" s="16">
        <f>Parity!$L$54*(1+$F323/100)</f>
        <v/>
      </c>
      <c r="I323" s="16">
        <f>Parity!$L$54*Parity!$AG$54*$F323/100</f>
        <v/>
      </c>
      <c r="J323" s="8">
        <f>IF($E323="FOB_desk_books_freight",Parity!$P$54+$I323/Parity!$F$54,Parity!$P$54)</f>
        <v/>
      </c>
      <c r="K323" s="8">
        <f>$G323/100</f>
        <v/>
      </c>
      <c r="L323" s="18">
        <f>Parity!$AY$54</f>
        <v/>
      </c>
      <c r="M323" s="16">
        <f>Parity!$F$54*$J323</f>
        <v/>
      </c>
      <c r="N323" s="16">
        <f>$H323*Parity!$AG$54</f>
        <v/>
      </c>
      <c r="O323" s="16">
        <f>$M323-$N323</f>
        <v/>
      </c>
      <c r="P323" s="16">
        <f>insurance_rate*insured_value_uplift*$M323</f>
        <v/>
      </c>
      <c r="Q323" s="16">
        <f>$M323+$P323</f>
        <v/>
      </c>
      <c r="R323" s="18">
        <f>$Q323*Parity!$J$54</f>
        <v/>
      </c>
      <c r="S323" s="18">
        <f>$Q323*Parity!$I$54</f>
        <v/>
      </c>
      <c r="T323" s="18">
        <f>$R323*$K323</f>
        <v/>
      </c>
      <c r="U323" s="18">
        <f>$T323*sws_rate_on_bcd</f>
        <v/>
      </c>
      <c r="V323" s="18">
        <f>($R323+$T323+$U323)*igst_rate_hs7602</f>
        <v/>
      </c>
      <c r="W323" s="18">
        <f>Parity!$X$54*Parity!$AG$54+IF(Parity!$Y$54,psic_cost_usd_per_box*Parity!$H$54/Parity!$W$54,0)</f>
        <v/>
      </c>
      <c r="X323" s="18">
        <f>($S323+$T323+$U323)*Parity!$Z$54/day_count_inr*Parity!$O$54</f>
        <v/>
      </c>
      <c r="Y323" s="18">
        <f>$V323*igst_credit_lag_days/day_count_inr*Parity!$O$54</f>
        <v/>
      </c>
      <c r="Z323" s="18">
        <f>$S323+$T323+$U323+$W323+$X323+$Y323+IF(igst_itc_available,0,$V323)</f>
        <v/>
      </c>
      <c r="AA323" s="18">
        <f>Parity!$N$54*kg_per_mt+domestic_anchor_premium_inr_t</f>
        <v/>
      </c>
      <c r="AB323" s="18">
        <f>(1-Parity!$AA$54)*Parity!$AD$54*heavies_net_value_frac_of_lme_al*Parity!$F$54*Parity!$H$54</f>
        <v/>
      </c>
      <c r="AC323" s="18">
        <f>$AA323*Parity!$AU$54+$AB323-$Z323-Parity!$AX$54</f>
        <v/>
      </c>
      <c r="AD323" s="8">
        <f>$AC323&gt;margin_threshold_inr_t</f>
        <v/>
      </c>
      <c r="AE323" s="18">
        <f>($AC323-$L323)*grid_tonnes_mt</f>
        <v/>
      </c>
    </row>
    <row r="324">
      <c r="A324" s="7" t="inlineStr">
        <is>
          <t>first_eligible</t>
        </is>
      </c>
      <c r="B324" s="11" t="n">
        <v>44624</v>
      </c>
      <c r="C324" s="7" t="inlineStr">
        <is>
          <t>zorba</t>
        </is>
      </c>
      <c r="D324" s="7" t="inlineStr">
        <is>
          <t>JEA_NSA</t>
        </is>
      </c>
      <c r="E324" s="7" t="inlineStr">
        <is>
          <t>CFR_seller_books_freight</t>
        </is>
      </c>
      <c r="F324" s="20" t="n">
        <v>-20</v>
      </c>
      <c r="G324" s="20" t="n">
        <v>10</v>
      </c>
      <c r="H324" s="16">
        <f>Parity!$L$54*(1+$F324/100)</f>
        <v/>
      </c>
      <c r="I324" s="16">
        <f>Parity!$L$54*Parity!$AG$54*$F324/100</f>
        <v/>
      </c>
      <c r="J324" s="8">
        <f>IF($E324="FOB_desk_books_freight",Parity!$P$54+$I324/Parity!$F$54,Parity!$P$54)</f>
        <v/>
      </c>
      <c r="K324" s="8">
        <f>$G324/100</f>
        <v/>
      </c>
      <c r="L324" s="18">
        <f>Parity!$AY$54</f>
        <v/>
      </c>
      <c r="M324" s="16">
        <f>Parity!$F$54*$J324</f>
        <v/>
      </c>
      <c r="N324" s="16">
        <f>$H324*Parity!$AG$54</f>
        <v/>
      </c>
      <c r="O324" s="16">
        <f>$M324-$N324</f>
        <v/>
      </c>
      <c r="P324" s="16">
        <f>insurance_rate*insured_value_uplift*$M324</f>
        <v/>
      </c>
      <c r="Q324" s="16">
        <f>$M324+$P324</f>
        <v/>
      </c>
      <c r="R324" s="18">
        <f>$Q324*Parity!$J$54</f>
        <v/>
      </c>
      <c r="S324" s="18">
        <f>$Q324*Parity!$I$54</f>
        <v/>
      </c>
      <c r="T324" s="18">
        <f>$R324*$K324</f>
        <v/>
      </c>
      <c r="U324" s="18">
        <f>$T324*sws_rate_on_bcd</f>
        <v/>
      </c>
      <c r="V324" s="18">
        <f>($R324+$T324+$U324)*igst_rate_hs7602</f>
        <v/>
      </c>
      <c r="W324" s="18">
        <f>Parity!$X$54*Parity!$AG$54+IF(Parity!$Y$54,psic_cost_usd_per_box*Parity!$H$54/Parity!$W$54,0)</f>
        <v/>
      </c>
      <c r="X324" s="18">
        <f>($S324+$T324+$U324)*Parity!$Z$54/day_count_inr*Parity!$O$54</f>
        <v/>
      </c>
      <c r="Y324" s="18">
        <f>$V324*igst_credit_lag_days/day_count_inr*Parity!$O$54</f>
        <v/>
      </c>
      <c r="Z324" s="18">
        <f>$S324+$T324+$U324+$W324+$X324+$Y324+IF(igst_itc_available,0,$V324)</f>
        <v/>
      </c>
      <c r="AA324" s="18">
        <f>Parity!$N$54*kg_per_mt+domestic_anchor_premium_inr_t</f>
        <v/>
      </c>
      <c r="AB324" s="18">
        <f>(1-Parity!$AA$54)*Parity!$AD$54*heavies_net_value_frac_of_lme_al*Parity!$F$54*Parity!$H$54</f>
        <v/>
      </c>
      <c r="AC324" s="18">
        <f>$AA324*Parity!$AU$54+$AB324-$Z324-Parity!$AX$54</f>
        <v/>
      </c>
      <c r="AD324" s="8">
        <f>$AC324&gt;margin_threshold_inr_t</f>
        <v/>
      </c>
      <c r="AE324" s="18">
        <f>($AC324-$L324)*grid_tonnes_mt</f>
        <v/>
      </c>
    </row>
    <row r="325">
      <c r="A325" s="7" t="inlineStr">
        <is>
          <t>first_eligible</t>
        </is>
      </c>
      <c r="B325" s="11" t="n">
        <v>44624</v>
      </c>
      <c r="C325" s="7" t="inlineStr">
        <is>
          <t>zorba</t>
        </is>
      </c>
      <c r="D325" s="7" t="inlineStr">
        <is>
          <t>JEA_NSA</t>
        </is>
      </c>
      <c r="E325" s="7" t="inlineStr">
        <is>
          <t>CFR_seller_books_freight</t>
        </is>
      </c>
      <c r="F325" s="20" t="n">
        <v>0</v>
      </c>
      <c r="G325" s="20" t="n">
        <v>0</v>
      </c>
      <c r="H325" s="16">
        <f>Parity!$L$54*(1+$F325/100)</f>
        <v/>
      </c>
      <c r="I325" s="16">
        <f>Parity!$L$54*Parity!$AG$54*$F325/100</f>
        <v/>
      </c>
      <c r="J325" s="8">
        <f>IF($E325="FOB_desk_books_freight",Parity!$P$54+$I325/Parity!$F$54,Parity!$P$54)</f>
        <v/>
      </c>
      <c r="K325" s="8">
        <f>$G325/100</f>
        <v/>
      </c>
      <c r="L325" s="18">
        <f>Parity!$AY$54</f>
        <v/>
      </c>
      <c r="M325" s="16">
        <f>Parity!$F$54*$J325</f>
        <v/>
      </c>
      <c r="N325" s="16">
        <f>$H325*Parity!$AG$54</f>
        <v/>
      </c>
      <c r="O325" s="16">
        <f>$M325-$N325</f>
        <v/>
      </c>
      <c r="P325" s="16">
        <f>insurance_rate*insured_value_uplift*$M325</f>
        <v/>
      </c>
      <c r="Q325" s="16">
        <f>$M325+$P325</f>
        <v/>
      </c>
      <c r="R325" s="18">
        <f>$Q325*Parity!$J$54</f>
        <v/>
      </c>
      <c r="S325" s="18">
        <f>$Q325*Parity!$I$54</f>
        <v/>
      </c>
      <c r="T325" s="18">
        <f>$R325*$K325</f>
        <v/>
      </c>
      <c r="U325" s="18">
        <f>$T325*sws_rate_on_bcd</f>
        <v/>
      </c>
      <c r="V325" s="18">
        <f>($R325+$T325+$U325)*igst_rate_hs7602</f>
        <v/>
      </c>
      <c r="W325" s="18">
        <f>Parity!$X$54*Parity!$AG$54+IF(Parity!$Y$54,psic_cost_usd_per_box*Parity!$H$54/Parity!$W$54,0)</f>
        <v/>
      </c>
      <c r="X325" s="18">
        <f>($S325+$T325+$U325)*Parity!$Z$54/day_count_inr*Parity!$O$54</f>
        <v/>
      </c>
      <c r="Y325" s="18">
        <f>$V325*igst_credit_lag_days/day_count_inr*Parity!$O$54</f>
        <v/>
      </c>
      <c r="Z325" s="18">
        <f>$S325+$T325+$U325+$W325+$X325+$Y325+IF(igst_itc_available,0,$V325)</f>
        <v/>
      </c>
      <c r="AA325" s="18">
        <f>Parity!$N$54*kg_per_mt+domestic_anchor_premium_inr_t</f>
        <v/>
      </c>
      <c r="AB325" s="18">
        <f>(1-Parity!$AA$54)*Parity!$AD$54*heavies_net_value_frac_of_lme_al*Parity!$F$54*Parity!$H$54</f>
        <v/>
      </c>
      <c r="AC325" s="18">
        <f>$AA325*Parity!$AU$54+$AB325-$Z325-Parity!$AX$54</f>
        <v/>
      </c>
      <c r="AD325" s="8">
        <f>$AC325&gt;margin_threshold_inr_t</f>
        <v/>
      </c>
      <c r="AE325" s="18">
        <f>($AC325-$L325)*grid_tonnes_mt</f>
        <v/>
      </c>
    </row>
    <row r="326">
      <c r="A326" s="7" t="inlineStr">
        <is>
          <t>first_eligible</t>
        </is>
      </c>
      <c r="B326" s="11" t="n">
        <v>44624</v>
      </c>
      <c r="C326" s="7" t="inlineStr">
        <is>
          <t>zorba</t>
        </is>
      </c>
      <c r="D326" s="7" t="inlineStr">
        <is>
          <t>JEA_NSA</t>
        </is>
      </c>
      <c r="E326" s="7" t="inlineStr">
        <is>
          <t>CFR_seller_books_freight</t>
        </is>
      </c>
      <c r="F326" s="20" t="n">
        <v>0</v>
      </c>
      <c r="G326" s="20" t="n">
        <v>2.5</v>
      </c>
      <c r="H326" s="16">
        <f>Parity!$L$54*(1+$F326/100)</f>
        <v/>
      </c>
      <c r="I326" s="16">
        <f>Parity!$L$54*Parity!$AG$54*$F326/100</f>
        <v/>
      </c>
      <c r="J326" s="8">
        <f>IF($E326="FOB_desk_books_freight",Parity!$P$54+$I326/Parity!$F$54,Parity!$P$54)</f>
        <v/>
      </c>
      <c r="K326" s="8">
        <f>$G326/100</f>
        <v/>
      </c>
      <c r="L326" s="18">
        <f>Parity!$AY$54</f>
        <v/>
      </c>
      <c r="M326" s="16">
        <f>Parity!$F$54*$J326</f>
        <v/>
      </c>
      <c r="N326" s="16">
        <f>$H326*Parity!$AG$54</f>
        <v/>
      </c>
      <c r="O326" s="16">
        <f>$M326-$N326</f>
        <v/>
      </c>
      <c r="P326" s="16">
        <f>insurance_rate*insured_value_uplift*$M326</f>
        <v/>
      </c>
      <c r="Q326" s="16">
        <f>$M326+$P326</f>
        <v/>
      </c>
      <c r="R326" s="18">
        <f>$Q326*Parity!$J$54</f>
        <v/>
      </c>
      <c r="S326" s="18">
        <f>$Q326*Parity!$I$54</f>
        <v/>
      </c>
      <c r="T326" s="18">
        <f>$R326*$K326</f>
        <v/>
      </c>
      <c r="U326" s="18">
        <f>$T326*sws_rate_on_bcd</f>
        <v/>
      </c>
      <c r="V326" s="18">
        <f>($R326+$T326+$U326)*igst_rate_hs7602</f>
        <v/>
      </c>
      <c r="W326" s="18">
        <f>Parity!$X$54*Parity!$AG$54+IF(Parity!$Y$54,psic_cost_usd_per_box*Parity!$H$54/Parity!$W$54,0)</f>
        <v/>
      </c>
      <c r="X326" s="18">
        <f>($S326+$T326+$U326)*Parity!$Z$54/day_count_inr*Parity!$O$54</f>
        <v/>
      </c>
      <c r="Y326" s="18">
        <f>$V326*igst_credit_lag_days/day_count_inr*Parity!$O$54</f>
        <v/>
      </c>
      <c r="Z326" s="18">
        <f>$S326+$T326+$U326+$W326+$X326+$Y326+IF(igst_itc_available,0,$V326)</f>
        <v/>
      </c>
      <c r="AA326" s="18">
        <f>Parity!$N$54*kg_per_mt+domestic_anchor_premium_inr_t</f>
        <v/>
      </c>
      <c r="AB326" s="18">
        <f>(1-Parity!$AA$54)*Parity!$AD$54*heavies_net_value_frac_of_lme_al*Parity!$F$54*Parity!$H$54</f>
        <v/>
      </c>
      <c r="AC326" s="18">
        <f>$AA326*Parity!$AU$54+$AB326-$Z326-Parity!$AX$54</f>
        <v/>
      </c>
      <c r="AD326" s="8">
        <f>$AC326&gt;margin_threshold_inr_t</f>
        <v/>
      </c>
      <c r="AE326" s="18">
        <f>($AC326-$L326)*grid_tonnes_mt</f>
        <v/>
      </c>
    </row>
    <row r="327">
      <c r="A327" s="7" t="inlineStr">
        <is>
          <t>first_eligible</t>
        </is>
      </c>
      <c r="B327" s="11" t="n">
        <v>44624</v>
      </c>
      <c r="C327" s="7" t="inlineStr">
        <is>
          <t>zorba</t>
        </is>
      </c>
      <c r="D327" s="7" t="inlineStr">
        <is>
          <t>JEA_NSA</t>
        </is>
      </c>
      <c r="E327" s="7" t="inlineStr">
        <is>
          <t>CFR_seller_books_freight</t>
        </is>
      </c>
      <c r="F327" s="20" t="n">
        <v>0</v>
      </c>
      <c r="G327" s="20" t="n">
        <v>5</v>
      </c>
      <c r="H327" s="16">
        <f>Parity!$L$54*(1+$F327/100)</f>
        <v/>
      </c>
      <c r="I327" s="16">
        <f>Parity!$L$54*Parity!$AG$54*$F327/100</f>
        <v/>
      </c>
      <c r="J327" s="8">
        <f>IF($E327="FOB_desk_books_freight",Parity!$P$54+$I327/Parity!$F$54,Parity!$P$54)</f>
        <v/>
      </c>
      <c r="K327" s="8">
        <f>$G327/100</f>
        <v/>
      </c>
      <c r="L327" s="18">
        <f>Parity!$AY$54</f>
        <v/>
      </c>
      <c r="M327" s="16">
        <f>Parity!$F$54*$J327</f>
        <v/>
      </c>
      <c r="N327" s="16">
        <f>$H327*Parity!$AG$54</f>
        <v/>
      </c>
      <c r="O327" s="16">
        <f>$M327-$N327</f>
        <v/>
      </c>
      <c r="P327" s="16">
        <f>insurance_rate*insured_value_uplift*$M327</f>
        <v/>
      </c>
      <c r="Q327" s="16">
        <f>$M327+$P327</f>
        <v/>
      </c>
      <c r="R327" s="18">
        <f>$Q327*Parity!$J$54</f>
        <v/>
      </c>
      <c r="S327" s="18">
        <f>$Q327*Parity!$I$54</f>
        <v/>
      </c>
      <c r="T327" s="18">
        <f>$R327*$K327</f>
        <v/>
      </c>
      <c r="U327" s="18">
        <f>$T327*sws_rate_on_bcd</f>
        <v/>
      </c>
      <c r="V327" s="18">
        <f>($R327+$T327+$U327)*igst_rate_hs7602</f>
        <v/>
      </c>
      <c r="W327" s="18">
        <f>Parity!$X$54*Parity!$AG$54+IF(Parity!$Y$54,psic_cost_usd_per_box*Parity!$H$54/Parity!$W$54,0)</f>
        <v/>
      </c>
      <c r="X327" s="18">
        <f>($S327+$T327+$U327)*Parity!$Z$54/day_count_inr*Parity!$O$54</f>
        <v/>
      </c>
      <c r="Y327" s="18">
        <f>$V327*igst_credit_lag_days/day_count_inr*Parity!$O$54</f>
        <v/>
      </c>
      <c r="Z327" s="18">
        <f>$S327+$T327+$U327+$W327+$X327+$Y327+IF(igst_itc_available,0,$V327)</f>
        <v/>
      </c>
      <c r="AA327" s="18">
        <f>Parity!$N$54*kg_per_mt+domestic_anchor_premium_inr_t</f>
        <v/>
      </c>
      <c r="AB327" s="18">
        <f>(1-Parity!$AA$54)*Parity!$AD$54*heavies_net_value_frac_of_lme_al*Parity!$F$54*Parity!$H$54</f>
        <v/>
      </c>
      <c r="AC327" s="18">
        <f>$AA327*Parity!$AU$54+$AB327-$Z327-Parity!$AX$54</f>
        <v/>
      </c>
      <c r="AD327" s="8">
        <f>$AC327&gt;margin_threshold_inr_t</f>
        <v/>
      </c>
      <c r="AE327" s="18">
        <f>($AC327-$L327)*grid_tonnes_mt</f>
        <v/>
      </c>
    </row>
    <row r="328">
      <c r="A328" s="7" t="inlineStr">
        <is>
          <t>first_eligible</t>
        </is>
      </c>
      <c r="B328" s="11" t="n">
        <v>44624</v>
      </c>
      <c r="C328" s="7" t="inlineStr">
        <is>
          <t>zorba</t>
        </is>
      </c>
      <c r="D328" s="7" t="inlineStr">
        <is>
          <t>JEA_NSA</t>
        </is>
      </c>
      <c r="E328" s="7" t="inlineStr">
        <is>
          <t>CFR_seller_books_freight</t>
        </is>
      </c>
      <c r="F328" s="20" t="n">
        <v>0</v>
      </c>
      <c r="G328" s="20" t="n">
        <v>7.5</v>
      </c>
      <c r="H328" s="16">
        <f>Parity!$L$54*(1+$F328/100)</f>
        <v/>
      </c>
      <c r="I328" s="16">
        <f>Parity!$L$54*Parity!$AG$54*$F328/100</f>
        <v/>
      </c>
      <c r="J328" s="8">
        <f>IF($E328="FOB_desk_books_freight",Parity!$P$54+$I328/Parity!$F$54,Parity!$P$54)</f>
        <v/>
      </c>
      <c r="K328" s="8">
        <f>$G328/100</f>
        <v/>
      </c>
      <c r="L328" s="18">
        <f>Parity!$AY$54</f>
        <v/>
      </c>
      <c r="M328" s="16">
        <f>Parity!$F$54*$J328</f>
        <v/>
      </c>
      <c r="N328" s="16">
        <f>$H328*Parity!$AG$54</f>
        <v/>
      </c>
      <c r="O328" s="16">
        <f>$M328-$N328</f>
        <v/>
      </c>
      <c r="P328" s="16">
        <f>insurance_rate*insured_value_uplift*$M328</f>
        <v/>
      </c>
      <c r="Q328" s="16">
        <f>$M328+$P328</f>
        <v/>
      </c>
      <c r="R328" s="18">
        <f>$Q328*Parity!$J$54</f>
        <v/>
      </c>
      <c r="S328" s="18">
        <f>$Q328*Parity!$I$54</f>
        <v/>
      </c>
      <c r="T328" s="18">
        <f>$R328*$K328</f>
        <v/>
      </c>
      <c r="U328" s="18">
        <f>$T328*sws_rate_on_bcd</f>
        <v/>
      </c>
      <c r="V328" s="18">
        <f>($R328+$T328+$U328)*igst_rate_hs7602</f>
        <v/>
      </c>
      <c r="W328" s="18">
        <f>Parity!$X$54*Parity!$AG$54+IF(Parity!$Y$54,psic_cost_usd_per_box*Parity!$H$54/Parity!$W$54,0)</f>
        <v/>
      </c>
      <c r="X328" s="18">
        <f>($S328+$T328+$U328)*Parity!$Z$54/day_count_inr*Parity!$O$54</f>
        <v/>
      </c>
      <c r="Y328" s="18">
        <f>$V328*igst_credit_lag_days/day_count_inr*Parity!$O$54</f>
        <v/>
      </c>
      <c r="Z328" s="18">
        <f>$S328+$T328+$U328+$W328+$X328+$Y328+IF(igst_itc_available,0,$V328)</f>
        <v/>
      </c>
      <c r="AA328" s="18">
        <f>Parity!$N$54*kg_per_mt+domestic_anchor_premium_inr_t</f>
        <v/>
      </c>
      <c r="AB328" s="18">
        <f>(1-Parity!$AA$54)*Parity!$AD$54*heavies_net_value_frac_of_lme_al*Parity!$F$54*Parity!$H$54</f>
        <v/>
      </c>
      <c r="AC328" s="18">
        <f>$AA328*Parity!$AU$54+$AB328-$Z328-Parity!$AX$54</f>
        <v/>
      </c>
      <c r="AD328" s="8">
        <f>$AC328&gt;margin_threshold_inr_t</f>
        <v/>
      </c>
      <c r="AE328" s="18">
        <f>($AC328-$L328)*grid_tonnes_mt</f>
        <v/>
      </c>
    </row>
    <row r="329">
      <c r="A329" s="7" t="inlineStr">
        <is>
          <t>first_eligible</t>
        </is>
      </c>
      <c r="B329" s="11" t="n">
        <v>44624</v>
      </c>
      <c r="C329" s="7" t="inlineStr">
        <is>
          <t>zorba</t>
        </is>
      </c>
      <c r="D329" s="7" t="inlineStr">
        <is>
          <t>JEA_NSA</t>
        </is>
      </c>
      <c r="E329" s="7" t="inlineStr">
        <is>
          <t>CFR_seller_books_freight</t>
        </is>
      </c>
      <c r="F329" s="20" t="n">
        <v>0</v>
      </c>
      <c r="G329" s="20" t="n">
        <v>10</v>
      </c>
      <c r="H329" s="16">
        <f>Parity!$L$54*(1+$F329/100)</f>
        <v/>
      </c>
      <c r="I329" s="16">
        <f>Parity!$L$54*Parity!$AG$54*$F329/100</f>
        <v/>
      </c>
      <c r="J329" s="8">
        <f>IF($E329="FOB_desk_books_freight",Parity!$P$54+$I329/Parity!$F$54,Parity!$P$54)</f>
        <v/>
      </c>
      <c r="K329" s="8">
        <f>$G329/100</f>
        <v/>
      </c>
      <c r="L329" s="18">
        <f>Parity!$AY$54</f>
        <v/>
      </c>
      <c r="M329" s="16">
        <f>Parity!$F$54*$J329</f>
        <v/>
      </c>
      <c r="N329" s="16">
        <f>$H329*Parity!$AG$54</f>
        <v/>
      </c>
      <c r="O329" s="16">
        <f>$M329-$N329</f>
        <v/>
      </c>
      <c r="P329" s="16">
        <f>insurance_rate*insured_value_uplift*$M329</f>
        <v/>
      </c>
      <c r="Q329" s="16">
        <f>$M329+$P329</f>
        <v/>
      </c>
      <c r="R329" s="18">
        <f>$Q329*Parity!$J$54</f>
        <v/>
      </c>
      <c r="S329" s="18">
        <f>$Q329*Parity!$I$54</f>
        <v/>
      </c>
      <c r="T329" s="18">
        <f>$R329*$K329</f>
        <v/>
      </c>
      <c r="U329" s="18">
        <f>$T329*sws_rate_on_bcd</f>
        <v/>
      </c>
      <c r="V329" s="18">
        <f>($R329+$T329+$U329)*igst_rate_hs7602</f>
        <v/>
      </c>
      <c r="W329" s="18">
        <f>Parity!$X$54*Parity!$AG$54+IF(Parity!$Y$54,psic_cost_usd_per_box*Parity!$H$54/Parity!$W$54,0)</f>
        <v/>
      </c>
      <c r="X329" s="18">
        <f>($S329+$T329+$U329)*Parity!$Z$54/day_count_inr*Parity!$O$54</f>
        <v/>
      </c>
      <c r="Y329" s="18">
        <f>$V329*igst_credit_lag_days/day_count_inr*Parity!$O$54</f>
        <v/>
      </c>
      <c r="Z329" s="18">
        <f>$S329+$T329+$U329+$W329+$X329+$Y329+IF(igst_itc_available,0,$V329)</f>
        <v/>
      </c>
      <c r="AA329" s="18">
        <f>Parity!$N$54*kg_per_mt+domestic_anchor_premium_inr_t</f>
        <v/>
      </c>
      <c r="AB329" s="18">
        <f>(1-Parity!$AA$54)*Parity!$AD$54*heavies_net_value_frac_of_lme_al*Parity!$F$54*Parity!$H$54</f>
        <v/>
      </c>
      <c r="AC329" s="18">
        <f>$AA329*Parity!$AU$54+$AB329-$Z329-Parity!$AX$54</f>
        <v/>
      </c>
      <c r="AD329" s="8">
        <f>$AC329&gt;margin_threshold_inr_t</f>
        <v/>
      </c>
      <c r="AE329" s="18">
        <f>($AC329-$L329)*grid_tonnes_mt</f>
        <v/>
      </c>
    </row>
    <row r="330">
      <c r="A330" s="7" t="inlineStr">
        <is>
          <t>first_eligible</t>
        </is>
      </c>
      <c r="B330" s="11" t="n">
        <v>44624</v>
      </c>
      <c r="C330" s="7" t="inlineStr">
        <is>
          <t>zorba</t>
        </is>
      </c>
      <c r="D330" s="7" t="inlineStr">
        <is>
          <t>JEA_NSA</t>
        </is>
      </c>
      <c r="E330" s="7" t="inlineStr">
        <is>
          <t>CFR_seller_books_freight</t>
        </is>
      </c>
      <c r="F330" s="20" t="n">
        <v>20</v>
      </c>
      <c r="G330" s="20" t="n">
        <v>0</v>
      </c>
      <c r="H330" s="16">
        <f>Parity!$L$54*(1+$F330/100)</f>
        <v/>
      </c>
      <c r="I330" s="16">
        <f>Parity!$L$54*Parity!$AG$54*$F330/100</f>
        <v/>
      </c>
      <c r="J330" s="8">
        <f>IF($E330="FOB_desk_books_freight",Parity!$P$54+$I330/Parity!$F$54,Parity!$P$54)</f>
        <v/>
      </c>
      <c r="K330" s="8">
        <f>$G330/100</f>
        <v/>
      </c>
      <c r="L330" s="18">
        <f>Parity!$AY$54</f>
        <v/>
      </c>
      <c r="M330" s="16">
        <f>Parity!$F$54*$J330</f>
        <v/>
      </c>
      <c r="N330" s="16">
        <f>$H330*Parity!$AG$54</f>
        <v/>
      </c>
      <c r="O330" s="16">
        <f>$M330-$N330</f>
        <v/>
      </c>
      <c r="P330" s="16">
        <f>insurance_rate*insured_value_uplift*$M330</f>
        <v/>
      </c>
      <c r="Q330" s="16">
        <f>$M330+$P330</f>
        <v/>
      </c>
      <c r="R330" s="18">
        <f>$Q330*Parity!$J$54</f>
        <v/>
      </c>
      <c r="S330" s="18">
        <f>$Q330*Parity!$I$54</f>
        <v/>
      </c>
      <c r="T330" s="18">
        <f>$R330*$K330</f>
        <v/>
      </c>
      <c r="U330" s="18">
        <f>$T330*sws_rate_on_bcd</f>
        <v/>
      </c>
      <c r="V330" s="18">
        <f>($R330+$T330+$U330)*igst_rate_hs7602</f>
        <v/>
      </c>
      <c r="W330" s="18">
        <f>Parity!$X$54*Parity!$AG$54+IF(Parity!$Y$54,psic_cost_usd_per_box*Parity!$H$54/Parity!$W$54,0)</f>
        <v/>
      </c>
      <c r="X330" s="18">
        <f>($S330+$T330+$U330)*Parity!$Z$54/day_count_inr*Parity!$O$54</f>
        <v/>
      </c>
      <c r="Y330" s="18">
        <f>$V330*igst_credit_lag_days/day_count_inr*Parity!$O$54</f>
        <v/>
      </c>
      <c r="Z330" s="18">
        <f>$S330+$T330+$U330+$W330+$X330+$Y330+IF(igst_itc_available,0,$V330)</f>
        <v/>
      </c>
      <c r="AA330" s="18">
        <f>Parity!$N$54*kg_per_mt+domestic_anchor_premium_inr_t</f>
        <v/>
      </c>
      <c r="AB330" s="18">
        <f>(1-Parity!$AA$54)*Parity!$AD$54*heavies_net_value_frac_of_lme_al*Parity!$F$54*Parity!$H$54</f>
        <v/>
      </c>
      <c r="AC330" s="18">
        <f>$AA330*Parity!$AU$54+$AB330-$Z330-Parity!$AX$54</f>
        <v/>
      </c>
      <c r="AD330" s="8">
        <f>$AC330&gt;margin_threshold_inr_t</f>
        <v/>
      </c>
      <c r="AE330" s="18">
        <f>($AC330-$L330)*grid_tonnes_mt</f>
        <v/>
      </c>
    </row>
    <row r="331">
      <c r="A331" s="7" t="inlineStr">
        <is>
          <t>first_eligible</t>
        </is>
      </c>
      <c r="B331" s="11" t="n">
        <v>44624</v>
      </c>
      <c r="C331" s="7" t="inlineStr">
        <is>
          <t>zorba</t>
        </is>
      </c>
      <c r="D331" s="7" t="inlineStr">
        <is>
          <t>JEA_NSA</t>
        </is>
      </c>
      <c r="E331" s="7" t="inlineStr">
        <is>
          <t>CFR_seller_books_freight</t>
        </is>
      </c>
      <c r="F331" s="20" t="n">
        <v>20</v>
      </c>
      <c r="G331" s="20" t="n">
        <v>2.5</v>
      </c>
      <c r="H331" s="16">
        <f>Parity!$L$54*(1+$F331/100)</f>
        <v/>
      </c>
      <c r="I331" s="16">
        <f>Parity!$L$54*Parity!$AG$54*$F331/100</f>
        <v/>
      </c>
      <c r="J331" s="8">
        <f>IF($E331="FOB_desk_books_freight",Parity!$P$54+$I331/Parity!$F$54,Parity!$P$54)</f>
        <v/>
      </c>
      <c r="K331" s="8">
        <f>$G331/100</f>
        <v/>
      </c>
      <c r="L331" s="18">
        <f>Parity!$AY$54</f>
        <v/>
      </c>
      <c r="M331" s="16">
        <f>Parity!$F$54*$J331</f>
        <v/>
      </c>
      <c r="N331" s="16">
        <f>$H331*Parity!$AG$54</f>
        <v/>
      </c>
      <c r="O331" s="16">
        <f>$M331-$N331</f>
        <v/>
      </c>
      <c r="P331" s="16">
        <f>insurance_rate*insured_value_uplift*$M331</f>
        <v/>
      </c>
      <c r="Q331" s="16">
        <f>$M331+$P331</f>
        <v/>
      </c>
      <c r="R331" s="18">
        <f>$Q331*Parity!$J$54</f>
        <v/>
      </c>
      <c r="S331" s="18">
        <f>$Q331*Parity!$I$54</f>
        <v/>
      </c>
      <c r="T331" s="18">
        <f>$R331*$K331</f>
        <v/>
      </c>
      <c r="U331" s="18">
        <f>$T331*sws_rate_on_bcd</f>
        <v/>
      </c>
      <c r="V331" s="18">
        <f>($R331+$T331+$U331)*igst_rate_hs7602</f>
        <v/>
      </c>
      <c r="W331" s="18">
        <f>Parity!$X$54*Parity!$AG$54+IF(Parity!$Y$54,psic_cost_usd_per_box*Parity!$H$54/Parity!$W$54,0)</f>
        <v/>
      </c>
      <c r="X331" s="18">
        <f>($S331+$T331+$U331)*Parity!$Z$54/day_count_inr*Parity!$O$54</f>
        <v/>
      </c>
      <c r="Y331" s="18">
        <f>$V331*igst_credit_lag_days/day_count_inr*Parity!$O$54</f>
        <v/>
      </c>
      <c r="Z331" s="18">
        <f>$S331+$T331+$U331+$W331+$X331+$Y331+IF(igst_itc_available,0,$V331)</f>
        <v/>
      </c>
      <c r="AA331" s="18">
        <f>Parity!$N$54*kg_per_mt+domestic_anchor_premium_inr_t</f>
        <v/>
      </c>
      <c r="AB331" s="18">
        <f>(1-Parity!$AA$54)*Parity!$AD$54*heavies_net_value_frac_of_lme_al*Parity!$F$54*Parity!$H$54</f>
        <v/>
      </c>
      <c r="AC331" s="18">
        <f>$AA331*Parity!$AU$54+$AB331-$Z331-Parity!$AX$54</f>
        <v/>
      </c>
      <c r="AD331" s="8">
        <f>$AC331&gt;margin_threshold_inr_t</f>
        <v/>
      </c>
      <c r="AE331" s="18">
        <f>($AC331-$L331)*grid_tonnes_mt</f>
        <v/>
      </c>
    </row>
    <row r="332">
      <c r="A332" s="7" t="inlineStr">
        <is>
          <t>first_eligible</t>
        </is>
      </c>
      <c r="B332" s="11" t="n">
        <v>44624</v>
      </c>
      <c r="C332" s="7" t="inlineStr">
        <is>
          <t>zorba</t>
        </is>
      </c>
      <c r="D332" s="7" t="inlineStr">
        <is>
          <t>JEA_NSA</t>
        </is>
      </c>
      <c r="E332" s="7" t="inlineStr">
        <is>
          <t>CFR_seller_books_freight</t>
        </is>
      </c>
      <c r="F332" s="20" t="n">
        <v>20</v>
      </c>
      <c r="G332" s="20" t="n">
        <v>5</v>
      </c>
      <c r="H332" s="16">
        <f>Parity!$L$54*(1+$F332/100)</f>
        <v/>
      </c>
      <c r="I332" s="16">
        <f>Parity!$L$54*Parity!$AG$54*$F332/100</f>
        <v/>
      </c>
      <c r="J332" s="8">
        <f>IF($E332="FOB_desk_books_freight",Parity!$P$54+$I332/Parity!$F$54,Parity!$P$54)</f>
        <v/>
      </c>
      <c r="K332" s="8">
        <f>$G332/100</f>
        <v/>
      </c>
      <c r="L332" s="18">
        <f>Parity!$AY$54</f>
        <v/>
      </c>
      <c r="M332" s="16">
        <f>Parity!$F$54*$J332</f>
        <v/>
      </c>
      <c r="N332" s="16">
        <f>$H332*Parity!$AG$54</f>
        <v/>
      </c>
      <c r="O332" s="16">
        <f>$M332-$N332</f>
        <v/>
      </c>
      <c r="P332" s="16">
        <f>insurance_rate*insured_value_uplift*$M332</f>
        <v/>
      </c>
      <c r="Q332" s="16">
        <f>$M332+$P332</f>
        <v/>
      </c>
      <c r="R332" s="18">
        <f>$Q332*Parity!$J$54</f>
        <v/>
      </c>
      <c r="S332" s="18">
        <f>$Q332*Parity!$I$54</f>
        <v/>
      </c>
      <c r="T332" s="18">
        <f>$R332*$K332</f>
        <v/>
      </c>
      <c r="U332" s="18">
        <f>$T332*sws_rate_on_bcd</f>
        <v/>
      </c>
      <c r="V332" s="18">
        <f>($R332+$T332+$U332)*igst_rate_hs7602</f>
        <v/>
      </c>
      <c r="W332" s="18">
        <f>Parity!$X$54*Parity!$AG$54+IF(Parity!$Y$54,psic_cost_usd_per_box*Parity!$H$54/Parity!$W$54,0)</f>
        <v/>
      </c>
      <c r="X332" s="18">
        <f>($S332+$T332+$U332)*Parity!$Z$54/day_count_inr*Parity!$O$54</f>
        <v/>
      </c>
      <c r="Y332" s="18">
        <f>$V332*igst_credit_lag_days/day_count_inr*Parity!$O$54</f>
        <v/>
      </c>
      <c r="Z332" s="18">
        <f>$S332+$T332+$U332+$W332+$X332+$Y332+IF(igst_itc_available,0,$V332)</f>
        <v/>
      </c>
      <c r="AA332" s="18">
        <f>Parity!$N$54*kg_per_mt+domestic_anchor_premium_inr_t</f>
        <v/>
      </c>
      <c r="AB332" s="18">
        <f>(1-Parity!$AA$54)*Parity!$AD$54*heavies_net_value_frac_of_lme_al*Parity!$F$54*Parity!$H$54</f>
        <v/>
      </c>
      <c r="AC332" s="18">
        <f>$AA332*Parity!$AU$54+$AB332-$Z332-Parity!$AX$54</f>
        <v/>
      </c>
      <c r="AD332" s="8">
        <f>$AC332&gt;margin_threshold_inr_t</f>
        <v/>
      </c>
      <c r="AE332" s="18">
        <f>($AC332-$L332)*grid_tonnes_mt</f>
        <v/>
      </c>
    </row>
    <row r="333">
      <c r="A333" s="7" t="inlineStr">
        <is>
          <t>first_eligible</t>
        </is>
      </c>
      <c r="B333" s="11" t="n">
        <v>44624</v>
      </c>
      <c r="C333" s="7" t="inlineStr">
        <is>
          <t>zorba</t>
        </is>
      </c>
      <c r="D333" s="7" t="inlineStr">
        <is>
          <t>JEA_NSA</t>
        </is>
      </c>
      <c r="E333" s="7" t="inlineStr">
        <is>
          <t>CFR_seller_books_freight</t>
        </is>
      </c>
      <c r="F333" s="20" t="n">
        <v>20</v>
      </c>
      <c r="G333" s="20" t="n">
        <v>7.5</v>
      </c>
      <c r="H333" s="16">
        <f>Parity!$L$54*(1+$F333/100)</f>
        <v/>
      </c>
      <c r="I333" s="16">
        <f>Parity!$L$54*Parity!$AG$54*$F333/100</f>
        <v/>
      </c>
      <c r="J333" s="8">
        <f>IF($E333="FOB_desk_books_freight",Parity!$P$54+$I333/Parity!$F$54,Parity!$P$54)</f>
        <v/>
      </c>
      <c r="K333" s="8">
        <f>$G333/100</f>
        <v/>
      </c>
      <c r="L333" s="18">
        <f>Parity!$AY$54</f>
        <v/>
      </c>
      <c r="M333" s="16">
        <f>Parity!$F$54*$J333</f>
        <v/>
      </c>
      <c r="N333" s="16">
        <f>$H333*Parity!$AG$54</f>
        <v/>
      </c>
      <c r="O333" s="16">
        <f>$M333-$N333</f>
        <v/>
      </c>
      <c r="P333" s="16">
        <f>insurance_rate*insured_value_uplift*$M333</f>
        <v/>
      </c>
      <c r="Q333" s="16">
        <f>$M333+$P333</f>
        <v/>
      </c>
      <c r="R333" s="18">
        <f>$Q333*Parity!$J$54</f>
        <v/>
      </c>
      <c r="S333" s="18">
        <f>$Q333*Parity!$I$54</f>
        <v/>
      </c>
      <c r="T333" s="18">
        <f>$R333*$K333</f>
        <v/>
      </c>
      <c r="U333" s="18">
        <f>$T333*sws_rate_on_bcd</f>
        <v/>
      </c>
      <c r="V333" s="18">
        <f>($R333+$T333+$U333)*igst_rate_hs7602</f>
        <v/>
      </c>
      <c r="W333" s="18">
        <f>Parity!$X$54*Parity!$AG$54+IF(Parity!$Y$54,psic_cost_usd_per_box*Parity!$H$54/Parity!$W$54,0)</f>
        <v/>
      </c>
      <c r="X333" s="18">
        <f>($S333+$T333+$U333)*Parity!$Z$54/day_count_inr*Parity!$O$54</f>
        <v/>
      </c>
      <c r="Y333" s="18">
        <f>$V333*igst_credit_lag_days/day_count_inr*Parity!$O$54</f>
        <v/>
      </c>
      <c r="Z333" s="18">
        <f>$S333+$T333+$U333+$W333+$X333+$Y333+IF(igst_itc_available,0,$V333)</f>
        <v/>
      </c>
      <c r="AA333" s="18">
        <f>Parity!$N$54*kg_per_mt+domestic_anchor_premium_inr_t</f>
        <v/>
      </c>
      <c r="AB333" s="18">
        <f>(1-Parity!$AA$54)*Parity!$AD$54*heavies_net_value_frac_of_lme_al*Parity!$F$54*Parity!$H$54</f>
        <v/>
      </c>
      <c r="AC333" s="18">
        <f>$AA333*Parity!$AU$54+$AB333-$Z333-Parity!$AX$54</f>
        <v/>
      </c>
      <c r="AD333" s="8">
        <f>$AC333&gt;margin_threshold_inr_t</f>
        <v/>
      </c>
      <c r="AE333" s="18">
        <f>($AC333-$L333)*grid_tonnes_mt</f>
        <v/>
      </c>
    </row>
    <row r="334">
      <c r="A334" s="7" t="inlineStr">
        <is>
          <t>first_eligible</t>
        </is>
      </c>
      <c r="B334" s="11" t="n">
        <v>44624</v>
      </c>
      <c r="C334" s="7" t="inlineStr">
        <is>
          <t>zorba</t>
        </is>
      </c>
      <c r="D334" s="7" t="inlineStr">
        <is>
          <t>JEA_NSA</t>
        </is>
      </c>
      <c r="E334" s="7" t="inlineStr">
        <is>
          <t>CFR_seller_books_freight</t>
        </is>
      </c>
      <c r="F334" s="20" t="n">
        <v>20</v>
      </c>
      <c r="G334" s="20" t="n">
        <v>10</v>
      </c>
      <c r="H334" s="16">
        <f>Parity!$L$54*(1+$F334/100)</f>
        <v/>
      </c>
      <c r="I334" s="16">
        <f>Parity!$L$54*Parity!$AG$54*$F334/100</f>
        <v/>
      </c>
      <c r="J334" s="8">
        <f>IF($E334="FOB_desk_books_freight",Parity!$P$54+$I334/Parity!$F$54,Parity!$P$54)</f>
        <v/>
      </c>
      <c r="K334" s="8">
        <f>$G334/100</f>
        <v/>
      </c>
      <c r="L334" s="18">
        <f>Parity!$AY$54</f>
        <v/>
      </c>
      <c r="M334" s="16">
        <f>Parity!$F$54*$J334</f>
        <v/>
      </c>
      <c r="N334" s="16">
        <f>$H334*Parity!$AG$54</f>
        <v/>
      </c>
      <c r="O334" s="16">
        <f>$M334-$N334</f>
        <v/>
      </c>
      <c r="P334" s="16">
        <f>insurance_rate*insured_value_uplift*$M334</f>
        <v/>
      </c>
      <c r="Q334" s="16">
        <f>$M334+$P334</f>
        <v/>
      </c>
      <c r="R334" s="18">
        <f>$Q334*Parity!$J$54</f>
        <v/>
      </c>
      <c r="S334" s="18">
        <f>$Q334*Parity!$I$54</f>
        <v/>
      </c>
      <c r="T334" s="18">
        <f>$R334*$K334</f>
        <v/>
      </c>
      <c r="U334" s="18">
        <f>$T334*sws_rate_on_bcd</f>
        <v/>
      </c>
      <c r="V334" s="18">
        <f>($R334+$T334+$U334)*igst_rate_hs7602</f>
        <v/>
      </c>
      <c r="W334" s="18">
        <f>Parity!$X$54*Parity!$AG$54+IF(Parity!$Y$54,psic_cost_usd_per_box*Parity!$H$54/Parity!$W$54,0)</f>
        <v/>
      </c>
      <c r="X334" s="18">
        <f>($S334+$T334+$U334)*Parity!$Z$54/day_count_inr*Parity!$O$54</f>
        <v/>
      </c>
      <c r="Y334" s="18">
        <f>$V334*igst_credit_lag_days/day_count_inr*Parity!$O$54</f>
        <v/>
      </c>
      <c r="Z334" s="18">
        <f>$S334+$T334+$U334+$W334+$X334+$Y334+IF(igst_itc_available,0,$V334)</f>
        <v/>
      </c>
      <c r="AA334" s="18">
        <f>Parity!$N$54*kg_per_mt+domestic_anchor_premium_inr_t</f>
        <v/>
      </c>
      <c r="AB334" s="18">
        <f>(1-Parity!$AA$54)*Parity!$AD$54*heavies_net_value_frac_of_lme_al*Parity!$F$54*Parity!$H$54</f>
        <v/>
      </c>
      <c r="AC334" s="18">
        <f>$AA334*Parity!$AU$54+$AB334-$Z334-Parity!$AX$54</f>
        <v/>
      </c>
      <c r="AD334" s="8">
        <f>$AC334&gt;margin_threshold_inr_t</f>
        <v/>
      </c>
      <c r="AE334" s="18">
        <f>($AC334-$L334)*grid_tonnes_mt</f>
        <v/>
      </c>
    </row>
    <row r="335">
      <c r="A335" s="7" t="inlineStr">
        <is>
          <t>first_eligible</t>
        </is>
      </c>
      <c r="B335" s="11" t="n">
        <v>44624</v>
      </c>
      <c r="C335" s="7" t="inlineStr">
        <is>
          <t>zorba</t>
        </is>
      </c>
      <c r="D335" s="7" t="inlineStr">
        <is>
          <t>JEA_NSA</t>
        </is>
      </c>
      <c r="E335" s="7" t="inlineStr">
        <is>
          <t>CFR_seller_books_freight</t>
        </is>
      </c>
      <c r="F335" s="20" t="n">
        <v>40</v>
      </c>
      <c r="G335" s="20" t="n">
        <v>0</v>
      </c>
      <c r="H335" s="16">
        <f>Parity!$L$54*(1+$F335/100)</f>
        <v/>
      </c>
      <c r="I335" s="16">
        <f>Parity!$L$54*Parity!$AG$54*$F335/100</f>
        <v/>
      </c>
      <c r="J335" s="8">
        <f>IF($E335="FOB_desk_books_freight",Parity!$P$54+$I335/Parity!$F$54,Parity!$P$54)</f>
        <v/>
      </c>
      <c r="K335" s="8">
        <f>$G335/100</f>
        <v/>
      </c>
      <c r="L335" s="18">
        <f>Parity!$AY$54</f>
        <v/>
      </c>
      <c r="M335" s="16">
        <f>Parity!$F$54*$J335</f>
        <v/>
      </c>
      <c r="N335" s="16">
        <f>$H335*Parity!$AG$54</f>
        <v/>
      </c>
      <c r="O335" s="16">
        <f>$M335-$N335</f>
        <v/>
      </c>
      <c r="P335" s="16">
        <f>insurance_rate*insured_value_uplift*$M335</f>
        <v/>
      </c>
      <c r="Q335" s="16">
        <f>$M335+$P335</f>
        <v/>
      </c>
      <c r="R335" s="18">
        <f>$Q335*Parity!$J$54</f>
        <v/>
      </c>
      <c r="S335" s="18">
        <f>$Q335*Parity!$I$54</f>
        <v/>
      </c>
      <c r="T335" s="18">
        <f>$R335*$K335</f>
        <v/>
      </c>
      <c r="U335" s="18">
        <f>$T335*sws_rate_on_bcd</f>
        <v/>
      </c>
      <c r="V335" s="18">
        <f>($R335+$T335+$U335)*igst_rate_hs7602</f>
        <v/>
      </c>
      <c r="W335" s="18">
        <f>Parity!$X$54*Parity!$AG$54+IF(Parity!$Y$54,psic_cost_usd_per_box*Parity!$H$54/Parity!$W$54,0)</f>
        <v/>
      </c>
      <c r="X335" s="18">
        <f>($S335+$T335+$U335)*Parity!$Z$54/day_count_inr*Parity!$O$54</f>
        <v/>
      </c>
      <c r="Y335" s="18">
        <f>$V335*igst_credit_lag_days/day_count_inr*Parity!$O$54</f>
        <v/>
      </c>
      <c r="Z335" s="18">
        <f>$S335+$T335+$U335+$W335+$X335+$Y335+IF(igst_itc_available,0,$V335)</f>
        <v/>
      </c>
      <c r="AA335" s="18">
        <f>Parity!$N$54*kg_per_mt+domestic_anchor_premium_inr_t</f>
        <v/>
      </c>
      <c r="AB335" s="18">
        <f>(1-Parity!$AA$54)*Parity!$AD$54*heavies_net_value_frac_of_lme_al*Parity!$F$54*Parity!$H$54</f>
        <v/>
      </c>
      <c r="AC335" s="18">
        <f>$AA335*Parity!$AU$54+$AB335-$Z335-Parity!$AX$54</f>
        <v/>
      </c>
      <c r="AD335" s="8">
        <f>$AC335&gt;margin_threshold_inr_t</f>
        <v/>
      </c>
      <c r="AE335" s="18">
        <f>($AC335-$L335)*grid_tonnes_mt</f>
        <v/>
      </c>
    </row>
    <row r="336">
      <c r="A336" s="7" t="inlineStr">
        <is>
          <t>first_eligible</t>
        </is>
      </c>
      <c r="B336" s="11" t="n">
        <v>44624</v>
      </c>
      <c r="C336" s="7" t="inlineStr">
        <is>
          <t>zorba</t>
        </is>
      </c>
      <c r="D336" s="7" t="inlineStr">
        <is>
          <t>JEA_NSA</t>
        </is>
      </c>
      <c r="E336" s="7" t="inlineStr">
        <is>
          <t>CFR_seller_books_freight</t>
        </is>
      </c>
      <c r="F336" s="20" t="n">
        <v>40</v>
      </c>
      <c r="G336" s="20" t="n">
        <v>2.5</v>
      </c>
      <c r="H336" s="16">
        <f>Parity!$L$54*(1+$F336/100)</f>
        <v/>
      </c>
      <c r="I336" s="16">
        <f>Parity!$L$54*Parity!$AG$54*$F336/100</f>
        <v/>
      </c>
      <c r="J336" s="8">
        <f>IF($E336="FOB_desk_books_freight",Parity!$P$54+$I336/Parity!$F$54,Parity!$P$54)</f>
        <v/>
      </c>
      <c r="K336" s="8">
        <f>$G336/100</f>
        <v/>
      </c>
      <c r="L336" s="18">
        <f>Parity!$AY$54</f>
        <v/>
      </c>
      <c r="M336" s="16">
        <f>Parity!$F$54*$J336</f>
        <v/>
      </c>
      <c r="N336" s="16">
        <f>$H336*Parity!$AG$54</f>
        <v/>
      </c>
      <c r="O336" s="16">
        <f>$M336-$N336</f>
        <v/>
      </c>
      <c r="P336" s="16">
        <f>insurance_rate*insured_value_uplift*$M336</f>
        <v/>
      </c>
      <c r="Q336" s="16">
        <f>$M336+$P336</f>
        <v/>
      </c>
      <c r="R336" s="18">
        <f>$Q336*Parity!$J$54</f>
        <v/>
      </c>
      <c r="S336" s="18">
        <f>$Q336*Parity!$I$54</f>
        <v/>
      </c>
      <c r="T336" s="18">
        <f>$R336*$K336</f>
        <v/>
      </c>
      <c r="U336" s="18">
        <f>$T336*sws_rate_on_bcd</f>
        <v/>
      </c>
      <c r="V336" s="18">
        <f>($R336+$T336+$U336)*igst_rate_hs7602</f>
        <v/>
      </c>
      <c r="W336" s="18">
        <f>Parity!$X$54*Parity!$AG$54+IF(Parity!$Y$54,psic_cost_usd_per_box*Parity!$H$54/Parity!$W$54,0)</f>
        <v/>
      </c>
      <c r="X336" s="18">
        <f>($S336+$T336+$U336)*Parity!$Z$54/day_count_inr*Parity!$O$54</f>
        <v/>
      </c>
      <c r="Y336" s="18">
        <f>$V336*igst_credit_lag_days/day_count_inr*Parity!$O$54</f>
        <v/>
      </c>
      <c r="Z336" s="18">
        <f>$S336+$T336+$U336+$W336+$X336+$Y336+IF(igst_itc_available,0,$V336)</f>
        <v/>
      </c>
      <c r="AA336" s="18">
        <f>Parity!$N$54*kg_per_mt+domestic_anchor_premium_inr_t</f>
        <v/>
      </c>
      <c r="AB336" s="18">
        <f>(1-Parity!$AA$54)*Parity!$AD$54*heavies_net_value_frac_of_lme_al*Parity!$F$54*Parity!$H$54</f>
        <v/>
      </c>
      <c r="AC336" s="18">
        <f>$AA336*Parity!$AU$54+$AB336-$Z336-Parity!$AX$54</f>
        <v/>
      </c>
      <c r="AD336" s="8">
        <f>$AC336&gt;margin_threshold_inr_t</f>
        <v/>
      </c>
      <c r="AE336" s="18">
        <f>($AC336-$L336)*grid_tonnes_mt</f>
        <v/>
      </c>
    </row>
    <row r="337">
      <c r="A337" s="7" t="inlineStr">
        <is>
          <t>first_eligible</t>
        </is>
      </c>
      <c r="B337" s="11" t="n">
        <v>44624</v>
      </c>
      <c r="C337" s="7" t="inlineStr">
        <is>
          <t>zorba</t>
        </is>
      </c>
      <c r="D337" s="7" t="inlineStr">
        <is>
          <t>JEA_NSA</t>
        </is>
      </c>
      <c r="E337" s="7" t="inlineStr">
        <is>
          <t>CFR_seller_books_freight</t>
        </is>
      </c>
      <c r="F337" s="20" t="n">
        <v>40</v>
      </c>
      <c r="G337" s="20" t="n">
        <v>5</v>
      </c>
      <c r="H337" s="16">
        <f>Parity!$L$54*(1+$F337/100)</f>
        <v/>
      </c>
      <c r="I337" s="16">
        <f>Parity!$L$54*Parity!$AG$54*$F337/100</f>
        <v/>
      </c>
      <c r="J337" s="8">
        <f>IF($E337="FOB_desk_books_freight",Parity!$P$54+$I337/Parity!$F$54,Parity!$P$54)</f>
        <v/>
      </c>
      <c r="K337" s="8">
        <f>$G337/100</f>
        <v/>
      </c>
      <c r="L337" s="18">
        <f>Parity!$AY$54</f>
        <v/>
      </c>
      <c r="M337" s="16">
        <f>Parity!$F$54*$J337</f>
        <v/>
      </c>
      <c r="N337" s="16">
        <f>$H337*Parity!$AG$54</f>
        <v/>
      </c>
      <c r="O337" s="16">
        <f>$M337-$N337</f>
        <v/>
      </c>
      <c r="P337" s="16">
        <f>insurance_rate*insured_value_uplift*$M337</f>
        <v/>
      </c>
      <c r="Q337" s="16">
        <f>$M337+$P337</f>
        <v/>
      </c>
      <c r="R337" s="18">
        <f>$Q337*Parity!$J$54</f>
        <v/>
      </c>
      <c r="S337" s="18">
        <f>$Q337*Parity!$I$54</f>
        <v/>
      </c>
      <c r="T337" s="18">
        <f>$R337*$K337</f>
        <v/>
      </c>
      <c r="U337" s="18">
        <f>$T337*sws_rate_on_bcd</f>
        <v/>
      </c>
      <c r="V337" s="18">
        <f>($R337+$T337+$U337)*igst_rate_hs7602</f>
        <v/>
      </c>
      <c r="W337" s="18">
        <f>Parity!$X$54*Parity!$AG$54+IF(Parity!$Y$54,psic_cost_usd_per_box*Parity!$H$54/Parity!$W$54,0)</f>
        <v/>
      </c>
      <c r="X337" s="18">
        <f>($S337+$T337+$U337)*Parity!$Z$54/day_count_inr*Parity!$O$54</f>
        <v/>
      </c>
      <c r="Y337" s="18">
        <f>$V337*igst_credit_lag_days/day_count_inr*Parity!$O$54</f>
        <v/>
      </c>
      <c r="Z337" s="18">
        <f>$S337+$T337+$U337+$W337+$X337+$Y337+IF(igst_itc_available,0,$V337)</f>
        <v/>
      </c>
      <c r="AA337" s="18">
        <f>Parity!$N$54*kg_per_mt+domestic_anchor_premium_inr_t</f>
        <v/>
      </c>
      <c r="AB337" s="18">
        <f>(1-Parity!$AA$54)*Parity!$AD$54*heavies_net_value_frac_of_lme_al*Parity!$F$54*Parity!$H$54</f>
        <v/>
      </c>
      <c r="AC337" s="18">
        <f>$AA337*Parity!$AU$54+$AB337-$Z337-Parity!$AX$54</f>
        <v/>
      </c>
      <c r="AD337" s="8">
        <f>$AC337&gt;margin_threshold_inr_t</f>
        <v/>
      </c>
      <c r="AE337" s="18">
        <f>($AC337-$L337)*grid_tonnes_mt</f>
        <v/>
      </c>
    </row>
    <row r="338">
      <c r="A338" s="7" t="inlineStr">
        <is>
          <t>first_eligible</t>
        </is>
      </c>
      <c r="B338" s="11" t="n">
        <v>44624</v>
      </c>
      <c r="C338" s="7" t="inlineStr">
        <is>
          <t>zorba</t>
        </is>
      </c>
      <c r="D338" s="7" t="inlineStr">
        <is>
          <t>JEA_NSA</t>
        </is>
      </c>
      <c r="E338" s="7" t="inlineStr">
        <is>
          <t>CFR_seller_books_freight</t>
        </is>
      </c>
      <c r="F338" s="20" t="n">
        <v>40</v>
      </c>
      <c r="G338" s="20" t="n">
        <v>7.5</v>
      </c>
      <c r="H338" s="16">
        <f>Parity!$L$54*(1+$F338/100)</f>
        <v/>
      </c>
      <c r="I338" s="16">
        <f>Parity!$L$54*Parity!$AG$54*$F338/100</f>
        <v/>
      </c>
      <c r="J338" s="8">
        <f>IF($E338="FOB_desk_books_freight",Parity!$P$54+$I338/Parity!$F$54,Parity!$P$54)</f>
        <v/>
      </c>
      <c r="K338" s="8">
        <f>$G338/100</f>
        <v/>
      </c>
      <c r="L338" s="18">
        <f>Parity!$AY$54</f>
        <v/>
      </c>
      <c r="M338" s="16">
        <f>Parity!$F$54*$J338</f>
        <v/>
      </c>
      <c r="N338" s="16">
        <f>$H338*Parity!$AG$54</f>
        <v/>
      </c>
      <c r="O338" s="16">
        <f>$M338-$N338</f>
        <v/>
      </c>
      <c r="P338" s="16">
        <f>insurance_rate*insured_value_uplift*$M338</f>
        <v/>
      </c>
      <c r="Q338" s="16">
        <f>$M338+$P338</f>
        <v/>
      </c>
      <c r="R338" s="18">
        <f>$Q338*Parity!$J$54</f>
        <v/>
      </c>
      <c r="S338" s="18">
        <f>$Q338*Parity!$I$54</f>
        <v/>
      </c>
      <c r="T338" s="18">
        <f>$R338*$K338</f>
        <v/>
      </c>
      <c r="U338" s="18">
        <f>$T338*sws_rate_on_bcd</f>
        <v/>
      </c>
      <c r="V338" s="18">
        <f>($R338+$T338+$U338)*igst_rate_hs7602</f>
        <v/>
      </c>
      <c r="W338" s="18">
        <f>Parity!$X$54*Parity!$AG$54+IF(Parity!$Y$54,psic_cost_usd_per_box*Parity!$H$54/Parity!$W$54,0)</f>
        <v/>
      </c>
      <c r="X338" s="18">
        <f>($S338+$T338+$U338)*Parity!$Z$54/day_count_inr*Parity!$O$54</f>
        <v/>
      </c>
      <c r="Y338" s="18">
        <f>$V338*igst_credit_lag_days/day_count_inr*Parity!$O$54</f>
        <v/>
      </c>
      <c r="Z338" s="18">
        <f>$S338+$T338+$U338+$W338+$X338+$Y338+IF(igst_itc_available,0,$V338)</f>
        <v/>
      </c>
      <c r="AA338" s="18">
        <f>Parity!$N$54*kg_per_mt+domestic_anchor_premium_inr_t</f>
        <v/>
      </c>
      <c r="AB338" s="18">
        <f>(1-Parity!$AA$54)*Parity!$AD$54*heavies_net_value_frac_of_lme_al*Parity!$F$54*Parity!$H$54</f>
        <v/>
      </c>
      <c r="AC338" s="18">
        <f>$AA338*Parity!$AU$54+$AB338-$Z338-Parity!$AX$54</f>
        <v/>
      </c>
      <c r="AD338" s="8">
        <f>$AC338&gt;margin_threshold_inr_t</f>
        <v/>
      </c>
      <c r="AE338" s="18">
        <f>($AC338-$L338)*grid_tonnes_mt</f>
        <v/>
      </c>
    </row>
    <row r="339">
      <c r="A339" s="7" t="inlineStr">
        <is>
          <t>first_eligible</t>
        </is>
      </c>
      <c r="B339" s="11" t="n">
        <v>44624</v>
      </c>
      <c r="C339" s="7" t="inlineStr">
        <is>
          <t>zorba</t>
        </is>
      </c>
      <c r="D339" s="7" t="inlineStr">
        <is>
          <t>JEA_NSA</t>
        </is>
      </c>
      <c r="E339" s="7" t="inlineStr">
        <is>
          <t>CFR_seller_books_freight</t>
        </is>
      </c>
      <c r="F339" s="20" t="n">
        <v>40</v>
      </c>
      <c r="G339" s="20" t="n">
        <v>10</v>
      </c>
      <c r="H339" s="16">
        <f>Parity!$L$54*(1+$F339/100)</f>
        <v/>
      </c>
      <c r="I339" s="16">
        <f>Parity!$L$54*Parity!$AG$54*$F339/100</f>
        <v/>
      </c>
      <c r="J339" s="8">
        <f>IF($E339="FOB_desk_books_freight",Parity!$P$54+$I339/Parity!$F$54,Parity!$P$54)</f>
        <v/>
      </c>
      <c r="K339" s="8">
        <f>$G339/100</f>
        <v/>
      </c>
      <c r="L339" s="18">
        <f>Parity!$AY$54</f>
        <v/>
      </c>
      <c r="M339" s="16">
        <f>Parity!$F$54*$J339</f>
        <v/>
      </c>
      <c r="N339" s="16">
        <f>$H339*Parity!$AG$54</f>
        <v/>
      </c>
      <c r="O339" s="16">
        <f>$M339-$N339</f>
        <v/>
      </c>
      <c r="P339" s="16">
        <f>insurance_rate*insured_value_uplift*$M339</f>
        <v/>
      </c>
      <c r="Q339" s="16">
        <f>$M339+$P339</f>
        <v/>
      </c>
      <c r="R339" s="18">
        <f>$Q339*Parity!$J$54</f>
        <v/>
      </c>
      <c r="S339" s="18">
        <f>$Q339*Parity!$I$54</f>
        <v/>
      </c>
      <c r="T339" s="18">
        <f>$R339*$K339</f>
        <v/>
      </c>
      <c r="U339" s="18">
        <f>$T339*sws_rate_on_bcd</f>
        <v/>
      </c>
      <c r="V339" s="18">
        <f>($R339+$T339+$U339)*igst_rate_hs7602</f>
        <v/>
      </c>
      <c r="W339" s="18">
        <f>Parity!$X$54*Parity!$AG$54+IF(Parity!$Y$54,psic_cost_usd_per_box*Parity!$H$54/Parity!$W$54,0)</f>
        <v/>
      </c>
      <c r="X339" s="18">
        <f>($S339+$T339+$U339)*Parity!$Z$54/day_count_inr*Parity!$O$54</f>
        <v/>
      </c>
      <c r="Y339" s="18">
        <f>$V339*igst_credit_lag_days/day_count_inr*Parity!$O$54</f>
        <v/>
      </c>
      <c r="Z339" s="18">
        <f>$S339+$T339+$U339+$W339+$X339+$Y339+IF(igst_itc_available,0,$V339)</f>
        <v/>
      </c>
      <c r="AA339" s="18">
        <f>Parity!$N$54*kg_per_mt+domestic_anchor_premium_inr_t</f>
        <v/>
      </c>
      <c r="AB339" s="18">
        <f>(1-Parity!$AA$54)*Parity!$AD$54*heavies_net_value_frac_of_lme_al*Parity!$F$54*Parity!$H$54</f>
        <v/>
      </c>
      <c r="AC339" s="18">
        <f>$AA339*Parity!$AU$54+$AB339-$Z339-Parity!$AX$54</f>
        <v/>
      </c>
      <c r="AD339" s="8">
        <f>$AC339&gt;margin_threshold_inr_t</f>
        <v/>
      </c>
      <c r="AE339" s="18">
        <f>($AC339-$L339)*grid_tonnes_mt</f>
        <v/>
      </c>
    </row>
    <row r="340">
      <c r="A340" s="7" t="inlineStr">
        <is>
          <t>first_eligible</t>
        </is>
      </c>
      <c r="B340" s="11" t="n">
        <v>44624</v>
      </c>
      <c r="C340" s="7" t="inlineStr">
        <is>
          <t>zorba</t>
        </is>
      </c>
      <c r="D340" s="7" t="inlineStr">
        <is>
          <t>JEA_NSA</t>
        </is>
      </c>
      <c r="E340" s="7" t="inlineStr">
        <is>
          <t>CFR_seller_books_freight</t>
        </is>
      </c>
      <c r="F340" s="20" t="n">
        <v>60</v>
      </c>
      <c r="G340" s="20" t="n">
        <v>0</v>
      </c>
      <c r="H340" s="16">
        <f>Parity!$L$54*(1+$F340/100)</f>
        <v/>
      </c>
      <c r="I340" s="16">
        <f>Parity!$L$54*Parity!$AG$54*$F340/100</f>
        <v/>
      </c>
      <c r="J340" s="8">
        <f>IF($E340="FOB_desk_books_freight",Parity!$P$54+$I340/Parity!$F$54,Parity!$P$54)</f>
        <v/>
      </c>
      <c r="K340" s="8">
        <f>$G340/100</f>
        <v/>
      </c>
      <c r="L340" s="18">
        <f>Parity!$AY$54</f>
        <v/>
      </c>
      <c r="M340" s="16">
        <f>Parity!$F$54*$J340</f>
        <v/>
      </c>
      <c r="N340" s="16">
        <f>$H340*Parity!$AG$54</f>
        <v/>
      </c>
      <c r="O340" s="16">
        <f>$M340-$N340</f>
        <v/>
      </c>
      <c r="P340" s="16">
        <f>insurance_rate*insured_value_uplift*$M340</f>
        <v/>
      </c>
      <c r="Q340" s="16">
        <f>$M340+$P340</f>
        <v/>
      </c>
      <c r="R340" s="18">
        <f>$Q340*Parity!$J$54</f>
        <v/>
      </c>
      <c r="S340" s="18">
        <f>$Q340*Parity!$I$54</f>
        <v/>
      </c>
      <c r="T340" s="18">
        <f>$R340*$K340</f>
        <v/>
      </c>
      <c r="U340" s="18">
        <f>$T340*sws_rate_on_bcd</f>
        <v/>
      </c>
      <c r="V340" s="18">
        <f>($R340+$T340+$U340)*igst_rate_hs7602</f>
        <v/>
      </c>
      <c r="W340" s="18">
        <f>Parity!$X$54*Parity!$AG$54+IF(Parity!$Y$54,psic_cost_usd_per_box*Parity!$H$54/Parity!$W$54,0)</f>
        <v/>
      </c>
      <c r="X340" s="18">
        <f>($S340+$T340+$U340)*Parity!$Z$54/day_count_inr*Parity!$O$54</f>
        <v/>
      </c>
      <c r="Y340" s="18">
        <f>$V340*igst_credit_lag_days/day_count_inr*Parity!$O$54</f>
        <v/>
      </c>
      <c r="Z340" s="18">
        <f>$S340+$T340+$U340+$W340+$X340+$Y340+IF(igst_itc_available,0,$V340)</f>
        <v/>
      </c>
      <c r="AA340" s="18">
        <f>Parity!$N$54*kg_per_mt+domestic_anchor_premium_inr_t</f>
        <v/>
      </c>
      <c r="AB340" s="18">
        <f>(1-Parity!$AA$54)*Parity!$AD$54*heavies_net_value_frac_of_lme_al*Parity!$F$54*Parity!$H$54</f>
        <v/>
      </c>
      <c r="AC340" s="18">
        <f>$AA340*Parity!$AU$54+$AB340-$Z340-Parity!$AX$54</f>
        <v/>
      </c>
      <c r="AD340" s="8">
        <f>$AC340&gt;margin_threshold_inr_t</f>
        <v/>
      </c>
      <c r="AE340" s="18">
        <f>($AC340-$L340)*grid_tonnes_mt</f>
        <v/>
      </c>
    </row>
    <row r="341">
      <c r="A341" s="7" t="inlineStr">
        <is>
          <t>first_eligible</t>
        </is>
      </c>
      <c r="B341" s="11" t="n">
        <v>44624</v>
      </c>
      <c r="C341" s="7" t="inlineStr">
        <is>
          <t>zorba</t>
        </is>
      </c>
      <c r="D341" s="7" t="inlineStr">
        <is>
          <t>JEA_NSA</t>
        </is>
      </c>
      <c r="E341" s="7" t="inlineStr">
        <is>
          <t>CFR_seller_books_freight</t>
        </is>
      </c>
      <c r="F341" s="20" t="n">
        <v>60</v>
      </c>
      <c r="G341" s="20" t="n">
        <v>2.5</v>
      </c>
      <c r="H341" s="16">
        <f>Parity!$L$54*(1+$F341/100)</f>
        <v/>
      </c>
      <c r="I341" s="16">
        <f>Parity!$L$54*Parity!$AG$54*$F341/100</f>
        <v/>
      </c>
      <c r="J341" s="8">
        <f>IF($E341="FOB_desk_books_freight",Parity!$P$54+$I341/Parity!$F$54,Parity!$P$54)</f>
        <v/>
      </c>
      <c r="K341" s="8">
        <f>$G341/100</f>
        <v/>
      </c>
      <c r="L341" s="18">
        <f>Parity!$AY$54</f>
        <v/>
      </c>
      <c r="M341" s="16">
        <f>Parity!$F$54*$J341</f>
        <v/>
      </c>
      <c r="N341" s="16">
        <f>$H341*Parity!$AG$54</f>
        <v/>
      </c>
      <c r="O341" s="16">
        <f>$M341-$N341</f>
        <v/>
      </c>
      <c r="P341" s="16">
        <f>insurance_rate*insured_value_uplift*$M341</f>
        <v/>
      </c>
      <c r="Q341" s="16">
        <f>$M341+$P341</f>
        <v/>
      </c>
      <c r="R341" s="18">
        <f>$Q341*Parity!$J$54</f>
        <v/>
      </c>
      <c r="S341" s="18">
        <f>$Q341*Parity!$I$54</f>
        <v/>
      </c>
      <c r="T341" s="18">
        <f>$R341*$K341</f>
        <v/>
      </c>
      <c r="U341" s="18">
        <f>$T341*sws_rate_on_bcd</f>
        <v/>
      </c>
      <c r="V341" s="18">
        <f>($R341+$T341+$U341)*igst_rate_hs7602</f>
        <v/>
      </c>
      <c r="W341" s="18">
        <f>Parity!$X$54*Parity!$AG$54+IF(Parity!$Y$54,psic_cost_usd_per_box*Parity!$H$54/Parity!$W$54,0)</f>
        <v/>
      </c>
      <c r="X341" s="18">
        <f>($S341+$T341+$U341)*Parity!$Z$54/day_count_inr*Parity!$O$54</f>
        <v/>
      </c>
      <c r="Y341" s="18">
        <f>$V341*igst_credit_lag_days/day_count_inr*Parity!$O$54</f>
        <v/>
      </c>
      <c r="Z341" s="18">
        <f>$S341+$T341+$U341+$W341+$X341+$Y341+IF(igst_itc_available,0,$V341)</f>
        <v/>
      </c>
      <c r="AA341" s="18">
        <f>Parity!$N$54*kg_per_mt+domestic_anchor_premium_inr_t</f>
        <v/>
      </c>
      <c r="AB341" s="18">
        <f>(1-Parity!$AA$54)*Parity!$AD$54*heavies_net_value_frac_of_lme_al*Parity!$F$54*Parity!$H$54</f>
        <v/>
      </c>
      <c r="AC341" s="18">
        <f>$AA341*Parity!$AU$54+$AB341-$Z341-Parity!$AX$54</f>
        <v/>
      </c>
      <c r="AD341" s="8">
        <f>$AC341&gt;margin_threshold_inr_t</f>
        <v/>
      </c>
      <c r="AE341" s="18">
        <f>($AC341-$L341)*grid_tonnes_mt</f>
        <v/>
      </c>
    </row>
    <row r="342">
      <c r="A342" s="7" t="inlineStr">
        <is>
          <t>first_eligible</t>
        </is>
      </c>
      <c r="B342" s="11" t="n">
        <v>44624</v>
      </c>
      <c r="C342" s="7" t="inlineStr">
        <is>
          <t>zorba</t>
        </is>
      </c>
      <c r="D342" s="7" t="inlineStr">
        <is>
          <t>JEA_NSA</t>
        </is>
      </c>
      <c r="E342" s="7" t="inlineStr">
        <is>
          <t>CFR_seller_books_freight</t>
        </is>
      </c>
      <c r="F342" s="20" t="n">
        <v>60</v>
      </c>
      <c r="G342" s="20" t="n">
        <v>5</v>
      </c>
      <c r="H342" s="16">
        <f>Parity!$L$54*(1+$F342/100)</f>
        <v/>
      </c>
      <c r="I342" s="16">
        <f>Parity!$L$54*Parity!$AG$54*$F342/100</f>
        <v/>
      </c>
      <c r="J342" s="8">
        <f>IF($E342="FOB_desk_books_freight",Parity!$P$54+$I342/Parity!$F$54,Parity!$P$54)</f>
        <v/>
      </c>
      <c r="K342" s="8">
        <f>$G342/100</f>
        <v/>
      </c>
      <c r="L342" s="18">
        <f>Parity!$AY$54</f>
        <v/>
      </c>
      <c r="M342" s="16">
        <f>Parity!$F$54*$J342</f>
        <v/>
      </c>
      <c r="N342" s="16">
        <f>$H342*Parity!$AG$54</f>
        <v/>
      </c>
      <c r="O342" s="16">
        <f>$M342-$N342</f>
        <v/>
      </c>
      <c r="P342" s="16">
        <f>insurance_rate*insured_value_uplift*$M342</f>
        <v/>
      </c>
      <c r="Q342" s="16">
        <f>$M342+$P342</f>
        <v/>
      </c>
      <c r="R342" s="18">
        <f>$Q342*Parity!$J$54</f>
        <v/>
      </c>
      <c r="S342" s="18">
        <f>$Q342*Parity!$I$54</f>
        <v/>
      </c>
      <c r="T342" s="18">
        <f>$R342*$K342</f>
        <v/>
      </c>
      <c r="U342" s="18">
        <f>$T342*sws_rate_on_bcd</f>
        <v/>
      </c>
      <c r="V342" s="18">
        <f>($R342+$T342+$U342)*igst_rate_hs7602</f>
        <v/>
      </c>
      <c r="W342" s="18">
        <f>Parity!$X$54*Parity!$AG$54+IF(Parity!$Y$54,psic_cost_usd_per_box*Parity!$H$54/Parity!$W$54,0)</f>
        <v/>
      </c>
      <c r="X342" s="18">
        <f>($S342+$T342+$U342)*Parity!$Z$54/day_count_inr*Parity!$O$54</f>
        <v/>
      </c>
      <c r="Y342" s="18">
        <f>$V342*igst_credit_lag_days/day_count_inr*Parity!$O$54</f>
        <v/>
      </c>
      <c r="Z342" s="18">
        <f>$S342+$T342+$U342+$W342+$X342+$Y342+IF(igst_itc_available,0,$V342)</f>
        <v/>
      </c>
      <c r="AA342" s="18">
        <f>Parity!$N$54*kg_per_mt+domestic_anchor_premium_inr_t</f>
        <v/>
      </c>
      <c r="AB342" s="18">
        <f>(1-Parity!$AA$54)*Parity!$AD$54*heavies_net_value_frac_of_lme_al*Parity!$F$54*Parity!$H$54</f>
        <v/>
      </c>
      <c r="AC342" s="18">
        <f>$AA342*Parity!$AU$54+$AB342-$Z342-Parity!$AX$54</f>
        <v/>
      </c>
      <c r="AD342" s="8">
        <f>$AC342&gt;margin_threshold_inr_t</f>
        <v/>
      </c>
      <c r="AE342" s="18">
        <f>($AC342-$L342)*grid_tonnes_mt</f>
        <v/>
      </c>
    </row>
    <row r="343">
      <c r="A343" s="7" t="inlineStr">
        <is>
          <t>first_eligible</t>
        </is>
      </c>
      <c r="B343" s="11" t="n">
        <v>44624</v>
      </c>
      <c r="C343" s="7" t="inlineStr">
        <is>
          <t>zorba</t>
        </is>
      </c>
      <c r="D343" s="7" t="inlineStr">
        <is>
          <t>JEA_NSA</t>
        </is>
      </c>
      <c r="E343" s="7" t="inlineStr">
        <is>
          <t>CFR_seller_books_freight</t>
        </is>
      </c>
      <c r="F343" s="20" t="n">
        <v>60</v>
      </c>
      <c r="G343" s="20" t="n">
        <v>7.5</v>
      </c>
      <c r="H343" s="16">
        <f>Parity!$L$54*(1+$F343/100)</f>
        <v/>
      </c>
      <c r="I343" s="16">
        <f>Parity!$L$54*Parity!$AG$54*$F343/100</f>
        <v/>
      </c>
      <c r="J343" s="8">
        <f>IF($E343="FOB_desk_books_freight",Parity!$P$54+$I343/Parity!$F$54,Parity!$P$54)</f>
        <v/>
      </c>
      <c r="K343" s="8">
        <f>$G343/100</f>
        <v/>
      </c>
      <c r="L343" s="18">
        <f>Parity!$AY$54</f>
        <v/>
      </c>
      <c r="M343" s="16">
        <f>Parity!$F$54*$J343</f>
        <v/>
      </c>
      <c r="N343" s="16">
        <f>$H343*Parity!$AG$54</f>
        <v/>
      </c>
      <c r="O343" s="16">
        <f>$M343-$N343</f>
        <v/>
      </c>
      <c r="P343" s="16">
        <f>insurance_rate*insured_value_uplift*$M343</f>
        <v/>
      </c>
      <c r="Q343" s="16">
        <f>$M343+$P343</f>
        <v/>
      </c>
      <c r="R343" s="18">
        <f>$Q343*Parity!$J$54</f>
        <v/>
      </c>
      <c r="S343" s="18">
        <f>$Q343*Parity!$I$54</f>
        <v/>
      </c>
      <c r="T343" s="18">
        <f>$R343*$K343</f>
        <v/>
      </c>
      <c r="U343" s="18">
        <f>$T343*sws_rate_on_bcd</f>
        <v/>
      </c>
      <c r="V343" s="18">
        <f>($R343+$T343+$U343)*igst_rate_hs7602</f>
        <v/>
      </c>
      <c r="W343" s="18">
        <f>Parity!$X$54*Parity!$AG$54+IF(Parity!$Y$54,psic_cost_usd_per_box*Parity!$H$54/Parity!$W$54,0)</f>
        <v/>
      </c>
      <c r="X343" s="18">
        <f>($S343+$T343+$U343)*Parity!$Z$54/day_count_inr*Parity!$O$54</f>
        <v/>
      </c>
      <c r="Y343" s="18">
        <f>$V343*igst_credit_lag_days/day_count_inr*Parity!$O$54</f>
        <v/>
      </c>
      <c r="Z343" s="18">
        <f>$S343+$T343+$U343+$W343+$X343+$Y343+IF(igst_itc_available,0,$V343)</f>
        <v/>
      </c>
      <c r="AA343" s="18">
        <f>Parity!$N$54*kg_per_mt+domestic_anchor_premium_inr_t</f>
        <v/>
      </c>
      <c r="AB343" s="18">
        <f>(1-Parity!$AA$54)*Parity!$AD$54*heavies_net_value_frac_of_lme_al*Parity!$F$54*Parity!$H$54</f>
        <v/>
      </c>
      <c r="AC343" s="18">
        <f>$AA343*Parity!$AU$54+$AB343-$Z343-Parity!$AX$54</f>
        <v/>
      </c>
      <c r="AD343" s="8">
        <f>$AC343&gt;margin_threshold_inr_t</f>
        <v/>
      </c>
      <c r="AE343" s="18">
        <f>($AC343-$L343)*grid_tonnes_mt</f>
        <v/>
      </c>
    </row>
    <row r="344">
      <c r="A344" s="7" t="inlineStr">
        <is>
          <t>first_eligible</t>
        </is>
      </c>
      <c r="B344" s="11" t="n">
        <v>44624</v>
      </c>
      <c r="C344" s="7" t="inlineStr">
        <is>
          <t>zorba</t>
        </is>
      </c>
      <c r="D344" s="7" t="inlineStr">
        <is>
          <t>JEA_NSA</t>
        </is>
      </c>
      <c r="E344" s="7" t="inlineStr">
        <is>
          <t>CFR_seller_books_freight</t>
        </is>
      </c>
      <c r="F344" s="20" t="n">
        <v>60</v>
      </c>
      <c r="G344" s="20" t="n">
        <v>10</v>
      </c>
      <c r="H344" s="16">
        <f>Parity!$L$54*(1+$F344/100)</f>
        <v/>
      </c>
      <c r="I344" s="16">
        <f>Parity!$L$54*Parity!$AG$54*$F344/100</f>
        <v/>
      </c>
      <c r="J344" s="8">
        <f>IF($E344="FOB_desk_books_freight",Parity!$P$54+$I344/Parity!$F$54,Parity!$P$54)</f>
        <v/>
      </c>
      <c r="K344" s="8">
        <f>$G344/100</f>
        <v/>
      </c>
      <c r="L344" s="18">
        <f>Parity!$AY$54</f>
        <v/>
      </c>
      <c r="M344" s="16">
        <f>Parity!$F$54*$J344</f>
        <v/>
      </c>
      <c r="N344" s="16">
        <f>$H344*Parity!$AG$54</f>
        <v/>
      </c>
      <c r="O344" s="16">
        <f>$M344-$N344</f>
        <v/>
      </c>
      <c r="P344" s="16">
        <f>insurance_rate*insured_value_uplift*$M344</f>
        <v/>
      </c>
      <c r="Q344" s="16">
        <f>$M344+$P344</f>
        <v/>
      </c>
      <c r="R344" s="18">
        <f>$Q344*Parity!$J$54</f>
        <v/>
      </c>
      <c r="S344" s="18">
        <f>$Q344*Parity!$I$54</f>
        <v/>
      </c>
      <c r="T344" s="18">
        <f>$R344*$K344</f>
        <v/>
      </c>
      <c r="U344" s="18">
        <f>$T344*sws_rate_on_bcd</f>
        <v/>
      </c>
      <c r="V344" s="18">
        <f>($R344+$T344+$U344)*igst_rate_hs7602</f>
        <v/>
      </c>
      <c r="W344" s="18">
        <f>Parity!$X$54*Parity!$AG$54+IF(Parity!$Y$54,psic_cost_usd_per_box*Parity!$H$54/Parity!$W$54,0)</f>
        <v/>
      </c>
      <c r="X344" s="18">
        <f>($S344+$T344+$U344)*Parity!$Z$54/day_count_inr*Parity!$O$54</f>
        <v/>
      </c>
      <c r="Y344" s="18">
        <f>$V344*igst_credit_lag_days/day_count_inr*Parity!$O$54</f>
        <v/>
      </c>
      <c r="Z344" s="18">
        <f>$S344+$T344+$U344+$W344+$X344+$Y344+IF(igst_itc_available,0,$V344)</f>
        <v/>
      </c>
      <c r="AA344" s="18">
        <f>Parity!$N$54*kg_per_mt+domestic_anchor_premium_inr_t</f>
        <v/>
      </c>
      <c r="AB344" s="18">
        <f>(1-Parity!$AA$54)*Parity!$AD$54*heavies_net_value_frac_of_lme_al*Parity!$F$54*Parity!$H$54</f>
        <v/>
      </c>
      <c r="AC344" s="18">
        <f>$AA344*Parity!$AU$54+$AB344-$Z344-Parity!$AX$54</f>
        <v/>
      </c>
      <c r="AD344" s="8">
        <f>$AC344&gt;margin_threshold_inr_t</f>
        <v/>
      </c>
      <c r="AE344" s="18">
        <f>($AC344-$L344)*grid_tonnes_mt</f>
        <v/>
      </c>
    </row>
    <row r="345">
      <c r="A345" s="7" t="inlineStr">
        <is>
          <t>june_trough</t>
        </is>
      </c>
      <c r="B345" s="11" t="n">
        <v>44729</v>
      </c>
      <c r="C345" s="7" t="inlineStr">
        <is>
          <t>zorba</t>
        </is>
      </c>
      <c r="D345" s="7" t="inlineStr">
        <is>
          <t>JEA_NSA</t>
        </is>
      </c>
      <c r="E345" s="7" t="inlineStr">
        <is>
          <t>FOB_desk_books_freight</t>
        </is>
      </c>
      <c r="F345" s="20" t="n">
        <v>-40</v>
      </c>
      <c r="G345" s="20" t="n">
        <v>0</v>
      </c>
      <c r="H345" s="16">
        <f>Parity!$L$144*(1+$F345/100)</f>
        <v/>
      </c>
      <c r="I345" s="16">
        <f>Parity!$L$144*Parity!$AG$144*$F345/100</f>
        <v/>
      </c>
      <c r="J345" s="8">
        <f>IF($E345="FOB_desk_books_freight",Parity!$P$144+$I345/Parity!$F$144,Parity!$P$144)</f>
        <v/>
      </c>
      <c r="K345" s="8">
        <f>$G345/100</f>
        <v/>
      </c>
      <c r="L345" s="18">
        <f>Parity!$AY$144</f>
        <v/>
      </c>
      <c r="M345" s="16">
        <f>Parity!$F$144*$J345</f>
        <v/>
      </c>
      <c r="N345" s="16">
        <f>$H345*Parity!$AG$144</f>
        <v/>
      </c>
      <c r="O345" s="16">
        <f>$M345-$N345</f>
        <v/>
      </c>
      <c r="P345" s="16">
        <f>insurance_rate*insured_value_uplift*$M345</f>
        <v/>
      </c>
      <c r="Q345" s="16">
        <f>$M345+$P345</f>
        <v/>
      </c>
      <c r="R345" s="18">
        <f>$Q345*Parity!$J$144</f>
        <v/>
      </c>
      <c r="S345" s="18">
        <f>$Q345*Parity!$I$144</f>
        <v/>
      </c>
      <c r="T345" s="18">
        <f>$R345*$K345</f>
        <v/>
      </c>
      <c r="U345" s="18">
        <f>$T345*sws_rate_on_bcd</f>
        <v/>
      </c>
      <c r="V345" s="18">
        <f>($R345+$T345+$U345)*igst_rate_hs7602</f>
        <v/>
      </c>
      <c r="W345" s="18">
        <f>Parity!$X$144*Parity!$AG$144+IF(Parity!$Y$144,psic_cost_usd_per_box*Parity!$H$144/Parity!$W$144,0)</f>
        <v/>
      </c>
      <c r="X345" s="18">
        <f>($S345+$T345+$U345)*Parity!$Z$144/day_count_inr*Parity!$O$144</f>
        <v/>
      </c>
      <c r="Y345" s="18">
        <f>$V345*igst_credit_lag_days/day_count_inr*Parity!$O$144</f>
        <v/>
      </c>
      <c r="Z345" s="18">
        <f>$S345+$T345+$U345+$W345+$X345+$Y345+IF(igst_itc_available,0,$V345)</f>
        <v/>
      </c>
      <c r="AA345" s="18">
        <f>Parity!$N$144*kg_per_mt+domestic_anchor_premium_inr_t</f>
        <v/>
      </c>
      <c r="AB345" s="18">
        <f>(1-Parity!$AA$144)*Parity!$AD$144*heavies_net_value_frac_of_lme_al*Parity!$F$144*Parity!$H$144</f>
        <v/>
      </c>
      <c r="AC345" s="18">
        <f>$AA345*Parity!$AU$144+$AB345-$Z345-Parity!$AX$144</f>
        <v/>
      </c>
      <c r="AD345" s="8">
        <f>$AC345&gt;margin_threshold_inr_t</f>
        <v/>
      </c>
      <c r="AE345" s="18">
        <f>($AC345-$L345)*grid_tonnes_mt</f>
        <v/>
      </c>
    </row>
    <row r="346">
      <c r="A346" s="7" t="inlineStr">
        <is>
          <t>june_trough</t>
        </is>
      </c>
      <c r="B346" s="11" t="n">
        <v>44729</v>
      </c>
      <c r="C346" s="7" t="inlineStr">
        <is>
          <t>zorba</t>
        </is>
      </c>
      <c r="D346" s="7" t="inlineStr">
        <is>
          <t>JEA_NSA</t>
        </is>
      </c>
      <c r="E346" s="7" t="inlineStr">
        <is>
          <t>FOB_desk_books_freight</t>
        </is>
      </c>
      <c r="F346" s="20" t="n">
        <v>-40</v>
      </c>
      <c r="G346" s="20" t="n">
        <v>2.5</v>
      </c>
      <c r="H346" s="16">
        <f>Parity!$L$144*(1+$F346/100)</f>
        <v/>
      </c>
      <c r="I346" s="16">
        <f>Parity!$L$144*Parity!$AG$144*$F346/100</f>
        <v/>
      </c>
      <c r="J346" s="8">
        <f>IF($E346="FOB_desk_books_freight",Parity!$P$144+$I346/Parity!$F$144,Parity!$P$144)</f>
        <v/>
      </c>
      <c r="K346" s="8">
        <f>$G346/100</f>
        <v/>
      </c>
      <c r="L346" s="18">
        <f>Parity!$AY$144</f>
        <v/>
      </c>
      <c r="M346" s="16">
        <f>Parity!$F$144*$J346</f>
        <v/>
      </c>
      <c r="N346" s="16">
        <f>$H346*Parity!$AG$144</f>
        <v/>
      </c>
      <c r="O346" s="16">
        <f>$M346-$N346</f>
        <v/>
      </c>
      <c r="P346" s="16">
        <f>insurance_rate*insured_value_uplift*$M346</f>
        <v/>
      </c>
      <c r="Q346" s="16">
        <f>$M346+$P346</f>
        <v/>
      </c>
      <c r="R346" s="18">
        <f>$Q346*Parity!$J$144</f>
        <v/>
      </c>
      <c r="S346" s="18">
        <f>$Q346*Parity!$I$144</f>
        <v/>
      </c>
      <c r="T346" s="18">
        <f>$R346*$K346</f>
        <v/>
      </c>
      <c r="U346" s="18">
        <f>$T346*sws_rate_on_bcd</f>
        <v/>
      </c>
      <c r="V346" s="18">
        <f>($R346+$T346+$U346)*igst_rate_hs7602</f>
        <v/>
      </c>
      <c r="W346" s="18">
        <f>Parity!$X$144*Parity!$AG$144+IF(Parity!$Y$144,psic_cost_usd_per_box*Parity!$H$144/Parity!$W$144,0)</f>
        <v/>
      </c>
      <c r="X346" s="18">
        <f>($S346+$T346+$U346)*Parity!$Z$144/day_count_inr*Parity!$O$144</f>
        <v/>
      </c>
      <c r="Y346" s="18">
        <f>$V346*igst_credit_lag_days/day_count_inr*Parity!$O$144</f>
        <v/>
      </c>
      <c r="Z346" s="18">
        <f>$S346+$T346+$U346+$W346+$X346+$Y346+IF(igst_itc_available,0,$V346)</f>
        <v/>
      </c>
      <c r="AA346" s="18">
        <f>Parity!$N$144*kg_per_mt+domestic_anchor_premium_inr_t</f>
        <v/>
      </c>
      <c r="AB346" s="18">
        <f>(1-Parity!$AA$144)*Parity!$AD$144*heavies_net_value_frac_of_lme_al*Parity!$F$144*Parity!$H$144</f>
        <v/>
      </c>
      <c r="AC346" s="18">
        <f>$AA346*Parity!$AU$144+$AB346-$Z346-Parity!$AX$144</f>
        <v/>
      </c>
      <c r="AD346" s="8">
        <f>$AC346&gt;margin_threshold_inr_t</f>
        <v/>
      </c>
      <c r="AE346" s="18">
        <f>($AC346-$L346)*grid_tonnes_mt</f>
        <v/>
      </c>
    </row>
    <row r="347">
      <c r="A347" s="7" t="inlineStr">
        <is>
          <t>june_trough</t>
        </is>
      </c>
      <c r="B347" s="11" t="n">
        <v>44729</v>
      </c>
      <c r="C347" s="7" t="inlineStr">
        <is>
          <t>zorba</t>
        </is>
      </c>
      <c r="D347" s="7" t="inlineStr">
        <is>
          <t>JEA_NSA</t>
        </is>
      </c>
      <c r="E347" s="7" t="inlineStr">
        <is>
          <t>FOB_desk_books_freight</t>
        </is>
      </c>
      <c r="F347" s="20" t="n">
        <v>-40</v>
      </c>
      <c r="G347" s="20" t="n">
        <v>5</v>
      </c>
      <c r="H347" s="16">
        <f>Parity!$L$144*(1+$F347/100)</f>
        <v/>
      </c>
      <c r="I347" s="16">
        <f>Parity!$L$144*Parity!$AG$144*$F347/100</f>
        <v/>
      </c>
      <c r="J347" s="8">
        <f>IF($E347="FOB_desk_books_freight",Parity!$P$144+$I347/Parity!$F$144,Parity!$P$144)</f>
        <v/>
      </c>
      <c r="K347" s="8">
        <f>$G347/100</f>
        <v/>
      </c>
      <c r="L347" s="18">
        <f>Parity!$AY$144</f>
        <v/>
      </c>
      <c r="M347" s="16">
        <f>Parity!$F$144*$J347</f>
        <v/>
      </c>
      <c r="N347" s="16">
        <f>$H347*Parity!$AG$144</f>
        <v/>
      </c>
      <c r="O347" s="16">
        <f>$M347-$N347</f>
        <v/>
      </c>
      <c r="P347" s="16">
        <f>insurance_rate*insured_value_uplift*$M347</f>
        <v/>
      </c>
      <c r="Q347" s="16">
        <f>$M347+$P347</f>
        <v/>
      </c>
      <c r="R347" s="18">
        <f>$Q347*Parity!$J$144</f>
        <v/>
      </c>
      <c r="S347" s="18">
        <f>$Q347*Parity!$I$144</f>
        <v/>
      </c>
      <c r="T347" s="18">
        <f>$R347*$K347</f>
        <v/>
      </c>
      <c r="U347" s="18">
        <f>$T347*sws_rate_on_bcd</f>
        <v/>
      </c>
      <c r="V347" s="18">
        <f>($R347+$T347+$U347)*igst_rate_hs7602</f>
        <v/>
      </c>
      <c r="W347" s="18">
        <f>Parity!$X$144*Parity!$AG$144+IF(Parity!$Y$144,psic_cost_usd_per_box*Parity!$H$144/Parity!$W$144,0)</f>
        <v/>
      </c>
      <c r="X347" s="18">
        <f>($S347+$T347+$U347)*Parity!$Z$144/day_count_inr*Parity!$O$144</f>
        <v/>
      </c>
      <c r="Y347" s="18">
        <f>$V347*igst_credit_lag_days/day_count_inr*Parity!$O$144</f>
        <v/>
      </c>
      <c r="Z347" s="18">
        <f>$S347+$T347+$U347+$W347+$X347+$Y347+IF(igst_itc_available,0,$V347)</f>
        <v/>
      </c>
      <c r="AA347" s="18">
        <f>Parity!$N$144*kg_per_mt+domestic_anchor_premium_inr_t</f>
        <v/>
      </c>
      <c r="AB347" s="18">
        <f>(1-Parity!$AA$144)*Parity!$AD$144*heavies_net_value_frac_of_lme_al*Parity!$F$144*Parity!$H$144</f>
        <v/>
      </c>
      <c r="AC347" s="18">
        <f>$AA347*Parity!$AU$144+$AB347-$Z347-Parity!$AX$144</f>
        <v/>
      </c>
      <c r="AD347" s="8">
        <f>$AC347&gt;margin_threshold_inr_t</f>
        <v/>
      </c>
      <c r="AE347" s="18">
        <f>($AC347-$L347)*grid_tonnes_mt</f>
        <v/>
      </c>
    </row>
    <row r="348">
      <c r="A348" s="7" t="inlineStr">
        <is>
          <t>june_trough</t>
        </is>
      </c>
      <c r="B348" s="11" t="n">
        <v>44729</v>
      </c>
      <c r="C348" s="7" t="inlineStr">
        <is>
          <t>zorba</t>
        </is>
      </c>
      <c r="D348" s="7" t="inlineStr">
        <is>
          <t>JEA_NSA</t>
        </is>
      </c>
      <c r="E348" s="7" t="inlineStr">
        <is>
          <t>FOB_desk_books_freight</t>
        </is>
      </c>
      <c r="F348" s="20" t="n">
        <v>-40</v>
      </c>
      <c r="G348" s="20" t="n">
        <v>7.5</v>
      </c>
      <c r="H348" s="16">
        <f>Parity!$L$144*(1+$F348/100)</f>
        <v/>
      </c>
      <c r="I348" s="16">
        <f>Parity!$L$144*Parity!$AG$144*$F348/100</f>
        <v/>
      </c>
      <c r="J348" s="8">
        <f>IF($E348="FOB_desk_books_freight",Parity!$P$144+$I348/Parity!$F$144,Parity!$P$144)</f>
        <v/>
      </c>
      <c r="K348" s="8">
        <f>$G348/100</f>
        <v/>
      </c>
      <c r="L348" s="18">
        <f>Parity!$AY$144</f>
        <v/>
      </c>
      <c r="M348" s="16">
        <f>Parity!$F$144*$J348</f>
        <v/>
      </c>
      <c r="N348" s="16">
        <f>$H348*Parity!$AG$144</f>
        <v/>
      </c>
      <c r="O348" s="16">
        <f>$M348-$N348</f>
        <v/>
      </c>
      <c r="P348" s="16">
        <f>insurance_rate*insured_value_uplift*$M348</f>
        <v/>
      </c>
      <c r="Q348" s="16">
        <f>$M348+$P348</f>
        <v/>
      </c>
      <c r="R348" s="18">
        <f>$Q348*Parity!$J$144</f>
        <v/>
      </c>
      <c r="S348" s="18">
        <f>$Q348*Parity!$I$144</f>
        <v/>
      </c>
      <c r="T348" s="18">
        <f>$R348*$K348</f>
        <v/>
      </c>
      <c r="U348" s="18">
        <f>$T348*sws_rate_on_bcd</f>
        <v/>
      </c>
      <c r="V348" s="18">
        <f>($R348+$T348+$U348)*igst_rate_hs7602</f>
        <v/>
      </c>
      <c r="W348" s="18">
        <f>Parity!$X$144*Parity!$AG$144+IF(Parity!$Y$144,psic_cost_usd_per_box*Parity!$H$144/Parity!$W$144,0)</f>
        <v/>
      </c>
      <c r="X348" s="18">
        <f>($S348+$T348+$U348)*Parity!$Z$144/day_count_inr*Parity!$O$144</f>
        <v/>
      </c>
      <c r="Y348" s="18">
        <f>$V348*igst_credit_lag_days/day_count_inr*Parity!$O$144</f>
        <v/>
      </c>
      <c r="Z348" s="18">
        <f>$S348+$T348+$U348+$W348+$X348+$Y348+IF(igst_itc_available,0,$V348)</f>
        <v/>
      </c>
      <c r="AA348" s="18">
        <f>Parity!$N$144*kg_per_mt+domestic_anchor_premium_inr_t</f>
        <v/>
      </c>
      <c r="AB348" s="18">
        <f>(1-Parity!$AA$144)*Parity!$AD$144*heavies_net_value_frac_of_lme_al*Parity!$F$144*Parity!$H$144</f>
        <v/>
      </c>
      <c r="AC348" s="18">
        <f>$AA348*Parity!$AU$144+$AB348-$Z348-Parity!$AX$144</f>
        <v/>
      </c>
      <c r="AD348" s="8">
        <f>$AC348&gt;margin_threshold_inr_t</f>
        <v/>
      </c>
      <c r="AE348" s="18">
        <f>($AC348-$L348)*grid_tonnes_mt</f>
        <v/>
      </c>
    </row>
    <row r="349">
      <c r="A349" s="7" t="inlineStr">
        <is>
          <t>june_trough</t>
        </is>
      </c>
      <c r="B349" s="11" t="n">
        <v>44729</v>
      </c>
      <c r="C349" s="7" t="inlineStr">
        <is>
          <t>zorba</t>
        </is>
      </c>
      <c r="D349" s="7" t="inlineStr">
        <is>
          <t>JEA_NSA</t>
        </is>
      </c>
      <c r="E349" s="7" t="inlineStr">
        <is>
          <t>FOB_desk_books_freight</t>
        </is>
      </c>
      <c r="F349" s="20" t="n">
        <v>-40</v>
      </c>
      <c r="G349" s="20" t="n">
        <v>10</v>
      </c>
      <c r="H349" s="16">
        <f>Parity!$L$144*(1+$F349/100)</f>
        <v/>
      </c>
      <c r="I349" s="16">
        <f>Parity!$L$144*Parity!$AG$144*$F349/100</f>
        <v/>
      </c>
      <c r="J349" s="8">
        <f>IF($E349="FOB_desk_books_freight",Parity!$P$144+$I349/Parity!$F$144,Parity!$P$144)</f>
        <v/>
      </c>
      <c r="K349" s="8">
        <f>$G349/100</f>
        <v/>
      </c>
      <c r="L349" s="18">
        <f>Parity!$AY$144</f>
        <v/>
      </c>
      <c r="M349" s="16">
        <f>Parity!$F$144*$J349</f>
        <v/>
      </c>
      <c r="N349" s="16">
        <f>$H349*Parity!$AG$144</f>
        <v/>
      </c>
      <c r="O349" s="16">
        <f>$M349-$N349</f>
        <v/>
      </c>
      <c r="P349" s="16">
        <f>insurance_rate*insured_value_uplift*$M349</f>
        <v/>
      </c>
      <c r="Q349" s="16">
        <f>$M349+$P349</f>
        <v/>
      </c>
      <c r="R349" s="18">
        <f>$Q349*Parity!$J$144</f>
        <v/>
      </c>
      <c r="S349" s="18">
        <f>$Q349*Parity!$I$144</f>
        <v/>
      </c>
      <c r="T349" s="18">
        <f>$R349*$K349</f>
        <v/>
      </c>
      <c r="U349" s="18">
        <f>$T349*sws_rate_on_bcd</f>
        <v/>
      </c>
      <c r="V349" s="18">
        <f>($R349+$T349+$U349)*igst_rate_hs7602</f>
        <v/>
      </c>
      <c r="W349" s="18">
        <f>Parity!$X$144*Parity!$AG$144+IF(Parity!$Y$144,psic_cost_usd_per_box*Parity!$H$144/Parity!$W$144,0)</f>
        <v/>
      </c>
      <c r="X349" s="18">
        <f>($S349+$T349+$U349)*Parity!$Z$144/day_count_inr*Parity!$O$144</f>
        <v/>
      </c>
      <c r="Y349" s="18">
        <f>$V349*igst_credit_lag_days/day_count_inr*Parity!$O$144</f>
        <v/>
      </c>
      <c r="Z349" s="18">
        <f>$S349+$T349+$U349+$W349+$X349+$Y349+IF(igst_itc_available,0,$V349)</f>
        <v/>
      </c>
      <c r="AA349" s="18">
        <f>Parity!$N$144*kg_per_mt+domestic_anchor_premium_inr_t</f>
        <v/>
      </c>
      <c r="AB349" s="18">
        <f>(1-Parity!$AA$144)*Parity!$AD$144*heavies_net_value_frac_of_lme_al*Parity!$F$144*Parity!$H$144</f>
        <v/>
      </c>
      <c r="AC349" s="18">
        <f>$AA349*Parity!$AU$144+$AB349-$Z349-Parity!$AX$144</f>
        <v/>
      </c>
      <c r="AD349" s="8">
        <f>$AC349&gt;margin_threshold_inr_t</f>
        <v/>
      </c>
      <c r="AE349" s="18">
        <f>($AC349-$L349)*grid_tonnes_mt</f>
        <v/>
      </c>
    </row>
    <row r="350">
      <c r="A350" s="7" t="inlineStr">
        <is>
          <t>june_trough</t>
        </is>
      </c>
      <c r="B350" s="11" t="n">
        <v>44729</v>
      </c>
      <c r="C350" s="7" t="inlineStr">
        <is>
          <t>zorba</t>
        </is>
      </c>
      <c r="D350" s="7" t="inlineStr">
        <is>
          <t>JEA_NSA</t>
        </is>
      </c>
      <c r="E350" s="7" t="inlineStr">
        <is>
          <t>FOB_desk_books_freight</t>
        </is>
      </c>
      <c r="F350" s="20" t="n">
        <v>-20</v>
      </c>
      <c r="G350" s="20" t="n">
        <v>0</v>
      </c>
      <c r="H350" s="16">
        <f>Parity!$L$144*(1+$F350/100)</f>
        <v/>
      </c>
      <c r="I350" s="16">
        <f>Parity!$L$144*Parity!$AG$144*$F350/100</f>
        <v/>
      </c>
      <c r="J350" s="8">
        <f>IF($E350="FOB_desk_books_freight",Parity!$P$144+$I350/Parity!$F$144,Parity!$P$144)</f>
        <v/>
      </c>
      <c r="K350" s="8">
        <f>$G350/100</f>
        <v/>
      </c>
      <c r="L350" s="18">
        <f>Parity!$AY$144</f>
        <v/>
      </c>
      <c r="M350" s="16">
        <f>Parity!$F$144*$J350</f>
        <v/>
      </c>
      <c r="N350" s="16">
        <f>$H350*Parity!$AG$144</f>
        <v/>
      </c>
      <c r="O350" s="16">
        <f>$M350-$N350</f>
        <v/>
      </c>
      <c r="P350" s="16">
        <f>insurance_rate*insured_value_uplift*$M350</f>
        <v/>
      </c>
      <c r="Q350" s="16">
        <f>$M350+$P350</f>
        <v/>
      </c>
      <c r="R350" s="18">
        <f>$Q350*Parity!$J$144</f>
        <v/>
      </c>
      <c r="S350" s="18">
        <f>$Q350*Parity!$I$144</f>
        <v/>
      </c>
      <c r="T350" s="18">
        <f>$R350*$K350</f>
        <v/>
      </c>
      <c r="U350" s="18">
        <f>$T350*sws_rate_on_bcd</f>
        <v/>
      </c>
      <c r="V350" s="18">
        <f>($R350+$T350+$U350)*igst_rate_hs7602</f>
        <v/>
      </c>
      <c r="W350" s="18">
        <f>Parity!$X$144*Parity!$AG$144+IF(Parity!$Y$144,psic_cost_usd_per_box*Parity!$H$144/Parity!$W$144,0)</f>
        <v/>
      </c>
      <c r="X350" s="18">
        <f>($S350+$T350+$U350)*Parity!$Z$144/day_count_inr*Parity!$O$144</f>
        <v/>
      </c>
      <c r="Y350" s="18">
        <f>$V350*igst_credit_lag_days/day_count_inr*Parity!$O$144</f>
        <v/>
      </c>
      <c r="Z350" s="18">
        <f>$S350+$T350+$U350+$W350+$X350+$Y350+IF(igst_itc_available,0,$V350)</f>
        <v/>
      </c>
      <c r="AA350" s="18">
        <f>Parity!$N$144*kg_per_mt+domestic_anchor_premium_inr_t</f>
        <v/>
      </c>
      <c r="AB350" s="18">
        <f>(1-Parity!$AA$144)*Parity!$AD$144*heavies_net_value_frac_of_lme_al*Parity!$F$144*Parity!$H$144</f>
        <v/>
      </c>
      <c r="AC350" s="18">
        <f>$AA350*Parity!$AU$144+$AB350-$Z350-Parity!$AX$144</f>
        <v/>
      </c>
      <c r="AD350" s="8">
        <f>$AC350&gt;margin_threshold_inr_t</f>
        <v/>
      </c>
      <c r="AE350" s="18">
        <f>($AC350-$L350)*grid_tonnes_mt</f>
        <v/>
      </c>
    </row>
    <row r="351">
      <c r="A351" s="7" t="inlineStr">
        <is>
          <t>june_trough</t>
        </is>
      </c>
      <c r="B351" s="11" t="n">
        <v>44729</v>
      </c>
      <c r="C351" s="7" t="inlineStr">
        <is>
          <t>zorba</t>
        </is>
      </c>
      <c r="D351" s="7" t="inlineStr">
        <is>
          <t>JEA_NSA</t>
        </is>
      </c>
      <c r="E351" s="7" t="inlineStr">
        <is>
          <t>FOB_desk_books_freight</t>
        </is>
      </c>
      <c r="F351" s="20" t="n">
        <v>-20</v>
      </c>
      <c r="G351" s="20" t="n">
        <v>2.5</v>
      </c>
      <c r="H351" s="16">
        <f>Parity!$L$144*(1+$F351/100)</f>
        <v/>
      </c>
      <c r="I351" s="16">
        <f>Parity!$L$144*Parity!$AG$144*$F351/100</f>
        <v/>
      </c>
      <c r="J351" s="8">
        <f>IF($E351="FOB_desk_books_freight",Parity!$P$144+$I351/Parity!$F$144,Parity!$P$144)</f>
        <v/>
      </c>
      <c r="K351" s="8">
        <f>$G351/100</f>
        <v/>
      </c>
      <c r="L351" s="18">
        <f>Parity!$AY$144</f>
        <v/>
      </c>
      <c r="M351" s="16">
        <f>Parity!$F$144*$J351</f>
        <v/>
      </c>
      <c r="N351" s="16">
        <f>$H351*Parity!$AG$144</f>
        <v/>
      </c>
      <c r="O351" s="16">
        <f>$M351-$N351</f>
        <v/>
      </c>
      <c r="P351" s="16">
        <f>insurance_rate*insured_value_uplift*$M351</f>
        <v/>
      </c>
      <c r="Q351" s="16">
        <f>$M351+$P351</f>
        <v/>
      </c>
      <c r="R351" s="18">
        <f>$Q351*Parity!$J$144</f>
        <v/>
      </c>
      <c r="S351" s="18">
        <f>$Q351*Parity!$I$144</f>
        <v/>
      </c>
      <c r="T351" s="18">
        <f>$R351*$K351</f>
        <v/>
      </c>
      <c r="U351" s="18">
        <f>$T351*sws_rate_on_bcd</f>
        <v/>
      </c>
      <c r="V351" s="18">
        <f>($R351+$T351+$U351)*igst_rate_hs7602</f>
        <v/>
      </c>
      <c r="W351" s="18">
        <f>Parity!$X$144*Parity!$AG$144+IF(Parity!$Y$144,psic_cost_usd_per_box*Parity!$H$144/Parity!$W$144,0)</f>
        <v/>
      </c>
      <c r="X351" s="18">
        <f>($S351+$T351+$U351)*Parity!$Z$144/day_count_inr*Parity!$O$144</f>
        <v/>
      </c>
      <c r="Y351" s="18">
        <f>$V351*igst_credit_lag_days/day_count_inr*Parity!$O$144</f>
        <v/>
      </c>
      <c r="Z351" s="18">
        <f>$S351+$T351+$U351+$W351+$X351+$Y351+IF(igst_itc_available,0,$V351)</f>
        <v/>
      </c>
      <c r="AA351" s="18">
        <f>Parity!$N$144*kg_per_mt+domestic_anchor_premium_inr_t</f>
        <v/>
      </c>
      <c r="AB351" s="18">
        <f>(1-Parity!$AA$144)*Parity!$AD$144*heavies_net_value_frac_of_lme_al*Parity!$F$144*Parity!$H$144</f>
        <v/>
      </c>
      <c r="AC351" s="18">
        <f>$AA351*Parity!$AU$144+$AB351-$Z351-Parity!$AX$144</f>
        <v/>
      </c>
      <c r="AD351" s="8">
        <f>$AC351&gt;margin_threshold_inr_t</f>
        <v/>
      </c>
      <c r="AE351" s="18">
        <f>($AC351-$L351)*grid_tonnes_mt</f>
        <v/>
      </c>
    </row>
    <row r="352">
      <c r="A352" s="7" t="inlineStr">
        <is>
          <t>june_trough</t>
        </is>
      </c>
      <c r="B352" s="11" t="n">
        <v>44729</v>
      </c>
      <c r="C352" s="7" t="inlineStr">
        <is>
          <t>zorba</t>
        </is>
      </c>
      <c r="D352" s="7" t="inlineStr">
        <is>
          <t>JEA_NSA</t>
        </is>
      </c>
      <c r="E352" s="7" t="inlineStr">
        <is>
          <t>FOB_desk_books_freight</t>
        </is>
      </c>
      <c r="F352" s="20" t="n">
        <v>-20</v>
      </c>
      <c r="G352" s="20" t="n">
        <v>5</v>
      </c>
      <c r="H352" s="16">
        <f>Parity!$L$144*(1+$F352/100)</f>
        <v/>
      </c>
      <c r="I352" s="16">
        <f>Parity!$L$144*Parity!$AG$144*$F352/100</f>
        <v/>
      </c>
      <c r="J352" s="8">
        <f>IF($E352="FOB_desk_books_freight",Parity!$P$144+$I352/Parity!$F$144,Parity!$P$144)</f>
        <v/>
      </c>
      <c r="K352" s="8">
        <f>$G352/100</f>
        <v/>
      </c>
      <c r="L352" s="18">
        <f>Parity!$AY$144</f>
        <v/>
      </c>
      <c r="M352" s="16">
        <f>Parity!$F$144*$J352</f>
        <v/>
      </c>
      <c r="N352" s="16">
        <f>$H352*Parity!$AG$144</f>
        <v/>
      </c>
      <c r="O352" s="16">
        <f>$M352-$N352</f>
        <v/>
      </c>
      <c r="P352" s="16">
        <f>insurance_rate*insured_value_uplift*$M352</f>
        <v/>
      </c>
      <c r="Q352" s="16">
        <f>$M352+$P352</f>
        <v/>
      </c>
      <c r="R352" s="18">
        <f>$Q352*Parity!$J$144</f>
        <v/>
      </c>
      <c r="S352" s="18">
        <f>$Q352*Parity!$I$144</f>
        <v/>
      </c>
      <c r="T352" s="18">
        <f>$R352*$K352</f>
        <v/>
      </c>
      <c r="U352" s="18">
        <f>$T352*sws_rate_on_bcd</f>
        <v/>
      </c>
      <c r="V352" s="18">
        <f>($R352+$T352+$U352)*igst_rate_hs7602</f>
        <v/>
      </c>
      <c r="W352" s="18">
        <f>Parity!$X$144*Parity!$AG$144+IF(Parity!$Y$144,psic_cost_usd_per_box*Parity!$H$144/Parity!$W$144,0)</f>
        <v/>
      </c>
      <c r="X352" s="18">
        <f>($S352+$T352+$U352)*Parity!$Z$144/day_count_inr*Parity!$O$144</f>
        <v/>
      </c>
      <c r="Y352" s="18">
        <f>$V352*igst_credit_lag_days/day_count_inr*Parity!$O$144</f>
        <v/>
      </c>
      <c r="Z352" s="18">
        <f>$S352+$T352+$U352+$W352+$X352+$Y352+IF(igst_itc_available,0,$V352)</f>
        <v/>
      </c>
      <c r="AA352" s="18">
        <f>Parity!$N$144*kg_per_mt+domestic_anchor_premium_inr_t</f>
        <v/>
      </c>
      <c r="AB352" s="18">
        <f>(1-Parity!$AA$144)*Parity!$AD$144*heavies_net_value_frac_of_lme_al*Parity!$F$144*Parity!$H$144</f>
        <v/>
      </c>
      <c r="AC352" s="18">
        <f>$AA352*Parity!$AU$144+$AB352-$Z352-Parity!$AX$144</f>
        <v/>
      </c>
      <c r="AD352" s="8">
        <f>$AC352&gt;margin_threshold_inr_t</f>
        <v/>
      </c>
      <c r="AE352" s="18">
        <f>($AC352-$L352)*grid_tonnes_mt</f>
        <v/>
      </c>
    </row>
    <row r="353">
      <c r="A353" s="7" t="inlineStr">
        <is>
          <t>june_trough</t>
        </is>
      </c>
      <c r="B353" s="11" t="n">
        <v>44729</v>
      </c>
      <c r="C353" s="7" t="inlineStr">
        <is>
          <t>zorba</t>
        </is>
      </c>
      <c r="D353" s="7" t="inlineStr">
        <is>
          <t>JEA_NSA</t>
        </is>
      </c>
      <c r="E353" s="7" t="inlineStr">
        <is>
          <t>FOB_desk_books_freight</t>
        </is>
      </c>
      <c r="F353" s="20" t="n">
        <v>-20</v>
      </c>
      <c r="G353" s="20" t="n">
        <v>7.5</v>
      </c>
      <c r="H353" s="16">
        <f>Parity!$L$144*(1+$F353/100)</f>
        <v/>
      </c>
      <c r="I353" s="16">
        <f>Parity!$L$144*Parity!$AG$144*$F353/100</f>
        <v/>
      </c>
      <c r="J353" s="8">
        <f>IF($E353="FOB_desk_books_freight",Parity!$P$144+$I353/Parity!$F$144,Parity!$P$144)</f>
        <v/>
      </c>
      <c r="K353" s="8">
        <f>$G353/100</f>
        <v/>
      </c>
      <c r="L353" s="18">
        <f>Parity!$AY$144</f>
        <v/>
      </c>
      <c r="M353" s="16">
        <f>Parity!$F$144*$J353</f>
        <v/>
      </c>
      <c r="N353" s="16">
        <f>$H353*Parity!$AG$144</f>
        <v/>
      </c>
      <c r="O353" s="16">
        <f>$M353-$N353</f>
        <v/>
      </c>
      <c r="P353" s="16">
        <f>insurance_rate*insured_value_uplift*$M353</f>
        <v/>
      </c>
      <c r="Q353" s="16">
        <f>$M353+$P353</f>
        <v/>
      </c>
      <c r="R353" s="18">
        <f>$Q353*Parity!$J$144</f>
        <v/>
      </c>
      <c r="S353" s="18">
        <f>$Q353*Parity!$I$144</f>
        <v/>
      </c>
      <c r="T353" s="18">
        <f>$R353*$K353</f>
        <v/>
      </c>
      <c r="U353" s="18">
        <f>$T353*sws_rate_on_bcd</f>
        <v/>
      </c>
      <c r="V353" s="18">
        <f>($R353+$T353+$U353)*igst_rate_hs7602</f>
        <v/>
      </c>
      <c r="W353" s="18">
        <f>Parity!$X$144*Parity!$AG$144+IF(Parity!$Y$144,psic_cost_usd_per_box*Parity!$H$144/Parity!$W$144,0)</f>
        <v/>
      </c>
      <c r="X353" s="18">
        <f>($S353+$T353+$U353)*Parity!$Z$144/day_count_inr*Parity!$O$144</f>
        <v/>
      </c>
      <c r="Y353" s="18">
        <f>$V353*igst_credit_lag_days/day_count_inr*Parity!$O$144</f>
        <v/>
      </c>
      <c r="Z353" s="18">
        <f>$S353+$T353+$U353+$W353+$X353+$Y353+IF(igst_itc_available,0,$V353)</f>
        <v/>
      </c>
      <c r="AA353" s="18">
        <f>Parity!$N$144*kg_per_mt+domestic_anchor_premium_inr_t</f>
        <v/>
      </c>
      <c r="AB353" s="18">
        <f>(1-Parity!$AA$144)*Parity!$AD$144*heavies_net_value_frac_of_lme_al*Parity!$F$144*Parity!$H$144</f>
        <v/>
      </c>
      <c r="AC353" s="18">
        <f>$AA353*Parity!$AU$144+$AB353-$Z353-Parity!$AX$144</f>
        <v/>
      </c>
      <c r="AD353" s="8">
        <f>$AC353&gt;margin_threshold_inr_t</f>
        <v/>
      </c>
      <c r="AE353" s="18">
        <f>($AC353-$L353)*grid_tonnes_mt</f>
        <v/>
      </c>
    </row>
    <row r="354">
      <c r="A354" s="7" t="inlineStr">
        <is>
          <t>june_trough</t>
        </is>
      </c>
      <c r="B354" s="11" t="n">
        <v>44729</v>
      </c>
      <c r="C354" s="7" t="inlineStr">
        <is>
          <t>zorba</t>
        </is>
      </c>
      <c r="D354" s="7" t="inlineStr">
        <is>
          <t>JEA_NSA</t>
        </is>
      </c>
      <c r="E354" s="7" t="inlineStr">
        <is>
          <t>FOB_desk_books_freight</t>
        </is>
      </c>
      <c r="F354" s="20" t="n">
        <v>-20</v>
      </c>
      <c r="G354" s="20" t="n">
        <v>10</v>
      </c>
      <c r="H354" s="16">
        <f>Parity!$L$144*(1+$F354/100)</f>
        <v/>
      </c>
      <c r="I354" s="16">
        <f>Parity!$L$144*Parity!$AG$144*$F354/100</f>
        <v/>
      </c>
      <c r="J354" s="8">
        <f>IF($E354="FOB_desk_books_freight",Parity!$P$144+$I354/Parity!$F$144,Parity!$P$144)</f>
        <v/>
      </c>
      <c r="K354" s="8">
        <f>$G354/100</f>
        <v/>
      </c>
      <c r="L354" s="18">
        <f>Parity!$AY$144</f>
        <v/>
      </c>
      <c r="M354" s="16">
        <f>Parity!$F$144*$J354</f>
        <v/>
      </c>
      <c r="N354" s="16">
        <f>$H354*Parity!$AG$144</f>
        <v/>
      </c>
      <c r="O354" s="16">
        <f>$M354-$N354</f>
        <v/>
      </c>
      <c r="P354" s="16">
        <f>insurance_rate*insured_value_uplift*$M354</f>
        <v/>
      </c>
      <c r="Q354" s="16">
        <f>$M354+$P354</f>
        <v/>
      </c>
      <c r="R354" s="18">
        <f>$Q354*Parity!$J$144</f>
        <v/>
      </c>
      <c r="S354" s="18">
        <f>$Q354*Parity!$I$144</f>
        <v/>
      </c>
      <c r="T354" s="18">
        <f>$R354*$K354</f>
        <v/>
      </c>
      <c r="U354" s="18">
        <f>$T354*sws_rate_on_bcd</f>
        <v/>
      </c>
      <c r="V354" s="18">
        <f>($R354+$T354+$U354)*igst_rate_hs7602</f>
        <v/>
      </c>
      <c r="W354" s="18">
        <f>Parity!$X$144*Parity!$AG$144+IF(Parity!$Y$144,psic_cost_usd_per_box*Parity!$H$144/Parity!$W$144,0)</f>
        <v/>
      </c>
      <c r="X354" s="18">
        <f>($S354+$T354+$U354)*Parity!$Z$144/day_count_inr*Parity!$O$144</f>
        <v/>
      </c>
      <c r="Y354" s="18">
        <f>$V354*igst_credit_lag_days/day_count_inr*Parity!$O$144</f>
        <v/>
      </c>
      <c r="Z354" s="18">
        <f>$S354+$T354+$U354+$W354+$X354+$Y354+IF(igst_itc_available,0,$V354)</f>
        <v/>
      </c>
      <c r="AA354" s="18">
        <f>Parity!$N$144*kg_per_mt+domestic_anchor_premium_inr_t</f>
        <v/>
      </c>
      <c r="AB354" s="18">
        <f>(1-Parity!$AA$144)*Parity!$AD$144*heavies_net_value_frac_of_lme_al*Parity!$F$144*Parity!$H$144</f>
        <v/>
      </c>
      <c r="AC354" s="18">
        <f>$AA354*Parity!$AU$144+$AB354-$Z354-Parity!$AX$144</f>
        <v/>
      </c>
      <c r="AD354" s="8">
        <f>$AC354&gt;margin_threshold_inr_t</f>
        <v/>
      </c>
      <c r="AE354" s="18">
        <f>($AC354-$L354)*grid_tonnes_mt</f>
        <v/>
      </c>
    </row>
    <row r="355">
      <c r="A355" s="7" t="inlineStr">
        <is>
          <t>june_trough</t>
        </is>
      </c>
      <c r="B355" s="11" t="n">
        <v>44729</v>
      </c>
      <c r="C355" s="7" t="inlineStr">
        <is>
          <t>zorba</t>
        </is>
      </c>
      <c r="D355" s="7" t="inlineStr">
        <is>
          <t>JEA_NSA</t>
        </is>
      </c>
      <c r="E355" s="7" t="inlineStr">
        <is>
          <t>FOB_desk_books_freight</t>
        </is>
      </c>
      <c r="F355" s="20" t="n">
        <v>0</v>
      </c>
      <c r="G355" s="20" t="n">
        <v>0</v>
      </c>
      <c r="H355" s="16">
        <f>Parity!$L$144*(1+$F355/100)</f>
        <v/>
      </c>
      <c r="I355" s="16">
        <f>Parity!$L$144*Parity!$AG$144*$F355/100</f>
        <v/>
      </c>
      <c r="J355" s="8">
        <f>IF($E355="FOB_desk_books_freight",Parity!$P$144+$I355/Parity!$F$144,Parity!$P$144)</f>
        <v/>
      </c>
      <c r="K355" s="8">
        <f>$G355/100</f>
        <v/>
      </c>
      <c r="L355" s="18">
        <f>Parity!$AY$144</f>
        <v/>
      </c>
      <c r="M355" s="16">
        <f>Parity!$F$144*$J355</f>
        <v/>
      </c>
      <c r="N355" s="16">
        <f>$H355*Parity!$AG$144</f>
        <v/>
      </c>
      <c r="O355" s="16">
        <f>$M355-$N355</f>
        <v/>
      </c>
      <c r="P355" s="16">
        <f>insurance_rate*insured_value_uplift*$M355</f>
        <v/>
      </c>
      <c r="Q355" s="16">
        <f>$M355+$P355</f>
        <v/>
      </c>
      <c r="R355" s="18">
        <f>$Q355*Parity!$J$144</f>
        <v/>
      </c>
      <c r="S355" s="18">
        <f>$Q355*Parity!$I$144</f>
        <v/>
      </c>
      <c r="T355" s="18">
        <f>$R355*$K355</f>
        <v/>
      </c>
      <c r="U355" s="18">
        <f>$T355*sws_rate_on_bcd</f>
        <v/>
      </c>
      <c r="V355" s="18">
        <f>($R355+$T355+$U355)*igst_rate_hs7602</f>
        <v/>
      </c>
      <c r="W355" s="18">
        <f>Parity!$X$144*Parity!$AG$144+IF(Parity!$Y$144,psic_cost_usd_per_box*Parity!$H$144/Parity!$W$144,0)</f>
        <v/>
      </c>
      <c r="X355" s="18">
        <f>($S355+$T355+$U355)*Parity!$Z$144/day_count_inr*Parity!$O$144</f>
        <v/>
      </c>
      <c r="Y355" s="18">
        <f>$V355*igst_credit_lag_days/day_count_inr*Parity!$O$144</f>
        <v/>
      </c>
      <c r="Z355" s="18">
        <f>$S355+$T355+$U355+$W355+$X355+$Y355+IF(igst_itc_available,0,$V355)</f>
        <v/>
      </c>
      <c r="AA355" s="18">
        <f>Parity!$N$144*kg_per_mt+domestic_anchor_premium_inr_t</f>
        <v/>
      </c>
      <c r="AB355" s="18">
        <f>(1-Parity!$AA$144)*Parity!$AD$144*heavies_net_value_frac_of_lme_al*Parity!$F$144*Parity!$H$144</f>
        <v/>
      </c>
      <c r="AC355" s="18">
        <f>$AA355*Parity!$AU$144+$AB355-$Z355-Parity!$AX$144</f>
        <v/>
      </c>
      <c r="AD355" s="8">
        <f>$AC355&gt;margin_threshold_inr_t</f>
        <v/>
      </c>
      <c r="AE355" s="18">
        <f>($AC355-$L355)*grid_tonnes_mt</f>
        <v/>
      </c>
    </row>
    <row r="356">
      <c r="A356" s="7" t="inlineStr">
        <is>
          <t>june_trough</t>
        </is>
      </c>
      <c r="B356" s="11" t="n">
        <v>44729</v>
      </c>
      <c r="C356" s="7" t="inlineStr">
        <is>
          <t>zorba</t>
        </is>
      </c>
      <c r="D356" s="7" t="inlineStr">
        <is>
          <t>JEA_NSA</t>
        </is>
      </c>
      <c r="E356" s="7" t="inlineStr">
        <is>
          <t>FOB_desk_books_freight</t>
        </is>
      </c>
      <c r="F356" s="20" t="n">
        <v>0</v>
      </c>
      <c r="G356" s="20" t="n">
        <v>2.5</v>
      </c>
      <c r="H356" s="16">
        <f>Parity!$L$144*(1+$F356/100)</f>
        <v/>
      </c>
      <c r="I356" s="16">
        <f>Parity!$L$144*Parity!$AG$144*$F356/100</f>
        <v/>
      </c>
      <c r="J356" s="8">
        <f>IF($E356="FOB_desk_books_freight",Parity!$P$144+$I356/Parity!$F$144,Parity!$P$144)</f>
        <v/>
      </c>
      <c r="K356" s="8">
        <f>$G356/100</f>
        <v/>
      </c>
      <c r="L356" s="18">
        <f>Parity!$AY$144</f>
        <v/>
      </c>
      <c r="M356" s="16">
        <f>Parity!$F$144*$J356</f>
        <v/>
      </c>
      <c r="N356" s="16">
        <f>$H356*Parity!$AG$144</f>
        <v/>
      </c>
      <c r="O356" s="16">
        <f>$M356-$N356</f>
        <v/>
      </c>
      <c r="P356" s="16">
        <f>insurance_rate*insured_value_uplift*$M356</f>
        <v/>
      </c>
      <c r="Q356" s="16">
        <f>$M356+$P356</f>
        <v/>
      </c>
      <c r="R356" s="18">
        <f>$Q356*Parity!$J$144</f>
        <v/>
      </c>
      <c r="S356" s="18">
        <f>$Q356*Parity!$I$144</f>
        <v/>
      </c>
      <c r="T356" s="18">
        <f>$R356*$K356</f>
        <v/>
      </c>
      <c r="U356" s="18">
        <f>$T356*sws_rate_on_bcd</f>
        <v/>
      </c>
      <c r="V356" s="18">
        <f>($R356+$T356+$U356)*igst_rate_hs7602</f>
        <v/>
      </c>
      <c r="W356" s="18">
        <f>Parity!$X$144*Parity!$AG$144+IF(Parity!$Y$144,psic_cost_usd_per_box*Parity!$H$144/Parity!$W$144,0)</f>
        <v/>
      </c>
      <c r="X356" s="18">
        <f>($S356+$T356+$U356)*Parity!$Z$144/day_count_inr*Parity!$O$144</f>
        <v/>
      </c>
      <c r="Y356" s="18">
        <f>$V356*igst_credit_lag_days/day_count_inr*Parity!$O$144</f>
        <v/>
      </c>
      <c r="Z356" s="18">
        <f>$S356+$T356+$U356+$W356+$X356+$Y356+IF(igst_itc_available,0,$V356)</f>
        <v/>
      </c>
      <c r="AA356" s="18">
        <f>Parity!$N$144*kg_per_mt+domestic_anchor_premium_inr_t</f>
        <v/>
      </c>
      <c r="AB356" s="18">
        <f>(1-Parity!$AA$144)*Parity!$AD$144*heavies_net_value_frac_of_lme_al*Parity!$F$144*Parity!$H$144</f>
        <v/>
      </c>
      <c r="AC356" s="18">
        <f>$AA356*Parity!$AU$144+$AB356-$Z356-Parity!$AX$144</f>
        <v/>
      </c>
      <c r="AD356" s="8">
        <f>$AC356&gt;margin_threshold_inr_t</f>
        <v/>
      </c>
      <c r="AE356" s="18">
        <f>($AC356-$L356)*grid_tonnes_mt</f>
        <v/>
      </c>
    </row>
    <row r="357">
      <c r="A357" s="7" t="inlineStr">
        <is>
          <t>june_trough</t>
        </is>
      </c>
      <c r="B357" s="11" t="n">
        <v>44729</v>
      </c>
      <c r="C357" s="7" t="inlineStr">
        <is>
          <t>zorba</t>
        </is>
      </c>
      <c r="D357" s="7" t="inlineStr">
        <is>
          <t>JEA_NSA</t>
        </is>
      </c>
      <c r="E357" s="7" t="inlineStr">
        <is>
          <t>FOB_desk_books_freight</t>
        </is>
      </c>
      <c r="F357" s="20" t="n">
        <v>0</v>
      </c>
      <c r="G357" s="20" t="n">
        <v>5</v>
      </c>
      <c r="H357" s="16">
        <f>Parity!$L$144*(1+$F357/100)</f>
        <v/>
      </c>
      <c r="I357" s="16">
        <f>Parity!$L$144*Parity!$AG$144*$F357/100</f>
        <v/>
      </c>
      <c r="J357" s="8">
        <f>IF($E357="FOB_desk_books_freight",Parity!$P$144+$I357/Parity!$F$144,Parity!$P$144)</f>
        <v/>
      </c>
      <c r="K357" s="8">
        <f>$G357/100</f>
        <v/>
      </c>
      <c r="L357" s="18">
        <f>Parity!$AY$144</f>
        <v/>
      </c>
      <c r="M357" s="16">
        <f>Parity!$F$144*$J357</f>
        <v/>
      </c>
      <c r="N357" s="16">
        <f>$H357*Parity!$AG$144</f>
        <v/>
      </c>
      <c r="O357" s="16">
        <f>$M357-$N357</f>
        <v/>
      </c>
      <c r="P357" s="16">
        <f>insurance_rate*insured_value_uplift*$M357</f>
        <v/>
      </c>
      <c r="Q357" s="16">
        <f>$M357+$P357</f>
        <v/>
      </c>
      <c r="R357" s="18">
        <f>$Q357*Parity!$J$144</f>
        <v/>
      </c>
      <c r="S357" s="18">
        <f>$Q357*Parity!$I$144</f>
        <v/>
      </c>
      <c r="T357" s="18">
        <f>$R357*$K357</f>
        <v/>
      </c>
      <c r="U357" s="18">
        <f>$T357*sws_rate_on_bcd</f>
        <v/>
      </c>
      <c r="V357" s="18">
        <f>($R357+$T357+$U357)*igst_rate_hs7602</f>
        <v/>
      </c>
      <c r="W357" s="18">
        <f>Parity!$X$144*Parity!$AG$144+IF(Parity!$Y$144,psic_cost_usd_per_box*Parity!$H$144/Parity!$W$144,0)</f>
        <v/>
      </c>
      <c r="X357" s="18">
        <f>($S357+$T357+$U357)*Parity!$Z$144/day_count_inr*Parity!$O$144</f>
        <v/>
      </c>
      <c r="Y357" s="18">
        <f>$V357*igst_credit_lag_days/day_count_inr*Parity!$O$144</f>
        <v/>
      </c>
      <c r="Z357" s="18">
        <f>$S357+$T357+$U357+$W357+$X357+$Y357+IF(igst_itc_available,0,$V357)</f>
        <v/>
      </c>
      <c r="AA357" s="18">
        <f>Parity!$N$144*kg_per_mt+domestic_anchor_premium_inr_t</f>
        <v/>
      </c>
      <c r="AB357" s="18">
        <f>(1-Parity!$AA$144)*Parity!$AD$144*heavies_net_value_frac_of_lme_al*Parity!$F$144*Parity!$H$144</f>
        <v/>
      </c>
      <c r="AC357" s="18">
        <f>$AA357*Parity!$AU$144+$AB357-$Z357-Parity!$AX$144</f>
        <v/>
      </c>
      <c r="AD357" s="8">
        <f>$AC357&gt;margin_threshold_inr_t</f>
        <v/>
      </c>
      <c r="AE357" s="18">
        <f>($AC357-$L357)*grid_tonnes_mt</f>
        <v/>
      </c>
    </row>
    <row r="358">
      <c r="A358" s="7" t="inlineStr">
        <is>
          <t>june_trough</t>
        </is>
      </c>
      <c r="B358" s="11" t="n">
        <v>44729</v>
      </c>
      <c r="C358" s="7" t="inlineStr">
        <is>
          <t>zorba</t>
        </is>
      </c>
      <c r="D358" s="7" t="inlineStr">
        <is>
          <t>JEA_NSA</t>
        </is>
      </c>
      <c r="E358" s="7" t="inlineStr">
        <is>
          <t>FOB_desk_books_freight</t>
        </is>
      </c>
      <c r="F358" s="20" t="n">
        <v>0</v>
      </c>
      <c r="G358" s="20" t="n">
        <v>7.5</v>
      </c>
      <c r="H358" s="16">
        <f>Parity!$L$144*(1+$F358/100)</f>
        <v/>
      </c>
      <c r="I358" s="16">
        <f>Parity!$L$144*Parity!$AG$144*$F358/100</f>
        <v/>
      </c>
      <c r="J358" s="8">
        <f>IF($E358="FOB_desk_books_freight",Parity!$P$144+$I358/Parity!$F$144,Parity!$P$144)</f>
        <v/>
      </c>
      <c r="K358" s="8">
        <f>$G358/100</f>
        <v/>
      </c>
      <c r="L358" s="18">
        <f>Parity!$AY$144</f>
        <v/>
      </c>
      <c r="M358" s="16">
        <f>Parity!$F$144*$J358</f>
        <v/>
      </c>
      <c r="N358" s="16">
        <f>$H358*Parity!$AG$144</f>
        <v/>
      </c>
      <c r="O358" s="16">
        <f>$M358-$N358</f>
        <v/>
      </c>
      <c r="P358" s="16">
        <f>insurance_rate*insured_value_uplift*$M358</f>
        <v/>
      </c>
      <c r="Q358" s="16">
        <f>$M358+$P358</f>
        <v/>
      </c>
      <c r="R358" s="18">
        <f>$Q358*Parity!$J$144</f>
        <v/>
      </c>
      <c r="S358" s="18">
        <f>$Q358*Parity!$I$144</f>
        <v/>
      </c>
      <c r="T358" s="18">
        <f>$R358*$K358</f>
        <v/>
      </c>
      <c r="U358" s="18">
        <f>$T358*sws_rate_on_bcd</f>
        <v/>
      </c>
      <c r="V358" s="18">
        <f>($R358+$T358+$U358)*igst_rate_hs7602</f>
        <v/>
      </c>
      <c r="W358" s="18">
        <f>Parity!$X$144*Parity!$AG$144+IF(Parity!$Y$144,psic_cost_usd_per_box*Parity!$H$144/Parity!$W$144,0)</f>
        <v/>
      </c>
      <c r="X358" s="18">
        <f>($S358+$T358+$U358)*Parity!$Z$144/day_count_inr*Parity!$O$144</f>
        <v/>
      </c>
      <c r="Y358" s="18">
        <f>$V358*igst_credit_lag_days/day_count_inr*Parity!$O$144</f>
        <v/>
      </c>
      <c r="Z358" s="18">
        <f>$S358+$T358+$U358+$W358+$X358+$Y358+IF(igst_itc_available,0,$V358)</f>
        <v/>
      </c>
      <c r="AA358" s="18">
        <f>Parity!$N$144*kg_per_mt+domestic_anchor_premium_inr_t</f>
        <v/>
      </c>
      <c r="AB358" s="18">
        <f>(1-Parity!$AA$144)*Parity!$AD$144*heavies_net_value_frac_of_lme_al*Parity!$F$144*Parity!$H$144</f>
        <v/>
      </c>
      <c r="AC358" s="18">
        <f>$AA358*Parity!$AU$144+$AB358-$Z358-Parity!$AX$144</f>
        <v/>
      </c>
      <c r="AD358" s="8">
        <f>$AC358&gt;margin_threshold_inr_t</f>
        <v/>
      </c>
      <c r="AE358" s="18">
        <f>($AC358-$L358)*grid_tonnes_mt</f>
        <v/>
      </c>
    </row>
    <row r="359">
      <c r="A359" s="7" t="inlineStr">
        <is>
          <t>june_trough</t>
        </is>
      </c>
      <c r="B359" s="11" t="n">
        <v>44729</v>
      </c>
      <c r="C359" s="7" t="inlineStr">
        <is>
          <t>zorba</t>
        </is>
      </c>
      <c r="D359" s="7" t="inlineStr">
        <is>
          <t>JEA_NSA</t>
        </is>
      </c>
      <c r="E359" s="7" t="inlineStr">
        <is>
          <t>FOB_desk_books_freight</t>
        </is>
      </c>
      <c r="F359" s="20" t="n">
        <v>0</v>
      </c>
      <c r="G359" s="20" t="n">
        <v>10</v>
      </c>
      <c r="H359" s="16">
        <f>Parity!$L$144*(1+$F359/100)</f>
        <v/>
      </c>
      <c r="I359" s="16">
        <f>Parity!$L$144*Parity!$AG$144*$F359/100</f>
        <v/>
      </c>
      <c r="J359" s="8">
        <f>IF($E359="FOB_desk_books_freight",Parity!$P$144+$I359/Parity!$F$144,Parity!$P$144)</f>
        <v/>
      </c>
      <c r="K359" s="8">
        <f>$G359/100</f>
        <v/>
      </c>
      <c r="L359" s="18">
        <f>Parity!$AY$144</f>
        <v/>
      </c>
      <c r="M359" s="16">
        <f>Parity!$F$144*$J359</f>
        <v/>
      </c>
      <c r="N359" s="16">
        <f>$H359*Parity!$AG$144</f>
        <v/>
      </c>
      <c r="O359" s="16">
        <f>$M359-$N359</f>
        <v/>
      </c>
      <c r="P359" s="16">
        <f>insurance_rate*insured_value_uplift*$M359</f>
        <v/>
      </c>
      <c r="Q359" s="16">
        <f>$M359+$P359</f>
        <v/>
      </c>
      <c r="R359" s="18">
        <f>$Q359*Parity!$J$144</f>
        <v/>
      </c>
      <c r="S359" s="18">
        <f>$Q359*Parity!$I$144</f>
        <v/>
      </c>
      <c r="T359" s="18">
        <f>$R359*$K359</f>
        <v/>
      </c>
      <c r="U359" s="18">
        <f>$T359*sws_rate_on_bcd</f>
        <v/>
      </c>
      <c r="V359" s="18">
        <f>($R359+$T359+$U359)*igst_rate_hs7602</f>
        <v/>
      </c>
      <c r="W359" s="18">
        <f>Parity!$X$144*Parity!$AG$144+IF(Parity!$Y$144,psic_cost_usd_per_box*Parity!$H$144/Parity!$W$144,0)</f>
        <v/>
      </c>
      <c r="X359" s="18">
        <f>($S359+$T359+$U359)*Parity!$Z$144/day_count_inr*Parity!$O$144</f>
        <v/>
      </c>
      <c r="Y359" s="18">
        <f>$V359*igst_credit_lag_days/day_count_inr*Parity!$O$144</f>
        <v/>
      </c>
      <c r="Z359" s="18">
        <f>$S359+$T359+$U359+$W359+$X359+$Y359+IF(igst_itc_available,0,$V359)</f>
        <v/>
      </c>
      <c r="AA359" s="18">
        <f>Parity!$N$144*kg_per_mt+domestic_anchor_premium_inr_t</f>
        <v/>
      </c>
      <c r="AB359" s="18">
        <f>(1-Parity!$AA$144)*Parity!$AD$144*heavies_net_value_frac_of_lme_al*Parity!$F$144*Parity!$H$144</f>
        <v/>
      </c>
      <c r="AC359" s="18">
        <f>$AA359*Parity!$AU$144+$AB359-$Z359-Parity!$AX$144</f>
        <v/>
      </c>
      <c r="AD359" s="8">
        <f>$AC359&gt;margin_threshold_inr_t</f>
        <v/>
      </c>
      <c r="AE359" s="18">
        <f>($AC359-$L359)*grid_tonnes_mt</f>
        <v/>
      </c>
    </row>
    <row r="360">
      <c r="A360" s="7" t="inlineStr">
        <is>
          <t>june_trough</t>
        </is>
      </c>
      <c r="B360" s="11" t="n">
        <v>44729</v>
      </c>
      <c r="C360" s="7" t="inlineStr">
        <is>
          <t>zorba</t>
        </is>
      </c>
      <c r="D360" s="7" t="inlineStr">
        <is>
          <t>JEA_NSA</t>
        </is>
      </c>
      <c r="E360" s="7" t="inlineStr">
        <is>
          <t>FOB_desk_books_freight</t>
        </is>
      </c>
      <c r="F360" s="20" t="n">
        <v>20</v>
      </c>
      <c r="G360" s="20" t="n">
        <v>0</v>
      </c>
      <c r="H360" s="16">
        <f>Parity!$L$144*(1+$F360/100)</f>
        <v/>
      </c>
      <c r="I360" s="16">
        <f>Parity!$L$144*Parity!$AG$144*$F360/100</f>
        <v/>
      </c>
      <c r="J360" s="8">
        <f>IF($E360="FOB_desk_books_freight",Parity!$P$144+$I360/Parity!$F$144,Parity!$P$144)</f>
        <v/>
      </c>
      <c r="K360" s="8">
        <f>$G360/100</f>
        <v/>
      </c>
      <c r="L360" s="18">
        <f>Parity!$AY$144</f>
        <v/>
      </c>
      <c r="M360" s="16">
        <f>Parity!$F$144*$J360</f>
        <v/>
      </c>
      <c r="N360" s="16">
        <f>$H360*Parity!$AG$144</f>
        <v/>
      </c>
      <c r="O360" s="16">
        <f>$M360-$N360</f>
        <v/>
      </c>
      <c r="P360" s="16">
        <f>insurance_rate*insured_value_uplift*$M360</f>
        <v/>
      </c>
      <c r="Q360" s="16">
        <f>$M360+$P360</f>
        <v/>
      </c>
      <c r="R360" s="18">
        <f>$Q360*Parity!$J$144</f>
        <v/>
      </c>
      <c r="S360" s="18">
        <f>$Q360*Parity!$I$144</f>
        <v/>
      </c>
      <c r="T360" s="18">
        <f>$R360*$K360</f>
        <v/>
      </c>
      <c r="U360" s="18">
        <f>$T360*sws_rate_on_bcd</f>
        <v/>
      </c>
      <c r="V360" s="18">
        <f>($R360+$T360+$U360)*igst_rate_hs7602</f>
        <v/>
      </c>
      <c r="W360" s="18">
        <f>Parity!$X$144*Parity!$AG$144+IF(Parity!$Y$144,psic_cost_usd_per_box*Parity!$H$144/Parity!$W$144,0)</f>
        <v/>
      </c>
      <c r="X360" s="18">
        <f>($S360+$T360+$U360)*Parity!$Z$144/day_count_inr*Parity!$O$144</f>
        <v/>
      </c>
      <c r="Y360" s="18">
        <f>$V360*igst_credit_lag_days/day_count_inr*Parity!$O$144</f>
        <v/>
      </c>
      <c r="Z360" s="18">
        <f>$S360+$T360+$U360+$W360+$X360+$Y360+IF(igst_itc_available,0,$V360)</f>
        <v/>
      </c>
      <c r="AA360" s="18">
        <f>Parity!$N$144*kg_per_mt+domestic_anchor_premium_inr_t</f>
        <v/>
      </c>
      <c r="AB360" s="18">
        <f>(1-Parity!$AA$144)*Parity!$AD$144*heavies_net_value_frac_of_lme_al*Parity!$F$144*Parity!$H$144</f>
        <v/>
      </c>
      <c r="AC360" s="18">
        <f>$AA360*Parity!$AU$144+$AB360-$Z360-Parity!$AX$144</f>
        <v/>
      </c>
      <c r="AD360" s="8">
        <f>$AC360&gt;margin_threshold_inr_t</f>
        <v/>
      </c>
      <c r="AE360" s="18">
        <f>($AC360-$L360)*grid_tonnes_mt</f>
        <v/>
      </c>
    </row>
    <row r="361">
      <c r="A361" s="7" t="inlineStr">
        <is>
          <t>june_trough</t>
        </is>
      </c>
      <c r="B361" s="11" t="n">
        <v>44729</v>
      </c>
      <c r="C361" s="7" t="inlineStr">
        <is>
          <t>zorba</t>
        </is>
      </c>
      <c r="D361" s="7" t="inlineStr">
        <is>
          <t>JEA_NSA</t>
        </is>
      </c>
      <c r="E361" s="7" t="inlineStr">
        <is>
          <t>FOB_desk_books_freight</t>
        </is>
      </c>
      <c r="F361" s="20" t="n">
        <v>20</v>
      </c>
      <c r="G361" s="20" t="n">
        <v>2.5</v>
      </c>
      <c r="H361" s="16">
        <f>Parity!$L$144*(1+$F361/100)</f>
        <v/>
      </c>
      <c r="I361" s="16">
        <f>Parity!$L$144*Parity!$AG$144*$F361/100</f>
        <v/>
      </c>
      <c r="J361" s="8">
        <f>IF($E361="FOB_desk_books_freight",Parity!$P$144+$I361/Parity!$F$144,Parity!$P$144)</f>
        <v/>
      </c>
      <c r="K361" s="8">
        <f>$G361/100</f>
        <v/>
      </c>
      <c r="L361" s="18">
        <f>Parity!$AY$144</f>
        <v/>
      </c>
      <c r="M361" s="16">
        <f>Parity!$F$144*$J361</f>
        <v/>
      </c>
      <c r="N361" s="16">
        <f>$H361*Parity!$AG$144</f>
        <v/>
      </c>
      <c r="O361" s="16">
        <f>$M361-$N361</f>
        <v/>
      </c>
      <c r="P361" s="16">
        <f>insurance_rate*insured_value_uplift*$M361</f>
        <v/>
      </c>
      <c r="Q361" s="16">
        <f>$M361+$P361</f>
        <v/>
      </c>
      <c r="R361" s="18">
        <f>$Q361*Parity!$J$144</f>
        <v/>
      </c>
      <c r="S361" s="18">
        <f>$Q361*Parity!$I$144</f>
        <v/>
      </c>
      <c r="T361" s="18">
        <f>$R361*$K361</f>
        <v/>
      </c>
      <c r="U361" s="18">
        <f>$T361*sws_rate_on_bcd</f>
        <v/>
      </c>
      <c r="V361" s="18">
        <f>($R361+$T361+$U361)*igst_rate_hs7602</f>
        <v/>
      </c>
      <c r="W361" s="18">
        <f>Parity!$X$144*Parity!$AG$144+IF(Parity!$Y$144,psic_cost_usd_per_box*Parity!$H$144/Parity!$W$144,0)</f>
        <v/>
      </c>
      <c r="X361" s="18">
        <f>($S361+$T361+$U361)*Parity!$Z$144/day_count_inr*Parity!$O$144</f>
        <v/>
      </c>
      <c r="Y361" s="18">
        <f>$V361*igst_credit_lag_days/day_count_inr*Parity!$O$144</f>
        <v/>
      </c>
      <c r="Z361" s="18">
        <f>$S361+$T361+$U361+$W361+$X361+$Y361+IF(igst_itc_available,0,$V361)</f>
        <v/>
      </c>
      <c r="AA361" s="18">
        <f>Parity!$N$144*kg_per_mt+domestic_anchor_premium_inr_t</f>
        <v/>
      </c>
      <c r="AB361" s="18">
        <f>(1-Parity!$AA$144)*Parity!$AD$144*heavies_net_value_frac_of_lme_al*Parity!$F$144*Parity!$H$144</f>
        <v/>
      </c>
      <c r="AC361" s="18">
        <f>$AA361*Parity!$AU$144+$AB361-$Z361-Parity!$AX$144</f>
        <v/>
      </c>
      <c r="AD361" s="8">
        <f>$AC361&gt;margin_threshold_inr_t</f>
        <v/>
      </c>
      <c r="AE361" s="18">
        <f>($AC361-$L361)*grid_tonnes_mt</f>
        <v/>
      </c>
    </row>
    <row r="362">
      <c r="A362" s="7" t="inlineStr">
        <is>
          <t>june_trough</t>
        </is>
      </c>
      <c r="B362" s="11" t="n">
        <v>44729</v>
      </c>
      <c r="C362" s="7" t="inlineStr">
        <is>
          <t>zorba</t>
        </is>
      </c>
      <c r="D362" s="7" t="inlineStr">
        <is>
          <t>JEA_NSA</t>
        </is>
      </c>
      <c r="E362" s="7" t="inlineStr">
        <is>
          <t>FOB_desk_books_freight</t>
        </is>
      </c>
      <c r="F362" s="20" t="n">
        <v>20</v>
      </c>
      <c r="G362" s="20" t="n">
        <v>5</v>
      </c>
      <c r="H362" s="16">
        <f>Parity!$L$144*(1+$F362/100)</f>
        <v/>
      </c>
      <c r="I362" s="16">
        <f>Parity!$L$144*Parity!$AG$144*$F362/100</f>
        <v/>
      </c>
      <c r="J362" s="8">
        <f>IF($E362="FOB_desk_books_freight",Parity!$P$144+$I362/Parity!$F$144,Parity!$P$144)</f>
        <v/>
      </c>
      <c r="K362" s="8">
        <f>$G362/100</f>
        <v/>
      </c>
      <c r="L362" s="18">
        <f>Parity!$AY$144</f>
        <v/>
      </c>
      <c r="M362" s="16">
        <f>Parity!$F$144*$J362</f>
        <v/>
      </c>
      <c r="N362" s="16">
        <f>$H362*Parity!$AG$144</f>
        <v/>
      </c>
      <c r="O362" s="16">
        <f>$M362-$N362</f>
        <v/>
      </c>
      <c r="P362" s="16">
        <f>insurance_rate*insured_value_uplift*$M362</f>
        <v/>
      </c>
      <c r="Q362" s="16">
        <f>$M362+$P362</f>
        <v/>
      </c>
      <c r="R362" s="18">
        <f>$Q362*Parity!$J$144</f>
        <v/>
      </c>
      <c r="S362" s="18">
        <f>$Q362*Parity!$I$144</f>
        <v/>
      </c>
      <c r="T362" s="18">
        <f>$R362*$K362</f>
        <v/>
      </c>
      <c r="U362" s="18">
        <f>$T362*sws_rate_on_bcd</f>
        <v/>
      </c>
      <c r="V362" s="18">
        <f>($R362+$T362+$U362)*igst_rate_hs7602</f>
        <v/>
      </c>
      <c r="W362" s="18">
        <f>Parity!$X$144*Parity!$AG$144+IF(Parity!$Y$144,psic_cost_usd_per_box*Parity!$H$144/Parity!$W$144,0)</f>
        <v/>
      </c>
      <c r="X362" s="18">
        <f>($S362+$T362+$U362)*Parity!$Z$144/day_count_inr*Parity!$O$144</f>
        <v/>
      </c>
      <c r="Y362" s="18">
        <f>$V362*igst_credit_lag_days/day_count_inr*Parity!$O$144</f>
        <v/>
      </c>
      <c r="Z362" s="18">
        <f>$S362+$T362+$U362+$W362+$X362+$Y362+IF(igst_itc_available,0,$V362)</f>
        <v/>
      </c>
      <c r="AA362" s="18">
        <f>Parity!$N$144*kg_per_mt+domestic_anchor_premium_inr_t</f>
        <v/>
      </c>
      <c r="AB362" s="18">
        <f>(1-Parity!$AA$144)*Parity!$AD$144*heavies_net_value_frac_of_lme_al*Parity!$F$144*Parity!$H$144</f>
        <v/>
      </c>
      <c r="AC362" s="18">
        <f>$AA362*Parity!$AU$144+$AB362-$Z362-Parity!$AX$144</f>
        <v/>
      </c>
      <c r="AD362" s="8">
        <f>$AC362&gt;margin_threshold_inr_t</f>
        <v/>
      </c>
      <c r="AE362" s="18">
        <f>($AC362-$L362)*grid_tonnes_mt</f>
        <v/>
      </c>
    </row>
    <row r="363">
      <c r="A363" s="7" t="inlineStr">
        <is>
          <t>june_trough</t>
        </is>
      </c>
      <c r="B363" s="11" t="n">
        <v>44729</v>
      </c>
      <c r="C363" s="7" t="inlineStr">
        <is>
          <t>zorba</t>
        </is>
      </c>
      <c r="D363" s="7" t="inlineStr">
        <is>
          <t>JEA_NSA</t>
        </is>
      </c>
      <c r="E363" s="7" t="inlineStr">
        <is>
          <t>FOB_desk_books_freight</t>
        </is>
      </c>
      <c r="F363" s="20" t="n">
        <v>20</v>
      </c>
      <c r="G363" s="20" t="n">
        <v>7.5</v>
      </c>
      <c r="H363" s="16">
        <f>Parity!$L$144*(1+$F363/100)</f>
        <v/>
      </c>
      <c r="I363" s="16">
        <f>Parity!$L$144*Parity!$AG$144*$F363/100</f>
        <v/>
      </c>
      <c r="J363" s="8">
        <f>IF($E363="FOB_desk_books_freight",Parity!$P$144+$I363/Parity!$F$144,Parity!$P$144)</f>
        <v/>
      </c>
      <c r="K363" s="8">
        <f>$G363/100</f>
        <v/>
      </c>
      <c r="L363" s="18">
        <f>Parity!$AY$144</f>
        <v/>
      </c>
      <c r="M363" s="16">
        <f>Parity!$F$144*$J363</f>
        <v/>
      </c>
      <c r="N363" s="16">
        <f>$H363*Parity!$AG$144</f>
        <v/>
      </c>
      <c r="O363" s="16">
        <f>$M363-$N363</f>
        <v/>
      </c>
      <c r="P363" s="16">
        <f>insurance_rate*insured_value_uplift*$M363</f>
        <v/>
      </c>
      <c r="Q363" s="16">
        <f>$M363+$P363</f>
        <v/>
      </c>
      <c r="R363" s="18">
        <f>$Q363*Parity!$J$144</f>
        <v/>
      </c>
      <c r="S363" s="18">
        <f>$Q363*Parity!$I$144</f>
        <v/>
      </c>
      <c r="T363" s="18">
        <f>$R363*$K363</f>
        <v/>
      </c>
      <c r="U363" s="18">
        <f>$T363*sws_rate_on_bcd</f>
        <v/>
      </c>
      <c r="V363" s="18">
        <f>($R363+$T363+$U363)*igst_rate_hs7602</f>
        <v/>
      </c>
      <c r="W363" s="18">
        <f>Parity!$X$144*Parity!$AG$144+IF(Parity!$Y$144,psic_cost_usd_per_box*Parity!$H$144/Parity!$W$144,0)</f>
        <v/>
      </c>
      <c r="X363" s="18">
        <f>($S363+$T363+$U363)*Parity!$Z$144/day_count_inr*Parity!$O$144</f>
        <v/>
      </c>
      <c r="Y363" s="18">
        <f>$V363*igst_credit_lag_days/day_count_inr*Parity!$O$144</f>
        <v/>
      </c>
      <c r="Z363" s="18">
        <f>$S363+$T363+$U363+$W363+$X363+$Y363+IF(igst_itc_available,0,$V363)</f>
        <v/>
      </c>
      <c r="AA363" s="18">
        <f>Parity!$N$144*kg_per_mt+domestic_anchor_premium_inr_t</f>
        <v/>
      </c>
      <c r="AB363" s="18">
        <f>(1-Parity!$AA$144)*Parity!$AD$144*heavies_net_value_frac_of_lme_al*Parity!$F$144*Parity!$H$144</f>
        <v/>
      </c>
      <c r="AC363" s="18">
        <f>$AA363*Parity!$AU$144+$AB363-$Z363-Parity!$AX$144</f>
        <v/>
      </c>
      <c r="AD363" s="8">
        <f>$AC363&gt;margin_threshold_inr_t</f>
        <v/>
      </c>
      <c r="AE363" s="18">
        <f>($AC363-$L363)*grid_tonnes_mt</f>
        <v/>
      </c>
    </row>
    <row r="364">
      <c r="A364" s="7" t="inlineStr">
        <is>
          <t>june_trough</t>
        </is>
      </c>
      <c r="B364" s="11" t="n">
        <v>44729</v>
      </c>
      <c r="C364" s="7" t="inlineStr">
        <is>
          <t>zorba</t>
        </is>
      </c>
      <c r="D364" s="7" t="inlineStr">
        <is>
          <t>JEA_NSA</t>
        </is>
      </c>
      <c r="E364" s="7" t="inlineStr">
        <is>
          <t>FOB_desk_books_freight</t>
        </is>
      </c>
      <c r="F364" s="20" t="n">
        <v>20</v>
      </c>
      <c r="G364" s="20" t="n">
        <v>10</v>
      </c>
      <c r="H364" s="16">
        <f>Parity!$L$144*(1+$F364/100)</f>
        <v/>
      </c>
      <c r="I364" s="16">
        <f>Parity!$L$144*Parity!$AG$144*$F364/100</f>
        <v/>
      </c>
      <c r="J364" s="8">
        <f>IF($E364="FOB_desk_books_freight",Parity!$P$144+$I364/Parity!$F$144,Parity!$P$144)</f>
        <v/>
      </c>
      <c r="K364" s="8">
        <f>$G364/100</f>
        <v/>
      </c>
      <c r="L364" s="18">
        <f>Parity!$AY$144</f>
        <v/>
      </c>
      <c r="M364" s="16">
        <f>Parity!$F$144*$J364</f>
        <v/>
      </c>
      <c r="N364" s="16">
        <f>$H364*Parity!$AG$144</f>
        <v/>
      </c>
      <c r="O364" s="16">
        <f>$M364-$N364</f>
        <v/>
      </c>
      <c r="P364" s="16">
        <f>insurance_rate*insured_value_uplift*$M364</f>
        <v/>
      </c>
      <c r="Q364" s="16">
        <f>$M364+$P364</f>
        <v/>
      </c>
      <c r="R364" s="18">
        <f>$Q364*Parity!$J$144</f>
        <v/>
      </c>
      <c r="S364" s="18">
        <f>$Q364*Parity!$I$144</f>
        <v/>
      </c>
      <c r="T364" s="18">
        <f>$R364*$K364</f>
        <v/>
      </c>
      <c r="U364" s="18">
        <f>$T364*sws_rate_on_bcd</f>
        <v/>
      </c>
      <c r="V364" s="18">
        <f>($R364+$T364+$U364)*igst_rate_hs7602</f>
        <v/>
      </c>
      <c r="W364" s="18">
        <f>Parity!$X$144*Parity!$AG$144+IF(Parity!$Y$144,psic_cost_usd_per_box*Parity!$H$144/Parity!$W$144,0)</f>
        <v/>
      </c>
      <c r="X364" s="18">
        <f>($S364+$T364+$U364)*Parity!$Z$144/day_count_inr*Parity!$O$144</f>
        <v/>
      </c>
      <c r="Y364" s="18">
        <f>$V364*igst_credit_lag_days/day_count_inr*Parity!$O$144</f>
        <v/>
      </c>
      <c r="Z364" s="18">
        <f>$S364+$T364+$U364+$W364+$X364+$Y364+IF(igst_itc_available,0,$V364)</f>
        <v/>
      </c>
      <c r="AA364" s="18">
        <f>Parity!$N$144*kg_per_mt+domestic_anchor_premium_inr_t</f>
        <v/>
      </c>
      <c r="AB364" s="18">
        <f>(1-Parity!$AA$144)*Parity!$AD$144*heavies_net_value_frac_of_lme_al*Parity!$F$144*Parity!$H$144</f>
        <v/>
      </c>
      <c r="AC364" s="18">
        <f>$AA364*Parity!$AU$144+$AB364-$Z364-Parity!$AX$144</f>
        <v/>
      </c>
      <c r="AD364" s="8">
        <f>$AC364&gt;margin_threshold_inr_t</f>
        <v/>
      </c>
      <c r="AE364" s="18">
        <f>($AC364-$L364)*grid_tonnes_mt</f>
        <v/>
      </c>
    </row>
    <row r="365">
      <c r="A365" s="7" t="inlineStr">
        <is>
          <t>june_trough</t>
        </is>
      </c>
      <c r="B365" s="11" t="n">
        <v>44729</v>
      </c>
      <c r="C365" s="7" t="inlineStr">
        <is>
          <t>zorba</t>
        </is>
      </c>
      <c r="D365" s="7" t="inlineStr">
        <is>
          <t>JEA_NSA</t>
        </is>
      </c>
      <c r="E365" s="7" t="inlineStr">
        <is>
          <t>FOB_desk_books_freight</t>
        </is>
      </c>
      <c r="F365" s="20" t="n">
        <v>40</v>
      </c>
      <c r="G365" s="20" t="n">
        <v>0</v>
      </c>
      <c r="H365" s="16">
        <f>Parity!$L$144*(1+$F365/100)</f>
        <v/>
      </c>
      <c r="I365" s="16">
        <f>Parity!$L$144*Parity!$AG$144*$F365/100</f>
        <v/>
      </c>
      <c r="J365" s="8">
        <f>IF($E365="FOB_desk_books_freight",Parity!$P$144+$I365/Parity!$F$144,Parity!$P$144)</f>
        <v/>
      </c>
      <c r="K365" s="8">
        <f>$G365/100</f>
        <v/>
      </c>
      <c r="L365" s="18">
        <f>Parity!$AY$144</f>
        <v/>
      </c>
      <c r="M365" s="16">
        <f>Parity!$F$144*$J365</f>
        <v/>
      </c>
      <c r="N365" s="16">
        <f>$H365*Parity!$AG$144</f>
        <v/>
      </c>
      <c r="O365" s="16">
        <f>$M365-$N365</f>
        <v/>
      </c>
      <c r="P365" s="16">
        <f>insurance_rate*insured_value_uplift*$M365</f>
        <v/>
      </c>
      <c r="Q365" s="16">
        <f>$M365+$P365</f>
        <v/>
      </c>
      <c r="R365" s="18">
        <f>$Q365*Parity!$J$144</f>
        <v/>
      </c>
      <c r="S365" s="18">
        <f>$Q365*Parity!$I$144</f>
        <v/>
      </c>
      <c r="T365" s="18">
        <f>$R365*$K365</f>
        <v/>
      </c>
      <c r="U365" s="18">
        <f>$T365*sws_rate_on_bcd</f>
        <v/>
      </c>
      <c r="V365" s="18">
        <f>($R365+$T365+$U365)*igst_rate_hs7602</f>
        <v/>
      </c>
      <c r="W365" s="18">
        <f>Parity!$X$144*Parity!$AG$144+IF(Parity!$Y$144,psic_cost_usd_per_box*Parity!$H$144/Parity!$W$144,0)</f>
        <v/>
      </c>
      <c r="X365" s="18">
        <f>($S365+$T365+$U365)*Parity!$Z$144/day_count_inr*Parity!$O$144</f>
        <v/>
      </c>
      <c r="Y365" s="18">
        <f>$V365*igst_credit_lag_days/day_count_inr*Parity!$O$144</f>
        <v/>
      </c>
      <c r="Z365" s="18">
        <f>$S365+$T365+$U365+$W365+$X365+$Y365+IF(igst_itc_available,0,$V365)</f>
        <v/>
      </c>
      <c r="AA365" s="18">
        <f>Parity!$N$144*kg_per_mt+domestic_anchor_premium_inr_t</f>
        <v/>
      </c>
      <c r="AB365" s="18">
        <f>(1-Parity!$AA$144)*Parity!$AD$144*heavies_net_value_frac_of_lme_al*Parity!$F$144*Parity!$H$144</f>
        <v/>
      </c>
      <c r="AC365" s="18">
        <f>$AA365*Parity!$AU$144+$AB365-$Z365-Parity!$AX$144</f>
        <v/>
      </c>
      <c r="AD365" s="8">
        <f>$AC365&gt;margin_threshold_inr_t</f>
        <v/>
      </c>
      <c r="AE365" s="18">
        <f>($AC365-$L365)*grid_tonnes_mt</f>
        <v/>
      </c>
    </row>
    <row r="366">
      <c r="A366" s="7" t="inlineStr">
        <is>
          <t>june_trough</t>
        </is>
      </c>
      <c r="B366" s="11" t="n">
        <v>44729</v>
      </c>
      <c r="C366" s="7" t="inlineStr">
        <is>
          <t>zorba</t>
        </is>
      </c>
      <c r="D366" s="7" t="inlineStr">
        <is>
          <t>JEA_NSA</t>
        </is>
      </c>
      <c r="E366" s="7" t="inlineStr">
        <is>
          <t>FOB_desk_books_freight</t>
        </is>
      </c>
      <c r="F366" s="20" t="n">
        <v>40</v>
      </c>
      <c r="G366" s="20" t="n">
        <v>2.5</v>
      </c>
      <c r="H366" s="16">
        <f>Parity!$L$144*(1+$F366/100)</f>
        <v/>
      </c>
      <c r="I366" s="16">
        <f>Parity!$L$144*Parity!$AG$144*$F366/100</f>
        <v/>
      </c>
      <c r="J366" s="8">
        <f>IF($E366="FOB_desk_books_freight",Parity!$P$144+$I366/Parity!$F$144,Parity!$P$144)</f>
        <v/>
      </c>
      <c r="K366" s="8">
        <f>$G366/100</f>
        <v/>
      </c>
      <c r="L366" s="18">
        <f>Parity!$AY$144</f>
        <v/>
      </c>
      <c r="M366" s="16">
        <f>Parity!$F$144*$J366</f>
        <v/>
      </c>
      <c r="N366" s="16">
        <f>$H366*Parity!$AG$144</f>
        <v/>
      </c>
      <c r="O366" s="16">
        <f>$M366-$N366</f>
        <v/>
      </c>
      <c r="P366" s="16">
        <f>insurance_rate*insured_value_uplift*$M366</f>
        <v/>
      </c>
      <c r="Q366" s="16">
        <f>$M366+$P366</f>
        <v/>
      </c>
      <c r="R366" s="18">
        <f>$Q366*Parity!$J$144</f>
        <v/>
      </c>
      <c r="S366" s="18">
        <f>$Q366*Parity!$I$144</f>
        <v/>
      </c>
      <c r="T366" s="18">
        <f>$R366*$K366</f>
        <v/>
      </c>
      <c r="U366" s="18">
        <f>$T366*sws_rate_on_bcd</f>
        <v/>
      </c>
      <c r="V366" s="18">
        <f>($R366+$T366+$U366)*igst_rate_hs7602</f>
        <v/>
      </c>
      <c r="W366" s="18">
        <f>Parity!$X$144*Parity!$AG$144+IF(Parity!$Y$144,psic_cost_usd_per_box*Parity!$H$144/Parity!$W$144,0)</f>
        <v/>
      </c>
      <c r="X366" s="18">
        <f>($S366+$T366+$U366)*Parity!$Z$144/day_count_inr*Parity!$O$144</f>
        <v/>
      </c>
      <c r="Y366" s="18">
        <f>$V366*igst_credit_lag_days/day_count_inr*Parity!$O$144</f>
        <v/>
      </c>
      <c r="Z366" s="18">
        <f>$S366+$T366+$U366+$W366+$X366+$Y366+IF(igst_itc_available,0,$V366)</f>
        <v/>
      </c>
      <c r="AA366" s="18">
        <f>Parity!$N$144*kg_per_mt+domestic_anchor_premium_inr_t</f>
        <v/>
      </c>
      <c r="AB366" s="18">
        <f>(1-Parity!$AA$144)*Parity!$AD$144*heavies_net_value_frac_of_lme_al*Parity!$F$144*Parity!$H$144</f>
        <v/>
      </c>
      <c r="AC366" s="18">
        <f>$AA366*Parity!$AU$144+$AB366-$Z366-Parity!$AX$144</f>
        <v/>
      </c>
      <c r="AD366" s="8">
        <f>$AC366&gt;margin_threshold_inr_t</f>
        <v/>
      </c>
      <c r="AE366" s="18">
        <f>($AC366-$L366)*grid_tonnes_mt</f>
        <v/>
      </c>
    </row>
    <row r="367">
      <c r="A367" s="7" t="inlineStr">
        <is>
          <t>june_trough</t>
        </is>
      </c>
      <c r="B367" s="11" t="n">
        <v>44729</v>
      </c>
      <c r="C367" s="7" t="inlineStr">
        <is>
          <t>zorba</t>
        </is>
      </c>
      <c r="D367" s="7" t="inlineStr">
        <is>
          <t>JEA_NSA</t>
        </is>
      </c>
      <c r="E367" s="7" t="inlineStr">
        <is>
          <t>FOB_desk_books_freight</t>
        </is>
      </c>
      <c r="F367" s="20" t="n">
        <v>40</v>
      </c>
      <c r="G367" s="20" t="n">
        <v>5</v>
      </c>
      <c r="H367" s="16">
        <f>Parity!$L$144*(1+$F367/100)</f>
        <v/>
      </c>
      <c r="I367" s="16">
        <f>Parity!$L$144*Parity!$AG$144*$F367/100</f>
        <v/>
      </c>
      <c r="J367" s="8">
        <f>IF($E367="FOB_desk_books_freight",Parity!$P$144+$I367/Parity!$F$144,Parity!$P$144)</f>
        <v/>
      </c>
      <c r="K367" s="8">
        <f>$G367/100</f>
        <v/>
      </c>
      <c r="L367" s="18">
        <f>Parity!$AY$144</f>
        <v/>
      </c>
      <c r="M367" s="16">
        <f>Parity!$F$144*$J367</f>
        <v/>
      </c>
      <c r="N367" s="16">
        <f>$H367*Parity!$AG$144</f>
        <v/>
      </c>
      <c r="O367" s="16">
        <f>$M367-$N367</f>
        <v/>
      </c>
      <c r="P367" s="16">
        <f>insurance_rate*insured_value_uplift*$M367</f>
        <v/>
      </c>
      <c r="Q367" s="16">
        <f>$M367+$P367</f>
        <v/>
      </c>
      <c r="R367" s="18">
        <f>$Q367*Parity!$J$144</f>
        <v/>
      </c>
      <c r="S367" s="18">
        <f>$Q367*Parity!$I$144</f>
        <v/>
      </c>
      <c r="T367" s="18">
        <f>$R367*$K367</f>
        <v/>
      </c>
      <c r="U367" s="18">
        <f>$T367*sws_rate_on_bcd</f>
        <v/>
      </c>
      <c r="V367" s="18">
        <f>($R367+$T367+$U367)*igst_rate_hs7602</f>
        <v/>
      </c>
      <c r="W367" s="18">
        <f>Parity!$X$144*Parity!$AG$144+IF(Parity!$Y$144,psic_cost_usd_per_box*Parity!$H$144/Parity!$W$144,0)</f>
        <v/>
      </c>
      <c r="X367" s="18">
        <f>($S367+$T367+$U367)*Parity!$Z$144/day_count_inr*Parity!$O$144</f>
        <v/>
      </c>
      <c r="Y367" s="18">
        <f>$V367*igst_credit_lag_days/day_count_inr*Parity!$O$144</f>
        <v/>
      </c>
      <c r="Z367" s="18">
        <f>$S367+$T367+$U367+$W367+$X367+$Y367+IF(igst_itc_available,0,$V367)</f>
        <v/>
      </c>
      <c r="AA367" s="18">
        <f>Parity!$N$144*kg_per_mt+domestic_anchor_premium_inr_t</f>
        <v/>
      </c>
      <c r="AB367" s="18">
        <f>(1-Parity!$AA$144)*Parity!$AD$144*heavies_net_value_frac_of_lme_al*Parity!$F$144*Parity!$H$144</f>
        <v/>
      </c>
      <c r="AC367" s="18">
        <f>$AA367*Parity!$AU$144+$AB367-$Z367-Parity!$AX$144</f>
        <v/>
      </c>
      <c r="AD367" s="8">
        <f>$AC367&gt;margin_threshold_inr_t</f>
        <v/>
      </c>
      <c r="AE367" s="18">
        <f>($AC367-$L367)*grid_tonnes_mt</f>
        <v/>
      </c>
    </row>
    <row r="368">
      <c r="A368" s="7" t="inlineStr">
        <is>
          <t>june_trough</t>
        </is>
      </c>
      <c r="B368" s="11" t="n">
        <v>44729</v>
      </c>
      <c r="C368" s="7" t="inlineStr">
        <is>
          <t>zorba</t>
        </is>
      </c>
      <c r="D368" s="7" t="inlineStr">
        <is>
          <t>JEA_NSA</t>
        </is>
      </c>
      <c r="E368" s="7" t="inlineStr">
        <is>
          <t>FOB_desk_books_freight</t>
        </is>
      </c>
      <c r="F368" s="20" t="n">
        <v>40</v>
      </c>
      <c r="G368" s="20" t="n">
        <v>7.5</v>
      </c>
      <c r="H368" s="16">
        <f>Parity!$L$144*(1+$F368/100)</f>
        <v/>
      </c>
      <c r="I368" s="16">
        <f>Parity!$L$144*Parity!$AG$144*$F368/100</f>
        <v/>
      </c>
      <c r="J368" s="8">
        <f>IF($E368="FOB_desk_books_freight",Parity!$P$144+$I368/Parity!$F$144,Parity!$P$144)</f>
        <v/>
      </c>
      <c r="K368" s="8">
        <f>$G368/100</f>
        <v/>
      </c>
      <c r="L368" s="18">
        <f>Parity!$AY$144</f>
        <v/>
      </c>
      <c r="M368" s="16">
        <f>Parity!$F$144*$J368</f>
        <v/>
      </c>
      <c r="N368" s="16">
        <f>$H368*Parity!$AG$144</f>
        <v/>
      </c>
      <c r="O368" s="16">
        <f>$M368-$N368</f>
        <v/>
      </c>
      <c r="P368" s="16">
        <f>insurance_rate*insured_value_uplift*$M368</f>
        <v/>
      </c>
      <c r="Q368" s="16">
        <f>$M368+$P368</f>
        <v/>
      </c>
      <c r="R368" s="18">
        <f>$Q368*Parity!$J$144</f>
        <v/>
      </c>
      <c r="S368" s="18">
        <f>$Q368*Parity!$I$144</f>
        <v/>
      </c>
      <c r="T368" s="18">
        <f>$R368*$K368</f>
        <v/>
      </c>
      <c r="U368" s="18">
        <f>$T368*sws_rate_on_bcd</f>
        <v/>
      </c>
      <c r="V368" s="18">
        <f>($R368+$T368+$U368)*igst_rate_hs7602</f>
        <v/>
      </c>
      <c r="W368" s="18">
        <f>Parity!$X$144*Parity!$AG$144+IF(Parity!$Y$144,psic_cost_usd_per_box*Parity!$H$144/Parity!$W$144,0)</f>
        <v/>
      </c>
      <c r="X368" s="18">
        <f>($S368+$T368+$U368)*Parity!$Z$144/day_count_inr*Parity!$O$144</f>
        <v/>
      </c>
      <c r="Y368" s="18">
        <f>$V368*igst_credit_lag_days/day_count_inr*Parity!$O$144</f>
        <v/>
      </c>
      <c r="Z368" s="18">
        <f>$S368+$T368+$U368+$W368+$X368+$Y368+IF(igst_itc_available,0,$V368)</f>
        <v/>
      </c>
      <c r="AA368" s="18">
        <f>Parity!$N$144*kg_per_mt+domestic_anchor_premium_inr_t</f>
        <v/>
      </c>
      <c r="AB368" s="18">
        <f>(1-Parity!$AA$144)*Parity!$AD$144*heavies_net_value_frac_of_lme_al*Parity!$F$144*Parity!$H$144</f>
        <v/>
      </c>
      <c r="AC368" s="18">
        <f>$AA368*Parity!$AU$144+$AB368-$Z368-Parity!$AX$144</f>
        <v/>
      </c>
      <c r="AD368" s="8">
        <f>$AC368&gt;margin_threshold_inr_t</f>
        <v/>
      </c>
      <c r="AE368" s="18">
        <f>($AC368-$L368)*grid_tonnes_mt</f>
        <v/>
      </c>
    </row>
    <row r="369">
      <c r="A369" s="7" t="inlineStr">
        <is>
          <t>june_trough</t>
        </is>
      </c>
      <c r="B369" s="11" t="n">
        <v>44729</v>
      </c>
      <c r="C369" s="7" t="inlineStr">
        <is>
          <t>zorba</t>
        </is>
      </c>
      <c r="D369" s="7" t="inlineStr">
        <is>
          <t>JEA_NSA</t>
        </is>
      </c>
      <c r="E369" s="7" t="inlineStr">
        <is>
          <t>FOB_desk_books_freight</t>
        </is>
      </c>
      <c r="F369" s="20" t="n">
        <v>40</v>
      </c>
      <c r="G369" s="20" t="n">
        <v>10</v>
      </c>
      <c r="H369" s="16">
        <f>Parity!$L$144*(1+$F369/100)</f>
        <v/>
      </c>
      <c r="I369" s="16">
        <f>Parity!$L$144*Parity!$AG$144*$F369/100</f>
        <v/>
      </c>
      <c r="J369" s="8">
        <f>IF($E369="FOB_desk_books_freight",Parity!$P$144+$I369/Parity!$F$144,Parity!$P$144)</f>
        <v/>
      </c>
      <c r="K369" s="8">
        <f>$G369/100</f>
        <v/>
      </c>
      <c r="L369" s="18">
        <f>Parity!$AY$144</f>
        <v/>
      </c>
      <c r="M369" s="16">
        <f>Parity!$F$144*$J369</f>
        <v/>
      </c>
      <c r="N369" s="16">
        <f>$H369*Parity!$AG$144</f>
        <v/>
      </c>
      <c r="O369" s="16">
        <f>$M369-$N369</f>
        <v/>
      </c>
      <c r="P369" s="16">
        <f>insurance_rate*insured_value_uplift*$M369</f>
        <v/>
      </c>
      <c r="Q369" s="16">
        <f>$M369+$P369</f>
        <v/>
      </c>
      <c r="R369" s="18">
        <f>$Q369*Parity!$J$144</f>
        <v/>
      </c>
      <c r="S369" s="18">
        <f>$Q369*Parity!$I$144</f>
        <v/>
      </c>
      <c r="T369" s="18">
        <f>$R369*$K369</f>
        <v/>
      </c>
      <c r="U369" s="18">
        <f>$T369*sws_rate_on_bcd</f>
        <v/>
      </c>
      <c r="V369" s="18">
        <f>($R369+$T369+$U369)*igst_rate_hs7602</f>
        <v/>
      </c>
      <c r="W369" s="18">
        <f>Parity!$X$144*Parity!$AG$144+IF(Parity!$Y$144,psic_cost_usd_per_box*Parity!$H$144/Parity!$W$144,0)</f>
        <v/>
      </c>
      <c r="X369" s="18">
        <f>($S369+$T369+$U369)*Parity!$Z$144/day_count_inr*Parity!$O$144</f>
        <v/>
      </c>
      <c r="Y369" s="18">
        <f>$V369*igst_credit_lag_days/day_count_inr*Parity!$O$144</f>
        <v/>
      </c>
      <c r="Z369" s="18">
        <f>$S369+$T369+$U369+$W369+$X369+$Y369+IF(igst_itc_available,0,$V369)</f>
        <v/>
      </c>
      <c r="AA369" s="18">
        <f>Parity!$N$144*kg_per_mt+domestic_anchor_premium_inr_t</f>
        <v/>
      </c>
      <c r="AB369" s="18">
        <f>(1-Parity!$AA$144)*Parity!$AD$144*heavies_net_value_frac_of_lme_al*Parity!$F$144*Parity!$H$144</f>
        <v/>
      </c>
      <c r="AC369" s="18">
        <f>$AA369*Parity!$AU$144+$AB369-$Z369-Parity!$AX$144</f>
        <v/>
      </c>
      <c r="AD369" s="8">
        <f>$AC369&gt;margin_threshold_inr_t</f>
        <v/>
      </c>
      <c r="AE369" s="18">
        <f>($AC369-$L369)*grid_tonnes_mt</f>
        <v/>
      </c>
    </row>
    <row r="370">
      <c r="A370" s="7" t="inlineStr">
        <is>
          <t>june_trough</t>
        </is>
      </c>
      <c r="B370" s="11" t="n">
        <v>44729</v>
      </c>
      <c r="C370" s="7" t="inlineStr">
        <is>
          <t>zorba</t>
        </is>
      </c>
      <c r="D370" s="7" t="inlineStr">
        <is>
          <t>JEA_NSA</t>
        </is>
      </c>
      <c r="E370" s="7" t="inlineStr">
        <is>
          <t>FOB_desk_books_freight</t>
        </is>
      </c>
      <c r="F370" s="20" t="n">
        <v>60</v>
      </c>
      <c r="G370" s="20" t="n">
        <v>0</v>
      </c>
      <c r="H370" s="16">
        <f>Parity!$L$144*(1+$F370/100)</f>
        <v/>
      </c>
      <c r="I370" s="16">
        <f>Parity!$L$144*Parity!$AG$144*$F370/100</f>
        <v/>
      </c>
      <c r="J370" s="8">
        <f>IF($E370="FOB_desk_books_freight",Parity!$P$144+$I370/Parity!$F$144,Parity!$P$144)</f>
        <v/>
      </c>
      <c r="K370" s="8">
        <f>$G370/100</f>
        <v/>
      </c>
      <c r="L370" s="18">
        <f>Parity!$AY$144</f>
        <v/>
      </c>
      <c r="M370" s="16">
        <f>Parity!$F$144*$J370</f>
        <v/>
      </c>
      <c r="N370" s="16">
        <f>$H370*Parity!$AG$144</f>
        <v/>
      </c>
      <c r="O370" s="16">
        <f>$M370-$N370</f>
        <v/>
      </c>
      <c r="P370" s="16">
        <f>insurance_rate*insured_value_uplift*$M370</f>
        <v/>
      </c>
      <c r="Q370" s="16">
        <f>$M370+$P370</f>
        <v/>
      </c>
      <c r="R370" s="18">
        <f>$Q370*Parity!$J$144</f>
        <v/>
      </c>
      <c r="S370" s="18">
        <f>$Q370*Parity!$I$144</f>
        <v/>
      </c>
      <c r="T370" s="18">
        <f>$R370*$K370</f>
        <v/>
      </c>
      <c r="U370" s="18">
        <f>$T370*sws_rate_on_bcd</f>
        <v/>
      </c>
      <c r="V370" s="18">
        <f>($R370+$T370+$U370)*igst_rate_hs7602</f>
        <v/>
      </c>
      <c r="W370" s="18">
        <f>Parity!$X$144*Parity!$AG$144+IF(Parity!$Y$144,psic_cost_usd_per_box*Parity!$H$144/Parity!$W$144,0)</f>
        <v/>
      </c>
      <c r="X370" s="18">
        <f>($S370+$T370+$U370)*Parity!$Z$144/day_count_inr*Parity!$O$144</f>
        <v/>
      </c>
      <c r="Y370" s="18">
        <f>$V370*igst_credit_lag_days/day_count_inr*Parity!$O$144</f>
        <v/>
      </c>
      <c r="Z370" s="18">
        <f>$S370+$T370+$U370+$W370+$X370+$Y370+IF(igst_itc_available,0,$V370)</f>
        <v/>
      </c>
      <c r="AA370" s="18">
        <f>Parity!$N$144*kg_per_mt+domestic_anchor_premium_inr_t</f>
        <v/>
      </c>
      <c r="AB370" s="18">
        <f>(1-Parity!$AA$144)*Parity!$AD$144*heavies_net_value_frac_of_lme_al*Parity!$F$144*Parity!$H$144</f>
        <v/>
      </c>
      <c r="AC370" s="18">
        <f>$AA370*Parity!$AU$144+$AB370-$Z370-Parity!$AX$144</f>
        <v/>
      </c>
      <c r="AD370" s="8">
        <f>$AC370&gt;margin_threshold_inr_t</f>
        <v/>
      </c>
      <c r="AE370" s="18">
        <f>($AC370-$L370)*grid_tonnes_mt</f>
        <v/>
      </c>
    </row>
    <row r="371">
      <c r="A371" s="7" t="inlineStr">
        <is>
          <t>june_trough</t>
        </is>
      </c>
      <c r="B371" s="11" t="n">
        <v>44729</v>
      </c>
      <c r="C371" s="7" t="inlineStr">
        <is>
          <t>zorba</t>
        </is>
      </c>
      <c r="D371" s="7" t="inlineStr">
        <is>
          <t>JEA_NSA</t>
        </is>
      </c>
      <c r="E371" s="7" t="inlineStr">
        <is>
          <t>FOB_desk_books_freight</t>
        </is>
      </c>
      <c r="F371" s="20" t="n">
        <v>60</v>
      </c>
      <c r="G371" s="20" t="n">
        <v>2.5</v>
      </c>
      <c r="H371" s="16">
        <f>Parity!$L$144*(1+$F371/100)</f>
        <v/>
      </c>
      <c r="I371" s="16">
        <f>Parity!$L$144*Parity!$AG$144*$F371/100</f>
        <v/>
      </c>
      <c r="J371" s="8">
        <f>IF($E371="FOB_desk_books_freight",Parity!$P$144+$I371/Parity!$F$144,Parity!$P$144)</f>
        <v/>
      </c>
      <c r="K371" s="8">
        <f>$G371/100</f>
        <v/>
      </c>
      <c r="L371" s="18">
        <f>Parity!$AY$144</f>
        <v/>
      </c>
      <c r="M371" s="16">
        <f>Parity!$F$144*$J371</f>
        <v/>
      </c>
      <c r="N371" s="16">
        <f>$H371*Parity!$AG$144</f>
        <v/>
      </c>
      <c r="O371" s="16">
        <f>$M371-$N371</f>
        <v/>
      </c>
      <c r="P371" s="16">
        <f>insurance_rate*insured_value_uplift*$M371</f>
        <v/>
      </c>
      <c r="Q371" s="16">
        <f>$M371+$P371</f>
        <v/>
      </c>
      <c r="R371" s="18">
        <f>$Q371*Parity!$J$144</f>
        <v/>
      </c>
      <c r="S371" s="18">
        <f>$Q371*Parity!$I$144</f>
        <v/>
      </c>
      <c r="T371" s="18">
        <f>$R371*$K371</f>
        <v/>
      </c>
      <c r="U371" s="18">
        <f>$T371*sws_rate_on_bcd</f>
        <v/>
      </c>
      <c r="V371" s="18">
        <f>($R371+$T371+$U371)*igst_rate_hs7602</f>
        <v/>
      </c>
      <c r="W371" s="18">
        <f>Parity!$X$144*Parity!$AG$144+IF(Parity!$Y$144,psic_cost_usd_per_box*Parity!$H$144/Parity!$W$144,0)</f>
        <v/>
      </c>
      <c r="X371" s="18">
        <f>($S371+$T371+$U371)*Parity!$Z$144/day_count_inr*Parity!$O$144</f>
        <v/>
      </c>
      <c r="Y371" s="18">
        <f>$V371*igst_credit_lag_days/day_count_inr*Parity!$O$144</f>
        <v/>
      </c>
      <c r="Z371" s="18">
        <f>$S371+$T371+$U371+$W371+$X371+$Y371+IF(igst_itc_available,0,$V371)</f>
        <v/>
      </c>
      <c r="AA371" s="18">
        <f>Parity!$N$144*kg_per_mt+domestic_anchor_premium_inr_t</f>
        <v/>
      </c>
      <c r="AB371" s="18">
        <f>(1-Parity!$AA$144)*Parity!$AD$144*heavies_net_value_frac_of_lme_al*Parity!$F$144*Parity!$H$144</f>
        <v/>
      </c>
      <c r="AC371" s="18">
        <f>$AA371*Parity!$AU$144+$AB371-$Z371-Parity!$AX$144</f>
        <v/>
      </c>
      <c r="AD371" s="8">
        <f>$AC371&gt;margin_threshold_inr_t</f>
        <v/>
      </c>
      <c r="AE371" s="18">
        <f>($AC371-$L371)*grid_tonnes_mt</f>
        <v/>
      </c>
    </row>
    <row r="372">
      <c r="A372" s="7" t="inlineStr">
        <is>
          <t>june_trough</t>
        </is>
      </c>
      <c r="B372" s="11" t="n">
        <v>44729</v>
      </c>
      <c r="C372" s="7" t="inlineStr">
        <is>
          <t>zorba</t>
        </is>
      </c>
      <c r="D372" s="7" t="inlineStr">
        <is>
          <t>JEA_NSA</t>
        </is>
      </c>
      <c r="E372" s="7" t="inlineStr">
        <is>
          <t>FOB_desk_books_freight</t>
        </is>
      </c>
      <c r="F372" s="20" t="n">
        <v>60</v>
      </c>
      <c r="G372" s="20" t="n">
        <v>5</v>
      </c>
      <c r="H372" s="16">
        <f>Parity!$L$144*(1+$F372/100)</f>
        <v/>
      </c>
      <c r="I372" s="16">
        <f>Parity!$L$144*Parity!$AG$144*$F372/100</f>
        <v/>
      </c>
      <c r="J372" s="8">
        <f>IF($E372="FOB_desk_books_freight",Parity!$P$144+$I372/Parity!$F$144,Parity!$P$144)</f>
        <v/>
      </c>
      <c r="K372" s="8">
        <f>$G372/100</f>
        <v/>
      </c>
      <c r="L372" s="18">
        <f>Parity!$AY$144</f>
        <v/>
      </c>
      <c r="M372" s="16">
        <f>Parity!$F$144*$J372</f>
        <v/>
      </c>
      <c r="N372" s="16">
        <f>$H372*Parity!$AG$144</f>
        <v/>
      </c>
      <c r="O372" s="16">
        <f>$M372-$N372</f>
        <v/>
      </c>
      <c r="P372" s="16">
        <f>insurance_rate*insured_value_uplift*$M372</f>
        <v/>
      </c>
      <c r="Q372" s="16">
        <f>$M372+$P372</f>
        <v/>
      </c>
      <c r="R372" s="18">
        <f>$Q372*Parity!$J$144</f>
        <v/>
      </c>
      <c r="S372" s="18">
        <f>$Q372*Parity!$I$144</f>
        <v/>
      </c>
      <c r="T372" s="18">
        <f>$R372*$K372</f>
        <v/>
      </c>
      <c r="U372" s="18">
        <f>$T372*sws_rate_on_bcd</f>
        <v/>
      </c>
      <c r="V372" s="18">
        <f>($R372+$T372+$U372)*igst_rate_hs7602</f>
        <v/>
      </c>
      <c r="W372" s="18">
        <f>Parity!$X$144*Parity!$AG$144+IF(Parity!$Y$144,psic_cost_usd_per_box*Parity!$H$144/Parity!$W$144,0)</f>
        <v/>
      </c>
      <c r="X372" s="18">
        <f>($S372+$T372+$U372)*Parity!$Z$144/day_count_inr*Parity!$O$144</f>
        <v/>
      </c>
      <c r="Y372" s="18">
        <f>$V372*igst_credit_lag_days/day_count_inr*Parity!$O$144</f>
        <v/>
      </c>
      <c r="Z372" s="18">
        <f>$S372+$T372+$U372+$W372+$X372+$Y372+IF(igst_itc_available,0,$V372)</f>
        <v/>
      </c>
      <c r="AA372" s="18">
        <f>Parity!$N$144*kg_per_mt+domestic_anchor_premium_inr_t</f>
        <v/>
      </c>
      <c r="AB372" s="18">
        <f>(1-Parity!$AA$144)*Parity!$AD$144*heavies_net_value_frac_of_lme_al*Parity!$F$144*Parity!$H$144</f>
        <v/>
      </c>
      <c r="AC372" s="18">
        <f>$AA372*Parity!$AU$144+$AB372-$Z372-Parity!$AX$144</f>
        <v/>
      </c>
      <c r="AD372" s="8">
        <f>$AC372&gt;margin_threshold_inr_t</f>
        <v/>
      </c>
      <c r="AE372" s="18">
        <f>($AC372-$L372)*grid_tonnes_mt</f>
        <v/>
      </c>
    </row>
    <row r="373">
      <c r="A373" s="7" t="inlineStr">
        <is>
          <t>june_trough</t>
        </is>
      </c>
      <c r="B373" s="11" t="n">
        <v>44729</v>
      </c>
      <c r="C373" s="7" t="inlineStr">
        <is>
          <t>zorba</t>
        </is>
      </c>
      <c r="D373" s="7" t="inlineStr">
        <is>
          <t>JEA_NSA</t>
        </is>
      </c>
      <c r="E373" s="7" t="inlineStr">
        <is>
          <t>FOB_desk_books_freight</t>
        </is>
      </c>
      <c r="F373" s="20" t="n">
        <v>60</v>
      </c>
      <c r="G373" s="20" t="n">
        <v>7.5</v>
      </c>
      <c r="H373" s="16">
        <f>Parity!$L$144*(1+$F373/100)</f>
        <v/>
      </c>
      <c r="I373" s="16">
        <f>Parity!$L$144*Parity!$AG$144*$F373/100</f>
        <v/>
      </c>
      <c r="J373" s="8">
        <f>IF($E373="FOB_desk_books_freight",Parity!$P$144+$I373/Parity!$F$144,Parity!$P$144)</f>
        <v/>
      </c>
      <c r="K373" s="8">
        <f>$G373/100</f>
        <v/>
      </c>
      <c r="L373" s="18">
        <f>Parity!$AY$144</f>
        <v/>
      </c>
      <c r="M373" s="16">
        <f>Parity!$F$144*$J373</f>
        <v/>
      </c>
      <c r="N373" s="16">
        <f>$H373*Parity!$AG$144</f>
        <v/>
      </c>
      <c r="O373" s="16">
        <f>$M373-$N373</f>
        <v/>
      </c>
      <c r="P373" s="16">
        <f>insurance_rate*insured_value_uplift*$M373</f>
        <v/>
      </c>
      <c r="Q373" s="16">
        <f>$M373+$P373</f>
        <v/>
      </c>
      <c r="R373" s="18">
        <f>$Q373*Parity!$J$144</f>
        <v/>
      </c>
      <c r="S373" s="18">
        <f>$Q373*Parity!$I$144</f>
        <v/>
      </c>
      <c r="T373" s="18">
        <f>$R373*$K373</f>
        <v/>
      </c>
      <c r="U373" s="18">
        <f>$T373*sws_rate_on_bcd</f>
        <v/>
      </c>
      <c r="V373" s="18">
        <f>($R373+$T373+$U373)*igst_rate_hs7602</f>
        <v/>
      </c>
      <c r="W373" s="18">
        <f>Parity!$X$144*Parity!$AG$144+IF(Parity!$Y$144,psic_cost_usd_per_box*Parity!$H$144/Parity!$W$144,0)</f>
        <v/>
      </c>
      <c r="X373" s="18">
        <f>($S373+$T373+$U373)*Parity!$Z$144/day_count_inr*Parity!$O$144</f>
        <v/>
      </c>
      <c r="Y373" s="18">
        <f>$V373*igst_credit_lag_days/day_count_inr*Parity!$O$144</f>
        <v/>
      </c>
      <c r="Z373" s="18">
        <f>$S373+$T373+$U373+$W373+$X373+$Y373+IF(igst_itc_available,0,$V373)</f>
        <v/>
      </c>
      <c r="AA373" s="18">
        <f>Parity!$N$144*kg_per_mt+domestic_anchor_premium_inr_t</f>
        <v/>
      </c>
      <c r="AB373" s="18">
        <f>(1-Parity!$AA$144)*Parity!$AD$144*heavies_net_value_frac_of_lme_al*Parity!$F$144*Parity!$H$144</f>
        <v/>
      </c>
      <c r="AC373" s="18">
        <f>$AA373*Parity!$AU$144+$AB373-$Z373-Parity!$AX$144</f>
        <v/>
      </c>
      <c r="AD373" s="8">
        <f>$AC373&gt;margin_threshold_inr_t</f>
        <v/>
      </c>
      <c r="AE373" s="18">
        <f>($AC373-$L373)*grid_tonnes_mt</f>
        <v/>
      </c>
    </row>
    <row r="374">
      <c r="A374" s="7" t="inlineStr">
        <is>
          <t>june_trough</t>
        </is>
      </c>
      <c r="B374" s="11" t="n">
        <v>44729</v>
      </c>
      <c r="C374" s="7" t="inlineStr">
        <is>
          <t>zorba</t>
        </is>
      </c>
      <c r="D374" s="7" t="inlineStr">
        <is>
          <t>JEA_NSA</t>
        </is>
      </c>
      <c r="E374" s="7" t="inlineStr">
        <is>
          <t>FOB_desk_books_freight</t>
        </is>
      </c>
      <c r="F374" s="20" t="n">
        <v>60</v>
      </c>
      <c r="G374" s="20" t="n">
        <v>10</v>
      </c>
      <c r="H374" s="16">
        <f>Parity!$L$144*(1+$F374/100)</f>
        <v/>
      </c>
      <c r="I374" s="16">
        <f>Parity!$L$144*Parity!$AG$144*$F374/100</f>
        <v/>
      </c>
      <c r="J374" s="8">
        <f>IF($E374="FOB_desk_books_freight",Parity!$P$144+$I374/Parity!$F$144,Parity!$P$144)</f>
        <v/>
      </c>
      <c r="K374" s="8">
        <f>$G374/100</f>
        <v/>
      </c>
      <c r="L374" s="18">
        <f>Parity!$AY$144</f>
        <v/>
      </c>
      <c r="M374" s="16">
        <f>Parity!$F$144*$J374</f>
        <v/>
      </c>
      <c r="N374" s="16">
        <f>$H374*Parity!$AG$144</f>
        <v/>
      </c>
      <c r="O374" s="16">
        <f>$M374-$N374</f>
        <v/>
      </c>
      <c r="P374" s="16">
        <f>insurance_rate*insured_value_uplift*$M374</f>
        <v/>
      </c>
      <c r="Q374" s="16">
        <f>$M374+$P374</f>
        <v/>
      </c>
      <c r="R374" s="18">
        <f>$Q374*Parity!$J$144</f>
        <v/>
      </c>
      <c r="S374" s="18">
        <f>$Q374*Parity!$I$144</f>
        <v/>
      </c>
      <c r="T374" s="18">
        <f>$R374*$K374</f>
        <v/>
      </c>
      <c r="U374" s="18">
        <f>$T374*sws_rate_on_bcd</f>
        <v/>
      </c>
      <c r="V374" s="18">
        <f>($R374+$T374+$U374)*igst_rate_hs7602</f>
        <v/>
      </c>
      <c r="W374" s="18">
        <f>Parity!$X$144*Parity!$AG$144+IF(Parity!$Y$144,psic_cost_usd_per_box*Parity!$H$144/Parity!$W$144,0)</f>
        <v/>
      </c>
      <c r="X374" s="18">
        <f>($S374+$T374+$U374)*Parity!$Z$144/day_count_inr*Parity!$O$144</f>
        <v/>
      </c>
      <c r="Y374" s="18">
        <f>$V374*igst_credit_lag_days/day_count_inr*Parity!$O$144</f>
        <v/>
      </c>
      <c r="Z374" s="18">
        <f>$S374+$T374+$U374+$W374+$X374+$Y374+IF(igst_itc_available,0,$V374)</f>
        <v/>
      </c>
      <c r="AA374" s="18">
        <f>Parity!$N$144*kg_per_mt+domestic_anchor_premium_inr_t</f>
        <v/>
      </c>
      <c r="AB374" s="18">
        <f>(1-Parity!$AA$144)*Parity!$AD$144*heavies_net_value_frac_of_lme_al*Parity!$F$144*Parity!$H$144</f>
        <v/>
      </c>
      <c r="AC374" s="18">
        <f>$AA374*Parity!$AU$144+$AB374-$Z374-Parity!$AX$144</f>
        <v/>
      </c>
      <c r="AD374" s="8">
        <f>$AC374&gt;margin_threshold_inr_t</f>
        <v/>
      </c>
      <c r="AE374" s="18">
        <f>($AC374-$L374)*grid_tonnes_mt</f>
        <v/>
      </c>
    </row>
    <row r="375">
      <c r="A375" s="7" t="inlineStr">
        <is>
          <t>june_trough</t>
        </is>
      </c>
      <c r="B375" s="11" t="n">
        <v>44729</v>
      </c>
      <c r="C375" s="7" t="inlineStr">
        <is>
          <t>zorba</t>
        </is>
      </c>
      <c r="D375" s="7" t="inlineStr">
        <is>
          <t>JEA_NSA</t>
        </is>
      </c>
      <c r="E375" s="7" t="inlineStr">
        <is>
          <t>CFR_seller_books_freight</t>
        </is>
      </c>
      <c r="F375" s="20" t="n">
        <v>-40</v>
      </c>
      <c r="G375" s="20" t="n">
        <v>0</v>
      </c>
      <c r="H375" s="16">
        <f>Parity!$L$144*(1+$F375/100)</f>
        <v/>
      </c>
      <c r="I375" s="16">
        <f>Parity!$L$144*Parity!$AG$144*$F375/100</f>
        <v/>
      </c>
      <c r="J375" s="8">
        <f>IF($E375="FOB_desk_books_freight",Parity!$P$144+$I375/Parity!$F$144,Parity!$P$144)</f>
        <v/>
      </c>
      <c r="K375" s="8">
        <f>$G375/100</f>
        <v/>
      </c>
      <c r="L375" s="18">
        <f>Parity!$AY$144</f>
        <v/>
      </c>
      <c r="M375" s="16">
        <f>Parity!$F$144*$J375</f>
        <v/>
      </c>
      <c r="N375" s="16">
        <f>$H375*Parity!$AG$144</f>
        <v/>
      </c>
      <c r="O375" s="16">
        <f>$M375-$N375</f>
        <v/>
      </c>
      <c r="P375" s="16">
        <f>insurance_rate*insured_value_uplift*$M375</f>
        <v/>
      </c>
      <c r="Q375" s="16">
        <f>$M375+$P375</f>
        <v/>
      </c>
      <c r="R375" s="18">
        <f>$Q375*Parity!$J$144</f>
        <v/>
      </c>
      <c r="S375" s="18">
        <f>$Q375*Parity!$I$144</f>
        <v/>
      </c>
      <c r="T375" s="18">
        <f>$R375*$K375</f>
        <v/>
      </c>
      <c r="U375" s="18">
        <f>$T375*sws_rate_on_bcd</f>
        <v/>
      </c>
      <c r="V375" s="18">
        <f>($R375+$T375+$U375)*igst_rate_hs7602</f>
        <v/>
      </c>
      <c r="W375" s="18">
        <f>Parity!$X$144*Parity!$AG$144+IF(Parity!$Y$144,psic_cost_usd_per_box*Parity!$H$144/Parity!$W$144,0)</f>
        <v/>
      </c>
      <c r="X375" s="18">
        <f>($S375+$T375+$U375)*Parity!$Z$144/day_count_inr*Parity!$O$144</f>
        <v/>
      </c>
      <c r="Y375" s="18">
        <f>$V375*igst_credit_lag_days/day_count_inr*Parity!$O$144</f>
        <v/>
      </c>
      <c r="Z375" s="18">
        <f>$S375+$T375+$U375+$W375+$X375+$Y375+IF(igst_itc_available,0,$V375)</f>
        <v/>
      </c>
      <c r="AA375" s="18">
        <f>Parity!$N$144*kg_per_mt+domestic_anchor_premium_inr_t</f>
        <v/>
      </c>
      <c r="AB375" s="18">
        <f>(1-Parity!$AA$144)*Parity!$AD$144*heavies_net_value_frac_of_lme_al*Parity!$F$144*Parity!$H$144</f>
        <v/>
      </c>
      <c r="AC375" s="18">
        <f>$AA375*Parity!$AU$144+$AB375-$Z375-Parity!$AX$144</f>
        <v/>
      </c>
      <c r="AD375" s="8">
        <f>$AC375&gt;margin_threshold_inr_t</f>
        <v/>
      </c>
      <c r="AE375" s="18">
        <f>($AC375-$L375)*grid_tonnes_mt</f>
        <v/>
      </c>
    </row>
    <row r="376">
      <c r="A376" s="7" t="inlineStr">
        <is>
          <t>june_trough</t>
        </is>
      </c>
      <c r="B376" s="11" t="n">
        <v>44729</v>
      </c>
      <c r="C376" s="7" t="inlineStr">
        <is>
          <t>zorba</t>
        </is>
      </c>
      <c r="D376" s="7" t="inlineStr">
        <is>
          <t>JEA_NSA</t>
        </is>
      </c>
      <c r="E376" s="7" t="inlineStr">
        <is>
          <t>CFR_seller_books_freight</t>
        </is>
      </c>
      <c r="F376" s="20" t="n">
        <v>-40</v>
      </c>
      <c r="G376" s="20" t="n">
        <v>2.5</v>
      </c>
      <c r="H376" s="16">
        <f>Parity!$L$144*(1+$F376/100)</f>
        <v/>
      </c>
      <c r="I376" s="16">
        <f>Parity!$L$144*Parity!$AG$144*$F376/100</f>
        <v/>
      </c>
      <c r="J376" s="8">
        <f>IF($E376="FOB_desk_books_freight",Parity!$P$144+$I376/Parity!$F$144,Parity!$P$144)</f>
        <v/>
      </c>
      <c r="K376" s="8">
        <f>$G376/100</f>
        <v/>
      </c>
      <c r="L376" s="18">
        <f>Parity!$AY$144</f>
        <v/>
      </c>
      <c r="M376" s="16">
        <f>Parity!$F$144*$J376</f>
        <v/>
      </c>
      <c r="N376" s="16">
        <f>$H376*Parity!$AG$144</f>
        <v/>
      </c>
      <c r="O376" s="16">
        <f>$M376-$N376</f>
        <v/>
      </c>
      <c r="P376" s="16">
        <f>insurance_rate*insured_value_uplift*$M376</f>
        <v/>
      </c>
      <c r="Q376" s="16">
        <f>$M376+$P376</f>
        <v/>
      </c>
      <c r="R376" s="18">
        <f>$Q376*Parity!$J$144</f>
        <v/>
      </c>
      <c r="S376" s="18">
        <f>$Q376*Parity!$I$144</f>
        <v/>
      </c>
      <c r="T376" s="18">
        <f>$R376*$K376</f>
        <v/>
      </c>
      <c r="U376" s="18">
        <f>$T376*sws_rate_on_bcd</f>
        <v/>
      </c>
      <c r="V376" s="18">
        <f>($R376+$T376+$U376)*igst_rate_hs7602</f>
        <v/>
      </c>
      <c r="W376" s="18">
        <f>Parity!$X$144*Parity!$AG$144+IF(Parity!$Y$144,psic_cost_usd_per_box*Parity!$H$144/Parity!$W$144,0)</f>
        <v/>
      </c>
      <c r="X376" s="18">
        <f>($S376+$T376+$U376)*Parity!$Z$144/day_count_inr*Parity!$O$144</f>
        <v/>
      </c>
      <c r="Y376" s="18">
        <f>$V376*igst_credit_lag_days/day_count_inr*Parity!$O$144</f>
        <v/>
      </c>
      <c r="Z376" s="18">
        <f>$S376+$T376+$U376+$W376+$X376+$Y376+IF(igst_itc_available,0,$V376)</f>
        <v/>
      </c>
      <c r="AA376" s="18">
        <f>Parity!$N$144*kg_per_mt+domestic_anchor_premium_inr_t</f>
        <v/>
      </c>
      <c r="AB376" s="18">
        <f>(1-Parity!$AA$144)*Parity!$AD$144*heavies_net_value_frac_of_lme_al*Parity!$F$144*Parity!$H$144</f>
        <v/>
      </c>
      <c r="AC376" s="18">
        <f>$AA376*Parity!$AU$144+$AB376-$Z376-Parity!$AX$144</f>
        <v/>
      </c>
      <c r="AD376" s="8">
        <f>$AC376&gt;margin_threshold_inr_t</f>
        <v/>
      </c>
      <c r="AE376" s="18">
        <f>($AC376-$L376)*grid_tonnes_mt</f>
        <v/>
      </c>
    </row>
    <row r="377">
      <c r="A377" s="7" t="inlineStr">
        <is>
          <t>june_trough</t>
        </is>
      </c>
      <c r="B377" s="11" t="n">
        <v>44729</v>
      </c>
      <c r="C377" s="7" t="inlineStr">
        <is>
          <t>zorba</t>
        </is>
      </c>
      <c r="D377" s="7" t="inlineStr">
        <is>
          <t>JEA_NSA</t>
        </is>
      </c>
      <c r="E377" s="7" t="inlineStr">
        <is>
          <t>CFR_seller_books_freight</t>
        </is>
      </c>
      <c r="F377" s="20" t="n">
        <v>-40</v>
      </c>
      <c r="G377" s="20" t="n">
        <v>5</v>
      </c>
      <c r="H377" s="16">
        <f>Parity!$L$144*(1+$F377/100)</f>
        <v/>
      </c>
      <c r="I377" s="16">
        <f>Parity!$L$144*Parity!$AG$144*$F377/100</f>
        <v/>
      </c>
      <c r="J377" s="8">
        <f>IF($E377="FOB_desk_books_freight",Parity!$P$144+$I377/Parity!$F$144,Parity!$P$144)</f>
        <v/>
      </c>
      <c r="K377" s="8">
        <f>$G377/100</f>
        <v/>
      </c>
      <c r="L377" s="18">
        <f>Parity!$AY$144</f>
        <v/>
      </c>
      <c r="M377" s="16">
        <f>Parity!$F$144*$J377</f>
        <v/>
      </c>
      <c r="N377" s="16">
        <f>$H377*Parity!$AG$144</f>
        <v/>
      </c>
      <c r="O377" s="16">
        <f>$M377-$N377</f>
        <v/>
      </c>
      <c r="P377" s="16">
        <f>insurance_rate*insured_value_uplift*$M377</f>
        <v/>
      </c>
      <c r="Q377" s="16">
        <f>$M377+$P377</f>
        <v/>
      </c>
      <c r="R377" s="18">
        <f>$Q377*Parity!$J$144</f>
        <v/>
      </c>
      <c r="S377" s="18">
        <f>$Q377*Parity!$I$144</f>
        <v/>
      </c>
      <c r="T377" s="18">
        <f>$R377*$K377</f>
        <v/>
      </c>
      <c r="U377" s="18">
        <f>$T377*sws_rate_on_bcd</f>
        <v/>
      </c>
      <c r="V377" s="18">
        <f>($R377+$T377+$U377)*igst_rate_hs7602</f>
        <v/>
      </c>
      <c r="W377" s="18">
        <f>Parity!$X$144*Parity!$AG$144+IF(Parity!$Y$144,psic_cost_usd_per_box*Parity!$H$144/Parity!$W$144,0)</f>
        <v/>
      </c>
      <c r="X377" s="18">
        <f>($S377+$T377+$U377)*Parity!$Z$144/day_count_inr*Parity!$O$144</f>
        <v/>
      </c>
      <c r="Y377" s="18">
        <f>$V377*igst_credit_lag_days/day_count_inr*Parity!$O$144</f>
        <v/>
      </c>
      <c r="Z377" s="18">
        <f>$S377+$T377+$U377+$W377+$X377+$Y377+IF(igst_itc_available,0,$V377)</f>
        <v/>
      </c>
      <c r="AA377" s="18">
        <f>Parity!$N$144*kg_per_mt+domestic_anchor_premium_inr_t</f>
        <v/>
      </c>
      <c r="AB377" s="18">
        <f>(1-Parity!$AA$144)*Parity!$AD$144*heavies_net_value_frac_of_lme_al*Parity!$F$144*Parity!$H$144</f>
        <v/>
      </c>
      <c r="AC377" s="18">
        <f>$AA377*Parity!$AU$144+$AB377-$Z377-Parity!$AX$144</f>
        <v/>
      </c>
      <c r="AD377" s="8">
        <f>$AC377&gt;margin_threshold_inr_t</f>
        <v/>
      </c>
      <c r="AE377" s="18">
        <f>($AC377-$L377)*grid_tonnes_mt</f>
        <v/>
      </c>
    </row>
    <row r="378">
      <c r="A378" s="7" t="inlineStr">
        <is>
          <t>june_trough</t>
        </is>
      </c>
      <c r="B378" s="11" t="n">
        <v>44729</v>
      </c>
      <c r="C378" s="7" t="inlineStr">
        <is>
          <t>zorba</t>
        </is>
      </c>
      <c r="D378" s="7" t="inlineStr">
        <is>
          <t>JEA_NSA</t>
        </is>
      </c>
      <c r="E378" s="7" t="inlineStr">
        <is>
          <t>CFR_seller_books_freight</t>
        </is>
      </c>
      <c r="F378" s="20" t="n">
        <v>-40</v>
      </c>
      <c r="G378" s="20" t="n">
        <v>7.5</v>
      </c>
      <c r="H378" s="16">
        <f>Parity!$L$144*(1+$F378/100)</f>
        <v/>
      </c>
      <c r="I378" s="16">
        <f>Parity!$L$144*Parity!$AG$144*$F378/100</f>
        <v/>
      </c>
      <c r="J378" s="8">
        <f>IF($E378="FOB_desk_books_freight",Parity!$P$144+$I378/Parity!$F$144,Parity!$P$144)</f>
        <v/>
      </c>
      <c r="K378" s="8">
        <f>$G378/100</f>
        <v/>
      </c>
      <c r="L378" s="18">
        <f>Parity!$AY$144</f>
        <v/>
      </c>
      <c r="M378" s="16">
        <f>Parity!$F$144*$J378</f>
        <v/>
      </c>
      <c r="N378" s="16">
        <f>$H378*Parity!$AG$144</f>
        <v/>
      </c>
      <c r="O378" s="16">
        <f>$M378-$N378</f>
        <v/>
      </c>
      <c r="P378" s="16">
        <f>insurance_rate*insured_value_uplift*$M378</f>
        <v/>
      </c>
      <c r="Q378" s="16">
        <f>$M378+$P378</f>
        <v/>
      </c>
      <c r="R378" s="18">
        <f>$Q378*Parity!$J$144</f>
        <v/>
      </c>
      <c r="S378" s="18">
        <f>$Q378*Parity!$I$144</f>
        <v/>
      </c>
      <c r="T378" s="18">
        <f>$R378*$K378</f>
        <v/>
      </c>
      <c r="U378" s="18">
        <f>$T378*sws_rate_on_bcd</f>
        <v/>
      </c>
      <c r="V378" s="18">
        <f>($R378+$T378+$U378)*igst_rate_hs7602</f>
        <v/>
      </c>
      <c r="W378" s="18">
        <f>Parity!$X$144*Parity!$AG$144+IF(Parity!$Y$144,psic_cost_usd_per_box*Parity!$H$144/Parity!$W$144,0)</f>
        <v/>
      </c>
      <c r="X378" s="18">
        <f>($S378+$T378+$U378)*Parity!$Z$144/day_count_inr*Parity!$O$144</f>
        <v/>
      </c>
      <c r="Y378" s="18">
        <f>$V378*igst_credit_lag_days/day_count_inr*Parity!$O$144</f>
        <v/>
      </c>
      <c r="Z378" s="18">
        <f>$S378+$T378+$U378+$W378+$X378+$Y378+IF(igst_itc_available,0,$V378)</f>
        <v/>
      </c>
      <c r="AA378" s="18">
        <f>Parity!$N$144*kg_per_mt+domestic_anchor_premium_inr_t</f>
        <v/>
      </c>
      <c r="AB378" s="18">
        <f>(1-Parity!$AA$144)*Parity!$AD$144*heavies_net_value_frac_of_lme_al*Parity!$F$144*Parity!$H$144</f>
        <v/>
      </c>
      <c r="AC378" s="18">
        <f>$AA378*Parity!$AU$144+$AB378-$Z378-Parity!$AX$144</f>
        <v/>
      </c>
      <c r="AD378" s="8">
        <f>$AC378&gt;margin_threshold_inr_t</f>
        <v/>
      </c>
      <c r="AE378" s="18">
        <f>($AC378-$L378)*grid_tonnes_mt</f>
        <v/>
      </c>
    </row>
    <row r="379">
      <c r="A379" s="7" t="inlineStr">
        <is>
          <t>june_trough</t>
        </is>
      </c>
      <c r="B379" s="11" t="n">
        <v>44729</v>
      </c>
      <c r="C379" s="7" t="inlineStr">
        <is>
          <t>zorba</t>
        </is>
      </c>
      <c r="D379" s="7" t="inlineStr">
        <is>
          <t>JEA_NSA</t>
        </is>
      </c>
      <c r="E379" s="7" t="inlineStr">
        <is>
          <t>CFR_seller_books_freight</t>
        </is>
      </c>
      <c r="F379" s="20" t="n">
        <v>-40</v>
      </c>
      <c r="G379" s="20" t="n">
        <v>10</v>
      </c>
      <c r="H379" s="16">
        <f>Parity!$L$144*(1+$F379/100)</f>
        <v/>
      </c>
      <c r="I379" s="16">
        <f>Parity!$L$144*Parity!$AG$144*$F379/100</f>
        <v/>
      </c>
      <c r="J379" s="8">
        <f>IF($E379="FOB_desk_books_freight",Parity!$P$144+$I379/Parity!$F$144,Parity!$P$144)</f>
        <v/>
      </c>
      <c r="K379" s="8">
        <f>$G379/100</f>
        <v/>
      </c>
      <c r="L379" s="18">
        <f>Parity!$AY$144</f>
        <v/>
      </c>
      <c r="M379" s="16">
        <f>Parity!$F$144*$J379</f>
        <v/>
      </c>
      <c r="N379" s="16">
        <f>$H379*Parity!$AG$144</f>
        <v/>
      </c>
      <c r="O379" s="16">
        <f>$M379-$N379</f>
        <v/>
      </c>
      <c r="P379" s="16">
        <f>insurance_rate*insured_value_uplift*$M379</f>
        <v/>
      </c>
      <c r="Q379" s="16">
        <f>$M379+$P379</f>
        <v/>
      </c>
      <c r="R379" s="18">
        <f>$Q379*Parity!$J$144</f>
        <v/>
      </c>
      <c r="S379" s="18">
        <f>$Q379*Parity!$I$144</f>
        <v/>
      </c>
      <c r="T379" s="18">
        <f>$R379*$K379</f>
        <v/>
      </c>
      <c r="U379" s="18">
        <f>$T379*sws_rate_on_bcd</f>
        <v/>
      </c>
      <c r="V379" s="18">
        <f>($R379+$T379+$U379)*igst_rate_hs7602</f>
        <v/>
      </c>
      <c r="W379" s="18">
        <f>Parity!$X$144*Parity!$AG$144+IF(Parity!$Y$144,psic_cost_usd_per_box*Parity!$H$144/Parity!$W$144,0)</f>
        <v/>
      </c>
      <c r="X379" s="18">
        <f>($S379+$T379+$U379)*Parity!$Z$144/day_count_inr*Parity!$O$144</f>
        <v/>
      </c>
      <c r="Y379" s="18">
        <f>$V379*igst_credit_lag_days/day_count_inr*Parity!$O$144</f>
        <v/>
      </c>
      <c r="Z379" s="18">
        <f>$S379+$T379+$U379+$W379+$X379+$Y379+IF(igst_itc_available,0,$V379)</f>
        <v/>
      </c>
      <c r="AA379" s="18">
        <f>Parity!$N$144*kg_per_mt+domestic_anchor_premium_inr_t</f>
        <v/>
      </c>
      <c r="AB379" s="18">
        <f>(1-Parity!$AA$144)*Parity!$AD$144*heavies_net_value_frac_of_lme_al*Parity!$F$144*Parity!$H$144</f>
        <v/>
      </c>
      <c r="AC379" s="18">
        <f>$AA379*Parity!$AU$144+$AB379-$Z379-Parity!$AX$144</f>
        <v/>
      </c>
      <c r="AD379" s="8">
        <f>$AC379&gt;margin_threshold_inr_t</f>
        <v/>
      </c>
      <c r="AE379" s="18">
        <f>($AC379-$L379)*grid_tonnes_mt</f>
        <v/>
      </c>
    </row>
    <row r="380">
      <c r="A380" s="7" t="inlineStr">
        <is>
          <t>june_trough</t>
        </is>
      </c>
      <c r="B380" s="11" t="n">
        <v>44729</v>
      </c>
      <c r="C380" s="7" t="inlineStr">
        <is>
          <t>zorba</t>
        </is>
      </c>
      <c r="D380" s="7" t="inlineStr">
        <is>
          <t>JEA_NSA</t>
        </is>
      </c>
      <c r="E380" s="7" t="inlineStr">
        <is>
          <t>CFR_seller_books_freight</t>
        </is>
      </c>
      <c r="F380" s="20" t="n">
        <v>-20</v>
      </c>
      <c r="G380" s="20" t="n">
        <v>0</v>
      </c>
      <c r="H380" s="16">
        <f>Parity!$L$144*(1+$F380/100)</f>
        <v/>
      </c>
      <c r="I380" s="16">
        <f>Parity!$L$144*Parity!$AG$144*$F380/100</f>
        <v/>
      </c>
      <c r="J380" s="8">
        <f>IF($E380="FOB_desk_books_freight",Parity!$P$144+$I380/Parity!$F$144,Parity!$P$144)</f>
        <v/>
      </c>
      <c r="K380" s="8">
        <f>$G380/100</f>
        <v/>
      </c>
      <c r="L380" s="18">
        <f>Parity!$AY$144</f>
        <v/>
      </c>
      <c r="M380" s="16">
        <f>Parity!$F$144*$J380</f>
        <v/>
      </c>
      <c r="N380" s="16">
        <f>$H380*Parity!$AG$144</f>
        <v/>
      </c>
      <c r="O380" s="16">
        <f>$M380-$N380</f>
        <v/>
      </c>
      <c r="P380" s="16">
        <f>insurance_rate*insured_value_uplift*$M380</f>
        <v/>
      </c>
      <c r="Q380" s="16">
        <f>$M380+$P380</f>
        <v/>
      </c>
      <c r="R380" s="18">
        <f>$Q380*Parity!$J$144</f>
        <v/>
      </c>
      <c r="S380" s="18">
        <f>$Q380*Parity!$I$144</f>
        <v/>
      </c>
      <c r="T380" s="18">
        <f>$R380*$K380</f>
        <v/>
      </c>
      <c r="U380" s="18">
        <f>$T380*sws_rate_on_bcd</f>
        <v/>
      </c>
      <c r="V380" s="18">
        <f>($R380+$T380+$U380)*igst_rate_hs7602</f>
        <v/>
      </c>
      <c r="W380" s="18">
        <f>Parity!$X$144*Parity!$AG$144+IF(Parity!$Y$144,psic_cost_usd_per_box*Parity!$H$144/Parity!$W$144,0)</f>
        <v/>
      </c>
      <c r="X380" s="18">
        <f>($S380+$T380+$U380)*Parity!$Z$144/day_count_inr*Parity!$O$144</f>
        <v/>
      </c>
      <c r="Y380" s="18">
        <f>$V380*igst_credit_lag_days/day_count_inr*Parity!$O$144</f>
        <v/>
      </c>
      <c r="Z380" s="18">
        <f>$S380+$T380+$U380+$W380+$X380+$Y380+IF(igst_itc_available,0,$V380)</f>
        <v/>
      </c>
      <c r="AA380" s="18">
        <f>Parity!$N$144*kg_per_mt+domestic_anchor_premium_inr_t</f>
        <v/>
      </c>
      <c r="AB380" s="18">
        <f>(1-Parity!$AA$144)*Parity!$AD$144*heavies_net_value_frac_of_lme_al*Parity!$F$144*Parity!$H$144</f>
        <v/>
      </c>
      <c r="AC380" s="18">
        <f>$AA380*Parity!$AU$144+$AB380-$Z380-Parity!$AX$144</f>
        <v/>
      </c>
      <c r="AD380" s="8">
        <f>$AC380&gt;margin_threshold_inr_t</f>
        <v/>
      </c>
      <c r="AE380" s="18">
        <f>($AC380-$L380)*grid_tonnes_mt</f>
        <v/>
      </c>
    </row>
    <row r="381">
      <c r="A381" s="7" t="inlineStr">
        <is>
          <t>june_trough</t>
        </is>
      </c>
      <c r="B381" s="11" t="n">
        <v>44729</v>
      </c>
      <c r="C381" s="7" t="inlineStr">
        <is>
          <t>zorba</t>
        </is>
      </c>
      <c r="D381" s="7" t="inlineStr">
        <is>
          <t>JEA_NSA</t>
        </is>
      </c>
      <c r="E381" s="7" t="inlineStr">
        <is>
          <t>CFR_seller_books_freight</t>
        </is>
      </c>
      <c r="F381" s="20" t="n">
        <v>-20</v>
      </c>
      <c r="G381" s="20" t="n">
        <v>2.5</v>
      </c>
      <c r="H381" s="16">
        <f>Parity!$L$144*(1+$F381/100)</f>
        <v/>
      </c>
      <c r="I381" s="16">
        <f>Parity!$L$144*Parity!$AG$144*$F381/100</f>
        <v/>
      </c>
      <c r="J381" s="8">
        <f>IF($E381="FOB_desk_books_freight",Parity!$P$144+$I381/Parity!$F$144,Parity!$P$144)</f>
        <v/>
      </c>
      <c r="K381" s="8">
        <f>$G381/100</f>
        <v/>
      </c>
      <c r="L381" s="18">
        <f>Parity!$AY$144</f>
        <v/>
      </c>
      <c r="M381" s="16">
        <f>Parity!$F$144*$J381</f>
        <v/>
      </c>
      <c r="N381" s="16">
        <f>$H381*Parity!$AG$144</f>
        <v/>
      </c>
      <c r="O381" s="16">
        <f>$M381-$N381</f>
        <v/>
      </c>
      <c r="P381" s="16">
        <f>insurance_rate*insured_value_uplift*$M381</f>
        <v/>
      </c>
      <c r="Q381" s="16">
        <f>$M381+$P381</f>
        <v/>
      </c>
      <c r="R381" s="18">
        <f>$Q381*Parity!$J$144</f>
        <v/>
      </c>
      <c r="S381" s="18">
        <f>$Q381*Parity!$I$144</f>
        <v/>
      </c>
      <c r="T381" s="18">
        <f>$R381*$K381</f>
        <v/>
      </c>
      <c r="U381" s="18">
        <f>$T381*sws_rate_on_bcd</f>
        <v/>
      </c>
      <c r="V381" s="18">
        <f>($R381+$T381+$U381)*igst_rate_hs7602</f>
        <v/>
      </c>
      <c r="W381" s="18">
        <f>Parity!$X$144*Parity!$AG$144+IF(Parity!$Y$144,psic_cost_usd_per_box*Parity!$H$144/Parity!$W$144,0)</f>
        <v/>
      </c>
      <c r="X381" s="18">
        <f>($S381+$T381+$U381)*Parity!$Z$144/day_count_inr*Parity!$O$144</f>
        <v/>
      </c>
      <c r="Y381" s="18">
        <f>$V381*igst_credit_lag_days/day_count_inr*Parity!$O$144</f>
        <v/>
      </c>
      <c r="Z381" s="18">
        <f>$S381+$T381+$U381+$W381+$X381+$Y381+IF(igst_itc_available,0,$V381)</f>
        <v/>
      </c>
      <c r="AA381" s="18">
        <f>Parity!$N$144*kg_per_mt+domestic_anchor_premium_inr_t</f>
        <v/>
      </c>
      <c r="AB381" s="18">
        <f>(1-Parity!$AA$144)*Parity!$AD$144*heavies_net_value_frac_of_lme_al*Parity!$F$144*Parity!$H$144</f>
        <v/>
      </c>
      <c r="AC381" s="18">
        <f>$AA381*Parity!$AU$144+$AB381-$Z381-Parity!$AX$144</f>
        <v/>
      </c>
      <c r="AD381" s="8">
        <f>$AC381&gt;margin_threshold_inr_t</f>
        <v/>
      </c>
      <c r="AE381" s="18">
        <f>($AC381-$L381)*grid_tonnes_mt</f>
        <v/>
      </c>
    </row>
    <row r="382">
      <c r="A382" s="7" t="inlineStr">
        <is>
          <t>june_trough</t>
        </is>
      </c>
      <c r="B382" s="11" t="n">
        <v>44729</v>
      </c>
      <c r="C382" s="7" t="inlineStr">
        <is>
          <t>zorba</t>
        </is>
      </c>
      <c r="D382" s="7" t="inlineStr">
        <is>
          <t>JEA_NSA</t>
        </is>
      </c>
      <c r="E382" s="7" t="inlineStr">
        <is>
          <t>CFR_seller_books_freight</t>
        </is>
      </c>
      <c r="F382" s="20" t="n">
        <v>-20</v>
      </c>
      <c r="G382" s="20" t="n">
        <v>5</v>
      </c>
      <c r="H382" s="16">
        <f>Parity!$L$144*(1+$F382/100)</f>
        <v/>
      </c>
      <c r="I382" s="16">
        <f>Parity!$L$144*Parity!$AG$144*$F382/100</f>
        <v/>
      </c>
      <c r="J382" s="8">
        <f>IF($E382="FOB_desk_books_freight",Parity!$P$144+$I382/Parity!$F$144,Parity!$P$144)</f>
        <v/>
      </c>
      <c r="K382" s="8">
        <f>$G382/100</f>
        <v/>
      </c>
      <c r="L382" s="18">
        <f>Parity!$AY$144</f>
        <v/>
      </c>
      <c r="M382" s="16">
        <f>Parity!$F$144*$J382</f>
        <v/>
      </c>
      <c r="N382" s="16">
        <f>$H382*Parity!$AG$144</f>
        <v/>
      </c>
      <c r="O382" s="16">
        <f>$M382-$N382</f>
        <v/>
      </c>
      <c r="P382" s="16">
        <f>insurance_rate*insured_value_uplift*$M382</f>
        <v/>
      </c>
      <c r="Q382" s="16">
        <f>$M382+$P382</f>
        <v/>
      </c>
      <c r="R382" s="18">
        <f>$Q382*Parity!$J$144</f>
        <v/>
      </c>
      <c r="S382" s="18">
        <f>$Q382*Parity!$I$144</f>
        <v/>
      </c>
      <c r="T382" s="18">
        <f>$R382*$K382</f>
        <v/>
      </c>
      <c r="U382" s="18">
        <f>$T382*sws_rate_on_bcd</f>
        <v/>
      </c>
      <c r="V382" s="18">
        <f>($R382+$T382+$U382)*igst_rate_hs7602</f>
        <v/>
      </c>
      <c r="W382" s="18">
        <f>Parity!$X$144*Parity!$AG$144+IF(Parity!$Y$144,psic_cost_usd_per_box*Parity!$H$144/Parity!$W$144,0)</f>
        <v/>
      </c>
      <c r="X382" s="18">
        <f>($S382+$T382+$U382)*Parity!$Z$144/day_count_inr*Parity!$O$144</f>
        <v/>
      </c>
      <c r="Y382" s="18">
        <f>$V382*igst_credit_lag_days/day_count_inr*Parity!$O$144</f>
        <v/>
      </c>
      <c r="Z382" s="18">
        <f>$S382+$T382+$U382+$W382+$X382+$Y382+IF(igst_itc_available,0,$V382)</f>
        <v/>
      </c>
      <c r="AA382" s="18">
        <f>Parity!$N$144*kg_per_mt+domestic_anchor_premium_inr_t</f>
        <v/>
      </c>
      <c r="AB382" s="18">
        <f>(1-Parity!$AA$144)*Parity!$AD$144*heavies_net_value_frac_of_lme_al*Parity!$F$144*Parity!$H$144</f>
        <v/>
      </c>
      <c r="AC382" s="18">
        <f>$AA382*Parity!$AU$144+$AB382-$Z382-Parity!$AX$144</f>
        <v/>
      </c>
      <c r="AD382" s="8">
        <f>$AC382&gt;margin_threshold_inr_t</f>
        <v/>
      </c>
      <c r="AE382" s="18">
        <f>($AC382-$L382)*grid_tonnes_mt</f>
        <v/>
      </c>
    </row>
    <row r="383">
      <c r="A383" s="7" t="inlineStr">
        <is>
          <t>june_trough</t>
        </is>
      </c>
      <c r="B383" s="11" t="n">
        <v>44729</v>
      </c>
      <c r="C383" s="7" t="inlineStr">
        <is>
          <t>zorba</t>
        </is>
      </c>
      <c r="D383" s="7" t="inlineStr">
        <is>
          <t>JEA_NSA</t>
        </is>
      </c>
      <c r="E383" s="7" t="inlineStr">
        <is>
          <t>CFR_seller_books_freight</t>
        </is>
      </c>
      <c r="F383" s="20" t="n">
        <v>-20</v>
      </c>
      <c r="G383" s="20" t="n">
        <v>7.5</v>
      </c>
      <c r="H383" s="16">
        <f>Parity!$L$144*(1+$F383/100)</f>
        <v/>
      </c>
      <c r="I383" s="16">
        <f>Parity!$L$144*Parity!$AG$144*$F383/100</f>
        <v/>
      </c>
      <c r="J383" s="8">
        <f>IF($E383="FOB_desk_books_freight",Parity!$P$144+$I383/Parity!$F$144,Parity!$P$144)</f>
        <v/>
      </c>
      <c r="K383" s="8">
        <f>$G383/100</f>
        <v/>
      </c>
      <c r="L383" s="18">
        <f>Parity!$AY$144</f>
        <v/>
      </c>
      <c r="M383" s="16">
        <f>Parity!$F$144*$J383</f>
        <v/>
      </c>
      <c r="N383" s="16">
        <f>$H383*Parity!$AG$144</f>
        <v/>
      </c>
      <c r="O383" s="16">
        <f>$M383-$N383</f>
        <v/>
      </c>
      <c r="P383" s="16">
        <f>insurance_rate*insured_value_uplift*$M383</f>
        <v/>
      </c>
      <c r="Q383" s="16">
        <f>$M383+$P383</f>
        <v/>
      </c>
      <c r="R383" s="18">
        <f>$Q383*Parity!$J$144</f>
        <v/>
      </c>
      <c r="S383" s="18">
        <f>$Q383*Parity!$I$144</f>
        <v/>
      </c>
      <c r="T383" s="18">
        <f>$R383*$K383</f>
        <v/>
      </c>
      <c r="U383" s="18">
        <f>$T383*sws_rate_on_bcd</f>
        <v/>
      </c>
      <c r="V383" s="18">
        <f>($R383+$T383+$U383)*igst_rate_hs7602</f>
        <v/>
      </c>
      <c r="W383" s="18">
        <f>Parity!$X$144*Parity!$AG$144+IF(Parity!$Y$144,psic_cost_usd_per_box*Parity!$H$144/Parity!$W$144,0)</f>
        <v/>
      </c>
      <c r="X383" s="18">
        <f>($S383+$T383+$U383)*Parity!$Z$144/day_count_inr*Parity!$O$144</f>
        <v/>
      </c>
      <c r="Y383" s="18">
        <f>$V383*igst_credit_lag_days/day_count_inr*Parity!$O$144</f>
        <v/>
      </c>
      <c r="Z383" s="18">
        <f>$S383+$T383+$U383+$W383+$X383+$Y383+IF(igst_itc_available,0,$V383)</f>
        <v/>
      </c>
      <c r="AA383" s="18">
        <f>Parity!$N$144*kg_per_mt+domestic_anchor_premium_inr_t</f>
        <v/>
      </c>
      <c r="AB383" s="18">
        <f>(1-Parity!$AA$144)*Parity!$AD$144*heavies_net_value_frac_of_lme_al*Parity!$F$144*Parity!$H$144</f>
        <v/>
      </c>
      <c r="AC383" s="18">
        <f>$AA383*Parity!$AU$144+$AB383-$Z383-Parity!$AX$144</f>
        <v/>
      </c>
      <c r="AD383" s="8">
        <f>$AC383&gt;margin_threshold_inr_t</f>
        <v/>
      </c>
      <c r="AE383" s="18">
        <f>($AC383-$L383)*grid_tonnes_mt</f>
        <v/>
      </c>
    </row>
    <row r="384">
      <c r="A384" s="7" t="inlineStr">
        <is>
          <t>june_trough</t>
        </is>
      </c>
      <c r="B384" s="11" t="n">
        <v>44729</v>
      </c>
      <c r="C384" s="7" t="inlineStr">
        <is>
          <t>zorba</t>
        </is>
      </c>
      <c r="D384" s="7" t="inlineStr">
        <is>
          <t>JEA_NSA</t>
        </is>
      </c>
      <c r="E384" s="7" t="inlineStr">
        <is>
          <t>CFR_seller_books_freight</t>
        </is>
      </c>
      <c r="F384" s="20" t="n">
        <v>-20</v>
      </c>
      <c r="G384" s="20" t="n">
        <v>10</v>
      </c>
      <c r="H384" s="16">
        <f>Parity!$L$144*(1+$F384/100)</f>
        <v/>
      </c>
      <c r="I384" s="16">
        <f>Parity!$L$144*Parity!$AG$144*$F384/100</f>
        <v/>
      </c>
      <c r="J384" s="8">
        <f>IF($E384="FOB_desk_books_freight",Parity!$P$144+$I384/Parity!$F$144,Parity!$P$144)</f>
        <v/>
      </c>
      <c r="K384" s="8">
        <f>$G384/100</f>
        <v/>
      </c>
      <c r="L384" s="18">
        <f>Parity!$AY$144</f>
        <v/>
      </c>
      <c r="M384" s="16">
        <f>Parity!$F$144*$J384</f>
        <v/>
      </c>
      <c r="N384" s="16">
        <f>$H384*Parity!$AG$144</f>
        <v/>
      </c>
      <c r="O384" s="16">
        <f>$M384-$N384</f>
        <v/>
      </c>
      <c r="P384" s="16">
        <f>insurance_rate*insured_value_uplift*$M384</f>
        <v/>
      </c>
      <c r="Q384" s="16">
        <f>$M384+$P384</f>
        <v/>
      </c>
      <c r="R384" s="18">
        <f>$Q384*Parity!$J$144</f>
        <v/>
      </c>
      <c r="S384" s="18">
        <f>$Q384*Parity!$I$144</f>
        <v/>
      </c>
      <c r="T384" s="18">
        <f>$R384*$K384</f>
        <v/>
      </c>
      <c r="U384" s="18">
        <f>$T384*sws_rate_on_bcd</f>
        <v/>
      </c>
      <c r="V384" s="18">
        <f>($R384+$T384+$U384)*igst_rate_hs7602</f>
        <v/>
      </c>
      <c r="W384" s="18">
        <f>Parity!$X$144*Parity!$AG$144+IF(Parity!$Y$144,psic_cost_usd_per_box*Parity!$H$144/Parity!$W$144,0)</f>
        <v/>
      </c>
      <c r="X384" s="18">
        <f>($S384+$T384+$U384)*Parity!$Z$144/day_count_inr*Parity!$O$144</f>
        <v/>
      </c>
      <c r="Y384" s="18">
        <f>$V384*igst_credit_lag_days/day_count_inr*Parity!$O$144</f>
        <v/>
      </c>
      <c r="Z384" s="18">
        <f>$S384+$T384+$U384+$W384+$X384+$Y384+IF(igst_itc_available,0,$V384)</f>
        <v/>
      </c>
      <c r="AA384" s="18">
        <f>Parity!$N$144*kg_per_mt+domestic_anchor_premium_inr_t</f>
        <v/>
      </c>
      <c r="AB384" s="18">
        <f>(1-Parity!$AA$144)*Parity!$AD$144*heavies_net_value_frac_of_lme_al*Parity!$F$144*Parity!$H$144</f>
        <v/>
      </c>
      <c r="AC384" s="18">
        <f>$AA384*Parity!$AU$144+$AB384-$Z384-Parity!$AX$144</f>
        <v/>
      </c>
      <c r="AD384" s="8">
        <f>$AC384&gt;margin_threshold_inr_t</f>
        <v/>
      </c>
      <c r="AE384" s="18">
        <f>($AC384-$L384)*grid_tonnes_mt</f>
        <v/>
      </c>
    </row>
    <row r="385">
      <c r="A385" s="7" t="inlineStr">
        <is>
          <t>june_trough</t>
        </is>
      </c>
      <c r="B385" s="11" t="n">
        <v>44729</v>
      </c>
      <c r="C385" s="7" t="inlineStr">
        <is>
          <t>zorba</t>
        </is>
      </c>
      <c r="D385" s="7" t="inlineStr">
        <is>
          <t>JEA_NSA</t>
        </is>
      </c>
      <c r="E385" s="7" t="inlineStr">
        <is>
          <t>CFR_seller_books_freight</t>
        </is>
      </c>
      <c r="F385" s="20" t="n">
        <v>0</v>
      </c>
      <c r="G385" s="20" t="n">
        <v>0</v>
      </c>
      <c r="H385" s="16">
        <f>Parity!$L$144*(1+$F385/100)</f>
        <v/>
      </c>
      <c r="I385" s="16">
        <f>Parity!$L$144*Parity!$AG$144*$F385/100</f>
        <v/>
      </c>
      <c r="J385" s="8">
        <f>IF($E385="FOB_desk_books_freight",Parity!$P$144+$I385/Parity!$F$144,Parity!$P$144)</f>
        <v/>
      </c>
      <c r="K385" s="8">
        <f>$G385/100</f>
        <v/>
      </c>
      <c r="L385" s="18">
        <f>Parity!$AY$144</f>
        <v/>
      </c>
      <c r="M385" s="16">
        <f>Parity!$F$144*$J385</f>
        <v/>
      </c>
      <c r="N385" s="16">
        <f>$H385*Parity!$AG$144</f>
        <v/>
      </c>
      <c r="O385" s="16">
        <f>$M385-$N385</f>
        <v/>
      </c>
      <c r="P385" s="16">
        <f>insurance_rate*insured_value_uplift*$M385</f>
        <v/>
      </c>
      <c r="Q385" s="16">
        <f>$M385+$P385</f>
        <v/>
      </c>
      <c r="R385" s="18">
        <f>$Q385*Parity!$J$144</f>
        <v/>
      </c>
      <c r="S385" s="18">
        <f>$Q385*Parity!$I$144</f>
        <v/>
      </c>
      <c r="T385" s="18">
        <f>$R385*$K385</f>
        <v/>
      </c>
      <c r="U385" s="18">
        <f>$T385*sws_rate_on_bcd</f>
        <v/>
      </c>
      <c r="V385" s="18">
        <f>($R385+$T385+$U385)*igst_rate_hs7602</f>
        <v/>
      </c>
      <c r="W385" s="18">
        <f>Parity!$X$144*Parity!$AG$144+IF(Parity!$Y$144,psic_cost_usd_per_box*Parity!$H$144/Parity!$W$144,0)</f>
        <v/>
      </c>
      <c r="X385" s="18">
        <f>($S385+$T385+$U385)*Parity!$Z$144/day_count_inr*Parity!$O$144</f>
        <v/>
      </c>
      <c r="Y385" s="18">
        <f>$V385*igst_credit_lag_days/day_count_inr*Parity!$O$144</f>
        <v/>
      </c>
      <c r="Z385" s="18">
        <f>$S385+$T385+$U385+$W385+$X385+$Y385+IF(igst_itc_available,0,$V385)</f>
        <v/>
      </c>
      <c r="AA385" s="18">
        <f>Parity!$N$144*kg_per_mt+domestic_anchor_premium_inr_t</f>
        <v/>
      </c>
      <c r="AB385" s="18">
        <f>(1-Parity!$AA$144)*Parity!$AD$144*heavies_net_value_frac_of_lme_al*Parity!$F$144*Parity!$H$144</f>
        <v/>
      </c>
      <c r="AC385" s="18">
        <f>$AA385*Parity!$AU$144+$AB385-$Z385-Parity!$AX$144</f>
        <v/>
      </c>
      <c r="AD385" s="8">
        <f>$AC385&gt;margin_threshold_inr_t</f>
        <v/>
      </c>
      <c r="AE385" s="18">
        <f>($AC385-$L385)*grid_tonnes_mt</f>
        <v/>
      </c>
    </row>
    <row r="386">
      <c r="A386" s="7" t="inlineStr">
        <is>
          <t>june_trough</t>
        </is>
      </c>
      <c r="B386" s="11" t="n">
        <v>44729</v>
      </c>
      <c r="C386" s="7" t="inlineStr">
        <is>
          <t>zorba</t>
        </is>
      </c>
      <c r="D386" s="7" t="inlineStr">
        <is>
          <t>JEA_NSA</t>
        </is>
      </c>
      <c r="E386" s="7" t="inlineStr">
        <is>
          <t>CFR_seller_books_freight</t>
        </is>
      </c>
      <c r="F386" s="20" t="n">
        <v>0</v>
      </c>
      <c r="G386" s="20" t="n">
        <v>2.5</v>
      </c>
      <c r="H386" s="16">
        <f>Parity!$L$144*(1+$F386/100)</f>
        <v/>
      </c>
      <c r="I386" s="16">
        <f>Parity!$L$144*Parity!$AG$144*$F386/100</f>
        <v/>
      </c>
      <c r="J386" s="8">
        <f>IF($E386="FOB_desk_books_freight",Parity!$P$144+$I386/Parity!$F$144,Parity!$P$144)</f>
        <v/>
      </c>
      <c r="K386" s="8">
        <f>$G386/100</f>
        <v/>
      </c>
      <c r="L386" s="18">
        <f>Parity!$AY$144</f>
        <v/>
      </c>
      <c r="M386" s="16">
        <f>Parity!$F$144*$J386</f>
        <v/>
      </c>
      <c r="N386" s="16">
        <f>$H386*Parity!$AG$144</f>
        <v/>
      </c>
      <c r="O386" s="16">
        <f>$M386-$N386</f>
        <v/>
      </c>
      <c r="P386" s="16">
        <f>insurance_rate*insured_value_uplift*$M386</f>
        <v/>
      </c>
      <c r="Q386" s="16">
        <f>$M386+$P386</f>
        <v/>
      </c>
      <c r="R386" s="18">
        <f>$Q386*Parity!$J$144</f>
        <v/>
      </c>
      <c r="S386" s="18">
        <f>$Q386*Parity!$I$144</f>
        <v/>
      </c>
      <c r="T386" s="18">
        <f>$R386*$K386</f>
        <v/>
      </c>
      <c r="U386" s="18">
        <f>$T386*sws_rate_on_bcd</f>
        <v/>
      </c>
      <c r="V386" s="18">
        <f>($R386+$T386+$U386)*igst_rate_hs7602</f>
        <v/>
      </c>
      <c r="W386" s="18">
        <f>Parity!$X$144*Parity!$AG$144+IF(Parity!$Y$144,psic_cost_usd_per_box*Parity!$H$144/Parity!$W$144,0)</f>
        <v/>
      </c>
      <c r="X386" s="18">
        <f>($S386+$T386+$U386)*Parity!$Z$144/day_count_inr*Parity!$O$144</f>
        <v/>
      </c>
      <c r="Y386" s="18">
        <f>$V386*igst_credit_lag_days/day_count_inr*Parity!$O$144</f>
        <v/>
      </c>
      <c r="Z386" s="18">
        <f>$S386+$T386+$U386+$W386+$X386+$Y386+IF(igst_itc_available,0,$V386)</f>
        <v/>
      </c>
      <c r="AA386" s="18">
        <f>Parity!$N$144*kg_per_mt+domestic_anchor_premium_inr_t</f>
        <v/>
      </c>
      <c r="AB386" s="18">
        <f>(1-Parity!$AA$144)*Parity!$AD$144*heavies_net_value_frac_of_lme_al*Parity!$F$144*Parity!$H$144</f>
        <v/>
      </c>
      <c r="AC386" s="18">
        <f>$AA386*Parity!$AU$144+$AB386-$Z386-Parity!$AX$144</f>
        <v/>
      </c>
      <c r="AD386" s="8">
        <f>$AC386&gt;margin_threshold_inr_t</f>
        <v/>
      </c>
      <c r="AE386" s="18">
        <f>($AC386-$L386)*grid_tonnes_mt</f>
        <v/>
      </c>
    </row>
    <row r="387">
      <c r="A387" s="7" t="inlineStr">
        <is>
          <t>june_trough</t>
        </is>
      </c>
      <c r="B387" s="11" t="n">
        <v>44729</v>
      </c>
      <c r="C387" s="7" t="inlineStr">
        <is>
          <t>zorba</t>
        </is>
      </c>
      <c r="D387" s="7" t="inlineStr">
        <is>
          <t>JEA_NSA</t>
        </is>
      </c>
      <c r="E387" s="7" t="inlineStr">
        <is>
          <t>CFR_seller_books_freight</t>
        </is>
      </c>
      <c r="F387" s="20" t="n">
        <v>0</v>
      </c>
      <c r="G387" s="20" t="n">
        <v>5</v>
      </c>
      <c r="H387" s="16">
        <f>Parity!$L$144*(1+$F387/100)</f>
        <v/>
      </c>
      <c r="I387" s="16">
        <f>Parity!$L$144*Parity!$AG$144*$F387/100</f>
        <v/>
      </c>
      <c r="J387" s="8">
        <f>IF($E387="FOB_desk_books_freight",Parity!$P$144+$I387/Parity!$F$144,Parity!$P$144)</f>
        <v/>
      </c>
      <c r="K387" s="8">
        <f>$G387/100</f>
        <v/>
      </c>
      <c r="L387" s="18">
        <f>Parity!$AY$144</f>
        <v/>
      </c>
      <c r="M387" s="16">
        <f>Parity!$F$144*$J387</f>
        <v/>
      </c>
      <c r="N387" s="16">
        <f>$H387*Parity!$AG$144</f>
        <v/>
      </c>
      <c r="O387" s="16">
        <f>$M387-$N387</f>
        <v/>
      </c>
      <c r="P387" s="16">
        <f>insurance_rate*insured_value_uplift*$M387</f>
        <v/>
      </c>
      <c r="Q387" s="16">
        <f>$M387+$P387</f>
        <v/>
      </c>
      <c r="R387" s="18">
        <f>$Q387*Parity!$J$144</f>
        <v/>
      </c>
      <c r="S387" s="18">
        <f>$Q387*Parity!$I$144</f>
        <v/>
      </c>
      <c r="T387" s="18">
        <f>$R387*$K387</f>
        <v/>
      </c>
      <c r="U387" s="18">
        <f>$T387*sws_rate_on_bcd</f>
        <v/>
      </c>
      <c r="V387" s="18">
        <f>($R387+$T387+$U387)*igst_rate_hs7602</f>
        <v/>
      </c>
      <c r="W387" s="18">
        <f>Parity!$X$144*Parity!$AG$144+IF(Parity!$Y$144,psic_cost_usd_per_box*Parity!$H$144/Parity!$W$144,0)</f>
        <v/>
      </c>
      <c r="X387" s="18">
        <f>($S387+$T387+$U387)*Parity!$Z$144/day_count_inr*Parity!$O$144</f>
        <v/>
      </c>
      <c r="Y387" s="18">
        <f>$V387*igst_credit_lag_days/day_count_inr*Parity!$O$144</f>
        <v/>
      </c>
      <c r="Z387" s="18">
        <f>$S387+$T387+$U387+$W387+$X387+$Y387+IF(igst_itc_available,0,$V387)</f>
        <v/>
      </c>
      <c r="AA387" s="18">
        <f>Parity!$N$144*kg_per_mt+domestic_anchor_premium_inr_t</f>
        <v/>
      </c>
      <c r="AB387" s="18">
        <f>(1-Parity!$AA$144)*Parity!$AD$144*heavies_net_value_frac_of_lme_al*Parity!$F$144*Parity!$H$144</f>
        <v/>
      </c>
      <c r="AC387" s="18">
        <f>$AA387*Parity!$AU$144+$AB387-$Z387-Parity!$AX$144</f>
        <v/>
      </c>
      <c r="AD387" s="8">
        <f>$AC387&gt;margin_threshold_inr_t</f>
        <v/>
      </c>
      <c r="AE387" s="18">
        <f>($AC387-$L387)*grid_tonnes_mt</f>
        <v/>
      </c>
    </row>
    <row r="388">
      <c r="A388" s="7" t="inlineStr">
        <is>
          <t>june_trough</t>
        </is>
      </c>
      <c r="B388" s="11" t="n">
        <v>44729</v>
      </c>
      <c r="C388" s="7" t="inlineStr">
        <is>
          <t>zorba</t>
        </is>
      </c>
      <c r="D388" s="7" t="inlineStr">
        <is>
          <t>JEA_NSA</t>
        </is>
      </c>
      <c r="E388" s="7" t="inlineStr">
        <is>
          <t>CFR_seller_books_freight</t>
        </is>
      </c>
      <c r="F388" s="20" t="n">
        <v>0</v>
      </c>
      <c r="G388" s="20" t="n">
        <v>7.5</v>
      </c>
      <c r="H388" s="16">
        <f>Parity!$L$144*(1+$F388/100)</f>
        <v/>
      </c>
      <c r="I388" s="16">
        <f>Parity!$L$144*Parity!$AG$144*$F388/100</f>
        <v/>
      </c>
      <c r="J388" s="8">
        <f>IF($E388="FOB_desk_books_freight",Parity!$P$144+$I388/Parity!$F$144,Parity!$P$144)</f>
        <v/>
      </c>
      <c r="K388" s="8">
        <f>$G388/100</f>
        <v/>
      </c>
      <c r="L388" s="18">
        <f>Parity!$AY$144</f>
        <v/>
      </c>
      <c r="M388" s="16">
        <f>Parity!$F$144*$J388</f>
        <v/>
      </c>
      <c r="N388" s="16">
        <f>$H388*Parity!$AG$144</f>
        <v/>
      </c>
      <c r="O388" s="16">
        <f>$M388-$N388</f>
        <v/>
      </c>
      <c r="P388" s="16">
        <f>insurance_rate*insured_value_uplift*$M388</f>
        <v/>
      </c>
      <c r="Q388" s="16">
        <f>$M388+$P388</f>
        <v/>
      </c>
      <c r="R388" s="18">
        <f>$Q388*Parity!$J$144</f>
        <v/>
      </c>
      <c r="S388" s="18">
        <f>$Q388*Parity!$I$144</f>
        <v/>
      </c>
      <c r="T388" s="18">
        <f>$R388*$K388</f>
        <v/>
      </c>
      <c r="U388" s="18">
        <f>$T388*sws_rate_on_bcd</f>
        <v/>
      </c>
      <c r="V388" s="18">
        <f>($R388+$T388+$U388)*igst_rate_hs7602</f>
        <v/>
      </c>
      <c r="W388" s="18">
        <f>Parity!$X$144*Parity!$AG$144+IF(Parity!$Y$144,psic_cost_usd_per_box*Parity!$H$144/Parity!$W$144,0)</f>
        <v/>
      </c>
      <c r="X388" s="18">
        <f>($S388+$T388+$U388)*Parity!$Z$144/day_count_inr*Parity!$O$144</f>
        <v/>
      </c>
      <c r="Y388" s="18">
        <f>$V388*igst_credit_lag_days/day_count_inr*Parity!$O$144</f>
        <v/>
      </c>
      <c r="Z388" s="18">
        <f>$S388+$T388+$U388+$W388+$X388+$Y388+IF(igst_itc_available,0,$V388)</f>
        <v/>
      </c>
      <c r="AA388" s="18">
        <f>Parity!$N$144*kg_per_mt+domestic_anchor_premium_inr_t</f>
        <v/>
      </c>
      <c r="AB388" s="18">
        <f>(1-Parity!$AA$144)*Parity!$AD$144*heavies_net_value_frac_of_lme_al*Parity!$F$144*Parity!$H$144</f>
        <v/>
      </c>
      <c r="AC388" s="18">
        <f>$AA388*Parity!$AU$144+$AB388-$Z388-Parity!$AX$144</f>
        <v/>
      </c>
      <c r="AD388" s="8">
        <f>$AC388&gt;margin_threshold_inr_t</f>
        <v/>
      </c>
      <c r="AE388" s="18">
        <f>($AC388-$L388)*grid_tonnes_mt</f>
        <v/>
      </c>
    </row>
    <row r="389">
      <c r="A389" s="7" t="inlineStr">
        <is>
          <t>june_trough</t>
        </is>
      </c>
      <c r="B389" s="11" t="n">
        <v>44729</v>
      </c>
      <c r="C389" s="7" t="inlineStr">
        <is>
          <t>zorba</t>
        </is>
      </c>
      <c r="D389" s="7" t="inlineStr">
        <is>
          <t>JEA_NSA</t>
        </is>
      </c>
      <c r="E389" s="7" t="inlineStr">
        <is>
          <t>CFR_seller_books_freight</t>
        </is>
      </c>
      <c r="F389" s="20" t="n">
        <v>0</v>
      </c>
      <c r="G389" s="20" t="n">
        <v>10</v>
      </c>
      <c r="H389" s="16">
        <f>Parity!$L$144*(1+$F389/100)</f>
        <v/>
      </c>
      <c r="I389" s="16">
        <f>Parity!$L$144*Parity!$AG$144*$F389/100</f>
        <v/>
      </c>
      <c r="J389" s="8">
        <f>IF($E389="FOB_desk_books_freight",Parity!$P$144+$I389/Parity!$F$144,Parity!$P$144)</f>
        <v/>
      </c>
      <c r="K389" s="8">
        <f>$G389/100</f>
        <v/>
      </c>
      <c r="L389" s="18">
        <f>Parity!$AY$144</f>
        <v/>
      </c>
      <c r="M389" s="16">
        <f>Parity!$F$144*$J389</f>
        <v/>
      </c>
      <c r="N389" s="16">
        <f>$H389*Parity!$AG$144</f>
        <v/>
      </c>
      <c r="O389" s="16">
        <f>$M389-$N389</f>
        <v/>
      </c>
      <c r="P389" s="16">
        <f>insurance_rate*insured_value_uplift*$M389</f>
        <v/>
      </c>
      <c r="Q389" s="16">
        <f>$M389+$P389</f>
        <v/>
      </c>
      <c r="R389" s="18">
        <f>$Q389*Parity!$J$144</f>
        <v/>
      </c>
      <c r="S389" s="18">
        <f>$Q389*Parity!$I$144</f>
        <v/>
      </c>
      <c r="T389" s="18">
        <f>$R389*$K389</f>
        <v/>
      </c>
      <c r="U389" s="18">
        <f>$T389*sws_rate_on_bcd</f>
        <v/>
      </c>
      <c r="V389" s="18">
        <f>($R389+$T389+$U389)*igst_rate_hs7602</f>
        <v/>
      </c>
      <c r="W389" s="18">
        <f>Parity!$X$144*Parity!$AG$144+IF(Parity!$Y$144,psic_cost_usd_per_box*Parity!$H$144/Parity!$W$144,0)</f>
        <v/>
      </c>
      <c r="X389" s="18">
        <f>($S389+$T389+$U389)*Parity!$Z$144/day_count_inr*Parity!$O$144</f>
        <v/>
      </c>
      <c r="Y389" s="18">
        <f>$V389*igst_credit_lag_days/day_count_inr*Parity!$O$144</f>
        <v/>
      </c>
      <c r="Z389" s="18">
        <f>$S389+$T389+$U389+$W389+$X389+$Y389+IF(igst_itc_available,0,$V389)</f>
        <v/>
      </c>
      <c r="AA389" s="18">
        <f>Parity!$N$144*kg_per_mt+domestic_anchor_premium_inr_t</f>
        <v/>
      </c>
      <c r="AB389" s="18">
        <f>(1-Parity!$AA$144)*Parity!$AD$144*heavies_net_value_frac_of_lme_al*Parity!$F$144*Parity!$H$144</f>
        <v/>
      </c>
      <c r="AC389" s="18">
        <f>$AA389*Parity!$AU$144+$AB389-$Z389-Parity!$AX$144</f>
        <v/>
      </c>
      <c r="AD389" s="8">
        <f>$AC389&gt;margin_threshold_inr_t</f>
        <v/>
      </c>
      <c r="AE389" s="18">
        <f>($AC389-$L389)*grid_tonnes_mt</f>
        <v/>
      </c>
    </row>
    <row r="390">
      <c r="A390" s="7" t="inlineStr">
        <is>
          <t>june_trough</t>
        </is>
      </c>
      <c r="B390" s="11" t="n">
        <v>44729</v>
      </c>
      <c r="C390" s="7" t="inlineStr">
        <is>
          <t>zorba</t>
        </is>
      </c>
      <c r="D390" s="7" t="inlineStr">
        <is>
          <t>JEA_NSA</t>
        </is>
      </c>
      <c r="E390" s="7" t="inlineStr">
        <is>
          <t>CFR_seller_books_freight</t>
        </is>
      </c>
      <c r="F390" s="20" t="n">
        <v>20</v>
      </c>
      <c r="G390" s="20" t="n">
        <v>0</v>
      </c>
      <c r="H390" s="16">
        <f>Parity!$L$144*(1+$F390/100)</f>
        <v/>
      </c>
      <c r="I390" s="16">
        <f>Parity!$L$144*Parity!$AG$144*$F390/100</f>
        <v/>
      </c>
      <c r="J390" s="8">
        <f>IF($E390="FOB_desk_books_freight",Parity!$P$144+$I390/Parity!$F$144,Parity!$P$144)</f>
        <v/>
      </c>
      <c r="K390" s="8">
        <f>$G390/100</f>
        <v/>
      </c>
      <c r="L390" s="18">
        <f>Parity!$AY$144</f>
        <v/>
      </c>
      <c r="M390" s="16">
        <f>Parity!$F$144*$J390</f>
        <v/>
      </c>
      <c r="N390" s="16">
        <f>$H390*Parity!$AG$144</f>
        <v/>
      </c>
      <c r="O390" s="16">
        <f>$M390-$N390</f>
        <v/>
      </c>
      <c r="P390" s="16">
        <f>insurance_rate*insured_value_uplift*$M390</f>
        <v/>
      </c>
      <c r="Q390" s="16">
        <f>$M390+$P390</f>
        <v/>
      </c>
      <c r="R390" s="18">
        <f>$Q390*Parity!$J$144</f>
        <v/>
      </c>
      <c r="S390" s="18">
        <f>$Q390*Parity!$I$144</f>
        <v/>
      </c>
      <c r="T390" s="18">
        <f>$R390*$K390</f>
        <v/>
      </c>
      <c r="U390" s="18">
        <f>$T390*sws_rate_on_bcd</f>
        <v/>
      </c>
      <c r="V390" s="18">
        <f>($R390+$T390+$U390)*igst_rate_hs7602</f>
        <v/>
      </c>
      <c r="W390" s="18">
        <f>Parity!$X$144*Parity!$AG$144+IF(Parity!$Y$144,psic_cost_usd_per_box*Parity!$H$144/Parity!$W$144,0)</f>
        <v/>
      </c>
      <c r="X390" s="18">
        <f>($S390+$T390+$U390)*Parity!$Z$144/day_count_inr*Parity!$O$144</f>
        <v/>
      </c>
      <c r="Y390" s="18">
        <f>$V390*igst_credit_lag_days/day_count_inr*Parity!$O$144</f>
        <v/>
      </c>
      <c r="Z390" s="18">
        <f>$S390+$T390+$U390+$W390+$X390+$Y390+IF(igst_itc_available,0,$V390)</f>
        <v/>
      </c>
      <c r="AA390" s="18">
        <f>Parity!$N$144*kg_per_mt+domestic_anchor_premium_inr_t</f>
        <v/>
      </c>
      <c r="AB390" s="18">
        <f>(1-Parity!$AA$144)*Parity!$AD$144*heavies_net_value_frac_of_lme_al*Parity!$F$144*Parity!$H$144</f>
        <v/>
      </c>
      <c r="AC390" s="18">
        <f>$AA390*Parity!$AU$144+$AB390-$Z390-Parity!$AX$144</f>
        <v/>
      </c>
      <c r="AD390" s="8">
        <f>$AC390&gt;margin_threshold_inr_t</f>
        <v/>
      </c>
      <c r="AE390" s="18">
        <f>($AC390-$L390)*grid_tonnes_mt</f>
        <v/>
      </c>
    </row>
    <row r="391">
      <c r="A391" s="7" t="inlineStr">
        <is>
          <t>june_trough</t>
        </is>
      </c>
      <c r="B391" s="11" t="n">
        <v>44729</v>
      </c>
      <c r="C391" s="7" t="inlineStr">
        <is>
          <t>zorba</t>
        </is>
      </c>
      <c r="D391" s="7" t="inlineStr">
        <is>
          <t>JEA_NSA</t>
        </is>
      </c>
      <c r="E391" s="7" t="inlineStr">
        <is>
          <t>CFR_seller_books_freight</t>
        </is>
      </c>
      <c r="F391" s="20" t="n">
        <v>20</v>
      </c>
      <c r="G391" s="20" t="n">
        <v>2.5</v>
      </c>
      <c r="H391" s="16">
        <f>Parity!$L$144*(1+$F391/100)</f>
        <v/>
      </c>
      <c r="I391" s="16">
        <f>Parity!$L$144*Parity!$AG$144*$F391/100</f>
        <v/>
      </c>
      <c r="J391" s="8">
        <f>IF($E391="FOB_desk_books_freight",Parity!$P$144+$I391/Parity!$F$144,Parity!$P$144)</f>
        <v/>
      </c>
      <c r="K391" s="8">
        <f>$G391/100</f>
        <v/>
      </c>
      <c r="L391" s="18">
        <f>Parity!$AY$144</f>
        <v/>
      </c>
      <c r="M391" s="16">
        <f>Parity!$F$144*$J391</f>
        <v/>
      </c>
      <c r="N391" s="16">
        <f>$H391*Parity!$AG$144</f>
        <v/>
      </c>
      <c r="O391" s="16">
        <f>$M391-$N391</f>
        <v/>
      </c>
      <c r="P391" s="16">
        <f>insurance_rate*insured_value_uplift*$M391</f>
        <v/>
      </c>
      <c r="Q391" s="16">
        <f>$M391+$P391</f>
        <v/>
      </c>
      <c r="R391" s="18">
        <f>$Q391*Parity!$J$144</f>
        <v/>
      </c>
      <c r="S391" s="18">
        <f>$Q391*Parity!$I$144</f>
        <v/>
      </c>
      <c r="T391" s="18">
        <f>$R391*$K391</f>
        <v/>
      </c>
      <c r="U391" s="18">
        <f>$T391*sws_rate_on_bcd</f>
        <v/>
      </c>
      <c r="V391" s="18">
        <f>($R391+$T391+$U391)*igst_rate_hs7602</f>
        <v/>
      </c>
      <c r="W391" s="18">
        <f>Parity!$X$144*Parity!$AG$144+IF(Parity!$Y$144,psic_cost_usd_per_box*Parity!$H$144/Parity!$W$144,0)</f>
        <v/>
      </c>
      <c r="X391" s="18">
        <f>($S391+$T391+$U391)*Parity!$Z$144/day_count_inr*Parity!$O$144</f>
        <v/>
      </c>
      <c r="Y391" s="18">
        <f>$V391*igst_credit_lag_days/day_count_inr*Parity!$O$144</f>
        <v/>
      </c>
      <c r="Z391" s="18">
        <f>$S391+$T391+$U391+$W391+$X391+$Y391+IF(igst_itc_available,0,$V391)</f>
        <v/>
      </c>
      <c r="AA391" s="18">
        <f>Parity!$N$144*kg_per_mt+domestic_anchor_premium_inr_t</f>
        <v/>
      </c>
      <c r="AB391" s="18">
        <f>(1-Parity!$AA$144)*Parity!$AD$144*heavies_net_value_frac_of_lme_al*Parity!$F$144*Parity!$H$144</f>
        <v/>
      </c>
      <c r="AC391" s="18">
        <f>$AA391*Parity!$AU$144+$AB391-$Z391-Parity!$AX$144</f>
        <v/>
      </c>
      <c r="AD391" s="8">
        <f>$AC391&gt;margin_threshold_inr_t</f>
        <v/>
      </c>
      <c r="AE391" s="18">
        <f>($AC391-$L391)*grid_tonnes_mt</f>
        <v/>
      </c>
    </row>
    <row r="392">
      <c r="A392" s="7" t="inlineStr">
        <is>
          <t>june_trough</t>
        </is>
      </c>
      <c r="B392" s="11" t="n">
        <v>44729</v>
      </c>
      <c r="C392" s="7" t="inlineStr">
        <is>
          <t>zorba</t>
        </is>
      </c>
      <c r="D392" s="7" t="inlineStr">
        <is>
          <t>JEA_NSA</t>
        </is>
      </c>
      <c r="E392" s="7" t="inlineStr">
        <is>
          <t>CFR_seller_books_freight</t>
        </is>
      </c>
      <c r="F392" s="20" t="n">
        <v>20</v>
      </c>
      <c r="G392" s="20" t="n">
        <v>5</v>
      </c>
      <c r="H392" s="16">
        <f>Parity!$L$144*(1+$F392/100)</f>
        <v/>
      </c>
      <c r="I392" s="16">
        <f>Parity!$L$144*Parity!$AG$144*$F392/100</f>
        <v/>
      </c>
      <c r="J392" s="8">
        <f>IF($E392="FOB_desk_books_freight",Parity!$P$144+$I392/Parity!$F$144,Parity!$P$144)</f>
        <v/>
      </c>
      <c r="K392" s="8">
        <f>$G392/100</f>
        <v/>
      </c>
      <c r="L392" s="18">
        <f>Parity!$AY$144</f>
        <v/>
      </c>
      <c r="M392" s="16">
        <f>Parity!$F$144*$J392</f>
        <v/>
      </c>
      <c r="N392" s="16">
        <f>$H392*Parity!$AG$144</f>
        <v/>
      </c>
      <c r="O392" s="16">
        <f>$M392-$N392</f>
        <v/>
      </c>
      <c r="P392" s="16">
        <f>insurance_rate*insured_value_uplift*$M392</f>
        <v/>
      </c>
      <c r="Q392" s="16">
        <f>$M392+$P392</f>
        <v/>
      </c>
      <c r="R392" s="18">
        <f>$Q392*Parity!$J$144</f>
        <v/>
      </c>
      <c r="S392" s="18">
        <f>$Q392*Parity!$I$144</f>
        <v/>
      </c>
      <c r="T392" s="18">
        <f>$R392*$K392</f>
        <v/>
      </c>
      <c r="U392" s="18">
        <f>$T392*sws_rate_on_bcd</f>
        <v/>
      </c>
      <c r="V392" s="18">
        <f>($R392+$T392+$U392)*igst_rate_hs7602</f>
        <v/>
      </c>
      <c r="W392" s="18">
        <f>Parity!$X$144*Parity!$AG$144+IF(Parity!$Y$144,psic_cost_usd_per_box*Parity!$H$144/Parity!$W$144,0)</f>
        <v/>
      </c>
      <c r="X392" s="18">
        <f>($S392+$T392+$U392)*Parity!$Z$144/day_count_inr*Parity!$O$144</f>
        <v/>
      </c>
      <c r="Y392" s="18">
        <f>$V392*igst_credit_lag_days/day_count_inr*Parity!$O$144</f>
        <v/>
      </c>
      <c r="Z392" s="18">
        <f>$S392+$T392+$U392+$W392+$X392+$Y392+IF(igst_itc_available,0,$V392)</f>
        <v/>
      </c>
      <c r="AA392" s="18">
        <f>Parity!$N$144*kg_per_mt+domestic_anchor_premium_inr_t</f>
        <v/>
      </c>
      <c r="AB392" s="18">
        <f>(1-Parity!$AA$144)*Parity!$AD$144*heavies_net_value_frac_of_lme_al*Parity!$F$144*Parity!$H$144</f>
        <v/>
      </c>
      <c r="AC392" s="18">
        <f>$AA392*Parity!$AU$144+$AB392-$Z392-Parity!$AX$144</f>
        <v/>
      </c>
      <c r="AD392" s="8">
        <f>$AC392&gt;margin_threshold_inr_t</f>
        <v/>
      </c>
      <c r="AE392" s="18">
        <f>($AC392-$L392)*grid_tonnes_mt</f>
        <v/>
      </c>
    </row>
    <row r="393">
      <c r="A393" s="7" t="inlineStr">
        <is>
          <t>june_trough</t>
        </is>
      </c>
      <c r="B393" s="11" t="n">
        <v>44729</v>
      </c>
      <c r="C393" s="7" t="inlineStr">
        <is>
          <t>zorba</t>
        </is>
      </c>
      <c r="D393" s="7" t="inlineStr">
        <is>
          <t>JEA_NSA</t>
        </is>
      </c>
      <c r="E393" s="7" t="inlineStr">
        <is>
          <t>CFR_seller_books_freight</t>
        </is>
      </c>
      <c r="F393" s="20" t="n">
        <v>20</v>
      </c>
      <c r="G393" s="20" t="n">
        <v>7.5</v>
      </c>
      <c r="H393" s="16">
        <f>Parity!$L$144*(1+$F393/100)</f>
        <v/>
      </c>
      <c r="I393" s="16">
        <f>Parity!$L$144*Parity!$AG$144*$F393/100</f>
        <v/>
      </c>
      <c r="J393" s="8">
        <f>IF($E393="FOB_desk_books_freight",Parity!$P$144+$I393/Parity!$F$144,Parity!$P$144)</f>
        <v/>
      </c>
      <c r="K393" s="8">
        <f>$G393/100</f>
        <v/>
      </c>
      <c r="L393" s="18">
        <f>Parity!$AY$144</f>
        <v/>
      </c>
      <c r="M393" s="16">
        <f>Parity!$F$144*$J393</f>
        <v/>
      </c>
      <c r="N393" s="16">
        <f>$H393*Parity!$AG$144</f>
        <v/>
      </c>
      <c r="O393" s="16">
        <f>$M393-$N393</f>
        <v/>
      </c>
      <c r="P393" s="16">
        <f>insurance_rate*insured_value_uplift*$M393</f>
        <v/>
      </c>
      <c r="Q393" s="16">
        <f>$M393+$P393</f>
        <v/>
      </c>
      <c r="R393" s="18">
        <f>$Q393*Parity!$J$144</f>
        <v/>
      </c>
      <c r="S393" s="18">
        <f>$Q393*Parity!$I$144</f>
        <v/>
      </c>
      <c r="T393" s="18">
        <f>$R393*$K393</f>
        <v/>
      </c>
      <c r="U393" s="18">
        <f>$T393*sws_rate_on_bcd</f>
        <v/>
      </c>
      <c r="V393" s="18">
        <f>($R393+$T393+$U393)*igst_rate_hs7602</f>
        <v/>
      </c>
      <c r="W393" s="18">
        <f>Parity!$X$144*Parity!$AG$144+IF(Parity!$Y$144,psic_cost_usd_per_box*Parity!$H$144/Parity!$W$144,0)</f>
        <v/>
      </c>
      <c r="X393" s="18">
        <f>($S393+$T393+$U393)*Parity!$Z$144/day_count_inr*Parity!$O$144</f>
        <v/>
      </c>
      <c r="Y393" s="18">
        <f>$V393*igst_credit_lag_days/day_count_inr*Parity!$O$144</f>
        <v/>
      </c>
      <c r="Z393" s="18">
        <f>$S393+$T393+$U393+$W393+$X393+$Y393+IF(igst_itc_available,0,$V393)</f>
        <v/>
      </c>
      <c r="AA393" s="18">
        <f>Parity!$N$144*kg_per_mt+domestic_anchor_premium_inr_t</f>
        <v/>
      </c>
      <c r="AB393" s="18">
        <f>(1-Parity!$AA$144)*Parity!$AD$144*heavies_net_value_frac_of_lme_al*Parity!$F$144*Parity!$H$144</f>
        <v/>
      </c>
      <c r="AC393" s="18">
        <f>$AA393*Parity!$AU$144+$AB393-$Z393-Parity!$AX$144</f>
        <v/>
      </c>
      <c r="AD393" s="8">
        <f>$AC393&gt;margin_threshold_inr_t</f>
        <v/>
      </c>
      <c r="AE393" s="18">
        <f>($AC393-$L393)*grid_tonnes_mt</f>
        <v/>
      </c>
    </row>
    <row r="394">
      <c r="A394" s="7" t="inlineStr">
        <is>
          <t>june_trough</t>
        </is>
      </c>
      <c r="B394" s="11" t="n">
        <v>44729</v>
      </c>
      <c r="C394" s="7" t="inlineStr">
        <is>
          <t>zorba</t>
        </is>
      </c>
      <c r="D394" s="7" t="inlineStr">
        <is>
          <t>JEA_NSA</t>
        </is>
      </c>
      <c r="E394" s="7" t="inlineStr">
        <is>
          <t>CFR_seller_books_freight</t>
        </is>
      </c>
      <c r="F394" s="20" t="n">
        <v>20</v>
      </c>
      <c r="G394" s="20" t="n">
        <v>10</v>
      </c>
      <c r="H394" s="16">
        <f>Parity!$L$144*(1+$F394/100)</f>
        <v/>
      </c>
      <c r="I394" s="16">
        <f>Parity!$L$144*Parity!$AG$144*$F394/100</f>
        <v/>
      </c>
      <c r="J394" s="8">
        <f>IF($E394="FOB_desk_books_freight",Parity!$P$144+$I394/Parity!$F$144,Parity!$P$144)</f>
        <v/>
      </c>
      <c r="K394" s="8">
        <f>$G394/100</f>
        <v/>
      </c>
      <c r="L394" s="18">
        <f>Parity!$AY$144</f>
        <v/>
      </c>
      <c r="M394" s="16">
        <f>Parity!$F$144*$J394</f>
        <v/>
      </c>
      <c r="N394" s="16">
        <f>$H394*Parity!$AG$144</f>
        <v/>
      </c>
      <c r="O394" s="16">
        <f>$M394-$N394</f>
        <v/>
      </c>
      <c r="P394" s="16">
        <f>insurance_rate*insured_value_uplift*$M394</f>
        <v/>
      </c>
      <c r="Q394" s="16">
        <f>$M394+$P394</f>
        <v/>
      </c>
      <c r="R394" s="18">
        <f>$Q394*Parity!$J$144</f>
        <v/>
      </c>
      <c r="S394" s="18">
        <f>$Q394*Parity!$I$144</f>
        <v/>
      </c>
      <c r="T394" s="18">
        <f>$R394*$K394</f>
        <v/>
      </c>
      <c r="U394" s="18">
        <f>$T394*sws_rate_on_bcd</f>
        <v/>
      </c>
      <c r="V394" s="18">
        <f>($R394+$T394+$U394)*igst_rate_hs7602</f>
        <v/>
      </c>
      <c r="W394" s="18">
        <f>Parity!$X$144*Parity!$AG$144+IF(Parity!$Y$144,psic_cost_usd_per_box*Parity!$H$144/Parity!$W$144,0)</f>
        <v/>
      </c>
      <c r="X394" s="18">
        <f>($S394+$T394+$U394)*Parity!$Z$144/day_count_inr*Parity!$O$144</f>
        <v/>
      </c>
      <c r="Y394" s="18">
        <f>$V394*igst_credit_lag_days/day_count_inr*Parity!$O$144</f>
        <v/>
      </c>
      <c r="Z394" s="18">
        <f>$S394+$T394+$U394+$W394+$X394+$Y394+IF(igst_itc_available,0,$V394)</f>
        <v/>
      </c>
      <c r="AA394" s="18">
        <f>Parity!$N$144*kg_per_mt+domestic_anchor_premium_inr_t</f>
        <v/>
      </c>
      <c r="AB394" s="18">
        <f>(1-Parity!$AA$144)*Parity!$AD$144*heavies_net_value_frac_of_lme_al*Parity!$F$144*Parity!$H$144</f>
        <v/>
      </c>
      <c r="AC394" s="18">
        <f>$AA394*Parity!$AU$144+$AB394-$Z394-Parity!$AX$144</f>
        <v/>
      </c>
      <c r="AD394" s="8">
        <f>$AC394&gt;margin_threshold_inr_t</f>
        <v/>
      </c>
      <c r="AE394" s="18">
        <f>($AC394-$L394)*grid_tonnes_mt</f>
        <v/>
      </c>
    </row>
    <row r="395">
      <c r="A395" s="7" t="inlineStr">
        <is>
          <t>june_trough</t>
        </is>
      </c>
      <c r="B395" s="11" t="n">
        <v>44729</v>
      </c>
      <c r="C395" s="7" t="inlineStr">
        <is>
          <t>zorba</t>
        </is>
      </c>
      <c r="D395" s="7" t="inlineStr">
        <is>
          <t>JEA_NSA</t>
        </is>
      </c>
      <c r="E395" s="7" t="inlineStr">
        <is>
          <t>CFR_seller_books_freight</t>
        </is>
      </c>
      <c r="F395" s="20" t="n">
        <v>40</v>
      </c>
      <c r="G395" s="20" t="n">
        <v>0</v>
      </c>
      <c r="H395" s="16">
        <f>Parity!$L$144*(1+$F395/100)</f>
        <v/>
      </c>
      <c r="I395" s="16">
        <f>Parity!$L$144*Parity!$AG$144*$F395/100</f>
        <v/>
      </c>
      <c r="J395" s="8">
        <f>IF($E395="FOB_desk_books_freight",Parity!$P$144+$I395/Parity!$F$144,Parity!$P$144)</f>
        <v/>
      </c>
      <c r="K395" s="8">
        <f>$G395/100</f>
        <v/>
      </c>
      <c r="L395" s="18">
        <f>Parity!$AY$144</f>
        <v/>
      </c>
      <c r="M395" s="16">
        <f>Parity!$F$144*$J395</f>
        <v/>
      </c>
      <c r="N395" s="16">
        <f>$H395*Parity!$AG$144</f>
        <v/>
      </c>
      <c r="O395" s="16">
        <f>$M395-$N395</f>
        <v/>
      </c>
      <c r="P395" s="16">
        <f>insurance_rate*insured_value_uplift*$M395</f>
        <v/>
      </c>
      <c r="Q395" s="16">
        <f>$M395+$P395</f>
        <v/>
      </c>
      <c r="R395" s="18">
        <f>$Q395*Parity!$J$144</f>
        <v/>
      </c>
      <c r="S395" s="18">
        <f>$Q395*Parity!$I$144</f>
        <v/>
      </c>
      <c r="T395" s="18">
        <f>$R395*$K395</f>
        <v/>
      </c>
      <c r="U395" s="18">
        <f>$T395*sws_rate_on_bcd</f>
        <v/>
      </c>
      <c r="V395" s="18">
        <f>($R395+$T395+$U395)*igst_rate_hs7602</f>
        <v/>
      </c>
      <c r="W395" s="18">
        <f>Parity!$X$144*Parity!$AG$144+IF(Parity!$Y$144,psic_cost_usd_per_box*Parity!$H$144/Parity!$W$144,0)</f>
        <v/>
      </c>
      <c r="X395" s="18">
        <f>($S395+$T395+$U395)*Parity!$Z$144/day_count_inr*Parity!$O$144</f>
        <v/>
      </c>
      <c r="Y395" s="18">
        <f>$V395*igst_credit_lag_days/day_count_inr*Parity!$O$144</f>
        <v/>
      </c>
      <c r="Z395" s="18">
        <f>$S395+$T395+$U395+$W395+$X395+$Y395+IF(igst_itc_available,0,$V395)</f>
        <v/>
      </c>
      <c r="AA395" s="18">
        <f>Parity!$N$144*kg_per_mt+domestic_anchor_premium_inr_t</f>
        <v/>
      </c>
      <c r="AB395" s="18">
        <f>(1-Parity!$AA$144)*Parity!$AD$144*heavies_net_value_frac_of_lme_al*Parity!$F$144*Parity!$H$144</f>
        <v/>
      </c>
      <c r="AC395" s="18">
        <f>$AA395*Parity!$AU$144+$AB395-$Z395-Parity!$AX$144</f>
        <v/>
      </c>
      <c r="AD395" s="8">
        <f>$AC395&gt;margin_threshold_inr_t</f>
        <v/>
      </c>
      <c r="AE395" s="18">
        <f>($AC395-$L395)*grid_tonnes_mt</f>
        <v/>
      </c>
    </row>
    <row r="396">
      <c r="A396" s="7" t="inlineStr">
        <is>
          <t>june_trough</t>
        </is>
      </c>
      <c r="B396" s="11" t="n">
        <v>44729</v>
      </c>
      <c r="C396" s="7" t="inlineStr">
        <is>
          <t>zorba</t>
        </is>
      </c>
      <c r="D396" s="7" t="inlineStr">
        <is>
          <t>JEA_NSA</t>
        </is>
      </c>
      <c r="E396" s="7" t="inlineStr">
        <is>
          <t>CFR_seller_books_freight</t>
        </is>
      </c>
      <c r="F396" s="20" t="n">
        <v>40</v>
      </c>
      <c r="G396" s="20" t="n">
        <v>2.5</v>
      </c>
      <c r="H396" s="16">
        <f>Parity!$L$144*(1+$F396/100)</f>
        <v/>
      </c>
      <c r="I396" s="16">
        <f>Parity!$L$144*Parity!$AG$144*$F396/100</f>
        <v/>
      </c>
      <c r="J396" s="8">
        <f>IF($E396="FOB_desk_books_freight",Parity!$P$144+$I396/Parity!$F$144,Parity!$P$144)</f>
        <v/>
      </c>
      <c r="K396" s="8">
        <f>$G396/100</f>
        <v/>
      </c>
      <c r="L396" s="18">
        <f>Parity!$AY$144</f>
        <v/>
      </c>
      <c r="M396" s="16">
        <f>Parity!$F$144*$J396</f>
        <v/>
      </c>
      <c r="N396" s="16">
        <f>$H396*Parity!$AG$144</f>
        <v/>
      </c>
      <c r="O396" s="16">
        <f>$M396-$N396</f>
        <v/>
      </c>
      <c r="P396" s="16">
        <f>insurance_rate*insured_value_uplift*$M396</f>
        <v/>
      </c>
      <c r="Q396" s="16">
        <f>$M396+$P396</f>
        <v/>
      </c>
      <c r="R396" s="18">
        <f>$Q396*Parity!$J$144</f>
        <v/>
      </c>
      <c r="S396" s="18">
        <f>$Q396*Parity!$I$144</f>
        <v/>
      </c>
      <c r="T396" s="18">
        <f>$R396*$K396</f>
        <v/>
      </c>
      <c r="U396" s="18">
        <f>$T396*sws_rate_on_bcd</f>
        <v/>
      </c>
      <c r="V396" s="18">
        <f>($R396+$T396+$U396)*igst_rate_hs7602</f>
        <v/>
      </c>
      <c r="W396" s="18">
        <f>Parity!$X$144*Parity!$AG$144+IF(Parity!$Y$144,psic_cost_usd_per_box*Parity!$H$144/Parity!$W$144,0)</f>
        <v/>
      </c>
      <c r="X396" s="18">
        <f>($S396+$T396+$U396)*Parity!$Z$144/day_count_inr*Parity!$O$144</f>
        <v/>
      </c>
      <c r="Y396" s="18">
        <f>$V396*igst_credit_lag_days/day_count_inr*Parity!$O$144</f>
        <v/>
      </c>
      <c r="Z396" s="18">
        <f>$S396+$T396+$U396+$W396+$X396+$Y396+IF(igst_itc_available,0,$V396)</f>
        <v/>
      </c>
      <c r="AA396" s="18">
        <f>Parity!$N$144*kg_per_mt+domestic_anchor_premium_inr_t</f>
        <v/>
      </c>
      <c r="AB396" s="18">
        <f>(1-Parity!$AA$144)*Parity!$AD$144*heavies_net_value_frac_of_lme_al*Parity!$F$144*Parity!$H$144</f>
        <v/>
      </c>
      <c r="AC396" s="18">
        <f>$AA396*Parity!$AU$144+$AB396-$Z396-Parity!$AX$144</f>
        <v/>
      </c>
      <c r="AD396" s="8">
        <f>$AC396&gt;margin_threshold_inr_t</f>
        <v/>
      </c>
      <c r="AE396" s="18">
        <f>($AC396-$L396)*grid_tonnes_mt</f>
        <v/>
      </c>
    </row>
    <row r="397">
      <c r="A397" s="7" t="inlineStr">
        <is>
          <t>june_trough</t>
        </is>
      </c>
      <c r="B397" s="11" t="n">
        <v>44729</v>
      </c>
      <c r="C397" s="7" t="inlineStr">
        <is>
          <t>zorba</t>
        </is>
      </c>
      <c r="D397" s="7" t="inlineStr">
        <is>
          <t>JEA_NSA</t>
        </is>
      </c>
      <c r="E397" s="7" t="inlineStr">
        <is>
          <t>CFR_seller_books_freight</t>
        </is>
      </c>
      <c r="F397" s="20" t="n">
        <v>40</v>
      </c>
      <c r="G397" s="20" t="n">
        <v>5</v>
      </c>
      <c r="H397" s="16">
        <f>Parity!$L$144*(1+$F397/100)</f>
        <v/>
      </c>
      <c r="I397" s="16">
        <f>Parity!$L$144*Parity!$AG$144*$F397/100</f>
        <v/>
      </c>
      <c r="J397" s="8">
        <f>IF($E397="FOB_desk_books_freight",Parity!$P$144+$I397/Parity!$F$144,Parity!$P$144)</f>
        <v/>
      </c>
      <c r="K397" s="8">
        <f>$G397/100</f>
        <v/>
      </c>
      <c r="L397" s="18">
        <f>Parity!$AY$144</f>
        <v/>
      </c>
      <c r="M397" s="16">
        <f>Parity!$F$144*$J397</f>
        <v/>
      </c>
      <c r="N397" s="16">
        <f>$H397*Parity!$AG$144</f>
        <v/>
      </c>
      <c r="O397" s="16">
        <f>$M397-$N397</f>
        <v/>
      </c>
      <c r="P397" s="16">
        <f>insurance_rate*insured_value_uplift*$M397</f>
        <v/>
      </c>
      <c r="Q397" s="16">
        <f>$M397+$P397</f>
        <v/>
      </c>
      <c r="R397" s="18">
        <f>$Q397*Parity!$J$144</f>
        <v/>
      </c>
      <c r="S397" s="18">
        <f>$Q397*Parity!$I$144</f>
        <v/>
      </c>
      <c r="T397" s="18">
        <f>$R397*$K397</f>
        <v/>
      </c>
      <c r="U397" s="18">
        <f>$T397*sws_rate_on_bcd</f>
        <v/>
      </c>
      <c r="V397" s="18">
        <f>($R397+$T397+$U397)*igst_rate_hs7602</f>
        <v/>
      </c>
      <c r="W397" s="18">
        <f>Parity!$X$144*Parity!$AG$144+IF(Parity!$Y$144,psic_cost_usd_per_box*Parity!$H$144/Parity!$W$144,0)</f>
        <v/>
      </c>
      <c r="X397" s="18">
        <f>($S397+$T397+$U397)*Parity!$Z$144/day_count_inr*Parity!$O$144</f>
        <v/>
      </c>
      <c r="Y397" s="18">
        <f>$V397*igst_credit_lag_days/day_count_inr*Parity!$O$144</f>
        <v/>
      </c>
      <c r="Z397" s="18">
        <f>$S397+$T397+$U397+$W397+$X397+$Y397+IF(igst_itc_available,0,$V397)</f>
        <v/>
      </c>
      <c r="AA397" s="18">
        <f>Parity!$N$144*kg_per_mt+domestic_anchor_premium_inr_t</f>
        <v/>
      </c>
      <c r="AB397" s="18">
        <f>(1-Parity!$AA$144)*Parity!$AD$144*heavies_net_value_frac_of_lme_al*Parity!$F$144*Parity!$H$144</f>
        <v/>
      </c>
      <c r="AC397" s="18">
        <f>$AA397*Parity!$AU$144+$AB397-$Z397-Parity!$AX$144</f>
        <v/>
      </c>
      <c r="AD397" s="8">
        <f>$AC397&gt;margin_threshold_inr_t</f>
        <v/>
      </c>
      <c r="AE397" s="18">
        <f>($AC397-$L397)*grid_tonnes_mt</f>
        <v/>
      </c>
    </row>
    <row r="398">
      <c r="A398" s="7" t="inlineStr">
        <is>
          <t>june_trough</t>
        </is>
      </c>
      <c r="B398" s="11" t="n">
        <v>44729</v>
      </c>
      <c r="C398" s="7" t="inlineStr">
        <is>
          <t>zorba</t>
        </is>
      </c>
      <c r="D398" s="7" t="inlineStr">
        <is>
          <t>JEA_NSA</t>
        </is>
      </c>
      <c r="E398" s="7" t="inlineStr">
        <is>
          <t>CFR_seller_books_freight</t>
        </is>
      </c>
      <c r="F398" s="20" t="n">
        <v>40</v>
      </c>
      <c r="G398" s="20" t="n">
        <v>7.5</v>
      </c>
      <c r="H398" s="16">
        <f>Parity!$L$144*(1+$F398/100)</f>
        <v/>
      </c>
      <c r="I398" s="16">
        <f>Parity!$L$144*Parity!$AG$144*$F398/100</f>
        <v/>
      </c>
      <c r="J398" s="8">
        <f>IF($E398="FOB_desk_books_freight",Parity!$P$144+$I398/Parity!$F$144,Parity!$P$144)</f>
        <v/>
      </c>
      <c r="K398" s="8">
        <f>$G398/100</f>
        <v/>
      </c>
      <c r="L398" s="18">
        <f>Parity!$AY$144</f>
        <v/>
      </c>
      <c r="M398" s="16">
        <f>Parity!$F$144*$J398</f>
        <v/>
      </c>
      <c r="N398" s="16">
        <f>$H398*Parity!$AG$144</f>
        <v/>
      </c>
      <c r="O398" s="16">
        <f>$M398-$N398</f>
        <v/>
      </c>
      <c r="P398" s="16">
        <f>insurance_rate*insured_value_uplift*$M398</f>
        <v/>
      </c>
      <c r="Q398" s="16">
        <f>$M398+$P398</f>
        <v/>
      </c>
      <c r="R398" s="18">
        <f>$Q398*Parity!$J$144</f>
        <v/>
      </c>
      <c r="S398" s="18">
        <f>$Q398*Parity!$I$144</f>
        <v/>
      </c>
      <c r="T398" s="18">
        <f>$R398*$K398</f>
        <v/>
      </c>
      <c r="U398" s="18">
        <f>$T398*sws_rate_on_bcd</f>
        <v/>
      </c>
      <c r="V398" s="18">
        <f>($R398+$T398+$U398)*igst_rate_hs7602</f>
        <v/>
      </c>
      <c r="W398" s="18">
        <f>Parity!$X$144*Parity!$AG$144+IF(Parity!$Y$144,psic_cost_usd_per_box*Parity!$H$144/Parity!$W$144,0)</f>
        <v/>
      </c>
      <c r="X398" s="18">
        <f>($S398+$T398+$U398)*Parity!$Z$144/day_count_inr*Parity!$O$144</f>
        <v/>
      </c>
      <c r="Y398" s="18">
        <f>$V398*igst_credit_lag_days/day_count_inr*Parity!$O$144</f>
        <v/>
      </c>
      <c r="Z398" s="18">
        <f>$S398+$T398+$U398+$W398+$X398+$Y398+IF(igst_itc_available,0,$V398)</f>
        <v/>
      </c>
      <c r="AA398" s="18">
        <f>Parity!$N$144*kg_per_mt+domestic_anchor_premium_inr_t</f>
        <v/>
      </c>
      <c r="AB398" s="18">
        <f>(1-Parity!$AA$144)*Parity!$AD$144*heavies_net_value_frac_of_lme_al*Parity!$F$144*Parity!$H$144</f>
        <v/>
      </c>
      <c r="AC398" s="18">
        <f>$AA398*Parity!$AU$144+$AB398-$Z398-Parity!$AX$144</f>
        <v/>
      </c>
      <c r="AD398" s="8">
        <f>$AC398&gt;margin_threshold_inr_t</f>
        <v/>
      </c>
      <c r="AE398" s="18">
        <f>($AC398-$L398)*grid_tonnes_mt</f>
        <v/>
      </c>
    </row>
    <row r="399">
      <c r="A399" s="7" t="inlineStr">
        <is>
          <t>june_trough</t>
        </is>
      </c>
      <c r="B399" s="11" t="n">
        <v>44729</v>
      </c>
      <c r="C399" s="7" t="inlineStr">
        <is>
          <t>zorba</t>
        </is>
      </c>
      <c r="D399" s="7" t="inlineStr">
        <is>
          <t>JEA_NSA</t>
        </is>
      </c>
      <c r="E399" s="7" t="inlineStr">
        <is>
          <t>CFR_seller_books_freight</t>
        </is>
      </c>
      <c r="F399" s="20" t="n">
        <v>40</v>
      </c>
      <c r="G399" s="20" t="n">
        <v>10</v>
      </c>
      <c r="H399" s="16">
        <f>Parity!$L$144*(1+$F399/100)</f>
        <v/>
      </c>
      <c r="I399" s="16">
        <f>Parity!$L$144*Parity!$AG$144*$F399/100</f>
        <v/>
      </c>
      <c r="J399" s="8">
        <f>IF($E399="FOB_desk_books_freight",Parity!$P$144+$I399/Parity!$F$144,Parity!$P$144)</f>
        <v/>
      </c>
      <c r="K399" s="8">
        <f>$G399/100</f>
        <v/>
      </c>
      <c r="L399" s="18">
        <f>Parity!$AY$144</f>
        <v/>
      </c>
      <c r="M399" s="16">
        <f>Parity!$F$144*$J399</f>
        <v/>
      </c>
      <c r="N399" s="16">
        <f>$H399*Parity!$AG$144</f>
        <v/>
      </c>
      <c r="O399" s="16">
        <f>$M399-$N399</f>
        <v/>
      </c>
      <c r="P399" s="16">
        <f>insurance_rate*insured_value_uplift*$M399</f>
        <v/>
      </c>
      <c r="Q399" s="16">
        <f>$M399+$P399</f>
        <v/>
      </c>
      <c r="R399" s="18">
        <f>$Q399*Parity!$J$144</f>
        <v/>
      </c>
      <c r="S399" s="18">
        <f>$Q399*Parity!$I$144</f>
        <v/>
      </c>
      <c r="T399" s="18">
        <f>$R399*$K399</f>
        <v/>
      </c>
      <c r="U399" s="18">
        <f>$T399*sws_rate_on_bcd</f>
        <v/>
      </c>
      <c r="V399" s="18">
        <f>($R399+$T399+$U399)*igst_rate_hs7602</f>
        <v/>
      </c>
      <c r="W399" s="18">
        <f>Parity!$X$144*Parity!$AG$144+IF(Parity!$Y$144,psic_cost_usd_per_box*Parity!$H$144/Parity!$W$144,0)</f>
        <v/>
      </c>
      <c r="X399" s="18">
        <f>($S399+$T399+$U399)*Parity!$Z$144/day_count_inr*Parity!$O$144</f>
        <v/>
      </c>
      <c r="Y399" s="18">
        <f>$V399*igst_credit_lag_days/day_count_inr*Parity!$O$144</f>
        <v/>
      </c>
      <c r="Z399" s="18">
        <f>$S399+$T399+$U399+$W399+$X399+$Y399+IF(igst_itc_available,0,$V399)</f>
        <v/>
      </c>
      <c r="AA399" s="18">
        <f>Parity!$N$144*kg_per_mt+domestic_anchor_premium_inr_t</f>
        <v/>
      </c>
      <c r="AB399" s="18">
        <f>(1-Parity!$AA$144)*Parity!$AD$144*heavies_net_value_frac_of_lme_al*Parity!$F$144*Parity!$H$144</f>
        <v/>
      </c>
      <c r="AC399" s="18">
        <f>$AA399*Parity!$AU$144+$AB399-$Z399-Parity!$AX$144</f>
        <v/>
      </c>
      <c r="AD399" s="8">
        <f>$AC399&gt;margin_threshold_inr_t</f>
        <v/>
      </c>
      <c r="AE399" s="18">
        <f>($AC399-$L399)*grid_tonnes_mt</f>
        <v/>
      </c>
    </row>
    <row r="400">
      <c r="A400" s="7" t="inlineStr">
        <is>
          <t>june_trough</t>
        </is>
      </c>
      <c r="B400" s="11" t="n">
        <v>44729</v>
      </c>
      <c r="C400" s="7" t="inlineStr">
        <is>
          <t>zorba</t>
        </is>
      </c>
      <c r="D400" s="7" t="inlineStr">
        <is>
          <t>JEA_NSA</t>
        </is>
      </c>
      <c r="E400" s="7" t="inlineStr">
        <is>
          <t>CFR_seller_books_freight</t>
        </is>
      </c>
      <c r="F400" s="20" t="n">
        <v>60</v>
      </c>
      <c r="G400" s="20" t="n">
        <v>0</v>
      </c>
      <c r="H400" s="16">
        <f>Parity!$L$144*(1+$F400/100)</f>
        <v/>
      </c>
      <c r="I400" s="16">
        <f>Parity!$L$144*Parity!$AG$144*$F400/100</f>
        <v/>
      </c>
      <c r="J400" s="8">
        <f>IF($E400="FOB_desk_books_freight",Parity!$P$144+$I400/Parity!$F$144,Parity!$P$144)</f>
        <v/>
      </c>
      <c r="K400" s="8">
        <f>$G400/100</f>
        <v/>
      </c>
      <c r="L400" s="18">
        <f>Parity!$AY$144</f>
        <v/>
      </c>
      <c r="M400" s="16">
        <f>Parity!$F$144*$J400</f>
        <v/>
      </c>
      <c r="N400" s="16">
        <f>$H400*Parity!$AG$144</f>
        <v/>
      </c>
      <c r="O400" s="16">
        <f>$M400-$N400</f>
        <v/>
      </c>
      <c r="P400" s="16">
        <f>insurance_rate*insured_value_uplift*$M400</f>
        <v/>
      </c>
      <c r="Q400" s="16">
        <f>$M400+$P400</f>
        <v/>
      </c>
      <c r="R400" s="18">
        <f>$Q400*Parity!$J$144</f>
        <v/>
      </c>
      <c r="S400" s="18">
        <f>$Q400*Parity!$I$144</f>
        <v/>
      </c>
      <c r="T400" s="18">
        <f>$R400*$K400</f>
        <v/>
      </c>
      <c r="U400" s="18">
        <f>$T400*sws_rate_on_bcd</f>
        <v/>
      </c>
      <c r="V400" s="18">
        <f>($R400+$T400+$U400)*igst_rate_hs7602</f>
        <v/>
      </c>
      <c r="W400" s="18">
        <f>Parity!$X$144*Parity!$AG$144+IF(Parity!$Y$144,psic_cost_usd_per_box*Parity!$H$144/Parity!$W$144,0)</f>
        <v/>
      </c>
      <c r="X400" s="18">
        <f>($S400+$T400+$U400)*Parity!$Z$144/day_count_inr*Parity!$O$144</f>
        <v/>
      </c>
      <c r="Y400" s="18">
        <f>$V400*igst_credit_lag_days/day_count_inr*Parity!$O$144</f>
        <v/>
      </c>
      <c r="Z400" s="18">
        <f>$S400+$T400+$U400+$W400+$X400+$Y400+IF(igst_itc_available,0,$V400)</f>
        <v/>
      </c>
      <c r="AA400" s="18">
        <f>Parity!$N$144*kg_per_mt+domestic_anchor_premium_inr_t</f>
        <v/>
      </c>
      <c r="AB400" s="18">
        <f>(1-Parity!$AA$144)*Parity!$AD$144*heavies_net_value_frac_of_lme_al*Parity!$F$144*Parity!$H$144</f>
        <v/>
      </c>
      <c r="AC400" s="18">
        <f>$AA400*Parity!$AU$144+$AB400-$Z400-Parity!$AX$144</f>
        <v/>
      </c>
      <c r="AD400" s="8">
        <f>$AC400&gt;margin_threshold_inr_t</f>
        <v/>
      </c>
      <c r="AE400" s="18">
        <f>($AC400-$L400)*grid_tonnes_mt</f>
        <v/>
      </c>
    </row>
    <row r="401">
      <c r="A401" s="7" t="inlineStr">
        <is>
          <t>june_trough</t>
        </is>
      </c>
      <c r="B401" s="11" t="n">
        <v>44729</v>
      </c>
      <c r="C401" s="7" t="inlineStr">
        <is>
          <t>zorba</t>
        </is>
      </c>
      <c r="D401" s="7" t="inlineStr">
        <is>
          <t>JEA_NSA</t>
        </is>
      </c>
      <c r="E401" s="7" t="inlineStr">
        <is>
          <t>CFR_seller_books_freight</t>
        </is>
      </c>
      <c r="F401" s="20" t="n">
        <v>60</v>
      </c>
      <c r="G401" s="20" t="n">
        <v>2.5</v>
      </c>
      <c r="H401" s="16">
        <f>Parity!$L$144*(1+$F401/100)</f>
        <v/>
      </c>
      <c r="I401" s="16">
        <f>Parity!$L$144*Parity!$AG$144*$F401/100</f>
        <v/>
      </c>
      <c r="J401" s="8">
        <f>IF($E401="FOB_desk_books_freight",Parity!$P$144+$I401/Parity!$F$144,Parity!$P$144)</f>
        <v/>
      </c>
      <c r="K401" s="8">
        <f>$G401/100</f>
        <v/>
      </c>
      <c r="L401" s="18">
        <f>Parity!$AY$144</f>
        <v/>
      </c>
      <c r="M401" s="16">
        <f>Parity!$F$144*$J401</f>
        <v/>
      </c>
      <c r="N401" s="16">
        <f>$H401*Parity!$AG$144</f>
        <v/>
      </c>
      <c r="O401" s="16">
        <f>$M401-$N401</f>
        <v/>
      </c>
      <c r="P401" s="16">
        <f>insurance_rate*insured_value_uplift*$M401</f>
        <v/>
      </c>
      <c r="Q401" s="16">
        <f>$M401+$P401</f>
        <v/>
      </c>
      <c r="R401" s="18">
        <f>$Q401*Parity!$J$144</f>
        <v/>
      </c>
      <c r="S401" s="18">
        <f>$Q401*Parity!$I$144</f>
        <v/>
      </c>
      <c r="T401" s="18">
        <f>$R401*$K401</f>
        <v/>
      </c>
      <c r="U401" s="18">
        <f>$T401*sws_rate_on_bcd</f>
        <v/>
      </c>
      <c r="V401" s="18">
        <f>($R401+$T401+$U401)*igst_rate_hs7602</f>
        <v/>
      </c>
      <c r="W401" s="18">
        <f>Parity!$X$144*Parity!$AG$144+IF(Parity!$Y$144,psic_cost_usd_per_box*Parity!$H$144/Parity!$W$144,0)</f>
        <v/>
      </c>
      <c r="X401" s="18">
        <f>($S401+$T401+$U401)*Parity!$Z$144/day_count_inr*Parity!$O$144</f>
        <v/>
      </c>
      <c r="Y401" s="18">
        <f>$V401*igst_credit_lag_days/day_count_inr*Parity!$O$144</f>
        <v/>
      </c>
      <c r="Z401" s="18">
        <f>$S401+$T401+$U401+$W401+$X401+$Y401+IF(igst_itc_available,0,$V401)</f>
        <v/>
      </c>
      <c r="AA401" s="18">
        <f>Parity!$N$144*kg_per_mt+domestic_anchor_premium_inr_t</f>
        <v/>
      </c>
      <c r="AB401" s="18">
        <f>(1-Parity!$AA$144)*Parity!$AD$144*heavies_net_value_frac_of_lme_al*Parity!$F$144*Parity!$H$144</f>
        <v/>
      </c>
      <c r="AC401" s="18">
        <f>$AA401*Parity!$AU$144+$AB401-$Z401-Parity!$AX$144</f>
        <v/>
      </c>
      <c r="AD401" s="8">
        <f>$AC401&gt;margin_threshold_inr_t</f>
        <v/>
      </c>
      <c r="AE401" s="18">
        <f>($AC401-$L401)*grid_tonnes_mt</f>
        <v/>
      </c>
    </row>
    <row r="402">
      <c r="A402" s="7" t="inlineStr">
        <is>
          <t>june_trough</t>
        </is>
      </c>
      <c r="B402" s="11" t="n">
        <v>44729</v>
      </c>
      <c r="C402" s="7" t="inlineStr">
        <is>
          <t>zorba</t>
        </is>
      </c>
      <c r="D402" s="7" t="inlineStr">
        <is>
          <t>JEA_NSA</t>
        </is>
      </c>
      <c r="E402" s="7" t="inlineStr">
        <is>
          <t>CFR_seller_books_freight</t>
        </is>
      </c>
      <c r="F402" s="20" t="n">
        <v>60</v>
      </c>
      <c r="G402" s="20" t="n">
        <v>5</v>
      </c>
      <c r="H402" s="16">
        <f>Parity!$L$144*(1+$F402/100)</f>
        <v/>
      </c>
      <c r="I402" s="16">
        <f>Parity!$L$144*Parity!$AG$144*$F402/100</f>
        <v/>
      </c>
      <c r="J402" s="8">
        <f>IF($E402="FOB_desk_books_freight",Parity!$P$144+$I402/Parity!$F$144,Parity!$P$144)</f>
        <v/>
      </c>
      <c r="K402" s="8">
        <f>$G402/100</f>
        <v/>
      </c>
      <c r="L402" s="18">
        <f>Parity!$AY$144</f>
        <v/>
      </c>
      <c r="M402" s="16">
        <f>Parity!$F$144*$J402</f>
        <v/>
      </c>
      <c r="N402" s="16">
        <f>$H402*Parity!$AG$144</f>
        <v/>
      </c>
      <c r="O402" s="16">
        <f>$M402-$N402</f>
        <v/>
      </c>
      <c r="P402" s="16">
        <f>insurance_rate*insured_value_uplift*$M402</f>
        <v/>
      </c>
      <c r="Q402" s="16">
        <f>$M402+$P402</f>
        <v/>
      </c>
      <c r="R402" s="18">
        <f>$Q402*Parity!$J$144</f>
        <v/>
      </c>
      <c r="S402" s="18">
        <f>$Q402*Parity!$I$144</f>
        <v/>
      </c>
      <c r="T402" s="18">
        <f>$R402*$K402</f>
        <v/>
      </c>
      <c r="U402" s="18">
        <f>$T402*sws_rate_on_bcd</f>
        <v/>
      </c>
      <c r="V402" s="18">
        <f>($R402+$T402+$U402)*igst_rate_hs7602</f>
        <v/>
      </c>
      <c r="W402" s="18">
        <f>Parity!$X$144*Parity!$AG$144+IF(Parity!$Y$144,psic_cost_usd_per_box*Parity!$H$144/Parity!$W$144,0)</f>
        <v/>
      </c>
      <c r="X402" s="18">
        <f>($S402+$T402+$U402)*Parity!$Z$144/day_count_inr*Parity!$O$144</f>
        <v/>
      </c>
      <c r="Y402" s="18">
        <f>$V402*igst_credit_lag_days/day_count_inr*Parity!$O$144</f>
        <v/>
      </c>
      <c r="Z402" s="18">
        <f>$S402+$T402+$U402+$W402+$X402+$Y402+IF(igst_itc_available,0,$V402)</f>
        <v/>
      </c>
      <c r="AA402" s="18">
        <f>Parity!$N$144*kg_per_mt+domestic_anchor_premium_inr_t</f>
        <v/>
      </c>
      <c r="AB402" s="18">
        <f>(1-Parity!$AA$144)*Parity!$AD$144*heavies_net_value_frac_of_lme_al*Parity!$F$144*Parity!$H$144</f>
        <v/>
      </c>
      <c r="AC402" s="18">
        <f>$AA402*Parity!$AU$144+$AB402-$Z402-Parity!$AX$144</f>
        <v/>
      </c>
      <c r="AD402" s="8">
        <f>$AC402&gt;margin_threshold_inr_t</f>
        <v/>
      </c>
      <c r="AE402" s="18">
        <f>($AC402-$L402)*grid_tonnes_mt</f>
        <v/>
      </c>
    </row>
    <row r="403">
      <c r="A403" s="7" t="inlineStr">
        <is>
          <t>june_trough</t>
        </is>
      </c>
      <c r="B403" s="11" t="n">
        <v>44729</v>
      </c>
      <c r="C403" s="7" t="inlineStr">
        <is>
          <t>zorba</t>
        </is>
      </c>
      <c r="D403" s="7" t="inlineStr">
        <is>
          <t>JEA_NSA</t>
        </is>
      </c>
      <c r="E403" s="7" t="inlineStr">
        <is>
          <t>CFR_seller_books_freight</t>
        </is>
      </c>
      <c r="F403" s="20" t="n">
        <v>60</v>
      </c>
      <c r="G403" s="20" t="n">
        <v>7.5</v>
      </c>
      <c r="H403" s="16">
        <f>Parity!$L$144*(1+$F403/100)</f>
        <v/>
      </c>
      <c r="I403" s="16">
        <f>Parity!$L$144*Parity!$AG$144*$F403/100</f>
        <v/>
      </c>
      <c r="J403" s="8">
        <f>IF($E403="FOB_desk_books_freight",Parity!$P$144+$I403/Parity!$F$144,Parity!$P$144)</f>
        <v/>
      </c>
      <c r="K403" s="8">
        <f>$G403/100</f>
        <v/>
      </c>
      <c r="L403" s="18">
        <f>Parity!$AY$144</f>
        <v/>
      </c>
      <c r="M403" s="16">
        <f>Parity!$F$144*$J403</f>
        <v/>
      </c>
      <c r="N403" s="16">
        <f>$H403*Parity!$AG$144</f>
        <v/>
      </c>
      <c r="O403" s="16">
        <f>$M403-$N403</f>
        <v/>
      </c>
      <c r="P403" s="16">
        <f>insurance_rate*insured_value_uplift*$M403</f>
        <v/>
      </c>
      <c r="Q403" s="16">
        <f>$M403+$P403</f>
        <v/>
      </c>
      <c r="R403" s="18">
        <f>$Q403*Parity!$J$144</f>
        <v/>
      </c>
      <c r="S403" s="18">
        <f>$Q403*Parity!$I$144</f>
        <v/>
      </c>
      <c r="T403" s="18">
        <f>$R403*$K403</f>
        <v/>
      </c>
      <c r="U403" s="18">
        <f>$T403*sws_rate_on_bcd</f>
        <v/>
      </c>
      <c r="V403" s="18">
        <f>($R403+$T403+$U403)*igst_rate_hs7602</f>
        <v/>
      </c>
      <c r="W403" s="18">
        <f>Parity!$X$144*Parity!$AG$144+IF(Parity!$Y$144,psic_cost_usd_per_box*Parity!$H$144/Parity!$W$144,0)</f>
        <v/>
      </c>
      <c r="X403" s="18">
        <f>($S403+$T403+$U403)*Parity!$Z$144/day_count_inr*Parity!$O$144</f>
        <v/>
      </c>
      <c r="Y403" s="18">
        <f>$V403*igst_credit_lag_days/day_count_inr*Parity!$O$144</f>
        <v/>
      </c>
      <c r="Z403" s="18">
        <f>$S403+$T403+$U403+$W403+$X403+$Y403+IF(igst_itc_available,0,$V403)</f>
        <v/>
      </c>
      <c r="AA403" s="18">
        <f>Parity!$N$144*kg_per_mt+domestic_anchor_premium_inr_t</f>
        <v/>
      </c>
      <c r="AB403" s="18">
        <f>(1-Parity!$AA$144)*Parity!$AD$144*heavies_net_value_frac_of_lme_al*Parity!$F$144*Parity!$H$144</f>
        <v/>
      </c>
      <c r="AC403" s="18">
        <f>$AA403*Parity!$AU$144+$AB403-$Z403-Parity!$AX$144</f>
        <v/>
      </c>
      <c r="AD403" s="8">
        <f>$AC403&gt;margin_threshold_inr_t</f>
        <v/>
      </c>
      <c r="AE403" s="18">
        <f>($AC403-$L403)*grid_tonnes_mt</f>
        <v/>
      </c>
    </row>
    <row r="404">
      <c r="A404" s="7" t="inlineStr">
        <is>
          <t>june_trough</t>
        </is>
      </c>
      <c r="B404" s="11" t="n">
        <v>44729</v>
      </c>
      <c r="C404" s="7" t="inlineStr">
        <is>
          <t>zorba</t>
        </is>
      </c>
      <c r="D404" s="7" t="inlineStr">
        <is>
          <t>JEA_NSA</t>
        </is>
      </c>
      <c r="E404" s="7" t="inlineStr">
        <is>
          <t>CFR_seller_books_freight</t>
        </is>
      </c>
      <c r="F404" s="20" t="n">
        <v>60</v>
      </c>
      <c r="G404" s="20" t="n">
        <v>10</v>
      </c>
      <c r="H404" s="16">
        <f>Parity!$L$144*(1+$F404/100)</f>
        <v/>
      </c>
      <c r="I404" s="16">
        <f>Parity!$L$144*Parity!$AG$144*$F404/100</f>
        <v/>
      </c>
      <c r="J404" s="8">
        <f>IF($E404="FOB_desk_books_freight",Parity!$P$144+$I404/Parity!$F$144,Parity!$P$144)</f>
        <v/>
      </c>
      <c r="K404" s="8">
        <f>$G404/100</f>
        <v/>
      </c>
      <c r="L404" s="18">
        <f>Parity!$AY$144</f>
        <v/>
      </c>
      <c r="M404" s="16">
        <f>Parity!$F$144*$J404</f>
        <v/>
      </c>
      <c r="N404" s="16">
        <f>$H404*Parity!$AG$144</f>
        <v/>
      </c>
      <c r="O404" s="16">
        <f>$M404-$N404</f>
        <v/>
      </c>
      <c r="P404" s="16">
        <f>insurance_rate*insured_value_uplift*$M404</f>
        <v/>
      </c>
      <c r="Q404" s="16">
        <f>$M404+$P404</f>
        <v/>
      </c>
      <c r="R404" s="18">
        <f>$Q404*Parity!$J$144</f>
        <v/>
      </c>
      <c r="S404" s="18">
        <f>$Q404*Parity!$I$144</f>
        <v/>
      </c>
      <c r="T404" s="18">
        <f>$R404*$K404</f>
        <v/>
      </c>
      <c r="U404" s="18">
        <f>$T404*sws_rate_on_bcd</f>
        <v/>
      </c>
      <c r="V404" s="18">
        <f>($R404+$T404+$U404)*igst_rate_hs7602</f>
        <v/>
      </c>
      <c r="W404" s="18">
        <f>Parity!$X$144*Parity!$AG$144+IF(Parity!$Y$144,psic_cost_usd_per_box*Parity!$H$144/Parity!$W$144,0)</f>
        <v/>
      </c>
      <c r="X404" s="18">
        <f>($S404+$T404+$U404)*Parity!$Z$144/day_count_inr*Parity!$O$144</f>
        <v/>
      </c>
      <c r="Y404" s="18">
        <f>$V404*igst_credit_lag_days/day_count_inr*Parity!$O$144</f>
        <v/>
      </c>
      <c r="Z404" s="18">
        <f>$S404+$T404+$U404+$W404+$X404+$Y404+IF(igst_itc_available,0,$V404)</f>
        <v/>
      </c>
      <c r="AA404" s="18">
        <f>Parity!$N$144*kg_per_mt+domestic_anchor_premium_inr_t</f>
        <v/>
      </c>
      <c r="AB404" s="18">
        <f>(1-Parity!$AA$144)*Parity!$AD$144*heavies_net_value_frac_of_lme_al*Parity!$F$144*Parity!$H$144</f>
        <v/>
      </c>
      <c r="AC404" s="18">
        <f>$AA404*Parity!$AU$144+$AB404-$Z404-Parity!$AX$144</f>
        <v/>
      </c>
      <c r="AD404" s="8">
        <f>$AC404&gt;margin_threshold_inr_t</f>
        <v/>
      </c>
      <c r="AE404" s="18">
        <f>($AC404-$L404)*grid_tonnes_mt</f>
        <v/>
      </c>
    </row>
    <row r="405">
      <c r="A405" s="7" t="inlineStr">
        <is>
          <t>first_eligible_long_lane</t>
        </is>
      </c>
      <c r="B405" s="11" t="n">
        <v>44624</v>
      </c>
      <c r="C405" s="7" t="inlineStr">
        <is>
          <t>zorba</t>
        </is>
      </c>
      <c r="D405" s="7" t="inlineStr">
        <is>
          <t>USEC_MUN</t>
        </is>
      </c>
      <c r="E405" s="7" t="inlineStr">
        <is>
          <t>FOB_desk_books_freight</t>
        </is>
      </c>
      <c r="F405" s="20" t="n">
        <v>-40</v>
      </c>
      <c r="G405" s="20" t="n">
        <v>0</v>
      </c>
      <c r="H405" s="16">
        <f>Parity!$L$55*(1+$F405/100)</f>
        <v/>
      </c>
      <c r="I405" s="16">
        <f>Parity!$L$55*Parity!$AG$55*$F405/100</f>
        <v/>
      </c>
      <c r="J405" s="8">
        <f>IF($E405="FOB_desk_books_freight",Parity!$P$55+$I405/Parity!$F$55,Parity!$P$55)</f>
        <v/>
      </c>
      <c r="K405" s="8">
        <f>$G405/100</f>
        <v/>
      </c>
      <c r="L405" s="18">
        <f>Parity!$AY$55</f>
        <v/>
      </c>
      <c r="M405" s="16">
        <f>Parity!$F$55*$J405</f>
        <v/>
      </c>
      <c r="N405" s="16">
        <f>$H405*Parity!$AG$55</f>
        <v/>
      </c>
      <c r="O405" s="16">
        <f>$M405-$N405</f>
        <v/>
      </c>
      <c r="P405" s="16">
        <f>insurance_rate*insured_value_uplift*$M405</f>
        <v/>
      </c>
      <c r="Q405" s="16">
        <f>$M405+$P405</f>
        <v/>
      </c>
      <c r="R405" s="18">
        <f>$Q405*Parity!$J$55</f>
        <v/>
      </c>
      <c r="S405" s="18">
        <f>$Q405*Parity!$I$55</f>
        <v/>
      </c>
      <c r="T405" s="18">
        <f>$R405*$K405</f>
        <v/>
      </c>
      <c r="U405" s="18">
        <f>$T405*sws_rate_on_bcd</f>
        <v/>
      </c>
      <c r="V405" s="18">
        <f>($R405+$T405+$U405)*igst_rate_hs7602</f>
        <v/>
      </c>
      <c r="W405" s="18">
        <f>Parity!$X$55*Parity!$AG$55+IF(Parity!$Y$55,psic_cost_usd_per_box*Parity!$H$55/Parity!$W$55,0)</f>
        <v/>
      </c>
      <c r="X405" s="18">
        <f>($S405+$T405+$U405)*Parity!$Z$55/day_count_inr*Parity!$O$55</f>
        <v/>
      </c>
      <c r="Y405" s="18">
        <f>$V405*igst_credit_lag_days/day_count_inr*Parity!$O$55</f>
        <v/>
      </c>
      <c r="Z405" s="18">
        <f>$S405+$T405+$U405+$W405+$X405+$Y405+IF(igst_itc_available,0,$V405)</f>
        <v/>
      </c>
      <c r="AA405" s="18">
        <f>Parity!$N$55*kg_per_mt+domestic_anchor_premium_inr_t</f>
        <v/>
      </c>
      <c r="AB405" s="18">
        <f>(1-Parity!$AA$55)*Parity!$AD$55*heavies_net_value_frac_of_lme_al*Parity!$F$55*Parity!$H$55</f>
        <v/>
      </c>
      <c r="AC405" s="18">
        <f>$AA405*Parity!$AU$55+$AB405-$Z405-Parity!$AX$55</f>
        <v/>
      </c>
      <c r="AD405" s="8">
        <f>$AC405&gt;margin_threshold_inr_t</f>
        <v/>
      </c>
      <c r="AE405" s="18">
        <f>($AC405-$L405)*grid_tonnes_mt</f>
        <v/>
      </c>
    </row>
    <row r="406">
      <c r="A406" s="7" t="inlineStr">
        <is>
          <t>first_eligible_long_lane</t>
        </is>
      </c>
      <c r="B406" s="11" t="n">
        <v>44624</v>
      </c>
      <c r="C406" s="7" t="inlineStr">
        <is>
          <t>zorba</t>
        </is>
      </c>
      <c r="D406" s="7" t="inlineStr">
        <is>
          <t>USEC_MUN</t>
        </is>
      </c>
      <c r="E406" s="7" t="inlineStr">
        <is>
          <t>FOB_desk_books_freight</t>
        </is>
      </c>
      <c r="F406" s="20" t="n">
        <v>-40</v>
      </c>
      <c r="G406" s="20" t="n">
        <v>2.5</v>
      </c>
      <c r="H406" s="16">
        <f>Parity!$L$55*(1+$F406/100)</f>
        <v/>
      </c>
      <c r="I406" s="16">
        <f>Parity!$L$55*Parity!$AG$55*$F406/100</f>
        <v/>
      </c>
      <c r="J406" s="8">
        <f>IF($E406="FOB_desk_books_freight",Parity!$P$55+$I406/Parity!$F$55,Parity!$P$55)</f>
        <v/>
      </c>
      <c r="K406" s="8">
        <f>$G406/100</f>
        <v/>
      </c>
      <c r="L406" s="18">
        <f>Parity!$AY$55</f>
        <v/>
      </c>
      <c r="M406" s="16">
        <f>Parity!$F$55*$J406</f>
        <v/>
      </c>
      <c r="N406" s="16">
        <f>$H406*Parity!$AG$55</f>
        <v/>
      </c>
      <c r="O406" s="16">
        <f>$M406-$N406</f>
        <v/>
      </c>
      <c r="P406" s="16">
        <f>insurance_rate*insured_value_uplift*$M406</f>
        <v/>
      </c>
      <c r="Q406" s="16">
        <f>$M406+$P406</f>
        <v/>
      </c>
      <c r="R406" s="18">
        <f>$Q406*Parity!$J$55</f>
        <v/>
      </c>
      <c r="S406" s="18">
        <f>$Q406*Parity!$I$55</f>
        <v/>
      </c>
      <c r="T406" s="18">
        <f>$R406*$K406</f>
        <v/>
      </c>
      <c r="U406" s="18">
        <f>$T406*sws_rate_on_bcd</f>
        <v/>
      </c>
      <c r="V406" s="18">
        <f>($R406+$T406+$U406)*igst_rate_hs7602</f>
        <v/>
      </c>
      <c r="W406" s="18">
        <f>Parity!$X$55*Parity!$AG$55+IF(Parity!$Y$55,psic_cost_usd_per_box*Parity!$H$55/Parity!$W$55,0)</f>
        <v/>
      </c>
      <c r="X406" s="18">
        <f>($S406+$T406+$U406)*Parity!$Z$55/day_count_inr*Parity!$O$55</f>
        <v/>
      </c>
      <c r="Y406" s="18">
        <f>$V406*igst_credit_lag_days/day_count_inr*Parity!$O$55</f>
        <v/>
      </c>
      <c r="Z406" s="18">
        <f>$S406+$T406+$U406+$W406+$X406+$Y406+IF(igst_itc_available,0,$V406)</f>
        <v/>
      </c>
      <c r="AA406" s="18">
        <f>Parity!$N$55*kg_per_mt+domestic_anchor_premium_inr_t</f>
        <v/>
      </c>
      <c r="AB406" s="18">
        <f>(1-Parity!$AA$55)*Parity!$AD$55*heavies_net_value_frac_of_lme_al*Parity!$F$55*Parity!$H$55</f>
        <v/>
      </c>
      <c r="AC406" s="18">
        <f>$AA406*Parity!$AU$55+$AB406-$Z406-Parity!$AX$55</f>
        <v/>
      </c>
      <c r="AD406" s="8">
        <f>$AC406&gt;margin_threshold_inr_t</f>
        <v/>
      </c>
      <c r="AE406" s="18">
        <f>($AC406-$L406)*grid_tonnes_mt</f>
        <v/>
      </c>
    </row>
    <row r="407">
      <c r="A407" s="7" t="inlineStr">
        <is>
          <t>first_eligible_long_lane</t>
        </is>
      </c>
      <c r="B407" s="11" t="n">
        <v>44624</v>
      </c>
      <c r="C407" s="7" t="inlineStr">
        <is>
          <t>zorba</t>
        </is>
      </c>
      <c r="D407" s="7" t="inlineStr">
        <is>
          <t>USEC_MUN</t>
        </is>
      </c>
      <c r="E407" s="7" t="inlineStr">
        <is>
          <t>FOB_desk_books_freight</t>
        </is>
      </c>
      <c r="F407" s="20" t="n">
        <v>-40</v>
      </c>
      <c r="G407" s="20" t="n">
        <v>5</v>
      </c>
      <c r="H407" s="16">
        <f>Parity!$L$55*(1+$F407/100)</f>
        <v/>
      </c>
      <c r="I407" s="16">
        <f>Parity!$L$55*Parity!$AG$55*$F407/100</f>
        <v/>
      </c>
      <c r="J407" s="8">
        <f>IF($E407="FOB_desk_books_freight",Parity!$P$55+$I407/Parity!$F$55,Parity!$P$55)</f>
        <v/>
      </c>
      <c r="K407" s="8">
        <f>$G407/100</f>
        <v/>
      </c>
      <c r="L407" s="18">
        <f>Parity!$AY$55</f>
        <v/>
      </c>
      <c r="M407" s="16">
        <f>Parity!$F$55*$J407</f>
        <v/>
      </c>
      <c r="N407" s="16">
        <f>$H407*Parity!$AG$55</f>
        <v/>
      </c>
      <c r="O407" s="16">
        <f>$M407-$N407</f>
        <v/>
      </c>
      <c r="P407" s="16">
        <f>insurance_rate*insured_value_uplift*$M407</f>
        <v/>
      </c>
      <c r="Q407" s="16">
        <f>$M407+$P407</f>
        <v/>
      </c>
      <c r="R407" s="18">
        <f>$Q407*Parity!$J$55</f>
        <v/>
      </c>
      <c r="S407" s="18">
        <f>$Q407*Parity!$I$55</f>
        <v/>
      </c>
      <c r="T407" s="18">
        <f>$R407*$K407</f>
        <v/>
      </c>
      <c r="U407" s="18">
        <f>$T407*sws_rate_on_bcd</f>
        <v/>
      </c>
      <c r="V407" s="18">
        <f>($R407+$T407+$U407)*igst_rate_hs7602</f>
        <v/>
      </c>
      <c r="W407" s="18">
        <f>Parity!$X$55*Parity!$AG$55+IF(Parity!$Y$55,psic_cost_usd_per_box*Parity!$H$55/Parity!$W$55,0)</f>
        <v/>
      </c>
      <c r="X407" s="18">
        <f>($S407+$T407+$U407)*Parity!$Z$55/day_count_inr*Parity!$O$55</f>
        <v/>
      </c>
      <c r="Y407" s="18">
        <f>$V407*igst_credit_lag_days/day_count_inr*Parity!$O$55</f>
        <v/>
      </c>
      <c r="Z407" s="18">
        <f>$S407+$T407+$U407+$W407+$X407+$Y407+IF(igst_itc_available,0,$V407)</f>
        <v/>
      </c>
      <c r="AA407" s="18">
        <f>Parity!$N$55*kg_per_mt+domestic_anchor_premium_inr_t</f>
        <v/>
      </c>
      <c r="AB407" s="18">
        <f>(1-Parity!$AA$55)*Parity!$AD$55*heavies_net_value_frac_of_lme_al*Parity!$F$55*Parity!$H$55</f>
        <v/>
      </c>
      <c r="AC407" s="18">
        <f>$AA407*Parity!$AU$55+$AB407-$Z407-Parity!$AX$55</f>
        <v/>
      </c>
      <c r="AD407" s="8">
        <f>$AC407&gt;margin_threshold_inr_t</f>
        <v/>
      </c>
      <c r="AE407" s="18">
        <f>($AC407-$L407)*grid_tonnes_mt</f>
        <v/>
      </c>
    </row>
    <row r="408">
      <c r="A408" s="7" t="inlineStr">
        <is>
          <t>first_eligible_long_lane</t>
        </is>
      </c>
      <c r="B408" s="11" t="n">
        <v>44624</v>
      </c>
      <c r="C408" s="7" t="inlineStr">
        <is>
          <t>zorba</t>
        </is>
      </c>
      <c r="D408" s="7" t="inlineStr">
        <is>
          <t>USEC_MUN</t>
        </is>
      </c>
      <c r="E408" s="7" t="inlineStr">
        <is>
          <t>FOB_desk_books_freight</t>
        </is>
      </c>
      <c r="F408" s="20" t="n">
        <v>-40</v>
      </c>
      <c r="G408" s="20" t="n">
        <v>7.5</v>
      </c>
      <c r="H408" s="16">
        <f>Parity!$L$55*(1+$F408/100)</f>
        <v/>
      </c>
      <c r="I408" s="16">
        <f>Parity!$L$55*Parity!$AG$55*$F408/100</f>
        <v/>
      </c>
      <c r="J408" s="8">
        <f>IF($E408="FOB_desk_books_freight",Parity!$P$55+$I408/Parity!$F$55,Parity!$P$55)</f>
        <v/>
      </c>
      <c r="K408" s="8">
        <f>$G408/100</f>
        <v/>
      </c>
      <c r="L408" s="18">
        <f>Parity!$AY$55</f>
        <v/>
      </c>
      <c r="M408" s="16">
        <f>Parity!$F$55*$J408</f>
        <v/>
      </c>
      <c r="N408" s="16">
        <f>$H408*Parity!$AG$55</f>
        <v/>
      </c>
      <c r="O408" s="16">
        <f>$M408-$N408</f>
        <v/>
      </c>
      <c r="P408" s="16">
        <f>insurance_rate*insured_value_uplift*$M408</f>
        <v/>
      </c>
      <c r="Q408" s="16">
        <f>$M408+$P408</f>
        <v/>
      </c>
      <c r="R408" s="18">
        <f>$Q408*Parity!$J$55</f>
        <v/>
      </c>
      <c r="S408" s="18">
        <f>$Q408*Parity!$I$55</f>
        <v/>
      </c>
      <c r="T408" s="18">
        <f>$R408*$K408</f>
        <v/>
      </c>
      <c r="U408" s="18">
        <f>$T408*sws_rate_on_bcd</f>
        <v/>
      </c>
      <c r="V408" s="18">
        <f>($R408+$T408+$U408)*igst_rate_hs7602</f>
        <v/>
      </c>
      <c r="W408" s="18">
        <f>Parity!$X$55*Parity!$AG$55+IF(Parity!$Y$55,psic_cost_usd_per_box*Parity!$H$55/Parity!$W$55,0)</f>
        <v/>
      </c>
      <c r="X408" s="18">
        <f>($S408+$T408+$U408)*Parity!$Z$55/day_count_inr*Parity!$O$55</f>
        <v/>
      </c>
      <c r="Y408" s="18">
        <f>$V408*igst_credit_lag_days/day_count_inr*Parity!$O$55</f>
        <v/>
      </c>
      <c r="Z408" s="18">
        <f>$S408+$T408+$U408+$W408+$X408+$Y408+IF(igst_itc_available,0,$V408)</f>
        <v/>
      </c>
      <c r="AA408" s="18">
        <f>Parity!$N$55*kg_per_mt+domestic_anchor_premium_inr_t</f>
        <v/>
      </c>
      <c r="AB408" s="18">
        <f>(1-Parity!$AA$55)*Parity!$AD$55*heavies_net_value_frac_of_lme_al*Parity!$F$55*Parity!$H$55</f>
        <v/>
      </c>
      <c r="AC408" s="18">
        <f>$AA408*Parity!$AU$55+$AB408-$Z408-Parity!$AX$55</f>
        <v/>
      </c>
      <c r="AD408" s="8">
        <f>$AC408&gt;margin_threshold_inr_t</f>
        <v/>
      </c>
      <c r="AE408" s="18">
        <f>($AC408-$L408)*grid_tonnes_mt</f>
        <v/>
      </c>
    </row>
    <row r="409">
      <c r="A409" s="7" t="inlineStr">
        <is>
          <t>first_eligible_long_lane</t>
        </is>
      </c>
      <c r="B409" s="11" t="n">
        <v>44624</v>
      </c>
      <c r="C409" s="7" t="inlineStr">
        <is>
          <t>zorba</t>
        </is>
      </c>
      <c r="D409" s="7" t="inlineStr">
        <is>
          <t>USEC_MUN</t>
        </is>
      </c>
      <c r="E409" s="7" t="inlineStr">
        <is>
          <t>FOB_desk_books_freight</t>
        </is>
      </c>
      <c r="F409" s="20" t="n">
        <v>-40</v>
      </c>
      <c r="G409" s="20" t="n">
        <v>10</v>
      </c>
      <c r="H409" s="16">
        <f>Parity!$L$55*(1+$F409/100)</f>
        <v/>
      </c>
      <c r="I409" s="16">
        <f>Parity!$L$55*Parity!$AG$55*$F409/100</f>
        <v/>
      </c>
      <c r="J409" s="8">
        <f>IF($E409="FOB_desk_books_freight",Parity!$P$55+$I409/Parity!$F$55,Parity!$P$55)</f>
        <v/>
      </c>
      <c r="K409" s="8">
        <f>$G409/100</f>
        <v/>
      </c>
      <c r="L409" s="18">
        <f>Parity!$AY$55</f>
        <v/>
      </c>
      <c r="M409" s="16">
        <f>Parity!$F$55*$J409</f>
        <v/>
      </c>
      <c r="N409" s="16">
        <f>$H409*Parity!$AG$55</f>
        <v/>
      </c>
      <c r="O409" s="16">
        <f>$M409-$N409</f>
        <v/>
      </c>
      <c r="P409" s="16">
        <f>insurance_rate*insured_value_uplift*$M409</f>
        <v/>
      </c>
      <c r="Q409" s="16">
        <f>$M409+$P409</f>
        <v/>
      </c>
      <c r="R409" s="18">
        <f>$Q409*Parity!$J$55</f>
        <v/>
      </c>
      <c r="S409" s="18">
        <f>$Q409*Parity!$I$55</f>
        <v/>
      </c>
      <c r="T409" s="18">
        <f>$R409*$K409</f>
        <v/>
      </c>
      <c r="U409" s="18">
        <f>$T409*sws_rate_on_bcd</f>
        <v/>
      </c>
      <c r="V409" s="18">
        <f>($R409+$T409+$U409)*igst_rate_hs7602</f>
        <v/>
      </c>
      <c r="W409" s="18">
        <f>Parity!$X$55*Parity!$AG$55+IF(Parity!$Y$55,psic_cost_usd_per_box*Parity!$H$55/Parity!$W$55,0)</f>
        <v/>
      </c>
      <c r="X409" s="18">
        <f>($S409+$T409+$U409)*Parity!$Z$55/day_count_inr*Parity!$O$55</f>
        <v/>
      </c>
      <c r="Y409" s="18">
        <f>$V409*igst_credit_lag_days/day_count_inr*Parity!$O$55</f>
        <v/>
      </c>
      <c r="Z409" s="18">
        <f>$S409+$T409+$U409+$W409+$X409+$Y409+IF(igst_itc_available,0,$V409)</f>
        <v/>
      </c>
      <c r="AA409" s="18">
        <f>Parity!$N$55*kg_per_mt+domestic_anchor_premium_inr_t</f>
        <v/>
      </c>
      <c r="AB409" s="18">
        <f>(1-Parity!$AA$55)*Parity!$AD$55*heavies_net_value_frac_of_lme_al*Parity!$F$55*Parity!$H$55</f>
        <v/>
      </c>
      <c r="AC409" s="18">
        <f>$AA409*Parity!$AU$55+$AB409-$Z409-Parity!$AX$55</f>
        <v/>
      </c>
      <c r="AD409" s="8">
        <f>$AC409&gt;margin_threshold_inr_t</f>
        <v/>
      </c>
      <c r="AE409" s="18">
        <f>($AC409-$L409)*grid_tonnes_mt</f>
        <v/>
      </c>
    </row>
    <row r="410">
      <c r="A410" s="7" t="inlineStr">
        <is>
          <t>first_eligible_long_lane</t>
        </is>
      </c>
      <c r="B410" s="11" t="n">
        <v>44624</v>
      </c>
      <c r="C410" s="7" t="inlineStr">
        <is>
          <t>zorba</t>
        </is>
      </c>
      <c r="D410" s="7" t="inlineStr">
        <is>
          <t>USEC_MUN</t>
        </is>
      </c>
      <c r="E410" s="7" t="inlineStr">
        <is>
          <t>FOB_desk_books_freight</t>
        </is>
      </c>
      <c r="F410" s="20" t="n">
        <v>-20</v>
      </c>
      <c r="G410" s="20" t="n">
        <v>0</v>
      </c>
      <c r="H410" s="16">
        <f>Parity!$L$55*(1+$F410/100)</f>
        <v/>
      </c>
      <c r="I410" s="16">
        <f>Parity!$L$55*Parity!$AG$55*$F410/100</f>
        <v/>
      </c>
      <c r="J410" s="8">
        <f>IF($E410="FOB_desk_books_freight",Parity!$P$55+$I410/Parity!$F$55,Parity!$P$55)</f>
        <v/>
      </c>
      <c r="K410" s="8">
        <f>$G410/100</f>
        <v/>
      </c>
      <c r="L410" s="18">
        <f>Parity!$AY$55</f>
        <v/>
      </c>
      <c r="M410" s="16">
        <f>Parity!$F$55*$J410</f>
        <v/>
      </c>
      <c r="N410" s="16">
        <f>$H410*Parity!$AG$55</f>
        <v/>
      </c>
      <c r="O410" s="16">
        <f>$M410-$N410</f>
        <v/>
      </c>
      <c r="P410" s="16">
        <f>insurance_rate*insured_value_uplift*$M410</f>
        <v/>
      </c>
      <c r="Q410" s="16">
        <f>$M410+$P410</f>
        <v/>
      </c>
      <c r="R410" s="18">
        <f>$Q410*Parity!$J$55</f>
        <v/>
      </c>
      <c r="S410" s="18">
        <f>$Q410*Parity!$I$55</f>
        <v/>
      </c>
      <c r="T410" s="18">
        <f>$R410*$K410</f>
        <v/>
      </c>
      <c r="U410" s="18">
        <f>$T410*sws_rate_on_bcd</f>
        <v/>
      </c>
      <c r="V410" s="18">
        <f>($R410+$T410+$U410)*igst_rate_hs7602</f>
        <v/>
      </c>
      <c r="W410" s="18">
        <f>Parity!$X$55*Parity!$AG$55+IF(Parity!$Y$55,psic_cost_usd_per_box*Parity!$H$55/Parity!$W$55,0)</f>
        <v/>
      </c>
      <c r="X410" s="18">
        <f>($S410+$T410+$U410)*Parity!$Z$55/day_count_inr*Parity!$O$55</f>
        <v/>
      </c>
      <c r="Y410" s="18">
        <f>$V410*igst_credit_lag_days/day_count_inr*Parity!$O$55</f>
        <v/>
      </c>
      <c r="Z410" s="18">
        <f>$S410+$T410+$U410+$W410+$X410+$Y410+IF(igst_itc_available,0,$V410)</f>
        <v/>
      </c>
      <c r="AA410" s="18">
        <f>Parity!$N$55*kg_per_mt+domestic_anchor_premium_inr_t</f>
        <v/>
      </c>
      <c r="AB410" s="18">
        <f>(1-Parity!$AA$55)*Parity!$AD$55*heavies_net_value_frac_of_lme_al*Parity!$F$55*Parity!$H$55</f>
        <v/>
      </c>
      <c r="AC410" s="18">
        <f>$AA410*Parity!$AU$55+$AB410-$Z410-Parity!$AX$55</f>
        <v/>
      </c>
      <c r="AD410" s="8">
        <f>$AC410&gt;margin_threshold_inr_t</f>
        <v/>
      </c>
      <c r="AE410" s="18">
        <f>($AC410-$L410)*grid_tonnes_mt</f>
        <v/>
      </c>
    </row>
    <row r="411">
      <c r="A411" s="7" t="inlineStr">
        <is>
          <t>first_eligible_long_lane</t>
        </is>
      </c>
      <c r="B411" s="11" t="n">
        <v>44624</v>
      </c>
      <c r="C411" s="7" t="inlineStr">
        <is>
          <t>zorba</t>
        </is>
      </c>
      <c r="D411" s="7" t="inlineStr">
        <is>
          <t>USEC_MUN</t>
        </is>
      </c>
      <c r="E411" s="7" t="inlineStr">
        <is>
          <t>FOB_desk_books_freight</t>
        </is>
      </c>
      <c r="F411" s="20" t="n">
        <v>-20</v>
      </c>
      <c r="G411" s="20" t="n">
        <v>2.5</v>
      </c>
      <c r="H411" s="16">
        <f>Parity!$L$55*(1+$F411/100)</f>
        <v/>
      </c>
      <c r="I411" s="16">
        <f>Parity!$L$55*Parity!$AG$55*$F411/100</f>
        <v/>
      </c>
      <c r="J411" s="8">
        <f>IF($E411="FOB_desk_books_freight",Parity!$P$55+$I411/Parity!$F$55,Parity!$P$55)</f>
        <v/>
      </c>
      <c r="K411" s="8">
        <f>$G411/100</f>
        <v/>
      </c>
      <c r="L411" s="18">
        <f>Parity!$AY$55</f>
        <v/>
      </c>
      <c r="M411" s="16">
        <f>Parity!$F$55*$J411</f>
        <v/>
      </c>
      <c r="N411" s="16">
        <f>$H411*Parity!$AG$55</f>
        <v/>
      </c>
      <c r="O411" s="16">
        <f>$M411-$N411</f>
        <v/>
      </c>
      <c r="P411" s="16">
        <f>insurance_rate*insured_value_uplift*$M411</f>
        <v/>
      </c>
      <c r="Q411" s="16">
        <f>$M411+$P411</f>
        <v/>
      </c>
      <c r="R411" s="18">
        <f>$Q411*Parity!$J$55</f>
        <v/>
      </c>
      <c r="S411" s="18">
        <f>$Q411*Parity!$I$55</f>
        <v/>
      </c>
      <c r="T411" s="18">
        <f>$R411*$K411</f>
        <v/>
      </c>
      <c r="U411" s="18">
        <f>$T411*sws_rate_on_bcd</f>
        <v/>
      </c>
      <c r="V411" s="18">
        <f>($R411+$T411+$U411)*igst_rate_hs7602</f>
        <v/>
      </c>
      <c r="W411" s="18">
        <f>Parity!$X$55*Parity!$AG$55+IF(Parity!$Y$55,psic_cost_usd_per_box*Parity!$H$55/Parity!$W$55,0)</f>
        <v/>
      </c>
      <c r="X411" s="18">
        <f>($S411+$T411+$U411)*Parity!$Z$55/day_count_inr*Parity!$O$55</f>
        <v/>
      </c>
      <c r="Y411" s="18">
        <f>$V411*igst_credit_lag_days/day_count_inr*Parity!$O$55</f>
        <v/>
      </c>
      <c r="Z411" s="18">
        <f>$S411+$T411+$U411+$W411+$X411+$Y411+IF(igst_itc_available,0,$V411)</f>
        <v/>
      </c>
      <c r="AA411" s="18">
        <f>Parity!$N$55*kg_per_mt+domestic_anchor_premium_inr_t</f>
        <v/>
      </c>
      <c r="AB411" s="18">
        <f>(1-Parity!$AA$55)*Parity!$AD$55*heavies_net_value_frac_of_lme_al*Parity!$F$55*Parity!$H$55</f>
        <v/>
      </c>
      <c r="AC411" s="18">
        <f>$AA411*Parity!$AU$55+$AB411-$Z411-Parity!$AX$55</f>
        <v/>
      </c>
      <c r="AD411" s="8">
        <f>$AC411&gt;margin_threshold_inr_t</f>
        <v/>
      </c>
      <c r="AE411" s="18">
        <f>($AC411-$L411)*grid_tonnes_mt</f>
        <v/>
      </c>
    </row>
    <row r="412">
      <c r="A412" s="7" t="inlineStr">
        <is>
          <t>first_eligible_long_lane</t>
        </is>
      </c>
      <c r="B412" s="11" t="n">
        <v>44624</v>
      </c>
      <c r="C412" s="7" t="inlineStr">
        <is>
          <t>zorba</t>
        </is>
      </c>
      <c r="D412" s="7" t="inlineStr">
        <is>
          <t>USEC_MUN</t>
        </is>
      </c>
      <c r="E412" s="7" t="inlineStr">
        <is>
          <t>FOB_desk_books_freight</t>
        </is>
      </c>
      <c r="F412" s="20" t="n">
        <v>-20</v>
      </c>
      <c r="G412" s="20" t="n">
        <v>5</v>
      </c>
      <c r="H412" s="16">
        <f>Parity!$L$55*(1+$F412/100)</f>
        <v/>
      </c>
      <c r="I412" s="16">
        <f>Parity!$L$55*Parity!$AG$55*$F412/100</f>
        <v/>
      </c>
      <c r="J412" s="8">
        <f>IF($E412="FOB_desk_books_freight",Parity!$P$55+$I412/Parity!$F$55,Parity!$P$55)</f>
        <v/>
      </c>
      <c r="K412" s="8">
        <f>$G412/100</f>
        <v/>
      </c>
      <c r="L412" s="18">
        <f>Parity!$AY$55</f>
        <v/>
      </c>
      <c r="M412" s="16">
        <f>Parity!$F$55*$J412</f>
        <v/>
      </c>
      <c r="N412" s="16">
        <f>$H412*Parity!$AG$55</f>
        <v/>
      </c>
      <c r="O412" s="16">
        <f>$M412-$N412</f>
        <v/>
      </c>
      <c r="P412" s="16">
        <f>insurance_rate*insured_value_uplift*$M412</f>
        <v/>
      </c>
      <c r="Q412" s="16">
        <f>$M412+$P412</f>
        <v/>
      </c>
      <c r="R412" s="18">
        <f>$Q412*Parity!$J$55</f>
        <v/>
      </c>
      <c r="S412" s="18">
        <f>$Q412*Parity!$I$55</f>
        <v/>
      </c>
      <c r="T412" s="18">
        <f>$R412*$K412</f>
        <v/>
      </c>
      <c r="U412" s="18">
        <f>$T412*sws_rate_on_bcd</f>
        <v/>
      </c>
      <c r="V412" s="18">
        <f>($R412+$T412+$U412)*igst_rate_hs7602</f>
        <v/>
      </c>
      <c r="W412" s="18">
        <f>Parity!$X$55*Parity!$AG$55+IF(Parity!$Y$55,psic_cost_usd_per_box*Parity!$H$55/Parity!$W$55,0)</f>
        <v/>
      </c>
      <c r="X412" s="18">
        <f>($S412+$T412+$U412)*Parity!$Z$55/day_count_inr*Parity!$O$55</f>
        <v/>
      </c>
      <c r="Y412" s="18">
        <f>$V412*igst_credit_lag_days/day_count_inr*Parity!$O$55</f>
        <v/>
      </c>
      <c r="Z412" s="18">
        <f>$S412+$T412+$U412+$W412+$X412+$Y412+IF(igst_itc_available,0,$V412)</f>
        <v/>
      </c>
      <c r="AA412" s="18">
        <f>Parity!$N$55*kg_per_mt+domestic_anchor_premium_inr_t</f>
        <v/>
      </c>
      <c r="AB412" s="18">
        <f>(1-Parity!$AA$55)*Parity!$AD$55*heavies_net_value_frac_of_lme_al*Parity!$F$55*Parity!$H$55</f>
        <v/>
      </c>
      <c r="AC412" s="18">
        <f>$AA412*Parity!$AU$55+$AB412-$Z412-Parity!$AX$55</f>
        <v/>
      </c>
      <c r="AD412" s="8">
        <f>$AC412&gt;margin_threshold_inr_t</f>
        <v/>
      </c>
      <c r="AE412" s="18">
        <f>($AC412-$L412)*grid_tonnes_mt</f>
        <v/>
      </c>
    </row>
    <row r="413">
      <c r="A413" s="7" t="inlineStr">
        <is>
          <t>first_eligible_long_lane</t>
        </is>
      </c>
      <c r="B413" s="11" t="n">
        <v>44624</v>
      </c>
      <c r="C413" s="7" t="inlineStr">
        <is>
          <t>zorba</t>
        </is>
      </c>
      <c r="D413" s="7" t="inlineStr">
        <is>
          <t>USEC_MUN</t>
        </is>
      </c>
      <c r="E413" s="7" t="inlineStr">
        <is>
          <t>FOB_desk_books_freight</t>
        </is>
      </c>
      <c r="F413" s="20" t="n">
        <v>-20</v>
      </c>
      <c r="G413" s="20" t="n">
        <v>7.5</v>
      </c>
      <c r="H413" s="16">
        <f>Parity!$L$55*(1+$F413/100)</f>
        <v/>
      </c>
      <c r="I413" s="16">
        <f>Parity!$L$55*Parity!$AG$55*$F413/100</f>
        <v/>
      </c>
      <c r="J413" s="8">
        <f>IF($E413="FOB_desk_books_freight",Parity!$P$55+$I413/Parity!$F$55,Parity!$P$55)</f>
        <v/>
      </c>
      <c r="K413" s="8">
        <f>$G413/100</f>
        <v/>
      </c>
      <c r="L413" s="18">
        <f>Parity!$AY$55</f>
        <v/>
      </c>
      <c r="M413" s="16">
        <f>Parity!$F$55*$J413</f>
        <v/>
      </c>
      <c r="N413" s="16">
        <f>$H413*Parity!$AG$55</f>
        <v/>
      </c>
      <c r="O413" s="16">
        <f>$M413-$N413</f>
        <v/>
      </c>
      <c r="P413" s="16">
        <f>insurance_rate*insured_value_uplift*$M413</f>
        <v/>
      </c>
      <c r="Q413" s="16">
        <f>$M413+$P413</f>
        <v/>
      </c>
      <c r="R413" s="18">
        <f>$Q413*Parity!$J$55</f>
        <v/>
      </c>
      <c r="S413" s="18">
        <f>$Q413*Parity!$I$55</f>
        <v/>
      </c>
      <c r="T413" s="18">
        <f>$R413*$K413</f>
        <v/>
      </c>
      <c r="U413" s="18">
        <f>$T413*sws_rate_on_bcd</f>
        <v/>
      </c>
      <c r="V413" s="18">
        <f>($R413+$T413+$U413)*igst_rate_hs7602</f>
        <v/>
      </c>
      <c r="W413" s="18">
        <f>Parity!$X$55*Parity!$AG$55+IF(Parity!$Y$55,psic_cost_usd_per_box*Parity!$H$55/Parity!$W$55,0)</f>
        <v/>
      </c>
      <c r="X413" s="18">
        <f>($S413+$T413+$U413)*Parity!$Z$55/day_count_inr*Parity!$O$55</f>
        <v/>
      </c>
      <c r="Y413" s="18">
        <f>$V413*igst_credit_lag_days/day_count_inr*Parity!$O$55</f>
        <v/>
      </c>
      <c r="Z413" s="18">
        <f>$S413+$T413+$U413+$W413+$X413+$Y413+IF(igst_itc_available,0,$V413)</f>
        <v/>
      </c>
      <c r="AA413" s="18">
        <f>Parity!$N$55*kg_per_mt+domestic_anchor_premium_inr_t</f>
        <v/>
      </c>
      <c r="AB413" s="18">
        <f>(1-Parity!$AA$55)*Parity!$AD$55*heavies_net_value_frac_of_lme_al*Parity!$F$55*Parity!$H$55</f>
        <v/>
      </c>
      <c r="AC413" s="18">
        <f>$AA413*Parity!$AU$55+$AB413-$Z413-Parity!$AX$55</f>
        <v/>
      </c>
      <c r="AD413" s="8">
        <f>$AC413&gt;margin_threshold_inr_t</f>
        <v/>
      </c>
      <c r="AE413" s="18">
        <f>($AC413-$L413)*grid_tonnes_mt</f>
        <v/>
      </c>
    </row>
    <row r="414">
      <c r="A414" s="7" t="inlineStr">
        <is>
          <t>first_eligible_long_lane</t>
        </is>
      </c>
      <c r="B414" s="11" t="n">
        <v>44624</v>
      </c>
      <c r="C414" s="7" t="inlineStr">
        <is>
          <t>zorba</t>
        </is>
      </c>
      <c r="D414" s="7" t="inlineStr">
        <is>
          <t>USEC_MUN</t>
        </is>
      </c>
      <c r="E414" s="7" t="inlineStr">
        <is>
          <t>FOB_desk_books_freight</t>
        </is>
      </c>
      <c r="F414" s="20" t="n">
        <v>-20</v>
      </c>
      <c r="G414" s="20" t="n">
        <v>10</v>
      </c>
      <c r="H414" s="16">
        <f>Parity!$L$55*(1+$F414/100)</f>
        <v/>
      </c>
      <c r="I414" s="16">
        <f>Parity!$L$55*Parity!$AG$55*$F414/100</f>
        <v/>
      </c>
      <c r="J414" s="8">
        <f>IF($E414="FOB_desk_books_freight",Parity!$P$55+$I414/Parity!$F$55,Parity!$P$55)</f>
        <v/>
      </c>
      <c r="K414" s="8">
        <f>$G414/100</f>
        <v/>
      </c>
      <c r="L414" s="18">
        <f>Parity!$AY$55</f>
        <v/>
      </c>
      <c r="M414" s="16">
        <f>Parity!$F$55*$J414</f>
        <v/>
      </c>
      <c r="N414" s="16">
        <f>$H414*Parity!$AG$55</f>
        <v/>
      </c>
      <c r="O414" s="16">
        <f>$M414-$N414</f>
        <v/>
      </c>
      <c r="P414" s="16">
        <f>insurance_rate*insured_value_uplift*$M414</f>
        <v/>
      </c>
      <c r="Q414" s="16">
        <f>$M414+$P414</f>
        <v/>
      </c>
      <c r="R414" s="18">
        <f>$Q414*Parity!$J$55</f>
        <v/>
      </c>
      <c r="S414" s="18">
        <f>$Q414*Parity!$I$55</f>
        <v/>
      </c>
      <c r="T414" s="18">
        <f>$R414*$K414</f>
        <v/>
      </c>
      <c r="U414" s="18">
        <f>$T414*sws_rate_on_bcd</f>
        <v/>
      </c>
      <c r="V414" s="18">
        <f>($R414+$T414+$U414)*igst_rate_hs7602</f>
        <v/>
      </c>
      <c r="W414" s="18">
        <f>Parity!$X$55*Parity!$AG$55+IF(Parity!$Y$55,psic_cost_usd_per_box*Parity!$H$55/Parity!$W$55,0)</f>
        <v/>
      </c>
      <c r="X414" s="18">
        <f>($S414+$T414+$U414)*Parity!$Z$55/day_count_inr*Parity!$O$55</f>
        <v/>
      </c>
      <c r="Y414" s="18">
        <f>$V414*igst_credit_lag_days/day_count_inr*Parity!$O$55</f>
        <v/>
      </c>
      <c r="Z414" s="18">
        <f>$S414+$T414+$U414+$W414+$X414+$Y414+IF(igst_itc_available,0,$V414)</f>
        <v/>
      </c>
      <c r="AA414" s="18">
        <f>Parity!$N$55*kg_per_mt+domestic_anchor_premium_inr_t</f>
        <v/>
      </c>
      <c r="AB414" s="18">
        <f>(1-Parity!$AA$55)*Parity!$AD$55*heavies_net_value_frac_of_lme_al*Parity!$F$55*Parity!$H$55</f>
        <v/>
      </c>
      <c r="AC414" s="18">
        <f>$AA414*Parity!$AU$55+$AB414-$Z414-Parity!$AX$55</f>
        <v/>
      </c>
      <c r="AD414" s="8">
        <f>$AC414&gt;margin_threshold_inr_t</f>
        <v/>
      </c>
      <c r="AE414" s="18">
        <f>($AC414-$L414)*grid_tonnes_mt</f>
        <v/>
      </c>
    </row>
    <row r="415">
      <c r="A415" s="7" t="inlineStr">
        <is>
          <t>first_eligible_long_lane</t>
        </is>
      </c>
      <c r="B415" s="11" t="n">
        <v>44624</v>
      </c>
      <c r="C415" s="7" t="inlineStr">
        <is>
          <t>zorba</t>
        </is>
      </c>
      <c r="D415" s="7" t="inlineStr">
        <is>
          <t>USEC_MUN</t>
        </is>
      </c>
      <c r="E415" s="7" t="inlineStr">
        <is>
          <t>FOB_desk_books_freight</t>
        </is>
      </c>
      <c r="F415" s="20" t="n">
        <v>0</v>
      </c>
      <c r="G415" s="20" t="n">
        <v>0</v>
      </c>
      <c r="H415" s="16">
        <f>Parity!$L$55*(1+$F415/100)</f>
        <v/>
      </c>
      <c r="I415" s="16">
        <f>Parity!$L$55*Parity!$AG$55*$F415/100</f>
        <v/>
      </c>
      <c r="J415" s="8">
        <f>IF($E415="FOB_desk_books_freight",Parity!$P$55+$I415/Parity!$F$55,Parity!$P$55)</f>
        <v/>
      </c>
      <c r="K415" s="8">
        <f>$G415/100</f>
        <v/>
      </c>
      <c r="L415" s="18">
        <f>Parity!$AY$55</f>
        <v/>
      </c>
      <c r="M415" s="16">
        <f>Parity!$F$55*$J415</f>
        <v/>
      </c>
      <c r="N415" s="16">
        <f>$H415*Parity!$AG$55</f>
        <v/>
      </c>
      <c r="O415" s="16">
        <f>$M415-$N415</f>
        <v/>
      </c>
      <c r="P415" s="16">
        <f>insurance_rate*insured_value_uplift*$M415</f>
        <v/>
      </c>
      <c r="Q415" s="16">
        <f>$M415+$P415</f>
        <v/>
      </c>
      <c r="R415" s="18">
        <f>$Q415*Parity!$J$55</f>
        <v/>
      </c>
      <c r="S415" s="18">
        <f>$Q415*Parity!$I$55</f>
        <v/>
      </c>
      <c r="T415" s="18">
        <f>$R415*$K415</f>
        <v/>
      </c>
      <c r="U415" s="18">
        <f>$T415*sws_rate_on_bcd</f>
        <v/>
      </c>
      <c r="V415" s="18">
        <f>($R415+$T415+$U415)*igst_rate_hs7602</f>
        <v/>
      </c>
      <c r="W415" s="18">
        <f>Parity!$X$55*Parity!$AG$55+IF(Parity!$Y$55,psic_cost_usd_per_box*Parity!$H$55/Parity!$W$55,0)</f>
        <v/>
      </c>
      <c r="X415" s="18">
        <f>($S415+$T415+$U415)*Parity!$Z$55/day_count_inr*Parity!$O$55</f>
        <v/>
      </c>
      <c r="Y415" s="18">
        <f>$V415*igst_credit_lag_days/day_count_inr*Parity!$O$55</f>
        <v/>
      </c>
      <c r="Z415" s="18">
        <f>$S415+$T415+$U415+$W415+$X415+$Y415+IF(igst_itc_available,0,$V415)</f>
        <v/>
      </c>
      <c r="AA415" s="18">
        <f>Parity!$N$55*kg_per_mt+domestic_anchor_premium_inr_t</f>
        <v/>
      </c>
      <c r="AB415" s="18">
        <f>(1-Parity!$AA$55)*Parity!$AD$55*heavies_net_value_frac_of_lme_al*Parity!$F$55*Parity!$H$55</f>
        <v/>
      </c>
      <c r="AC415" s="18">
        <f>$AA415*Parity!$AU$55+$AB415-$Z415-Parity!$AX$55</f>
        <v/>
      </c>
      <c r="AD415" s="8">
        <f>$AC415&gt;margin_threshold_inr_t</f>
        <v/>
      </c>
      <c r="AE415" s="18">
        <f>($AC415-$L415)*grid_tonnes_mt</f>
        <v/>
      </c>
    </row>
    <row r="416">
      <c r="A416" s="7" t="inlineStr">
        <is>
          <t>first_eligible_long_lane</t>
        </is>
      </c>
      <c r="B416" s="11" t="n">
        <v>44624</v>
      </c>
      <c r="C416" s="7" t="inlineStr">
        <is>
          <t>zorba</t>
        </is>
      </c>
      <c r="D416" s="7" t="inlineStr">
        <is>
          <t>USEC_MUN</t>
        </is>
      </c>
      <c r="E416" s="7" t="inlineStr">
        <is>
          <t>FOB_desk_books_freight</t>
        </is>
      </c>
      <c r="F416" s="20" t="n">
        <v>0</v>
      </c>
      <c r="G416" s="20" t="n">
        <v>2.5</v>
      </c>
      <c r="H416" s="16">
        <f>Parity!$L$55*(1+$F416/100)</f>
        <v/>
      </c>
      <c r="I416" s="16">
        <f>Parity!$L$55*Parity!$AG$55*$F416/100</f>
        <v/>
      </c>
      <c r="J416" s="8">
        <f>IF($E416="FOB_desk_books_freight",Parity!$P$55+$I416/Parity!$F$55,Parity!$P$55)</f>
        <v/>
      </c>
      <c r="K416" s="8">
        <f>$G416/100</f>
        <v/>
      </c>
      <c r="L416" s="18">
        <f>Parity!$AY$55</f>
        <v/>
      </c>
      <c r="M416" s="16">
        <f>Parity!$F$55*$J416</f>
        <v/>
      </c>
      <c r="N416" s="16">
        <f>$H416*Parity!$AG$55</f>
        <v/>
      </c>
      <c r="O416" s="16">
        <f>$M416-$N416</f>
        <v/>
      </c>
      <c r="P416" s="16">
        <f>insurance_rate*insured_value_uplift*$M416</f>
        <v/>
      </c>
      <c r="Q416" s="16">
        <f>$M416+$P416</f>
        <v/>
      </c>
      <c r="R416" s="18">
        <f>$Q416*Parity!$J$55</f>
        <v/>
      </c>
      <c r="S416" s="18">
        <f>$Q416*Parity!$I$55</f>
        <v/>
      </c>
      <c r="T416" s="18">
        <f>$R416*$K416</f>
        <v/>
      </c>
      <c r="U416" s="18">
        <f>$T416*sws_rate_on_bcd</f>
        <v/>
      </c>
      <c r="V416" s="18">
        <f>($R416+$T416+$U416)*igst_rate_hs7602</f>
        <v/>
      </c>
      <c r="W416" s="18">
        <f>Parity!$X$55*Parity!$AG$55+IF(Parity!$Y$55,psic_cost_usd_per_box*Parity!$H$55/Parity!$W$55,0)</f>
        <v/>
      </c>
      <c r="X416" s="18">
        <f>($S416+$T416+$U416)*Parity!$Z$55/day_count_inr*Parity!$O$55</f>
        <v/>
      </c>
      <c r="Y416" s="18">
        <f>$V416*igst_credit_lag_days/day_count_inr*Parity!$O$55</f>
        <v/>
      </c>
      <c r="Z416" s="18">
        <f>$S416+$T416+$U416+$W416+$X416+$Y416+IF(igst_itc_available,0,$V416)</f>
        <v/>
      </c>
      <c r="AA416" s="18">
        <f>Parity!$N$55*kg_per_mt+domestic_anchor_premium_inr_t</f>
        <v/>
      </c>
      <c r="AB416" s="18">
        <f>(1-Parity!$AA$55)*Parity!$AD$55*heavies_net_value_frac_of_lme_al*Parity!$F$55*Parity!$H$55</f>
        <v/>
      </c>
      <c r="AC416" s="18">
        <f>$AA416*Parity!$AU$55+$AB416-$Z416-Parity!$AX$55</f>
        <v/>
      </c>
      <c r="AD416" s="8">
        <f>$AC416&gt;margin_threshold_inr_t</f>
        <v/>
      </c>
      <c r="AE416" s="18">
        <f>($AC416-$L416)*grid_tonnes_mt</f>
        <v/>
      </c>
    </row>
    <row r="417">
      <c r="A417" s="7" t="inlineStr">
        <is>
          <t>first_eligible_long_lane</t>
        </is>
      </c>
      <c r="B417" s="11" t="n">
        <v>44624</v>
      </c>
      <c r="C417" s="7" t="inlineStr">
        <is>
          <t>zorba</t>
        </is>
      </c>
      <c r="D417" s="7" t="inlineStr">
        <is>
          <t>USEC_MUN</t>
        </is>
      </c>
      <c r="E417" s="7" t="inlineStr">
        <is>
          <t>FOB_desk_books_freight</t>
        </is>
      </c>
      <c r="F417" s="20" t="n">
        <v>0</v>
      </c>
      <c r="G417" s="20" t="n">
        <v>5</v>
      </c>
      <c r="H417" s="16">
        <f>Parity!$L$55*(1+$F417/100)</f>
        <v/>
      </c>
      <c r="I417" s="16">
        <f>Parity!$L$55*Parity!$AG$55*$F417/100</f>
        <v/>
      </c>
      <c r="J417" s="8">
        <f>IF($E417="FOB_desk_books_freight",Parity!$P$55+$I417/Parity!$F$55,Parity!$P$55)</f>
        <v/>
      </c>
      <c r="K417" s="8">
        <f>$G417/100</f>
        <v/>
      </c>
      <c r="L417" s="18">
        <f>Parity!$AY$55</f>
        <v/>
      </c>
      <c r="M417" s="16">
        <f>Parity!$F$55*$J417</f>
        <v/>
      </c>
      <c r="N417" s="16">
        <f>$H417*Parity!$AG$55</f>
        <v/>
      </c>
      <c r="O417" s="16">
        <f>$M417-$N417</f>
        <v/>
      </c>
      <c r="P417" s="16">
        <f>insurance_rate*insured_value_uplift*$M417</f>
        <v/>
      </c>
      <c r="Q417" s="16">
        <f>$M417+$P417</f>
        <v/>
      </c>
      <c r="R417" s="18">
        <f>$Q417*Parity!$J$55</f>
        <v/>
      </c>
      <c r="S417" s="18">
        <f>$Q417*Parity!$I$55</f>
        <v/>
      </c>
      <c r="T417" s="18">
        <f>$R417*$K417</f>
        <v/>
      </c>
      <c r="U417" s="18">
        <f>$T417*sws_rate_on_bcd</f>
        <v/>
      </c>
      <c r="V417" s="18">
        <f>($R417+$T417+$U417)*igst_rate_hs7602</f>
        <v/>
      </c>
      <c r="W417" s="18">
        <f>Parity!$X$55*Parity!$AG$55+IF(Parity!$Y$55,psic_cost_usd_per_box*Parity!$H$55/Parity!$W$55,0)</f>
        <v/>
      </c>
      <c r="X417" s="18">
        <f>($S417+$T417+$U417)*Parity!$Z$55/day_count_inr*Parity!$O$55</f>
        <v/>
      </c>
      <c r="Y417" s="18">
        <f>$V417*igst_credit_lag_days/day_count_inr*Parity!$O$55</f>
        <v/>
      </c>
      <c r="Z417" s="18">
        <f>$S417+$T417+$U417+$W417+$X417+$Y417+IF(igst_itc_available,0,$V417)</f>
        <v/>
      </c>
      <c r="AA417" s="18">
        <f>Parity!$N$55*kg_per_mt+domestic_anchor_premium_inr_t</f>
        <v/>
      </c>
      <c r="AB417" s="18">
        <f>(1-Parity!$AA$55)*Parity!$AD$55*heavies_net_value_frac_of_lme_al*Parity!$F$55*Parity!$H$55</f>
        <v/>
      </c>
      <c r="AC417" s="18">
        <f>$AA417*Parity!$AU$55+$AB417-$Z417-Parity!$AX$55</f>
        <v/>
      </c>
      <c r="AD417" s="8">
        <f>$AC417&gt;margin_threshold_inr_t</f>
        <v/>
      </c>
      <c r="AE417" s="18">
        <f>($AC417-$L417)*grid_tonnes_mt</f>
        <v/>
      </c>
    </row>
    <row r="418">
      <c r="A418" s="7" t="inlineStr">
        <is>
          <t>first_eligible_long_lane</t>
        </is>
      </c>
      <c r="B418" s="11" t="n">
        <v>44624</v>
      </c>
      <c r="C418" s="7" t="inlineStr">
        <is>
          <t>zorba</t>
        </is>
      </c>
      <c r="D418" s="7" t="inlineStr">
        <is>
          <t>USEC_MUN</t>
        </is>
      </c>
      <c r="E418" s="7" t="inlineStr">
        <is>
          <t>FOB_desk_books_freight</t>
        </is>
      </c>
      <c r="F418" s="20" t="n">
        <v>0</v>
      </c>
      <c r="G418" s="20" t="n">
        <v>7.5</v>
      </c>
      <c r="H418" s="16">
        <f>Parity!$L$55*(1+$F418/100)</f>
        <v/>
      </c>
      <c r="I418" s="16">
        <f>Parity!$L$55*Parity!$AG$55*$F418/100</f>
        <v/>
      </c>
      <c r="J418" s="8">
        <f>IF($E418="FOB_desk_books_freight",Parity!$P$55+$I418/Parity!$F$55,Parity!$P$55)</f>
        <v/>
      </c>
      <c r="K418" s="8">
        <f>$G418/100</f>
        <v/>
      </c>
      <c r="L418" s="18">
        <f>Parity!$AY$55</f>
        <v/>
      </c>
      <c r="M418" s="16">
        <f>Parity!$F$55*$J418</f>
        <v/>
      </c>
      <c r="N418" s="16">
        <f>$H418*Parity!$AG$55</f>
        <v/>
      </c>
      <c r="O418" s="16">
        <f>$M418-$N418</f>
        <v/>
      </c>
      <c r="P418" s="16">
        <f>insurance_rate*insured_value_uplift*$M418</f>
        <v/>
      </c>
      <c r="Q418" s="16">
        <f>$M418+$P418</f>
        <v/>
      </c>
      <c r="R418" s="18">
        <f>$Q418*Parity!$J$55</f>
        <v/>
      </c>
      <c r="S418" s="18">
        <f>$Q418*Parity!$I$55</f>
        <v/>
      </c>
      <c r="T418" s="18">
        <f>$R418*$K418</f>
        <v/>
      </c>
      <c r="U418" s="18">
        <f>$T418*sws_rate_on_bcd</f>
        <v/>
      </c>
      <c r="V418" s="18">
        <f>($R418+$T418+$U418)*igst_rate_hs7602</f>
        <v/>
      </c>
      <c r="W418" s="18">
        <f>Parity!$X$55*Parity!$AG$55+IF(Parity!$Y$55,psic_cost_usd_per_box*Parity!$H$55/Parity!$W$55,0)</f>
        <v/>
      </c>
      <c r="X418" s="18">
        <f>($S418+$T418+$U418)*Parity!$Z$55/day_count_inr*Parity!$O$55</f>
        <v/>
      </c>
      <c r="Y418" s="18">
        <f>$V418*igst_credit_lag_days/day_count_inr*Parity!$O$55</f>
        <v/>
      </c>
      <c r="Z418" s="18">
        <f>$S418+$T418+$U418+$W418+$X418+$Y418+IF(igst_itc_available,0,$V418)</f>
        <v/>
      </c>
      <c r="AA418" s="18">
        <f>Parity!$N$55*kg_per_mt+domestic_anchor_premium_inr_t</f>
        <v/>
      </c>
      <c r="AB418" s="18">
        <f>(1-Parity!$AA$55)*Parity!$AD$55*heavies_net_value_frac_of_lme_al*Parity!$F$55*Parity!$H$55</f>
        <v/>
      </c>
      <c r="AC418" s="18">
        <f>$AA418*Parity!$AU$55+$AB418-$Z418-Parity!$AX$55</f>
        <v/>
      </c>
      <c r="AD418" s="8">
        <f>$AC418&gt;margin_threshold_inr_t</f>
        <v/>
      </c>
      <c r="AE418" s="18">
        <f>($AC418-$L418)*grid_tonnes_mt</f>
        <v/>
      </c>
    </row>
    <row r="419">
      <c r="A419" s="7" t="inlineStr">
        <is>
          <t>first_eligible_long_lane</t>
        </is>
      </c>
      <c r="B419" s="11" t="n">
        <v>44624</v>
      </c>
      <c r="C419" s="7" t="inlineStr">
        <is>
          <t>zorba</t>
        </is>
      </c>
      <c r="D419" s="7" t="inlineStr">
        <is>
          <t>USEC_MUN</t>
        </is>
      </c>
      <c r="E419" s="7" t="inlineStr">
        <is>
          <t>FOB_desk_books_freight</t>
        </is>
      </c>
      <c r="F419" s="20" t="n">
        <v>0</v>
      </c>
      <c r="G419" s="20" t="n">
        <v>10</v>
      </c>
      <c r="H419" s="16">
        <f>Parity!$L$55*(1+$F419/100)</f>
        <v/>
      </c>
      <c r="I419" s="16">
        <f>Parity!$L$55*Parity!$AG$55*$F419/100</f>
        <v/>
      </c>
      <c r="J419" s="8">
        <f>IF($E419="FOB_desk_books_freight",Parity!$P$55+$I419/Parity!$F$55,Parity!$P$55)</f>
        <v/>
      </c>
      <c r="K419" s="8">
        <f>$G419/100</f>
        <v/>
      </c>
      <c r="L419" s="18">
        <f>Parity!$AY$55</f>
        <v/>
      </c>
      <c r="M419" s="16">
        <f>Parity!$F$55*$J419</f>
        <v/>
      </c>
      <c r="N419" s="16">
        <f>$H419*Parity!$AG$55</f>
        <v/>
      </c>
      <c r="O419" s="16">
        <f>$M419-$N419</f>
        <v/>
      </c>
      <c r="P419" s="16">
        <f>insurance_rate*insured_value_uplift*$M419</f>
        <v/>
      </c>
      <c r="Q419" s="16">
        <f>$M419+$P419</f>
        <v/>
      </c>
      <c r="R419" s="18">
        <f>$Q419*Parity!$J$55</f>
        <v/>
      </c>
      <c r="S419" s="18">
        <f>$Q419*Parity!$I$55</f>
        <v/>
      </c>
      <c r="T419" s="18">
        <f>$R419*$K419</f>
        <v/>
      </c>
      <c r="U419" s="18">
        <f>$T419*sws_rate_on_bcd</f>
        <v/>
      </c>
      <c r="V419" s="18">
        <f>($R419+$T419+$U419)*igst_rate_hs7602</f>
        <v/>
      </c>
      <c r="W419" s="18">
        <f>Parity!$X$55*Parity!$AG$55+IF(Parity!$Y$55,psic_cost_usd_per_box*Parity!$H$55/Parity!$W$55,0)</f>
        <v/>
      </c>
      <c r="X419" s="18">
        <f>($S419+$T419+$U419)*Parity!$Z$55/day_count_inr*Parity!$O$55</f>
        <v/>
      </c>
      <c r="Y419" s="18">
        <f>$V419*igst_credit_lag_days/day_count_inr*Parity!$O$55</f>
        <v/>
      </c>
      <c r="Z419" s="18">
        <f>$S419+$T419+$U419+$W419+$X419+$Y419+IF(igst_itc_available,0,$V419)</f>
        <v/>
      </c>
      <c r="AA419" s="18">
        <f>Parity!$N$55*kg_per_mt+domestic_anchor_premium_inr_t</f>
        <v/>
      </c>
      <c r="AB419" s="18">
        <f>(1-Parity!$AA$55)*Parity!$AD$55*heavies_net_value_frac_of_lme_al*Parity!$F$55*Parity!$H$55</f>
        <v/>
      </c>
      <c r="AC419" s="18">
        <f>$AA419*Parity!$AU$55+$AB419-$Z419-Parity!$AX$55</f>
        <v/>
      </c>
      <c r="AD419" s="8">
        <f>$AC419&gt;margin_threshold_inr_t</f>
        <v/>
      </c>
      <c r="AE419" s="18">
        <f>($AC419-$L419)*grid_tonnes_mt</f>
        <v/>
      </c>
    </row>
    <row r="420">
      <c r="A420" s="7" t="inlineStr">
        <is>
          <t>first_eligible_long_lane</t>
        </is>
      </c>
      <c r="B420" s="11" t="n">
        <v>44624</v>
      </c>
      <c r="C420" s="7" t="inlineStr">
        <is>
          <t>zorba</t>
        </is>
      </c>
      <c r="D420" s="7" t="inlineStr">
        <is>
          <t>USEC_MUN</t>
        </is>
      </c>
      <c r="E420" s="7" t="inlineStr">
        <is>
          <t>FOB_desk_books_freight</t>
        </is>
      </c>
      <c r="F420" s="20" t="n">
        <v>20</v>
      </c>
      <c r="G420" s="20" t="n">
        <v>0</v>
      </c>
      <c r="H420" s="16">
        <f>Parity!$L$55*(1+$F420/100)</f>
        <v/>
      </c>
      <c r="I420" s="16">
        <f>Parity!$L$55*Parity!$AG$55*$F420/100</f>
        <v/>
      </c>
      <c r="J420" s="8">
        <f>IF($E420="FOB_desk_books_freight",Parity!$P$55+$I420/Parity!$F$55,Parity!$P$55)</f>
        <v/>
      </c>
      <c r="K420" s="8">
        <f>$G420/100</f>
        <v/>
      </c>
      <c r="L420" s="18">
        <f>Parity!$AY$55</f>
        <v/>
      </c>
      <c r="M420" s="16">
        <f>Parity!$F$55*$J420</f>
        <v/>
      </c>
      <c r="N420" s="16">
        <f>$H420*Parity!$AG$55</f>
        <v/>
      </c>
      <c r="O420" s="16">
        <f>$M420-$N420</f>
        <v/>
      </c>
      <c r="P420" s="16">
        <f>insurance_rate*insured_value_uplift*$M420</f>
        <v/>
      </c>
      <c r="Q420" s="16">
        <f>$M420+$P420</f>
        <v/>
      </c>
      <c r="R420" s="18">
        <f>$Q420*Parity!$J$55</f>
        <v/>
      </c>
      <c r="S420" s="18">
        <f>$Q420*Parity!$I$55</f>
        <v/>
      </c>
      <c r="T420" s="18">
        <f>$R420*$K420</f>
        <v/>
      </c>
      <c r="U420" s="18">
        <f>$T420*sws_rate_on_bcd</f>
        <v/>
      </c>
      <c r="V420" s="18">
        <f>($R420+$T420+$U420)*igst_rate_hs7602</f>
        <v/>
      </c>
      <c r="W420" s="18">
        <f>Parity!$X$55*Parity!$AG$55+IF(Parity!$Y$55,psic_cost_usd_per_box*Parity!$H$55/Parity!$W$55,0)</f>
        <v/>
      </c>
      <c r="X420" s="18">
        <f>($S420+$T420+$U420)*Parity!$Z$55/day_count_inr*Parity!$O$55</f>
        <v/>
      </c>
      <c r="Y420" s="18">
        <f>$V420*igst_credit_lag_days/day_count_inr*Parity!$O$55</f>
        <v/>
      </c>
      <c r="Z420" s="18">
        <f>$S420+$T420+$U420+$W420+$X420+$Y420+IF(igst_itc_available,0,$V420)</f>
        <v/>
      </c>
      <c r="AA420" s="18">
        <f>Parity!$N$55*kg_per_mt+domestic_anchor_premium_inr_t</f>
        <v/>
      </c>
      <c r="AB420" s="18">
        <f>(1-Parity!$AA$55)*Parity!$AD$55*heavies_net_value_frac_of_lme_al*Parity!$F$55*Parity!$H$55</f>
        <v/>
      </c>
      <c r="AC420" s="18">
        <f>$AA420*Parity!$AU$55+$AB420-$Z420-Parity!$AX$55</f>
        <v/>
      </c>
      <c r="AD420" s="8">
        <f>$AC420&gt;margin_threshold_inr_t</f>
        <v/>
      </c>
      <c r="AE420" s="18">
        <f>($AC420-$L420)*grid_tonnes_mt</f>
        <v/>
      </c>
    </row>
    <row r="421">
      <c r="A421" s="7" t="inlineStr">
        <is>
          <t>first_eligible_long_lane</t>
        </is>
      </c>
      <c r="B421" s="11" t="n">
        <v>44624</v>
      </c>
      <c r="C421" s="7" t="inlineStr">
        <is>
          <t>zorba</t>
        </is>
      </c>
      <c r="D421" s="7" t="inlineStr">
        <is>
          <t>USEC_MUN</t>
        </is>
      </c>
      <c r="E421" s="7" t="inlineStr">
        <is>
          <t>FOB_desk_books_freight</t>
        </is>
      </c>
      <c r="F421" s="20" t="n">
        <v>20</v>
      </c>
      <c r="G421" s="20" t="n">
        <v>2.5</v>
      </c>
      <c r="H421" s="16">
        <f>Parity!$L$55*(1+$F421/100)</f>
        <v/>
      </c>
      <c r="I421" s="16">
        <f>Parity!$L$55*Parity!$AG$55*$F421/100</f>
        <v/>
      </c>
      <c r="J421" s="8">
        <f>IF($E421="FOB_desk_books_freight",Parity!$P$55+$I421/Parity!$F$55,Parity!$P$55)</f>
        <v/>
      </c>
      <c r="K421" s="8">
        <f>$G421/100</f>
        <v/>
      </c>
      <c r="L421" s="18">
        <f>Parity!$AY$55</f>
        <v/>
      </c>
      <c r="M421" s="16">
        <f>Parity!$F$55*$J421</f>
        <v/>
      </c>
      <c r="N421" s="16">
        <f>$H421*Parity!$AG$55</f>
        <v/>
      </c>
      <c r="O421" s="16">
        <f>$M421-$N421</f>
        <v/>
      </c>
      <c r="P421" s="16">
        <f>insurance_rate*insured_value_uplift*$M421</f>
        <v/>
      </c>
      <c r="Q421" s="16">
        <f>$M421+$P421</f>
        <v/>
      </c>
      <c r="R421" s="18">
        <f>$Q421*Parity!$J$55</f>
        <v/>
      </c>
      <c r="S421" s="18">
        <f>$Q421*Parity!$I$55</f>
        <v/>
      </c>
      <c r="T421" s="18">
        <f>$R421*$K421</f>
        <v/>
      </c>
      <c r="U421" s="18">
        <f>$T421*sws_rate_on_bcd</f>
        <v/>
      </c>
      <c r="V421" s="18">
        <f>($R421+$T421+$U421)*igst_rate_hs7602</f>
        <v/>
      </c>
      <c r="W421" s="18">
        <f>Parity!$X$55*Parity!$AG$55+IF(Parity!$Y$55,psic_cost_usd_per_box*Parity!$H$55/Parity!$W$55,0)</f>
        <v/>
      </c>
      <c r="X421" s="18">
        <f>($S421+$T421+$U421)*Parity!$Z$55/day_count_inr*Parity!$O$55</f>
        <v/>
      </c>
      <c r="Y421" s="18">
        <f>$V421*igst_credit_lag_days/day_count_inr*Parity!$O$55</f>
        <v/>
      </c>
      <c r="Z421" s="18">
        <f>$S421+$T421+$U421+$W421+$X421+$Y421+IF(igst_itc_available,0,$V421)</f>
        <v/>
      </c>
      <c r="AA421" s="18">
        <f>Parity!$N$55*kg_per_mt+domestic_anchor_premium_inr_t</f>
        <v/>
      </c>
      <c r="AB421" s="18">
        <f>(1-Parity!$AA$55)*Parity!$AD$55*heavies_net_value_frac_of_lme_al*Parity!$F$55*Parity!$H$55</f>
        <v/>
      </c>
      <c r="AC421" s="18">
        <f>$AA421*Parity!$AU$55+$AB421-$Z421-Parity!$AX$55</f>
        <v/>
      </c>
      <c r="AD421" s="8">
        <f>$AC421&gt;margin_threshold_inr_t</f>
        <v/>
      </c>
      <c r="AE421" s="18">
        <f>($AC421-$L421)*grid_tonnes_mt</f>
        <v/>
      </c>
    </row>
    <row r="422">
      <c r="A422" s="7" t="inlineStr">
        <is>
          <t>first_eligible_long_lane</t>
        </is>
      </c>
      <c r="B422" s="11" t="n">
        <v>44624</v>
      </c>
      <c r="C422" s="7" t="inlineStr">
        <is>
          <t>zorba</t>
        </is>
      </c>
      <c r="D422" s="7" t="inlineStr">
        <is>
          <t>USEC_MUN</t>
        </is>
      </c>
      <c r="E422" s="7" t="inlineStr">
        <is>
          <t>FOB_desk_books_freight</t>
        </is>
      </c>
      <c r="F422" s="20" t="n">
        <v>20</v>
      </c>
      <c r="G422" s="20" t="n">
        <v>5</v>
      </c>
      <c r="H422" s="16">
        <f>Parity!$L$55*(1+$F422/100)</f>
        <v/>
      </c>
      <c r="I422" s="16">
        <f>Parity!$L$55*Parity!$AG$55*$F422/100</f>
        <v/>
      </c>
      <c r="J422" s="8">
        <f>IF($E422="FOB_desk_books_freight",Parity!$P$55+$I422/Parity!$F$55,Parity!$P$55)</f>
        <v/>
      </c>
      <c r="K422" s="8">
        <f>$G422/100</f>
        <v/>
      </c>
      <c r="L422" s="18">
        <f>Parity!$AY$55</f>
        <v/>
      </c>
      <c r="M422" s="16">
        <f>Parity!$F$55*$J422</f>
        <v/>
      </c>
      <c r="N422" s="16">
        <f>$H422*Parity!$AG$55</f>
        <v/>
      </c>
      <c r="O422" s="16">
        <f>$M422-$N422</f>
        <v/>
      </c>
      <c r="P422" s="16">
        <f>insurance_rate*insured_value_uplift*$M422</f>
        <v/>
      </c>
      <c r="Q422" s="16">
        <f>$M422+$P422</f>
        <v/>
      </c>
      <c r="R422" s="18">
        <f>$Q422*Parity!$J$55</f>
        <v/>
      </c>
      <c r="S422" s="18">
        <f>$Q422*Parity!$I$55</f>
        <v/>
      </c>
      <c r="T422" s="18">
        <f>$R422*$K422</f>
        <v/>
      </c>
      <c r="U422" s="18">
        <f>$T422*sws_rate_on_bcd</f>
        <v/>
      </c>
      <c r="V422" s="18">
        <f>($R422+$T422+$U422)*igst_rate_hs7602</f>
        <v/>
      </c>
      <c r="W422" s="18">
        <f>Parity!$X$55*Parity!$AG$55+IF(Parity!$Y$55,psic_cost_usd_per_box*Parity!$H$55/Parity!$W$55,0)</f>
        <v/>
      </c>
      <c r="X422" s="18">
        <f>($S422+$T422+$U422)*Parity!$Z$55/day_count_inr*Parity!$O$55</f>
        <v/>
      </c>
      <c r="Y422" s="18">
        <f>$V422*igst_credit_lag_days/day_count_inr*Parity!$O$55</f>
        <v/>
      </c>
      <c r="Z422" s="18">
        <f>$S422+$T422+$U422+$W422+$X422+$Y422+IF(igst_itc_available,0,$V422)</f>
        <v/>
      </c>
      <c r="AA422" s="18">
        <f>Parity!$N$55*kg_per_mt+domestic_anchor_premium_inr_t</f>
        <v/>
      </c>
      <c r="AB422" s="18">
        <f>(1-Parity!$AA$55)*Parity!$AD$55*heavies_net_value_frac_of_lme_al*Parity!$F$55*Parity!$H$55</f>
        <v/>
      </c>
      <c r="AC422" s="18">
        <f>$AA422*Parity!$AU$55+$AB422-$Z422-Parity!$AX$55</f>
        <v/>
      </c>
      <c r="AD422" s="8">
        <f>$AC422&gt;margin_threshold_inr_t</f>
        <v/>
      </c>
      <c r="AE422" s="18">
        <f>($AC422-$L422)*grid_tonnes_mt</f>
        <v/>
      </c>
    </row>
    <row r="423">
      <c r="A423" s="7" t="inlineStr">
        <is>
          <t>first_eligible_long_lane</t>
        </is>
      </c>
      <c r="B423" s="11" t="n">
        <v>44624</v>
      </c>
      <c r="C423" s="7" t="inlineStr">
        <is>
          <t>zorba</t>
        </is>
      </c>
      <c r="D423" s="7" t="inlineStr">
        <is>
          <t>USEC_MUN</t>
        </is>
      </c>
      <c r="E423" s="7" t="inlineStr">
        <is>
          <t>FOB_desk_books_freight</t>
        </is>
      </c>
      <c r="F423" s="20" t="n">
        <v>20</v>
      </c>
      <c r="G423" s="20" t="n">
        <v>7.5</v>
      </c>
      <c r="H423" s="16">
        <f>Parity!$L$55*(1+$F423/100)</f>
        <v/>
      </c>
      <c r="I423" s="16">
        <f>Parity!$L$55*Parity!$AG$55*$F423/100</f>
        <v/>
      </c>
      <c r="J423" s="8">
        <f>IF($E423="FOB_desk_books_freight",Parity!$P$55+$I423/Parity!$F$55,Parity!$P$55)</f>
        <v/>
      </c>
      <c r="K423" s="8">
        <f>$G423/100</f>
        <v/>
      </c>
      <c r="L423" s="18">
        <f>Parity!$AY$55</f>
        <v/>
      </c>
      <c r="M423" s="16">
        <f>Parity!$F$55*$J423</f>
        <v/>
      </c>
      <c r="N423" s="16">
        <f>$H423*Parity!$AG$55</f>
        <v/>
      </c>
      <c r="O423" s="16">
        <f>$M423-$N423</f>
        <v/>
      </c>
      <c r="P423" s="16">
        <f>insurance_rate*insured_value_uplift*$M423</f>
        <v/>
      </c>
      <c r="Q423" s="16">
        <f>$M423+$P423</f>
        <v/>
      </c>
      <c r="R423" s="18">
        <f>$Q423*Parity!$J$55</f>
        <v/>
      </c>
      <c r="S423" s="18">
        <f>$Q423*Parity!$I$55</f>
        <v/>
      </c>
      <c r="T423" s="18">
        <f>$R423*$K423</f>
        <v/>
      </c>
      <c r="U423" s="18">
        <f>$T423*sws_rate_on_bcd</f>
        <v/>
      </c>
      <c r="V423" s="18">
        <f>($R423+$T423+$U423)*igst_rate_hs7602</f>
        <v/>
      </c>
      <c r="W423" s="18">
        <f>Parity!$X$55*Parity!$AG$55+IF(Parity!$Y$55,psic_cost_usd_per_box*Parity!$H$55/Parity!$W$55,0)</f>
        <v/>
      </c>
      <c r="X423" s="18">
        <f>($S423+$T423+$U423)*Parity!$Z$55/day_count_inr*Parity!$O$55</f>
        <v/>
      </c>
      <c r="Y423" s="18">
        <f>$V423*igst_credit_lag_days/day_count_inr*Parity!$O$55</f>
        <v/>
      </c>
      <c r="Z423" s="18">
        <f>$S423+$T423+$U423+$W423+$X423+$Y423+IF(igst_itc_available,0,$V423)</f>
        <v/>
      </c>
      <c r="AA423" s="18">
        <f>Parity!$N$55*kg_per_mt+domestic_anchor_premium_inr_t</f>
        <v/>
      </c>
      <c r="AB423" s="18">
        <f>(1-Parity!$AA$55)*Parity!$AD$55*heavies_net_value_frac_of_lme_al*Parity!$F$55*Parity!$H$55</f>
        <v/>
      </c>
      <c r="AC423" s="18">
        <f>$AA423*Parity!$AU$55+$AB423-$Z423-Parity!$AX$55</f>
        <v/>
      </c>
      <c r="AD423" s="8">
        <f>$AC423&gt;margin_threshold_inr_t</f>
        <v/>
      </c>
      <c r="AE423" s="18">
        <f>($AC423-$L423)*grid_tonnes_mt</f>
        <v/>
      </c>
    </row>
    <row r="424">
      <c r="A424" s="7" t="inlineStr">
        <is>
          <t>first_eligible_long_lane</t>
        </is>
      </c>
      <c r="B424" s="11" t="n">
        <v>44624</v>
      </c>
      <c r="C424" s="7" t="inlineStr">
        <is>
          <t>zorba</t>
        </is>
      </c>
      <c r="D424" s="7" t="inlineStr">
        <is>
          <t>USEC_MUN</t>
        </is>
      </c>
      <c r="E424" s="7" t="inlineStr">
        <is>
          <t>FOB_desk_books_freight</t>
        </is>
      </c>
      <c r="F424" s="20" t="n">
        <v>20</v>
      </c>
      <c r="G424" s="20" t="n">
        <v>10</v>
      </c>
      <c r="H424" s="16">
        <f>Parity!$L$55*(1+$F424/100)</f>
        <v/>
      </c>
      <c r="I424" s="16">
        <f>Parity!$L$55*Parity!$AG$55*$F424/100</f>
        <v/>
      </c>
      <c r="J424" s="8">
        <f>IF($E424="FOB_desk_books_freight",Parity!$P$55+$I424/Parity!$F$55,Parity!$P$55)</f>
        <v/>
      </c>
      <c r="K424" s="8">
        <f>$G424/100</f>
        <v/>
      </c>
      <c r="L424" s="18">
        <f>Parity!$AY$55</f>
        <v/>
      </c>
      <c r="M424" s="16">
        <f>Parity!$F$55*$J424</f>
        <v/>
      </c>
      <c r="N424" s="16">
        <f>$H424*Parity!$AG$55</f>
        <v/>
      </c>
      <c r="O424" s="16">
        <f>$M424-$N424</f>
        <v/>
      </c>
      <c r="P424" s="16">
        <f>insurance_rate*insured_value_uplift*$M424</f>
        <v/>
      </c>
      <c r="Q424" s="16">
        <f>$M424+$P424</f>
        <v/>
      </c>
      <c r="R424" s="18">
        <f>$Q424*Parity!$J$55</f>
        <v/>
      </c>
      <c r="S424" s="18">
        <f>$Q424*Parity!$I$55</f>
        <v/>
      </c>
      <c r="T424" s="18">
        <f>$R424*$K424</f>
        <v/>
      </c>
      <c r="U424" s="18">
        <f>$T424*sws_rate_on_bcd</f>
        <v/>
      </c>
      <c r="V424" s="18">
        <f>($R424+$T424+$U424)*igst_rate_hs7602</f>
        <v/>
      </c>
      <c r="W424" s="18">
        <f>Parity!$X$55*Parity!$AG$55+IF(Parity!$Y$55,psic_cost_usd_per_box*Parity!$H$55/Parity!$W$55,0)</f>
        <v/>
      </c>
      <c r="X424" s="18">
        <f>($S424+$T424+$U424)*Parity!$Z$55/day_count_inr*Parity!$O$55</f>
        <v/>
      </c>
      <c r="Y424" s="18">
        <f>$V424*igst_credit_lag_days/day_count_inr*Parity!$O$55</f>
        <v/>
      </c>
      <c r="Z424" s="18">
        <f>$S424+$T424+$U424+$W424+$X424+$Y424+IF(igst_itc_available,0,$V424)</f>
        <v/>
      </c>
      <c r="AA424" s="18">
        <f>Parity!$N$55*kg_per_mt+domestic_anchor_premium_inr_t</f>
        <v/>
      </c>
      <c r="AB424" s="18">
        <f>(1-Parity!$AA$55)*Parity!$AD$55*heavies_net_value_frac_of_lme_al*Parity!$F$55*Parity!$H$55</f>
        <v/>
      </c>
      <c r="AC424" s="18">
        <f>$AA424*Parity!$AU$55+$AB424-$Z424-Parity!$AX$55</f>
        <v/>
      </c>
      <c r="AD424" s="8">
        <f>$AC424&gt;margin_threshold_inr_t</f>
        <v/>
      </c>
      <c r="AE424" s="18">
        <f>($AC424-$L424)*grid_tonnes_mt</f>
        <v/>
      </c>
    </row>
    <row r="425">
      <c r="A425" s="7" t="inlineStr">
        <is>
          <t>first_eligible_long_lane</t>
        </is>
      </c>
      <c r="B425" s="11" t="n">
        <v>44624</v>
      </c>
      <c r="C425" s="7" t="inlineStr">
        <is>
          <t>zorba</t>
        </is>
      </c>
      <c r="D425" s="7" t="inlineStr">
        <is>
          <t>USEC_MUN</t>
        </is>
      </c>
      <c r="E425" s="7" t="inlineStr">
        <is>
          <t>FOB_desk_books_freight</t>
        </is>
      </c>
      <c r="F425" s="20" t="n">
        <v>40</v>
      </c>
      <c r="G425" s="20" t="n">
        <v>0</v>
      </c>
      <c r="H425" s="16">
        <f>Parity!$L$55*(1+$F425/100)</f>
        <v/>
      </c>
      <c r="I425" s="16">
        <f>Parity!$L$55*Parity!$AG$55*$F425/100</f>
        <v/>
      </c>
      <c r="J425" s="8">
        <f>IF($E425="FOB_desk_books_freight",Parity!$P$55+$I425/Parity!$F$55,Parity!$P$55)</f>
        <v/>
      </c>
      <c r="K425" s="8">
        <f>$G425/100</f>
        <v/>
      </c>
      <c r="L425" s="18">
        <f>Parity!$AY$55</f>
        <v/>
      </c>
      <c r="M425" s="16">
        <f>Parity!$F$55*$J425</f>
        <v/>
      </c>
      <c r="N425" s="16">
        <f>$H425*Parity!$AG$55</f>
        <v/>
      </c>
      <c r="O425" s="16">
        <f>$M425-$N425</f>
        <v/>
      </c>
      <c r="P425" s="16">
        <f>insurance_rate*insured_value_uplift*$M425</f>
        <v/>
      </c>
      <c r="Q425" s="16">
        <f>$M425+$P425</f>
        <v/>
      </c>
      <c r="R425" s="18">
        <f>$Q425*Parity!$J$55</f>
        <v/>
      </c>
      <c r="S425" s="18">
        <f>$Q425*Parity!$I$55</f>
        <v/>
      </c>
      <c r="T425" s="18">
        <f>$R425*$K425</f>
        <v/>
      </c>
      <c r="U425" s="18">
        <f>$T425*sws_rate_on_bcd</f>
        <v/>
      </c>
      <c r="V425" s="18">
        <f>($R425+$T425+$U425)*igst_rate_hs7602</f>
        <v/>
      </c>
      <c r="W425" s="18">
        <f>Parity!$X$55*Parity!$AG$55+IF(Parity!$Y$55,psic_cost_usd_per_box*Parity!$H$55/Parity!$W$55,0)</f>
        <v/>
      </c>
      <c r="X425" s="18">
        <f>($S425+$T425+$U425)*Parity!$Z$55/day_count_inr*Parity!$O$55</f>
        <v/>
      </c>
      <c r="Y425" s="18">
        <f>$V425*igst_credit_lag_days/day_count_inr*Parity!$O$55</f>
        <v/>
      </c>
      <c r="Z425" s="18">
        <f>$S425+$T425+$U425+$W425+$X425+$Y425+IF(igst_itc_available,0,$V425)</f>
        <v/>
      </c>
      <c r="AA425" s="18">
        <f>Parity!$N$55*kg_per_mt+domestic_anchor_premium_inr_t</f>
        <v/>
      </c>
      <c r="AB425" s="18">
        <f>(1-Parity!$AA$55)*Parity!$AD$55*heavies_net_value_frac_of_lme_al*Parity!$F$55*Parity!$H$55</f>
        <v/>
      </c>
      <c r="AC425" s="18">
        <f>$AA425*Parity!$AU$55+$AB425-$Z425-Parity!$AX$55</f>
        <v/>
      </c>
      <c r="AD425" s="8">
        <f>$AC425&gt;margin_threshold_inr_t</f>
        <v/>
      </c>
      <c r="AE425" s="18">
        <f>($AC425-$L425)*grid_tonnes_mt</f>
        <v/>
      </c>
    </row>
    <row r="426">
      <c r="A426" s="7" t="inlineStr">
        <is>
          <t>first_eligible_long_lane</t>
        </is>
      </c>
      <c r="B426" s="11" t="n">
        <v>44624</v>
      </c>
      <c r="C426" s="7" t="inlineStr">
        <is>
          <t>zorba</t>
        </is>
      </c>
      <c r="D426" s="7" t="inlineStr">
        <is>
          <t>USEC_MUN</t>
        </is>
      </c>
      <c r="E426" s="7" t="inlineStr">
        <is>
          <t>FOB_desk_books_freight</t>
        </is>
      </c>
      <c r="F426" s="20" t="n">
        <v>40</v>
      </c>
      <c r="G426" s="20" t="n">
        <v>2.5</v>
      </c>
      <c r="H426" s="16">
        <f>Parity!$L$55*(1+$F426/100)</f>
        <v/>
      </c>
      <c r="I426" s="16">
        <f>Parity!$L$55*Parity!$AG$55*$F426/100</f>
        <v/>
      </c>
      <c r="J426" s="8">
        <f>IF($E426="FOB_desk_books_freight",Parity!$P$55+$I426/Parity!$F$55,Parity!$P$55)</f>
        <v/>
      </c>
      <c r="K426" s="8">
        <f>$G426/100</f>
        <v/>
      </c>
      <c r="L426" s="18">
        <f>Parity!$AY$55</f>
        <v/>
      </c>
      <c r="M426" s="16">
        <f>Parity!$F$55*$J426</f>
        <v/>
      </c>
      <c r="N426" s="16">
        <f>$H426*Parity!$AG$55</f>
        <v/>
      </c>
      <c r="O426" s="16">
        <f>$M426-$N426</f>
        <v/>
      </c>
      <c r="P426" s="16">
        <f>insurance_rate*insured_value_uplift*$M426</f>
        <v/>
      </c>
      <c r="Q426" s="16">
        <f>$M426+$P426</f>
        <v/>
      </c>
      <c r="R426" s="18">
        <f>$Q426*Parity!$J$55</f>
        <v/>
      </c>
      <c r="S426" s="18">
        <f>$Q426*Parity!$I$55</f>
        <v/>
      </c>
      <c r="T426" s="18">
        <f>$R426*$K426</f>
        <v/>
      </c>
      <c r="U426" s="18">
        <f>$T426*sws_rate_on_bcd</f>
        <v/>
      </c>
      <c r="V426" s="18">
        <f>($R426+$T426+$U426)*igst_rate_hs7602</f>
        <v/>
      </c>
      <c r="W426" s="18">
        <f>Parity!$X$55*Parity!$AG$55+IF(Parity!$Y$55,psic_cost_usd_per_box*Parity!$H$55/Parity!$W$55,0)</f>
        <v/>
      </c>
      <c r="X426" s="18">
        <f>($S426+$T426+$U426)*Parity!$Z$55/day_count_inr*Parity!$O$55</f>
        <v/>
      </c>
      <c r="Y426" s="18">
        <f>$V426*igst_credit_lag_days/day_count_inr*Parity!$O$55</f>
        <v/>
      </c>
      <c r="Z426" s="18">
        <f>$S426+$T426+$U426+$W426+$X426+$Y426+IF(igst_itc_available,0,$V426)</f>
        <v/>
      </c>
      <c r="AA426" s="18">
        <f>Parity!$N$55*kg_per_mt+domestic_anchor_premium_inr_t</f>
        <v/>
      </c>
      <c r="AB426" s="18">
        <f>(1-Parity!$AA$55)*Parity!$AD$55*heavies_net_value_frac_of_lme_al*Parity!$F$55*Parity!$H$55</f>
        <v/>
      </c>
      <c r="AC426" s="18">
        <f>$AA426*Parity!$AU$55+$AB426-$Z426-Parity!$AX$55</f>
        <v/>
      </c>
      <c r="AD426" s="8">
        <f>$AC426&gt;margin_threshold_inr_t</f>
        <v/>
      </c>
      <c r="AE426" s="18">
        <f>($AC426-$L426)*grid_tonnes_mt</f>
        <v/>
      </c>
    </row>
    <row r="427">
      <c r="A427" s="7" t="inlineStr">
        <is>
          <t>first_eligible_long_lane</t>
        </is>
      </c>
      <c r="B427" s="11" t="n">
        <v>44624</v>
      </c>
      <c r="C427" s="7" t="inlineStr">
        <is>
          <t>zorba</t>
        </is>
      </c>
      <c r="D427" s="7" t="inlineStr">
        <is>
          <t>USEC_MUN</t>
        </is>
      </c>
      <c r="E427" s="7" t="inlineStr">
        <is>
          <t>FOB_desk_books_freight</t>
        </is>
      </c>
      <c r="F427" s="20" t="n">
        <v>40</v>
      </c>
      <c r="G427" s="20" t="n">
        <v>5</v>
      </c>
      <c r="H427" s="16">
        <f>Parity!$L$55*(1+$F427/100)</f>
        <v/>
      </c>
      <c r="I427" s="16">
        <f>Parity!$L$55*Parity!$AG$55*$F427/100</f>
        <v/>
      </c>
      <c r="J427" s="8">
        <f>IF($E427="FOB_desk_books_freight",Parity!$P$55+$I427/Parity!$F$55,Parity!$P$55)</f>
        <v/>
      </c>
      <c r="K427" s="8">
        <f>$G427/100</f>
        <v/>
      </c>
      <c r="L427" s="18">
        <f>Parity!$AY$55</f>
        <v/>
      </c>
      <c r="M427" s="16">
        <f>Parity!$F$55*$J427</f>
        <v/>
      </c>
      <c r="N427" s="16">
        <f>$H427*Parity!$AG$55</f>
        <v/>
      </c>
      <c r="O427" s="16">
        <f>$M427-$N427</f>
        <v/>
      </c>
      <c r="P427" s="16">
        <f>insurance_rate*insured_value_uplift*$M427</f>
        <v/>
      </c>
      <c r="Q427" s="16">
        <f>$M427+$P427</f>
        <v/>
      </c>
      <c r="R427" s="18">
        <f>$Q427*Parity!$J$55</f>
        <v/>
      </c>
      <c r="S427" s="18">
        <f>$Q427*Parity!$I$55</f>
        <v/>
      </c>
      <c r="T427" s="18">
        <f>$R427*$K427</f>
        <v/>
      </c>
      <c r="U427" s="18">
        <f>$T427*sws_rate_on_bcd</f>
        <v/>
      </c>
      <c r="V427" s="18">
        <f>($R427+$T427+$U427)*igst_rate_hs7602</f>
        <v/>
      </c>
      <c r="W427" s="18">
        <f>Parity!$X$55*Parity!$AG$55+IF(Parity!$Y$55,psic_cost_usd_per_box*Parity!$H$55/Parity!$W$55,0)</f>
        <v/>
      </c>
      <c r="X427" s="18">
        <f>($S427+$T427+$U427)*Parity!$Z$55/day_count_inr*Parity!$O$55</f>
        <v/>
      </c>
      <c r="Y427" s="18">
        <f>$V427*igst_credit_lag_days/day_count_inr*Parity!$O$55</f>
        <v/>
      </c>
      <c r="Z427" s="18">
        <f>$S427+$T427+$U427+$W427+$X427+$Y427+IF(igst_itc_available,0,$V427)</f>
        <v/>
      </c>
      <c r="AA427" s="18">
        <f>Parity!$N$55*kg_per_mt+domestic_anchor_premium_inr_t</f>
        <v/>
      </c>
      <c r="AB427" s="18">
        <f>(1-Parity!$AA$55)*Parity!$AD$55*heavies_net_value_frac_of_lme_al*Parity!$F$55*Parity!$H$55</f>
        <v/>
      </c>
      <c r="AC427" s="18">
        <f>$AA427*Parity!$AU$55+$AB427-$Z427-Parity!$AX$55</f>
        <v/>
      </c>
      <c r="AD427" s="8">
        <f>$AC427&gt;margin_threshold_inr_t</f>
        <v/>
      </c>
      <c r="AE427" s="18">
        <f>($AC427-$L427)*grid_tonnes_mt</f>
        <v/>
      </c>
    </row>
    <row r="428">
      <c r="A428" s="7" t="inlineStr">
        <is>
          <t>first_eligible_long_lane</t>
        </is>
      </c>
      <c r="B428" s="11" t="n">
        <v>44624</v>
      </c>
      <c r="C428" s="7" t="inlineStr">
        <is>
          <t>zorba</t>
        </is>
      </c>
      <c r="D428" s="7" t="inlineStr">
        <is>
          <t>USEC_MUN</t>
        </is>
      </c>
      <c r="E428" s="7" t="inlineStr">
        <is>
          <t>FOB_desk_books_freight</t>
        </is>
      </c>
      <c r="F428" s="20" t="n">
        <v>40</v>
      </c>
      <c r="G428" s="20" t="n">
        <v>7.5</v>
      </c>
      <c r="H428" s="16">
        <f>Parity!$L$55*(1+$F428/100)</f>
        <v/>
      </c>
      <c r="I428" s="16">
        <f>Parity!$L$55*Parity!$AG$55*$F428/100</f>
        <v/>
      </c>
      <c r="J428" s="8">
        <f>IF($E428="FOB_desk_books_freight",Parity!$P$55+$I428/Parity!$F$55,Parity!$P$55)</f>
        <v/>
      </c>
      <c r="K428" s="8">
        <f>$G428/100</f>
        <v/>
      </c>
      <c r="L428" s="18">
        <f>Parity!$AY$55</f>
        <v/>
      </c>
      <c r="M428" s="16">
        <f>Parity!$F$55*$J428</f>
        <v/>
      </c>
      <c r="N428" s="16">
        <f>$H428*Parity!$AG$55</f>
        <v/>
      </c>
      <c r="O428" s="16">
        <f>$M428-$N428</f>
        <v/>
      </c>
      <c r="P428" s="16">
        <f>insurance_rate*insured_value_uplift*$M428</f>
        <v/>
      </c>
      <c r="Q428" s="16">
        <f>$M428+$P428</f>
        <v/>
      </c>
      <c r="R428" s="18">
        <f>$Q428*Parity!$J$55</f>
        <v/>
      </c>
      <c r="S428" s="18">
        <f>$Q428*Parity!$I$55</f>
        <v/>
      </c>
      <c r="T428" s="18">
        <f>$R428*$K428</f>
        <v/>
      </c>
      <c r="U428" s="18">
        <f>$T428*sws_rate_on_bcd</f>
        <v/>
      </c>
      <c r="V428" s="18">
        <f>($R428+$T428+$U428)*igst_rate_hs7602</f>
        <v/>
      </c>
      <c r="W428" s="18">
        <f>Parity!$X$55*Parity!$AG$55+IF(Parity!$Y$55,psic_cost_usd_per_box*Parity!$H$55/Parity!$W$55,0)</f>
        <v/>
      </c>
      <c r="X428" s="18">
        <f>($S428+$T428+$U428)*Parity!$Z$55/day_count_inr*Parity!$O$55</f>
        <v/>
      </c>
      <c r="Y428" s="18">
        <f>$V428*igst_credit_lag_days/day_count_inr*Parity!$O$55</f>
        <v/>
      </c>
      <c r="Z428" s="18">
        <f>$S428+$T428+$U428+$W428+$X428+$Y428+IF(igst_itc_available,0,$V428)</f>
        <v/>
      </c>
      <c r="AA428" s="18">
        <f>Parity!$N$55*kg_per_mt+domestic_anchor_premium_inr_t</f>
        <v/>
      </c>
      <c r="AB428" s="18">
        <f>(1-Parity!$AA$55)*Parity!$AD$55*heavies_net_value_frac_of_lme_al*Parity!$F$55*Parity!$H$55</f>
        <v/>
      </c>
      <c r="AC428" s="18">
        <f>$AA428*Parity!$AU$55+$AB428-$Z428-Parity!$AX$55</f>
        <v/>
      </c>
      <c r="AD428" s="8">
        <f>$AC428&gt;margin_threshold_inr_t</f>
        <v/>
      </c>
      <c r="AE428" s="18">
        <f>($AC428-$L428)*grid_tonnes_mt</f>
        <v/>
      </c>
    </row>
    <row r="429">
      <c r="A429" s="7" t="inlineStr">
        <is>
          <t>first_eligible_long_lane</t>
        </is>
      </c>
      <c r="B429" s="11" t="n">
        <v>44624</v>
      </c>
      <c r="C429" s="7" t="inlineStr">
        <is>
          <t>zorba</t>
        </is>
      </c>
      <c r="D429" s="7" t="inlineStr">
        <is>
          <t>USEC_MUN</t>
        </is>
      </c>
      <c r="E429" s="7" t="inlineStr">
        <is>
          <t>FOB_desk_books_freight</t>
        </is>
      </c>
      <c r="F429" s="20" t="n">
        <v>40</v>
      </c>
      <c r="G429" s="20" t="n">
        <v>10</v>
      </c>
      <c r="H429" s="16">
        <f>Parity!$L$55*(1+$F429/100)</f>
        <v/>
      </c>
      <c r="I429" s="16">
        <f>Parity!$L$55*Parity!$AG$55*$F429/100</f>
        <v/>
      </c>
      <c r="J429" s="8">
        <f>IF($E429="FOB_desk_books_freight",Parity!$P$55+$I429/Parity!$F$55,Parity!$P$55)</f>
        <v/>
      </c>
      <c r="K429" s="8">
        <f>$G429/100</f>
        <v/>
      </c>
      <c r="L429" s="18">
        <f>Parity!$AY$55</f>
        <v/>
      </c>
      <c r="M429" s="16">
        <f>Parity!$F$55*$J429</f>
        <v/>
      </c>
      <c r="N429" s="16">
        <f>$H429*Parity!$AG$55</f>
        <v/>
      </c>
      <c r="O429" s="16">
        <f>$M429-$N429</f>
        <v/>
      </c>
      <c r="P429" s="16">
        <f>insurance_rate*insured_value_uplift*$M429</f>
        <v/>
      </c>
      <c r="Q429" s="16">
        <f>$M429+$P429</f>
        <v/>
      </c>
      <c r="R429" s="18">
        <f>$Q429*Parity!$J$55</f>
        <v/>
      </c>
      <c r="S429" s="18">
        <f>$Q429*Parity!$I$55</f>
        <v/>
      </c>
      <c r="T429" s="18">
        <f>$R429*$K429</f>
        <v/>
      </c>
      <c r="U429" s="18">
        <f>$T429*sws_rate_on_bcd</f>
        <v/>
      </c>
      <c r="V429" s="18">
        <f>($R429+$T429+$U429)*igst_rate_hs7602</f>
        <v/>
      </c>
      <c r="W429" s="18">
        <f>Parity!$X$55*Parity!$AG$55+IF(Parity!$Y$55,psic_cost_usd_per_box*Parity!$H$55/Parity!$W$55,0)</f>
        <v/>
      </c>
      <c r="X429" s="18">
        <f>($S429+$T429+$U429)*Parity!$Z$55/day_count_inr*Parity!$O$55</f>
        <v/>
      </c>
      <c r="Y429" s="18">
        <f>$V429*igst_credit_lag_days/day_count_inr*Parity!$O$55</f>
        <v/>
      </c>
      <c r="Z429" s="18">
        <f>$S429+$T429+$U429+$W429+$X429+$Y429+IF(igst_itc_available,0,$V429)</f>
        <v/>
      </c>
      <c r="AA429" s="18">
        <f>Parity!$N$55*kg_per_mt+domestic_anchor_premium_inr_t</f>
        <v/>
      </c>
      <c r="AB429" s="18">
        <f>(1-Parity!$AA$55)*Parity!$AD$55*heavies_net_value_frac_of_lme_al*Parity!$F$55*Parity!$H$55</f>
        <v/>
      </c>
      <c r="AC429" s="18">
        <f>$AA429*Parity!$AU$55+$AB429-$Z429-Parity!$AX$55</f>
        <v/>
      </c>
      <c r="AD429" s="8">
        <f>$AC429&gt;margin_threshold_inr_t</f>
        <v/>
      </c>
      <c r="AE429" s="18">
        <f>($AC429-$L429)*grid_tonnes_mt</f>
        <v/>
      </c>
    </row>
    <row r="430">
      <c r="A430" s="7" t="inlineStr">
        <is>
          <t>first_eligible_long_lane</t>
        </is>
      </c>
      <c r="B430" s="11" t="n">
        <v>44624</v>
      </c>
      <c r="C430" s="7" t="inlineStr">
        <is>
          <t>zorba</t>
        </is>
      </c>
      <c r="D430" s="7" t="inlineStr">
        <is>
          <t>USEC_MUN</t>
        </is>
      </c>
      <c r="E430" s="7" t="inlineStr">
        <is>
          <t>FOB_desk_books_freight</t>
        </is>
      </c>
      <c r="F430" s="20" t="n">
        <v>60</v>
      </c>
      <c r="G430" s="20" t="n">
        <v>0</v>
      </c>
      <c r="H430" s="16">
        <f>Parity!$L$55*(1+$F430/100)</f>
        <v/>
      </c>
      <c r="I430" s="16">
        <f>Parity!$L$55*Parity!$AG$55*$F430/100</f>
        <v/>
      </c>
      <c r="J430" s="8">
        <f>IF($E430="FOB_desk_books_freight",Parity!$P$55+$I430/Parity!$F$55,Parity!$P$55)</f>
        <v/>
      </c>
      <c r="K430" s="8">
        <f>$G430/100</f>
        <v/>
      </c>
      <c r="L430" s="18">
        <f>Parity!$AY$55</f>
        <v/>
      </c>
      <c r="M430" s="16">
        <f>Parity!$F$55*$J430</f>
        <v/>
      </c>
      <c r="N430" s="16">
        <f>$H430*Parity!$AG$55</f>
        <v/>
      </c>
      <c r="O430" s="16">
        <f>$M430-$N430</f>
        <v/>
      </c>
      <c r="P430" s="16">
        <f>insurance_rate*insured_value_uplift*$M430</f>
        <v/>
      </c>
      <c r="Q430" s="16">
        <f>$M430+$P430</f>
        <v/>
      </c>
      <c r="R430" s="18">
        <f>$Q430*Parity!$J$55</f>
        <v/>
      </c>
      <c r="S430" s="18">
        <f>$Q430*Parity!$I$55</f>
        <v/>
      </c>
      <c r="T430" s="18">
        <f>$R430*$K430</f>
        <v/>
      </c>
      <c r="U430" s="18">
        <f>$T430*sws_rate_on_bcd</f>
        <v/>
      </c>
      <c r="V430" s="18">
        <f>($R430+$T430+$U430)*igst_rate_hs7602</f>
        <v/>
      </c>
      <c r="W430" s="18">
        <f>Parity!$X$55*Parity!$AG$55+IF(Parity!$Y$55,psic_cost_usd_per_box*Parity!$H$55/Parity!$W$55,0)</f>
        <v/>
      </c>
      <c r="X430" s="18">
        <f>($S430+$T430+$U430)*Parity!$Z$55/day_count_inr*Parity!$O$55</f>
        <v/>
      </c>
      <c r="Y430" s="18">
        <f>$V430*igst_credit_lag_days/day_count_inr*Parity!$O$55</f>
        <v/>
      </c>
      <c r="Z430" s="18">
        <f>$S430+$T430+$U430+$W430+$X430+$Y430+IF(igst_itc_available,0,$V430)</f>
        <v/>
      </c>
      <c r="AA430" s="18">
        <f>Parity!$N$55*kg_per_mt+domestic_anchor_premium_inr_t</f>
        <v/>
      </c>
      <c r="AB430" s="18">
        <f>(1-Parity!$AA$55)*Parity!$AD$55*heavies_net_value_frac_of_lme_al*Parity!$F$55*Parity!$H$55</f>
        <v/>
      </c>
      <c r="AC430" s="18">
        <f>$AA430*Parity!$AU$55+$AB430-$Z430-Parity!$AX$55</f>
        <v/>
      </c>
      <c r="AD430" s="8">
        <f>$AC430&gt;margin_threshold_inr_t</f>
        <v/>
      </c>
      <c r="AE430" s="18">
        <f>($AC430-$L430)*grid_tonnes_mt</f>
        <v/>
      </c>
    </row>
    <row r="431">
      <c r="A431" s="7" t="inlineStr">
        <is>
          <t>first_eligible_long_lane</t>
        </is>
      </c>
      <c r="B431" s="11" t="n">
        <v>44624</v>
      </c>
      <c r="C431" s="7" t="inlineStr">
        <is>
          <t>zorba</t>
        </is>
      </c>
      <c r="D431" s="7" t="inlineStr">
        <is>
          <t>USEC_MUN</t>
        </is>
      </c>
      <c r="E431" s="7" t="inlineStr">
        <is>
          <t>FOB_desk_books_freight</t>
        </is>
      </c>
      <c r="F431" s="20" t="n">
        <v>60</v>
      </c>
      <c r="G431" s="20" t="n">
        <v>2.5</v>
      </c>
      <c r="H431" s="16">
        <f>Parity!$L$55*(1+$F431/100)</f>
        <v/>
      </c>
      <c r="I431" s="16">
        <f>Parity!$L$55*Parity!$AG$55*$F431/100</f>
        <v/>
      </c>
      <c r="J431" s="8">
        <f>IF($E431="FOB_desk_books_freight",Parity!$P$55+$I431/Parity!$F$55,Parity!$P$55)</f>
        <v/>
      </c>
      <c r="K431" s="8">
        <f>$G431/100</f>
        <v/>
      </c>
      <c r="L431" s="18">
        <f>Parity!$AY$55</f>
        <v/>
      </c>
      <c r="M431" s="16">
        <f>Parity!$F$55*$J431</f>
        <v/>
      </c>
      <c r="N431" s="16">
        <f>$H431*Parity!$AG$55</f>
        <v/>
      </c>
      <c r="O431" s="16">
        <f>$M431-$N431</f>
        <v/>
      </c>
      <c r="P431" s="16">
        <f>insurance_rate*insured_value_uplift*$M431</f>
        <v/>
      </c>
      <c r="Q431" s="16">
        <f>$M431+$P431</f>
        <v/>
      </c>
      <c r="R431" s="18">
        <f>$Q431*Parity!$J$55</f>
        <v/>
      </c>
      <c r="S431" s="18">
        <f>$Q431*Parity!$I$55</f>
        <v/>
      </c>
      <c r="T431" s="18">
        <f>$R431*$K431</f>
        <v/>
      </c>
      <c r="U431" s="18">
        <f>$T431*sws_rate_on_bcd</f>
        <v/>
      </c>
      <c r="V431" s="18">
        <f>($R431+$T431+$U431)*igst_rate_hs7602</f>
        <v/>
      </c>
      <c r="W431" s="18">
        <f>Parity!$X$55*Parity!$AG$55+IF(Parity!$Y$55,psic_cost_usd_per_box*Parity!$H$55/Parity!$W$55,0)</f>
        <v/>
      </c>
      <c r="X431" s="18">
        <f>($S431+$T431+$U431)*Parity!$Z$55/day_count_inr*Parity!$O$55</f>
        <v/>
      </c>
      <c r="Y431" s="18">
        <f>$V431*igst_credit_lag_days/day_count_inr*Parity!$O$55</f>
        <v/>
      </c>
      <c r="Z431" s="18">
        <f>$S431+$T431+$U431+$W431+$X431+$Y431+IF(igst_itc_available,0,$V431)</f>
        <v/>
      </c>
      <c r="AA431" s="18">
        <f>Parity!$N$55*kg_per_mt+domestic_anchor_premium_inr_t</f>
        <v/>
      </c>
      <c r="AB431" s="18">
        <f>(1-Parity!$AA$55)*Parity!$AD$55*heavies_net_value_frac_of_lme_al*Parity!$F$55*Parity!$H$55</f>
        <v/>
      </c>
      <c r="AC431" s="18">
        <f>$AA431*Parity!$AU$55+$AB431-$Z431-Parity!$AX$55</f>
        <v/>
      </c>
      <c r="AD431" s="8">
        <f>$AC431&gt;margin_threshold_inr_t</f>
        <v/>
      </c>
      <c r="AE431" s="18">
        <f>($AC431-$L431)*grid_tonnes_mt</f>
        <v/>
      </c>
    </row>
    <row r="432">
      <c r="A432" s="7" t="inlineStr">
        <is>
          <t>first_eligible_long_lane</t>
        </is>
      </c>
      <c r="B432" s="11" t="n">
        <v>44624</v>
      </c>
      <c r="C432" s="7" t="inlineStr">
        <is>
          <t>zorba</t>
        </is>
      </c>
      <c r="D432" s="7" t="inlineStr">
        <is>
          <t>USEC_MUN</t>
        </is>
      </c>
      <c r="E432" s="7" t="inlineStr">
        <is>
          <t>FOB_desk_books_freight</t>
        </is>
      </c>
      <c r="F432" s="20" t="n">
        <v>60</v>
      </c>
      <c r="G432" s="20" t="n">
        <v>5</v>
      </c>
      <c r="H432" s="16">
        <f>Parity!$L$55*(1+$F432/100)</f>
        <v/>
      </c>
      <c r="I432" s="16">
        <f>Parity!$L$55*Parity!$AG$55*$F432/100</f>
        <v/>
      </c>
      <c r="J432" s="8">
        <f>IF($E432="FOB_desk_books_freight",Parity!$P$55+$I432/Parity!$F$55,Parity!$P$55)</f>
        <v/>
      </c>
      <c r="K432" s="8">
        <f>$G432/100</f>
        <v/>
      </c>
      <c r="L432" s="18">
        <f>Parity!$AY$55</f>
        <v/>
      </c>
      <c r="M432" s="16">
        <f>Parity!$F$55*$J432</f>
        <v/>
      </c>
      <c r="N432" s="16">
        <f>$H432*Parity!$AG$55</f>
        <v/>
      </c>
      <c r="O432" s="16">
        <f>$M432-$N432</f>
        <v/>
      </c>
      <c r="P432" s="16">
        <f>insurance_rate*insured_value_uplift*$M432</f>
        <v/>
      </c>
      <c r="Q432" s="16">
        <f>$M432+$P432</f>
        <v/>
      </c>
      <c r="R432" s="18">
        <f>$Q432*Parity!$J$55</f>
        <v/>
      </c>
      <c r="S432" s="18">
        <f>$Q432*Parity!$I$55</f>
        <v/>
      </c>
      <c r="T432" s="18">
        <f>$R432*$K432</f>
        <v/>
      </c>
      <c r="U432" s="18">
        <f>$T432*sws_rate_on_bcd</f>
        <v/>
      </c>
      <c r="V432" s="18">
        <f>($R432+$T432+$U432)*igst_rate_hs7602</f>
        <v/>
      </c>
      <c r="W432" s="18">
        <f>Parity!$X$55*Parity!$AG$55+IF(Parity!$Y$55,psic_cost_usd_per_box*Parity!$H$55/Parity!$W$55,0)</f>
        <v/>
      </c>
      <c r="X432" s="18">
        <f>($S432+$T432+$U432)*Parity!$Z$55/day_count_inr*Parity!$O$55</f>
        <v/>
      </c>
      <c r="Y432" s="18">
        <f>$V432*igst_credit_lag_days/day_count_inr*Parity!$O$55</f>
        <v/>
      </c>
      <c r="Z432" s="18">
        <f>$S432+$T432+$U432+$W432+$X432+$Y432+IF(igst_itc_available,0,$V432)</f>
        <v/>
      </c>
      <c r="AA432" s="18">
        <f>Parity!$N$55*kg_per_mt+domestic_anchor_premium_inr_t</f>
        <v/>
      </c>
      <c r="AB432" s="18">
        <f>(1-Parity!$AA$55)*Parity!$AD$55*heavies_net_value_frac_of_lme_al*Parity!$F$55*Parity!$H$55</f>
        <v/>
      </c>
      <c r="AC432" s="18">
        <f>$AA432*Parity!$AU$55+$AB432-$Z432-Parity!$AX$55</f>
        <v/>
      </c>
      <c r="AD432" s="8">
        <f>$AC432&gt;margin_threshold_inr_t</f>
        <v/>
      </c>
      <c r="AE432" s="18">
        <f>($AC432-$L432)*grid_tonnes_mt</f>
        <v/>
      </c>
    </row>
    <row r="433">
      <c r="A433" s="7" t="inlineStr">
        <is>
          <t>first_eligible_long_lane</t>
        </is>
      </c>
      <c r="B433" s="11" t="n">
        <v>44624</v>
      </c>
      <c r="C433" s="7" t="inlineStr">
        <is>
          <t>zorba</t>
        </is>
      </c>
      <c r="D433" s="7" t="inlineStr">
        <is>
          <t>USEC_MUN</t>
        </is>
      </c>
      <c r="E433" s="7" t="inlineStr">
        <is>
          <t>FOB_desk_books_freight</t>
        </is>
      </c>
      <c r="F433" s="20" t="n">
        <v>60</v>
      </c>
      <c r="G433" s="20" t="n">
        <v>7.5</v>
      </c>
      <c r="H433" s="16">
        <f>Parity!$L$55*(1+$F433/100)</f>
        <v/>
      </c>
      <c r="I433" s="16">
        <f>Parity!$L$55*Parity!$AG$55*$F433/100</f>
        <v/>
      </c>
      <c r="J433" s="8">
        <f>IF($E433="FOB_desk_books_freight",Parity!$P$55+$I433/Parity!$F$55,Parity!$P$55)</f>
        <v/>
      </c>
      <c r="K433" s="8">
        <f>$G433/100</f>
        <v/>
      </c>
      <c r="L433" s="18">
        <f>Parity!$AY$55</f>
        <v/>
      </c>
      <c r="M433" s="16">
        <f>Parity!$F$55*$J433</f>
        <v/>
      </c>
      <c r="N433" s="16">
        <f>$H433*Parity!$AG$55</f>
        <v/>
      </c>
      <c r="O433" s="16">
        <f>$M433-$N433</f>
        <v/>
      </c>
      <c r="P433" s="16">
        <f>insurance_rate*insured_value_uplift*$M433</f>
        <v/>
      </c>
      <c r="Q433" s="16">
        <f>$M433+$P433</f>
        <v/>
      </c>
      <c r="R433" s="18">
        <f>$Q433*Parity!$J$55</f>
        <v/>
      </c>
      <c r="S433" s="18">
        <f>$Q433*Parity!$I$55</f>
        <v/>
      </c>
      <c r="T433" s="18">
        <f>$R433*$K433</f>
        <v/>
      </c>
      <c r="U433" s="18">
        <f>$T433*sws_rate_on_bcd</f>
        <v/>
      </c>
      <c r="V433" s="18">
        <f>($R433+$T433+$U433)*igst_rate_hs7602</f>
        <v/>
      </c>
      <c r="W433" s="18">
        <f>Parity!$X$55*Parity!$AG$55+IF(Parity!$Y$55,psic_cost_usd_per_box*Parity!$H$55/Parity!$W$55,0)</f>
        <v/>
      </c>
      <c r="X433" s="18">
        <f>($S433+$T433+$U433)*Parity!$Z$55/day_count_inr*Parity!$O$55</f>
        <v/>
      </c>
      <c r="Y433" s="18">
        <f>$V433*igst_credit_lag_days/day_count_inr*Parity!$O$55</f>
        <v/>
      </c>
      <c r="Z433" s="18">
        <f>$S433+$T433+$U433+$W433+$X433+$Y433+IF(igst_itc_available,0,$V433)</f>
        <v/>
      </c>
      <c r="AA433" s="18">
        <f>Parity!$N$55*kg_per_mt+domestic_anchor_premium_inr_t</f>
        <v/>
      </c>
      <c r="AB433" s="18">
        <f>(1-Parity!$AA$55)*Parity!$AD$55*heavies_net_value_frac_of_lme_al*Parity!$F$55*Parity!$H$55</f>
        <v/>
      </c>
      <c r="AC433" s="18">
        <f>$AA433*Parity!$AU$55+$AB433-$Z433-Parity!$AX$55</f>
        <v/>
      </c>
      <c r="AD433" s="8">
        <f>$AC433&gt;margin_threshold_inr_t</f>
        <v/>
      </c>
      <c r="AE433" s="18">
        <f>($AC433-$L433)*grid_tonnes_mt</f>
        <v/>
      </c>
    </row>
    <row r="434">
      <c r="A434" s="7" t="inlineStr">
        <is>
          <t>first_eligible_long_lane</t>
        </is>
      </c>
      <c r="B434" s="11" t="n">
        <v>44624</v>
      </c>
      <c r="C434" s="7" t="inlineStr">
        <is>
          <t>zorba</t>
        </is>
      </c>
      <c r="D434" s="7" t="inlineStr">
        <is>
          <t>USEC_MUN</t>
        </is>
      </c>
      <c r="E434" s="7" t="inlineStr">
        <is>
          <t>FOB_desk_books_freight</t>
        </is>
      </c>
      <c r="F434" s="20" t="n">
        <v>60</v>
      </c>
      <c r="G434" s="20" t="n">
        <v>10</v>
      </c>
      <c r="H434" s="16">
        <f>Parity!$L$55*(1+$F434/100)</f>
        <v/>
      </c>
      <c r="I434" s="16">
        <f>Parity!$L$55*Parity!$AG$55*$F434/100</f>
        <v/>
      </c>
      <c r="J434" s="8">
        <f>IF($E434="FOB_desk_books_freight",Parity!$P$55+$I434/Parity!$F$55,Parity!$P$55)</f>
        <v/>
      </c>
      <c r="K434" s="8">
        <f>$G434/100</f>
        <v/>
      </c>
      <c r="L434" s="18">
        <f>Parity!$AY$55</f>
        <v/>
      </c>
      <c r="M434" s="16">
        <f>Parity!$F$55*$J434</f>
        <v/>
      </c>
      <c r="N434" s="16">
        <f>$H434*Parity!$AG$55</f>
        <v/>
      </c>
      <c r="O434" s="16">
        <f>$M434-$N434</f>
        <v/>
      </c>
      <c r="P434" s="16">
        <f>insurance_rate*insured_value_uplift*$M434</f>
        <v/>
      </c>
      <c r="Q434" s="16">
        <f>$M434+$P434</f>
        <v/>
      </c>
      <c r="R434" s="18">
        <f>$Q434*Parity!$J$55</f>
        <v/>
      </c>
      <c r="S434" s="18">
        <f>$Q434*Parity!$I$55</f>
        <v/>
      </c>
      <c r="T434" s="18">
        <f>$R434*$K434</f>
        <v/>
      </c>
      <c r="U434" s="18">
        <f>$T434*sws_rate_on_bcd</f>
        <v/>
      </c>
      <c r="V434" s="18">
        <f>($R434+$T434+$U434)*igst_rate_hs7602</f>
        <v/>
      </c>
      <c r="W434" s="18">
        <f>Parity!$X$55*Parity!$AG$55+IF(Parity!$Y$55,psic_cost_usd_per_box*Parity!$H$55/Parity!$W$55,0)</f>
        <v/>
      </c>
      <c r="X434" s="18">
        <f>($S434+$T434+$U434)*Parity!$Z$55/day_count_inr*Parity!$O$55</f>
        <v/>
      </c>
      <c r="Y434" s="18">
        <f>$V434*igst_credit_lag_days/day_count_inr*Parity!$O$55</f>
        <v/>
      </c>
      <c r="Z434" s="18">
        <f>$S434+$T434+$U434+$W434+$X434+$Y434+IF(igst_itc_available,0,$V434)</f>
        <v/>
      </c>
      <c r="AA434" s="18">
        <f>Parity!$N$55*kg_per_mt+domestic_anchor_premium_inr_t</f>
        <v/>
      </c>
      <c r="AB434" s="18">
        <f>(1-Parity!$AA$55)*Parity!$AD$55*heavies_net_value_frac_of_lme_al*Parity!$F$55*Parity!$H$55</f>
        <v/>
      </c>
      <c r="AC434" s="18">
        <f>$AA434*Parity!$AU$55+$AB434-$Z434-Parity!$AX$55</f>
        <v/>
      </c>
      <c r="AD434" s="8">
        <f>$AC434&gt;margin_threshold_inr_t</f>
        <v/>
      </c>
      <c r="AE434" s="18">
        <f>($AC434-$L434)*grid_tonnes_mt</f>
        <v/>
      </c>
    </row>
    <row r="435">
      <c r="A435" s="7" t="inlineStr">
        <is>
          <t>first_eligible_long_lane</t>
        </is>
      </c>
      <c r="B435" s="11" t="n">
        <v>44624</v>
      </c>
      <c r="C435" s="7" t="inlineStr">
        <is>
          <t>zorba</t>
        </is>
      </c>
      <c r="D435" s="7" t="inlineStr">
        <is>
          <t>USEC_MUN</t>
        </is>
      </c>
      <c r="E435" s="7" t="inlineStr">
        <is>
          <t>CFR_seller_books_freight</t>
        </is>
      </c>
      <c r="F435" s="20" t="n">
        <v>-40</v>
      </c>
      <c r="G435" s="20" t="n">
        <v>0</v>
      </c>
      <c r="H435" s="16">
        <f>Parity!$L$55*(1+$F435/100)</f>
        <v/>
      </c>
      <c r="I435" s="16">
        <f>Parity!$L$55*Parity!$AG$55*$F435/100</f>
        <v/>
      </c>
      <c r="J435" s="8">
        <f>IF($E435="FOB_desk_books_freight",Parity!$P$55+$I435/Parity!$F$55,Parity!$P$55)</f>
        <v/>
      </c>
      <c r="K435" s="8">
        <f>$G435/100</f>
        <v/>
      </c>
      <c r="L435" s="18">
        <f>Parity!$AY$55</f>
        <v/>
      </c>
      <c r="M435" s="16">
        <f>Parity!$F$55*$J435</f>
        <v/>
      </c>
      <c r="N435" s="16">
        <f>$H435*Parity!$AG$55</f>
        <v/>
      </c>
      <c r="O435" s="16">
        <f>$M435-$N435</f>
        <v/>
      </c>
      <c r="P435" s="16">
        <f>insurance_rate*insured_value_uplift*$M435</f>
        <v/>
      </c>
      <c r="Q435" s="16">
        <f>$M435+$P435</f>
        <v/>
      </c>
      <c r="R435" s="18">
        <f>$Q435*Parity!$J$55</f>
        <v/>
      </c>
      <c r="S435" s="18">
        <f>$Q435*Parity!$I$55</f>
        <v/>
      </c>
      <c r="T435" s="18">
        <f>$R435*$K435</f>
        <v/>
      </c>
      <c r="U435" s="18">
        <f>$T435*sws_rate_on_bcd</f>
        <v/>
      </c>
      <c r="V435" s="18">
        <f>($R435+$T435+$U435)*igst_rate_hs7602</f>
        <v/>
      </c>
      <c r="W435" s="18">
        <f>Parity!$X$55*Parity!$AG$55+IF(Parity!$Y$55,psic_cost_usd_per_box*Parity!$H$55/Parity!$W$55,0)</f>
        <v/>
      </c>
      <c r="X435" s="18">
        <f>($S435+$T435+$U435)*Parity!$Z$55/day_count_inr*Parity!$O$55</f>
        <v/>
      </c>
      <c r="Y435" s="18">
        <f>$V435*igst_credit_lag_days/day_count_inr*Parity!$O$55</f>
        <v/>
      </c>
      <c r="Z435" s="18">
        <f>$S435+$T435+$U435+$W435+$X435+$Y435+IF(igst_itc_available,0,$V435)</f>
        <v/>
      </c>
      <c r="AA435" s="18">
        <f>Parity!$N$55*kg_per_mt+domestic_anchor_premium_inr_t</f>
        <v/>
      </c>
      <c r="AB435" s="18">
        <f>(1-Parity!$AA$55)*Parity!$AD$55*heavies_net_value_frac_of_lme_al*Parity!$F$55*Parity!$H$55</f>
        <v/>
      </c>
      <c r="AC435" s="18">
        <f>$AA435*Parity!$AU$55+$AB435-$Z435-Parity!$AX$55</f>
        <v/>
      </c>
      <c r="AD435" s="8">
        <f>$AC435&gt;margin_threshold_inr_t</f>
        <v/>
      </c>
      <c r="AE435" s="18">
        <f>($AC435-$L435)*grid_tonnes_mt</f>
        <v/>
      </c>
    </row>
    <row r="436">
      <c r="A436" s="7" t="inlineStr">
        <is>
          <t>first_eligible_long_lane</t>
        </is>
      </c>
      <c r="B436" s="11" t="n">
        <v>44624</v>
      </c>
      <c r="C436" s="7" t="inlineStr">
        <is>
          <t>zorba</t>
        </is>
      </c>
      <c r="D436" s="7" t="inlineStr">
        <is>
          <t>USEC_MUN</t>
        </is>
      </c>
      <c r="E436" s="7" t="inlineStr">
        <is>
          <t>CFR_seller_books_freight</t>
        </is>
      </c>
      <c r="F436" s="20" t="n">
        <v>-40</v>
      </c>
      <c r="G436" s="20" t="n">
        <v>2.5</v>
      </c>
      <c r="H436" s="16">
        <f>Parity!$L$55*(1+$F436/100)</f>
        <v/>
      </c>
      <c r="I436" s="16">
        <f>Parity!$L$55*Parity!$AG$55*$F436/100</f>
        <v/>
      </c>
      <c r="J436" s="8">
        <f>IF($E436="FOB_desk_books_freight",Parity!$P$55+$I436/Parity!$F$55,Parity!$P$55)</f>
        <v/>
      </c>
      <c r="K436" s="8">
        <f>$G436/100</f>
        <v/>
      </c>
      <c r="L436" s="18">
        <f>Parity!$AY$55</f>
        <v/>
      </c>
      <c r="M436" s="16">
        <f>Parity!$F$55*$J436</f>
        <v/>
      </c>
      <c r="N436" s="16">
        <f>$H436*Parity!$AG$55</f>
        <v/>
      </c>
      <c r="O436" s="16">
        <f>$M436-$N436</f>
        <v/>
      </c>
      <c r="P436" s="16">
        <f>insurance_rate*insured_value_uplift*$M436</f>
        <v/>
      </c>
      <c r="Q436" s="16">
        <f>$M436+$P436</f>
        <v/>
      </c>
      <c r="R436" s="18">
        <f>$Q436*Parity!$J$55</f>
        <v/>
      </c>
      <c r="S436" s="18">
        <f>$Q436*Parity!$I$55</f>
        <v/>
      </c>
      <c r="T436" s="18">
        <f>$R436*$K436</f>
        <v/>
      </c>
      <c r="U436" s="18">
        <f>$T436*sws_rate_on_bcd</f>
        <v/>
      </c>
      <c r="V436" s="18">
        <f>($R436+$T436+$U436)*igst_rate_hs7602</f>
        <v/>
      </c>
      <c r="W436" s="18">
        <f>Parity!$X$55*Parity!$AG$55+IF(Parity!$Y$55,psic_cost_usd_per_box*Parity!$H$55/Parity!$W$55,0)</f>
        <v/>
      </c>
      <c r="X436" s="18">
        <f>($S436+$T436+$U436)*Parity!$Z$55/day_count_inr*Parity!$O$55</f>
        <v/>
      </c>
      <c r="Y436" s="18">
        <f>$V436*igst_credit_lag_days/day_count_inr*Parity!$O$55</f>
        <v/>
      </c>
      <c r="Z436" s="18">
        <f>$S436+$T436+$U436+$W436+$X436+$Y436+IF(igst_itc_available,0,$V436)</f>
        <v/>
      </c>
      <c r="AA436" s="18">
        <f>Parity!$N$55*kg_per_mt+domestic_anchor_premium_inr_t</f>
        <v/>
      </c>
      <c r="AB436" s="18">
        <f>(1-Parity!$AA$55)*Parity!$AD$55*heavies_net_value_frac_of_lme_al*Parity!$F$55*Parity!$H$55</f>
        <v/>
      </c>
      <c r="AC436" s="18">
        <f>$AA436*Parity!$AU$55+$AB436-$Z436-Parity!$AX$55</f>
        <v/>
      </c>
      <c r="AD436" s="8">
        <f>$AC436&gt;margin_threshold_inr_t</f>
        <v/>
      </c>
      <c r="AE436" s="18">
        <f>($AC436-$L436)*grid_tonnes_mt</f>
        <v/>
      </c>
    </row>
    <row r="437">
      <c r="A437" s="7" t="inlineStr">
        <is>
          <t>first_eligible_long_lane</t>
        </is>
      </c>
      <c r="B437" s="11" t="n">
        <v>44624</v>
      </c>
      <c r="C437" s="7" t="inlineStr">
        <is>
          <t>zorba</t>
        </is>
      </c>
      <c r="D437" s="7" t="inlineStr">
        <is>
          <t>USEC_MUN</t>
        </is>
      </c>
      <c r="E437" s="7" t="inlineStr">
        <is>
          <t>CFR_seller_books_freight</t>
        </is>
      </c>
      <c r="F437" s="20" t="n">
        <v>-40</v>
      </c>
      <c r="G437" s="20" t="n">
        <v>5</v>
      </c>
      <c r="H437" s="16">
        <f>Parity!$L$55*(1+$F437/100)</f>
        <v/>
      </c>
      <c r="I437" s="16">
        <f>Parity!$L$55*Parity!$AG$55*$F437/100</f>
        <v/>
      </c>
      <c r="J437" s="8">
        <f>IF($E437="FOB_desk_books_freight",Parity!$P$55+$I437/Parity!$F$55,Parity!$P$55)</f>
        <v/>
      </c>
      <c r="K437" s="8">
        <f>$G437/100</f>
        <v/>
      </c>
      <c r="L437" s="18">
        <f>Parity!$AY$55</f>
        <v/>
      </c>
      <c r="M437" s="16">
        <f>Parity!$F$55*$J437</f>
        <v/>
      </c>
      <c r="N437" s="16">
        <f>$H437*Parity!$AG$55</f>
        <v/>
      </c>
      <c r="O437" s="16">
        <f>$M437-$N437</f>
        <v/>
      </c>
      <c r="P437" s="16">
        <f>insurance_rate*insured_value_uplift*$M437</f>
        <v/>
      </c>
      <c r="Q437" s="16">
        <f>$M437+$P437</f>
        <v/>
      </c>
      <c r="R437" s="18">
        <f>$Q437*Parity!$J$55</f>
        <v/>
      </c>
      <c r="S437" s="18">
        <f>$Q437*Parity!$I$55</f>
        <v/>
      </c>
      <c r="T437" s="18">
        <f>$R437*$K437</f>
        <v/>
      </c>
      <c r="U437" s="18">
        <f>$T437*sws_rate_on_bcd</f>
        <v/>
      </c>
      <c r="V437" s="18">
        <f>($R437+$T437+$U437)*igst_rate_hs7602</f>
        <v/>
      </c>
      <c r="W437" s="18">
        <f>Parity!$X$55*Parity!$AG$55+IF(Parity!$Y$55,psic_cost_usd_per_box*Parity!$H$55/Parity!$W$55,0)</f>
        <v/>
      </c>
      <c r="X437" s="18">
        <f>($S437+$T437+$U437)*Parity!$Z$55/day_count_inr*Parity!$O$55</f>
        <v/>
      </c>
      <c r="Y437" s="18">
        <f>$V437*igst_credit_lag_days/day_count_inr*Parity!$O$55</f>
        <v/>
      </c>
      <c r="Z437" s="18">
        <f>$S437+$T437+$U437+$W437+$X437+$Y437+IF(igst_itc_available,0,$V437)</f>
        <v/>
      </c>
      <c r="AA437" s="18">
        <f>Parity!$N$55*kg_per_mt+domestic_anchor_premium_inr_t</f>
        <v/>
      </c>
      <c r="AB437" s="18">
        <f>(1-Parity!$AA$55)*Parity!$AD$55*heavies_net_value_frac_of_lme_al*Parity!$F$55*Parity!$H$55</f>
        <v/>
      </c>
      <c r="AC437" s="18">
        <f>$AA437*Parity!$AU$55+$AB437-$Z437-Parity!$AX$55</f>
        <v/>
      </c>
      <c r="AD437" s="8">
        <f>$AC437&gt;margin_threshold_inr_t</f>
        <v/>
      </c>
      <c r="AE437" s="18">
        <f>($AC437-$L437)*grid_tonnes_mt</f>
        <v/>
      </c>
    </row>
    <row r="438">
      <c r="A438" s="7" t="inlineStr">
        <is>
          <t>first_eligible_long_lane</t>
        </is>
      </c>
      <c r="B438" s="11" t="n">
        <v>44624</v>
      </c>
      <c r="C438" s="7" t="inlineStr">
        <is>
          <t>zorba</t>
        </is>
      </c>
      <c r="D438" s="7" t="inlineStr">
        <is>
          <t>USEC_MUN</t>
        </is>
      </c>
      <c r="E438" s="7" t="inlineStr">
        <is>
          <t>CFR_seller_books_freight</t>
        </is>
      </c>
      <c r="F438" s="20" t="n">
        <v>-40</v>
      </c>
      <c r="G438" s="20" t="n">
        <v>7.5</v>
      </c>
      <c r="H438" s="16">
        <f>Parity!$L$55*(1+$F438/100)</f>
        <v/>
      </c>
      <c r="I438" s="16">
        <f>Parity!$L$55*Parity!$AG$55*$F438/100</f>
        <v/>
      </c>
      <c r="J438" s="8">
        <f>IF($E438="FOB_desk_books_freight",Parity!$P$55+$I438/Parity!$F$55,Parity!$P$55)</f>
        <v/>
      </c>
      <c r="K438" s="8">
        <f>$G438/100</f>
        <v/>
      </c>
      <c r="L438" s="18">
        <f>Parity!$AY$55</f>
        <v/>
      </c>
      <c r="M438" s="16">
        <f>Parity!$F$55*$J438</f>
        <v/>
      </c>
      <c r="N438" s="16">
        <f>$H438*Parity!$AG$55</f>
        <v/>
      </c>
      <c r="O438" s="16">
        <f>$M438-$N438</f>
        <v/>
      </c>
      <c r="P438" s="16">
        <f>insurance_rate*insured_value_uplift*$M438</f>
        <v/>
      </c>
      <c r="Q438" s="16">
        <f>$M438+$P438</f>
        <v/>
      </c>
      <c r="R438" s="18">
        <f>$Q438*Parity!$J$55</f>
        <v/>
      </c>
      <c r="S438" s="18">
        <f>$Q438*Parity!$I$55</f>
        <v/>
      </c>
      <c r="T438" s="18">
        <f>$R438*$K438</f>
        <v/>
      </c>
      <c r="U438" s="18">
        <f>$T438*sws_rate_on_bcd</f>
        <v/>
      </c>
      <c r="V438" s="18">
        <f>($R438+$T438+$U438)*igst_rate_hs7602</f>
        <v/>
      </c>
      <c r="W438" s="18">
        <f>Parity!$X$55*Parity!$AG$55+IF(Parity!$Y$55,psic_cost_usd_per_box*Parity!$H$55/Parity!$W$55,0)</f>
        <v/>
      </c>
      <c r="X438" s="18">
        <f>($S438+$T438+$U438)*Parity!$Z$55/day_count_inr*Parity!$O$55</f>
        <v/>
      </c>
      <c r="Y438" s="18">
        <f>$V438*igst_credit_lag_days/day_count_inr*Parity!$O$55</f>
        <v/>
      </c>
      <c r="Z438" s="18">
        <f>$S438+$T438+$U438+$W438+$X438+$Y438+IF(igst_itc_available,0,$V438)</f>
        <v/>
      </c>
      <c r="AA438" s="18">
        <f>Parity!$N$55*kg_per_mt+domestic_anchor_premium_inr_t</f>
        <v/>
      </c>
      <c r="AB438" s="18">
        <f>(1-Parity!$AA$55)*Parity!$AD$55*heavies_net_value_frac_of_lme_al*Parity!$F$55*Parity!$H$55</f>
        <v/>
      </c>
      <c r="AC438" s="18">
        <f>$AA438*Parity!$AU$55+$AB438-$Z438-Parity!$AX$55</f>
        <v/>
      </c>
      <c r="AD438" s="8">
        <f>$AC438&gt;margin_threshold_inr_t</f>
        <v/>
      </c>
      <c r="AE438" s="18">
        <f>($AC438-$L438)*grid_tonnes_mt</f>
        <v/>
      </c>
    </row>
    <row r="439">
      <c r="A439" s="7" t="inlineStr">
        <is>
          <t>first_eligible_long_lane</t>
        </is>
      </c>
      <c r="B439" s="11" t="n">
        <v>44624</v>
      </c>
      <c r="C439" s="7" t="inlineStr">
        <is>
          <t>zorba</t>
        </is>
      </c>
      <c r="D439" s="7" t="inlineStr">
        <is>
          <t>USEC_MUN</t>
        </is>
      </c>
      <c r="E439" s="7" t="inlineStr">
        <is>
          <t>CFR_seller_books_freight</t>
        </is>
      </c>
      <c r="F439" s="20" t="n">
        <v>-40</v>
      </c>
      <c r="G439" s="20" t="n">
        <v>10</v>
      </c>
      <c r="H439" s="16">
        <f>Parity!$L$55*(1+$F439/100)</f>
        <v/>
      </c>
      <c r="I439" s="16">
        <f>Parity!$L$55*Parity!$AG$55*$F439/100</f>
        <v/>
      </c>
      <c r="J439" s="8">
        <f>IF($E439="FOB_desk_books_freight",Parity!$P$55+$I439/Parity!$F$55,Parity!$P$55)</f>
        <v/>
      </c>
      <c r="K439" s="8">
        <f>$G439/100</f>
        <v/>
      </c>
      <c r="L439" s="18">
        <f>Parity!$AY$55</f>
        <v/>
      </c>
      <c r="M439" s="16">
        <f>Parity!$F$55*$J439</f>
        <v/>
      </c>
      <c r="N439" s="16">
        <f>$H439*Parity!$AG$55</f>
        <v/>
      </c>
      <c r="O439" s="16">
        <f>$M439-$N439</f>
        <v/>
      </c>
      <c r="P439" s="16">
        <f>insurance_rate*insured_value_uplift*$M439</f>
        <v/>
      </c>
      <c r="Q439" s="16">
        <f>$M439+$P439</f>
        <v/>
      </c>
      <c r="R439" s="18">
        <f>$Q439*Parity!$J$55</f>
        <v/>
      </c>
      <c r="S439" s="18">
        <f>$Q439*Parity!$I$55</f>
        <v/>
      </c>
      <c r="T439" s="18">
        <f>$R439*$K439</f>
        <v/>
      </c>
      <c r="U439" s="18">
        <f>$T439*sws_rate_on_bcd</f>
        <v/>
      </c>
      <c r="V439" s="18">
        <f>($R439+$T439+$U439)*igst_rate_hs7602</f>
        <v/>
      </c>
      <c r="W439" s="18">
        <f>Parity!$X$55*Parity!$AG$55+IF(Parity!$Y$55,psic_cost_usd_per_box*Parity!$H$55/Parity!$W$55,0)</f>
        <v/>
      </c>
      <c r="X439" s="18">
        <f>($S439+$T439+$U439)*Parity!$Z$55/day_count_inr*Parity!$O$55</f>
        <v/>
      </c>
      <c r="Y439" s="18">
        <f>$V439*igst_credit_lag_days/day_count_inr*Parity!$O$55</f>
        <v/>
      </c>
      <c r="Z439" s="18">
        <f>$S439+$T439+$U439+$W439+$X439+$Y439+IF(igst_itc_available,0,$V439)</f>
        <v/>
      </c>
      <c r="AA439" s="18">
        <f>Parity!$N$55*kg_per_mt+domestic_anchor_premium_inr_t</f>
        <v/>
      </c>
      <c r="AB439" s="18">
        <f>(1-Parity!$AA$55)*Parity!$AD$55*heavies_net_value_frac_of_lme_al*Parity!$F$55*Parity!$H$55</f>
        <v/>
      </c>
      <c r="AC439" s="18">
        <f>$AA439*Parity!$AU$55+$AB439-$Z439-Parity!$AX$55</f>
        <v/>
      </c>
      <c r="AD439" s="8">
        <f>$AC439&gt;margin_threshold_inr_t</f>
        <v/>
      </c>
      <c r="AE439" s="18">
        <f>($AC439-$L439)*grid_tonnes_mt</f>
        <v/>
      </c>
    </row>
    <row r="440">
      <c r="A440" s="7" t="inlineStr">
        <is>
          <t>first_eligible_long_lane</t>
        </is>
      </c>
      <c r="B440" s="11" t="n">
        <v>44624</v>
      </c>
      <c r="C440" s="7" t="inlineStr">
        <is>
          <t>zorba</t>
        </is>
      </c>
      <c r="D440" s="7" t="inlineStr">
        <is>
          <t>USEC_MUN</t>
        </is>
      </c>
      <c r="E440" s="7" t="inlineStr">
        <is>
          <t>CFR_seller_books_freight</t>
        </is>
      </c>
      <c r="F440" s="20" t="n">
        <v>-20</v>
      </c>
      <c r="G440" s="20" t="n">
        <v>0</v>
      </c>
      <c r="H440" s="16">
        <f>Parity!$L$55*(1+$F440/100)</f>
        <v/>
      </c>
      <c r="I440" s="16">
        <f>Parity!$L$55*Parity!$AG$55*$F440/100</f>
        <v/>
      </c>
      <c r="J440" s="8">
        <f>IF($E440="FOB_desk_books_freight",Parity!$P$55+$I440/Parity!$F$55,Parity!$P$55)</f>
        <v/>
      </c>
      <c r="K440" s="8">
        <f>$G440/100</f>
        <v/>
      </c>
      <c r="L440" s="18">
        <f>Parity!$AY$55</f>
        <v/>
      </c>
      <c r="M440" s="16">
        <f>Parity!$F$55*$J440</f>
        <v/>
      </c>
      <c r="N440" s="16">
        <f>$H440*Parity!$AG$55</f>
        <v/>
      </c>
      <c r="O440" s="16">
        <f>$M440-$N440</f>
        <v/>
      </c>
      <c r="P440" s="16">
        <f>insurance_rate*insured_value_uplift*$M440</f>
        <v/>
      </c>
      <c r="Q440" s="16">
        <f>$M440+$P440</f>
        <v/>
      </c>
      <c r="R440" s="18">
        <f>$Q440*Parity!$J$55</f>
        <v/>
      </c>
      <c r="S440" s="18">
        <f>$Q440*Parity!$I$55</f>
        <v/>
      </c>
      <c r="T440" s="18">
        <f>$R440*$K440</f>
        <v/>
      </c>
      <c r="U440" s="18">
        <f>$T440*sws_rate_on_bcd</f>
        <v/>
      </c>
      <c r="V440" s="18">
        <f>($R440+$T440+$U440)*igst_rate_hs7602</f>
        <v/>
      </c>
      <c r="W440" s="18">
        <f>Parity!$X$55*Parity!$AG$55+IF(Parity!$Y$55,psic_cost_usd_per_box*Parity!$H$55/Parity!$W$55,0)</f>
        <v/>
      </c>
      <c r="X440" s="18">
        <f>($S440+$T440+$U440)*Parity!$Z$55/day_count_inr*Parity!$O$55</f>
        <v/>
      </c>
      <c r="Y440" s="18">
        <f>$V440*igst_credit_lag_days/day_count_inr*Parity!$O$55</f>
        <v/>
      </c>
      <c r="Z440" s="18">
        <f>$S440+$T440+$U440+$W440+$X440+$Y440+IF(igst_itc_available,0,$V440)</f>
        <v/>
      </c>
      <c r="AA440" s="18">
        <f>Parity!$N$55*kg_per_mt+domestic_anchor_premium_inr_t</f>
        <v/>
      </c>
      <c r="AB440" s="18">
        <f>(1-Parity!$AA$55)*Parity!$AD$55*heavies_net_value_frac_of_lme_al*Parity!$F$55*Parity!$H$55</f>
        <v/>
      </c>
      <c r="AC440" s="18">
        <f>$AA440*Parity!$AU$55+$AB440-$Z440-Parity!$AX$55</f>
        <v/>
      </c>
      <c r="AD440" s="8">
        <f>$AC440&gt;margin_threshold_inr_t</f>
        <v/>
      </c>
      <c r="AE440" s="18">
        <f>($AC440-$L440)*grid_tonnes_mt</f>
        <v/>
      </c>
    </row>
    <row r="441">
      <c r="A441" s="7" t="inlineStr">
        <is>
          <t>first_eligible_long_lane</t>
        </is>
      </c>
      <c r="B441" s="11" t="n">
        <v>44624</v>
      </c>
      <c r="C441" s="7" t="inlineStr">
        <is>
          <t>zorba</t>
        </is>
      </c>
      <c r="D441" s="7" t="inlineStr">
        <is>
          <t>USEC_MUN</t>
        </is>
      </c>
      <c r="E441" s="7" t="inlineStr">
        <is>
          <t>CFR_seller_books_freight</t>
        </is>
      </c>
      <c r="F441" s="20" t="n">
        <v>-20</v>
      </c>
      <c r="G441" s="20" t="n">
        <v>2.5</v>
      </c>
      <c r="H441" s="16">
        <f>Parity!$L$55*(1+$F441/100)</f>
        <v/>
      </c>
      <c r="I441" s="16">
        <f>Parity!$L$55*Parity!$AG$55*$F441/100</f>
        <v/>
      </c>
      <c r="J441" s="8">
        <f>IF($E441="FOB_desk_books_freight",Parity!$P$55+$I441/Parity!$F$55,Parity!$P$55)</f>
        <v/>
      </c>
      <c r="K441" s="8">
        <f>$G441/100</f>
        <v/>
      </c>
      <c r="L441" s="18">
        <f>Parity!$AY$55</f>
        <v/>
      </c>
      <c r="M441" s="16">
        <f>Parity!$F$55*$J441</f>
        <v/>
      </c>
      <c r="N441" s="16">
        <f>$H441*Parity!$AG$55</f>
        <v/>
      </c>
      <c r="O441" s="16">
        <f>$M441-$N441</f>
        <v/>
      </c>
      <c r="P441" s="16">
        <f>insurance_rate*insured_value_uplift*$M441</f>
        <v/>
      </c>
      <c r="Q441" s="16">
        <f>$M441+$P441</f>
        <v/>
      </c>
      <c r="R441" s="18">
        <f>$Q441*Parity!$J$55</f>
        <v/>
      </c>
      <c r="S441" s="18">
        <f>$Q441*Parity!$I$55</f>
        <v/>
      </c>
      <c r="T441" s="18">
        <f>$R441*$K441</f>
        <v/>
      </c>
      <c r="U441" s="18">
        <f>$T441*sws_rate_on_bcd</f>
        <v/>
      </c>
      <c r="V441" s="18">
        <f>($R441+$T441+$U441)*igst_rate_hs7602</f>
        <v/>
      </c>
      <c r="W441" s="18">
        <f>Parity!$X$55*Parity!$AG$55+IF(Parity!$Y$55,psic_cost_usd_per_box*Parity!$H$55/Parity!$W$55,0)</f>
        <v/>
      </c>
      <c r="X441" s="18">
        <f>($S441+$T441+$U441)*Parity!$Z$55/day_count_inr*Parity!$O$55</f>
        <v/>
      </c>
      <c r="Y441" s="18">
        <f>$V441*igst_credit_lag_days/day_count_inr*Parity!$O$55</f>
        <v/>
      </c>
      <c r="Z441" s="18">
        <f>$S441+$T441+$U441+$W441+$X441+$Y441+IF(igst_itc_available,0,$V441)</f>
        <v/>
      </c>
      <c r="AA441" s="18">
        <f>Parity!$N$55*kg_per_mt+domestic_anchor_premium_inr_t</f>
        <v/>
      </c>
      <c r="AB441" s="18">
        <f>(1-Parity!$AA$55)*Parity!$AD$55*heavies_net_value_frac_of_lme_al*Parity!$F$55*Parity!$H$55</f>
        <v/>
      </c>
      <c r="AC441" s="18">
        <f>$AA441*Parity!$AU$55+$AB441-$Z441-Parity!$AX$55</f>
        <v/>
      </c>
      <c r="AD441" s="8">
        <f>$AC441&gt;margin_threshold_inr_t</f>
        <v/>
      </c>
      <c r="AE441" s="18">
        <f>($AC441-$L441)*grid_tonnes_mt</f>
        <v/>
      </c>
    </row>
    <row r="442">
      <c r="A442" s="7" t="inlineStr">
        <is>
          <t>first_eligible_long_lane</t>
        </is>
      </c>
      <c r="B442" s="11" t="n">
        <v>44624</v>
      </c>
      <c r="C442" s="7" t="inlineStr">
        <is>
          <t>zorba</t>
        </is>
      </c>
      <c r="D442" s="7" t="inlineStr">
        <is>
          <t>USEC_MUN</t>
        </is>
      </c>
      <c r="E442" s="7" t="inlineStr">
        <is>
          <t>CFR_seller_books_freight</t>
        </is>
      </c>
      <c r="F442" s="20" t="n">
        <v>-20</v>
      </c>
      <c r="G442" s="20" t="n">
        <v>5</v>
      </c>
      <c r="H442" s="16">
        <f>Parity!$L$55*(1+$F442/100)</f>
        <v/>
      </c>
      <c r="I442" s="16">
        <f>Parity!$L$55*Parity!$AG$55*$F442/100</f>
        <v/>
      </c>
      <c r="J442" s="8">
        <f>IF($E442="FOB_desk_books_freight",Parity!$P$55+$I442/Parity!$F$55,Parity!$P$55)</f>
        <v/>
      </c>
      <c r="K442" s="8">
        <f>$G442/100</f>
        <v/>
      </c>
      <c r="L442" s="18">
        <f>Parity!$AY$55</f>
        <v/>
      </c>
      <c r="M442" s="16">
        <f>Parity!$F$55*$J442</f>
        <v/>
      </c>
      <c r="N442" s="16">
        <f>$H442*Parity!$AG$55</f>
        <v/>
      </c>
      <c r="O442" s="16">
        <f>$M442-$N442</f>
        <v/>
      </c>
      <c r="P442" s="16">
        <f>insurance_rate*insured_value_uplift*$M442</f>
        <v/>
      </c>
      <c r="Q442" s="16">
        <f>$M442+$P442</f>
        <v/>
      </c>
      <c r="R442" s="18">
        <f>$Q442*Parity!$J$55</f>
        <v/>
      </c>
      <c r="S442" s="18">
        <f>$Q442*Parity!$I$55</f>
        <v/>
      </c>
      <c r="T442" s="18">
        <f>$R442*$K442</f>
        <v/>
      </c>
      <c r="U442" s="18">
        <f>$T442*sws_rate_on_bcd</f>
        <v/>
      </c>
      <c r="V442" s="18">
        <f>($R442+$T442+$U442)*igst_rate_hs7602</f>
        <v/>
      </c>
      <c r="W442" s="18">
        <f>Parity!$X$55*Parity!$AG$55+IF(Parity!$Y$55,psic_cost_usd_per_box*Parity!$H$55/Parity!$W$55,0)</f>
        <v/>
      </c>
      <c r="X442" s="18">
        <f>($S442+$T442+$U442)*Parity!$Z$55/day_count_inr*Parity!$O$55</f>
        <v/>
      </c>
      <c r="Y442" s="18">
        <f>$V442*igst_credit_lag_days/day_count_inr*Parity!$O$55</f>
        <v/>
      </c>
      <c r="Z442" s="18">
        <f>$S442+$T442+$U442+$W442+$X442+$Y442+IF(igst_itc_available,0,$V442)</f>
        <v/>
      </c>
      <c r="AA442" s="18">
        <f>Parity!$N$55*kg_per_mt+domestic_anchor_premium_inr_t</f>
        <v/>
      </c>
      <c r="AB442" s="18">
        <f>(1-Parity!$AA$55)*Parity!$AD$55*heavies_net_value_frac_of_lme_al*Parity!$F$55*Parity!$H$55</f>
        <v/>
      </c>
      <c r="AC442" s="18">
        <f>$AA442*Parity!$AU$55+$AB442-$Z442-Parity!$AX$55</f>
        <v/>
      </c>
      <c r="AD442" s="8">
        <f>$AC442&gt;margin_threshold_inr_t</f>
        <v/>
      </c>
      <c r="AE442" s="18">
        <f>($AC442-$L442)*grid_tonnes_mt</f>
        <v/>
      </c>
    </row>
    <row r="443">
      <c r="A443" s="7" t="inlineStr">
        <is>
          <t>first_eligible_long_lane</t>
        </is>
      </c>
      <c r="B443" s="11" t="n">
        <v>44624</v>
      </c>
      <c r="C443" s="7" t="inlineStr">
        <is>
          <t>zorba</t>
        </is>
      </c>
      <c r="D443" s="7" t="inlineStr">
        <is>
          <t>USEC_MUN</t>
        </is>
      </c>
      <c r="E443" s="7" t="inlineStr">
        <is>
          <t>CFR_seller_books_freight</t>
        </is>
      </c>
      <c r="F443" s="20" t="n">
        <v>-20</v>
      </c>
      <c r="G443" s="20" t="n">
        <v>7.5</v>
      </c>
      <c r="H443" s="16">
        <f>Parity!$L$55*(1+$F443/100)</f>
        <v/>
      </c>
      <c r="I443" s="16">
        <f>Parity!$L$55*Parity!$AG$55*$F443/100</f>
        <v/>
      </c>
      <c r="J443" s="8">
        <f>IF($E443="FOB_desk_books_freight",Parity!$P$55+$I443/Parity!$F$55,Parity!$P$55)</f>
        <v/>
      </c>
      <c r="K443" s="8">
        <f>$G443/100</f>
        <v/>
      </c>
      <c r="L443" s="18">
        <f>Parity!$AY$55</f>
        <v/>
      </c>
      <c r="M443" s="16">
        <f>Parity!$F$55*$J443</f>
        <v/>
      </c>
      <c r="N443" s="16">
        <f>$H443*Parity!$AG$55</f>
        <v/>
      </c>
      <c r="O443" s="16">
        <f>$M443-$N443</f>
        <v/>
      </c>
      <c r="P443" s="16">
        <f>insurance_rate*insured_value_uplift*$M443</f>
        <v/>
      </c>
      <c r="Q443" s="16">
        <f>$M443+$P443</f>
        <v/>
      </c>
      <c r="R443" s="18">
        <f>$Q443*Parity!$J$55</f>
        <v/>
      </c>
      <c r="S443" s="18">
        <f>$Q443*Parity!$I$55</f>
        <v/>
      </c>
      <c r="T443" s="18">
        <f>$R443*$K443</f>
        <v/>
      </c>
      <c r="U443" s="18">
        <f>$T443*sws_rate_on_bcd</f>
        <v/>
      </c>
      <c r="V443" s="18">
        <f>($R443+$T443+$U443)*igst_rate_hs7602</f>
        <v/>
      </c>
      <c r="W443" s="18">
        <f>Parity!$X$55*Parity!$AG$55+IF(Parity!$Y$55,psic_cost_usd_per_box*Parity!$H$55/Parity!$W$55,0)</f>
        <v/>
      </c>
      <c r="X443" s="18">
        <f>($S443+$T443+$U443)*Parity!$Z$55/day_count_inr*Parity!$O$55</f>
        <v/>
      </c>
      <c r="Y443" s="18">
        <f>$V443*igst_credit_lag_days/day_count_inr*Parity!$O$55</f>
        <v/>
      </c>
      <c r="Z443" s="18">
        <f>$S443+$T443+$U443+$W443+$X443+$Y443+IF(igst_itc_available,0,$V443)</f>
        <v/>
      </c>
      <c r="AA443" s="18">
        <f>Parity!$N$55*kg_per_mt+domestic_anchor_premium_inr_t</f>
        <v/>
      </c>
      <c r="AB443" s="18">
        <f>(1-Parity!$AA$55)*Parity!$AD$55*heavies_net_value_frac_of_lme_al*Parity!$F$55*Parity!$H$55</f>
        <v/>
      </c>
      <c r="AC443" s="18">
        <f>$AA443*Parity!$AU$55+$AB443-$Z443-Parity!$AX$55</f>
        <v/>
      </c>
      <c r="AD443" s="8">
        <f>$AC443&gt;margin_threshold_inr_t</f>
        <v/>
      </c>
      <c r="AE443" s="18">
        <f>($AC443-$L443)*grid_tonnes_mt</f>
        <v/>
      </c>
    </row>
    <row r="444">
      <c r="A444" s="7" t="inlineStr">
        <is>
          <t>first_eligible_long_lane</t>
        </is>
      </c>
      <c r="B444" s="11" t="n">
        <v>44624</v>
      </c>
      <c r="C444" s="7" t="inlineStr">
        <is>
          <t>zorba</t>
        </is>
      </c>
      <c r="D444" s="7" t="inlineStr">
        <is>
          <t>USEC_MUN</t>
        </is>
      </c>
      <c r="E444" s="7" t="inlineStr">
        <is>
          <t>CFR_seller_books_freight</t>
        </is>
      </c>
      <c r="F444" s="20" t="n">
        <v>-20</v>
      </c>
      <c r="G444" s="20" t="n">
        <v>10</v>
      </c>
      <c r="H444" s="16">
        <f>Parity!$L$55*(1+$F444/100)</f>
        <v/>
      </c>
      <c r="I444" s="16">
        <f>Parity!$L$55*Parity!$AG$55*$F444/100</f>
        <v/>
      </c>
      <c r="J444" s="8">
        <f>IF($E444="FOB_desk_books_freight",Parity!$P$55+$I444/Parity!$F$55,Parity!$P$55)</f>
        <v/>
      </c>
      <c r="K444" s="8">
        <f>$G444/100</f>
        <v/>
      </c>
      <c r="L444" s="18">
        <f>Parity!$AY$55</f>
        <v/>
      </c>
      <c r="M444" s="16">
        <f>Parity!$F$55*$J444</f>
        <v/>
      </c>
      <c r="N444" s="16">
        <f>$H444*Parity!$AG$55</f>
        <v/>
      </c>
      <c r="O444" s="16">
        <f>$M444-$N444</f>
        <v/>
      </c>
      <c r="P444" s="16">
        <f>insurance_rate*insured_value_uplift*$M444</f>
        <v/>
      </c>
      <c r="Q444" s="16">
        <f>$M444+$P444</f>
        <v/>
      </c>
      <c r="R444" s="18">
        <f>$Q444*Parity!$J$55</f>
        <v/>
      </c>
      <c r="S444" s="18">
        <f>$Q444*Parity!$I$55</f>
        <v/>
      </c>
      <c r="T444" s="18">
        <f>$R444*$K444</f>
        <v/>
      </c>
      <c r="U444" s="18">
        <f>$T444*sws_rate_on_bcd</f>
        <v/>
      </c>
      <c r="V444" s="18">
        <f>($R444+$T444+$U444)*igst_rate_hs7602</f>
        <v/>
      </c>
      <c r="W444" s="18">
        <f>Parity!$X$55*Parity!$AG$55+IF(Parity!$Y$55,psic_cost_usd_per_box*Parity!$H$55/Parity!$W$55,0)</f>
        <v/>
      </c>
      <c r="X444" s="18">
        <f>($S444+$T444+$U444)*Parity!$Z$55/day_count_inr*Parity!$O$55</f>
        <v/>
      </c>
      <c r="Y444" s="18">
        <f>$V444*igst_credit_lag_days/day_count_inr*Parity!$O$55</f>
        <v/>
      </c>
      <c r="Z444" s="18">
        <f>$S444+$T444+$U444+$W444+$X444+$Y444+IF(igst_itc_available,0,$V444)</f>
        <v/>
      </c>
      <c r="AA444" s="18">
        <f>Parity!$N$55*kg_per_mt+domestic_anchor_premium_inr_t</f>
        <v/>
      </c>
      <c r="AB444" s="18">
        <f>(1-Parity!$AA$55)*Parity!$AD$55*heavies_net_value_frac_of_lme_al*Parity!$F$55*Parity!$H$55</f>
        <v/>
      </c>
      <c r="AC444" s="18">
        <f>$AA444*Parity!$AU$55+$AB444-$Z444-Parity!$AX$55</f>
        <v/>
      </c>
      <c r="AD444" s="8">
        <f>$AC444&gt;margin_threshold_inr_t</f>
        <v/>
      </c>
      <c r="AE444" s="18">
        <f>($AC444-$L444)*grid_tonnes_mt</f>
        <v/>
      </c>
    </row>
    <row r="445">
      <c r="A445" s="7" t="inlineStr">
        <is>
          <t>first_eligible_long_lane</t>
        </is>
      </c>
      <c r="B445" s="11" t="n">
        <v>44624</v>
      </c>
      <c r="C445" s="7" t="inlineStr">
        <is>
          <t>zorba</t>
        </is>
      </c>
      <c r="D445" s="7" t="inlineStr">
        <is>
          <t>USEC_MUN</t>
        </is>
      </c>
      <c r="E445" s="7" t="inlineStr">
        <is>
          <t>CFR_seller_books_freight</t>
        </is>
      </c>
      <c r="F445" s="20" t="n">
        <v>0</v>
      </c>
      <c r="G445" s="20" t="n">
        <v>0</v>
      </c>
      <c r="H445" s="16">
        <f>Parity!$L$55*(1+$F445/100)</f>
        <v/>
      </c>
      <c r="I445" s="16">
        <f>Parity!$L$55*Parity!$AG$55*$F445/100</f>
        <v/>
      </c>
      <c r="J445" s="8">
        <f>IF($E445="FOB_desk_books_freight",Parity!$P$55+$I445/Parity!$F$55,Parity!$P$55)</f>
        <v/>
      </c>
      <c r="K445" s="8">
        <f>$G445/100</f>
        <v/>
      </c>
      <c r="L445" s="18">
        <f>Parity!$AY$55</f>
        <v/>
      </c>
      <c r="M445" s="16">
        <f>Parity!$F$55*$J445</f>
        <v/>
      </c>
      <c r="N445" s="16">
        <f>$H445*Parity!$AG$55</f>
        <v/>
      </c>
      <c r="O445" s="16">
        <f>$M445-$N445</f>
        <v/>
      </c>
      <c r="P445" s="16">
        <f>insurance_rate*insured_value_uplift*$M445</f>
        <v/>
      </c>
      <c r="Q445" s="16">
        <f>$M445+$P445</f>
        <v/>
      </c>
      <c r="R445" s="18">
        <f>$Q445*Parity!$J$55</f>
        <v/>
      </c>
      <c r="S445" s="18">
        <f>$Q445*Parity!$I$55</f>
        <v/>
      </c>
      <c r="T445" s="18">
        <f>$R445*$K445</f>
        <v/>
      </c>
      <c r="U445" s="18">
        <f>$T445*sws_rate_on_bcd</f>
        <v/>
      </c>
      <c r="V445" s="18">
        <f>($R445+$T445+$U445)*igst_rate_hs7602</f>
        <v/>
      </c>
      <c r="W445" s="18">
        <f>Parity!$X$55*Parity!$AG$55+IF(Parity!$Y$55,psic_cost_usd_per_box*Parity!$H$55/Parity!$W$55,0)</f>
        <v/>
      </c>
      <c r="X445" s="18">
        <f>($S445+$T445+$U445)*Parity!$Z$55/day_count_inr*Parity!$O$55</f>
        <v/>
      </c>
      <c r="Y445" s="18">
        <f>$V445*igst_credit_lag_days/day_count_inr*Parity!$O$55</f>
        <v/>
      </c>
      <c r="Z445" s="18">
        <f>$S445+$T445+$U445+$W445+$X445+$Y445+IF(igst_itc_available,0,$V445)</f>
        <v/>
      </c>
      <c r="AA445" s="18">
        <f>Parity!$N$55*kg_per_mt+domestic_anchor_premium_inr_t</f>
        <v/>
      </c>
      <c r="AB445" s="18">
        <f>(1-Parity!$AA$55)*Parity!$AD$55*heavies_net_value_frac_of_lme_al*Parity!$F$55*Parity!$H$55</f>
        <v/>
      </c>
      <c r="AC445" s="18">
        <f>$AA445*Parity!$AU$55+$AB445-$Z445-Parity!$AX$55</f>
        <v/>
      </c>
      <c r="AD445" s="8">
        <f>$AC445&gt;margin_threshold_inr_t</f>
        <v/>
      </c>
      <c r="AE445" s="18">
        <f>($AC445-$L445)*grid_tonnes_mt</f>
        <v/>
      </c>
    </row>
    <row r="446">
      <c r="A446" s="7" t="inlineStr">
        <is>
          <t>first_eligible_long_lane</t>
        </is>
      </c>
      <c r="B446" s="11" t="n">
        <v>44624</v>
      </c>
      <c r="C446" s="7" t="inlineStr">
        <is>
          <t>zorba</t>
        </is>
      </c>
      <c r="D446" s="7" t="inlineStr">
        <is>
          <t>USEC_MUN</t>
        </is>
      </c>
      <c r="E446" s="7" t="inlineStr">
        <is>
          <t>CFR_seller_books_freight</t>
        </is>
      </c>
      <c r="F446" s="20" t="n">
        <v>0</v>
      </c>
      <c r="G446" s="20" t="n">
        <v>2.5</v>
      </c>
      <c r="H446" s="16">
        <f>Parity!$L$55*(1+$F446/100)</f>
        <v/>
      </c>
      <c r="I446" s="16">
        <f>Parity!$L$55*Parity!$AG$55*$F446/100</f>
        <v/>
      </c>
      <c r="J446" s="8">
        <f>IF($E446="FOB_desk_books_freight",Parity!$P$55+$I446/Parity!$F$55,Parity!$P$55)</f>
        <v/>
      </c>
      <c r="K446" s="8">
        <f>$G446/100</f>
        <v/>
      </c>
      <c r="L446" s="18">
        <f>Parity!$AY$55</f>
        <v/>
      </c>
      <c r="M446" s="16">
        <f>Parity!$F$55*$J446</f>
        <v/>
      </c>
      <c r="N446" s="16">
        <f>$H446*Parity!$AG$55</f>
        <v/>
      </c>
      <c r="O446" s="16">
        <f>$M446-$N446</f>
        <v/>
      </c>
      <c r="P446" s="16">
        <f>insurance_rate*insured_value_uplift*$M446</f>
        <v/>
      </c>
      <c r="Q446" s="16">
        <f>$M446+$P446</f>
        <v/>
      </c>
      <c r="R446" s="18">
        <f>$Q446*Parity!$J$55</f>
        <v/>
      </c>
      <c r="S446" s="18">
        <f>$Q446*Parity!$I$55</f>
        <v/>
      </c>
      <c r="T446" s="18">
        <f>$R446*$K446</f>
        <v/>
      </c>
      <c r="U446" s="18">
        <f>$T446*sws_rate_on_bcd</f>
        <v/>
      </c>
      <c r="V446" s="18">
        <f>($R446+$T446+$U446)*igst_rate_hs7602</f>
        <v/>
      </c>
      <c r="W446" s="18">
        <f>Parity!$X$55*Parity!$AG$55+IF(Parity!$Y$55,psic_cost_usd_per_box*Parity!$H$55/Parity!$W$55,0)</f>
        <v/>
      </c>
      <c r="X446" s="18">
        <f>($S446+$T446+$U446)*Parity!$Z$55/day_count_inr*Parity!$O$55</f>
        <v/>
      </c>
      <c r="Y446" s="18">
        <f>$V446*igst_credit_lag_days/day_count_inr*Parity!$O$55</f>
        <v/>
      </c>
      <c r="Z446" s="18">
        <f>$S446+$T446+$U446+$W446+$X446+$Y446+IF(igst_itc_available,0,$V446)</f>
        <v/>
      </c>
      <c r="AA446" s="18">
        <f>Parity!$N$55*kg_per_mt+domestic_anchor_premium_inr_t</f>
        <v/>
      </c>
      <c r="AB446" s="18">
        <f>(1-Parity!$AA$55)*Parity!$AD$55*heavies_net_value_frac_of_lme_al*Parity!$F$55*Parity!$H$55</f>
        <v/>
      </c>
      <c r="AC446" s="18">
        <f>$AA446*Parity!$AU$55+$AB446-$Z446-Parity!$AX$55</f>
        <v/>
      </c>
      <c r="AD446" s="8">
        <f>$AC446&gt;margin_threshold_inr_t</f>
        <v/>
      </c>
      <c r="AE446" s="18">
        <f>($AC446-$L446)*grid_tonnes_mt</f>
        <v/>
      </c>
    </row>
    <row r="447">
      <c r="A447" s="7" t="inlineStr">
        <is>
          <t>first_eligible_long_lane</t>
        </is>
      </c>
      <c r="B447" s="11" t="n">
        <v>44624</v>
      </c>
      <c r="C447" s="7" t="inlineStr">
        <is>
          <t>zorba</t>
        </is>
      </c>
      <c r="D447" s="7" t="inlineStr">
        <is>
          <t>USEC_MUN</t>
        </is>
      </c>
      <c r="E447" s="7" t="inlineStr">
        <is>
          <t>CFR_seller_books_freight</t>
        </is>
      </c>
      <c r="F447" s="20" t="n">
        <v>0</v>
      </c>
      <c r="G447" s="20" t="n">
        <v>5</v>
      </c>
      <c r="H447" s="16">
        <f>Parity!$L$55*(1+$F447/100)</f>
        <v/>
      </c>
      <c r="I447" s="16">
        <f>Parity!$L$55*Parity!$AG$55*$F447/100</f>
        <v/>
      </c>
      <c r="J447" s="8">
        <f>IF($E447="FOB_desk_books_freight",Parity!$P$55+$I447/Parity!$F$55,Parity!$P$55)</f>
        <v/>
      </c>
      <c r="K447" s="8">
        <f>$G447/100</f>
        <v/>
      </c>
      <c r="L447" s="18">
        <f>Parity!$AY$55</f>
        <v/>
      </c>
      <c r="M447" s="16">
        <f>Parity!$F$55*$J447</f>
        <v/>
      </c>
      <c r="N447" s="16">
        <f>$H447*Parity!$AG$55</f>
        <v/>
      </c>
      <c r="O447" s="16">
        <f>$M447-$N447</f>
        <v/>
      </c>
      <c r="P447" s="16">
        <f>insurance_rate*insured_value_uplift*$M447</f>
        <v/>
      </c>
      <c r="Q447" s="16">
        <f>$M447+$P447</f>
        <v/>
      </c>
      <c r="R447" s="18">
        <f>$Q447*Parity!$J$55</f>
        <v/>
      </c>
      <c r="S447" s="18">
        <f>$Q447*Parity!$I$55</f>
        <v/>
      </c>
      <c r="T447" s="18">
        <f>$R447*$K447</f>
        <v/>
      </c>
      <c r="U447" s="18">
        <f>$T447*sws_rate_on_bcd</f>
        <v/>
      </c>
      <c r="V447" s="18">
        <f>($R447+$T447+$U447)*igst_rate_hs7602</f>
        <v/>
      </c>
      <c r="W447" s="18">
        <f>Parity!$X$55*Parity!$AG$55+IF(Parity!$Y$55,psic_cost_usd_per_box*Parity!$H$55/Parity!$W$55,0)</f>
        <v/>
      </c>
      <c r="X447" s="18">
        <f>($S447+$T447+$U447)*Parity!$Z$55/day_count_inr*Parity!$O$55</f>
        <v/>
      </c>
      <c r="Y447" s="18">
        <f>$V447*igst_credit_lag_days/day_count_inr*Parity!$O$55</f>
        <v/>
      </c>
      <c r="Z447" s="18">
        <f>$S447+$T447+$U447+$W447+$X447+$Y447+IF(igst_itc_available,0,$V447)</f>
        <v/>
      </c>
      <c r="AA447" s="18">
        <f>Parity!$N$55*kg_per_mt+domestic_anchor_premium_inr_t</f>
        <v/>
      </c>
      <c r="AB447" s="18">
        <f>(1-Parity!$AA$55)*Parity!$AD$55*heavies_net_value_frac_of_lme_al*Parity!$F$55*Parity!$H$55</f>
        <v/>
      </c>
      <c r="AC447" s="18">
        <f>$AA447*Parity!$AU$55+$AB447-$Z447-Parity!$AX$55</f>
        <v/>
      </c>
      <c r="AD447" s="8">
        <f>$AC447&gt;margin_threshold_inr_t</f>
        <v/>
      </c>
      <c r="AE447" s="18">
        <f>($AC447-$L447)*grid_tonnes_mt</f>
        <v/>
      </c>
    </row>
    <row r="448">
      <c r="A448" s="7" t="inlineStr">
        <is>
          <t>first_eligible_long_lane</t>
        </is>
      </c>
      <c r="B448" s="11" t="n">
        <v>44624</v>
      </c>
      <c r="C448" s="7" t="inlineStr">
        <is>
          <t>zorba</t>
        </is>
      </c>
      <c r="D448" s="7" t="inlineStr">
        <is>
          <t>USEC_MUN</t>
        </is>
      </c>
      <c r="E448" s="7" t="inlineStr">
        <is>
          <t>CFR_seller_books_freight</t>
        </is>
      </c>
      <c r="F448" s="20" t="n">
        <v>0</v>
      </c>
      <c r="G448" s="20" t="n">
        <v>7.5</v>
      </c>
      <c r="H448" s="16">
        <f>Parity!$L$55*(1+$F448/100)</f>
        <v/>
      </c>
      <c r="I448" s="16">
        <f>Parity!$L$55*Parity!$AG$55*$F448/100</f>
        <v/>
      </c>
      <c r="J448" s="8">
        <f>IF($E448="FOB_desk_books_freight",Parity!$P$55+$I448/Parity!$F$55,Parity!$P$55)</f>
        <v/>
      </c>
      <c r="K448" s="8">
        <f>$G448/100</f>
        <v/>
      </c>
      <c r="L448" s="18">
        <f>Parity!$AY$55</f>
        <v/>
      </c>
      <c r="M448" s="16">
        <f>Parity!$F$55*$J448</f>
        <v/>
      </c>
      <c r="N448" s="16">
        <f>$H448*Parity!$AG$55</f>
        <v/>
      </c>
      <c r="O448" s="16">
        <f>$M448-$N448</f>
        <v/>
      </c>
      <c r="P448" s="16">
        <f>insurance_rate*insured_value_uplift*$M448</f>
        <v/>
      </c>
      <c r="Q448" s="16">
        <f>$M448+$P448</f>
        <v/>
      </c>
      <c r="R448" s="18">
        <f>$Q448*Parity!$J$55</f>
        <v/>
      </c>
      <c r="S448" s="18">
        <f>$Q448*Parity!$I$55</f>
        <v/>
      </c>
      <c r="T448" s="18">
        <f>$R448*$K448</f>
        <v/>
      </c>
      <c r="U448" s="18">
        <f>$T448*sws_rate_on_bcd</f>
        <v/>
      </c>
      <c r="V448" s="18">
        <f>($R448+$T448+$U448)*igst_rate_hs7602</f>
        <v/>
      </c>
      <c r="W448" s="18">
        <f>Parity!$X$55*Parity!$AG$55+IF(Parity!$Y$55,psic_cost_usd_per_box*Parity!$H$55/Parity!$W$55,0)</f>
        <v/>
      </c>
      <c r="X448" s="18">
        <f>($S448+$T448+$U448)*Parity!$Z$55/day_count_inr*Parity!$O$55</f>
        <v/>
      </c>
      <c r="Y448" s="18">
        <f>$V448*igst_credit_lag_days/day_count_inr*Parity!$O$55</f>
        <v/>
      </c>
      <c r="Z448" s="18">
        <f>$S448+$T448+$U448+$W448+$X448+$Y448+IF(igst_itc_available,0,$V448)</f>
        <v/>
      </c>
      <c r="AA448" s="18">
        <f>Parity!$N$55*kg_per_mt+domestic_anchor_premium_inr_t</f>
        <v/>
      </c>
      <c r="AB448" s="18">
        <f>(1-Parity!$AA$55)*Parity!$AD$55*heavies_net_value_frac_of_lme_al*Parity!$F$55*Parity!$H$55</f>
        <v/>
      </c>
      <c r="AC448" s="18">
        <f>$AA448*Parity!$AU$55+$AB448-$Z448-Parity!$AX$55</f>
        <v/>
      </c>
      <c r="AD448" s="8">
        <f>$AC448&gt;margin_threshold_inr_t</f>
        <v/>
      </c>
      <c r="AE448" s="18">
        <f>($AC448-$L448)*grid_tonnes_mt</f>
        <v/>
      </c>
    </row>
    <row r="449">
      <c r="A449" s="7" t="inlineStr">
        <is>
          <t>first_eligible_long_lane</t>
        </is>
      </c>
      <c r="B449" s="11" t="n">
        <v>44624</v>
      </c>
      <c r="C449" s="7" t="inlineStr">
        <is>
          <t>zorba</t>
        </is>
      </c>
      <c r="D449" s="7" t="inlineStr">
        <is>
          <t>USEC_MUN</t>
        </is>
      </c>
      <c r="E449" s="7" t="inlineStr">
        <is>
          <t>CFR_seller_books_freight</t>
        </is>
      </c>
      <c r="F449" s="20" t="n">
        <v>0</v>
      </c>
      <c r="G449" s="20" t="n">
        <v>10</v>
      </c>
      <c r="H449" s="16">
        <f>Parity!$L$55*(1+$F449/100)</f>
        <v/>
      </c>
      <c r="I449" s="16">
        <f>Parity!$L$55*Parity!$AG$55*$F449/100</f>
        <v/>
      </c>
      <c r="J449" s="8">
        <f>IF($E449="FOB_desk_books_freight",Parity!$P$55+$I449/Parity!$F$55,Parity!$P$55)</f>
        <v/>
      </c>
      <c r="K449" s="8">
        <f>$G449/100</f>
        <v/>
      </c>
      <c r="L449" s="18">
        <f>Parity!$AY$55</f>
        <v/>
      </c>
      <c r="M449" s="16">
        <f>Parity!$F$55*$J449</f>
        <v/>
      </c>
      <c r="N449" s="16">
        <f>$H449*Parity!$AG$55</f>
        <v/>
      </c>
      <c r="O449" s="16">
        <f>$M449-$N449</f>
        <v/>
      </c>
      <c r="P449" s="16">
        <f>insurance_rate*insured_value_uplift*$M449</f>
        <v/>
      </c>
      <c r="Q449" s="16">
        <f>$M449+$P449</f>
        <v/>
      </c>
      <c r="R449" s="18">
        <f>$Q449*Parity!$J$55</f>
        <v/>
      </c>
      <c r="S449" s="18">
        <f>$Q449*Parity!$I$55</f>
        <v/>
      </c>
      <c r="T449" s="18">
        <f>$R449*$K449</f>
        <v/>
      </c>
      <c r="U449" s="18">
        <f>$T449*sws_rate_on_bcd</f>
        <v/>
      </c>
      <c r="V449" s="18">
        <f>($R449+$T449+$U449)*igst_rate_hs7602</f>
        <v/>
      </c>
      <c r="W449" s="18">
        <f>Parity!$X$55*Parity!$AG$55+IF(Parity!$Y$55,psic_cost_usd_per_box*Parity!$H$55/Parity!$W$55,0)</f>
        <v/>
      </c>
      <c r="X449" s="18">
        <f>($S449+$T449+$U449)*Parity!$Z$55/day_count_inr*Parity!$O$55</f>
        <v/>
      </c>
      <c r="Y449" s="18">
        <f>$V449*igst_credit_lag_days/day_count_inr*Parity!$O$55</f>
        <v/>
      </c>
      <c r="Z449" s="18">
        <f>$S449+$T449+$U449+$W449+$X449+$Y449+IF(igst_itc_available,0,$V449)</f>
        <v/>
      </c>
      <c r="AA449" s="18">
        <f>Parity!$N$55*kg_per_mt+domestic_anchor_premium_inr_t</f>
        <v/>
      </c>
      <c r="AB449" s="18">
        <f>(1-Parity!$AA$55)*Parity!$AD$55*heavies_net_value_frac_of_lme_al*Parity!$F$55*Parity!$H$55</f>
        <v/>
      </c>
      <c r="AC449" s="18">
        <f>$AA449*Parity!$AU$55+$AB449-$Z449-Parity!$AX$55</f>
        <v/>
      </c>
      <c r="AD449" s="8">
        <f>$AC449&gt;margin_threshold_inr_t</f>
        <v/>
      </c>
      <c r="AE449" s="18">
        <f>($AC449-$L449)*grid_tonnes_mt</f>
        <v/>
      </c>
    </row>
    <row r="450">
      <c r="A450" s="7" t="inlineStr">
        <is>
          <t>first_eligible_long_lane</t>
        </is>
      </c>
      <c r="B450" s="11" t="n">
        <v>44624</v>
      </c>
      <c r="C450" s="7" t="inlineStr">
        <is>
          <t>zorba</t>
        </is>
      </c>
      <c r="D450" s="7" t="inlineStr">
        <is>
          <t>USEC_MUN</t>
        </is>
      </c>
      <c r="E450" s="7" t="inlineStr">
        <is>
          <t>CFR_seller_books_freight</t>
        </is>
      </c>
      <c r="F450" s="20" t="n">
        <v>20</v>
      </c>
      <c r="G450" s="20" t="n">
        <v>0</v>
      </c>
      <c r="H450" s="16">
        <f>Parity!$L$55*(1+$F450/100)</f>
        <v/>
      </c>
      <c r="I450" s="16">
        <f>Parity!$L$55*Parity!$AG$55*$F450/100</f>
        <v/>
      </c>
      <c r="J450" s="8">
        <f>IF($E450="FOB_desk_books_freight",Parity!$P$55+$I450/Parity!$F$55,Parity!$P$55)</f>
        <v/>
      </c>
      <c r="K450" s="8">
        <f>$G450/100</f>
        <v/>
      </c>
      <c r="L450" s="18">
        <f>Parity!$AY$55</f>
        <v/>
      </c>
      <c r="M450" s="16">
        <f>Parity!$F$55*$J450</f>
        <v/>
      </c>
      <c r="N450" s="16">
        <f>$H450*Parity!$AG$55</f>
        <v/>
      </c>
      <c r="O450" s="16">
        <f>$M450-$N450</f>
        <v/>
      </c>
      <c r="P450" s="16">
        <f>insurance_rate*insured_value_uplift*$M450</f>
        <v/>
      </c>
      <c r="Q450" s="16">
        <f>$M450+$P450</f>
        <v/>
      </c>
      <c r="R450" s="18">
        <f>$Q450*Parity!$J$55</f>
        <v/>
      </c>
      <c r="S450" s="18">
        <f>$Q450*Parity!$I$55</f>
        <v/>
      </c>
      <c r="T450" s="18">
        <f>$R450*$K450</f>
        <v/>
      </c>
      <c r="U450" s="18">
        <f>$T450*sws_rate_on_bcd</f>
        <v/>
      </c>
      <c r="V450" s="18">
        <f>($R450+$T450+$U450)*igst_rate_hs7602</f>
        <v/>
      </c>
      <c r="W450" s="18">
        <f>Parity!$X$55*Parity!$AG$55+IF(Parity!$Y$55,psic_cost_usd_per_box*Parity!$H$55/Parity!$W$55,0)</f>
        <v/>
      </c>
      <c r="X450" s="18">
        <f>($S450+$T450+$U450)*Parity!$Z$55/day_count_inr*Parity!$O$55</f>
        <v/>
      </c>
      <c r="Y450" s="18">
        <f>$V450*igst_credit_lag_days/day_count_inr*Parity!$O$55</f>
        <v/>
      </c>
      <c r="Z450" s="18">
        <f>$S450+$T450+$U450+$W450+$X450+$Y450+IF(igst_itc_available,0,$V450)</f>
        <v/>
      </c>
      <c r="AA450" s="18">
        <f>Parity!$N$55*kg_per_mt+domestic_anchor_premium_inr_t</f>
        <v/>
      </c>
      <c r="AB450" s="18">
        <f>(1-Parity!$AA$55)*Parity!$AD$55*heavies_net_value_frac_of_lme_al*Parity!$F$55*Parity!$H$55</f>
        <v/>
      </c>
      <c r="AC450" s="18">
        <f>$AA450*Parity!$AU$55+$AB450-$Z450-Parity!$AX$55</f>
        <v/>
      </c>
      <c r="AD450" s="8">
        <f>$AC450&gt;margin_threshold_inr_t</f>
        <v/>
      </c>
      <c r="AE450" s="18">
        <f>($AC450-$L450)*grid_tonnes_mt</f>
        <v/>
      </c>
    </row>
    <row r="451">
      <c r="A451" s="7" t="inlineStr">
        <is>
          <t>first_eligible_long_lane</t>
        </is>
      </c>
      <c r="B451" s="11" t="n">
        <v>44624</v>
      </c>
      <c r="C451" s="7" t="inlineStr">
        <is>
          <t>zorba</t>
        </is>
      </c>
      <c r="D451" s="7" t="inlineStr">
        <is>
          <t>USEC_MUN</t>
        </is>
      </c>
      <c r="E451" s="7" t="inlineStr">
        <is>
          <t>CFR_seller_books_freight</t>
        </is>
      </c>
      <c r="F451" s="20" t="n">
        <v>20</v>
      </c>
      <c r="G451" s="20" t="n">
        <v>2.5</v>
      </c>
      <c r="H451" s="16">
        <f>Parity!$L$55*(1+$F451/100)</f>
        <v/>
      </c>
      <c r="I451" s="16">
        <f>Parity!$L$55*Parity!$AG$55*$F451/100</f>
        <v/>
      </c>
      <c r="J451" s="8">
        <f>IF($E451="FOB_desk_books_freight",Parity!$P$55+$I451/Parity!$F$55,Parity!$P$55)</f>
        <v/>
      </c>
      <c r="K451" s="8">
        <f>$G451/100</f>
        <v/>
      </c>
      <c r="L451" s="18">
        <f>Parity!$AY$55</f>
        <v/>
      </c>
      <c r="M451" s="16">
        <f>Parity!$F$55*$J451</f>
        <v/>
      </c>
      <c r="N451" s="16">
        <f>$H451*Parity!$AG$55</f>
        <v/>
      </c>
      <c r="O451" s="16">
        <f>$M451-$N451</f>
        <v/>
      </c>
      <c r="P451" s="16">
        <f>insurance_rate*insured_value_uplift*$M451</f>
        <v/>
      </c>
      <c r="Q451" s="16">
        <f>$M451+$P451</f>
        <v/>
      </c>
      <c r="R451" s="18">
        <f>$Q451*Parity!$J$55</f>
        <v/>
      </c>
      <c r="S451" s="18">
        <f>$Q451*Parity!$I$55</f>
        <v/>
      </c>
      <c r="T451" s="18">
        <f>$R451*$K451</f>
        <v/>
      </c>
      <c r="U451" s="18">
        <f>$T451*sws_rate_on_bcd</f>
        <v/>
      </c>
      <c r="V451" s="18">
        <f>($R451+$T451+$U451)*igst_rate_hs7602</f>
        <v/>
      </c>
      <c r="W451" s="18">
        <f>Parity!$X$55*Parity!$AG$55+IF(Parity!$Y$55,psic_cost_usd_per_box*Parity!$H$55/Parity!$W$55,0)</f>
        <v/>
      </c>
      <c r="X451" s="18">
        <f>($S451+$T451+$U451)*Parity!$Z$55/day_count_inr*Parity!$O$55</f>
        <v/>
      </c>
      <c r="Y451" s="18">
        <f>$V451*igst_credit_lag_days/day_count_inr*Parity!$O$55</f>
        <v/>
      </c>
      <c r="Z451" s="18">
        <f>$S451+$T451+$U451+$W451+$X451+$Y451+IF(igst_itc_available,0,$V451)</f>
        <v/>
      </c>
      <c r="AA451" s="18">
        <f>Parity!$N$55*kg_per_mt+domestic_anchor_premium_inr_t</f>
        <v/>
      </c>
      <c r="AB451" s="18">
        <f>(1-Parity!$AA$55)*Parity!$AD$55*heavies_net_value_frac_of_lme_al*Parity!$F$55*Parity!$H$55</f>
        <v/>
      </c>
      <c r="AC451" s="18">
        <f>$AA451*Parity!$AU$55+$AB451-$Z451-Parity!$AX$55</f>
        <v/>
      </c>
      <c r="AD451" s="8">
        <f>$AC451&gt;margin_threshold_inr_t</f>
        <v/>
      </c>
      <c r="AE451" s="18">
        <f>($AC451-$L451)*grid_tonnes_mt</f>
        <v/>
      </c>
    </row>
    <row r="452">
      <c r="A452" s="7" t="inlineStr">
        <is>
          <t>first_eligible_long_lane</t>
        </is>
      </c>
      <c r="B452" s="11" t="n">
        <v>44624</v>
      </c>
      <c r="C452" s="7" t="inlineStr">
        <is>
          <t>zorba</t>
        </is>
      </c>
      <c r="D452" s="7" t="inlineStr">
        <is>
          <t>USEC_MUN</t>
        </is>
      </c>
      <c r="E452" s="7" t="inlineStr">
        <is>
          <t>CFR_seller_books_freight</t>
        </is>
      </c>
      <c r="F452" s="20" t="n">
        <v>20</v>
      </c>
      <c r="G452" s="20" t="n">
        <v>5</v>
      </c>
      <c r="H452" s="16">
        <f>Parity!$L$55*(1+$F452/100)</f>
        <v/>
      </c>
      <c r="I452" s="16">
        <f>Parity!$L$55*Parity!$AG$55*$F452/100</f>
        <v/>
      </c>
      <c r="J452" s="8">
        <f>IF($E452="FOB_desk_books_freight",Parity!$P$55+$I452/Parity!$F$55,Parity!$P$55)</f>
        <v/>
      </c>
      <c r="K452" s="8">
        <f>$G452/100</f>
        <v/>
      </c>
      <c r="L452" s="18">
        <f>Parity!$AY$55</f>
        <v/>
      </c>
      <c r="M452" s="16">
        <f>Parity!$F$55*$J452</f>
        <v/>
      </c>
      <c r="N452" s="16">
        <f>$H452*Parity!$AG$55</f>
        <v/>
      </c>
      <c r="O452" s="16">
        <f>$M452-$N452</f>
        <v/>
      </c>
      <c r="P452" s="16">
        <f>insurance_rate*insured_value_uplift*$M452</f>
        <v/>
      </c>
      <c r="Q452" s="16">
        <f>$M452+$P452</f>
        <v/>
      </c>
      <c r="R452" s="18">
        <f>$Q452*Parity!$J$55</f>
        <v/>
      </c>
      <c r="S452" s="18">
        <f>$Q452*Parity!$I$55</f>
        <v/>
      </c>
      <c r="T452" s="18">
        <f>$R452*$K452</f>
        <v/>
      </c>
      <c r="U452" s="18">
        <f>$T452*sws_rate_on_bcd</f>
        <v/>
      </c>
      <c r="V452" s="18">
        <f>($R452+$T452+$U452)*igst_rate_hs7602</f>
        <v/>
      </c>
      <c r="W452" s="18">
        <f>Parity!$X$55*Parity!$AG$55+IF(Parity!$Y$55,psic_cost_usd_per_box*Parity!$H$55/Parity!$W$55,0)</f>
        <v/>
      </c>
      <c r="X452" s="18">
        <f>($S452+$T452+$U452)*Parity!$Z$55/day_count_inr*Parity!$O$55</f>
        <v/>
      </c>
      <c r="Y452" s="18">
        <f>$V452*igst_credit_lag_days/day_count_inr*Parity!$O$55</f>
        <v/>
      </c>
      <c r="Z452" s="18">
        <f>$S452+$T452+$U452+$W452+$X452+$Y452+IF(igst_itc_available,0,$V452)</f>
        <v/>
      </c>
      <c r="AA452" s="18">
        <f>Parity!$N$55*kg_per_mt+domestic_anchor_premium_inr_t</f>
        <v/>
      </c>
      <c r="AB452" s="18">
        <f>(1-Parity!$AA$55)*Parity!$AD$55*heavies_net_value_frac_of_lme_al*Parity!$F$55*Parity!$H$55</f>
        <v/>
      </c>
      <c r="AC452" s="18">
        <f>$AA452*Parity!$AU$55+$AB452-$Z452-Parity!$AX$55</f>
        <v/>
      </c>
      <c r="AD452" s="8">
        <f>$AC452&gt;margin_threshold_inr_t</f>
        <v/>
      </c>
      <c r="AE452" s="18">
        <f>($AC452-$L452)*grid_tonnes_mt</f>
        <v/>
      </c>
    </row>
    <row r="453">
      <c r="A453" s="7" t="inlineStr">
        <is>
          <t>first_eligible_long_lane</t>
        </is>
      </c>
      <c r="B453" s="11" t="n">
        <v>44624</v>
      </c>
      <c r="C453" s="7" t="inlineStr">
        <is>
          <t>zorba</t>
        </is>
      </c>
      <c r="D453" s="7" t="inlineStr">
        <is>
          <t>USEC_MUN</t>
        </is>
      </c>
      <c r="E453" s="7" t="inlineStr">
        <is>
          <t>CFR_seller_books_freight</t>
        </is>
      </c>
      <c r="F453" s="20" t="n">
        <v>20</v>
      </c>
      <c r="G453" s="20" t="n">
        <v>7.5</v>
      </c>
      <c r="H453" s="16">
        <f>Parity!$L$55*(1+$F453/100)</f>
        <v/>
      </c>
      <c r="I453" s="16">
        <f>Parity!$L$55*Parity!$AG$55*$F453/100</f>
        <v/>
      </c>
      <c r="J453" s="8">
        <f>IF($E453="FOB_desk_books_freight",Parity!$P$55+$I453/Parity!$F$55,Parity!$P$55)</f>
        <v/>
      </c>
      <c r="K453" s="8">
        <f>$G453/100</f>
        <v/>
      </c>
      <c r="L453" s="18">
        <f>Parity!$AY$55</f>
        <v/>
      </c>
      <c r="M453" s="16">
        <f>Parity!$F$55*$J453</f>
        <v/>
      </c>
      <c r="N453" s="16">
        <f>$H453*Parity!$AG$55</f>
        <v/>
      </c>
      <c r="O453" s="16">
        <f>$M453-$N453</f>
        <v/>
      </c>
      <c r="P453" s="16">
        <f>insurance_rate*insured_value_uplift*$M453</f>
        <v/>
      </c>
      <c r="Q453" s="16">
        <f>$M453+$P453</f>
        <v/>
      </c>
      <c r="R453" s="18">
        <f>$Q453*Parity!$J$55</f>
        <v/>
      </c>
      <c r="S453" s="18">
        <f>$Q453*Parity!$I$55</f>
        <v/>
      </c>
      <c r="T453" s="18">
        <f>$R453*$K453</f>
        <v/>
      </c>
      <c r="U453" s="18">
        <f>$T453*sws_rate_on_bcd</f>
        <v/>
      </c>
      <c r="V453" s="18">
        <f>($R453+$T453+$U453)*igst_rate_hs7602</f>
        <v/>
      </c>
      <c r="W453" s="18">
        <f>Parity!$X$55*Parity!$AG$55+IF(Parity!$Y$55,psic_cost_usd_per_box*Parity!$H$55/Parity!$W$55,0)</f>
        <v/>
      </c>
      <c r="X453" s="18">
        <f>($S453+$T453+$U453)*Parity!$Z$55/day_count_inr*Parity!$O$55</f>
        <v/>
      </c>
      <c r="Y453" s="18">
        <f>$V453*igst_credit_lag_days/day_count_inr*Parity!$O$55</f>
        <v/>
      </c>
      <c r="Z453" s="18">
        <f>$S453+$T453+$U453+$W453+$X453+$Y453+IF(igst_itc_available,0,$V453)</f>
        <v/>
      </c>
      <c r="AA453" s="18">
        <f>Parity!$N$55*kg_per_mt+domestic_anchor_premium_inr_t</f>
        <v/>
      </c>
      <c r="AB453" s="18">
        <f>(1-Parity!$AA$55)*Parity!$AD$55*heavies_net_value_frac_of_lme_al*Parity!$F$55*Parity!$H$55</f>
        <v/>
      </c>
      <c r="AC453" s="18">
        <f>$AA453*Parity!$AU$55+$AB453-$Z453-Parity!$AX$55</f>
        <v/>
      </c>
      <c r="AD453" s="8">
        <f>$AC453&gt;margin_threshold_inr_t</f>
        <v/>
      </c>
      <c r="AE453" s="18">
        <f>($AC453-$L453)*grid_tonnes_mt</f>
        <v/>
      </c>
    </row>
    <row r="454">
      <c r="A454" s="7" t="inlineStr">
        <is>
          <t>first_eligible_long_lane</t>
        </is>
      </c>
      <c r="B454" s="11" t="n">
        <v>44624</v>
      </c>
      <c r="C454" s="7" t="inlineStr">
        <is>
          <t>zorba</t>
        </is>
      </c>
      <c r="D454" s="7" t="inlineStr">
        <is>
          <t>USEC_MUN</t>
        </is>
      </c>
      <c r="E454" s="7" t="inlineStr">
        <is>
          <t>CFR_seller_books_freight</t>
        </is>
      </c>
      <c r="F454" s="20" t="n">
        <v>20</v>
      </c>
      <c r="G454" s="20" t="n">
        <v>10</v>
      </c>
      <c r="H454" s="16">
        <f>Parity!$L$55*(1+$F454/100)</f>
        <v/>
      </c>
      <c r="I454" s="16">
        <f>Parity!$L$55*Parity!$AG$55*$F454/100</f>
        <v/>
      </c>
      <c r="J454" s="8">
        <f>IF($E454="FOB_desk_books_freight",Parity!$P$55+$I454/Parity!$F$55,Parity!$P$55)</f>
        <v/>
      </c>
      <c r="K454" s="8">
        <f>$G454/100</f>
        <v/>
      </c>
      <c r="L454" s="18">
        <f>Parity!$AY$55</f>
        <v/>
      </c>
      <c r="M454" s="16">
        <f>Parity!$F$55*$J454</f>
        <v/>
      </c>
      <c r="N454" s="16">
        <f>$H454*Parity!$AG$55</f>
        <v/>
      </c>
      <c r="O454" s="16">
        <f>$M454-$N454</f>
        <v/>
      </c>
      <c r="P454" s="16">
        <f>insurance_rate*insured_value_uplift*$M454</f>
        <v/>
      </c>
      <c r="Q454" s="16">
        <f>$M454+$P454</f>
        <v/>
      </c>
      <c r="R454" s="18">
        <f>$Q454*Parity!$J$55</f>
        <v/>
      </c>
      <c r="S454" s="18">
        <f>$Q454*Parity!$I$55</f>
        <v/>
      </c>
      <c r="T454" s="18">
        <f>$R454*$K454</f>
        <v/>
      </c>
      <c r="U454" s="18">
        <f>$T454*sws_rate_on_bcd</f>
        <v/>
      </c>
      <c r="V454" s="18">
        <f>($R454+$T454+$U454)*igst_rate_hs7602</f>
        <v/>
      </c>
      <c r="W454" s="18">
        <f>Parity!$X$55*Parity!$AG$55+IF(Parity!$Y$55,psic_cost_usd_per_box*Parity!$H$55/Parity!$W$55,0)</f>
        <v/>
      </c>
      <c r="X454" s="18">
        <f>($S454+$T454+$U454)*Parity!$Z$55/day_count_inr*Parity!$O$55</f>
        <v/>
      </c>
      <c r="Y454" s="18">
        <f>$V454*igst_credit_lag_days/day_count_inr*Parity!$O$55</f>
        <v/>
      </c>
      <c r="Z454" s="18">
        <f>$S454+$T454+$U454+$W454+$X454+$Y454+IF(igst_itc_available,0,$V454)</f>
        <v/>
      </c>
      <c r="AA454" s="18">
        <f>Parity!$N$55*kg_per_mt+domestic_anchor_premium_inr_t</f>
        <v/>
      </c>
      <c r="AB454" s="18">
        <f>(1-Parity!$AA$55)*Parity!$AD$55*heavies_net_value_frac_of_lme_al*Parity!$F$55*Parity!$H$55</f>
        <v/>
      </c>
      <c r="AC454" s="18">
        <f>$AA454*Parity!$AU$55+$AB454-$Z454-Parity!$AX$55</f>
        <v/>
      </c>
      <c r="AD454" s="8">
        <f>$AC454&gt;margin_threshold_inr_t</f>
        <v/>
      </c>
      <c r="AE454" s="18">
        <f>($AC454-$L454)*grid_tonnes_mt</f>
        <v/>
      </c>
    </row>
    <row r="455">
      <c r="A455" s="7" t="inlineStr">
        <is>
          <t>first_eligible_long_lane</t>
        </is>
      </c>
      <c r="B455" s="11" t="n">
        <v>44624</v>
      </c>
      <c r="C455" s="7" t="inlineStr">
        <is>
          <t>zorba</t>
        </is>
      </c>
      <c r="D455" s="7" t="inlineStr">
        <is>
          <t>USEC_MUN</t>
        </is>
      </c>
      <c r="E455" s="7" t="inlineStr">
        <is>
          <t>CFR_seller_books_freight</t>
        </is>
      </c>
      <c r="F455" s="20" t="n">
        <v>40</v>
      </c>
      <c r="G455" s="20" t="n">
        <v>0</v>
      </c>
      <c r="H455" s="16">
        <f>Parity!$L$55*(1+$F455/100)</f>
        <v/>
      </c>
      <c r="I455" s="16">
        <f>Parity!$L$55*Parity!$AG$55*$F455/100</f>
        <v/>
      </c>
      <c r="J455" s="8">
        <f>IF($E455="FOB_desk_books_freight",Parity!$P$55+$I455/Parity!$F$55,Parity!$P$55)</f>
        <v/>
      </c>
      <c r="K455" s="8">
        <f>$G455/100</f>
        <v/>
      </c>
      <c r="L455" s="18">
        <f>Parity!$AY$55</f>
        <v/>
      </c>
      <c r="M455" s="16">
        <f>Parity!$F$55*$J455</f>
        <v/>
      </c>
      <c r="N455" s="16">
        <f>$H455*Parity!$AG$55</f>
        <v/>
      </c>
      <c r="O455" s="16">
        <f>$M455-$N455</f>
        <v/>
      </c>
      <c r="P455" s="16">
        <f>insurance_rate*insured_value_uplift*$M455</f>
        <v/>
      </c>
      <c r="Q455" s="16">
        <f>$M455+$P455</f>
        <v/>
      </c>
      <c r="R455" s="18">
        <f>$Q455*Parity!$J$55</f>
        <v/>
      </c>
      <c r="S455" s="18">
        <f>$Q455*Parity!$I$55</f>
        <v/>
      </c>
      <c r="T455" s="18">
        <f>$R455*$K455</f>
        <v/>
      </c>
      <c r="U455" s="18">
        <f>$T455*sws_rate_on_bcd</f>
        <v/>
      </c>
      <c r="V455" s="18">
        <f>($R455+$T455+$U455)*igst_rate_hs7602</f>
        <v/>
      </c>
      <c r="W455" s="18">
        <f>Parity!$X$55*Parity!$AG$55+IF(Parity!$Y$55,psic_cost_usd_per_box*Parity!$H$55/Parity!$W$55,0)</f>
        <v/>
      </c>
      <c r="X455" s="18">
        <f>($S455+$T455+$U455)*Parity!$Z$55/day_count_inr*Parity!$O$55</f>
        <v/>
      </c>
      <c r="Y455" s="18">
        <f>$V455*igst_credit_lag_days/day_count_inr*Parity!$O$55</f>
        <v/>
      </c>
      <c r="Z455" s="18">
        <f>$S455+$T455+$U455+$W455+$X455+$Y455+IF(igst_itc_available,0,$V455)</f>
        <v/>
      </c>
      <c r="AA455" s="18">
        <f>Parity!$N$55*kg_per_mt+domestic_anchor_premium_inr_t</f>
        <v/>
      </c>
      <c r="AB455" s="18">
        <f>(1-Parity!$AA$55)*Parity!$AD$55*heavies_net_value_frac_of_lme_al*Parity!$F$55*Parity!$H$55</f>
        <v/>
      </c>
      <c r="AC455" s="18">
        <f>$AA455*Parity!$AU$55+$AB455-$Z455-Parity!$AX$55</f>
        <v/>
      </c>
      <c r="AD455" s="8">
        <f>$AC455&gt;margin_threshold_inr_t</f>
        <v/>
      </c>
      <c r="AE455" s="18">
        <f>($AC455-$L455)*grid_tonnes_mt</f>
        <v/>
      </c>
    </row>
    <row r="456">
      <c r="A456" s="7" t="inlineStr">
        <is>
          <t>first_eligible_long_lane</t>
        </is>
      </c>
      <c r="B456" s="11" t="n">
        <v>44624</v>
      </c>
      <c r="C456" s="7" t="inlineStr">
        <is>
          <t>zorba</t>
        </is>
      </c>
      <c r="D456" s="7" t="inlineStr">
        <is>
          <t>USEC_MUN</t>
        </is>
      </c>
      <c r="E456" s="7" t="inlineStr">
        <is>
          <t>CFR_seller_books_freight</t>
        </is>
      </c>
      <c r="F456" s="20" t="n">
        <v>40</v>
      </c>
      <c r="G456" s="20" t="n">
        <v>2.5</v>
      </c>
      <c r="H456" s="16">
        <f>Parity!$L$55*(1+$F456/100)</f>
        <v/>
      </c>
      <c r="I456" s="16">
        <f>Parity!$L$55*Parity!$AG$55*$F456/100</f>
        <v/>
      </c>
      <c r="J456" s="8">
        <f>IF($E456="FOB_desk_books_freight",Parity!$P$55+$I456/Parity!$F$55,Parity!$P$55)</f>
        <v/>
      </c>
      <c r="K456" s="8">
        <f>$G456/100</f>
        <v/>
      </c>
      <c r="L456" s="18">
        <f>Parity!$AY$55</f>
        <v/>
      </c>
      <c r="M456" s="16">
        <f>Parity!$F$55*$J456</f>
        <v/>
      </c>
      <c r="N456" s="16">
        <f>$H456*Parity!$AG$55</f>
        <v/>
      </c>
      <c r="O456" s="16">
        <f>$M456-$N456</f>
        <v/>
      </c>
      <c r="P456" s="16">
        <f>insurance_rate*insured_value_uplift*$M456</f>
        <v/>
      </c>
      <c r="Q456" s="16">
        <f>$M456+$P456</f>
        <v/>
      </c>
      <c r="R456" s="18">
        <f>$Q456*Parity!$J$55</f>
        <v/>
      </c>
      <c r="S456" s="18">
        <f>$Q456*Parity!$I$55</f>
        <v/>
      </c>
      <c r="T456" s="18">
        <f>$R456*$K456</f>
        <v/>
      </c>
      <c r="U456" s="18">
        <f>$T456*sws_rate_on_bcd</f>
        <v/>
      </c>
      <c r="V456" s="18">
        <f>($R456+$T456+$U456)*igst_rate_hs7602</f>
        <v/>
      </c>
      <c r="W456" s="18">
        <f>Parity!$X$55*Parity!$AG$55+IF(Parity!$Y$55,psic_cost_usd_per_box*Parity!$H$55/Parity!$W$55,0)</f>
        <v/>
      </c>
      <c r="X456" s="18">
        <f>($S456+$T456+$U456)*Parity!$Z$55/day_count_inr*Parity!$O$55</f>
        <v/>
      </c>
      <c r="Y456" s="18">
        <f>$V456*igst_credit_lag_days/day_count_inr*Parity!$O$55</f>
        <v/>
      </c>
      <c r="Z456" s="18">
        <f>$S456+$T456+$U456+$W456+$X456+$Y456+IF(igst_itc_available,0,$V456)</f>
        <v/>
      </c>
      <c r="AA456" s="18">
        <f>Parity!$N$55*kg_per_mt+domestic_anchor_premium_inr_t</f>
        <v/>
      </c>
      <c r="AB456" s="18">
        <f>(1-Parity!$AA$55)*Parity!$AD$55*heavies_net_value_frac_of_lme_al*Parity!$F$55*Parity!$H$55</f>
        <v/>
      </c>
      <c r="AC456" s="18">
        <f>$AA456*Parity!$AU$55+$AB456-$Z456-Parity!$AX$55</f>
        <v/>
      </c>
      <c r="AD456" s="8">
        <f>$AC456&gt;margin_threshold_inr_t</f>
        <v/>
      </c>
      <c r="AE456" s="18">
        <f>($AC456-$L456)*grid_tonnes_mt</f>
        <v/>
      </c>
    </row>
    <row r="457">
      <c r="A457" s="7" t="inlineStr">
        <is>
          <t>first_eligible_long_lane</t>
        </is>
      </c>
      <c r="B457" s="11" t="n">
        <v>44624</v>
      </c>
      <c r="C457" s="7" t="inlineStr">
        <is>
          <t>zorba</t>
        </is>
      </c>
      <c r="D457" s="7" t="inlineStr">
        <is>
          <t>USEC_MUN</t>
        </is>
      </c>
      <c r="E457" s="7" t="inlineStr">
        <is>
          <t>CFR_seller_books_freight</t>
        </is>
      </c>
      <c r="F457" s="20" t="n">
        <v>40</v>
      </c>
      <c r="G457" s="20" t="n">
        <v>5</v>
      </c>
      <c r="H457" s="16">
        <f>Parity!$L$55*(1+$F457/100)</f>
        <v/>
      </c>
      <c r="I457" s="16">
        <f>Parity!$L$55*Parity!$AG$55*$F457/100</f>
        <v/>
      </c>
      <c r="J457" s="8">
        <f>IF($E457="FOB_desk_books_freight",Parity!$P$55+$I457/Parity!$F$55,Parity!$P$55)</f>
        <v/>
      </c>
      <c r="K457" s="8">
        <f>$G457/100</f>
        <v/>
      </c>
      <c r="L457" s="18">
        <f>Parity!$AY$55</f>
        <v/>
      </c>
      <c r="M457" s="16">
        <f>Parity!$F$55*$J457</f>
        <v/>
      </c>
      <c r="N457" s="16">
        <f>$H457*Parity!$AG$55</f>
        <v/>
      </c>
      <c r="O457" s="16">
        <f>$M457-$N457</f>
        <v/>
      </c>
      <c r="P457" s="16">
        <f>insurance_rate*insured_value_uplift*$M457</f>
        <v/>
      </c>
      <c r="Q457" s="16">
        <f>$M457+$P457</f>
        <v/>
      </c>
      <c r="R457" s="18">
        <f>$Q457*Parity!$J$55</f>
        <v/>
      </c>
      <c r="S457" s="18">
        <f>$Q457*Parity!$I$55</f>
        <v/>
      </c>
      <c r="T457" s="18">
        <f>$R457*$K457</f>
        <v/>
      </c>
      <c r="U457" s="18">
        <f>$T457*sws_rate_on_bcd</f>
        <v/>
      </c>
      <c r="V457" s="18">
        <f>($R457+$T457+$U457)*igst_rate_hs7602</f>
        <v/>
      </c>
      <c r="W457" s="18">
        <f>Parity!$X$55*Parity!$AG$55+IF(Parity!$Y$55,psic_cost_usd_per_box*Parity!$H$55/Parity!$W$55,0)</f>
        <v/>
      </c>
      <c r="X457" s="18">
        <f>($S457+$T457+$U457)*Parity!$Z$55/day_count_inr*Parity!$O$55</f>
        <v/>
      </c>
      <c r="Y457" s="18">
        <f>$V457*igst_credit_lag_days/day_count_inr*Parity!$O$55</f>
        <v/>
      </c>
      <c r="Z457" s="18">
        <f>$S457+$T457+$U457+$W457+$X457+$Y457+IF(igst_itc_available,0,$V457)</f>
        <v/>
      </c>
      <c r="AA457" s="18">
        <f>Parity!$N$55*kg_per_mt+domestic_anchor_premium_inr_t</f>
        <v/>
      </c>
      <c r="AB457" s="18">
        <f>(1-Parity!$AA$55)*Parity!$AD$55*heavies_net_value_frac_of_lme_al*Parity!$F$55*Parity!$H$55</f>
        <v/>
      </c>
      <c r="AC457" s="18">
        <f>$AA457*Parity!$AU$55+$AB457-$Z457-Parity!$AX$55</f>
        <v/>
      </c>
      <c r="AD457" s="8">
        <f>$AC457&gt;margin_threshold_inr_t</f>
        <v/>
      </c>
      <c r="AE457" s="18">
        <f>($AC457-$L457)*grid_tonnes_mt</f>
        <v/>
      </c>
    </row>
    <row r="458">
      <c r="A458" s="7" t="inlineStr">
        <is>
          <t>first_eligible_long_lane</t>
        </is>
      </c>
      <c r="B458" s="11" t="n">
        <v>44624</v>
      </c>
      <c r="C458" s="7" t="inlineStr">
        <is>
          <t>zorba</t>
        </is>
      </c>
      <c r="D458" s="7" t="inlineStr">
        <is>
          <t>USEC_MUN</t>
        </is>
      </c>
      <c r="E458" s="7" t="inlineStr">
        <is>
          <t>CFR_seller_books_freight</t>
        </is>
      </c>
      <c r="F458" s="20" t="n">
        <v>40</v>
      </c>
      <c r="G458" s="20" t="n">
        <v>7.5</v>
      </c>
      <c r="H458" s="16">
        <f>Parity!$L$55*(1+$F458/100)</f>
        <v/>
      </c>
      <c r="I458" s="16">
        <f>Parity!$L$55*Parity!$AG$55*$F458/100</f>
        <v/>
      </c>
      <c r="J458" s="8">
        <f>IF($E458="FOB_desk_books_freight",Parity!$P$55+$I458/Parity!$F$55,Parity!$P$55)</f>
        <v/>
      </c>
      <c r="K458" s="8">
        <f>$G458/100</f>
        <v/>
      </c>
      <c r="L458" s="18">
        <f>Parity!$AY$55</f>
        <v/>
      </c>
      <c r="M458" s="16">
        <f>Parity!$F$55*$J458</f>
        <v/>
      </c>
      <c r="N458" s="16">
        <f>$H458*Parity!$AG$55</f>
        <v/>
      </c>
      <c r="O458" s="16">
        <f>$M458-$N458</f>
        <v/>
      </c>
      <c r="P458" s="16">
        <f>insurance_rate*insured_value_uplift*$M458</f>
        <v/>
      </c>
      <c r="Q458" s="16">
        <f>$M458+$P458</f>
        <v/>
      </c>
      <c r="R458" s="18">
        <f>$Q458*Parity!$J$55</f>
        <v/>
      </c>
      <c r="S458" s="18">
        <f>$Q458*Parity!$I$55</f>
        <v/>
      </c>
      <c r="T458" s="18">
        <f>$R458*$K458</f>
        <v/>
      </c>
      <c r="U458" s="18">
        <f>$T458*sws_rate_on_bcd</f>
        <v/>
      </c>
      <c r="V458" s="18">
        <f>($R458+$T458+$U458)*igst_rate_hs7602</f>
        <v/>
      </c>
      <c r="W458" s="18">
        <f>Parity!$X$55*Parity!$AG$55+IF(Parity!$Y$55,psic_cost_usd_per_box*Parity!$H$55/Parity!$W$55,0)</f>
        <v/>
      </c>
      <c r="X458" s="18">
        <f>($S458+$T458+$U458)*Parity!$Z$55/day_count_inr*Parity!$O$55</f>
        <v/>
      </c>
      <c r="Y458" s="18">
        <f>$V458*igst_credit_lag_days/day_count_inr*Parity!$O$55</f>
        <v/>
      </c>
      <c r="Z458" s="18">
        <f>$S458+$T458+$U458+$W458+$X458+$Y458+IF(igst_itc_available,0,$V458)</f>
        <v/>
      </c>
      <c r="AA458" s="18">
        <f>Parity!$N$55*kg_per_mt+domestic_anchor_premium_inr_t</f>
        <v/>
      </c>
      <c r="AB458" s="18">
        <f>(1-Parity!$AA$55)*Parity!$AD$55*heavies_net_value_frac_of_lme_al*Parity!$F$55*Parity!$H$55</f>
        <v/>
      </c>
      <c r="AC458" s="18">
        <f>$AA458*Parity!$AU$55+$AB458-$Z458-Parity!$AX$55</f>
        <v/>
      </c>
      <c r="AD458" s="8">
        <f>$AC458&gt;margin_threshold_inr_t</f>
        <v/>
      </c>
      <c r="AE458" s="18">
        <f>($AC458-$L458)*grid_tonnes_mt</f>
        <v/>
      </c>
    </row>
    <row r="459">
      <c r="A459" s="7" t="inlineStr">
        <is>
          <t>first_eligible_long_lane</t>
        </is>
      </c>
      <c r="B459" s="11" t="n">
        <v>44624</v>
      </c>
      <c r="C459" s="7" t="inlineStr">
        <is>
          <t>zorba</t>
        </is>
      </c>
      <c r="D459" s="7" t="inlineStr">
        <is>
          <t>USEC_MUN</t>
        </is>
      </c>
      <c r="E459" s="7" t="inlineStr">
        <is>
          <t>CFR_seller_books_freight</t>
        </is>
      </c>
      <c r="F459" s="20" t="n">
        <v>40</v>
      </c>
      <c r="G459" s="20" t="n">
        <v>10</v>
      </c>
      <c r="H459" s="16">
        <f>Parity!$L$55*(1+$F459/100)</f>
        <v/>
      </c>
      <c r="I459" s="16">
        <f>Parity!$L$55*Parity!$AG$55*$F459/100</f>
        <v/>
      </c>
      <c r="J459" s="8">
        <f>IF($E459="FOB_desk_books_freight",Parity!$P$55+$I459/Parity!$F$55,Parity!$P$55)</f>
        <v/>
      </c>
      <c r="K459" s="8">
        <f>$G459/100</f>
        <v/>
      </c>
      <c r="L459" s="18">
        <f>Parity!$AY$55</f>
        <v/>
      </c>
      <c r="M459" s="16">
        <f>Parity!$F$55*$J459</f>
        <v/>
      </c>
      <c r="N459" s="16">
        <f>$H459*Parity!$AG$55</f>
        <v/>
      </c>
      <c r="O459" s="16">
        <f>$M459-$N459</f>
        <v/>
      </c>
      <c r="P459" s="16">
        <f>insurance_rate*insured_value_uplift*$M459</f>
        <v/>
      </c>
      <c r="Q459" s="16">
        <f>$M459+$P459</f>
        <v/>
      </c>
      <c r="R459" s="18">
        <f>$Q459*Parity!$J$55</f>
        <v/>
      </c>
      <c r="S459" s="18">
        <f>$Q459*Parity!$I$55</f>
        <v/>
      </c>
      <c r="T459" s="18">
        <f>$R459*$K459</f>
        <v/>
      </c>
      <c r="U459" s="18">
        <f>$T459*sws_rate_on_bcd</f>
        <v/>
      </c>
      <c r="V459" s="18">
        <f>($R459+$T459+$U459)*igst_rate_hs7602</f>
        <v/>
      </c>
      <c r="W459" s="18">
        <f>Parity!$X$55*Parity!$AG$55+IF(Parity!$Y$55,psic_cost_usd_per_box*Parity!$H$55/Parity!$W$55,0)</f>
        <v/>
      </c>
      <c r="X459" s="18">
        <f>($S459+$T459+$U459)*Parity!$Z$55/day_count_inr*Parity!$O$55</f>
        <v/>
      </c>
      <c r="Y459" s="18">
        <f>$V459*igst_credit_lag_days/day_count_inr*Parity!$O$55</f>
        <v/>
      </c>
      <c r="Z459" s="18">
        <f>$S459+$T459+$U459+$W459+$X459+$Y459+IF(igst_itc_available,0,$V459)</f>
        <v/>
      </c>
      <c r="AA459" s="18">
        <f>Parity!$N$55*kg_per_mt+domestic_anchor_premium_inr_t</f>
        <v/>
      </c>
      <c r="AB459" s="18">
        <f>(1-Parity!$AA$55)*Parity!$AD$55*heavies_net_value_frac_of_lme_al*Parity!$F$55*Parity!$H$55</f>
        <v/>
      </c>
      <c r="AC459" s="18">
        <f>$AA459*Parity!$AU$55+$AB459-$Z459-Parity!$AX$55</f>
        <v/>
      </c>
      <c r="AD459" s="8">
        <f>$AC459&gt;margin_threshold_inr_t</f>
        <v/>
      </c>
      <c r="AE459" s="18">
        <f>($AC459-$L459)*grid_tonnes_mt</f>
        <v/>
      </c>
    </row>
    <row r="460">
      <c r="A460" s="7" t="inlineStr">
        <is>
          <t>first_eligible_long_lane</t>
        </is>
      </c>
      <c r="B460" s="11" t="n">
        <v>44624</v>
      </c>
      <c r="C460" s="7" t="inlineStr">
        <is>
          <t>zorba</t>
        </is>
      </c>
      <c r="D460" s="7" t="inlineStr">
        <is>
          <t>USEC_MUN</t>
        </is>
      </c>
      <c r="E460" s="7" t="inlineStr">
        <is>
          <t>CFR_seller_books_freight</t>
        </is>
      </c>
      <c r="F460" s="20" t="n">
        <v>60</v>
      </c>
      <c r="G460" s="20" t="n">
        <v>0</v>
      </c>
      <c r="H460" s="16">
        <f>Parity!$L$55*(1+$F460/100)</f>
        <v/>
      </c>
      <c r="I460" s="16">
        <f>Parity!$L$55*Parity!$AG$55*$F460/100</f>
        <v/>
      </c>
      <c r="J460" s="8">
        <f>IF($E460="FOB_desk_books_freight",Parity!$P$55+$I460/Parity!$F$55,Parity!$P$55)</f>
        <v/>
      </c>
      <c r="K460" s="8">
        <f>$G460/100</f>
        <v/>
      </c>
      <c r="L460" s="18">
        <f>Parity!$AY$55</f>
        <v/>
      </c>
      <c r="M460" s="16">
        <f>Parity!$F$55*$J460</f>
        <v/>
      </c>
      <c r="N460" s="16">
        <f>$H460*Parity!$AG$55</f>
        <v/>
      </c>
      <c r="O460" s="16">
        <f>$M460-$N460</f>
        <v/>
      </c>
      <c r="P460" s="16">
        <f>insurance_rate*insured_value_uplift*$M460</f>
        <v/>
      </c>
      <c r="Q460" s="16">
        <f>$M460+$P460</f>
        <v/>
      </c>
      <c r="R460" s="18">
        <f>$Q460*Parity!$J$55</f>
        <v/>
      </c>
      <c r="S460" s="18">
        <f>$Q460*Parity!$I$55</f>
        <v/>
      </c>
      <c r="T460" s="18">
        <f>$R460*$K460</f>
        <v/>
      </c>
      <c r="U460" s="18">
        <f>$T460*sws_rate_on_bcd</f>
        <v/>
      </c>
      <c r="V460" s="18">
        <f>($R460+$T460+$U460)*igst_rate_hs7602</f>
        <v/>
      </c>
      <c r="W460" s="18">
        <f>Parity!$X$55*Parity!$AG$55+IF(Parity!$Y$55,psic_cost_usd_per_box*Parity!$H$55/Parity!$W$55,0)</f>
        <v/>
      </c>
      <c r="X460" s="18">
        <f>($S460+$T460+$U460)*Parity!$Z$55/day_count_inr*Parity!$O$55</f>
        <v/>
      </c>
      <c r="Y460" s="18">
        <f>$V460*igst_credit_lag_days/day_count_inr*Parity!$O$55</f>
        <v/>
      </c>
      <c r="Z460" s="18">
        <f>$S460+$T460+$U460+$W460+$X460+$Y460+IF(igst_itc_available,0,$V460)</f>
        <v/>
      </c>
      <c r="AA460" s="18">
        <f>Parity!$N$55*kg_per_mt+domestic_anchor_premium_inr_t</f>
        <v/>
      </c>
      <c r="AB460" s="18">
        <f>(1-Parity!$AA$55)*Parity!$AD$55*heavies_net_value_frac_of_lme_al*Parity!$F$55*Parity!$H$55</f>
        <v/>
      </c>
      <c r="AC460" s="18">
        <f>$AA460*Parity!$AU$55+$AB460-$Z460-Parity!$AX$55</f>
        <v/>
      </c>
      <c r="AD460" s="8">
        <f>$AC460&gt;margin_threshold_inr_t</f>
        <v/>
      </c>
      <c r="AE460" s="18">
        <f>($AC460-$L460)*grid_tonnes_mt</f>
        <v/>
      </c>
    </row>
    <row r="461">
      <c r="A461" s="7" t="inlineStr">
        <is>
          <t>first_eligible_long_lane</t>
        </is>
      </c>
      <c r="B461" s="11" t="n">
        <v>44624</v>
      </c>
      <c r="C461" s="7" t="inlineStr">
        <is>
          <t>zorba</t>
        </is>
      </c>
      <c r="D461" s="7" t="inlineStr">
        <is>
          <t>USEC_MUN</t>
        </is>
      </c>
      <c r="E461" s="7" t="inlineStr">
        <is>
          <t>CFR_seller_books_freight</t>
        </is>
      </c>
      <c r="F461" s="20" t="n">
        <v>60</v>
      </c>
      <c r="G461" s="20" t="n">
        <v>2.5</v>
      </c>
      <c r="H461" s="16">
        <f>Parity!$L$55*(1+$F461/100)</f>
        <v/>
      </c>
      <c r="I461" s="16">
        <f>Parity!$L$55*Parity!$AG$55*$F461/100</f>
        <v/>
      </c>
      <c r="J461" s="8">
        <f>IF($E461="FOB_desk_books_freight",Parity!$P$55+$I461/Parity!$F$55,Parity!$P$55)</f>
        <v/>
      </c>
      <c r="K461" s="8">
        <f>$G461/100</f>
        <v/>
      </c>
      <c r="L461" s="18">
        <f>Parity!$AY$55</f>
        <v/>
      </c>
      <c r="M461" s="16">
        <f>Parity!$F$55*$J461</f>
        <v/>
      </c>
      <c r="N461" s="16">
        <f>$H461*Parity!$AG$55</f>
        <v/>
      </c>
      <c r="O461" s="16">
        <f>$M461-$N461</f>
        <v/>
      </c>
      <c r="P461" s="16">
        <f>insurance_rate*insured_value_uplift*$M461</f>
        <v/>
      </c>
      <c r="Q461" s="16">
        <f>$M461+$P461</f>
        <v/>
      </c>
      <c r="R461" s="18">
        <f>$Q461*Parity!$J$55</f>
        <v/>
      </c>
      <c r="S461" s="18">
        <f>$Q461*Parity!$I$55</f>
        <v/>
      </c>
      <c r="T461" s="18">
        <f>$R461*$K461</f>
        <v/>
      </c>
      <c r="U461" s="18">
        <f>$T461*sws_rate_on_bcd</f>
        <v/>
      </c>
      <c r="V461" s="18">
        <f>($R461+$T461+$U461)*igst_rate_hs7602</f>
        <v/>
      </c>
      <c r="W461" s="18">
        <f>Parity!$X$55*Parity!$AG$55+IF(Parity!$Y$55,psic_cost_usd_per_box*Parity!$H$55/Parity!$W$55,0)</f>
        <v/>
      </c>
      <c r="X461" s="18">
        <f>($S461+$T461+$U461)*Parity!$Z$55/day_count_inr*Parity!$O$55</f>
        <v/>
      </c>
      <c r="Y461" s="18">
        <f>$V461*igst_credit_lag_days/day_count_inr*Parity!$O$55</f>
        <v/>
      </c>
      <c r="Z461" s="18">
        <f>$S461+$T461+$U461+$W461+$X461+$Y461+IF(igst_itc_available,0,$V461)</f>
        <v/>
      </c>
      <c r="AA461" s="18">
        <f>Parity!$N$55*kg_per_mt+domestic_anchor_premium_inr_t</f>
        <v/>
      </c>
      <c r="AB461" s="18">
        <f>(1-Parity!$AA$55)*Parity!$AD$55*heavies_net_value_frac_of_lme_al*Parity!$F$55*Parity!$H$55</f>
        <v/>
      </c>
      <c r="AC461" s="18">
        <f>$AA461*Parity!$AU$55+$AB461-$Z461-Parity!$AX$55</f>
        <v/>
      </c>
      <c r="AD461" s="8">
        <f>$AC461&gt;margin_threshold_inr_t</f>
        <v/>
      </c>
      <c r="AE461" s="18">
        <f>($AC461-$L461)*grid_tonnes_mt</f>
        <v/>
      </c>
    </row>
    <row r="462">
      <c r="A462" s="7" t="inlineStr">
        <is>
          <t>first_eligible_long_lane</t>
        </is>
      </c>
      <c r="B462" s="11" t="n">
        <v>44624</v>
      </c>
      <c r="C462" s="7" t="inlineStr">
        <is>
          <t>zorba</t>
        </is>
      </c>
      <c r="D462" s="7" t="inlineStr">
        <is>
          <t>USEC_MUN</t>
        </is>
      </c>
      <c r="E462" s="7" t="inlineStr">
        <is>
          <t>CFR_seller_books_freight</t>
        </is>
      </c>
      <c r="F462" s="20" t="n">
        <v>60</v>
      </c>
      <c r="G462" s="20" t="n">
        <v>5</v>
      </c>
      <c r="H462" s="16">
        <f>Parity!$L$55*(1+$F462/100)</f>
        <v/>
      </c>
      <c r="I462" s="16">
        <f>Parity!$L$55*Parity!$AG$55*$F462/100</f>
        <v/>
      </c>
      <c r="J462" s="8">
        <f>IF($E462="FOB_desk_books_freight",Parity!$P$55+$I462/Parity!$F$55,Parity!$P$55)</f>
        <v/>
      </c>
      <c r="K462" s="8">
        <f>$G462/100</f>
        <v/>
      </c>
      <c r="L462" s="18">
        <f>Parity!$AY$55</f>
        <v/>
      </c>
      <c r="M462" s="16">
        <f>Parity!$F$55*$J462</f>
        <v/>
      </c>
      <c r="N462" s="16">
        <f>$H462*Parity!$AG$55</f>
        <v/>
      </c>
      <c r="O462" s="16">
        <f>$M462-$N462</f>
        <v/>
      </c>
      <c r="P462" s="16">
        <f>insurance_rate*insured_value_uplift*$M462</f>
        <v/>
      </c>
      <c r="Q462" s="16">
        <f>$M462+$P462</f>
        <v/>
      </c>
      <c r="R462" s="18">
        <f>$Q462*Parity!$J$55</f>
        <v/>
      </c>
      <c r="S462" s="18">
        <f>$Q462*Parity!$I$55</f>
        <v/>
      </c>
      <c r="T462" s="18">
        <f>$R462*$K462</f>
        <v/>
      </c>
      <c r="U462" s="18">
        <f>$T462*sws_rate_on_bcd</f>
        <v/>
      </c>
      <c r="V462" s="18">
        <f>($R462+$T462+$U462)*igst_rate_hs7602</f>
        <v/>
      </c>
      <c r="W462" s="18">
        <f>Parity!$X$55*Parity!$AG$55+IF(Parity!$Y$55,psic_cost_usd_per_box*Parity!$H$55/Parity!$W$55,0)</f>
        <v/>
      </c>
      <c r="X462" s="18">
        <f>($S462+$T462+$U462)*Parity!$Z$55/day_count_inr*Parity!$O$55</f>
        <v/>
      </c>
      <c r="Y462" s="18">
        <f>$V462*igst_credit_lag_days/day_count_inr*Parity!$O$55</f>
        <v/>
      </c>
      <c r="Z462" s="18">
        <f>$S462+$T462+$U462+$W462+$X462+$Y462+IF(igst_itc_available,0,$V462)</f>
        <v/>
      </c>
      <c r="AA462" s="18">
        <f>Parity!$N$55*kg_per_mt+domestic_anchor_premium_inr_t</f>
        <v/>
      </c>
      <c r="AB462" s="18">
        <f>(1-Parity!$AA$55)*Parity!$AD$55*heavies_net_value_frac_of_lme_al*Parity!$F$55*Parity!$H$55</f>
        <v/>
      </c>
      <c r="AC462" s="18">
        <f>$AA462*Parity!$AU$55+$AB462-$Z462-Parity!$AX$55</f>
        <v/>
      </c>
      <c r="AD462" s="8">
        <f>$AC462&gt;margin_threshold_inr_t</f>
        <v/>
      </c>
      <c r="AE462" s="18">
        <f>($AC462-$L462)*grid_tonnes_mt</f>
        <v/>
      </c>
    </row>
    <row r="463">
      <c r="A463" s="7" t="inlineStr">
        <is>
          <t>first_eligible_long_lane</t>
        </is>
      </c>
      <c r="B463" s="11" t="n">
        <v>44624</v>
      </c>
      <c r="C463" s="7" t="inlineStr">
        <is>
          <t>zorba</t>
        </is>
      </c>
      <c r="D463" s="7" t="inlineStr">
        <is>
          <t>USEC_MUN</t>
        </is>
      </c>
      <c r="E463" s="7" t="inlineStr">
        <is>
          <t>CFR_seller_books_freight</t>
        </is>
      </c>
      <c r="F463" s="20" t="n">
        <v>60</v>
      </c>
      <c r="G463" s="20" t="n">
        <v>7.5</v>
      </c>
      <c r="H463" s="16">
        <f>Parity!$L$55*(1+$F463/100)</f>
        <v/>
      </c>
      <c r="I463" s="16">
        <f>Parity!$L$55*Parity!$AG$55*$F463/100</f>
        <v/>
      </c>
      <c r="J463" s="8">
        <f>IF($E463="FOB_desk_books_freight",Parity!$P$55+$I463/Parity!$F$55,Parity!$P$55)</f>
        <v/>
      </c>
      <c r="K463" s="8">
        <f>$G463/100</f>
        <v/>
      </c>
      <c r="L463" s="18">
        <f>Parity!$AY$55</f>
        <v/>
      </c>
      <c r="M463" s="16">
        <f>Parity!$F$55*$J463</f>
        <v/>
      </c>
      <c r="N463" s="16">
        <f>$H463*Parity!$AG$55</f>
        <v/>
      </c>
      <c r="O463" s="16">
        <f>$M463-$N463</f>
        <v/>
      </c>
      <c r="P463" s="16">
        <f>insurance_rate*insured_value_uplift*$M463</f>
        <v/>
      </c>
      <c r="Q463" s="16">
        <f>$M463+$P463</f>
        <v/>
      </c>
      <c r="R463" s="18">
        <f>$Q463*Parity!$J$55</f>
        <v/>
      </c>
      <c r="S463" s="18">
        <f>$Q463*Parity!$I$55</f>
        <v/>
      </c>
      <c r="T463" s="18">
        <f>$R463*$K463</f>
        <v/>
      </c>
      <c r="U463" s="18">
        <f>$T463*sws_rate_on_bcd</f>
        <v/>
      </c>
      <c r="V463" s="18">
        <f>($R463+$T463+$U463)*igst_rate_hs7602</f>
        <v/>
      </c>
      <c r="W463" s="18">
        <f>Parity!$X$55*Parity!$AG$55+IF(Parity!$Y$55,psic_cost_usd_per_box*Parity!$H$55/Parity!$W$55,0)</f>
        <v/>
      </c>
      <c r="X463" s="18">
        <f>($S463+$T463+$U463)*Parity!$Z$55/day_count_inr*Parity!$O$55</f>
        <v/>
      </c>
      <c r="Y463" s="18">
        <f>$V463*igst_credit_lag_days/day_count_inr*Parity!$O$55</f>
        <v/>
      </c>
      <c r="Z463" s="18">
        <f>$S463+$T463+$U463+$W463+$X463+$Y463+IF(igst_itc_available,0,$V463)</f>
        <v/>
      </c>
      <c r="AA463" s="18">
        <f>Parity!$N$55*kg_per_mt+domestic_anchor_premium_inr_t</f>
        <v/>
      </c>
      <c r="AB463" s="18">
        <f>(1-Parity!$AA$55)*Parity!$AD$55*heavies_net_value_frac_of_lme_al*Parity!$F$55*Parity!$H$55</f>
        <v/>
      </c>
      <c r="AC463" s="18">
        <f>$AA463*Parity!$AU$55+$AB463-$Z463-Parity!$AX$55</f>
        <v/>
      </c>
      <c r="AD463" s="8">
        <f>$AC463&gt;margin_threshold_inr_t</f>
        <v/>
      </c>
      <c r="AE463" s="18">
        <f>($AC463-$L463)*grid_tonnes_mt</f>
        <v/>
      </c>
    </row>
    <row r="464">
      <c r="A464" s="7" t="inlineStr">
        <is>
          <t>first_eligible_long_lane</t>
        </is>
      </c>
      <c r="B464" s="11" t="n">
        <v>44624</v>
      </c>
      <c r="C464" s="7" t="inlineStr">
        <is>
          <t>zorba</t>
        </is>
      </c>
      <c r="D464" s="7" t="inlineStr">
        <is>
          <t>USEC_MUN</t>
        </is>
      </c>
      <c r="E464" s="7" t="inlineStr">
        <is>
          <t>CFR_seller_books_freight</t>
        </is>
      </c>
      <c r="F464" s="20" t="n">
        <v>60</v>
      </c>
      <c r="G464" s="20" t="n">
        <v>10</v>
      </c>
      <c r="H464" s="16">
        <f>Parity!$L$55*(1+$F464/100)</f>
        <v/>
      </c>
      <c r="I464" s="16">
        <f>Parity!$L$55*Parity!$AG$55*$F464/100</f>
        <v/>
      </c>
      <c r="J464" s="8">
        <f>IF($E464="FOB_desk_books_freight",Parity!$P$55+$I464/Parity!$F$55,Parity!$P$55)</f>
        <v/>
      </c>
      <c r="K464" s="8">
        <f>$G464/100</f>
        <v/>
      </c>
      <c r="L464" s="18">
        <f>Parity!$AY$55</f>
        <v/>
      </c>
      <c r="M464" s="16">
        <f>Parity!$F$55*$J464</f>
        <v/>
      </c>
      <c r="N464" s="16">
        <f>$H464*Parity!$AG$55</f>
        <v/>
      </c>
      <c r="O464" s="16">
        <f>$M464-$N464</f>
        <v/>
      </c>
      <c r="P464" s="16">
        <f>insurance_rate*insured_value_uplift*$M464</f>
        <v/>
      </c>
      <c r="Q464" s="16">
        <f>$M464+$P464</f>
        <v/>
      </c>
      <c r="R464" s="18">
        <f>$Q464*Parity!$J$55</f>
        <v/>
      </c>
      <c r="S464" s="18">
        <f>$Q464*Parity!$I$55</f>
        <v/>
      </c>
      <c r="T464" s="18">
        <f>$R464*$K464</f>
        <v/>
      </c>
      <c r="U464" s="18">
        <f>$T464*sws_rate_on_bcd</f>
        <v/>
      </c>
      <c r="V464" s="18">
        <f>($R464+$T464+$U464)*igst_rate_hs7602</f>
        <v/>
      </c>
      <c r="W464" s="18">
        <f>Parity!$X$55*Parity!$AG$55+IF(Parity!$Y$55,psic_cost_usd_per_box*Parity!$H$55/Parity!$W$55,0)</f>
        <v/>
      </c>
      <c r="X464" s="18">
        <f>($S464+$T464+$U464)*Parity!$Z$55/day_count_inr*Parity!$O$55</f>
        <v/>
      </c>
      <c r="Y464" s="18">
        <f>$V464*igst_credit_lag_days/day_count_inr*Parity!$O$55</f>
        <v/>
      </c>
      <c r="Z464" s="18">
        <f>$S464+$T464+$U464+$W464+$X464+$Y464+IF(igst_itc_available,0,$V464)</f>
        <v/>
      </c>
      <c r="AA464" s="18">
        <f>Parity!$N$55*kg_per_mt+domestic_anchor_premium_inr_t</f>
        <v/>
      </c>
      <c r="AB464" s="18">
        <f>(1-Parity!$AA$55)*Parity!$AD$55*heavies_net_value_frac_of_lme_al*Parity!$F$55*Parity!$H$55</f>
        <v/>
      </c>
      <c r="AC464" s="18">
        <f>$AA464*Parity!$AU$55+$AB464-$Z464-Parity!$AX$55</f>
        <v/>
      </c>
      <c r="AD464" s="8">
        <f>$AC464&gt;margin_threshold_inr_t</f>
        <v/>
      </c>
      <c r="AE464" s="18">
        <f>($AC464-$L464)*grid_tonnes_mt</f>
        <v/>
      </c>
    </row>
  </sheetData>
  <autoFilter ref="A284:AE46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66"/>
  <sheetViews>
    <sheetView showGridLines="0" workbookViewId="0">
      <pane xSplit="9" ySplit="7" topLeftCell="J8"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3" customWidth="1" min="3" max="3"/>
    <col width="13" customWidth="1" min="4" max="4"/>
    <col width="13" customWidth="1" min="5" max="5"/>
    <col width="13" customWidth="1" min="6" max="6"/>
    <col width="13" customWidth="1" min="7" max="7"/>
    <col width="18.8" customWidth="1" min="8" max="8"/>
    <col width="18.8" customWidth="1" min="9" max="9"/>
    <col width="18.8" customWidth="1" min="10" max="10"/>
    <col width="18.8" customWidth="1" min="11" max="11"/>
    <col width="20.9" customWidth="1" min="12" max="12"/>
    <col width="26" customWidth="1" min="13" max="13"/>
    <col width="26" customWidth="1" min="14" max="14"/>
    <col width="17.75" customWidth="1" min="15" max="15"/>
    <col width="16.7" customWidth="1" min="16" max="16"/>
    <col width="14.6" customWidth="1" min="17" max="17"/>
    <col width="15.65" customWidth="1" min="18" max="18"/>
    <col width="9" customWidth="1" min="19" max="19"/>
    <col width="11.45" customWidth="1" min="20" max="20"/>
    <col width="17.75" customWidth="1" min="21" max="21"/>
    <col width="24.05" customWidth="1" min="22" max="22"/>
    <col width="26" customWidth="1" min="23" max="23"/>
    <col width="26" customWidth="1" min="24" max="24"/>
    <col width="26" customWidth="1" min="25" max="25"/>
  </cols>
  <sheetData>
    <row r="1">
      <c r="A1" s="1" t="inlineStr">
        <is>
          <t>ACADEMIC SIMULATION — not actual trades</t>
        </is>
      </c>
    </row>
    <row r="2">
      <c r="A2" s="2" t="inlineStr">
        <is>
          <t>Term_Structure — Table 1.7: Cash–3M, the M+1 pricing basis and the MCX roll</t>
        </is>
      </c>
    </row>
    <row r="3">
      <c r="A3" s="3" t="inlineStr">
        <is>
          <t>Blue = calendar inputs (LME prompt rules and month boundaries). Everything else is a formula over Market_Daily and the Inputs register.</t>
        </is>
      </c>
    </row>
    <row r="5">
      <c r="A5" s="4" t="inlineStr">
        <is>
          <t>(a) Weekly structure and the M+1 pricing basis</t>
        </is>
      </c>
    </row>
    <row r="7" ht="30" customHeight="1">
      <c r="A7" s="5" t="inlineStr">
        <is>
          <t>week_end</t>
        </is>
      </c>
      <c r="B7" s="5" t="inlineStr">
        <is>
          <t>value_date</t>
        </is>
      </c>
      <c r="C7" s="5" t="inlineStr">
        <is>
          <t>in_window</t>
        </is>
      </c>
      <c r="D7" s="5" t="inlineStr">
        <is>
          <t>cash_prompt_date</t>
        </is>
      </c>
      <c r="E7" s="5" t="inlineStr">
        <is>
          <t>three_m_prompt_date</t>
        </is>
      </c>
      <c r="F7" s="5" t="inlineStr">
        <is>
          <t>mplus1_month</t>
        </is>
      </c>
      <c r="G7" s="5" t="inlineStr">
        <is>
          <t>mplus1_first_day</t>
        </is>
      </c>
      <c r="H7" s="5" t="inlineStr">
        <is>
          <t>mplus1_last_day</t>
        </is>
      </c>
      <c r="I7" s="5" t="inlineStr">
        <is>
          <t>mplus1_mean_prompt_date</t>
        </is>
      </c>
      <c r="J7" s="5" t="inlineStr">
        <is>
          <t>lme_cash_usd_t</t>
        </is>
      </c>
      <c r="K7" s="5" t="inlineStr">
        <is>
          <t>lme_3m_usd_t</t>
        </is>
      </c>
      <c r="L7" s="5" t="inlineStr">
        <is>
          <t>lme_cash_3m_spread_usd_t</t>
        </is>
      </c>
      <c r="M7" s="5" t="inlineStr">
        <is>
          <t>structure</t>
        </is>
      </c>
      <c r="N7" s="5" t="inlineStr">
        <is>
          <t>usdinr</t>
        </is>
      </c>
      <c r="O7" s="5" t="inlineStr">
        <is>
          <t>days_cash_to_3m</t>
        </is>
      </c>
      <c r="P7" s="5" t="inlineStr">
        <is>
          <t>carry_3m_usd_t</t>
        </is>
      </c>
      <c r="Q7" s="5" t="inlineStr">
        <is>
          <t>carry_3m_pct_pa</t>
        </is>
      </c>
      <c r="R7" s="5" t="inlineStr">
        <is>
          <t>mplus1_implied_avg_cash_usd_t</t>
        </is>
      </c>
      <c r="S7" s="5" t="inlineStr">
        <is>
          <t>mplus1_implied_minus_3m_usd_t</t>
        </is>
      </c>
      <c r="T7" s="5" t="inlineStr">
        <is>
          <t>structure_effect_buyer_usd_t</t>
        </is>
      </c>
      <c r="U7" s="5" t="inlineStr">
        <is>
          <t>structure_effect_buyer_1000mt_usd</t>
        </is>
      </c>
      <c r="V7" s="5" t="inlineStr">
        <is>
          <t>structure_effect_buyer_1000mt_inr</t>
        </is>
      </c>
      <c r="W7" s="5" t="inlineStr">
        <is>
          <t>hindsight_realised_mplus1_avg_cash_usd_t</t>
        </is>
      </c>
      <c r="X7" s="5" t="inlineStr">
        <is>
          <t>hindsight_price_move_vs_implied_usd_t</t>
        </is>
      </c>
      <c r="Y7" s="5" t="inlineStr">
        <is>
          <t>hindsight_effect_buyer_vs_3m_1000mt_inr</t>
        </is>
      </c>
    </row>
    <row r="8">
      <c r="A8" s="11" t="n">
        <v>44568</v>
      </c>
      <c r="B8" s="11" t="n">
        <v>44568</v>
      </c>
      <c r="C8" s="17" t="b">
        <v>0</v>
      </c>
      <c r="D8" s="12" t="n">
        <v>44572</v>
      </c>
      <c r="E8" s="12" t="n">
        <v>44658</v>
      </c>
      <c r="F8" s="6" t="inlineStr">
        <is>
          <t>2022-02</t>
        </is>
      </c>
      <c r="G8" s="12" t="n">
        <v>44593</v>
      </c>
      <c r="H8" s="12" t="n">
        <v>44620</v>
      </c>
      <c r="I8" s="12" t="n">
        <v>44608.7</v>
      </c>
      <c r="J8" s="16">
        <f>INDEX(Market_Daily!$B$6:$B$256,MATCH($B8,Market_Daily!$A$6:$A$256,0))</f>
        <v/>
      </c>
      <c r="K8" s="16">
        <f>INDEX(Market_Daily!$C$6:$C$256,MATCH($B8,Market_Daily!$A$6:$A$256,0))</f>
        <v/>
      </c>
      <c r="L8" s="16">
        <f>$J8-$K8</f>
        <v/>
      </c>
      <c r="M8" s="8">
        <f>IF($L8&gt;0,"BACKWARDATION",IF($L8&lt;0,"CONTANGO","FLAT"))</f>
        <v/>
      </c>
      <c r="N8" s="16">
        <f>INDEX(Market_Daily!$F$6:$F$256,MATCH($B8,Market_Daily!$A$6:$A$256,0))</f>
        <v/>
      </c>
      <c r="O8" s="8">
        <f>$E8-$D8</f>
        <v/>
      </c>
      <c r="P8" s="16">
        <f>$K8-$J8</f>
        <v/>
      </c>
      <c r="Q8" s="15">
        <f>($K8/$J8-1)*day_count_inr/$O8</f>
        <v/>
      </c>
      <c r="R8" s="16">
        <f>$J8+($K8-$J8)*($I8-$D8)/$O8</f>
        <v/>
      </c>
      <c r="S8" s="16">
        <f>$R8-$K8</f>
        <v/>
      </c>
      <c r="T8" s="16">
        <f>$K8-$R8</f>
        <v/>
      </c>
      <c r="U8" s="16">
        <f>$T8*grid_tonnes_mt</f>
        <v/>
      </c>
      <c r="V8" s="18">
        <f>$T8*$N8*grid_tonnes_mt</f>
        <v/>
      </c>
      <c r="W8" s="16">
        <f>AVERAGEIFS(Market_Daily!$B$6:$B$256,Market_Daily!$A$6:$A$256,"&gt;="&amp;$G8,Market_Daily!$A$6:$A$256,"&lt;="&amp;$H8)</f>
        <v/>
      </c>
      <c r="X8" s="16">
        <f>$W8-$R8</f>
        <v/>
      </c>
      <c r="Y8" s="18">
        <f>($K8-$W8)*$N8*grid_tonnes_mt</f>
        <v/>
      </c>
    </row>
    <row r="9">
      <c r="A9" s="11" t="n">
        <v>44575</v>
      </c>
      <c r="B9" s="11" t="n">
        <v>44575</v>
      </c>
      <c r="C9" s="17" t="b">
        <v>0</v>
      </c>
      <c r="D9" s="12" t="n">
        <v>44579</v>
      </c>
      <c r="E9" s="12" t="n">
        <v>44665</v>
      </c>
      <c r="F9" s="6" t="inlineStr">
        <is>
          <t>2022-02</t>
        </is>
      </c>
      <c r="G9" s="12" t="n">
        <v>44593</v>
      </c>
      <c r="H9" s="12" t="n">
        <v>44620</v>
      </c>
      <c r="I9" s="12" t="n">
        <v>44608.7</v>
      </c>
      <c r="J9" s="16">
        <f>INDEX(Market_Daily!$B$6:$B$256,MATCH($B9,Market_Daily!$A$6:$A$256,0))</f>
        <v/>
      </c>
      <c r="K9" s="16">
        <f>INDEX(Market_Daily!$C$6:$C$256,MATCH($B9,Market_Daily!$A$6:$A$256,0))</f>
        <v/>
      </c>
      <c r="L9" s="16">
        <f>$J9-$K9</f>
        <v/>
      </c>
      <c r="M9" s="8">
        <f>IF($L9&gt;0,"BACKWARDATION",IF($L9&lt;0,"CONTANGO","FLAT"))</f>
        <v/>
      </c>
      <c r="N9" s="16">
        <f>INDEX(Market_Daily!$F$6:$F$256,MATCH($B9,Market_Daily!$A$6:$A$256,0))</f>
        <v/>
      </c>
      <c r="O9" s="8">
        <f>$E9-$D9</f>
        <v/>
      </c>
      <c r="P9" s="16">
        <f>$K9-$J9</f>
        <v/>
      </c>
      <c r="Q9" s="15">
        <f>($K9/$J9-1)*day_count_inr/$O9</f>
        <v/>
      </c>
      <c r="R9" s="16">
        <f>$J9+($K9-$J9)*($I9-$D9)/$O9</f>
        <v/>
      </c>
      <c r="S9" s="16">
        <f>$R9-$K9</f>
        <v/>
      </c>
      <c r="T9" s="16">
        <f>$K9-$R9</f>
        <v/>
      </c>
      <c r="U9" s="16">
        <f>$T9*grid_tonnes_mt</f>
        <v/>
      </c>
      <c r="V9" s="18">
        <f>$T9*$N9*grid_tonnes_mt</f>
        <v/>
      </c>
      <c r="W9" s="16">
        <f>AVERAGEIFS(Market_Daily!$B$6:$B$256,Market_Daily!$A$6:$A$256,"&gt;="&amp;$G9,Market_Daily!$A$6:$A$256,"&lt;="&amp;$H9)</f>
        <v/>
      </c>
      <c r="X9" s="16">
        <f>$W9-$R9</f>
        <v/>
      </c>
      <c r="Y9" s="18">
        <f>($K9-$W9)*$N9*grid_tonnes_mt</f>
        <v/>
      </c>
    </row>
    <row r="10">
      <c r="A10" s="11" t="n">
        <v>44582</v>
      </c>
      <c r="B10" s="11" t="n">
        <v>44582</v>
      </c>
      <c r="C10" s="17" t="b">
        <v>0</v>
      </c>
      <c r="D10" s="12" t="n">
        <v>44586</v>
      </c>
      <c r="E10" s="12" t="n">
        <v>44672</v>
      </c>
      <c r="F10" s="6" t="inlineStr">
        <is>
          <t>2022-02</t>
        </is>
      </c>
      <c r="G10" s="12" t="n">
        <v>44593</v>
      </c>
      <c r="H10" s="12" t="n">
        <v>44620</v>
      </c>
      <c r="I10" s="12" t="n">
        <v>44608.7</v>
      </c>
      <c r="J10" s="16">
        <f>INDEX(Market_Daily!$B$6:$B$256,MATCH($B10,Market_Daily!$A$6:$A$256,0))</f>
        <v/>
      </c>
      <c r="K10" s="16">
        <f>INDEX(Market_Daily!$C$6:$C$256,MATCH($B10,Market_Daily!$A$6:$A$256,0))</f>
        <v/>
      </c>
      <c r="L10" s="16">
        <f>$J10-$K10</f>
        <v/>
      </c>
      <c r="M10" s="8">
        <f>IF($L10&gt;0,"BACKWARDATION",IF($L10&lt;0,"CONTANGO","FLAT"))</f>
        <v/>
      </c>
      <c r="N10" s="16">
        <f>INDEX(Market_Daily!$F$6:$F$256,MATCH($B10,Market_Daily!$A$6:$A$256,0))</f>
        <v/>
      </c>
      <c r="O10" s="8">
        <f>$E10-$D10</f>
        <v/>
      </c>
      <c r="P10" s="16">
        <f>$K10-$J10</f>
        <v/>
      </c>
      <c r="Q10" s="15">
        <f>($K10/$J10-1)*day_count_inr/$O10</f>
        <v/>
      </c>
      <c r="R10" s="16">
        <f>$J10+($K10-$J10)*($I10-$D10)/$O10</f>
        <v/>
      </c>
      <c r="S10" s="16">
        <f>$R10-$K10</f>
        <v/>
      </c>
      <c r="T10" s="16">
        <f>$K10-$R10</f>
        <v/>
      </c>
      <c r="U10" s="16">
        <f>$T10*grid_tonnes_mt</f>
        <v/>
      </c>
      <c r="V10" s="18">
        <f>$T10*$N10*grid_tonnes_mt</f>
        <v/>
      </c>
      <c r="W10" s="16">
        <f>AVERAGEIFS(Market_Daily!$B$6:$B$256,Market_Daily!$A$6:$A$256,"&gt;="&amp;$G10,Market_Daily!$A$6:$A$256,"&lt;="&amp;$H10)</f>
        <v/>
      </c>
      <c r="X10" s="16">
        <f>$W10-$R10</f>
        <v/>
      </c>
      <c r="Y10" s="18">
        <f>($K10-$W10)*$N10*grid_tonnes_mt</f>
        <v/>
      </c>
    </row>
    <row r="11">
      <c r="A11" s="11" t="n">
        <v>44589</v>
      </c>
      <c r="B11" s="11" t="n">
        <v>44589</v>
      </c>
      <c r="C11" s="17" t="b">
        <v>0</v>
      </c>
      <c r="D11" s="12" t="n">
        <v>44593</v>
      </c>
      <c r="E11" s="12" t="n">
        <v>44679</v>
      </c>
      <c r="F11" s="6" t="inlineStr">
        <is>
          <t>2022-02</t>
        </is>
      </c>
      <c r="G11" s="12" t="n">
        <v>44593</v>
      </c>
      <c r="H11" s="12" t="n">
        <v>44620</v>
      </c>
      <c r="I11" s="12" t="n">
        <v>44608.7</v>
      </c>
      <c r="J11" s="16">
        <f>INDEX(Market_Daily!$B$6:$B$256,MATCH($B11,Market_Daily!$A$6:$A$256,0))</f>
        <v/>
      </c>
      <c r="K11" s="16">
        <f>INDEX(Market_Daily!$C$6:$C$256,MATCH($B11,Market_Daily!$A$6:$A$256,0))</f>
        <v/>
      </c>
      <c r="L11" s="16">
        <f>$J11-$K11</f>
        <v/>
      </c>
      <c r="M11" s="8">
        <f>IF($L11&gt;0,"BACKWARDATION",IF($L11&lt;0,"CONTANGO","FLAT"))</f>
        <v/>
      </c>
      <c r="N11" s="16">
        <f>INDEX(Market_Daily!$F$6:$F$256,MATCH($B11,Market_Daily!$A$6:$A$256,0))</f>
        <v/>
      </c>
      <c r="O11" s="8">
        <f>$E11-$D11</f>
        <v/>
      </c>
      <c r="P11" s="16">
        <f>$K11-$J11</f>
        <v/>
      </c>
      <c r="Q11" s="15">
        <f>($K11/$J11-1)*day_count_inr/$O11</f>
        <v/>
      </c>
      <c r="R11" s="16">
        <f>$J11+($K11-$J11)*($I11-$D11)/$O11</f>
        <v/>
      </c>
      <c r="S11" s="16">
        <f>$R11-$K11</f>
        <v/>
      </c>
      <c r="T11" s="16">
        <f>$K11-$R11</f>
        <v/>
      </c>
      <c r="U11" s="16">
        <f>$T11*grid_tonnes_mt</f>
        <v/>
      </c>
      <c r="V11" s="18">
        <f>$T11*$N11*grid_tonnes_mt</f>
        <v/>
      </c>
      <c r="W11" s="16">
        <f>AVERAGEIFS(Market_Daily!$B$6:$B$256,Market_Daily!$A$6:$A$256,"&gt;="&amp;$G11,Market_Daily!$A$6:$A$256,"&lt;="&amp;$H11)</f>
        <v/>
      </c>
      <c r="X11" s="16">
        <f>$W11-$R11</f>
        <v/>
      </c>
      <c r="Y11" s="18">
        <f>($K11-$W11)*$N11*grid_tonnes_mt</f>
        <v/>
      </c>
    </row>
    <row r="12">
      <c r="A12" s="11" t="n">
        <v>44596</v>
      </c>
      <c r="B12" s="11" t="n">
        <v>44596</v>
      </c>
      <c r="C12" s="17" t="b">
        <v>0</v>
      </c>
      <c r="D12" s="12" t="n">
        <v>44600</v>
      </c>
      <c r="E12" s="12" t="n">
        <v>44685</v>
      </c>
      <c r="F12" s="6" t="inlineStr">
        <is>
          <t>2022-03</t>
        </is>
      </c>
      <c r="G12" s="12" t="n">
        <v>44621</v>
      </c>
      <c r="H12" s="12" t="n">
        <v>44651</v>
      </c>
      <c r="I12" s="12" t="n">
        <v>44638.78260869566</v>
      </c>
      <c r="J12" s="16">
        <f>INDEX(Market_Daily!$B$6:$B$256,MATCH($B12,Market_Daily!$A$6:$A$256,0))</f>
        <v/>
      </c>
      <c r="K12" s="16">
        <f>INDEX(Market_Daily!$C$6:$C$256,MATCH($B12,Market_Daily!$A$6:$A$256,0))</f>
        <v/>
      </c>
      <c r="L12" s="16">
        <f>$J12-$K12</f>
        <v/>
      </c>
      <c r="M12" s="8">
        <f>IF($L12&gt;0,"BACKWARDATION",IF($L12&lt;0,"CONTANGO","FLAT"))</f>
        <v/>
      </c>
      <c r="N12" s="16">
        <f>INDEX(Market_Daily!$F$6:$F$256,MATCH($B12,Market_Daily!$A$6:$A$256,0))</f>
        <v/>
      </c>
      <c r="O12" s="8">
        <f>$E12-$D12</f>
        <v/>
      </c>
      <c r="P12" s="16">
        <f>$K12-$J12</f>
        <v/>
      </c>
      <c r="Q12" s="15">
        <f>($K12/$J12-1)*day_count_inr/$O12</f>
        <v/>
      </c>
      <c r="R12" s="16">
        <f>$J12+($K12-$J12)*($I12-$D12)/$O12</f>
        <v/>
      </c>
      <c r="S12" s="16">
        <f>$R12-$K12</f>
        <v/>
      </c>
      <c r="T12" s="16">
        <f>$K12-$R12</f>
        <v/>
      </c>
      <c r="U12" s="16">
        <f>$T12*grid_tonnes_mt</f>
        <v/>
      </c>
      <c r="V12" s="18">
        <f>$T12*$N12*grid_tonnes_mt</f>
        <v/>
      </c>
      <c r="W12" s="16">
        <f>AVERAGEIFS(Market_Daily!$B$6:$B$256,Market_Daily!$A$6:$A$256,"&gt;="&amp;$G12,Market_Daily!$A$6:$A$256,"&lt;="&amp;$H12)</f>
        <v/>
      </c>
      <c r="X12" s="16">
        <f>$W12-$R12</f>
        <v/>
      </c>
      <c r="Y12" s="18">
        <f>($K12-$W12)*$N12*grid_tonnes_mt</f>
        <v/>
      </c>
    </row>
    <row r="13">
      <c r="A13" s="11" t="n">
        <v>44603</v>
      </c>
      <c r="B13" s="11" t="n">
        <v>44603</v>
      </c>
      <c r="C13" s="17" t="b">
        <v>0</v>
      </c>
      <c r="D13" s="12" t="n">
        <v>44607</v>
      </c>
      <c r="E13" s="12" t="n">
        <v>44692</v>
      </c>
      <c r="F13" s="6" t="inlineStr">
        <is>
          <t>2022-03</t>
        </is>
      </c>
      <c r="G13" s="12" t="n">
        <v>44621</v>
      </c>
      <c r="H13" s="12" t="n">
        <v>44651</v>
      </c>
      <c r="I13" s="12" t="n">
        <v>44638.78260869566</v>
      </c>
      <c r="J13" s="16">
        <f>INDEX(Market_Daily!$B$6:$B$256,MATCH($B13,Market_Daily!$A$6:$A$256,0))</f>
        <v/>
      </c>
      <c r="K13" s="16">
        <f>INDEX(Market_Daily!$C$6:$C$256,MATCH($B13,Market_Daily!$A$6:$A$256,0))</f>
        <v/>
      </c>
      <c r="L13" s="16">
        <f>$J13-$K13</f>
        <v/>
      </c>
      <c r="M13" s="8">
        <f>IF($L13&gt;0,"BACKWARDATION",IF($L13&lt;0,"CONTANGO","FLAT"))</f>
        <v/>
      </c>
      <c r="N13" s="16">
        <f>INDEX(Market_Daily!$F$6:$F$256,MATCH($B13,Market_Daily!$A$6:$A$256,0))</f>
        <v/>
      </c>
      <c r="O13" s="8">
        <f>$E13-$D13</f>
        <v/>
      </c>
      <c r="P13" s="16">
        <f>$K13-$J13</f>
        <v/>
      </c>
      <c r="Q13" s="15">
        <f>($K13/$J13-1)*day_count_inr/$O13</f>
        <v/>
      </c>
      <c r="R13" s="16">
        <f>$J13+($K13-$J13)*($I13-$D13)/$O13</f>
        <v/>
      </c>
      <c r="S13" s="16">
        <f>$R13-$K13</f>
        <v/>
      </c>
      <c r="T13" s="16">
        <f>$K13-$R13</f>
        <v/>
      </c>
      <c r="U13" s="16">
        <f>$T13*grid_tonnes_mt</f>
        <v/>
      </c>
      <c r="V13" s="18">
        <f>$T13*$N13*grid_tonnes_mt</f>
        <v/>
      </c>
      <c r="W13" s="16">
        <f>AVERAGEIFS(Market_Daily!$B$6:$B$256,Market_Daily!$A$6:$A$256,"&gt;="&amp;$G13,Market_Daily!$A$6:$A$256,"&lt;="&amp;$H13)</f>
        <v/>
      </c>
      <c r="X13" s="16">
        <f>$W13-$R13</f>
        <v/>
      </c>
      <c r="Y13" s="18">
        <f>($K13-$W13)*$N13*grid_tonnes_mt</f>
        <v/>
      </c>
    </row>
    <row r="14">
      <c r="A14" s="11" t="n">
        <v>44610</v>
      </c>
      <c r="B14" s="11" t="n">
        <v>44610</v>
      </c>
      <c r="C14" s="17" t="b">
        <v>0</v>
      </c>
      <c r="D14" s="12" t="n">
        <v>44614</v>
      </c>
      <c r="E14" s="12" t="n">
        <v>44699</v>
      </c>
      <c r="F14" s="6" t="inlineStr">
        <is>
          <t>2022-03</t>
        </is>
      </c>
      <c r="G14" s="12" t="n">
        <v>44621</v>
      </c>
      <c r="H14" s="12" t="n">
        <v>44651</v>
      </c>
      <c r="I14" s="12" t="n">
        <v>44638.78260869566</v>
      </c>
      <c r="J14" s="16">
        <f>INDEX(Market_Daily!$B$6:$B$256,MATCH($B14,Market_Daily!$A$6:$A$256,0))</f>
        <v/>
      </c>
      <c r="K14" s="16">
        <f>INDEX(Market_Daily!$C$6:$C$256,MATCH($B14,Market_Daily!$A$6:$A$256,0))</f>
        <v/>
      </c>
      <c r="L14" s="16">
        <f>$J14-$K14</f>
        <v/>
      </c>
      <c r="M14" s="8">
        <f>IF($L14&gt;0,"BACKWARDATION",IF($L14&lt;0,"CONTANGO","FLAT"))</f>
        <v/>
      </c>
      <c r="N14" s="16">
        <f>INDEX(Market_Daily!$F$6:$F$256,MATCH($B14,Market_Daily!$A$6:$A$256,0))</f>
        <v/>
      </c>
      <c r="O14" s="8">
        <f>$E14-$D14</f>
        <v/>
      </c>
      <c r="P14" s="16">
        <f>$K14-$J14</f>
        <v/>
      </c>
      <c r="Q14" s="15">
        <f>($K14/$J14-1)*day_count_inr/$O14</f>
        <v/>
      </c>
      <c r="R14" s="16">
        <f>$J14+($K14-$J14)*($I14-$D14)/$O14</f>
        <v/>
      </c>
      <c r="S14" s="16">
        <f>$R14-$K14</f>
        <v/>
      </c>
      <c r="T14" s="16">
        <f>$K14-$R14</f>
        <v/>
      </c>
      <c r="U14" s="16">
        <f>$T14*grid_tonnes_mt</f>
        <v/>
      </c>
      <c r="V14" s="18">
        <f>$T14*$N14*grid_tonnes_mt</f>
        <v/>
      </c>
      <c r="W14" s="16">
        <f>AVERAGEIFS(Market_Daily!$B$6:$B$256,Market_Daily!$A$6:$A$256,"&gt;="&amp;$G14,Market_Daily!$A$6:$A$256,"&lt;="&amp;$H14)</f>
        <v/>
      </c>
      <c r="X14" s="16">
        <f>$W14-$R14</f>
        <v/>
      </c>
      <c r="Y14" s="18">
        <f>($K14-$W14)*$N14*grid_tonnes_mt</f>
        <v/>
      </c>
    </row>
    <row r="15">
      <c r="A15" s="11" t="n">
        <v>44617</v>
      </c>
      <c r="B15" s="11" t="n">
        <v>44617</v>
      </c>
      <c r="C15" s="17" t="b">
        <v>0</v>
      </c>
      <c r="D15" s="12" t="n">
        <v>44621</v>
      </c>
      <c r="E15" s="12" t="n">
        <v>44706</v>
      </c>
      <c r="F15" s="6" t="inlineStr">
        <is>
          <t>2022-03</t>
        </is>
      </c>
      <c r="G15" s="12" t="n">
        <v>44621</v>
      </c>
      <c r="H15" s="12" t="n">
        <v>44651</v>
      </c>
      <c r="I15" s="12" t="n">
        <v>44638.78260869566</v>
      </c>
      <c r="J15" s="16">
        <f>INDEX(Market_Daily!$B$6:$B$256,MATCH($B15,Market_Daily!$A$6:$A$256,0))</f>
        <v/>
      </c>
      <c r="K15" s="16">
        <f>INDEX(Market_Daily!$C$6:$C$256,MATCH($B15,Market_Daily!$A$6:$A$256,0))</f>
        <v/>
      </c>
      <c r="L15" s="16">
        <f>$J15-$K15</f>
        <v/>
      </c>
      <c r="M15" s="8">
        <f>IF($L15&gt;0,"BACKWARDATION",IF($L15&lt;0,"CONTANGO","FLAT"))</f>
        <v/>
      </c>
      <c r="N15" s="16">
        <f>INDEX(Market_Daily!$F$6:$F$256,MATCH($B15,Market_Daily!$A$6:$A$256,0))</f>
        <v/>
      </c>
      <c r="O15" s="8">
        <f>$E15-$D15</f>
        <v/>
      </c>
      <c r="P15" s="16">
        <f>$K15-$J15</f>
        <v/>
      </c>
      <c r="Q15" s="15">
        <f>($K15/$J15-1)*day_count_inr/$O15</f>
        <v/>
      </c>
      <c r="R15" s="16">
        <f>$J15+($K15-$J15)*($I15-$D15)/$O15</f>
        <v/>
      </c>
      <c r="S15" s="16">
        <f>$R15-$K15</f>
        <v/>
      </c>
      <c r="T15" s="16">
        <f>$K15-$R15</f>
        <v/>
      </c>
      <c r="U15" s="16">
        <f>$T15*grid_tonnes_mt</f>
        <v/>
      </c>
      <c r="V15" s="18">
        <f>$T15*$N15*grid_tonnes_mt</f>
        <v/>
      </c>
      <c r="W15" s="16">
        <f>AVERAGEIFS(Market_Daily!$B$6:$B$256,Market_Daily!$A$6:$A$256,"&gt;="&amp;$G15,Market_Daily!$A$6:$A$256,"&lt;="&amp;$H15)</f>
        <v/>
      </c>
      <c r="X15" s="16">
        <f>$W15-$R15</f>
        <v/>
      </c>
      <c r="Y15" s="18">
        <f>($K15-$W15)*$N15*grid_tonnes_mt</f>
        <v/>
      </c>
    </row>
    <row r="16">
      <c r="A16" s="11" t="n">
        <v>44624</v>
      </c>
      <c r="B16" s="11" t="n">
        <v>44624</v>
      </c>
      <c r="C16" s="17" t="b">
        <v>1</v>
      </c>
      <c r="D16" s="12" t="n">
        <v>44628</v>
      </c>
      <c r="E16" s="12" t="n">
        <v>44718</v>
      </c>
      <c r="F16" s="6" t="inlineStr">
        <is>
          <t>2022-04</t>
        </is>
      </c>
      <c r="G16" s="12" t="n">
        <v>44652</v>
      </c>
      <c r="H16" s="12" t="n">
        <v>44681</v>
      </c>
      <c r="I16" s="12" t="n">
        <v>44669.61904761905</v>
      </c>
      <c r="J16" s="16">
        <f>INDEX(Market_Daily!$B$6:$B$256,MATCH($B16,Market_Daily!$A$6:$A$256,0))</f>
        <v/>
      </c>
      <c r="K16" s="16">
        <f>INDEX(Market_Daily!$C$6:$C$256,MATCH($B16,Market_Daily!$A$6:$A$256,0))</f>
        <v/>
      </c>
      <c r="L16" s="16">
        <f>$J16-$K16</f>
        <v/>
      </c>
      <c r="M16" s="8">
        <f>IF($L16&gt;0,"BACKWARDATION",IF($L16&lt;0,"CONTANGO","FLAT"))</f>
        <v/>
      </c>
      <c r="N16" s="16">
        <f>INDEX(Market_Daily!$F$6:$F$256,MATCH($B16,Market_Daily!$A$6:$A$256,0))</f>
        <v/>
      </c>
      <c r="O16" s="8">
        <f>$E16-$D16</f>
        <v/>
      </c>
      <c r="P16" s="16">
        <f>$K16-$J16</f>
        <v/>
      </c>
      <c r="Q16" s="15">
        <f>($K16/$J16-1)*day_count_inr/$O16</f>
        <v/>
      </c>
      <c r="R16" s="16">
        <f>$J16+($K16-$J16)*($I16-$D16)/$O16</f>
        <v/>
      </c>
      <c r="S16" s="16">
        <f>$R16-$K16</f>
        <v/>
      </c>
      <c r="T16" s="16">
        <f>$K16-$R16</f>
        <v/>
      </c>
      <c r="U16" s="16">
        <f>$T16*grid_tonnes_mt</f>
        <v/>
      </c>
      <c r="V16" s="18">
        <f>$T16*$N16*grid_tonnes_mt</f>
        <v/>
      </c>
      <c r="W16" s="16">
        <f>AVERAGEIFS(Market_Daily!$B$6:$B$256,Market_Daily!$A$6:$A$256,"&gt;="&amp;$G16,Market_Daily!$A$6:$A$256,"&lt;="&amp;$H16)</f>
        <v/>
      </c>
      <c r="X16" s="16">
        <f>$W16-$R16</f>
        <v/>
      </c>
      <c r="Y16" s="18">
        <f>($K16-$W16)*$N16*grid_tonnes_mt</f>
        <v/>
      </c>
    </row>
    <row r="17">
      <c r="A17" s="11" t="n">
        <v>44631</v>
      </c>
      <c r="B17" s="11" t="n">
        <v>44631</v>
      </c>
      <c r="C17" s="17" t="b">
        <v>1</v>
      </c>
      <c r="D17" s="12" t="n">
        <v>44635</v>
      </c>
      <c r="E17" s="12" t="n">
        <v>44725</v>
      </c>
      <c r="F17" s="6" t="inlineStr">
        <is>
          <t>2022-04</t>
        </is>
      </c>
      <c r="G17" s="12" t="n">
        <v>44652</v>
      </c>
      <c r="H17" s="12" t="n">
        <v>44681</v>
      </c>
      <c r="I17" s="12" t="n">
        <v>44669.61904761905</v>
      </c>
      <c r="J17" s="16">
        <f>INDEX(Market_Daily!$B$6:$B$256,MATCH($B17,Market_Daily!$A$6:$A$256,0))</f>
        <v/>
      </c>
      <c r="K17" s="16">
        <f>INDEX(Market_Daily!$C$6:$C$256,MATCH($B17,Market_Daily!$A$6:$A$256,0))</f>
        <v/>
      </c>
      <c r="L17" s="16">
        <f>$J17-$K17</f>
        <v/>
      </c>
      <c r="M17" s="8">
        <f>IF($L17&gt;0,"BACKWARDATION",IF($L17&lt;0,"CONTANGO","FLAT"))</f>
        <v/>
      </c>
      <c r="N17" s="16">
        <f>INDEX(Market_Daily!$F$6:$F$256,MATCH($B17,Market_Daily!$A$6:$A$256,0))</f>
        <v/>
      </c>
      <c r="O17" s="8">
        <f>$E17-$D17</f>
        <v/>
      </c>
      <c r="P17" s="16">
        <f>$K17-$J17</f>
        <v/>
      </c>
      <c r="Q17" s="15">
        <f>($K17/$J17-1)*day_count_inr/$O17</f>
        <v/>
      </c>
      <c r="R17" s="16">
        <f>$J17+($K17-$J17)*($I17-$D17)/$O17</f>
        <v/>
      </c>
      <c r="S17" s="16">
        <f>$R17-$K17</f>
        <v/>
      </c>
      <c r="T17" s="16">
        <f>$K17-$R17</f>
        <v/>
      </c>
      <c r="U17" s="16">
        <f>$T17*grid_tonnes_mt</f>
        <v/>
      </c>
      <c r="V17" s="18">
        <f>$T17*$N17*grid_tonnes_mt</f>
        <v/>
      </c>
      <c r="W17" s="16">
        <f>AVERAGEIFS(Market_Daily!$B$6:$B$256,Market_Daily!$A$6:$A$256,"&gt;="&amp;$G17,Market_Daily!$A$6:$A$256,"&lt;="&amp;$H17)</f>
        <v/>
      </c>
      <c r="X17" s="16">
        <f>$W17-$R17</f>
        <v/>
      </c>
      <c r="Y17" s="18">
        <f>($K17-$W17)*$N17*grid_tonnes_mt</f>
        <v/>
      </c>
    </row>
    <row r="18">
      <c r="A18" s="11" t="n">
        <v>44638</v>
      </c>
      <c r="B18" s="11" t="n">
        <v>44638</v>
      </c>
      <c r="C18" s="17" t="b">
        <v>1</v>
      </c>
      <c r="D18" s="12" t="n">
        <v>44642</v>
      </c>
      <c r="E18" s="12" t="n">
        <v>44732</v>
      </c>
      <c r="F18" s="6" t="inlineStr">
        <is>
          <t>2022-04</t>
        </is>
      </c>
      <c r="G18" s="12" t="n">
        <v>44652</v>
      </c>
      <c r="H18" s="12" t="n">
        <v>44681</v>
      </c>
      <c r="I18" s="12" t="n">
        <v>44669.61904761905</v>
      </c>
      <c r="J18" s="16">
        <f>INDEX(Market_Daily!$B$6:$B$256,MATCH($B18,Market_Daily!$A$6:$A$256,0))</f>
        <v/>
      </c>
      <c r="K18" s="16">
        <f>INDEX(Market_Daily!$C$6:$C$256,MATCH($B18,Market_Daily!$A$6:$A$256,0))</f>
        <v/>
      </c>
      <c r="L18" s="16">
        <f>$J18-$K18</f>
        <v/>
      </c>
      <c r="M18" s="8">
        <f>IF($L18&gt;0,"BACKWARDATION",IF($L18&lt;0,"CONTANGO","FLAT"))</f>
        <v/>
      </c>
      <c r="N18" s="16">
        <f>INDEX(Market_Daily!$F$6:$F$256,MATCH($B18,Market_Daily!$A$6:$A$256,0))</f>
        <v/>
      </c>
      <c r="O18" s="8">
        <f>$E18-$D18</f>
        <v/>
      </c>
      <c r="P18" s="16">
        <f>$K18-$J18</f>
        <v/>
      </c>
      <c r="Q18" s="15">
        <f>($K18/$J18-1)*day_count_inr/$O18</f>
        <v/>
      </c>
      <c r="R18" s="16">
        <f>$J18+($K18-$J18)*($I18-$D18)/$O18</f>
        <v/>
      </c>
      <c r="S18" s="16">
        <f>$R18-$K18</f>
        <v/>
      </c>
      <c r="T18" s="16">
        <f>$K18-$R18</f>
        <v/>
      </c>
      <c r="U18" s="16">
        <f>$T18*grid_tonnes_mt</f>
        <v/>
      </c>
      <c r="V18" s="18">
        <f>$T18*$N18*grid_tonnes_mt</f>
        <v/>
      </c>
      <c r="W18" s="16">
        <f>AVERAGEIFS(Market_Daily!$B$6:$B$256,Market_Daily!$A$6:$A$256,"&gt;="&amp;$G18,Market_Daily!$A$6:$A$256,"&lt;="&amp;$H18)</f>
        <v/>
      </c>
      <c r="X18" s="16">
        <f>$W18-$R18</f>
        <v/>
      </c>
      <c r="Y18" s="18">
        <f>($K18-$W18)*$N18*grid_tonnes_mt</f>
        <v/>
      </c>
    </row>
    <row r="19">
      <c r="A19" s="11" t="n">
        <v>44645</v>
      </c>
      <c r="B19" s="11" t="n">
        <v>44645</v>
      </c>
      <c r="C19" s="17" t="b">
        <v>1</v>
      </c>
      <c r="D19" s="12" t="n">
        <v>44649</v>
      </c>
      <c r="E19" s="12" t="n">
        <v>44739</v>
      </c>
      <c r="F19" s="6" t="inlineStr">
        <is>
          <t>2022-04</t>
        </is>
      </c>
      <c r="G19" s="12" t="n">
        <v>44652</v>
      </c>
      <c r="H19" s="12" t="n">
        <v>44681</v>
      </c>
      <c r="I19" s="12" t="n">
        <v>44669.61904761905</v>
      </c>
      <c r="J19" s="16">
        <f>INDEX(Market_Daily!$B$6:$B$256,MATCH($B19,Market_Daily!$A$6:$A$256,0))</f>
        <v/>
      </c>
      <c r="K19" s="16">
        <f>INDEX(Market_Daily!$C$6:$C$256,MATCH($B19,Market_Daily!$A$6:$A$256,0))</f>
        <v/>
      </c>
      <c r="L19" s="16">
        <f>$J19-$K19</f>
        <v/>
      </c>
      <c r="M19" s="8">
        <f>IF($L19&gt;0,"BACKWARDATION",IF($L19&lt;0,"CONTANGO","FLAT"))</f>
        <v/>
      </c>
      <c r="N19" s="16">
        <f>INDEX(Market_Daily!$F$6:$F$256,MATCH($B19,Market_Daily!$A$6:$A$256,0))</f>
        <v/>
      </c>
      <c r="O19" s="8">
        <f>$E19-$D19</f>
        <v/>
      </c>
      <c r="P19" s="16">
        <f>$K19-$J19</f>
        <v/>
      </c>
      <c r="Q19" s="15">
        <f>($K19/$J19-1)*day_count_inr/$O19</f>
        <v/>
      </c>
      <c r="R19" s="16">
        <f>$J19+($K19-$J19)*($I19-$D19)/$O19</f>
        <v/>
      </c>
      <c r="S19" s="16">
        <f>$R19-$K19</f>
        <v/>
      </c>
      <c r="T19" s="16">
        <f>$K19-$R19</f>
        <v/>
      </c>
      <c r="U19" s="16">
        <f>$T19*grid_tonnes_mt</f>
        <v/>
      </c>
      <c r="V19" s="18">
        <f>$T19*$N19*grid_tonnes_mt</f>
        <v/>
      </c>
      <c r="W19" s="16">
        <f>AVERAGEIFS(Market_Daily!$B$6:$B$256,Market_Daily!$A$6:$A$256,"&gt;="&amp;$G19,Market_Daily!$A$6:$A$256,"&lt;="&amp;$H19)</f>
        <v/>
      </c>
      <c r="X19" s="16">
        <f>$W19-$R19</f>
        <v/>
      </c>
      <c r="Y19" s="18">
        <f>($K19-$W19)*$N19*grid_tonnes_mt</f>
        <v/>
      </c>
    </row>
    <row r="20">
      <c r="A20" s="11" t="n">
        <v>44652</v>
      </c>
      <c r="B20" s="11" t="n">
        <v>44652</v>
      </c>
      <c r="C20" s="17" t="b">
        <v>1</v>
      </c>
      <c r="D20" s="12" t="n">
        <v>44656</v>
      </c>
      <c r="E20" s="12" t="n">
        <v>44743</v>
      </c>
      <c r="F20" s="6" t="inlineStr">
        <is>
          <t>2022-05</t>
        </is>
      </c>
      <c r="G20" s="12" t="n">
        <v>44682</v>
      </c>
      <c r="H20" s="12" t="n">
        <v>44712</v>
      </c>
      <c r="I20" s="12" t="n">
        <v>44699.68181818182</v>
      </c>
      <c r="J20" s="16">
        <f>INDEX(Market_Daily!$B$6:$B$256,MATCH($B20,Market_Daily!$A$6:$A$256,0))</f>
        <v/>
      </c>
      <c r="K20" s="16">
        <f>INDEX(Market_Daily!$C$6:$C$256,MATCH($B20,Market_Daily!$A$6:$A$256,0))</f>
        <v/>
      </c>
      <c r="L20" s="16">
        <f>$J20-$K20</f>
        <v/>
      </c>
      <c r="M20" s="8">
        <f>IF($L20&gt;0,"BACKWARDATION",IF($L20&lt;0,"CONTANGO","FLAT"))</f>
        <v/>
      </c>
      <c r="N20" s="16">
        <f>INDEX(Market_Daily!$F$6:$F$256,MATCH($B20,Market_Daily!$A$6:$A$256,0))</f>
        <v/>
      </c>
      <c r="O20" s="8">
        <f>$E20-$D20</f>
        <v/>
      </c>
      <c r="P20" s="16">
        <f>$K20-$J20</f>
        <v/>
      </c>
      <c r="Q20" s="15">
        <f>($K20/$J20-1)*day_count_inr/$O20</f>
        <v/>
      </c>
      <c r="R20" s="16">
        <f>$J20+($K20-$J20)*($I20-$D20)/$O20</f>
        <v/>
      </c>
      <c r="S20" s="16">
        <f>$R20-$K20</f>
        <v/>
      </c>
      <c r="T20" s="16">
        <f>$K20-$R20</f>
        <v/>
      </c>
      <c r="U20" s="16">
        <f>$T20*grid_tonnes_mt</f>
        <v/>
      </c>
      <c r="V20" s="18">
        <f>$T20*$N20*grid_tonnes_mt</f>
        <v/>
      </c>
      <c r="W20" s="16">
        <f>AVERAGEIFS(Market_Daily!$B$6:$B$256,Market_Daily!$A$6:$A$256,"&gt;="&amp;$G20,Market_Daily!$A$6:$A$256,"&lt;="&amp;$H20)</f>
        <v/>
      </c>
      <c r="X20" s="16">
        <f>$W20-$R20</f>
        <v/>
      </c>
      <c r="Y20" s="18">
        <f>($K20-$W20)*$N20*grid_tonnes_mt</f>
        <v/>
      </c>
    </row>
    <row r="21">
      <c r="A21" s="11" t="n">
        <v>44659</v>
      </c>
      <c r="B21" s="11" t="n">
        <v>44659</v>
      </c>
      <c r="C21" s="17" t="b">
        <v>1</v>
      </c>
      <c r="D21" s="12" t="n">
        <v>44663</v>
      </c>
      <c r="E21" s="12" t="n">
        <v>44750</v>
      </c>
      <c r="F21" s="6" t="inlineStr">
        <is>
          <t>2022-05</t>
        </is>
      </c>
      <c r="G21" s="12" t="n">
        <v>44682</v>
      </c>
      <c r="H21" s="12" t="n">
        <v>44712</v>
      </c>
      <c r="I21" s="12" t="n">
        <v>44699.68181818182</v>
      </c>
      <c r="J21" s="16">
        <f>INDEX(Market_Daily!$B$6:$B$256,MATCH($B21,Market_Daily!$A$6:$A$256,0))</f>
        <v/>
      </c>
      <c r="K21" s="16">
        <f>INDEX(Market_Daily!$C$6:$C$256,MATCH($B21,Market_Daily!$A$6:$A$256,0))</f>
        <v/>
      </c>
      <c r="L21" s="16">
        <f>$J21-$K21</f>
        <v/>
      </c>
      <c r="M21" s="8">
        <f>IF($L21&gt;0,"BACKWARDATION",IF($L21&lt;0,"CONTANGO","FLAT"))</f>
        <v/>
      </c>
      <c r="N21" s="16">
        <f>INDEX(Market_Daily!$F$6:$F$256,MATCH($B21,Market_Daily!$A$6:$A$256,0))</f>
        <v/>
      </c>
      <c r="O21" s="8">
        <f>$E21-$D21</f>
        <v/>
      </c>
      <c r="P21" s="16">
        <f>$K21-$J21</f>
        <v/>
      </c>
      <c r="Q21" s="15">
        <f>($K21/$J21-1)*day_count_inr/$O21</f>
        <v/>
      </c>
      <c r="R21" s="16">
        <f>$J21+($K21-$J21)*($I21-$D21)/$O21</f>
        <v/>
      </c>
      <c r="S21" s="16">
        <f>$R21-$K21</f>
        <v/>
      </c>
      <c r="T21" s="16">
        <f>$K21-$R21</f>
        <v/>
      </c>
      <c r="U21" s="16">
        <f>$T21*grid_tonnes_mt</f>
        <v/>
      </c>
      <c r="V21" s="18">
        <f>$T21*$N21*grid_tonnes_mt</f>
        <v/>
      </c>
      <c r="W21" s="16">
        <f>AVERAGEIFS(Market_Daily!$B$6:$B$256,Market_Daily!$A$6:$A$256,"&gt;="&amp;$G21,Market_Daily!$A$6:$A$256,"&lt;="&amp;$H21)</f>
        <v/>
      </c>
      <c r="X21" s="16">
        <f>$W21-$R21</f>
        <v/>
      </c>
      <c r="Y21" s="18">
        <f>($K21-$W21)*$N21*grid_tonnes_mt</f>
        <v/>
      </c>
    </row>
    <row r="22">
      <c r="A22" s="11" t="n">
        <v>44666</v>
      </c>
      <c r="B22" s="11" t="n">
        <v>44665</v>
      </c>
      <c r="C22" s="17" t="b">
        <v>1</v>
      </c>
      <c r="D22" s="12" t="n">
        <v>44669</v>
      </c>
      <c r="E22" s="12" t="n">
        <v>44756</v>
      </c>
      <c r="F22" s="6" t="inlineStr">
        <is>
          <t>2022-05</t>
        </is>
      </c>
      <c r="G22" s="12" t="n">
        <v>44682</v>
      </c>
      <c r="H22" s="12" t="n">
        <v>44712</v>
      </c>
      <c r="I22" s="12" t="n">
        <v>44699.68181818182</v>
      </c>
      <c r="J22" s="16">
        <f>INDEX(Market_Daily!$B$6:$B$256,MATCH($B22,Market_Daily!$A$6:$A$256,0))</f>
        <v/>
      </c>
      <c r="K22" s="16">
        <f>INDEX(Market_Daily!$C$6:$C$256,MATCH($B22,Market_Daily!$A$6:$A$256,0))</f>
        <v/>
      </c>
      <c r="L22" s="16">
        <f>$J22-$K22</f>
        <v/>
      </c>
      <c r="M22" s="8">
        <f>IF($L22&gt;0,"BACKWARDATION",IF($L22&lt;0,"CONTANGO","FLAT"))</f>
        <v/>
      </c>
      <c r="N22" s="16">
        <f>INDEX(Market_Daily!$F$6:$F$256,MATCH($B22,Market_Daily!$A$6:$A$256,0))</f>
        <v/>
      </c>
      <c r="O22" s="8">
        <f>$E22-$D22</f>
        <v/>
      </c>
      <c r="P22" s="16">
        <f>$K22-$J22</f>
        <v/>
      </c>
      <c r="Q22" s="15">
        <f>($K22/$J22-1)*day_count_inr/$O22</f>
        <v/>
      </c>
      <c r="R22" s="16">
        <f>$J22+($K22-$J22)*($I22-$D22)/$O22</f>
        <v/>
      </c>
      <c r="S22" s="16">
        <f>$R22-$K22</f>
        <v/>
      </c>
      <c r="T22" s="16">
        <f>$K22-$R22</f>
        <v/>
      </c>
      <c r="U22" s="16">
        <f>$T22*grid_tonnes_mt</f>
        <v/>
      </c>
      <c r="V22" s="18">
        <f>$T22*$N22*grid_tonnes_mt</f>
        <v/>
      </c>
      <c r="W22" s="16">
        <f>AVERAGEIFS(Market_Daily!$B$6:$B$256,Market_Daily!$A$6:$A$256,"&gt;="&amp;$G22,Market_Daily!$A$6:$A$256,"&lt;="&amp;$H22)</f>
        <v/>
      </c>
      <c r="X22" s="16">
        <f>$W22-$R22</f>
        <v/>
      </c>
      <c r="Y22" s="18">
        <f>($K22-$W22)*$N22*grid_tonnes_mt</f>
        <v/>
      </c>
    </row>
    <row r="23">
      <c r="A23" s="11" t="n">
        <v>44673</v>
      </c>
      <c r="B23" s="11" t="n">
        <v>44673</v>
      </c>
      <c r="C23" s="17" t="b">
        <v>1</v>
      </c>
      <c r="D23" s="12" t="n">
        <v>44677</v>
      </c>
      <c r="E23" s="12" t="n">
        <v>44764</v>
      </c>
      <c r="F23" s="6" t="inlineStr">
        <is>
          <t>2022-05</t>
        </is>
      </c>
      <c r="G23" s="12" t="n">
        <v>44682</v>
      </c>
      <c r="H23" s="12" t="n">
        <v>44712</v>
      </c>
      <c r="I23" s="12" t="n">
        <v>44699.68181818182</v>
      </c>
      <c r="J23" s="16">
        <f>INDEX(Market_Daily!$B$6:$B$256,MATCH($B23,Market_Daily!$A$6:$A$256,0))</f>
        <v/>
      </c>
      <c r="K23" s="16">
        <f>INDEX(Market_Daily!$C$6:$C$256,MATCH($B23,Market_Daily!$A$6:$A$256,0))</f>
        <v/>
      </c>
      <c r="L23" s="16">
        <f>$J23-$K23</f>
        <v/>
      </c>
      <c r="M23" s="8">
        <f>IF($L23&gt;0,"BACKWARDATION",IF($L23&lt;0,"CONTANGO","FLAT"))</f>
        <v/>
      </c>
      <c r="N23" s="16">
        <f>INDEX(Market_Daily!$F$6:$F$256,MATCH($B23,Market_Daily!$A$6:$A$256,0))</f>
        <v/>
      </c>
      <c r="O23" s="8">
        <f>$E23-$D23</f>
        <v/>
      </c>
      <c r="P23" s="16">
        <f>$K23-$J23</f>
        <v/>
      </c>
      <c r="Q23" s="15">
        <f>($K23/$J23-1)*day_count_inr/$O23</f>
        <v/>
      </c>
      <c r="R23" s="16">
        <f>$J23+($K23-$J23)*($I23-$D23)/$O23</f>
        <v/>
      </c>
      <c r="S23" s="16">
        <f>$R23-$K23</f>
        <v/>
      </c>
      <c r="T23" s="16">
        <f>$K23-$R23</f>
        <v/>
      </c>
      <c r="U23" s="16">
        <f>$T23*grid_tonnes_mt</f>
        <v/>
      </c>
      <c r="V23" s="18">
        <f>$T23*$N23*grid_tonnes_mt</f>
        <v/>
      </c>
      <c r="W23" s="16">
        <f>AVERAGEIFS(Market_Daily!$B$6:$B$256,Market_Daily!$A$6:$A$256,"&gt;="&amp;$G23,Market_Daily!$A$6:$A$256,"&lt;="&amp;$H23)</f>
        <v/>
      </c>
      <c r="X23" s="16">
        <f>$W23-$R23</f>
        <v/>
      </c>
      <c r="Y23" s="18">
        <f>($K23-$W23)*$N23*grid_tonnes_mt</f>
        <v/>
      </c>
    </row>
    <row r="24">
      <c r="A24" s="11" t="n">
        <v>44680</v>
      </c>
      <c r="B24" s="11" t="n">
        <v>44680</v>
      </c>
      <c r="C24" s="17" t="b">
        <v>1</v>
      </c>
      <c r="D24" s="12" t="n">
        <v>44684</v>
      </c>
      <c r="E24" s="12" t="n">
        <v>44771</v>
      </c>
      <c r="F24" s="6" t="inlineStr">
        <is>
          <t>2022-05</t>
        </is>
      </c>
      <c r="G24" s="12" t="n">
        <v>44682</v>
      </c>
      <c r="H24" s="12" t="n">
        <v>44712</v>
      </c>
      <c r="I24" s="12" t="n">
        <v>44699.68181818182</v>
      </c>
      <c r="J24" s="16">
        <f>INDEX(Market_Daily!$B$6:$B$256,MATCH($B24,Market_Daily!$A$6:$A$256,0))</f>
        <v/>
      </c>
      <c r="K24" s="16">
        <f>INDEX(Market_Daily!$C$6:$C$256,MATCH($B24,Market_Daily!$A$6:$A$256,0))</f>
        <v/>
      </c>
      <c r="L24" s="16">
        <f>$J24-$K24</f>
        <v/>
      </c>
      <c r="M24" s="8">
        <f>IF($L24&gt;0,"BACKWARDATION",IF($L24&lt;0,"CONTANGO","FLAT"))</f>
        <v/>
      </c>
      <c r="N24" s="16">
        <f>INDEX(Market_Daily!$F$6:$F$256,MATCH($B24,Market_Daily!$A$6:$A$256,0))</f>
        <v/>
      </c>
      <c r="O24" s="8">
        <f>$E24-$D24</f>
        <v/>
      </c>
      <c r="P24" s="16">
        <f>$K24-$J24</f>
        <v/>
      </c>
      <c r="Q24" s="15">
        <f>($K24/$J24-1)*day_count_inr/$O24</f>
        <v/>
      </c>
      <c r="R24" s="16">
        <f>$J24+($K24-$J24)*($I24-$D24)/$O24</f>
        <v/>
      </c>
      <c r="S24" s="16">
        <f>$R24-$K24</f>
        <v/>
      </c>
      <c r="T24" s="16">
        <f>$K24-$R24</f>
        <v/>
      </c>
      <c r="U24" s="16">
        <f>$T24*grid_tonnes_mt</f>
        <v/>
      </c>
      <c r="V24" s="18">
        <f>$T24*$N24*grid_tonnes_mt</f>
        <v/>
      </c>
      <c r="W24" s="16">
        <f>AVERAGEIFS(Market_Daily!$B$6:$B$256,Market_Daily!$A$6:$A$256,"&gt;="&amp;$G24,Market_Daily!$A$6:$A$256,"&lt;="&amp;$H24)</f>
        <v/>
      </c>
      <c r="X24" s="16">
        <f>$W24-$R24</f>
        <v/>
      </c>
      <c r="Y24" s="18">
        <f>($K24-$W24)*$N24*grid_tonnes_mt</f>
        <v/>
      </c>
    </row>
    <row r="25">
      <c r="A25" s="11" t="n">
        <v>44687</v>
      </c>
      <c r="B25" s="11" t="n">
        <v>44687</v>
      </c>
      <c r="C25" s="17" t="b">
        <v>1</v>
      </c>
      <c r="D25" s="12" t="n">
        <v>44691</v>
      </c>
      <c r="E25" s="12" t="n">
        <v>44781</v>
      </c>
      <c r="F25" s="6" t="inlineStr">
        <is>
          <t>2022-06</t>
        </is>
      </c>
      <c r="G25" s="12" t="n">
        <v>44713</v>
      </c>
      <c r="H25" s="12" t="n">
        <v>44742</v>
      </c>
      <c r="I25" s="12" t="n">
        <v>44730.5</v>
      </c>
      <c r="J25" s="16">
        <f>INDEX(Market_Daily!$B$6:$B$256,MATCH($B25,Market_Daily!$A$6:$A$256,0))</f>
        <v/>
      </c>
      <c r="K25" s="16">
        <f>INDEX(Market_Daily!$C$6:$C$256,MATCH($B25,Market_Daily!$A$6:$A$256,0))</f>
        <v/>
      </c>
      <c r="L25" s="16">
        <f>$J25-$K25</f>
        <v/>
      </c>
      <c r="M25" s="8">
        <f>IF($L25&gt;0,"BACKWARDATION",IF($L25&lt;0,"CONTANGO","FLAT"))</f>
        <v/>
      </c>
      <c r="N25" s="16">
        <f>INDEX(Market_Daily!$F$6:$F$256,MATCH($B25,Market_Daily!$A$6:$A$256,0))</f>
        <v/>
      </c>
      <c r="O25" s="8">
        <f>$E25-$D25</f>
        <v/>
      </c>
      <c r="P25" s="16">
        <f>$K25-$J25</f>
        <v/>
      </c>
      <c r="Q25" s="15">
        <f>($K25/$J25-1)*day_count_inr/$O25</f>
        <v/>
      </c>
      <c r="R25" s="16">
        <f>$J25+($K25-$J25)*($I25-$D25)/$O25</f>
        <v/>
      </c>
      <c r="S25" s="16">
        <f>$R25-$K25</f>
        <v/>
      </c>
      <c r="T25" s="16">
        <f>$K25-$R25</f>
        <v/>
      </c>
      <c r="U25" s="16">
        <f>$T25*grid_tonnes_mt</f>
        <v/>
      </c>
      <c r="V25" s="18">
        <f>$T25*$N25*grid_tonnes_mt</f>
        <v/>
      </c>
      <c r="W25" s="16">
        <f>AVERAGEIFS(Market_Daily!$B$6:$B$256,Market_Daily!$A$6:$A$256,"&gt;="&amp;$G25,Market_Daily!$A$6:$A$256,"&lt;="&amp;$H25)</f>
        <v/>
      </c>
      <c r="X25" s="16">
        <f>$W25-$R25</f>
        <v/>
      </c>
      <c r="Y25" s="18">
        <f>($K25-$W25)*$N25*grid_tonnes_mt</f>
        <v/>
      </c>
    </row>
    <row r="26">
      <c r="A26" s="11" t="n">
        <v>44694</v>
      </c>
      <c r="B26" s="11" t="n">
        <v>44694</v>
      </c>
      <c r="C26" s="17" t="b">
        <v>1</v>
      </c>
      <c r="D26" s="12" t="n">
        <v>44698</v>
      </c>
      <c r="E26" s="12" t="n">
        <v>44788</v>
      </c>
      <c r="F26" s="6" t="inlineStr">
        <is>
          <t>2022-06</t>
        </is>
      </c>
      <c r="G26" s="12" t="n">
        <v>44713</v>
      </c>
      <c r="H26" s="12" t="n">
        <v>44742</v>
      </c>
      <c r="I26" s="12" t="n">
        <v>44730.5</v>
      </c>
      <c r="J26" s="16">
        <f>INDEX(Market_Daily!$B$6:$B$256,MATCH($B26,Market_Daily!$A$6:$A$256,0))</f>
        <v/>
      </c>
      <c r="K26" s="16">
        <f>INDEX(Market_Daily!$C$6:$C$256,MATCH($B26,Market_Daily!$A$6:$A$256,0))</f>
        <v/>
      </c>
      <c r="L26" s="16">
        <f>$J26-$K26</f>
        <v/>
      </c>
      <c r="M26" s="8">
        <f>IF($L26&gt;0,"BACKWARDATION",IF($L26&lt;0,"CONTANGO","FLAT"))</f>
        <v/>
      </c>
      <c r="N26" s="16">
        <f>INDEX(Market_Daily!$F$6:$F$256,MATCH($B26,Market_Daily!$A$6:$A$256,0))</f>
        <v/>
      </c>
      <c r="O26" s="8">
        <f>$E26-$D26</f>
        <v/>
      </c>
      <c r="P26" s="16">
        <f>$K26-$J26</f>
        <v/>
      </c>
      <c r="Q26" s="15">
        <f>($K26/$J26-1)*day_count_inr/$O26</f>
        <v/>
      </c>
      <c r="R26" s="16">
        <f>$J26+($K26-$J26)*($I26-$D26)/$O26</f>
        <v/>
      </c>
      <c r="S26" s="16">
        <f>$R26-$K26</f>
        <v/>
      </c>
      <c r="T26" s="16">
        <f>$K26-$R26</f>
        <v/>
      </c>
      <c r="U26" s="16">
        <f>$T26*grid_tonnes_mt</f>
        <v/>
      </c>
      <c r="V26" s="18">
        <f>$T26*$N26*grid_tonnes_mt</f>
        <v/>
      </c>
      <c r="W26" s="16">
        <f>AVERAGEIFS(Market_Daily!$B$6:$B$256,Market_Daily!$A$6:$A$256,"&gt;="&amp;$G26,Market_Daily!$A$6:$A$256,"&lt;="&amp;$H26)</f>
        <v/>
      </c>
      <c r="X26" s="16">
        <f>$W26-$R26</f>
        <v/>
      </c>
      <c r="Y26" s="18">
        <f>($K26-$W26)*$N26*grid_tonnes_mt</f>
        <v/>
      </c>
    </row>
    <row r="27">
      <c r="A27" s="11" t="n">
        <v>44701</v>
      </c>
      <c r="B27" s="11" t="n">
        <v>44701</v>
      </c>
      <c r="C27" s="17" t="b">
        <v>1</v>
      </c>
      <c r="D27" s="12" t="n">
        <v>44705</v>
      </c>
      <c r="E27" s="12" t="n">
        <v>44795</v>
      </c>
      <c r="F27" s="6" t="inlineStr">
        <is>
          <t>2022-06</t>
        </is>
      </c>
      <c r="G27" s="12" t="n">
        <v>44713</v>
      </c>
      <c r="H27" s="12" t="n">
        <v>44742</v>
      </c>
      <c r="I27" s="12" t="n">
        <v>44730.5</v>
      </c>
      <c r="J27" s="16">
        <f>INDEX(Market_Daily!$B$6:$B$256,MATCH($B27,Market_Daily!$A$6:$A$256,0))</f>
        <v/>
      </c>
      <c r="K27" s="16">
        <f>INDEX(Market_Daily!$C$6:$C$256,MATCH($B27,Market_Daily!$A$6:$A$256,0))</f>
        <v/>
      </c>
      <c r="L27" s="16">
        <f>$J27-$K27</f>
        <v/>
      </c>
      <c r="M27" s="8">
        <f>IF($L27&gt;0,"BACKWARDATION",IF($L27&lt;0,"CONTANGO","FLAT"))</f>
        <v/>
      </c>
      <c r="N27" s="16">
        <f>INDEX(Market_Daily!$F$6:$F$256,MATCH($B27,Market_Daily!$A$6:$A$256,0))</f>
        <v/>
      </c>
      <c r="O27" s="8">
        <f>$E27-$D27</f>
        <v/>
      </c>
      <c r="P27" s="16">
        <f>$K27-$J27</f>
        <v/>
      </c>
      <c r="Q27" s="15">
        <f>($K27/$J27-1)*day_count_inr/$O27</f>
        <v/>
      </c>
      <c r="R27" s="16">
        <f>$J27+($K27-$J27)*($I27-$D27)/$O27</f>
        <v/>
      </c>
      <c r="S27" s="16">
        <f>$R27-$K27</f>
        <v/>
      </c>
      <c r="T27" s="16">
        <f>$K27-$R27</f>
        <v/>
      </c>
      <c r="U27" s="16">
        <f>$T27*grid_tonnes_mt</f>
        <v/>
      </c>
      <c r="V27" s="18">
        <f>$T27*$N27*grid_tonnes_mt</f>
        <v/>
      </c>
      <c r="W27" s="16">
        <f>AVERAGEIFS(Market_Daily!$B$6:$B$256,Market_Daily!$A$6:$A$256,"&gt;="&amp;$G27,Market_Daily!$A$6:$A$256,"&lt;="&amp;$H27)</f>
        <v/>
      </c>
      <c r="X27" s="16">
        <f>$W27-$R27</f>
        <v/>
      </c>
      <c r="Y27" s="18">
        <f>($K27-$W27)*$N27*grid_tonnes_mt</f>
        <v/>
      </c>
    </row>
    <row r="28">
      <c r="A28" s="11" t="n">
        <v>44708</v>
      </c>
      <c r="B28" s="11" t="n">
        <v>44708</v>
      </c>
      <c r="C28" s="17" t="b">
        <v>1</v>
      </c>
      <c r="D28" s="12" t="n">
        <v>44712</v>
      </c>
      <c r="E28" s="12" t="n">
        <v>44802</v>
      </c>
      <c r="F28" s="6" t="inlineStr">
        <is>
          <t>2022-06</t>
        </is>
      </c>
      <c r="G28" s="12" t="n">
        <v>44713</v>
      </c>
      <c r="H28" s="12" t="n">
        <v>44742</v>
      </c>
      <c r="I28" s="12" t="n">
        <v>44730.5</v>
      </c>
      <c r="J28" s="16">
        <f>INDEX(Market_Daily!$B$6:$B$256,MATCH($B28,Market_Daily!$A$6:$A$256,0))</f>
        <v/>
      </c>
      <c r="K28" s="16">
        <f>INDEX(Market_Daily!$C$6:$C$256,MATCH($B28,Market_Daily!$A$6:$A$256,0))</f>
        <v/>
      </c>
      <c r="L28" s="16">
        <f>$J28-$K28</f>
        <v/>
      </c>
      <c r="M28" s="8">
        <f>IF($L28&gt;0,"BACKWARDATION",IF($L28&lt;0,"CONTANGO","FLAT"))</f>
        <v/>
      </c>
      <c r="N28" s="16">
        <f>INDEX(Market_Daily!$F$6:$F$256,MATCH($B28,Market_Daily!$A$6:$A$256,0))</f>
        <v/>
      </c>
      <c r="O28" s="8">
        <f>$E28-$D28</f>
        <v/>
      </c>
      <c r="P28" s="16">
        <f>$K28-$J28</f>
        <v/>
      </c>
      <c r="Q28" s="15">
        <f>($K28/$J28-1)*day_count_inr/$O28</f>
        <v/>
      </c>
      <c r="R28" s="16">
        <f>$J28+($K28-$J28)*($I28-$D28)/$O28</f>
        <v/>
      </c>
      <c r="S28" s="16">
        <f>$R28-$K28</f>
        <v/>
      </c>
      <c r="T28" s="16">
        <f>$K28-$R28</f>
        <v/>
      </c>
      <c r="U28" s="16">
        <f>$T28*grid_tonnes_mt</f>
        <v/>
      </c>
      <c r="V28" s="18">
        <f>$T28*$N28*grid_tonnes_mt</f>
        <v/>
      </c>
      <c r="W28" s="16">
        <f>AVERAGEIFS(Market_Daily!$B$6:$B$256,Market_Daily!$A$6:$A$256,"&gt;="&amp;$G28,Market_Daily!$A$6:$A$256,"&lt;="&amp;$H28)</f>
        <v/>
      </c>
      <c r="X28" s="16">
        <f>$W28-$R28</f>
        <v/>
      </c>
      <c r="Y28" s="18">
        <f>($K28-$W28)*$N28*grid_tonnes_mt</f>
        <v/>
      </c>
    </row>
    <row r="29">
      <c r="A29" s="11" t="n">
        <v>44715</v>
      </c>
      <c r="B29" s="11" t="n">
        <v>44713</v>
      </c>
      <c r="C29" s="17" t="b">
        <v>1</v>
      </c>
      <c r="D29" s="12" t="n">
        <v>44715</v>
      </c>
      <c r="E29" s="12" t="n">
        <v>44805</v>
      </c>
      <c r="F29" s="6" t="inlineStr">
        <is>
          <t>2022-07</t>
        </is>
      </c>
      <c r="G29" s="12" t="n">
        <v>44743</v>
      </c>
      <c r="H29" s="12" t="n">
        <v>44773</v>
      </c>
      <c r="I29" s="12" t="n">
        <v>44760.61904761905</v>
      </c>
      <c r="J29" s="16">
        <f>INDEX(Market_Daily!$B$6:$B$256,MATCH($B29,Market_Daily!$A$6:$A$256,0))</f>
        <v/>
      </c>
      <c r="K29" s="16">
        <f>INDEX(Market_Daily!$C$6:$C$256,MATCH($B29,Market_Daily!$A$6:$A$256,0))</f>
        <v/>
      </c>
      <c r="L29" s="16">
        <f>$J29-$K29</f>
        <v/>
      </c>
      <c r="M29" s="8">
        <f>IF($L29&gt;0,"BACKWARDATION",IF($L29&lt;0,"CONTANGO","FLAT"))</f>
        <v/>
      </c>
      <c r="N29" s="16">
        <f>INDEX(Market_Daily!$F$6:$F$256,MATCH($B29,Market_Daily!$A$6:$A$256,0))</f>
        <v/>
      </c>
      <c r="O29" s="8">
        <f>$E29-$D29</f>
        <v/>
      </c>
      <c r="P29" s="16">
        <f>$K29-$J29</f>
        <v/>
      </c>
      <c r="Q29" s="15">
        <f>($K29/$J29-1)*day_count_inr/$O29</f>
        <v/>
      </c>
      <c r="R29" s="16">
        <f>$J29+($K29-$J29)*($I29-$D29)/$O29</f>
        <v/>
      </c>
      <c r="S29" s="16">
        <f>$R29-$K29</f>
        <v/>
      </c>
      <c r="T29" s="16">
        <f>$K29-$R29</f>
        <v/>
      </c>
      <c r="U29" s="16">
        <f>$T29*grid_tonnes_mt</f>
        <v/>
      </c>
      <c r="V29" s="18">
        <f>$T29*$N29*grid_tonnes_mt</f>
        <v/>
      </c>
      <c r="W29" s="16">
        <f>AVERAGEIFS(Market_Daily!$B$6:$B$256,Market_Daily!$A$6:$A$256,"&gt;="&amp;$G29,Market_Daily!$A$6:$A$256,"&lt;="&amp;$H29)</f>
        <v/>
      </c>
      <c r="X29" s="16">
        <f>$W29-$R29</f>
        <v/>
      </c>
      <c r="Y29" s="18">
        <f>($K29-$W29)*$N29*grid_tonnes_mt</f>
        <v/>
      </c>
    </row>
    <row r="30">
      <c r="A30" s="11" t="n">
        <v>44722</v>
      </c>
      <c r="B30" s="11" t="n">
        <v>44722</v>
      </c>
      <c r="C30" s="17" t="b">
        <v>1</v>
      </c>
      <c r="D30" s="12" t="n">
        <v>44726</v>
      </c>
      <c r="E30" s="12" t="n">
        <v>44816</v>
      </c>
      <c r="F30" s="6" t="inlineStr">
        <is>
          <t>2022-07</t>
        </is>
      </c>
      <c r="G30" s="12" t="n">
        <v>44743</v>
      </c>
      <c r="H30" s="12" t="n">
        <v>44773</v>
      </c>
      <c r="I30" s="12" t="n">
        <v>44760.61904761905</v>
      </c>
      <c r="J30" s="16">
        <f>INDEX(Market_Daily!$B$6:$B$256,MATCH($B30,Market_Daily!$A$6:$A$256,0))</f>
        <v/>
      </c>
      <c r="K30" s="16">
        <f>INDEX(Market_Daily!$C$6:$C$256,MATCH($B30,Market_Daily!$A$6:$A$256,0))</f>
        <v/>
      </c>
      <c r="L30" s="16">
        <f>$J30-$K30</f>
        <v/>
      </c>
      <c r="M30" s="8">
        <f>IF($L30&gt;0,"BACKWARDATION",IF($L30&lt;0,"CONTANGO","FLAT"))</f>
        <v/>
      </c>
      <c r="N30" s="16">
        <f>INDEX(Market_Daily!$F$6:$F$256,MATCH($B30,Market_Daily!$A$6:$A$256,0))</f>
        <v/>
      </c>
      <c r="O30" s="8">
        <f>$E30-$D30</f>
        <v/>
      </c>
      <c r="P30" s="16">
        <f>$K30-$J30</f>
        <v/>
      </c>
      <c r="Q30" s="15">
        <f>($K30/$J30-1)*day_count_inr/$O30</f>
        <v/>
      </c>
      <c r="R30" s="16">
        <f>$J30+($K30-$J30)*($I30-$D30)/$O30</f>
        <v/>
      </c>
      <c r="S30" s="16">
        <f>$R30-$K30</f>
        <v/>
      </c>
      <c r="T30" s="16">
        <f>$K30-$R30</f>
        <v/>
      </c>
      <c r="U30" s="16">
        <f>$T30*grid_tonnes_mt</f>
        <v/>
      </c>
      <c r="V30" s="18">
        <f>$T30*$N30*grid_tonnes_mt</f>
        <v/>
      </c>
      <c r="W30" s="16">
        <f>AVERAGEIFS(Market_Daily!$B$6:$B$256,Market_Daily!$A$6:$A$256,"&gt;="&amp;$G30,Market_Daily!$A$6:$A$256,"&lt;="&amp;$H30)</f>
        <v/>
      </c>
      <c r="X30" s="16">
        <f>$W30-$R30</f>
        <v/>
      </c>
      <c r="Y30" s="18">
        <f>($K30-$W30)*$N30*grid_tonnes_mt</f>
        <v/>
      </c>
    </row>
    <row r="31">
      <c r="A31" s="11" t="n">
        <v>44729</v>
      </c>
      <c r="B31" s="11" t="n">
        <v>44729</v>
      </c>
      <c r="C31" s="17" t="b">
        <v>1</v>
      </c>
      <c r="D31" s="12" t="n">
        <v>44733</v>
      </c>
      <c r="E31" s="12" t="n">
        <v>44823</v>
      </c>
      <c r="F31" s="6" t="inlineStr">
        <is>
          <t>2022-07</t>
        </is>
      </c>
      <c r="G31" s="12" t="n">
        <v>44743</v>
      </c>
      <c r="H31" s="12" t="n">
        <v>44773</v>
      </c>
      <c r="I31" s="12" t="n">
        <v>44760.61904761905</v>
      </c>
      <c r="J31" s="16">
        <f>INDEX(Market_Daily!$B$6:$B$256,MATCH($B31,Market_Daily!$A$6:$A$256,0))</f>
        <v/>
      </c>
      <c r="K31" s="16">
        <f>INDEX(Market_Daily!$C$6:$C$256,MATCH($B31,Market_Daily!$A$6:$A$256,0))</f>
        <v/>
      </c>
      <c r="L31" s="16">
        <f>$J31-$K31</f>
        <v/>
      </c>
      <c r="M31" s="8">
        <f>IF($L31&gt;0,"BACKWARDATION",IF($L31&lt;0,"CONTANGO","FLAT"))</f>
        <v/>
      </c>
      <c r="N31" s="16">
        <f>INDEX(Market_Daily!$F$6:$F$256,MATCH($B31,Market_Daily!$A$6:$A$256,0))</f>
        <v/>
      </c>
      <c r="O31" s="8">
        <f>$E31-$D31</f>
        <v/>
      </c>
      <c r="P31" s="16">
        <f>$K31-$J31</f>
        <v/>
      </c>
      <c r="Q31" s="15">
        <f>($K31/$J31-1)*day_count_inr/$O31</f>
        <v/>
      </c>
      <c r="R31" s="16">
        <f>$J31+($K31-$J31)*($I31-$D31)/$O31</f>
        <v/>
      </c>
      <c r="S31" s="16">
        <f>$R31-$K31</f>
        <v/>
      </c>
      <c r="T31" s="16">
        <f>$K31-$R31</f>
        <v/>
      </c>
      <c r="U31" s="16">
        <f>$T31*grid_tonnes_mt</f>
        <v/>
      </c>
      <c r="V31" s="18">
        <f>$T31*$N31*grid_tonnes_mt</f>
        <v/>
      </c>
      <c r="W31" s="16">
        <f>AVERAGEIFS(Market_Daily!$B$6:$B$256,Market_Daily!$A$6:$A$256,"&gt;="&amp;$G31,Market_Daily!$A$6:$A$256,"&lt;="&amp;$H31)</f>
        <v/>
      </c>
      <c r="X31" s="16">
        <f>$W31-$R31</f>
        <v/>
      </c>
      <c r="Y31" s="18">
        <f>($K31-$W31)*$N31*grid_tonnes_mt</f>
        <v/>
      </c>
    </row>
    <row r="32">
      <c r="A32" s="11" t="n">
        <v>44736</v>
      </c>
      <c r="B32" s="11" t="n">
        <v>44736</v>
      </c>
      <c r="C32" s="17" t="b">
        <v>1</v>
      </c>
      <c r="D32" s="12" t="n">
        <v>44740</v>
      </c>
      <c r="E32" s="12" t="n">
        <v>44830</v>
      </c>
      <c r="F32" s="6" t="inlineStr">
        <is>
          <t>2022-07</t>
        </is>
      </c>
      <c r="G32" s="12" t="n">
        <v>44743</v>
      </c>
      <c r="H32" s="12" t="n">
        <v>44773</v>
      </c>
      <c r="I32" s="12" t="n">
        <v>44760.61904761905</v>
      </c>
      <c r="J32" s="16">
        <f>INDEX(Market_Daily!$B$6:$B$256,MATCH($B32,Market_Daily!$A$6:$A$256,0))</f>
        <v/>
      </c>
      <c r="K32" s="16">
        <f>INDEX(Market_Daily!$C$6:$C$256,MATCH($B32,Market_Daily!$A$6:$A$256,0))</f>
        <v/>
      </c>
      <c r="L32" s="16">
        <f>$J32-$K32</f>
        <v/>
      </c>
      <c r="M32" s="8">
        <f>IF($L32&gt;0,"BACKWARDATION",IF($L32&lt;0,"CONTANGO","FLAT"))</f>
        <v/>
      </c>
      <c r="N32" s="16">
        <f>INDEX(Market_Daily!$F$6:$F$256,MATCH($B32,Market_Daily!$A$6:$A$256,0))</f>
        <v/>
      </c>
      <c r="O32" s="8">
        <f>$E32-$D32</f>
        <v/>
      </c>
      <c r="P32" s="16">
        <f>$K32-$J32</f>
        <v/>
      </c>
      <c r="Q32" s="15">
        <f>($K32/$J32-1)*day_count_inr/$O32</f>
        <v/>
      </c>
      <c r="R32" s="16">
        <f>$J32+($K32-$J32)*($I32-$D32)/$O32</f>
        <v/>
      </c>
      <c r="S32" s="16">
        <f>$R32-$K32</f>
        <v/>
      </c>
      <c r="T32" s="16">
        <f>$K32-$R32</f>
        <v/>
      </c>
      <c r="U32" s="16">
        <f>$T32*grid_tonnes_mt</f>
        <v/>
      </c>
      <c r="V32" s="18">
        <f>$T32*$N32*grid_tonnes_mt</f>
        <v/>
      </c>
      <c r="W32" s="16">
        <f>AVERAGEIFS(Market_Daily!$B$6:$B$256,Market_Daily!$A$6:$A$256,"&gt;="&amp;$G32,Market_Daily!$A$6:$A$256,"&lt;="&amp;$H32)</f>
        <v/>
      </c>
      <c r="X32" s="16">
        <f>$W32-$R32</f>
        <v/>
      </c>
      <c r="Y32" s="18">
        <f>($K32-$W32)*$N32*grid_tonnes_mt</f>
        <v/>
      </c>
    </row>
    <row r="33">
      <c r="A33" s="11" t="n">
        <v>44743</v>
      </c>
      <c r="B33" s="11" t="n">
        <v>44743</v>
      </c>
      <c r="C33" s="17" t="b">
        <v>1</v>
      </c>
      <c r="D33" s="12" t="n">
        <v>44747</v>
      </c>
      <c r="E33" s="12" t="n">
        <v>44837</v>
      </c>
      <c r="F33" s="6" t="inlineStr">
        <is>
          <t>2022-08</t>
        </is>
      </c>
      <c r="G33" s="12" t="n">
        <v>44774</v>
      </c>
      <c r="H33" s="12" t="n">
        <v>44804</v>
      </c>
      <c r="I33" s="12" t="n">
        <v>44791.34782608696</v>
      </c>
      <c r="J33" s="16">
        <f>INDEX(Market_Daily!$B$6:$B$256,MATCH($B33,Market_Daily!$A$6:$A$256,0))</f>
        <v/>
      </c>
      <c r="K33" s="16">
        <f>INDEX(Market_Daily!$C$6:$C$256,MATCH($B33,Market_Daily!$A$6:$A$256,0))</f>
        <v/>
      </c>
      <c r="L33" s="16">
        <f>$J33-$K33</f>
        <v/>
      </c>
      <c r="M33" s="8">
        <f>IF($L33&gt;0,"BACKWARDATION",IF($L33&lt;0,"CONTANGO","FLAT"))</f>
        <v/>
      </c>
      <c r="N33" s="16">
        <f>INDEX(Market_Daily!$F$6:$F$256,MATCH($B33,Market_Daily!$A$6:$A$256,0))</f>
        <v/>
      </c>
      <c r="O33" s="8">
        <f>$E33-$D33</f>
        <v/>
      </c>
      <c r="P33" s="16">
        <f>$K33-$J33</f>
        <v/>
      </c>
      <c r="Q33" s="15">
        <f>($K33/$J33-1)*day_count_inr/$O33</f>
        <v/>
      </c>
      <c r="R33" s="16">
        <f>$J33+($K33-$J33)*($I33-$D33)/$O33</f>
        <v/>
      </c>
      <c r="S33" s="16">
        <f>$R33-$K33</f>
        <v/>
      </c>
      <c r="T33" s="16">
        <f>$K33-$R33</f>
        <v/>
      </c>
      <c r="U33" s="16">
        <f>$T33*grid_tonnes_mt</f>
        <v/>
      </c>
      <c r="V33" s="18">
        <f>$T33*$N33*grid_tonnes_mt</f>
        <v/>
      </c>
      <c r="W33" s="16">
        <f>AVERAGEIFS(Market_Daily!$B$6:$B$256,Market_Daily!$A$6:$A$256,"&gt;="&amp;$G33,Market_Daily!$A$6:$A$256,"&lt;="&amp;$H33)</f>
        <v/>
      </c>
      <c r="X33" s="16">
        <f>$W33-$R33</f>
        <v/>
      </c>
      <c r="Y33" s="18">
        <f>($K33-$W33)*$N33*grid_tonnes_mt</f>
        <v/>
      </c>
    </row>
    <row r="34">
      <c r="A34" s="11" t="n">
        <v>44750</v>
      </c>
      <c r="B34" s="11" t="n">
        <v>44750</v>
      </c>
      <c r="C34" s="17" t="b">
        <v>1</v>
      </c>
      <c r="D34" s="12" t="n">
        <v>44754</v>
      </c>
      <c r="E34" s="12" t="n">
        <v>44844</v>
      </c>
      <c r="F34" s="6" t="inlineStr">
        <is>
          <t>2022-08</t>
        </is>
      </c>
      <c r="G34" s="12" t="n">
        <v>44774</v>
      </c>
      <c r="H34" s="12" t="n">
        <v>44804</v>
      </c>
      <c r="I34" s="12" t="n">
        <v>44791.34782608696</v>
      </c>
      <c r="J34" s="16">
        <f>INDEX(Market_Daily!$B$6:$B$256,MATCH($B34,Market_Daily!$A$6:$A$256,0))</f>
        <v/>
      </c>
      <c r="K34" s="16">
        <f>INDEX(Market_Daily!$C$6:$C$256,MATCH($B34,Market_Daily!$A$6:$A$256,0))</f>
        <v/>
      </c>
      <c r="L34" s="16">
        <f>$J34-$K34</f>
        <v/>
      </c>
      <c r="M34" s="8">
        <f>IF($L34&gt;0,"BACKWARDATION",IF($L34&lt;0,"CONTANGO","FLAT"))</f>
        <v/>
      </c>
      <c r="N34" s="16">
        <f>INDEX(Market_Daily!$F$6:$F$256,MATCH($B34,Market_Daily!$A$6:$A$256,0))</f>
        <v/>
      </c>
      <c r="O34" s="8">
        <f>$E34-$D34</f>
        <v/>
      </c>
      <c r="P34" s="16">
        <f>$K34-$J34</f>
        <v/>
      </c>
      <c r="Q34" s="15">
        <f>($K34/$J34-1)*day_count_inr/$O34</f>
        <v/>
      </c>
      <c r="R34" s="16">
        <f>$J34+($K34-$J34)*($I34-$D34)/$O34</f>
        <v/>
      </c>
      <c r="S34" s="16">
        <f>$R34-$K34</f>
        <v/>
      </c>
      <c r="T34" s="16">
        <f>$K34-$R34</f>
        <v/>
      </c>
      <c r="U34" s="16">
        <f>$T34*grid_tonnes_mt</f>
        <v/>
      </c>
      <c r="V34" s="18">
        <f>$T34*$N34*grid_tonnes_mt</f>
        <v/>
      </c>
      <c r="W34" s="16">
        <f>AVERAGEIFS(Market_Daily!$B$6:$B$256,Market_Daily!$A$6:$A$256,"&gt;="&amp;$G34,Market_Daily!$A$6:$A$256,"&lt;="&amp;$H34)</f>
        <v/>
      </c>
      <c r="X34" s="16">
        <f>$W34-$R34</f>
        <v/>
      </c>
      <c r="Y34" s="18">
        <f>($K34-$W34)*$N34*grid_tonnes_mt</f>
        <v/>
      </c>
    </row>
    <row r="35">
      <c r="A35" s="11" t="n">
        <v>44757</v>
      </c>
      <c r="B35" s="11" t="n">
        <v>44757</v>
      </c>
      <c r="C35" s="17" t="b">
        <v>1</v>
      </c>
      <c r="D35" s="12" t="n">
        <v>44761</v>
      </c>
      <c r="E35" s="12" t="n">
        <v>44851</v>
      </c>
      <c r="F35" s="6" t="inlineStr">
        <is>
          <t>2022-08</t>
        </is>
      </c>
      <c r="G35" s="12" t="n">
        <v>44774</v>
      </c>
      <c r="H35" s="12" t="n">
        <v>44804</v>
      </c>
      <c r="I35" s="12" t="n">
        <v>44791.34782608696</v>
      </c>
      <c r="J35" s="16">
        <f>INDEX(Market_Daily!$B$6:$B$256,MATCH($B35,Market_Daily!$A$6:$A$256,0))</f>
        <v/>
      </c>
      <c r="K35" s="16">
        <f>INDEX(Market_Daily!$C$6:$C$256,MATCH($B35,Market_Daily!$A$6:$A$256,0))</f>
        <v/>
      </c>
      <c r="L35" s="16">
        <f>$J35-$K35</f>
        <v/>
      </c>
      <c r="M35" s="8">
        <f>IF($L35&gt;0,"BACKWARDATION",IF($L35&lt;0,"CONTANGO","FLAT"))</f>
        <v/>
      </c>
      <c r="N35" s="16">
        <f>INDEX(Market_Daily!$F$6:$F$256,MATCH($B35,Market_Daily!$A$6:$A$256,0))</f>
        <v/>
      </c>
      <c r="O35" s="8">
        <f>$E35-$D35</f>
        <v/>
      </c>
      <c r="P35" s="16">
        <f>$K35-$J35</f>
        <v/>
      </c>
      <c r="Q35" s="15">
        <f>($K35/$J35-1)*day_count_inr/$O35</f>
        <v/>
      </c>
      <c r="R35" s="16">
        <f>$J35+($K35-$J35)*($I35-$D35)/$O35</f>
        <v/>
      </c>
      <c r="S35" s="16">
        <f>$R35-$K35</f>
        <v/>
      </c>
      <c r="T35" s="16">
        <f>$K35-$R35</f>
        <v/>
      </c>
      <c r="U35" s="16">
        <f>$T35*grid_tonnes_mt</f>
        <v/>
      </c>
      <c r="V35" s="18">
        <f>$T35*$N35*grid_tonnes_mt</f>
        <v/>
      </c>
      <c r="W35" s="16">
        <f>AVERAGEIFS(Market_Daily!$B$6:$B$256,Market_Daily!$A$6:$A$256,"&gt;="&amp;$G35,Market_Daily!$A$6:$A$256,"&lt;="&amp;$H35)</f>
        <v/>
      </c>
      <c r="X35" s="16">
        <f>$W35-$R35</f>
        <v/>
      </c>
      <c r="Y35" s="18">
        <f>($K35-$W35)*$N35*grid_tonnes_mt</f>
        <v/>
      </c>
    </row>
    <row r="36">
      <c r="A36" s="11" t="n">
        <v>44764</v>
      </c>
      <c r="B36" s="11" t="n">
        <v>44764</v>
      </c>
      <c r="C36" s="17" t="b">
        <v>1</v>
      </c>
      <c r="D36" s="12" t="n">
        <v>44768</v>
      </c>
      <c r="E36" s="12" t="n">
        <v>44858</v>
      </c>
      <c r="F36" s="6" t="inlineStr">
        <is>
          <t>2022-08</t>
        </is>
      </c>
      <c r="G36" s="12" t="n">
        <v>44774</v>
      </c>
      <c r="H36" s="12" t="n">
        <v>44804</v>
      </c>
      <c r="I36" s="12" t="n">
        <v>44791.34782608696</v>
      </c>
      <c r="J36" s="16">
        <f>INDEX(Market_Daily!$B$6:$B$256,MATCH($B36,Market_Daily!$A$6:$A$256,0))</f>
        <v/>
      </c>
      <c r="K36" s="16">
        <f>INDEX(Market_Daily!$C$6:$C$256,MATCH($B36,Market_Daily!$A$6:$A$256,0))</f>
        <v/>
      </c>
      <c r="L36" s="16">
        <f>$J36-$K36</f>
        <v/>
      </c>
      <c r="M36" s="8">
        <f>IF($L36&gt;0,"BACKWARDATION",IF($L36&lt;0,"CONTANGO","FLAT"))</f>
        <v/>
      </c>
      <c r="N36" s="16">
        <f>INDEX(Market_Daily!$F$6:$F$256,MATCH($B36,Market_Daily!$A$6:$A$256,0))</f>
        <v/>
      </c>
      <c r="O36" s="8">
        <f>$E36-$D36</f>
        <v/>
      </c>
      <c r="P36" s="16">
        <f>$K36-$J36</f>
        <v/>
      </c>
      <c r="Q36" s="15">
        <f>($K36/$J36-1)*day_count_inr/$O36</f>
        <v/>
      </c>
      <c r="R36" s="16">
        <f>$J36+($K36-$J36)*($I36-$D36)/$O36</f>
        <v/>
      </c>
      <c r="S36" s="16">
        <f>$R36-$K36</f>
        <v/>
      </c>
      <c r="T36" s="16">
        <f>$K36-$R36</f>
        <v/>
      </c>
      <c r="U36" s="16">
        <f>$T36*grid_tonnes_mt</f>
        <v/>
      </c>
      <c r="V36" s="18">
        <f>$T36*$N36*grid_tonnes_mt</f>
        <v/>
      </c>
      <c r="W36" s="16">
        <f>AVERAGEIFS(Market_Daily!$B$6:$B$256,Market_Daily!$A$6:$A$256,"&gt;="&amp;$G36,Market_Daily!$A$6:$A$256,"&lt;="&amp;$H36)</f>
        <v/>
      </c>
      <c r="X36" s="16">
        <f>$W36-$R36</f>
        <v/>
      </c>
      <c r="Y36" s="18">
        <f>($K36-$W36)*$N36*grid_tonnes_mt</f>
        <v/>
      </c>
    </row>
    <row r="37">
      <c r="A37" s="11" t="n">
        <v>44771</v>
      </c>
      <c r="B37" s="11" t="n">
        <v>44771</v>
      </c>
      <c r="C37" s="17" t="b">
        <v>1</v>
      </c>
      <c r="D37" s="12" t="n">
        <v>44775</v>
      </c>
      <c r="E37" s="12" t="n">
        <v>44865</v>
      </c>
      <c r="F37" s="6" t="inlineStr">
        <is>
          <t>2022-08</t>
        </is>
      </c>
      <c r="G37" s="12" t="n">
        <v>44774</v>
      </c>
      <c r="H37" s="12" t="n">
        <v>44804</v>
      </c>
      <c r="I37" s="12" t="n">
        <v>44791.34782608696</v>
      </c>
      <c r="J37" s="16">
        <f>INDEX(Market_Daily!$B$6:$B$256,MATCH($B37,Market_Daily!$A$6:$A$256,0))</f>
        <v/>
      </c>
      <c r="K37" s="16">
        <f>INDEX(Market_Daily!$C$6:$C$256,MATCH($B37,Market_Daily!$A$6:$A$256,0))</f>
        <v/>
      </c>
      <c r="L37" s="16">
        <f>$J37-$K37</f>
        <v/>
      </c>
      <c r="M37" s="8">
        <f>IF($L37&gt;0,"BACKWARDATION",IF($L37&lt;0,"CONTANGO","FLAT"))</f>
        <v/>
      </c>
      <c r="N37" s="16">
        <f>INDEX(Market_Daily!$F$6:$F$256,MATCH($B37,Market_Daily!$A$6:$A$256,0))</f>
        <v/>
      </c>
      <c r="O37" s="8">
        <f>$E37-$D37</f>
        <v/>
      </c>
      <c r="P37" s="16">
        <f>$K37-$J37</f>
        <v/>
      </c>
      <c r="Q37" s="15">
        <f>($K37/$J37-1)*day_count_inr/$O37</f>
        <v/>
      </c>
      <c r="R37" s="16">
        <f>$J37+($K37-$J37)*($I37-$D37)/$O37</f>
        <v/>
      </c>
      <c r="S37" s="16">
        <f>$R37-$K37</f>
        <v/>
      </c>
      <c r="T37" s="16">
        <f>$K37-$R37</f>
        <v/>
      </c>
      <c r="U37" s="16">
        <f>$T37*grid_tonnes_mt</f>
        <v/>
      </c>
      <c r="V37" s="18">
        <f>$T37*$N37*grid_tonnes_mt</f>
        <v/>
      </c>
      <c r="W37" s="16">
        <f>AVERAGEIFS(Market_Daily!$B$6:$B$256,Market_Daily!$A$6:$A$256,"&gt;="&amp;$G37,Market_Daily!$A$6:$A$256,"&lt;="&amp;$H37)</f>
        <v/>
      </c>
      <c r="X37" s="16">
        <f>$W37-$R37</f>
        <v/>
      </c>
      <c r="Y37" s="18">
        <f>($K37-$W37)*$N37*grid_tonnes_mt</f>
        <v/>
      </c>
    </row>
    <row r="38">
      <c r="A38" s="11" t="n">
        <v>44778</v>
      </c>
      <c r="B38" s="11" t="n">
        <v>44778</v>
      </c>
      <c r="C38" s="17" t="b">
        <v>1</v>
      </c>
      <c r="D38" s="12" t="n">
        <v>44782</v>
      </c>
      <c r="E38" s="12" t="n">
        <v>44872</v>
      </c>
      <c r="F38" s="6" t="inlineStr">
        <is>
          <t>2022-09</t>
        </is>
      </c>
      <c r="G38" s="12" t="n">
        <v>44805</v>
      </c>
      <c r="H38" s="12" t="n">
        <v>44834</v>
      </c>
      <c r="I38" s="12" t="n">
        <v>44822.95454545454</v>
      </c>
      <c r="J38" s="16">
        <f>INDEX(Market_Daily!$B$6:$B$256,MATCH($B38,Market_Daily!$A$6:$A$256,0))</f>
        <v/>
      </c>
      <c r="K38" s="16">
        <f>INDEX(Market_Daily!$C$6:$C$256,MATCH($B38,Market_Daily!$A$6:$A$256,0))</f>
        <v/>
      </c>
      <c r="L38" s="16">
        <f>$J38-$K38</f>
        <v/>
      </c>
      <c r="M38" s="8">
        <f>IF($L38&gt;0,"BACKWARDATION",IF($L38&lt;0,"CONTANGO","FLAT"))</f>
        <v/>
      </c>
      <c r="N38" s="16">
        <f>INDEX(Market_Daily!$F$6:$F$256,MATCH($B38,Market_Daily!$A$6:$A$256,0))</f>
        <v/>
      </c>
      <c r="O38" s="8">
        <f>$E38-$D38</f>
        <v/>
      </c>
      <c r="P38" s="16">
        <f>$K38-$J38</f>
        <v/>
      </c>
      <c r="Q38" s="15">
        <f>($K38/$J38-1)*day_count_inr/$O38</f>
        <v/>
      </c>
      <c r="R38" s="16">
        <f>$J38+($K38-$J38)*($I38-$D38)/$O38</f>
        <v/>
      </c>
      <c r="S38" s="16">
        <f>$R38-$K38</f>
        <v/>
      </c>
      <c r="T38" s="16">
        <f>$K38-$R38</f>
        <v/>
      </c>
      <c r="U38" s="16">
        <f>$T38*grid_tonnes_mt</f>
        <v/>
      </c>
      <c r="V38" s="18">
        <f>$T38*$N38*grid_tonnes_mt</f>
        <v/>
      </c>
      <c r="W38" s="16">
        <f>AVERAGEIFS(Market_Daily!$B$6:$B$256,Market_Daily!$A$6:$A$256,"&gt;="&amp;$G38,Market_Daily!$A$6:$A$256,"&lt;="&amp;$H38)</f>
        <v/>
      </c>
      <c r="X38" s="16">
        <f>$W38-$R38</f>
        <v/>
      </c>
      <c r="Y38" s="18">
        <f>($K38-$W38)*$N38*grid_tonnes_mt</f>
        <v/>
      </c>
    </row>
    <row r="39">
      <c r="A39" s="11" t="n">
        <v>44785</v>
      </c>
      <c r="B39" s="11" t="n">
        <v>44785</v>
      </c>
      <c r="C39" s="17" t="b">
        <v>1</v>
      </c>
      <c r="D39" s="12" t="n">
        <v>44789</v>
      </c>
      <c r="E39" s="12" t="n">
        <v>44879</v>
      </c>
      <c r="F39" s="6" t="inlineStr">
        <is>
          <t>2022-09</t>
        </is>
      </c>
      <c r="G39" s="12" t="n">
        <v>44805</v>
      </c>
      <c r="H39" s="12" t="n">
        <v>44834</v>
      </c>
      <c r="I39" s="12" t="n">
        <v>44822.95454545454</v>
      </c>
      <c r="J39" s="16">
        <f>INDEX(Market_Daily!$B$6:$B$256,MATCH($B39,Market_Daily!$A$6:$A$256,0))</f>
        <v/>
      </c>
      <c r="K39" s="16">
        <f>INDEX(Market_Daily!$C$6:$C$256,MATCH($B39,Market_Daily!$A$6:$A$256,0))</f>
        <v/>
      </c>
      <c r="L39" s="16">
        <f>$J39-$K39</f>
        <v/>
      </c>
      <c r="M39" s="8">
        <f>IF($L39&gt;0,"BACKWARDATION",IF($L39&lt;0,"CONTANGO","FLAT"))</f>
        <v/>
      </c>
      <c r="N39" s="16">
        <f>INDEX(Market_Daily!$F$6:$F$256,MATCH($B39,Market_Daily!$A$6:$A$256,0))</f>
        <v/>
      </c>
      <c r="O39" s="8">
        <f>$E39-$D39</f>
        <v/>
      </c>
      <c r="P39" s="16">
        <f>$K39-$J39</f>
        <v/>
      </c>
      <c r="Q39" s="15">
        <f>($K39/$J39-1)*day_count_inr/$O39</f>
        <v/>
      </c>
      <c r="R39" s="16">
        <f>$J39+($K39-$J39)*($I39-$D39)/$O39</f>
        <v/>
      </c>
      <c r="S39" s="16">
        <f>$R39-$K39</f>
        <v/>
      </c>
      <c r="T39" s="16">
        <f>$K39-$R39</f>
        <v/>
      </c>
      <c r="U39" s="16">
        <f>$T39*grid_tonnes_mt</f>
        <v/>
      </c>
      <c r="V39" s="18">
        <f>$T39*$N39*grid_tonnes_mt</f>
        <v/>
      </c>
      <c r="W39" s="16">
        <f>AVERAGEIFS(Market_Daily!$B$6:$B$256,Market_Daily!$A$6:$A$256,"&gt;="&amp;$G39,Market_Daily!$A$6:$A$256,"&lt;="&amp;$H39)</f>
        <v/>
      </c>
      <c r="X39" s="16">
        <f>$W39-$R39</f>
        <v/>
      </c>
      <c r="Y39" s="18">
        <f>($K39-$W39)*$N39*grid_tonnes_mt</f>
        <v/>
      </c>
    </row>
    <row r="40">
      <c r="A40" s="11" t="n">
        <v>44792</v>
      </c>
      <c r="B40" s="11" t="n">
        <v>44792</v>
      </c>
      <c r="C40" s="17" t="b">
        <v>1</v>
      </c>
      <c r="D40" s="12" t="n">
        <v>44796</v>
      </c>
      <c r="E40" s="12" t="n">
        <v>44886</v>
      </c>
      <c r="F40" s="6" t="inlineStr">
        <is>
          <t>2022-09</t>
        </is>
      </c>
      <c r="G40" s="12" t="n">
        <v>44805</v>
      </c>
      <c r="H40" s="12" t="n">
        <v>44834</v>
      </c>
      <c r="I40" s="12" t="n">
        <v>44822.95454545454</v>
      </c>
      <c r="J40" s="16">
        <f>INDEX(Market_Daily!$B$6:$B$256,MATCH($B40,Market_Daily!$A$6:$A$256,0))</f>
        <v/>
      </c>
      <c r="K40" s="16">
        <f>INDEX(Market_Daily!$C$6:$C$256,MATCH($B40,Market_Daily!$A$6:$A$256,0))</f>
        <v/>
      </c>
      <c r="L40" s="16">
        <f>$J40-$K40</f>
        <v/>
      </c>
      <c r="M40" s="8">
        <f>IF($L40&gt;0,"BACKWARDATION",IF($L40&lt;0,"CONTANGO","FLAT"))</f>
        <v/>
      </c>
      <c r="N40" s="16">
        <f>INDEX(Market_Daily!$F$6:$F$256,MATCH($B40,Market_Daily!$A$6:$A$256,0))</f>
        <v/>
      </c>
      <c r="O40" s="8">
        <f>$E40-$D40</f>
        <v/>
      </c>
      <c r="P40" s="16">
        <f>$K40-$J40</f>
        <v/>
      </c>
      <c r="Q40" s="15">
        <f>($K40/$J40-1)*day_count_inr/$O40</f>
        <v/>
      </c>
      <c r="R40" s="16">
        <f>$J40+($K40-$J40)*($I40-$D40)/$O40</f>
        <v/>
      </c>
      <c r="S40" s="16">
        <f>$R40-$K40</f>
        <v/>
      </c>
      <c r="T40" s="16">
        <f>$K40-$R40</f>
        <v/>
      </c>
      <c r="U40" s="16">
        <f>$T40*grid_tonnes_mt</f>
        <v/>
      </c>
      <c r="V40" s="18">
        <f>$T40*$N40*grid_tonnes_mt</f>
        <v/>
      </c>
      <c r="W40" s="16">
        <f>AVERAGEIFS(Market_Daily!$B$6:$B$256,Market_Daily!$A$6:$A$256,"&gt;="&amp;$G40,Market_Daily!$A$6:$A$256,"&lt;="&amp;$H40)</f>
        <v/>
      </c>
      <c r="X40" s="16">
        <f>$W40-$R40</f>
        <v/>
      </c>
      <c r="Y40" s="18">
        <f>($K40-$W40)*$N40*grid_tonnes_mt</f>
        <v/>
      </c>
    </row>
    <row r="41">
      <c r="A41" s="11" t="n">
        <v>44799</v>
      </c>
      <c r="B41" s="11" t="n">
        <v>44799</v>
      </c>
      <c r="C41" s="17" t="b">
        <v>1</v>
      </c>
      <c r="D41" s="12" t="n">
        <v>44803</v>
      </c>
      <c r="E41" s="12" t="n">
        <v>44893</v>
      </c>
      <c r="F41" s="6" t="inlineStr">
        <is>
          <t>2022-09</t>
        </is>
      </c>
      <c r="G41" s="12" t="n">
        <v>44805</v>
      </c>
      <c r="H41" s="12" t="n">
        <v>44834</v>
      </c>
      <c r="I41" s="12" t="n">
        <v>44822.95454545454</v>
      </c>
      <c r="J41" s="16">
        <f>INDEX(Market_Daily!$B$6:$B$256,MATCH($B41,Market_Daily!$A$6:$A$256,0))</f>
        <v/>
      </c>
      <c r="K41" s="16">
        <f>INDEX(Market_Daily!$C$6:$C$256,MATCH($B41,Market_Daily!$A$6:$A$256,0))</f>
        <v/>
      </c>
      <c r="L41" s="16">
        <f>$J41-$K41</f>
        <v/>
      </c>
      <c r="M41" s="8">
        <f>IF($L41&gt;0,"BACKWARDATION",IF($L41&lt;0,"CONTANGO","FLAT"))</f>
        <v/>
      </c>
      <c r="N41" s="16">
        <f>INDEX(Market_Daily!$F$6:$F$256,MATCH($B41,Market_Daily!$A$6:$A$256,0))</f>
        <v/>
      </c>
      <c r="O41" s="8">
        <f>$E41-$D41</f>
        <v/>
      </c>
      <c r="P41" s="16">
        <f>$K41-$J41</f>
        <v/>
      </c>
      <c r="Q41" s="15">
        <f>($K41/$J41-1)*day_count_inr/$O41</f>
        <v/>
      </c>
      <c r="R41" s="16">
        <f>$J41+($K41-$J41)*($I41-$D41)/$O41</f>
        <v/>
      </c>
      <c r="S41" s="16">
        <f>$R41-$K41</f>
        <v/>
      </c>
      <c r="T41" s="16">
        <f>$K41-$R41</f>
        <v/>
      </c>
      <c r="U41" s="16">
        <f>$T41*grid_tonnes_mt</f>
        <v/>
      </c>
      <c r="V41" s="18">
        <f>$T41*$N41*grid_tonnes_mt</f>
        <v/>
      </c>
      <c r="W41" s="16">
        <f>AVERAGEIFS(Market_Daily!$B$6:$B$256,Market_Daily!$A$6:$A$256,"&gt;="&amp;$G41,Market_Daily!$A$6:$A$256,"&lt;="&amp;$H41)</f>
        <v/>
      </c>
      <c r="X41" s="16">
        <f>$W41-$R41</f>
        <v/>
      </c>
      <c r="Y41" s="18">
        <f>($K41-$W41)*$N41*grid_tonnes_mt</f>
        <v/>
      </c>
    </row>
    <row r="42">
      <c r="A42" s="11" t="n">
        <v>44806</v>
      </c>
      <c r="B42" s="11" t="n">
        <v>44806</v>
      </c>
      <c r="C42" s="17" t="b">
        <v>1</v>
      </c>
      <c r="D42" s="12" t="n">
        <v>44810</v>
      </c>
      <c r="E42" s="12" t="n">
        <v>44897</v>
      </c>
      <c r="F42" s="6" t="inlineStr">
        <is>
          <t>2022-10</t>
        </is>
      </c>
      <c r="G42" s="12" t="n">
        <v>44835</v>
      </c>
      <c r="H42" s="12" t="n">
        <v>44865</v>
      </c>
      <c r="I42" s="12" t="n">
        <v>44853</v>
      </c>
      <c r="J42" s="16">
        <f>INDEX(Market_Daily!$B$6:$B$256,MATCH($B42,Market_Daily!$A$6:$A$256,0))</f>
        <v/>
      </c>
      <c r="K42" s="16">
        <f>INDEX(Market_Daily!$C$6:$C$256,MATCH($B42,Market_Daily!$A$6:$A$256,0))</f>
        <v/>
      </c>
      <c r="L42" s="16">
        <f>$J42-$K42</f>
        <v/>
      </c>
      <c r="M42" s="8">
        <f>IF($L42&gt;0,"BACKWARDATION",IF($L42&lt;0,"CONTANGO","FLAT"))</f>
        <v/>
      </c>
      <c r="N42" s="16">
        <f>INDEX(Market_Daily!$F$6:$F$256,MATCH($B42,Market_Daily!$A$6:$A$256,0))</f>
        <v/>
      </c>
      <c r="O42" s="8">
        <f>$E42-$D42</f>
        <v/>
      </c>
      <c r="P42" s="16">
        <f>$K42-$J42</f>
        <v/>
      </c>
      <c r="Q42" s="15">
        <f>($K42/$J42-1)*day_count_inr/$O42</f>
        <v/>
      </c>
      <c r="R42" s="16">
        <f>$J42+($K42-$J42)*($I42-$D42)/$O42</f>
        <v/>
      </c>
      <c r="S42" s="16">
        <f>$R42-$K42</f>
        <v/>
      </c>
      <c r="T42" s="16">
        <f>$K42-$R42</f>
        <v/>
      </c>
      <c r="U42" s="16">
        <f>$T42*grid_tonnes_mt</f>
        <v/>
      </c>
      <c r="V42" s="18">
        <f>$T42*$N42*grid_tonnes_mt</f>
        <v/>
      </c>
      <c r="W42" s="16">
        <f>AVERAGEIFS(Market_Daily!$B$6:$B$256,Market_Daily!$A$6:$A$256,"&gt;="&amp;$G42,Market_Daily!$A$6:$A$256,"&lt;="&amp;$H42)</f>
        <v/>
      </c>
      <c r="X42" s="16">
        <f>$W42-$R42</f>
        <v/>
      </c>
      <c r="Y42" s="18">
        <f>($K42-$W42)*$N42*grid_tonnes_mt</f>
        <v/>
      </c>
    </row>
    <row r="43">
      <c r="A43" s="11" t="n">
        <v>44813</v>
      </c>
      <c r="B43" s="11" t="n">
        <v>44813</v>
      </c>
      <c r="C43" s="17" t="b">
        <v>0</v>
      </c>
      <c r="D43" s="12" t="n">
        <v>44817</v>
      </c>
      <c r="E43" s="12" t="n">
        <v>44904</v>
      </c>
      <c r="F43" s="6" t="inlineStr">
        <is>
          <t>2022-10</t>
        </is>
      </c>
      <c r="G43" s="12" t="n">
        <v>44835</v>
      </c>
      <c r="H43" s="12" t="n">
        <v>44865</v>
      </c>
      <c r="I43" s="12" t="n">
        <v>44853</v>
      </c>
      <c r="J43" s="16">
        <f>INDEX(Market_Daily!$B$6:$B$256,MATCH($B43,Market_Daily!$A$6:$A$256,0))</f>
        <v/>
      </c>
      <c r="K43" s="16">
        <f>INDEX(Market_Daily!$C$6:$C$256,MATCH($B43,Market_Daily!$A$6:$A$256,0))</f>
        <v/>
      </c>
      <c r="L43" s="16">
        <f>$J43-$K43</f>
        <v/>
      </c>
      <c r="M43" s="8">
        <f>IF($L43&gt;0,"BACKWARDATION",IF($L43&lt;0,"CONTANGO","FLAT"))</f>
        <v/>
      </c>
      <c r="N43" s="16">
        <f>INDEX(Market_Daily!$F$6:$F$256,MATCH($B43,Market_Daily!$A$6:$A$256,0))</f>
        <v/>
      </c>
      <c r="O43" s="8">
        <f>$E43-$D43</f>
        <v/>
      </c>
      <c r="P43" s="16">
        <f>$K43-$J43</f>
        <v/>
      </c>
      <c r="Q43" s="15">
        <f>($K43/$J43-1)*day_count_inr/$O43</f>
        <v/>
      </c>
      <c r="R43" s="16">
        <f>$J43+($K43-$J43)*($I43-$D43)/$O43</f>
        <v/>
      </c>
      <c r="S43" s="16">
        <f>$R43-$K43</f>
        <v/>
      </c>
      <c r="T43" s="16">
        <f>$K43-$R43</f>
        <v/>
      </c>
      <c r="U43" s="16">
        <f>$T43*grid_tonnes_mt</f>
        <v/>
      </c>
      <c r="V43" s="18">
        <f>$T43*$N43*grid_tonnes_mt</f>
        <v/>
      </c>
      <c r="W43" s="16">
        <f>AVERAGEIFS(Market_Daily!$B$6:$B$256,Market_Daily!$A$6:$A$256,"&gt;="&amp;$G43,Market_Daily!$A$6:$A$256,"&lt;="&amp;$H43)</f>
        <v/>
      </c>
      <c r="X43" s="16">
        <f>$W43-$R43</f>
        <v/>
      </c>
      <c r="Y43" s="18">
        <f>($K43-$W43)*$N43*grid_tonnes_mt</f>
        <v/>
      </c>
    </row>
    <row r="44">
      <c r="A44" s="11" t="n">
        <v>44820</v>
      </c>
      <c r="B44" s="11" t="n">
        <v>44820</v>
      </c>
      <c r="C44" s="17" t="b">
        <v>0</v>
      </c>
      <c r="D44" s="12" t="n">
        <v>44824</v>
      </c>
      <c r="E44" s="12" t="n">
        <v>44911</v>
      </c>
      <c r="F44" s="6" t="inlineStr">
        <is>
          <t>2022-10</t>
        </is>
      </c>
      <c r="G44" s="12" t="n">
        <v>44835</v>
      </c>
      <c r="H44" s="12" t="n">
        <v>44865</v>
      </c>
      <c r="I44" s="12" t="n">
        <v>44853</v>
      </c>
      <c r="J44" s="16">
        <f>INDEX(Market_Daily!$B$6:$B$256,MATCH($B44,Market_Daily!$A$6:$A$256,0))</f>
        <v/>
      </c>
      <c r="K44" s="16">
        <f>INDEX(Market_Daily!$C$6:$C$256,MATCH($B44,Market_Daily!$A$6:$A$256,0))</f>
        <v/>
      </c>
      <c r="L44" s="16">
        <f>$J44-$K44</f>
        <v/>
      </c>
      <c r="M44" s="8">
        <f>IF($L44&gt;0,"BACKWARDATION",IF($L44&lt;0,"CONTANGO","FLAT"))</f>
        <v/>
      </c>
      <c r="N44" s="16">
        <f>INDEX(Market_Daily!$F$6:$F$256,MATCH($B44,Market_Daily!$A$6:$A$256,0))</f>
        <v/>
      </c>
      <c r="O44" s="8">
        <f>$E44-$D44</f>
        <v/>
      </c>
      <c r="P44" s="16">
        <f>$K44-$J44</f>
        <v/>
      </c>
      <c r="Q44" s="15">
        <f>($K44/$J44-1)*day_count_inr/$O44</f>
        <v/>
      </c>
      <c r="R44" s="16">
        <f>$J44+($K44-$J44)*($I44-$D44)/$O44</f>
        <v/>
      </c>
      <c r="S44" s="16">
        <f>$R44-$K44</f>
        <v/>
      </c>
      <c r="T44" s="16">
        <f>$K44-$R44</f>
        <v/>
      </c>
      <c r="U44" s="16">
        <f>$T44*grid_tonnes_mt</f>
        <v/>
      </c>
      <c r="V44" s="18">
        <f>$T44*$N44*grid_tonnes_mt</f>
        <v/>
      </c>
      <c r="W44" s="16">
        <f>AVERAGEIFS(Market_Daily!$B$6:$B$256,Market_Daily!$A$6:$A$256,"&gt;="&amp;$G44,Market_Daily!$A$6:$A$256,"&lt;="&amp;$H44)</f>
        <v/>
      </c>
      <c r="X44" s="16">
        <f>$W44-$R44</f>
        <v/>
      </c>
      <c r="Y44" s="18">
        <f>($K44-$W44)*$N44*grid_tonnes_mt</f>
        <v/>
      </c>
    </row>
    <row r="45">
      <c r="A45" s="11" t="n">
        <v>44827</v>
      </c>
      <c r="B45" s="11" t="n">
        <v>44827</v>
      </c>
      <c r="C45" s="17" t="b">
        <v>0</v>
      </c>
      <c r="D45" s="12" t="n">
        <v>44831</v>
      </c>
      <c r="E45" s="12" t="n">
        <v>44918</v>
      </c>
      <c r="F45" s="6" t="inlineStr">
        <is>
          <t>2022-10</t>
        </is>
      </c>
      <c r="G45" s="12" t="n">
        <v>44835</v>
      </c>
      <c r="H45" s="12" t="n">
        <v>44865</v>
      </c>
      <c r="I45" s="12" t="n">
        <v>44853</v>
      </c>
      <c r="J45" s="16">
        <f>INDEX(Market_Daily!$B$6:$B$256,MATCH($B45,Market_Daily!$A$6:$A$256,0))</f>
        <v/>
      </c>
      <c r="K45" s="16">
        <f>INDEX(Market_Daily!$C$6:$C$256,MATCH($B45,Market_Daily!$A$6:$A$256,0))</f>
        <v/>
      </c>
      <c r="L45" s="16">
        <f>$J45-$K45</f>
        <v/>
      </c>
      <c r="M45" s="8">
        <f>IF($L45&gt;0,"BACKWARDATION",IF($L45&lt;0,"CONTANGO","FLAT"))</f>
        <v/>
      </c>
      <c r="N45" s="16">
        <f>INDEX(Market_Daily!$F$6:$F$256,MATCH($B45,Market_Daily!$A$6:$A$256,0))</f>
        <v/>
      </c>
      <c r="O45" s="8">
        <f>$E45-$D45</f>
        <v/>
      </c>
      <c r="P45" s="16">
        <f>$K45-$J45</f>
        <v/>
      </c>
      <c r="Q45" s="15">
        <f>($K45/$J45-1)*day_count_inr/$O45</f>
        <v/>
      </c>
      <c r="R45" s="16">
        <f>$J45+($K45-$J45)*($I45-$D45)/$O45</f>
        <v/>
      </c>
      <c r="S45" s="16">
        <f>$R45-$K45</f>
        <v/>
      </c>
      <c r="T45" s="16">
        <f>$K45-$R45</f>
        <v/>
      </c>
      <c r="U45" s="16">
        <f>$T45*grid_tonnes_mt</f>
        <v/>
      </c>
      <c r="V45" s="18">
        <f>$T45*$N45*grid_tonnes_mt</f>
        <v/>
      </c>
      <c r="W45" s="16">
        <f>AVERAGEIFS(Market_Daily!$B$6:$B$256,Market_Daily!$A$6:$A$256,"&gt;="&amp;$G45,Market_Daily!$A$6:$A$256,"&lt;="&amp;$H45)</f>
        <v/>
      </c>
      <c r="X45" s="16">
        <f>$W45-$R45</f>
        <v/>
      </c>
      <c r="Y45" s="18">
        <f>($K45-$W45)*$N45*grid_tonnes_mt</f>
        <v/>
      </c>
    </row>
    <row r="46">
      <c r="A46" s="11" t="n">
        <v>44834</v>
      </c>
      <c r="B46" s="11" t="n">
        <v>44834</v>
      </c>
      <c r="C46" s="17" t="b">
        <v>0</v>
      </c>
      <c r="D46" s="12" t="n">
        <v>44838</v>
      </c>
      <c r="E46" s="12" t="n">
        <v>44925</v>
      </c>
      <c r="F46" s="6" t="inlineStr">
        <is>
          <t>2022-10</t>
        </is>
      </c>
      <c r="G46" s="12" t="n">
        <v>44835</v>
      </c>
      <c r="H46" s="12" t="n">
        <v>44865</v>
      </c>
      <c r="I46" s="12" t="n">
        <v>44853</v>
      </c>
      <c r="J46" s="16">
        <f>INDEX(Market_Daily!$B$6:$B$256,MATCH($B46,Market_Daily!$A$6:$A$256,0))</f>
        <v/>
      </c>
      <c r="K46" s="16">
        <f>INDEX(Market_Daily!$C$6:$C$256,MATCH($B46,Market_Daily!$A$6:$A$256,0))</f>
        <v/>
      </c>
      <c r="L46" s="16">
        <f>$J46-$K46</f>
        <v/>
      </c>
      <c r="M46" s="8">
        <f>IF($L46&gt;0,"BACKWARDATION",IF($L46&lt;0,"CONTANGO","FLAT"))</f>
        <v/>
      </c>
      <c r="N46" s="16">
        <f>INDEX(Market_Daily!$F$6:$F$256,MATCH($B46,Market_Daily!$A$6:$A$256,0))</f>
        <v/>
      </c>
      <c r="O46" s="8">
        <f>$E46-$D46</f>
        <v/>
      </c>
      <c r="P46" s="16">
        <f>$K46-$J46</f>
        <v/>
      </c>
      <c r="Q46" s="15">
        <f>($K46/$J46-1)*day_count_inr/$O46</f>
        <v/>
      </c>
      <c r="R46" s="16">
        <f>$J46+($K46-$J46)*($I46-$D46)/$O46</f>
        <v/>
      </c>
      <c r="S46" s="16">
        <f>$R46-$K46</f>
        <v/>
      </c>
      <c r="T46" s="16">
        <f>$K46-$R46</f>
        <v/>
      </c>
      <c r="U46" s="16">
        <f>$T46*grid_tonnes_mt</f>
        <v/>
      </c>
      <c r="V46" s="18">
        <f>$T46*$N46*grid_tonnes_mt</f>
        <v/>
      </c>
      <c r="W46" s="16">
        <f>AVERAGEIFS(Market_Daily!$B$6:$B$256,Market_Daily!$A$6:$A$256,"&gt;="&amp;$G46,Market_Daily!$A$6:$A$256,"&lt;="&amp;$H46)</f>
        <v/>
      </c>
      <c r="X46" s="16">
        <f>$W46-$R46</f>
        <v/>
      </c>
      <c r="Y46" s="18">
        <f>($K46-$W46)*$N46*grid_tonnes_mt</f>
        <v/>
      </c>
    </row>
    <row r="47">
      <c r="A47" s="11" t="n">
        <v>44841</v>
      </c>
      <c r="B47" s="11" t="n">
        <v>44841</v>
      </c>
      <c r="C47" s="17" t="b">
        <v>0</v>
      </c>
      <c r="D47" s="12" t="n">
        <v>44845</v>
      </c>
      <c r="E47" s="12" t="n">
        <v>44935</v>
      </c>
      <c r="F47" s="6" t="inlineStr">
        <is>
          <t>2022-11</t>
        </is>
      </c>
      <c r="G47" s="12" t="n">
        <v>44866</v>
      </c>
      <c r="H47" s="12" t="n">
        <v>44895</v>
      </c>
      <c r="I47" s="12" t="n">
        <v>44883.04545454546</v>
      </c>
      <c r="J47" s="16">
        <f>INDEX(Market_Daily!$B$6:$B$256,MATCH($B47,Market_Daily!$A$6:$A$256,0))</f>
        <v/>
      </c>
      <c r="K47" s="16">
        <f>INDEX(Market_Daily!$C$6:$C$256,MATCH($B47,Market_Daily!$A$6:$A$256,0))</f>
        <v/>
      </c>
      <c r="L47" s="16">
        <f>$J47-$K47</f>
        <v/>
      </c>
      <c r="M47" s="8">
        <f>IF($L47&gt;0,"BACKWARDATION",IF($L47&lt;0,"CONTANGO","FLAT"))</f>
        <v/>
      </c>
      <c r="N47" s="16">
        <f>INDEX(Market_Daily!$F$6:$F$256,MATCH($B47,Market_Daily!$A$6:$A$256,0))</f>
        <v/>
      </c>
      <c r="O47" s="8">
        <f>$E47-$D47</f>
        <v/>
      </c>
      <c r="P47" s="16">
        <f>$K47-$J47</f>
        <v/>
      </c>
      <c r="Q47" s="15">
        <f>($K47/$J47-1)*day_count_inr/$O47</f>
        <v/>
      </c>
      <c r="R47" s="16">
        <f>$J47+($K47-$J47)*($I47-$D47)/$O47</f>
        <v/>
      </c>
      <c r="S47" s="16">
        <f>$R47-$K47</f>
        <v/>
      </c>
      <c r="T47" s="16">
        <f>$K47-$R47</f>
        <v/>
      </c>
      <c r="U47" s="16">
        <f>$T47*grid_tonnes_mt</f>
        <v/>
      </c>
      <c r="V47" s="18">
        <f>$T47*$N47*grid_tonnes_mt</f>
        <v/>
      </c>
      <c r="W47" s="16">
        <f>AVERAGEIFS(Market_Daily!$B$6:$B$256,Market_Daily!$A$6:$A$256,"&gt;="&amp;$G47,Market_Daily!$A$6:$A$256,"&lt;="&amp;$H47)</f>
        <v/>
      </c>
      <c r="X47" s="16">
        <f>$W47-$R47</f>
        <v/>
      </c>
      <c r="Y47" s="18">
        <f>($K47-$W47)*$N47*grid_tonnes_mt</f>
        <v/>
      </c>
    </row>
    <row r="48">
      <c r="A48" s="11" t="n">
        <v>44848</v>
      </c>
      <c r="B48" s="11" t="n">
        <v>44848</v>
      </c>
      <c r="C48" s="17" t="b">
        <v>0</v>
      </c>
      <c r="D48" s="12" t="n">
        <v>44852</v>
      </c>
      <c r="E48" s="12" t="n">
        <v>44942</v>
      </c>
      <c r="F48" s="6" t="inlineStr">
        <is>
          <t>2022-11</t>
        </is>
      </c>
      <c r="G48" s="12" t="n">
        <v>44866</v>
      </c>
      <c r="H48" s="12" t="n">
        <v>44895</v>
      </c>
      <c r="I48" s="12" t="n">
        <v>44883.04545454546</v>
      </c>
      <c r="J48" s="16">
        <f>INDEX(Market_Daily!$B$6:$B$256,MATCH($B48,Market_Daily!$A$6:$A$256,0))</f>
        <v/>
      </c>
      <c r="K48" s="16">
        <f>INDEX(Market_Daily!$C$6:$C$256,MATCH($B48,Market_Daily!$A$6:$A$256,0))</f>
        <v/>
      </c>
      <c r="L48" s="16">
        <f>$J48-$K48</f>
        <v/>
      </c>
      <c r="M48" s="8">
        <f>IF($L48&gt;0,"BACKWARDATION",IF($L48&lt;0,"CONTANGO","FLAT"))</f>
        <v/>
      </c>
      <c r="N48" s="16">
        <f>INDEX(Market_Daily!$F$6:$F$256,MATCH($B48,Market_Daily!$A$6:$A$256,0))</f>
        <v/>
      </c>
      <c r="O48" s="8">
        <f>$E48-$D48</f>
        <v/>
      </c>
      <c r="P48" s="16">
        <f>$K48-$J48</f>
        <v/>
      </c>
      <c r="Q48" s="15">
        <f>($K48/$J48-1)*day_count_inr/$O48</f>
        <v/>
      </c>
      <c r="R48" s="16">
        <f>$J48+($K48-$J48)*($I48-$D48)/$O48</f>
        <v/>
      </c>
      <c r="S48" s="16">
        <f>$R48-$K48</f>
        <v/>
      </c>
      <c r="T48" s="16">
        <f>$K48-$R48</f>
        <v/>
      </c>
      <c r="U48" s="16">
        <f>$T48*grid_tonnes_mt</f>
        <v/>
      </c>
      <c r="V48" s="18">
        <f>$T48*$N48*grid_tonnes_mt</f>
        <v/>
      </c>
      <c r="W48" s="16">
        <f>AVERAGEIFS(Market_Daily!$B$6:$B$256,Market_Daily!$A$6:$A$256,"&gt;="&amp;$G48,Market_Daily!$A$6:$A$256,"&lt;="&amp;$H48)</f>
        <v/>
      </c>
      <c r="X48" s="16">
        <f>$W48-$R48</f>
        <v/>
      </c>
      <c r="Y48" s="18">
        <f>($K48-$W48)*$N48*grid_tonnes_mt</f>
        <v/>
      </c>
    </row>
    <row r="49">
      <c r="A49" s="11" t="n">
        <v>44855</v>
      </c>
      <c r="B49" s="11" t="n">
        <v>44855</v>
      </c>
      <c r="C49" s="17" t="b">
        <v>0</v>
      </c>
      <c r="D49" s="12" t="n">
        <v>44859</v>
      </c>
      <c r="E49" s="12" t="n">
        <v>44949</v>
      </c>
      <c r="F49" s="6" t="inlineStr">
        <is>
          <t>2022-11</t>
        </is>
      </c>
      <c r="G49" s="12" t="n">
        <v>44866</v>
      </c>
      <c r="H49" s="12" t="n">
        <v>44895</v>
      </c>
      <c r="I49" s="12" t="n">
        <v>44883.04545454546</v>
      </c>
      <c r="J49" s="16">
        <f>INDEX(Market_Daily!$B$6:$B$256,MATCH($B49,Market_Daily!$A$6:$A$256,0))</f>
        <v/>
      </c>
      <c r="K49" s="16">
        <f>INDEX(Market_Daily!$C$6:$C$256,MATCH($B49,Market_Daily!$A$6:$A$256,0))</f>
        <v/>
      </c>
      <c r="L49" s="16">
        <f>$J49-$K49</f>
        <v/>
      </c>
      <c r="M49" s="8">
        <f>IF($L49&gt;0,"BACKWARDATION",IF($L49&lt;0,"CONTANGO","FLAT"))</f>
        <v/>
      </c>
      <c r="N49" s="16">
        <f>INDEX(Market_Daily!$F$6:$F$256,MATCH($B49,Market_Daily!$A$6:$A$256,0))</f>
        <v/>
      </c>
      <c r="O49" s="8">
        <f>$E49-$D49</f>
        <v/>
      </c>
      <c r="P49" s="16">
        <f>$K49-$J49</f>
        <v/>
      </c>
      <c r="Q49" s="15">
        <f>($K49/$J49-1)*day_count_inr/$O49</f>
        <v/>
      </c>
      <c r="R49" s="16">
        <f>$J49+($K49-$J49)*($I49-$D49)/$O49</f>
        <v/>
      </c>
      <c r="S49" s="16">
        <f>$R49-$K49</f>
        <v/>
      </c>
      <c r="T49" s="16">
        <f>$K49-$R49</f>
        <v/>
      </c>
      <c r="U49" s="16">
        <f>$T49*grid_tonnes_mt</f>
        <v/>
      </c>
      <c r="V49" s="18">
        <f>$T49*$N49*grid_tonnes_mt</f>
        <v/>
      </c>
      <c r="W49" s="16">
        <f>AVERAGEIFS(Market_Daily!$B$6:$B$256,Market_Daily!$A$6:$A$256,"&gt;="&amp;$G49,Market_Daily!$A$6:$A$256,"&lt;="&amp;$H49)</f>
        <v/>
      </c>
      <c r="X49" s="16">
        <f>$W49-$R49</f>
        <v/>
      </c>
      <c r="Y49" s="18">
        <f>($K49-$W49)*$N49*grid_tonnes_mt</f>
        <v/>
      </c>
    </row>
    <row r="50">
      <c r="A50" s="11" t="n">
        <v>44862</v>
      </c>
      <c r="B50" s="11" t="n">
        <v>44862</v>
      </c>
      <c r="C50" s="17" t="b">
        <v>0</v>
      </c>
      <c r="D50" s="12" t="n">
        <v>44866</v>
      </c>
      <c r="E50" s="12" t="n">
        <v>44956</v>
      </c>
      <c r="F50" s="6" t="inlineStr">
        <is>
          <t>2022-11</t>
        </is>
      </c>
      <c r="G50" s="12" t="n">
        <v>44866</v>
      </c>
      <c r="H50" s="12" t="n">
        <v>44895</v>
      </c>
      <c r="I50" s="12" t="n">
        <v>44883.04545454546</v>
      </c>
      <c r="J50" s="16">
        <f>INDEX(Market_Daily!$B$6:$B$256,MATCH($B50,Market_Daily!$A$6:$A$256,0))</f>
        <v/>
      </c>
      <c r="K50" s="16">
        <f>INDEX(Market_Daily!$C$6:$C$256,MATCH($B50,Market_Daily!$A$6:$A$256,0))</f>
        <v/>
      </c>
      <c r="L50" s="16">
        <f>$J50-$K50</f>
        <v/>
      </c>
      <c r="M50" s="8">
        <f>IF($L50&gt;0,"BACKWARDATION",IF($L50&lt;0,"CONTANGO","FLAT"))</f>
        <v/>
      </c>
      <c r="N50" s="16">
        <f>INDEX(Market_Daily!$F$6:$F$256,MATCH($B50,Market_Daily!$A$6:$A$256,0))</f>
        <v/>
      </c>
      <c r="O50" s="8">
        <f>$E50-$D50</f>
        <v/>
      </c>
      <c r="P50" s="16">
        <f>$K50-$J50</f>
        <v/>
      </c>
      <c r="Q50" s="15">
        <f>($K50/$J50-1)*day_count_inr/$O50</f>
        <v/>
      </c>
      <c r="R50" s="16">
        <f>$J50+($K50-$J50)*($I50-$D50)/$O50</f>
        <v/>
      </c>
      <c r="S50" s="16">
        <f>$R50-$K50</f>
        <v/>
      </c>
      <c r="T50" s="16">
        <f>$K50-$R50</f>
        <v/>
      </c>
      <c r="U50" s="16">
        <f>$T50*grid_tonnes_mt</f>
        <v/>
      </c>
      <c r="V50" s="18">
        <f>$T50*$N50*grid_tonnes_mt</f>
        <v/>
      </c>
      <c r="W50" s="16">
        <f>AVERAGEIFS(Market_Daily!$B$6:$B$256,Market_Daily!$A$6:$A$256,"&gt;="&amp;$G50,Market_Daily!$A$6:$A$256,"&lt;="&amp;$H50)</f>
        <v/>
      </c>
      <c r="X50" s="16">
        <f>$W50-$R50</f>
        <v/>
      </c>
      <c r="Y50" s="18">
        <f>($K50-$W50)*$N50*grid_tonnes_mt</f>
        <v/>
      </c>
    </row>
    <row r="53">
      <c r="A53" s="4" t="inlineStr">
        <is>
          <t>(b) MCX M1 → M2 roll, one row per contract month</t>
        </is>
      </c>
    </row>
    <row r="54">
      <c r="A54" s="3" t="inlineStr">
        <is>
          <t>mirror_* are the third-party MCX mirror closes (data/interim, PROXY evidence) — an observed-style series the panel proxy cannot produce, so they are inputs here, not formulas.</t>
        </is>
      </c>
    </row>
    <row r="56" ht="30" customHeight="1">
      <c r="A56" s="5" t="inlineStr">
        <is>
          <t>contract_month</t>
        </is>
      </c>
      <c r="B56" s="5" t="inlineStr">
        <is>
          <t>in_window</t>
        </is>
      </c>
      <c r="C56" s="5" t="inlineStr">
        <is>
          <t>m1_expiry</t>
        </is>
      </c>
      <c r="D56" s="5" t="inlineStr">
        <is>
          <t>m2_expiry</t>
        </is>
      </c>
      <c r="E56" s="5" t="inlineStr">
        <is>
          <t>roll_date</t>
        </is>
      </c>
      <c r="F56" s="5" t="inlineStr">
        <is>
          <t>cash_prompt_date</t>
        </is>
      </c>
      <c r="G56" s="5" t="inlineStr">
        <is>
          <t>three_m_prompt_date</t>
        </is>
      </c>
      <c r="H56" s="5" t="inlineStr">
        <is>
          <t>mirror_m1_inr_kg</t>
        </is>
      </c>
      <c r="I56" s="5" t="inlineStr">
        <is>
          <t>mirror_m2_inr_kg</t>
        </is>
      </c>
      <c r="J56" s="5" t="inlineStr">
        <is>
          <t>mcx_al_m1_inr_kg</t>
        </is>
      </c>
      <c r="K56" s="5" t="inlineStr">
        <is>
          <t>mcx_al_m2_inr_kg</t>
        </is>
      </c>
      <c r="L56" s="5" t="inlineStr">
        <is>
          <t>roll_spread_inr_kg</t>
        </is>
      </c>
      <c r="M56" s="5" t="inlineStr">
        <is>
          <t>short_hedge_roll_yield_inr_t</t>
        </is>
      </c>
      <c r="N56" s="5" t="inlineStr">
        <is>
          <t>short_hedge_roll_yield_1000mt_inr</t>
        </is>
      </c>
      <c r="O56" s="5" t="inlineStr">
        <is>
          <t>lots_per_1000mt</t>
        </is>
      </c>
      <c r="P56" s="5" t="inlineStr">
        <is>
          <t>lme_cash_usd_t</t>
        </is>
      </c>
      <c r="Q56" s="5" t="inlineStr">
        <is>
          <t>lme_3m_usd_t</t>
        </is>
      </c>
      <c r="R56" s="5" t="inlineStr">
        <is>
          <t>lme_structure</t>
        </is>
      </c>
      <c r="S56" s="5" t="inlineStr">
        <is>
          <t>usdinr</t>
        </is>
      </c>
      <c r="T56" s="5" t="inlineStr">
        <is>
          <t>roll_days</t>
        </is>
      </c>
      <c r="U56" s="5" t="inlineStr">
        <is>
          <t>days_cash_to_3m</t>
        </is>
      </c>
      <c r="V56" s="5" t="inlineStr">
        <is>
          <t>lme_equiv_carry_usd_t</t>
        </is>
      </c>
      <c r="W56" s="5" t="inlineStr">
        <is>
          <t>lme_equiv_short_roll_yield_1000mt_inr</t>
        </is>
      </c>
      <c r="X56" s="5" t="inlineStr">
        <is>
          <t>mirror_short_hedge_roll_yield_1000mt_inr</t>
        </is>
      </c>
    </row>
    <row r="57">
      <c r="A57" s="7" t="inlineStr">
        <is>
          <t>2022-01</t>
        </is>
      </c>
      <c r="B57" s="17" t="b">
        <v>0</v>
      </c>
      <c r="C57" s="12" t="n">
        <v>44592</v>
      </c>
      <c r="D57" s="12" t="n">
        <v>44620</v>
      </c>
      <c r="E57" s="12" t="n">
        <v>44581</v>
      </c>
      <c r="F57" s="12" t="n">
        <v>44585</v>
      </c>
      <c r="G57" s="12" t="n">
        <v>44671</v>
      </c>
      <c r="H57" s="13" t="n">
        <v>245.75</v>
      </c>
      <c r="I57" s="13" t="n">
        <v>246.35</v>
      </c>
      <c r="J57" s="16">
        <f>INDEX(Market_Daily!$M$6:$M$256,MATCH($E57,Market_Daily!$A$6:$A$256,0))</f>
        <v/>
      </c>
      <c r="K57" s="16">
        <f>INDEX(Market_Daily!$N$6:$N$256,MATCH($E57,Market_Daily!$A$6:$A$256,0))</f>
        <v/>
      </c>
      <c r="L57" s="16">
        <f>$K57-$J57</f>
        <v/>
      </c>
      <c r="M57" s="18">
        <f>$L57*kg_per_mt</f>
        <v/>
      </c>
      <c r="N57" s="18">
        <f>$M57*grid_tonnes_mt</f>
        <v/>
      </c>
      <c r="O57" s="8">
        <f>ROUND(grid_tonnes_mt/mcx_al_lot_mt,0)</f>
        <v/>
      </c>
      <c r="P57" s="16">
        <f>INDEX(Market_Daily!$B$6:$B$256,MATCH($E57,Market_Daily!$A$6:$A$256,0))</f>
        <v/>
      </c>
      <c r="Q57" s="16">
        <f>INDEX(Market_Daily!$C$6:$C$256,MATCH($E57,Market_Daily!$A$6:$A$256,0))</f>
        <v/>
      </c>
      <c r="R57" s="8">
        <f>IF($P57-$Q57&gt;0,"BACKWARDATION",IF($P57-$Q57&lt;0,"CONTANGO","FLAT"))</f>
        <v/>
      </c>
      <c r="S57" s="16">
        <f>INDEX(Market_Daily!$F$6:$F$256,MATCH($E57,Market_Daily!$A$6:$A$256,0))</f>
        <v/>
      </c>
      <c r="T57" s="19">
        <f>$D57-$C57</f>
        <v/>
      </c>
      <c r="U57" s="8">
        <f>$G57-$F57</f>
        <v/>
      </c>
      <c r="V57" s="16">
        <f>($Q57-$P57)*$T57/$U57</f>
        <v/>
      </c>
      <c r="W57" s="18">
        <f>$V57*$S57*grid_tonnes_mt</f>
        <v/>
      </c>
      <c r="X57" s="18">
        <f>($I57-$H57)*kg_per_mt*grid_tonnes_mt</f>
        <v/>
      </c>
    </row>
    <row r="58">
      <c r="A58" s="7" t="inlineStr">
        <is>
          <t>2022-02</t>
        </is>
      </c>
      <c r="B58" s="17" t="b">
        <v>0</v>
      </c>
      <c r="C58" s="12" t="n">
        <v>44620</v>
      </c>
      <c r="D58" s="12" t="n">
        <v>44651</v>
      </c>
      <c r="E58" s="12" t="n">
        <v>44609</v>
      </c>
      <c r="F58" s="12" t="n">
        <v>44613</v>
      </c>
      <c r="G58" s="12" t="n">
        <v>44698</v>
      </c>
      <c r="H58" s="13" t="n">
        <v>261.55</v>
      </c>
      <c r="I58" s="13" t="n">
        <v>263</v>
      </c>
      <c r="J58" s="16">
        <f>INDEX(Market_Daily!$M$6:$M$256,MATCH($E58,Market_Daily!$A$6:$A$256,0))</f>
        <v/>
      </c>
      <c r="K58" s="16">
        <f>INDEX(Market_Daily!$N$6:$N$256,MATCH($E58,Market_Daily!$A$6:$A$256,0))</f>
        <v/>
      </c>
      <c r="L58" s="16">
        <f>$K58-$J58</f>
        <v/>
      </c>
      <c r="M58" s="18">
        <f>$L58*kg_per_mt</f>
        <v/>
      </c>
      <c r="N58" s="18">
        <f>$M58*grid_tonnes_mt</f>
        <v/>
      </c>
      <c r="O58" s="8">
        <f>ROUND(grid_tonnes_mt/mcx_al_lot_mt,0)</f>
        <v/>
      </c>
      <c r="P58" s="16">
        <f>INDEX(Market_Daily!$B$6:$B$256,MATCH($E58,Market_Daily!$A$6:$A$256,0))</f>
        <v/>
      </c>
      <c r="Q58" s="16">
        <f>INDEX(Market_Daily!$C$6:$C$256,MATCH($E58,Market_Daily!$A$6:$A$256,0))</f>
        <v/>
      </c>
      <c r="R58" s="8">
        <f>IF($P58-$Q58&gt;0,"BACKWARDATION",IF($P58-$Q58&lt;0,"CONTANGO","FLAT"))</f>
        <v/>
      </c>
      <c r="S58" s="16">
        <f>INDEX(Market_Daily!$F$6:$F$256,MATCH($E58,Market_Daily!$A$6:$A$256,0))</f>
        <v/>
      </c>
      <c r="T58" s="19">
        <f>$D58-$C58</f>
        <v/>
      </c>
      <c r="U58" s="8">
        <f>$G58-$F58</f>
        <v/>
      </c>
      <c r="V58" s="16">
        <f>($Q58-$P58)*$T58/$U58</f>
        <v/>
      </c>
      <c r="W58" s="18">
        <f>$V58*$S58*grid_tonnes_mt</f>
        <v/>
      </c>
      <c r="X58" s="18">
        <f>($I58-$H58)*kg_per_mt*grid_tonnes_mt</f>
        <v/>
      </c>
    </row>
    <row r="59">
      <c r="A59" s="7" t="inlineStr">
        <is>
          <t>2022-03</t>
        </is>
      </c>
      <c r="B59" s="17" t="b">
        <v>1</v>
      </c>
      <c r="C59" s="12" t="n">
        <v>44651</v>
      </c>
      <c r="D59" s="12" t="n">
        <v>44680</v>
      </c>
      <c r="E59" s="12" t="n">
        <v>44642</v>
      </c>
      <c r="F59" s="12" t="n">
        <v>44644</v>
      </c>
      <c r="G59" s="12" t="n">
        <v>44734</v>
      </c>
      <c r="H59" s="13" t="n">
        <v>280.25</v>
      </c>
      <c r="I59" s="13" t="n">
        <v>286.95</v>
      </c>
      <c r="J59" s="16">
        <f>INDEX(Market_Daily!$M$6:$M$256,MATCH($E59,Market_Daily!$A$6:$A$256,0))</f>
        <v/>
      </c>
      <c r="K59" s="16">
        <f>INDEX(Market_Daily!$N$6:$N$256,MATCH($E59,Market_Daily!$A$6:$A$256,0))</f>
        <v/>
      </c>
      <c r="L59" s="16">
        <f>$K59-$J59</f>
        <v/>
      </c>
      <c r="M59" s="18">
        <f>$L59*kg_per_mt</f>
        <v/>
      </c>
      <c r="N59" s="18">
        <f>$M59*grid_tonnes_mt</f>
        <v/>
      </c>
      <c r="O59" s="8">
        <f>ROUND(grid_tonnes_mt/mcx_al_lot_mt,0)</f>
        <v/>
      </c>
      <c r="P59" s="16">
        <f>INDEX(Market_Daily!$B$6:$B$256,MATCH($E59,Market_Daily!$A$6:$A$256,0))</f>
        <v/>
      </c>
      <c r="Q59" s="16">
        <f>INDEX(Market_Daily!$C$6:$C$256,MATCH($E59,Market_Daily!$A$6:$A$256,0))</f>
        <v/>
      </c>
      <c r="R59" s="8">
        <f>IF($P59-$Q59&gt;0,"BACKWARDATION",IF($P59-$Q59&lt;0,"CONTANGO","FLAT"))</f>
        <v/>
      </c>
      <c r="S59" s="16">
        <f>INDEX(Market_Daily!$F$6:$F$256,MATCH($E59,Market_Daily!$A$6:$A$256,0))</f>
        <v/>
      </c>
      <c r="T59" s="19">
        <f>$D59-$C59</f>
        <v/>
      </c>
      <c r="U59" s="8">
        <f>$G59-$F59</f>
        <v/>
      </c>
      <c r="V59" s="16">
        <f>($Q59-$P59)*$T59/$U59</f>
        <v/>
      </c>
      <c r="W59" s="18">
        <f>$V59*$S59*grid_tonnes_mt</f>
        <v/>
      </c>
      <c r="X59" s="18">
        <f>($I59-$H59)*kg_per_mt*grid_tonnes_mt</f>
        <v/>
      </c>
    </row>
    <row r="60">
      <c r="A60" s="7" t="inlineStr">
        <is>
          <t>2022-04</t>
        </is>
      </c>
      <c r="B60" s="17" t="b">
        <v>1</v>
      </c>
      <c r="C60" s="12" t="n">
        <v>44680</v>
      </c>
      <c r="D60" s="12" t="n">
        <v>44712</v>
      </c>
      <c r="E60" s="12" t="n">
        <v>44671</v>
      </c>
      <c r="F60" s="12" t="n">
        <v>44673</v>
      </c>
      <c r="G60" s="12" t="n">
        <v>44762</v>
      </c>
      <c r="H60" s="13" t="n">
        <v>269.3</v>
      </c>
      <c r="I60" s="13" t="n">
        <v>271.3</v>
      </c>
      <c r="J60" s="16">
        <f>INDEX(Market_Daily!$M$6:$M$256,MATCH($E60,Market_Daily!$A$6:$A$256,0))</f>
        <v/>
      </c>
      <c r="K60" s="16">
        <f>INDEX(Market_Daily!$N$6:$N$256,MATCH($E60,Market_Daily!$A$6:$A$256,0))</f>
        <v/>
      </c>
      <c r="L60" s="16">
        <f>$K60-$J60</f>
        <v/>
      </c>
      <c r="M60" s="18">
        <f>$L60*kg_per_mt</f>
        <v/>
      </c>
      <c r="N60" s="18">
        <f>$M60*grid_tonnes_mt</f>
        <v/>
      </c>
      <c r="O60" s="8">
        <f>ROUND(grid_tonnes_mt/mcx_al_lot_mt,0)</f>
        <v/>
      </c>
      <c r="P60" s="16">
        <f>INDEX(Market_Daily!$B$6:$B$256,MATCH($E60,Market_Daily!$A$6:$A$256,0))</f>
        <v/>
      </c>
      <c r="Q60" s="16">
        <f>INDEX(Market_Daily!$C$6:$C$256,MATCH($E60,Market_Daily!$A$6:$A$256,0))</f>
        <v/>
      </c>
      <c r="R60" s="8">
        <f>IF($P60-$Q60&gt;0,"BACKWARDATION",IF($P60-$Q60&lt;0,"CONTANGO","FLAT"))</f>
        <v/>
      </c>
      <c r="S60" s="16">
        <f>INDEX(Market_Daily!$F$6:$F$256,MATCH($E60,Market_Daily!$A$6:$A$256,0))</f>
        <v/>
      </c>
      <c r="T60" s="19">
        <f>$D60-$C60</f>
        <v/>
      </c>
      <c r="U60" s="8">
        <f>$G60-$F60</f>
        <v/>
      </c>
      <c r="V60" s="16">
        <f>($Q60-$P60)*$T60/$U60</f>
        <v/>
      </c>
      <c r="W60" s="18">
        <f>$V60*$S60*grid_tonnes_mt</f>
        <v/>
      </c>
      <c r="X60" s="18">
        <f>($I60-$H60)*kg_per_mt*grid_tonnes_mt</f>
        <v/>
      </c>
    </row>
    <row r="61">
      <c r="A61" s="7" t="inlineStr">
        <is>
          <t>2022-05</t>
        </is>
      </c>
      <c r="B61" s="17" t="b">
        <v>1</v>
      </c>
      <c r="C61" s="12" t="n">
        <v>44712</v>
      </c>
      <c r="D61" s="12" t="n">
        <v>44742</v>
      </c>
      <c r="E61" s="12" t="n">
        <v>44701</v>
      </c>
      <c r="F61" s="12" t="n">
        <v>44705</v>
      </c>
      <c r="G61" s="12" t="n">
        <v>44795</v>
      </c>
      <c r="H61" s="13" t="n">
        <v>248.4</v>
      </c>
      <c r="I61" s="13" t="n">
        <v>249.4</v>
      </c>
      <c r="J61" s="16">
        <f>INDEX(Market_Daily!$M$6:$M$256,MATCH($E61,Market_Daily!$A$6:$A$256,0))</f>
        <v/>
      </c>
      <c r="K61" s="16">
        <f>INDEX(Market_Daily!$N$6:$N$256,MATCH($E61,Market_Daily!$A$6:$A$256,0))</f>
        <v/>
      </c>
      <c r="L61" s="16">
        <f>$K61-$J61</f>
        <v/>
      </c>
      <c r="M61" s="18">
        <f>$L61*kg_per_mt</f>
        <v/>
      </c>
      <c r="N61" s="18">
        <f>$M61*grid_tonnes_mt</f>
        <v/>
      </c>
      <c r="O61" s="8">
        <f>ROUND(grid_tonnes_mt/mcx_al_lot_mt,0)</f>
        <v/>
      </c>
      <c r="P61" s="16">
        <f>INDEX(Market_Daily!$B$6:$B$256,MATCH($E61,Market_Daily!$A$6:$A$256,0))</f>
        <v/>
      </c>
      <c r="Q61" s="16">
        <f>INDEX(Market_Daily!$C$6:$C$256,MATCH($E61,Market_Daily!$A$6:$A$256,0))</f>
        <v/>
      </c>
      <c r="R61" s="8">
        <f>IF($P61-$Q61&gt;0,"BACKWARDATION",IF($P61-$Q61&lt;0,"CONTANGO","FLAT"))</f>
        <v/>
      </c>
      <c r="S61" s="16">
        <f>INDEX(Market_Daily!$F$6:$F$256,MATCH($E61,Market_Daily!$A$6:$A$256,0))</f>
        <v/>
      </c>
      <c r="T61" s="19">
        <f>$D61-$C61</f>
        <v/>
      </c>
      <c r="U61" s="8">
        <f>$G61-$F61</f>
        <v/>
      </c>
      <c r="V61" s="16">
        <f>($Q61-$P61)*$T61/$U61</f>
        <v/>
      </c>
      <c r="W61" s="18">
        <f>$V61*$S61*grid_tonnes_mt</f>
        <v/>
      </c>
      <c r="X61" s="18">
        <f>($I61-$H61)*kg_per_mt*grid_tonnes_mt</f>
        <v/>
      </c>
    </row>
    <row r="62">
      <c r="A62" s="7" t="inlineStr">
        <is>
          <t>2022-06</t>
        </is>
      </c>
      <c r="B62" s="17" t="b">
        <v>1</v>
      </c>
      <c r="C62" s="12" t="n">
        <v>44742</v>
      </c>
      <c r="D62" s="12" t="n">
        <v>44771</v>
      </c>
      <c r="E62" s="12" t="n">
        <v>44733</v>
      </c>
      <c r="F62" s="12" t="n">
        <v>44735</v>
      </c>
      <c r="G62" s="12" t="n">
        <v>44825</v>
      </c>
      <c r="H62" s="13" t="n">
        <v>216.6</v>
      </c>
      <c r="I62" s="13" t="n">
        <v>215.55</v>
      </c>
      <c r="J62" s="16">
        <f>INDEX(Market_Daily!$M$6:$M$256,MATCH($E62,Market_Daily!$A$6:$A$256,0))</f>
        <v/>
      </c>
      <c r="K62" s="16">
        <f>INDEX(Market_Daily!$N$6:$N$256,MATCH($E62,Market_Daily!$A$6:$A$256,0))</f>
        <v/>
      </c>
      <c r="L62" s="16">
        <f>$K62-$J62</f>
        <v/>
      </c>
      <c r="M62" s="18">
        <f>$L62*kg_per_mt</f>
        <v/>
      </c>
      <c r="N62" s="18">
        <f>$M62*grid_tonnes_mt</f>
        <v/>
      </c>
      <c r="O62" s="8">
        <f>ROUND(grid_tonnes_mt/mcx_al_lot_mt,0)</f>
        <v/>
      </c>
      <c r="P62" s="16">
        <f>INDEX(Market_Daily!$B$6:$B$256,MATCH($E62,Market_Daily!$A$6:$A$256,0))</f>
        <v/>
      </c>
      <c r="Q62" s="16">
        <f>INDEX(Market_Daily!$C$6:$C$256,MATCH($E62,Market_Daily!$A$6:$A$256,0))</f>
        <v/>
      </c>
      <c r="R62" s="8">
        <f>IF($P62-$Q62&gt;0,"BACKWARDATION",IF($P62-$Q62&lt;0,"CONTANGO","FLAT"))</f>
        <v/>
      </c>
      <c r="S62" s="16">
        <f>INDEX(Market_Daily!$F$6:$F$256,MATCH($E62,Market_Daily!$A$6:$A$256,0))</f>
        <v/>
      </c>
      <c r="T62" s="19">
        <f>$D62-$C62</f>
        <v/>
      </c>
      <c r="U62" s="8">
        <f>$G62-$F62</f>
        <v/>
      </c>
      <c r="V62" s="16">
        <f>($Q62-$P62)*$T62/$U62</f>
        <v/>
      </c>
      <c r="W62" s="18">
        <f>$V62*$S62*grid_tonnes_mt</f>
        <v/>
      </c>
      <c r="X62" s="18">
        <f>($I62-$H62)*kg_per_mt*grid_tonnes_mt</f>
        <v/>
      </c>
    </row>
    <row r="63">
      <c r="A63" s="7" t="inlineStr">
        <is>
          <t>2022-07</t>
        </is>
      </c>
      <c r="B63" s="17" t="b">
        <v>1</v>
      </c>
      <c r="C63" s="12" t="n">
        <v>44771</v>
      </c>
      <c r="D63" s="12" t="n">
        <v>44804</v>
      </c>
      <c r="E63" s="12" t="n">
        <v>44762</v>
      </c>
      <c r="F63" s="12" t="n">
        <v>44764</v>
      </c>
      <c r="G63" s="12" t="n">
        <v>44854</v>
      </c>
      <c r="H63" s="13" t="n">
        <v>209.45</v>
      </c>
      <c r="I63" s="13" t="n">
        <v>209.05</v>
      </c>
      <c r="J63" s="16">
        <f>INDEX(Market_Daily!$M$6:$M$256,MATCH($E63,Market_Daily!$A$6:$A$256,0))</f>
        <v/>
      </c>
      <c r="K63" s="16">
        <f>INDEX(Market_Daily!$N$6:$N$256,MATCH($E63,Market_Daily!$A$6:$A$256,0))</f>
        <v/>
      </c>
      <c r="L63" s="16">
        <f>$K63-$J63</f>
        <v/>
      </c>
      <c r="M63" s="18">
        <f>$L63*kg_per_mt</f>
        <v/>
      </c>
      <c r="N63" s="18">
        <f>$M63*grid_tonnes_mt</f>
        <v/>
      </c>
      <c r="O63" s="8">
        <f>ROUND(grid_tonnes_mt/mcx_al_lot_mt,0)</f>
        <v/>
      </c>
      <c r="P63" s="16">
        <f>INDEX(Market_Daily!$B$6:$B$256,MATCH($E63,Market_Daily!$A$6:$A$256,0))</f>
        <v/>
      </c>
      <c r="Q63" s="16">
        <f>INDEX(Market_Daily!$C$6:$C$256,MATCH($E63,Market_Daily!$A$6:$A$256,0))</f>
        <v/>
      </c>
      <c r="R63" s="8">
        <f>IF($P63-$Q63&gt;0,"BACKWARDATION",IF($P63-$Q63&lt;0,"CONTANGO","FLAT"))</f>
        <v/>
      </c>
      <c r="S63" s="16">
        <f>INDEX(Market_Daily!$F$6:$F$256,MATCH($E63,Market_Daily!$A$6:$A$256,0))</f>
        <v/>
      </c>
      <c r="T63" s="19">
        <f>$D63-$C63</f>
        <v/>
      </c>
      <c r="U63" s="8">
        <f>$G63-$F63</f>
        <v/>
      </c>
      <c r="V63" s="16">
        <f>($Q63-$P63)*$T63/$U63</f>
        <v/>
      </c>
      <c r="W63" s="18">
        <f>$V63*$S63*grid_tonnes_mt</f>
        <v/>
      </c>
      <c r="X63" s="18">
        <f>($I63-$H63)*kg_per_mt*grid_tonnes_mt</f>
        <v/>
      </c>
    </row>
    <row r="64">
      <c r="A64" s="7" t="inlineStr">
        <is>
          <t>2022-08</t>
        </is>
      </c>
      <c r="B64" s="17" t="b">
        <v>1</v>
      </c>
      <c r="C64" s="12" t="n">
        <v>44804</v>
      </c>
      <c r="D64" s="12" t="n">
        <v>44834</v>
      </c>
      <c r="E64" s="12" t="n">
        <v>44792</v>
      </c>
      <c r="F64" s="12" t="n">
        <v>44796</v>
      </c>
      <c r="G64" s="12" t="n">
        <v>44886</v>
      </c>
      <c r="H64" s="13" t="n">
        <v>209.95</v>
      </c>
      <c r="I64" s="13" t="n">
        <v>213.2</v>
      </c>
      <c r="J64" s="16">
        <f>INDEX(Market_Daily!$M$6:$M$256,MATCH($E64,Market_Daily!$A$6:$A$256,0))</f>
        <v/>
      </c>
      <c r="K64" s="16">
        <f>INDEX(Market_Daily!$N$6:$N$256,MATCH($E64,Market_Daily!$A$6:$A$256,0))</f>
        <v/>
      </c>
      <c r="L64" s="16">
        <f>$K64-$J64</f>
        <v/>
      </c>
      <c r="M64" s="18">
        <f>$L64*kg_per_mt</f>
        <v/>
      </c>
      <c r="N64" s="18">
        <f>$M64*grid_tonnes_mt</f>
        <v/>
      </c>
      <c r="O64" s="8">
        <f>ROUND(grid_tonnes_mt/mcx_al_lot_mt,0)</f>
        <v/>
      </c>
      <c r="P64" s="16">
        <f>INDEX(Market_Daily!$B$6:$B$256,MATCH($E64,Market_Daily!$A$6:$A$256,0))</f>
        <v/>
      </c>
      <c r="Q64" s="16">
        <f>INDEX(Market_Daily!$C$6:$C$256,MATCH($E64,Market_Daily!$A$6:$A$256,0))</f>
        <v/>
      </c>
      <c r="R64" s="8">
        <f>IF($P64-$Q64&gt;0,"BACKWARDATION",IF($P64-$Q64&lt;0,"CONTANGO","FLAT"))</f>
        <v/>
      </c>
      <c r="S64" s="16">
        <f>INDEX(Market_Daily!$F$6:$F$256,MATCH($E64,Market_Daily!$A$6:$A$256,0))</f>
        <v/>
      </c>
      <c r="T64" s="19">
        <f>$D64-$C64</f>
        <v/>
      </c>
      <c r="U64" s="8">
        <f>$G64-$F64</f>
        <v/>
      </c>
      <c r="V64" s="16">
        <f>($Q64-$P64)*$T64/$U64</f>
        <v/>
      </c>
      <c r="W64" s="18">
        <f>$V64*$S64*grid_tonnes_mt</f>
        <v/>
      </c>
      <c r="X64" s="18">
        <f>($I64-$H64)*kg_per_mt*grid_tonnes_mt</f>
        <v/>
      </c>
    </row>
    <row r="65">
      <c r="A65" s="7" t="inlineStr">
        <is>
          <t>2022-09</t>
        </is>
      </c>
      <c r="B65" s="17" t="b">
        <v>0</v>
      </c>
      <c r="C65" s="12" t="n">
        <v>44834</v>
      </c>
      <c r="D65" s="12" t="n">
        <v>44865</v>
      </c>
      <c r="E65" s="12" t="n">
        <v>44825</v>
      </c>
      <c r="F65" s="12" t="n">
        <v>44827</v>
      </c>
      <c r="G65" s="12" t="n">
        <v>44916</v>
      </c>
      <c r="H65" s="13" t="n">
        <v>193.55</v>
      </c>
      <c r="I65" s="13" t="n">
        <v>198.95</v>
      </c>
      <c r="J65" s="16">
        <f>INDEX(Market_Daily!$M$6:$M$256,MATCH($E65,Market_Daily!$A$6:$A$256,0))</f>
        <v/>
      </c>
      <c r="K65" s="16">
        <f>INDEX(Market_Daily!$N$6:$N$256,MATCH($E65,Market_Daily!$A$6:$A$256,0))</f>
        <v/>
      </c>
      <c r="L65" s="16">
        <f>$K65-$J65</f>
        <v/>
      </c>
      <c r="M65" s="18">
        <f>$L65*kg_per_mt</f>
        <v/>
      </c>
      <c r="N65" s="18">
        <f>$M65*grid_tonnes_mt</f>
        <v/>
      </c>
      <c r="O65" s="8">
        <f>ROUND(grid_tonnes_mt/mcx_al_lot_mt,0)</f>
        <v/>
      </c>
      <c r="P65" s="16">
        <f>INDEX(Market_Daily!$B$6:$B$256,MATCH($E65,Market_Daily!$A$6:$A$256,0))</f>
        <v/>
      </c>
      <c r="Q65" s="16">
        <f>INDEX(Market_Daily!$C$6:$C$256,MATCH($E65,Market_Daily!$A$6:$A$256,0))</f>
        <v/>
      </c>
      <c r="R65" s="8">
        <f>IF($P65-$Q65&gt;0,"BACKWARDATION",IF($P65-$Q65&lt;0,"CONTANGO","FLAT"))</f>
        <v/>
      </c>
      <c r="S65" s="16">
        <f>INDEX(Market_Daily!$F$6:$F$256,MATCH($E65,Market_Daily!$A$6:$A$256,0))</f>
        <v/>
      </c>
      <c r="T65" s="19">
        <f>$D65-$C65</f>
        <v/>
      </c>
      <c r="U65" s="8">
        <f>$G65-$F65</f>
        <v/>
      </c>
      <c r="V65" s="16">
        <f>($Q65-$P65)*$T65/$U65</f>
        <v/>
      </c>
      <c r="W65" s="18">
        <f>$V65*$S65*grid_tonnes_mt</f>
        <v/>
      </c>
      <c r="X65" s="18">
        <f>($I65-$H65)*kg_per_mt*grid_tonnes_mt</f>
        <v/>
      </c>
    </row>
    <row r="66">
      <c r="A66" s="7" t="inlineStr">
        <is>
          <t>2022-10</t>
        </is>
      </c>
      <c r="B66" s="17" t="b">
        <v>0</v>
      </c>
      <c r="C66" s="12" t="n">
        <v>44865</v>
      </c>
      <c r="D66" s="12" t="n">
        <v>44895</v>
      </c>
      <c r="E66" s="12" t="n">
        <v>44854</v>
      </c>
      <c r="F66" s="12" t="n">
        <v>44858</v>
      </c>
      <c r="G66" s="12" t="n">
        <v>44946</v>
      </c>
      <c r="H66" s="13" t="n">
        <v>197.75</v>
      </c>
      <c r="I66" s="13" t="n">
        <v>199.95</v>
      </c>
      <c r="J66" s="16">
        <f>INDEX(Market_Daily!$M$6:$M$256,MATCH($E66,Market_Daily!$A$6:$A$256,0))</f>
        <v/>
      </c>
      <c r="K66" s="16">
        <f>INDEX(Market_Daily!$N$6:$N$256,MATCH($E66,Market_Daily!$A$6:$A$256,0))</f>
        <v/>
      </c>
      <c r="L66" s="16">
        <f>$K66-$J66</f>
        <v/>
      </c>
      <c r="M66" s="18">
        <f>$L66*kg_per_mt</f>
        <v/>
      </c>
      <c r="N66" s="18">
        <f>$M66*grid_tonnes_mt</f>
        <v/>
      </c>
      <c r="O66" s="8">
        <f>ROUND(grid_tonnes_mt/mcx_al_lot_mt,0)</f>
        <v/>
      </c>
      <c r="P66" s="16">
        <f>INDEX(Market_Daily!$B$6:$B$256,MATCH($E66,Market_Daily!$A$6:$A$256,0))</f>
        <v/>
      </c>
      <c r="Q66" s="16">
        <f>INDEX(Market_Daily!$C$6:$C$256,MATCH($E66,Market_Daily!$A$6:$A$256,0))</f>
        <v/>
      </c>
      <c r="R66" s="8">
        <f>IF($P66-$Q66&gt;0,"BACKWARDATION",IF($P66-$Q66&lt;0,"CONTANGO","FLAT"))</f>
        <v/>
      </c>
      <c r="S66" s="16">
        <f>INDEX(Market_Daily!$F$6:$F$256,MATCH($E66,Market_Daily!$A$6:$A$256,0))</f>
        <v/>
      </c>
      <c r="T66" s="19">
        <f>$D66-$C66</f>
        <v/>
      </c>
      <c r="U66" s="8">
        <f>$G66-$F66</f>
        <v/>
      </c>
      <c r="V66" s="16">
        <f>($Q66-$P66)*$T66/$U66</f>
        <v/>
      </c>
      <c r="W66" s="18">
        <f>$V66*$S66*grid_tonnes_mt</f>
        <v/>
      </c>
      <c r="X66" s="18">
        <f>($I66-$H66)*kg_per_mt*grid_tonnes_mt</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1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4" customWidth="1" min="1" max="1"/>
    <col width="38" customWidth="1" min="2" max="2"/>
    <col width="14" customWidth="1" min="3" max="3"/>
    <col width="14" customWidth="1" min="4" max="4"/>
    <col width="14" customWidth="1" min="5" max="5"/>
    <col width="38" customWidth="1" min="6" max="6"/>
    <col width="14" customWidth="1" min="7" max="7"/>
    <col width="14" customWidth="1" min="8" max="8"/>
    <col width="18" customWidth="1" min="9" max="9"/>
    <col width="18"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8"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10" customWidth="1" min="29" max="29"/>
  </cols>
  <sheetData>
    <row r="1">
      <c r="A1" s="1" t="inlineStr">
        <is>
          <t>ACADEMIC SIMULATION — not actual trades</t>
        </is>
      </c>
    </row>
    <row r="2">
      <c r="A2" s="2" t="inlineStr">
        <is>
          <t>Counterparties — config/counterparties.yaml (every company is SIMULATED)</t>
        </is>
      </c>
    </row>
    <row r="3">
      <c r="A3" s="3" t="inlineStr">
        <is>
          <t>Blue = input. Credit limits are desk policy (ASSUMPTION); profile fields are SIM features for the Phase 5 credit model. msme_max_payment_days and fx_hedge_no_documentation_limit_usd are the DIRECT policy caps these are checked against.</t>
        </is>
      </c>
    </row>
    <row r="5" ht="30" customHeight="1">
      <c r="A5" s="5" t="inlineStr">
        <is>
          <t>cp_id</t>
        </is>
      </c>
      <c r="B5" s="5" t="inlineStr">
        <is>
          <t>name</t>
        </is>
      </c>
      <c r="C5" s="5" t="inlineStr">
        <is>
          <t>role</t>
        </is>
      </c>
      <c r="D5" s="5" t="inlineStr">
        <is>
          <t>type</t>
        </is>
      </c>
      <c r="E5" s="5" t="inlineStr">
        <is>
          <t>country</t>
        </is>
      </c>
      <c r="F5" s="5" t="inlineStr">
        <is>
          <t>location</t>
        </is>
      </c>
      <c r="G5" s="5" t="inlineStr">
        <is>
          <t>lanes</t>
        </is>
      </c>
      <c r="H5" s="5" t="inlineStr">
        <is>
          <t>grades</t>
        </is>
      </c>
      <c r="I5" s="5" t="inlineStr">
        <is>
          <t>credit_limit_inr</t>
        </is>
      </c>
      <c r="J5" s="5" t="inlineStr">
        <is>
          <t>claims_exposure_limit_usd</t>
        </is>
      </c>
      <c r="K5" s="5" t="inlineStr">
        <is>
          <t>default_payment_terms</t>
        </is>
      </c>
      <c r="L5" s="5" t="inlineStr">
        <is>
          <t>default_credit_days</t>
        </is>
      </c>
      <c r="M5" s="5" t="inlineStr">
        <is>
          <t>default_advance_frac</t>
        </is>
      </c>
      <c r="N5" s="5" t="inlineStr">
        <is>
          <t>lc_confirmation_required</t>
        </is>
      </c>
      <c r="O5" s="5" t="inlineStr">
        <is>
          <t>safe_origin_for_psic</t>
        </is>
      </c>
      <c r="P5" s="5" t="inlineStr">
        <is>
          <t>msme_registered</t>
        </is>
      </c>
      <c r="Q5" s="5" t="inlineStr">
        <is>
          <t>flag</t>
        </is>
      </c>
      <c r="R5" s="5" t="inlineStr">
        <is>
          <t>profile.relationship_start</t>
        </is>
      </c>
      <c r="S5" s="5" t="inlineStr">
        <is>
          <t>profile.years_in_business</t>
        </is>
      </c>
      <c r="T5" s="5" t="inlineStr">
        <is>
          <t>profile.annual_turnover_inr</t>
        </is>
      </c>
      <c r="U5" s="5" t="inlineStr">
        <is>
          <t>profile.prior_invoices_n</t>
        </is>
      </c>
      <c r="V5" s="5" t="inlineStr">
        <is>
          <t>profile.prior_dpd_mean_days</t>
        </is>
      </c>
      <c r="W5" s="5" t="inlineStr">
        <is>
          <t>profile.prior_dpd_max_days</t>
        </is>
      </c>
      <c r="X5" s="5" t="inlineStr">
        <is>
          <t>profile.prior_defaults_n</t>
        </is>
      </c>
      <c r="Y5" s="5" t="inlineStr">
        <is>
          <t>profile.prior_disputed_claims_n</t>
        </is>
      </c>
      <c r="Z5" s="5" t="inlineStr">
        <is>
          <t>profile.gst_returns_regular</t>
        </is>
      </c>
      <c r="AA5" s="5" t="inlineStr">
        <is>
          <t>profile.internal_rating_sim</t>
        </is>
      </c>
      <c r="AB5" s="5" t="inlineStr">
        <is>
          <t>profile.security</t>
        </is>
      </c>
      <c r="AC5" s="5" t="inlineStr">
        <is>
          <t>note</t>
        </is>
      </c>
    </row>
    <row r="6">
      <c r="A6" s="7" t="inlineStr">
        <is>
          <t>SUP_JEA_01</t>
        </is>
      </c>
      <c r="B6" s="6" t="inlineStr">
        <is>
          <t>Khaleej Metal Resources FZE (SIM)</t>
        </is>
      </c>
      <c r="C6" s="6" t="inlineStr">
        <is>
          <t>SUPPLIER</t>
        </is>
      </c>
      <c r="D6" s="6" t="inlineStr">
        <is>
          <t>TRADER</t>
        </is>
      </c>
      <c r="E6" s="6" t="inlineStr">
        <is>
          <t>AE</t>
        </is>
      </c>
      <c r="F6" s="6" t="inlineStr">
        <is>
          <t>Jebel Ali Free Zone, Dubai (SIM)</t>
        </is>
      </c>
      <c r="G6" s="6" t="inlineStr">
        <is>
          <t>JEA_NSA</t>
        </is>
      </c>
      <c r="H6" s="6" t="inlineStr">
        <is>
          <t>zorba, taint_tabor, tense</t>
        </is>
      </c>
      <c r="J6" s="13" t="n">
        <v>600000</v>
      </c>
      <c r="N6" s="10" t="b">
        <v>0</v>
      </c>
      <c r="O6" s="10" t="b">
        <v>0</v>
      </c>
      <c r="P6" s="10" t="b">
        <v>0</v>
      </c>
      <c r="Q6" s="6" t="inlineStr">
        <is>
          <t>SIM</t>
        </is>
      </c>
      <c r="R6" s="12" t="n">
        <v>43472</v>
      </c>
      <c r="S6" s="6" t="n">
        <v>14</v>
      </c>
      <c r="T6" s="21" t="n">
        <v>4200000000</v>
      </c>
      <c r="U6" s="6" t="n">
        <v>31</v>
      </c>
      <c r="V6" s="22" t="n">
        <v>0</v>
      </c>
      <c r="W6" s="22" t="n">
        <v>0</v>
      </c>
      <c r="X6" s="6" t="n">
        <v>0</v>
      </c>
      <c r="Y6" s="6" t="n">
        <v>4</v>
      </c>
      <c r="Z6" s="10" t="b">
        <v>1</v>
      </c>
      <c r="AA6" s="6" t="inlineStr">
        <is>
          <t>BB (SIM)</t>
        </is>
      </c>
      <c r="AB6" s="6" t="inlineStr">
        <is>
          <t>NONE</t>
        </is>
      </c>
      <c r="AC6" s="7" t="inlineStr">
        <is>
          <t>Gulf collector/trader aggregating UAE, east-African and Iranian-transit material into Jebel Ali. Takes the desk's four short-lane cargoes (T02, T03, T06, T09) and is the only supplier that will quote all three grades. UAE origin is outside the DGFT safe-origin list, so every shipment carries a pre-shipment inspection certificate at the desk's cost (psic_cost_usd_per_box).</t>
        </is>
      </c>
    </row>
    <row r="7">
      <c r="A7" s="7" t="inlineStr">
        <is>
          <t>SUP_USEC_01</t>
        </is>
      </c>
      <c r="B7" s="6" t="inlineStr">
        <is>
          <t>Tidewater Recycling Corp (SIM)</t>
        </is>
      </c>
      <c r="C7" s="6" t="inlineStr">
        <is>
          <t>SUPPLIER</t>
        </is>
      </c>
      <c r="D7" s="6" t="inlineStr">
        <is>
          <t>PROCESSOR</t>
        </is>
      </c>
      <c r="E7" s="6" t="inlineStr">
        <is>
          <t>US</t>
        </is>
      </c>
      <c r="F7" s="6" t="inlineStr">
        <is>
          <t>Norfolk, Virginia (SIM)</t>
        </is>
      </c>
      <c r="G7" s="6" t="inlineStr">
        <is>
          <t>USEC_MUN</t>
        </is>
      </c>
      <c r="H7" s="6" t="inlineStr">
        <is>
          <t>zorba, tense</t>
        </is>
      </c>
      <c r="J7" s="13" t="n">
        <v>900000</v>
      </c>
      <c r="N7" s="10" t="b">
        <v>1</v>
      </c>
      <c r="O7" s="10" t="b">
        <v>1</v>
      </c>
      <c r="P7" s="10" t="b">
        <v>0</v>
      </c>
      <c r="Q7" s="6" t="inlineStr">
        <is>
          <t>SIM</t>
        </is>
      </c>
      <c r="R7" s="12" t="n">
        <v>43891</v>
      </c>
      <c r="S7" s="6" t="n">
        <v>22</v>
      </c>
      <c r="T7" s="21" t="n">
        <v>9800000000</v>
      </c>
      <c r="U7" s="6" t="n">
        <v>13</v>
      </c>
      <c r="V7" s="22" t="n">
        <v>0</v>
      </c>
      <c r="W7" s="22" t="n">
        <v>0</v>
      </c>
      <c r="X7" s="6" t="n">
        <v>0</v>
      </c>
      <c r="Y7" s="6" t="n">
        <v>2</v>
      </c>
      <c r="Z7" s="10" t="b">
        <v>1</v>
      </c>
      <c r="AA7" s="6" t="inlineStr">
        <is>
          <t>B (SIM)</t>
        </is>
      </c>
      <c r="AB7" s="6" t="inlineStr">
        <is>
          <t>NONE</t>
        </is>
      </c>
      <c r="AC7" s="7" t="inlineStr">
        <is>
          <t>Large east-coast shredder/processor with its own fragmentiser, so its Zorba is consistent. Will only ship against an LC confirmed by an acceptable bank, and the SPA puts the confirmation fee on the applicant — that fee is a real desk cashflow on T01 and T05 and is why this supplier's material has to be bought a little cheaper to pay for itself.</t>
        </is>
      </c>
    </row>
    <row r="8">
      <c r="A8" s="7" t="inlineStr">
        <is>
          <t>SUP_USEC_02</t>
        </is>
      </c>
      <c r="B8" s="6" t="inlineStr">
        <is>
          <t>Delaware Bay Metals LLC (SIM)</t>
        </is>
      </c>
      <c r="C8" s="6" t="inlineStr">
        <is>
          <t>SUPPLIER</t>
        </is>
      </c>
      <c r="D8" s="6" t="inlineStr">
        <is>
          <t>SCRAP_YARD</t>
        </is>
      </c>
      <c r="E8" s="6" t="inlineStr">
        <is>
          <t>US</t>
        </is>
      </c>
      <c r="F8" s="6" t="inlineStr">
        <is>
          <t>Wilmington, Delaware (SIM)</t>
        </is>
      </c>
      <c r="G8" s="6" t="inlineStr">
        <is>
          <t>USEC_MUN</t>
        </is>
      </c>
      <c r="H8" s="6" t="inlineStr">
        <is>
          <t>taint_tabor, tense</t>
        </is>
      </c>
      <c r="J8" s="13" t="n">
        <v>400000</v>
      </c>
      <c r="N8" s="10" t="b">
        <v>0</v>
      </c>
      <c r="O8" s="10" t="b">
        <v>1</v>
      </c>
      <c r="P8" s="10" t="b">
        <v>0</v>
      </c>
      <c r="Q8" s="6" t="inlineStr">
        <is>
          <t>SIM</t>
        </is>
      </c>
      <c r="R8" s="12" t="n">
        <v>44348</v>
      </c>
      <c r="S8" s="6" t="n">
        <v>8</v>
      </c>
      <c r="T8" s="21" t="n">
        <v>2600000000</v>
      </c>
      <c r="U8" s="6" t="n">
        <v>5</v>
      </c>
      <c r="V8" s="22" t="n">
        <v>0</v>
      </c>
      <c r="W8" s="22" t="n">
        <v>0</v>
      </c>
      <c r="X8" s="6" t="n">
        <v>0</v>
      </c>
      <c r="Y8" s="6" t="n">
        <v>1</v>
      </c>
      <c r="Z8" s="10" t="b">
        <v>1</v>
      </c>
      <c r="AA8" s="6" t="inlineStr">
        <is>
          <t>C (SIM)</t>
        </is>
      </c>
      <c r="AB8" s="6" t="inlineStr">
        <is>
          <t>NONE</t>
        </is>
      </c>
      <c r="AC8" s="7" t="inlineStr">
        <is>
          <t>Smaller collection yard buying peddler and demolition material. Cheaper than SUP_USEC_01 and happy with an unconfirmed LC, but the material is hand-sorted rather than fragmentised, which is exactly why the two simulated quality outcomes in this book (T07 wet and dirty, T08 one box stopped at the radiation portal) are on its cargoes. The claims limit is deliberately the smallest in the book.</t>
        </is>
      </c>
    </row>
    <row r="9">
      <c r="A9" s="7" t="inlineStr">
        <is>
          <t>BUY_MUN_01</t>
        </is>
      </c>
      <c r="B9" s="6" t="inlineStr">
        <is>
          <t>Kandla Metal Industries Pvt Ltd (SIM)</t>
        </is>
      </c>
      <c r="C9" s="6" t="inlineStr">
        <is>
          <t>BUYER</t>
        </is>
      </c>
      <c r="D9" s="6" t="inlineStr">
        <is>
          <t>SECONDARY_SMELTER</t>
        </is>
      </c>
      <c r="E9" s="6" t="inlineStr">
        <is>
          <t>IN</t>
        </is>
      </c>
      <c r="F9" s="6" t="inlineStr">
        <is>
          <t>Gandhidham, Kutch, Gujarat (SIM)</t>
        </is>
      </c>
      <c r="G9" s="6" t="inlineStr">
        <is>
          <t>USEC_MUN</t>
        </is>
      </c>
      <c r="H9" s="6" t="inlineStr">
        <is>
          <t>zorba, tense</t>
        </is>
      </c>
      <c r="I9" s="21" t="n">
        <v>650000000</v>
      </c>
      <c r="K9" s="6" t="inlineStr">
        <is>
          <t>CREDIT</t>
        </is>
      </c>
      <c r="P9" s="10" t="b">
        <v>0</v>
      </c>
      <c r="Q9" s="6" t="inlineStr">
        <is>
          <t>SIM</t>
        </is>
      </c>
      <c r="R9" s="12" t="n">
        <v>43773</v>
      </c>
      <c r="S9" s="6" t="n">
        <v>19</v>
      </c>
      <c r="T9" s="21" t="n">
        <v>13800000000</v>
      </c>
      <c r="U9" s="6" t="n">
        <v>44</v>
      </c>
      <c r="V9" s="22" t="n">
        <v>2</v>
      </c>
      <c r="W9" s="22" t="n">
        <v>8</v>
      </c>
      <c r="X9" s="6" t="n">
        <v>0</v>
      </c>
      <c r="Y9" s="6" t="n">
        <v>1</v>
      </c>
      <c r="Z9" s="10" t="b">
        <v>1</v>
      </c>
      <c r="AA9" s="6" t="inlineStr">
        <is>
          <t>A (SIM)</t>
        </is>
      </c>
      <c r="AB9" s="6" t="inlineStr">
        <is>
          <t>NONE</t>
        </is>
      </c>
      <c r="AC9" s="7" t="inlineStr">
        <is>
          <t>The strongest name in the book and the anchor buyer for Mundra cargo: a 60,000 t/yr secondary smelter forty minutes from the port gate, on an MCX-average formula for its floating-priced cargoes. The limit is ~4.7 % of (SIM) turnover, about 17 days of its own buying, and the book runs it to 93 % at the 25-Apr booking — which is why T08 waits until 09-Aug, after the T05 invoice clears, to contract its sale. (That 93 % is the booking-time measure rule P04 checks; Phase 3 measures the receivable daily and reports a different, lower peak. Two measures, both published — see docs/20 §11.)</t>
        </is>
      </c>
    </row>
    <row r="10">
      <c r="A10" s="7" t="inlineStr">
        <is>
          <t>BUY_JNPT_01</t>
        </is>
      </c>
      <c r="B10" s="6" t="inlineStr">
        <is>
          <t>Taloja Alloys and Smelters Pvt Ltd (SIM)</t>
        </is>
      </c>
      <c r="C10" s="6" t="inlineStr">
        <is>
          <t>BUYER</t>
        </is>
      </c>
      <c r="D10" s="6" t="inlineStr">
        <is>
          <t>SECONDARY_SMELTER</t>
        </is>
      </c>
      <c r="E10" s="6" t="inlineStr">
        <is>
          <t>IN</t>
        </is>
      </c>
      <c r="F10" s="6" t="inlineStr">
        <is>
          <t>Taloja MIDC, Navi Mumbai, Maharashtra (SIM)</t>
        </is>
      </c>
      <c r="G10" s="6" t="inlineStr">
        <is>
          <t>JEA_NSA</t>
        </is>
      </c>
      <c r="H10" s="6" t="inlineStr">
        <is>
          <t>zorba, taint_tabor, tense</t>
        </is>
      </c>
      <c r="I10" s="21" t="n">
        <v>560000000</v>
      </c>
      <c r="K10" s="6" t="inlineStr">
        <is>
          <t>CREDIT</t>
        </is>
      </c>
      <c r="P10" s="10" t="b">
        <v>0</v>
      </c>
      <c r="Q10" s="6" t="inlineStr">
        <is>
          <t>SIM</t>
        </is>
      </c>
      <c r="R10" s="12" t="n">
        <v>43570</v>
      </c>
      <c r="S10" s="6" t="n">
        <v>16</v>
      </c>
      <c r="T10" s="21" t="n">
        <v>10400000000</v>
      </c>
      <c r="U10" s="6" t="n">
        <v>29</v>
      </c>
      <c r="V10" s="22" t="n">
        <v>5</v>
      </c>
      <c r="W10" s="22" t="n">
        <v>19</v>
      </c>
      <c r="X10" s="6" t="n">
        <v>0</v>
      </c>
      <c r="Y10" s="6" t="n">
        <v>2</v>
      </c>
      <c r="Z10" s="10" t="b">
        <v>1</v>
      </c>
      <c r="AA10" s="6" t="inlineStr">
        <is>
          <t>BBB (SIM)</t>
        </is>
      </c>
      <c r="AB10" s="6" t="inlineStr">
        <is>
          <t>NONE</t>
        </is>
      </c>
      <c r="AC10" s="7" t="inlineStr">
        <is>
          <t>The JNPT-belt smelter, forty kilometres from Nhava Sheva, and the only buyer in the book for the Gulf lane — so it takes four of nine cargoes. That concentration is a finding, not an oversight: it is the single largest credit exposure the desk runs and it is the reason the Gulf-lane parcels are the smallest in the book. Peak booking-time utilisation 88 % on 26-Apr. Takes all three grades, which is why the taint/tabor parcel could be placed at all.</t>
        </is>
      </c>
    </row>
    <row r="11">
      <c r="A11" s="7" t="inlineStr">
        <is>
          <t>BUY_RJK_01</t>
        </is>
      </c>
      <c r="B11" s="6" t="inlineStr">
        <is>
          <t>Saurashtra Castings and Alloys Pvt Ltd (SIM)</t>
        </is>
      </c>
      <c r="C11" s="6" t="inlineStr">
        <is>
          <t>BUYER</t>
        </is>
      </c>
      <c r="D11" s="6" t="inlineStr">
        <is>
          <t>FOUNDRY</t>
        </is>
      </c>
      <c r="E11" s="6" t="inlineStr">
        <is>
          <t>IN</t>
        </is>
      </c>
      <c r="F11" s="6" t="inlineStr">
        <is>
          <t>Rajkot, Gujarat (SIM)</t>
        </is>
      </c>
      <c r="G11" s="6" t="inlineStr">
        <is>
          <t>USEC_MUN</t>
        </is>
      </c>
      <c r="H11" s="6" t="inlineStr">
        <is>
          <t>zorba, taint_tabor, tense</t>
        </is>
      </c>
      <c r="I11" s="21" t="n">
        <v>120000000</v>
      </c>
      <c r="K11" s="6" t="inlineStr">
        <is>
          <t>ADVANCE_PLUS_CREDIT</t>
        </is>
      </c>
      <c r="P11" s="10" t="b">
        <v>1</v>
      </c>
      <c r="Q11" s="6" t="inlineStr">
        <is>
          <t>SIM</t>
        </is>
      </c>
      <c r="R11" s="12" t="n">
        <v>44235</v>
      </c>
      <c r="S11" s="6" t="n">
        <v>11</v>
      </c>
      <c r="T11" s="21" t="n">
        <v>1450000000</v>
      </c>
      <c r="U11" s="6" t="n">
        <v>8</v>
      </c>
      <c r="V11" s="22" t="n">
        <v>12</v>
      </c>
      <c r="W11" s="22" t="n">
        <v>37</v>
      </c>
      <c r="X11" s="6" t="n">
        <v>0</v>
      </c>
      <c r="Y11" s="6" t="n">
        <v>1</v>
      </c>
      <c r="Z11" s="10" t="b">
        <v>1</v>
      </c>
      <c r="AA11" s="6" t="inlineStr">
        <is>
          <t>C (SIM)</t>
        </is>
      </c>
      <c r="AB11" s="6" t="inlineStr">
        <is>
          <t>PDC</t>
        </is>
      </c>
      <c r="AC11" s="7" t="inlineStr">
        <is>
          <t>A Rajkot-cluster foundry: small, lumpy order book, thin balance sheet, and the weakest name the desk will deal with at all. Every parcel it takes is majority-advance (T01 S2 outright, T04 75 %, T07 70 %), so its *credit* exposure never exceeds ~₹94 mn against a ₹120 mn limit even on a ₹313 mn cargo. READ THAT WITH WHAT IT COSTS. The advances that keep the receivable small are ₹152 mn, ₹184 mn and ₹219 mn — 1.26x, 1.53x and 1.83x this name's own credit limit, and the last of them is ~15 % of its (SIM) annual turnover, wired in one day. A balance sheet that can pay ₹219 mn up front is not obviously the balance sheet that then goes four weeks past due on the ₹94 mn balance, and the book carries both because it wanted a weak name and a working credit policy on the same ticket. Rule P14 warns on all three and the warnings are left standing rather than argued away; Phase 5's credit model should score pre-settlement performance exposure as well as receivables, and the advance-default case belongs in its stress set. It is also the simulated late payer in adverse event #3 — chosen because a foundry funding itself on its own customers' receivables is exactly the name that stretches when domestic ingot prices fall, not because the outcome was wanted somewhere.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Z73"/>
  <sheetViews>
    <sheetView showGridLines="0" workbookViewId="0">
      <pane xSplit="2" ySplit="20" topLeftCell="C21" activePane="bottomRight" state="frozen"/>
      <selection pane="topRight"/>
      <selection pane="bottomLeft"/>
      <selection pane="bottomRight"/>
      <selection pane="bottomLeft"/>
      <selection pane="bottomRight" activeCell="A1" sqref="A1"/>
    </sheetView>
  </sheetViews>
  <sheetFormatPr baseColWidth="8" defaultRowHeight="15"/>
  <cols>
    <col width="9" customWidth="1" min="1" max="1"/>
    <col width="22" customWidth="1" min="2" max="2"/>
    <col width="14" customWidth="1" min="3" max="3"/>
    <col width="12" customWidth="1" min="4" max="4"/>
    <col width="13" customWidth="1" min="5" max="5"/>
    <col width="12" customWidth="1" min="6" max="6"/>
    <col width="12" customWidth="1" min="7" max="7"/>
    <col width="12" customWidth="1" min="8" max="8"/>
    <col width="10" customWidth="1" min="9" max="9"/>
    <col width="8" customWidth="1" min="10" max="10"/>
    <col width="8" customWidth="1" min="11" max="11"/>
    <col width="12" customWidth="1" min="12" max="12"/>
    <col width="12" customWidth="1" min="13" max="13"/>
    <col width="12" customWidth="1" min="14" max="14"/>
    <col width="11" customWidth="1" min="15" max="15"/>
    <col width="13" customWidth="1" min="16" max="16"/>
    <col width="13" customWidth="1" min="17" max="17"/>
    <col width="12" customWidth="1" min="18" max="18"/>
    <col width="13" customWidth="1" min="19" max="19"/>
    <col width="12" customWidth="1" min="20" max="20"/>
    <col width="12" customWidth="1" min="21" max="21"/>
    <col width="12" customWidth="1" min="22" max="22"/>
    <col width="60" customWidth="1" min="23" max="23"/>
    <col width="15" customWidth="1" min="24" max="24"/>
    <col width="12" customWidth="1" min="25" max="25"/>
    <col width="12" customWidth="1" min="26" max="26"/>
    <col width="12" customWidth="1" min="27" max="27"/>
    <col width="18" customWidth="1" min="28" max="28"/>
    <col width="13" customWidth="1" min="29" max="29"/>
    <col width="12" customWidth="1" min="30" max="30"/>
    <col width="12" customWidth="1" min="31" max="31"/>
    <col width="13" customWidth="1" min="32" max="32"/>
    <col width="12" customWidth="1" min="33" max="33"/>
    <col width="12" customWidth="1" min="34" max="34"/>
    <col width="120" customWidth="1" min="35" max="35"/>
    <col width="10" customWidth="1" min="36" max="36"/>
    <col width="12" customWidth="1" min="37" max="37"/>
    <col width="28" customWidth="1" min="38" max="38"/>
    <col width="10" customWidth="1" min="39" max="39"/>
    <col width="13" customWidth="1" min="40" max="40"/>
    <col width="11" customWidth="1" min="41" max="41"/>
    <col width="12" customWidth="1" min="42" max="42"/>
    <col width="12" customWidth="1" min="43" max="43"/>
    <col width="20" customWidth="1" min="44" max="44"/>
    <col width="14" customWidth="1" min="45" max="45"/>
    <col width="14" customWidth="1" min="46" max="46"/>
    <col width="14" customWidth="1" min="47" max="47"/>
    <col width="30" customWidth="1" min="48" max="48"/>
    <col width="60" customWidth="1" min="49" max="49"/>
    <col width="26" customWidth="1" min="50" max="50"/>
    <col width="26" customWidth="1" min="51" max="51"/>
    <col width="16" customWidth="1" min="52" max="52"/>
    <col width="18" customWidth="1" min="53" max="53"/>
    <col width="12" customWidth="1" min="54" max="54"/>
    <col width="12" customWidth="1" min="55" max="55"/>
    <col width="13" customWidth="1" min="56" max="56"/>
    <col width="12" customWidth="1" min="57" max="57"/>
    <col width="13" customWidth="1" min="58" max="58"/>
    <col width="12" customWidth="1" min="59" max="59"/>
    <col width="22" customWidth="1" min="60" max="60"/>
    <col width="50" customWidth="1" min="61" max="61"/>
    <col width="22" customWidth="1" min="62" max="62"/>
    <col width="14" customWidth="1" min="63" max="63"/>
    <col width="40" customWidth="1" min="64" max="64"/>
    <col width="14" customWidth="1" min="65" max="65"/>
    <col width="20" customWidth="1" min="66" max="66"/>
    <col width="12" customWidth="1" min="67" max="67"/>
    <col width="22" customWidth="1" min="68" max="68"/>
    <col width="12" customWidth="1" min="69" max="69"/>
    <col width="12" customWidth="1" min="70" max="70"/>
    <col width="22" customWidth="1" min="71" max="71"/>
    <col width="11" customWidth="1" min="72" max="72"/>
    <col width="11" customWidth="1" min="73" max="73"/>
    <col width="16" customWidth="1" min="74" max="74"/>
    <col width="12" customWidth="1" min="75" max="75"/>
    <col width="12" customWidth="1" min="76" max="76"/>
    <col width="10" customWidth="1" min="77" max="77"/>
    <col width="9" customWidth="1" min="78" max="78"/>
    <col width="12" customWidth="1" min="79" max="79"/>
    <col width="12" customWidth="1" min="80" max="80"/>
    <col width="11" customWidth="1" min="81" max="81"/>
    <col width="16" customWidth="1" min="82" max="82"/>
    <col width="16" customWidth="1" min="83" max="83"/>
    <col width="13" customWidth="1" min="84" max="84"/>
    <col width="26" customWidth="1" min="85" max="85"/>
    <col width="26" customWidth="1" min="86" max="86"/>
    <col width="26" customWidth="1" min="87" max="87"/>
    <col width="13" customWidth="1" min="88" max="88"/>
    <col width="12" customWidth="1" min="89" max="89"/>
    <col width="11" customWidth="1" min="90" max="90"/>
    <col width="14" customWidth="1" min="91" max="91"/>
    <col width="14" customWidth="1" min="92" max="92"/>
    <col width="12" customWidth="1" min="93" max="93"/>
    <col width="16" customWidth="1" min="94" max="94"/>
    <col width="16" customWidth="1" min="95" max="95"/>
    <col width="16" customWidth="1" min="96" max="96"/>
    <col width="15" customWidth="1" min="97" max="97"/>
    <col width="15" customWidth="1" min="98" max="98"/>
    <col width="15" customWidth="1" min="99" max="99"/>
    <col width="15" customWidth="1" min="100" max="100"/>
    <col width="15" customWidth="1" min="101" max="101"/>
    <col width="120" customWidth="1" min="102" max="102"/>
    <col width="48" customWidth="1" min="103" max="103"/>
    <col width="36" customWidth="1" min="104" max="104"/>
  </cols>
  <sheetData>
    <row r="1">
      <c r="A1" s="1" t="inlineStr">
        <is>
          <t>ACADEMIC SIMULATION — not actual trades</t>
        </is>
      </c>
    </row>
    <row r="2">
      <c r="A2" s="2" t="inlineStr">
        <is>
          <t>Trade_Book — nine SPA tickets (MASTER_SPEC Table 4). Every counterparty and vessel is SIM</t>
        </is>
      </c>
    </row>
    <row r="3">
      <c r="A3" s="3" t="inlineStr">
        <is>
          <t>Source: config/trades.yaml, as Phase 2 publishes it in outputs/tables/trade_book.csv. Blue = ticket input (an executed decision). Green = the Phase 2 value, kept so the live parity look-up beside it can be checked. Black = live CONTRACTS §5a discipline check.</t>
        </is>
      </c>
    </row>
    <row r="5" ht="30" customHeight="1">
      <c r="A5" s="5" t="inlineStr">
        <is>
          <t>trade_id</t>
        </is>
      </c>
      <c r="B5" s="5" t="inlineStr">
        <is>
          <t>status</t>
        </is>
      </c>
      <c r="C5" s="5" t="inlineStr">
        <is>
          <t>trade_date</t>
        </is>
      </c>
      <c r="D5" s="5" t="inlineStr">
        <is>
          <t>in_window</t>
        </is>
      </c>
      <c r="E5" s="5" t="inlineStr">
        <is>
          <t>lane</t>
        </is>
      </c>
      <c r="F5" s="5" t="inlineStr">
        <is>
          <t>grade</t>
        </is>
      </c>
      <c r="G5" s="5" t="inlineStr">
        <is>
          <t>isri_grade_spec</t>
        </is>
      </c>
      <c r="H5" s="5" t="inlineStr">
        <is>
          <t>quantity_mt</t>
        </is>
      </c>
      <c r="I5" s="5" t="inlineStr">
        <is>
          <t>boxes</t>
        </is>
      </c>
      <c r="J5" s="5" t="inlineStr">
        <is>
          <t>box_type</t>
        </is>
      </c>
      <c r="K5" s="5" t="inlineStr">
        <is>
          <t>payload_mt_per_box</t>
        </is>
      </c>
      <c r="L5" s="5" t="inlineStr">
        <is>
          <t>n_lots</t>
        </is>
      </c>
      <c r="M5" s="5" t="inlineStr">
        <is>
          <t>parity_week_end</t>
        </is>
      </c>
      <c r="N5" s="5" t="inlineStr">
        <is>
          <t>supplier_id</t>
        </is>
      </c>
      <c r="O5" s="5" t="inlineStr">
        <is>
          <t>supplier_name</t>
        </is>
      </c>
      <c r="P5" s="5" t="inlineStr">
        <is>
          <t>spa_ref</t>
        </is>
      </c>
      <c r="Q5" s="5" t="inlineStr">
        <is>
          <t>incoterm</t>
        </is>
      </c>
      <c r="R5" s="5" t="inlineStr">
        <is>
          <t>named_place</t>
        </is>
      </c>
      <c r="S5" s="5" t="inlineStr">
        <is>
          <t>freight_booked_by</t>
        </is>
      </c>
      <c r="T5" s="5" t="inlineStr">
        <is>
          <t>freight_risk_borne_by</t>
        </is>
      </c>
      <c r="U5" s="5" t="inlineStr">
        <is>
          <t>moisture_franchise_frac</t>
        </is>
      </c>
      <c r="V5" s="5" t="inlineStr">
        <is>
          <t>contamination_limit_frac</t>
        </is>
      </c>
      <c r="W5" s="5" t="inlineStr">
        <is>
          <t>discount_multiple</t>
        </is>
      </c>
      <c r="X5" s="5" t="inlineStr">
        <is>
          <t>rejection_excess_frac</t>
        </is>
      </c>
      <c r="Y5" s="5" t="inlineStr">
        <is>
          <t>quantity_tolerance_frac</t>
        </is>
      </c>
      <c r="Z5" s="5" t="inlineStr">
        <is>
          <t>purchase_pricing_type</t>
        </is>
      </c>
      <c r="AA5" s="5" t="inlineStr">
        <is>
          <t>purchase_price_usd_t</t>
        </is>
      </c>
      <c r="AB5" s="5" t="inlineStr">
        <is>
          <t>purchase_lme_reference</t>
        </is>
      </c>
      <c r="AC5" s="5" t="inlineStr">
        <is>
          <t>purchase_factor_frac</t>
        </is>
      </c>
      <c r="AD5" s="5" t="inlineStr">
        <is>
          <t>purchase_premium_usd_t</t>
        </is>
      </c>
      <c r="AE5" s="5" t="inlineStr">
        <is>
          <t>provisional_frac</t>
        </is>
      </c>
      <c r="AF5" s="5" t="inlineStr">
        <is>
          <t>pricing_period_month</t>
        </is>
      </c>
      <c r="AG5" s="5" t="inlineStr">
        <is>
          <t>pricing_period_start</t>
        </is>
      </c>
      <c r="AH5" s="5" t="inlineStr">
        <is>
          <t>pricing_period_end</t>
        </is>
      </c>
      <c r="AI5" s="5" t="inlineStr">
        <is>
          <t>payment_instrument</t>
        </is>
      </c>
      <c r="AJ5" s="5" t="inlineStr">
        <is>
          <t>usance_days</t>
        </is>
      </c>
      <c r="AK5" s="5" t="inlineStr">
        <is>
          <t>lc_open_date</t>
        </is>
      </c>
      <c r="AL5" s="5" t="inlineStr">
        <is>
          <t>issuing_bank</t>
        </is>
      </c>
      <c r="AM5" s="5" t="inlineStr">
        <is>
          <t>lc_confirmed</t>
        </is>
      </c>
      <c r="AN5" s="5" t="inlineStr">
        <is>
          <t>confirmation_charges_for</t>
        </is>
      </c>
      <c r="AO5" s="5" t="inlineStr">
        <is>
          <t>psic_required</t>
        </is>
      </c>
      <c r="AP5" s="5" t="inlineStr">
        <is>
          <t>laycan_start</t>
        </is>
      </c>
      <c r="AQ5" s="5" t="inlineStr">
        <is>
          <t>laycan_end</t>
        </is>
      </c>
      <c r="AR5" s="5" t="inlineStr">
        <is>
          <t>load_port</t>
        </is>
      </c>
      <c r="AS5" s="5" t="inlineStr">
        <is>
          <t>discharge_port</t>
        </is>
      </c>
      <c r="AT5" s="5" t="inlineStr">
        <is>
          <t>lot_ids</t>
        </is>
      </c>
      <c r="AU5" s="5" t="inlineStr">
        <is>
          <t>lot_boxes</t>
        </is>
      </c>
      <c r="AV5" s="5" t="inlineStr">
        <is>
          <t>bl_dates</t>
        </is>
      </c>
      <c r="AW5" s="5" t="inlineStr">
        <is>
          <t>vessels</t>
        </is>
      </c>
      <c r="AX5" s="5" t="inlineStr">
        <is>
          <t>voyages</t>
        </is>
      </c>
      <c r="AY5" s="5" t="inlineStr">
        <is>
          <t>freight_forwarder</t>
        </is>
      </c>
      <c r="AZ5" s="5" t="inlineStr">
        <is>
          <t>freight_payment_terms</t>
        </is>
      </c>
      <c r="BA5" s="5" t="inlineStr">
        <is>
          <t>freight_risk_layer</t>
        </is>
      </c>
      <c r="BB5" s="5" t="inlineStr">
        <is>
          <t>freight_fixture_date</t>
        </is>
      </c>
      <c r="BC5" s="5" t="inlineStr">
        <is>
          <t>freight_rate_usd_box</t>
        </is>
      </c>
      <c r="BD5" s="5" t="inlineStr">
        <is>
          <t>freight_index_usd_box_at_fixture</t>
        </is>
      </c>
      <c r="BE5" s="5" t="inlineStr">
        <is>
          <t>freight_stop_loss_usd_box</t>
        </is>
      </c>
      <c r="BF5" s="5" t="inlineStr">
        <is>
          <t>freight_total_usd</t>
        </is>
      </c>
      <c r="BG5" s="5" t="inlineStr">
        <is>
          <t>sale_ids</t>
        </is>
      </c>
      <c r="BH5" s="5" t="inlineStr">
        <is>
          <t>buyer_ids</t>
        </is>
      </c>
      <c r="BI5" s="5" t="inlineStr">
        <is>
          <t>buyer_names</t>
        </is>
      </c>
      <c r="BJ5" s="5" t="inlineStr">
        <is>
          <t>sale_contract_dates</t>
        </is>
      </c>
      <c r="BK5" s="5" t="inlineStr">
        <is>
          <t>sale_lot_ids</t>
        </is>
      </c>
      <c r="BL5" s="5" t="inlineStr">
        <is>
          <t>sale_delivery_basis</t>
        </is>
      </c>
      <c r="BM5" s="5" t="inlineStr">
        <is>
          <t>sale_pricing_types</t>
        </is>
      </c>
      <c r="BN5" s="5" t="inlineStr">
        <is>
          <t>sale_price_inr_t</t>
        </is>
      </c>
      <c r="BO5" s="5" t="inlineStr">
        <is>
          <t>sale_mcx_series</t>
        </is>
      </c>
      <c r="BP5" s="5" t="inlineStr">
        <is>
          <t>sale_pricing_window</t>
        </is>
      </c>
      <c r="BQ5" s="5" t="inlineStr">
        <is>
          <t>sale_factor_frac</t>
        </is>
      </c>
      <c r="BR5" s="5" t="inlineStr">
        <is>
          <t>sale_premium_inr_t</t>
        </is>
      </c>
      <c r="BS5" s="5" t="inlineStr">
        <is>
          <t>sale_payment_terms</t>
        </is>
      </c>
      <c r="BT5" s="5" t="inlineStr">
        <is>
          <t>sale_credit_days</t>
        </is>
      </c>
      <c r="BU5" s="5" t="inlineStr">
        <is>
          <t>sale_advance_frac</t>
        </is>
      </c>
      <c r="BV5" s="5" t="inlineStr">
        <is>
          <t>sale_value_inr</t>
        </is>
      </c>
      <c r="BW5" s="5" t="inlineStr">
        <is>
          <t>quality_passthrough</t>
        </is>
      </c>
      <c r="BX5" s="5" t="inlineStr">
        <is>
          <t>mcx_hedge_ratio_target</t>
        </is>
      </c>
      <c r="BY5" s="5" t="inlineStr">
        <is>
          <t>mcx_tranches</t>
        </is>
      </c>
      <c r="BZ5" s="5" t="inlineStr">
        <is>
          <t>mcx_rolls</t>
        </is>
      </c>
      <c r="CA5" s="5" t="inlineStr">
        <is>
          <t>mcx_lots_at_first_entry</t>
        </is>
      </c>
      <c r="CB5" s="5" t="inlineStr">
        <is>
          <t>fx_hedge_frac_target</t>
        </is>
      </c>
      <c r="CC5" s="5" t="inlineStr">
        <is>
          <t>fx_forward_lines</t>
        </is>
      </c>
      <c r="CD5" s="5" t="inlineStr">
        <is>
          <t>fx_gross_notional_usd</t>
        </is>
      </c>
      <c r="CE5" s="5" t="inlineStr">
        <is>
          <t>purchase_usd_at_contract</t>
        </is>
      </c>
      <c r="CF5" s="5" t="inlineStr">
        <is>
          <t>fx_cover_frac_of_fixed_purchase</t>
        </is>
      </c>
      <c r="CG5" s="5" t="inlineStr">
        <is>
          <t>event_quality</t>
        </is>
      </c>
      <c r="CH5" s="5" t="inlineStr">
        <is>
          <t>event_logistics</t>
        </is>
      </c>
      <c r="CI5" s="5" t="inlineStr">
        <is>
          <t>event_buyer_payment_delay</t>
        </is>
      </c>
      <c r="CJ5" s="5" t="inlineStr">
        <is>
          <t>last_cashflow_date</t>
        </is>
      </c>
      <c r="CK5" s="5" t="inlineStr">
        <is>
          <t>close_date</t>
        </is>
      </c>
      <c r="CL5" s="5" t="inlineStr">
        <is>
          <t>settles_inside_horizon</t>
        </is>
      </c>
      <c r="CM5" s="5" t="inlineStr">
        <is>
          <t>book_net_arb_inr_t</t>
        </is>
      </c>
      <c r="CN5" s="5" t="inlineStr">
        <is>
          <t>book_net_arb_pit_mix_inr_t</t>
        </is>
      </c>
      <c r="CO5" s="5" t="inlineStr">
        <is>
          <t>book_trade_eligible</t>
        </is>
      </c>
      <c r="CP5" s="5" t="inlineStr">
        <is>
          <t>book_replacement_inr_t_at_trade_date</t>
        </is>
      </c>
      <c r="CQ5" s="5" t="inlineStr">
        <is>
          <t>book_netback_inr_t_at_trade_date</t>
        </is>
      </c>
      <c r="CR5" s="5" t="inlineStr">
        <is>
          <t>book_p1_finance_memo_inr</t>
        </is>
      </c>
      <c r="CS5" s="5" t="inlineStr">
        <is>
          <t>parity_net_arb_inr_t</t>
        </is>
      </c>
      <c r="CT5" s="5" t="inlineStr">
        <is>
          <t>parity_net_arb_pit_inr_t</t>
        </is>
      </c>
      <c r="CU5" s="5" t="inlineStr">
        <is>
          <t>parity_net_arb_conv18k_inr_t</t>
        </is>
      </c>
      <c r="CV5" s="5" t="inlineStr">
        <is>
          <t>parity_eligible_live</t>
        </is>
      </c>
      <c r="CW5" s="5" t="inlineStr">
        <is>
          <t>eligible_matches_book</t>
        </is>
      </c>
      <c r="CX5" s="5" t="inlineStr">
        <is>
          <t>rationale</t>
        </is>
      </c>
      <c r="CY5" s="5" t="inlineStr">
        <is>
          <t>rationale_cited_columns</t>
        </is>
      </c>
      <c r="CZ5" s="5" t="inlineStr">
        <is>
          <t>sim_label</t>
        </is>
      </c>
    </row>
    <row r="6">
      <c r="A6" s="7" t="inlineStr">
        <is>
          <t>T01</t>
        </is>
      </c>
      <c r="B6" s="7" t="inlineStr">
        <is>
          <t>EXECUTED</t>
        </is>
      </c>
      <c r="C6" s="11" t="n">
        <v>44628</v>
      </c>
      <c r="D6" s="17" t="b">
        <v>1</v>
      </c>
      <c r="E6" s="7" t="inlineStr">
        <is>
          <t>USEC_MUN</t>
        </is>
      </c>
      <c r="F6" s="7" t="inlineStr">
        <is>
          <t>zorba</t>
        </is>
      </c>
      <c r="G6" s="6" t="inlineStr">
        <is>
          <t>Zorba 95/5, ISRI Scrap Specifications Circular 2022</t>
        </is>
      </c>
      <c r="H6" s="13" t="n">
        <v>2520</v>
      </c>
      <c r="I6" s="6" t="n">
        <v>120</v>
      </c>
      <c r="J6" s="6" t="inlineStr">
        <is>
          <t>40ft</t>
        </is>
      </c>
      <c r="K6" s="6" t="n">
        <v>21</v>
      </c>
      <c r="L6" s="22" t="n">
        <v>3</v>
      </c>
      <c r="M6" s="11" t="n">
        <v>44624</v>
      </c>
      <c r="N6" s="6" t="inlineStr">
        <is>
          <t>SUP_USEC_01</t>
        </is>
      </c>
      <c r="O6" s="6" t="inlineStr">
        <is>
          <t>Tidewater Recycling Corp (SIM)</t>
        </is>
      </c>
      <c r="P6" s="6" t="inlineStr">
        <is>
          <t>SPA/USEC/2203-01 (SIM)</t>
        </is>
      </c>
      <c r="Q6" s="6" t="inlineStr">
        <is>
          <t>FOB</t>
        </is>
      </c>
      <c r="R6" s="6" t="inlineStr">
        <is>
          <t>FOB Norfolk, VA, USA</t>
        </is>
      </c>
      <c r="S6" s="6" t="inlineStr">
        <is>
          <t>DESK_NVOCC</t>
        </is>
      </c>
      <c r="T6" s="6" t="inlineStr">
        <is>
          <t>DESK</t>
        </is>
      </c>
      <c r="U6" s="14" t="n">
        <v>0.01</v>
      </c>
      <c r="V6" s="14" t="n">
        <v>0.06</v>
      </c>
      <c r="W6" s="6" t="n">
        <v>1.5</v>
      </c>
      <c r="X6" s="14" t="n">
        <v>0.03</v>
      </c>
      <c r="Y6" s="14" t="n">
        <v>0.05</v>
      </c>
      <c r="Z6" s="6" t="inlineStr">
        <is>
          <t>FIXED</t>
        </is>
      </c>
      <c r="AA6" s="13" t="n">
        <v>2340</v>
      </c>
      <c r="AD6" s="13" t="n">
        <v>0</v>
      </c>
      <c r="AI6" s="6" t="inlineStr">
        <is>
          <t>LC_SIGHT</t>
        </is>
      </c>
      <c r="AK6" s="6" t="inlineStr">
        <is>
          <t>2022-03-14</t>
        </is>
      </c>
      <c r="AL6" s="6" t="inlineStr">
        <is>
          <t>Bharat Mercantile Bank Ltd (SIM)</t>
        </is>
      </c>
      <c r="AM6" s="10" t="b">
        <v>1</v>
      </c>
      <c r="AN6" s="6" t="inlineStr">
        <is>
          <t>APPLICANT</t>
        </is>
      </c>
      <c r="AO6" s="10" t="b">
        <v>0</v>
      </c>
      <c r="AP6" s="6" t="inlineStr">
        <is>
          <t>2022-03-28</t>
        </is>
      </c>
      <c r="AQ6" s="6" t="inlineStr">
        <is>
          <t>2022-04-08</t>
        </is>
      </c>
      <c r="AR6" s="6" t="inlineStr">
        <is>
          <t>Norfolk, VA, USA</t>
        </is>
      </c>
      <c r="AS6" s="6" t="inlineStr">
        <is>
          <t>MUNDRA</t>
        </is>
      </c>
      <c r="AT6" s="6" t="inlineStr">
        <is>
          <t>L1 | L2 | L3</t>
        </is>
      </c>
      <c r="AU6" s="6" t="inlineStr">
        <is>
          <t>40 | 40 | 40</t>
        </is>
      </c>
      <c r="AV6" s="6" t="inlineStr">
        <is>
          <t>2022-03-29 | 2022-04-04 | 2022-04-07</t>
        </is>
      </c>
      <c r="AW6" s="6" t="inlineStr">
        <is>
          <t>MV Norfolk Pioneer (SIM) | MV Chesapeake Runner (SIM) | MV Carolina Star (SIM)</t>
        </is>
      </c>
      <c r="AX6" s="6" t="inlineStr">
        <is>
          <t>118E (SIM) | 120E (SIM) | 122E (SIM)</t>
        </is>
      </c>
      <c r="AY6" s="6" t="inlineStr">
        <is>
          <t>Meridian Box Lines NVOCC (SIM)</t>
        </is>
      </c>
      <c r="AZ6" s="6" t="inlineStr">
        <is>
          <t>COLLECT_AT_ARRIVAL</t>
        </is>
      </c>
      <c r="BA6" s="6" t="inlineStr">
        <is>
          <t>UNHEDGED_STOP_LOSS</t>
        </is>
      </c>
      <c r="BB6" s="6" t="inlineStr">
        <is>
          <t>2022-03-18</t>
        </is>
      </c>
      <c r="BC6" s="6" t="n">
        <v>2170</v>
      </c>
      <c r="BD6" s="6" t="n">
        <v>2127.09</v>
      </c>
      <c r="BE6" s="6" t="n">
        <v>2570</v>
      </c>
      <c r="BF6" s="13" t="n">
        <v>260400</v>
      </c>
      <c r="BG6" s="6" t="inlineStr">
        <is>
          <t>S1 | S2</t>
        </is>
      </c>
      <c r="BH6" s="6" t="inlineStr">
        <is>
          <t>BUY_MUN_01 | BUY_RJK_01</t>
        </is>
      </c>
      <c r="BI6" s="6" t="inlineStr">
        <is>
          <t>Kandla Metal Industries Pvt Ltd (SIM) | Saurashtra Castings and Alloys Pvt Ltd (SIM)</t>
        </is>
      </c>
      <c r="BJ6" s="6" t="inlineStr">
        <is>
          <t>2022-04-25 | 2022-05-09</t>
        </is>
      </c>
      <c r="BK6" s="6" t="inlineStr">
        <is>
          <t>L1+L2 | L3</t>
        </is>
      </c>
      <c r="BL6" s="6" t="inlineStr">
        <is>
          <t>FOR buyer's works, Gandhidham (SIM) | FOR buyer's works, Rajkot (SIM)</t>
        </is>
      </c>
      <c r="BM6" s="6" t="inlineStr">
        <is>
          <t>FIXED | FIXED</t>
        </is>
      </c>
      <c r="BN6" s="6" t="inlineStr">
        <is>
          <t>201,000.00 | 180,500.00</t>
        </is>
      </c>
      <c r="BO6" s="6" t="inlineStr">
        <is>
          <t xml:space="preserve"> | </t>
        </is>
      </c>
      <c r="BP6" s="6" t="inlineStr">
        <is>
          <t xml:space="preserve"> | </t>
        </is>
      </c>
      <c r="BQ6" s="6" t="inlineStr">
        <is>
          <t xml:space="preserve"> | </t>
        </is>
      </c>
      <c r="BR6" s="6" t="inlineStr">
        <is>
          <t>0.00 | 0.00</t>
        </is>
      </c>
      <c r="BS6" s="6" t="inlineStr">
        <is>
          <t>ADVANCE_PLUS_CREDIT | ADVANCE</t>
        </is>
      </c>
      <c r="BT6" s="6" t="inlineStr">
        <is>
          <t xml:space="preserve">30 | </t>
        </is>
      </c>
      <c r="BU6" s="6" t="inlineStr">
        <is>
          <t>0.50 | 1.00</t>
        </is>
      </c>
      <c r="BV6" s="21" t="n">
        <v>489300000</v>
      </c>
      <c r="BW6" s="6" t="inlineStr">
        <is>
          <t>True | True</t>
        </is>
      </c>
      <c r="BX6" s="6" t="n">
        <v>0.9</v>
      </c>
      <c r="BY6" s="6" t="n">
        <v>4</v>
      </c>
      <c r="BZ6" s="6" t="n">
        <v>2</v>
      </c>
      <c r="CA6" s="6" t="n">
        <v>300</v>
      </c>
      <c r="CB6" s="6" t="n">
        <v>1</v>
      </c>
      <c r="CC6" s="6" t="n">
        <v>4</v>
      </c>
      <c r="CD6" s="13" t="n">
        <v>6157200</v>
      </c>
      <c r="CE6" s="6" t="n">
        <v>5896800</v>
      </c>
      <c r="CF6" s="6" t="n">
        <v>1</v>
      </c>
      <c r="CJ6" s="6" t="inlineStr">
        <is>
          <t>2022-07-04</t>
        </is>
      </c>
      <c r="CK6" s="6" t="inlineStr">
        <is>
          <t>2022-07-04</t>
        </is>
      </c>
      <c r="CL6" s="10" t="b">
        <v>1</v>
      </c>
      <c r="CM6" s="23" t="n">
        <v>49903.86</v>
      </c>
      <c r="CN6" s="23" t="n">
        <v>14650.49</v>
      </c>
      <c r="CO6" s="24" t="b">
        <v>1</v>
      </c>
      <c r="CP6" s="25" t="n">
        <v>198030.27</v>
      </c>
      <c r="CQ6" s="25" t="n">
        <v>246600.79</v>
      </c>
      <c r="CR6" s="23" t="n">
        <v>10384645.69</v>
      </c>
      <c r="CS6" s="18">
        <f>SUMIFS(Parity!$AY$6:$AY$263,Parity!$A$6:$A$263,$M6,Parity!$C$6:$C$263,$F6,Parity!$D$6:$D$263,$E6)</f>
        <v/>
      </c>
      <c r="CT6" s="18">
        <f>SUMIFS(Parity!$BD$6:$BD$263,Parity!$A$6:$A$263,$M6,Parity!$C$6:$C$263,$F6,Parity!$D$6:$D$263,$E6)</f>
        <v/>
      </c>
      <c r="CU6" s="18">
        <f>SUMIFS(Parity!$BE$6:$BE$263,Parity!$A$6:$A$263,$M6,Parity!$C$6:$C$263,$F6,Parity!$D$6:$D$263,$E6)</f>
        <v/>
      </c>
      <c r="CV6" s="8">
        <f>SUMIFS(Parity!$BJ$6:$BJ$263,Parity!$A$6:$A$263,$M6,Parity!$C$6:$C$263,$F6,Parity!$D$6:$D$263,$E6)&gt;0</f>
        <v/>
      </c>
      <c r="CW6" s="8">
        <f>IF($CV6=$CO6,"PASS","FAIL")</f>
        <v/>
      </c>
      <c r="CX6" s="7" t="inlineStr">
        <is>
          <t>Zorba on the US lane cleared all three screens in the week to 04-Mar-2022 with 49,904 ₹/MT on the base run, 14,650 on the point-in-time mix and 44,711 with conversion stressed to 18,000 — the widest the book will ever see, and the point-in-time number is the one that makes me small rather than large. Then this morning the LME gave back 484 dollars in a day off an all-time high, which is the first honest price in a fortnight. I buy fixed FOB rather than on a formula: at 2,340 I have locked a 70 % discount to a metal price that has just been marked down, and a monthly-average formula two months out would leave me guessing in a market that has clearly stopped going up. I take the freight open because the US-India index is down on the week and five dollars under where it stood in late January, and because at 106 dollars a tonne it is small against the metal — but the stop is written down at plus 15 % and the boxes get booked by 18-Mar whatever happens, so the decision is not mine to postpone. I want 300 lots of MCX against 90 % of the LME-equivalent length, split 200/100 because I expect to place this cargo in two parcels — but the near month has moved 12 % today, past the 9 % slab, so the contract is bid only at the limit, if at all, and I get the short on tomorrow's session instead. One night naked is the risk of buying on the day the market breaks, and it cuts both ways: if the contract really is locked, tomorrow opens lower to catch up the rest of the move and I sell my hedge below where I could have sold it today. What I am knowingly running: the Zorba discount itself, three sailings' worth of laycan risk, and the fact that I have no buyer at any price.</t>
        </is>
      </c>
      <c r="CY6" s="7" t="inlineStr">
        <is>
          <t>net_arb_inr_t | net_arb_pit_mix_inr_t | net_arb_conv18k_inr_t | grade_factor | freight_base_usd_t | lme_3m_usd_t</t>
        </is>
      </c>
      <c r="CZ6" s="7" t="inlineStr">
        <is>
          <t>ACADEMIC SIMULATION — not actual trades</t>
        </is>
      </c>
    </row>
    <row r="7">
      <c r="A7" s="7" t="inlineStr">
        <is>
          <t>T02</t>
        </is>
      </c>
      <c r="B7" s="7" t="inlineStr">
        <is>
          <t>EXECUTED</t>
        </is>
      </c>
      <c r="C7" s="11" t="n">
        <v>44631</v>
      </c>
      <c r="D7" s="17" t="b">
        <v>1</v>
      </c>
      <c r="E7" s="7" t="inlineStr">
        <is>
          <t>JEA_NSA</t>
        </is>
      </c>
      <c r="F7" s="7" t="inlineStr">
        <is>
          <t>tense</t>
        </is>
      </c>
      <c r="G7" s="6" t="inlineStr">
        <is>
          <t>Tense, ISRI Scrap Specifications Circular 2022</t>
        </is>
      </c>
      <c r="H7" s="13" t="n">
        <v>1200</v>
      </c>
      <c r="I7" s="6" t="n">
        <v>48</v>
      </c>
      <c r="J7" s="6" t="inlineStr">
        <is>
          <t>20ft</t>
        </is>
      </c>
      <c r="K7" s="6" t="n">
        <v>25</v>
      </c>
      <c r="L7" s="22" t="n">
        <v>2</v>
      </c>
      <c r="M7" s="11" t="n">
        <v>44631</v>
      </c>
      <c r="N7" s="6" t="inlineStr">
        <is>
          <t>SUP_JEA_01</t>
        </is>
      </c>
      <c r="O7" s="6" t="inlineStr">
        <is>
          <t>Khaleej Metal Resources FZE (SIM)</t>
        </is>
      </c>
      <c r="P7" s="6" t="inlineStr">
        <is>
          <t>SPA/JEA/2203-02 (SIM)</t>
        </is>
      </c>
      <c r="Q7" s="6" t="inlineStr">
        <is>
          <t>CFR</t>
        </is>
      </c>
      <c r="R7" s="6" t="inlineStr">
        <is>
          <t>CFR Nhava Sheva, India</t>
        </is>
      </c>
      <c r="S7" s="6" t="inlineStr">
        <is>
          <t>SELLER (inside the CFR price)</t>
        </is>
      </c>
      <c r="T7" s="6" t="inlineStr">
        <is>
          <t>SELLER (inside the CFR price)</t>
        </is>
      </c>
      <c r="U7" s="14" t="n">
        <v>0.01</v>
      </c>
      <c r="V7" s="14" t="n">
        <v>0.02</v>
      </c>
      <c r="W7" s="6" t="n">
        <v>1.5</v>
      </c>
      <c r="X7" s="14" t="n">
        <v>0.03</v>
      </c>
      <c r="Z7" s="6" t="inlineStr">
        <is>
          <t>LME_M1_AVG</t>
        </is>
      </c>
      <c r="AB7" s="6" t="inlineStr">
        <is>
          <t>CASH</t>
        </is>
      </c>
      <c r="AC7" s="14" t="n">
        <v>0.638</v>
      </c>
      <c r="AD7" s="13" t="n">
        <v>0</v>
      </c>
      <c r="AE7" s="14" t="n">
        <v>0.95</v>
      </c>
      <c r="AF7" s="6" t="inlineStr">
        <is>
          <t>2022-05</t>
        </is>
      </c>
      <c r="AG7" s="6" t="inlineStr">
        <is>
          <t>2022-05-03</t>
        </is>
      </c>
      <c r="AH7" s="6" t="inlineStr">
        <is>
          <t>2022-05-31</t>
        </is>
      </c>
      <c r="AI7" s="6" t="inlineStr">
        <is>
          <t>LC_USANCE</t>
        </is>
      </c>
      <c r="AJ7" s="22" t="n">
        <v>90</v>
      </c>
      <c r="AK7" s="6" t="inlineStr">
        <is>
          <t>2022-03-21</t>
        </is>
      </c>
      <c r="AL7" s="6" t="inlineStr">
        <is>
          <t>Bharat Mercantile Bank Ltd (SIM)</t>
        </is>
      </c>
      <c r="AM7" s="10" t="b">
        <v>0</v>
      </c>
      <c r="AO7" s="10" t="b">
        <v>1</v>
      </c>
      <c r="AP7" s="6" t="inlineStr">
        <is>
          <t>2022-04-01</t>
        </is>
      </c>
      <c r="AQ7" s="6" t="inlineStr">
        <is>
          <t>2022-04-22</t>
        </is>
      </c>
      <c r="AR7" s="6" t="inlineStr">
        <is>
          <t>Jebel Ali, UAE</t>
        </is>
      </c>
      <c r="AS7" s="6" t="inlineStr">
        <is>
          <t>NHAVA_SHEVA</t>
        </is>
      </c>
      <c r="AT7" s="6" t="inlineStr">
        <is>
          <t>L1 | L2</t>
        </is>
      </c>
      <c r="AU7" s="6" t="inlineStr">
        <is>
          <t>24 | 24</t>
        </is>
      </c>
      <c r="AV7" s="6" t="inlineStr">
        <is>
          <t>2022-04-05 | 2022-04-13</t>
        </is>
      </c>
      <c r="AW7" s="6" t="inlineStr">
        <is>
          <t>MV Gulf Kestrel (SIM) | MV Sharjah Bay (SIM)</t>
        </is>
      </c>
      <c r="AX7" s="6" t="inlineStr">
        <is>
          <t>214W (SIM) | 216W (SIM)</t>
        </is>
      </c>
      <c r="BF7" s="13" t="n">
        <v>0</v>
      </c>
      <c r="BG7" s="6" t="inlineStr">
        <is>
          <t>S1</t>
        </is>
      </c>
      <c r="BH7" s="6" t="inlineStr">
        <is>
          <t>BUY_JNPT_01</t>
        </is>
      </c>
      <c r="BI7" s="6" t="inlineStr">
        <is>
          <t>Taloja Alloys and Smelters Pvt Ltd (SIM)</t>
        </is>
      </c>
      <c r="BJ7" s="6" t="inlineStr">
        <is>
          <t>2022-03-11</t>
        </is>
      </c>
      <c r="BK7" s="6" t="inlineStr">
        <is>
          <t>L1+L2</t>
        </is>
      </c>
      <c r="BL7" s="6" t="inlineStr">
        <is>
          <t>FOR buyer's works, Taloja (SIM)</t>
        </is>
      </c>
      <c r="BM7" s="6" t="inlineStr">
        <is>
          <t>MCX_AVG</t>
        </is>
      </c>
      <c r="BO7" s="6" t="inlineStr">
        <is>
          <t>M1</t>
        </is>
      </c>
      <c r="BP7" s="6" t="inlineStr">
        <is>
          <t>2022-04-19..2022-04-29</t>
        </is>
      </c>
      <c r="BQ7" s="6" t="inlineStr">
        <is>
          <t>0.916000</t>
        </is>
      </c>
      <c r="BR7" s="6" t="inlineStr">
        <is>
          <t>-51,900.00</t>
        </is>
      </c>
      <c r="BS7" s="6" t="inlineStr">
        <is>
          <t>CREDIT</t>
        </is>
      </c>
      <c r="BT7" s="6" t="inlineStr">
        <is>
          <t>30</t>
        </is>
      </c>
      <c r="BV7" s="21" t="n">
        <v>254093172.96</v>
      </c>
      <c r="BW7" s="6" t="inlineStr">
        <is>
          <t>True</t>
        </is>
      </c>
      <c r="BX7" s="6" t="n">
        <v>1</v>
      </c>
      <c r="BY7" s="6" t="n">
        <v>4</v>
      </c>
      <c r="BZ7" s="6" t="n">
        <v>2</v>
      </c>
      <c r="CA7" s="6" t="n">
        <v>74</v>
      </c>
      <c r="CB7" s="6" t="n">
        <v>1</v>
      </c>
      <c r="CC7" s="6" t="n">
        <v>3</v>
      </c>
      <c r="CD7" s="13" t="n">
        <v>2647900</v>
      </c>
      <c r="CJ7" s="6" t="inlineStr">
        <is>
          <t>2022-07-12</t>
        </is>
      </c>
      <c r="CK7" s="6" t="inlineStr">
        <is>
          <t>2022-07-12</t>
        </is>
      </c>
      <c r="CL7" s="10" t="b">
        <v>1</v>
      </c>
      <c r="CM7" s="23" t="n">
        <v>63523.34</v>
      </c>
      <c r="CN7" s="23" t="n">
        <v>28042.25</v>
      </c>
      <c r="CO7" s="24" t="b">
        <v>1</v>
      </c>
      <c r="CP7" s="25" t="n">
        <v>178826.22</v>
      </c>
      <c r="CQ7" s="25" t="n">
        <v>244566.8</v>
      </c>
      <c r="CR7" s="23" t="n">
        <v>2660686.24</v>
      </c>
      <c r="CS7" s="18">
        <f>SUMIFS(Parity!$AY$6:$AY$263,Parity!$A$6:$A$263,$M7,Parity!$C$6:$C$263,$F7,Parity!$D$6:$D$263,$E7)</f>
        <v/>
      </c>
      <c r="CT7" s="18">
        <f>SUMIFS(Parity!$BD$6:$BD$263,Parity!$A$6:$A$263,$M7,Parity!$C$6:$C$263,$F7,Parity!$D$6:$D$263,$E7)</f>
        <v/>
      </c>
      <c r="CU7" s="18">
        <f>SUMIFS(Parity!$BE$6:$BE$263,Parity!$A$6:$A$263,$M7,Parity!$C$6:$C$263,$F7,Parity!$D$6:$D$263,$E7)</f>
        <v/>
      </c>
      <c r="CV7" s="8">
        <f>SUMIFS(Parity!$BJ$6:$BJ$263,Parity!$A$6:$A$263,$M7,Parity!$C$6:$C$263,$F7,Parity!$D$6:$D$263,$E7)&gt;0</f>
        <v/>
      </c>
      <c r="CW7" s="8">
        <f>IF($CV7=$CO7,"PASS","FAIL")</f>
        <v/>
      </c>
      <c r="CX7" s="7" t="inlineStr">
        <is>
          <t>Tense on the Gulf lane is the best case on the board this week — 63,523 ₹/MT base, 28,042 on the point-in-time mix, 58,024 with conversion at 18,000 — and it is the trade I want for reasons that have nothing to do with the size of that number: five days of transit, a buyer in Taloja who will sign the same afternoon, and a formula on both sides so I am not taking a view on where the LME goes from here. After Tuesday's 484-dollar break I do not want to be long flat price on a guess. I price the purchase on the cash average of the month after shipment because an April laycan makes that period certain at signature, and I take the 90-day usance because the cargo will be sold, delivered and collected before I have to pay for it — the usance interest is cheaper than my working-capital line and it turns a funding problem into a priced one. What I am actually trading is the gap between a 0.638 purchase factor and a sale that grosses up to about 0.99 of LME through duty parity: a third of a tonne of metal per tonne of scrap, which is why I sell 74 lots now and expect to be buying 145 back once the buyer's April average is behind me and my own is not. I know the flip costs me a spread and I know the eleven-day gap between the two windows is unhedgeable. The risk I would call out to the desk head is the origin: a pre-shipment inspection that goes wrong at Jebel Ali stops the whole cargo, and UAE material is outside the safe-origin list.</t>
        </is>
      </c>
      <c r="CY7" s="7" t="inlineStr">
        <is>
          <t>net_arb_inr_t | net_arb_pit_mix_inr_t | net_arb_conv18k_inr_t | grade_factor | mcx_anchor_inr_kg | lme_cash_3m_spread_usd_t</t>
        </is>
      </c>
      <c r="CZ7" s="7" t="inlineStr">
        <is>
          <t>ACADEMIC SIMULATION — not actual trades</t>
        </is>
      </c>
    </row>
    <row r="8">
      <c r="A8" s="7" t="inlineStr">
        <is>
          <t>T03</t>
        </is>
      </c>
      <c r="B8" s="7" t="inlineStr">
        <is>
          <t>EXECUTED</t>
        </is>
      </c>
      <c r="C8" s="11" t="n">
        <v>44643</v>
      </c>
      <c r="D8" s="17" t="b">
        <v>1</v>
      </c>
      <c r="E8" s="7" t="inlineStr">
        <is>
          <t>JEA_NSA</t>
        </is>
      </c>
      <c r="F8" s="7" t="inlineStr">
        <is>
          <t>taint_tabor</t>
        </is>
      </c>
      <c r="G8" s="6" t="inlineStr">
        <is>
          <t>Taint/Tabor, ISRI Scrap Specifications Circular 2022</t>
        </is>
      </c>
      <c r="H8" s="13" t="n">
        <v>1200</v>
      </c>
      <c r="I8" s="6" t="n">
        <v>60</v>
      </c>
      <c r="J8" s="6" t="inlineStr">
        <is>
          <t>20ft</t>
        </is>
      </c>
      <c r="K8" s="6" t="n">
        <v>20</v>
      </c>
      <c r="L8" s="22" t="n">
        <v>2</v>
      </c>
      <c r="M8" s="11" t="n">
        <v>44638</v>
      </c>
      <c r="N8" s="6" t="inlineStr">
        <is>
          <t>SUP_JEA_01</t>
        </is>
      </c>
      <c r="O8" s="6" t="inlineStr">
        <is>
          <t>Khaleej Metal Resources FZE (SIM)</t>
        </is>
      </c>
      <c r="P8" s="6" t="inlineStr">
        <is>
          <t>SPA/JEA/2203-03 (SIM)</t>
        </is>
      </c>
      <c r="Q8" s="6" t="inlineStr">
        <is>
          <t>CFR</t>
        </is>
      </c>
      <c r="R8" s="6" t="inlineStr">
        <is>
          <t>CFR Nhava Sheva, India</t>
        </is>
      </c>
      <c r="S8" s="6" t="inlineStr">
        <is>
          <t>SELLER (inside the CFR price)</t>
        </is>
      </c>
      <c r="T8" s="6" t="inlineStr">
        <is>
          <t>SELLER (inside the CFR price)</t>
        </is>
      </c>
      <c r="U8" s="14" t="n">
        <v>0.01</v>
      </c>
      <c r="V8" s="14" t="n">
        <v>0.02</v>
      </c>
      <c r="W8" s="6" t="n">
        <v>1.5</v>
      </c>
      <c r="X8" s="14" t="n">
        <v>0.03</v>
      </c>
      <c r="Y8" s="14" t="n">
        <v>0.05</v>
      </c>
      <c r="Z8" s="6" t="inlineStr">
        <is>
          <t>FIXED</t>
        </is>
      </c>
      <c r="AA8" s="13" t="n">
        <v>2470</v>
      </c>
      <c r="AD8" s="13" t="n">
        <v>0</v>
      </c>
      <c r="AI8" s="6" t="inlineStr">
        <is>
          <t>LC_SIGHT</t>
        </is>
      </c>
      <c r="AK8" s="6" t="inlineStr">
        <is>
          <t>2022-03-30</t>
        </is>
      </c>
      <c r="AL8" s="6" t="inlineStr">
        <is>
          <t>Bharat Mercantile Bank Ltd (SIM)</t>
        </is>
      </c>
      <c r="AM8" s="10" t="b">
        <v>0</v>
      </c>
      <c r="AO8" s="10" t="b">
        <v>1</v>
      </c>
      <c r="AP8" s="6" t="inlineStr">
        <is>
          <t>2022-04-11</t>
        </is>
      </c>
      <c r="AQ8" s="6" t="inlineStr">
        <is>
          <t>2022-04-29</t>
        </is>
      </c>
      <c r="AR8" s="6" t="inlineStr">
        <is>
          <t>Jebel Ali, UAE</t>
        </is>
      </c>
      <c r="AS8" s="6" t="inlineStr">
        <is>
          <t>NHAVA_SHEVA</t>
        </is>
      </c>
      <c r="AT8" s="6" t="inlineStr">
        <is>
          <t>L1 | L2</t>
        </is>
      </c>
      <c r="AU8" s="6" t="inlineStr">
        <is>
          <t>30 | 30</t>
        </is>
      </c>
      <c r="AV8" s="6" t="inlineStr">
        <is>
          <t>2022-04-13 | 2022-04-22</t>
        </is>
      </c>
      <c r="AW8" s="6" t="inlineStr">
        <is>
          <t>MV Hormuz Trader (SIM) | MV Musandam Spirit (SIM)</t>
        </is>
      </c>
      <c r="AX8" s="6" t="inlineStr">
        <is>
          <t>220W (SIM) | 222W (SIM)</t>
        </is>
      </c>
      <c r="BF8" s="13" t="n">
        <v>0</v>
      </c>
      <c r="BG8" s="6" t="inlineStr">
        <is>
          <t>S1</t>
        </is>
      </c>
      <c r="BH8" s="6" t="inlineStr">
        <is>
          <t>BUY_JNPT_01</t>
        </is>
      </c>
      <c r="BI8" s="6" t="inlineStr">
        <is>
          <t>Taloja Alloys and Smelters Pvt Ltd (SIM)</t>
        </is>
      </c>
      <c r="BJ8" s="6" t="inlineStr">
        <is>
          <t>2022-04-26</t>
        </is>
      </c>
      <c r="BK8" s="6" t="inlineStr">
        <is>
          <t>L1+L2</t>
        </is>
      </c>
      <c r="BL8" s="6" t="inlineStr">
        <is>
          <t>FOR buyer's works, Taloja (SIM)</t>
        </is>
      </c>
      <c r="BM8" s="6" t="inlineStr">
        <is>
          <t>FIXED</t>
        </is>
      </c>
      <c r="BN8" s="6" t="inlineStr">
        <is>
          <t>201,250.00</t>
        </is>
      </c>
      <c r="BR8" s="6" t="inlineStr">
        <is>
          <t>0.00</t>
        </is>
      </c>
      <c r="BS8" s="6" t="inlineStr">
        <is>
          <t>CREDIT</t>
        </is>
      </c>
      <c r="BT8" s="6" t="inlineStr">
        <is>
          <t>30</t>
        </is>
      </c>
      <c r="BV8" s="21" t="n">
        <v>241500000</v>
      </c>
      <c r="BW8" s="6" t="inlineStr">
        <is>
          <t>True</t>
        </is>
      </c>
      <c r="BX8" s="6" t="n">
        <v>0.9</v>
      </c>
      <c r="BY8" s="6" t="n">
        <v>2</v>
      </c>
      <c r="BZ8" s="6" t="n">
        <v>1</v>
      </c>
      <c r="CA8" s="6" t="n">
        <v>143</v>
      </c>
      <c r="CB8" s="6" t="n">
        <v>1</v>
      </c>
      <c r="CC8" s="6" t="n">
        <v>2</v>
      </c>
      <c r="CD8" s="13" t="n">
        <v>2964000</v>
      </c>
      <c r="CE8" s="6" t="n">
        <v>2964000</v>
      </c>
      <c r="CF8" s="6" t="n">
        <v>1</v>
      </c>
      <c r="CJ8" s="6" t="inlineStr">
        <is>
          <t>2022-06-13</t>
        </is>
      </c>
      <c r="CK8" s="6" t="inlineStr">
        <is>
          <t>2022-06-13</t>
        </is>
      </c>
      <c r="CL8" s="10" t="b">
        <v>1</v>
      </c>
      <c r="CM8" s="23" t="n">
        <v>43204.94</v>
      </c>
      <c r="CN8" s="23" t="n">
        <v>10406.05</v>
      </c>
      <c r="CO8" s="24" t="b">
        <v>1</v>
      </c>
      <c r="CP8" s="25" t="n">
        <v>198090.37</v>
      </c>
      <c r="CQ8" s="25" t="n">
        <v>245636.62</v>
      </c>
      <c r="CR8" s="23" t="n">
        <v>2945141.76</v>
      </c>
      <c r="CS8" s="18">
        <f>SUMIFS(Parity!$AY$6:$AY$263,Parity!$A$6:$A$263,$M8,Parity!$C$6:$C$263,$F8,Parity!$D$6:$D$263,$E8)</f>
        <v/>
      </c>
      <c r="CT8" s="18">
        <f>SUMIFS(Parity!$BD$6:$BD$263,Parity!$A$6:$A$263,$M8,Parity!$C$6:$C$263,$F8,Parity!$D$6:$D$263,$E8)</f>
        <v/>
      </c>
      <c r="CU8" s="18">
        <f>SUMIFS(Parity!$BE$6:$BE$263,Parity!$A$6:$A$263,$M8,Parity!$C$6:$C$263,$F8,Parity!$D$6:$D$263,$E8)</f>
        <v/>
      </c>
      <c r="CV8" s="8">
        <f>SUMIFS(Parity!$BJ$6:$BJ$263,Parity!$A$6:$A$263,$M8,Parity!$C$6:$C$263,$F8,Parity!$D$6:$D$263,$E8)&gt;0</f>
        <v/>
      </c>
      <c r="CW8" s="8">
        <f>IF($CV8=$CO8,"PASS","FAIL")</f>
        <v/>
      </c>
      <c r="CX8" s="7" t="inlineStr">
        <is>
          <t>Taint/Tabor on the Gulf lane passes all three screens in the week to 18-Mar-2022, but the honest number is the point-in-time one at 10,406 ₹/MT against 43,205 on the base run — a four-fold gap that says most of this margin is the lag-2 grade mix, not something I can bank. So I take a 60-box parcel, not a shipload, and I take it fixed because at 2,470 CFR the seller has given me 15 dollars under my own parity for clearing material it has carried since February. The LME has bounced 306 dollars off the 15-Mar low and I do not believe it; a fixed price today is a position I can hedge, a formula is a position I cannot. The detail that matters on this grade is the box: Taint/Tabor loads 20 tonnes in a twenty-footer against a 25-tonne base, so every per-box cost — freight, port, the pre-shipment inspection on Gulf origin — is a quarter more expensive per tonne than the lane table suggests, and that is already in the 201-odd thousand rupees I need domestically to make this work. I sell 143 lots against 90 % of the length, roll once into May, and accept that I am carrying the scrap discount naked.</t>
        </is>
      </c>
      <c r="CY8" s="7" t="inlineStr">
        <is>
          <t>net_arb_inr_t | net_arb_pit_mix_inr_t | net_arb_conv18k_inr_t | grade_factor | payload_scale</t>
        </is>
      </c>
      <c r="CZ8" s="7" t="inlineStr">
        <is>
          <t>ACADEMIC SIMULATION — not actual trades</t>
        </is>
      </c>
    </row>
    <row r="9">
      <c r="A9" s="7" t="inlineStr">
        <is>
          <t>T04</t>
        </is>
      </c>
      <c r="B9" s="7" t="inlineStr">
        <is>
          <t>EXECUTED</t>
        </is>
      </c>
      <c r="C9" s="11" t="n">
        <v>44657</v>
      </c>
      <c r="D9" s="17" t="b">
        <v>1</v>
      </c>
      <c r="E9" s="7" t="inlineStr">
        <is>
          <t>USEC_MUN</t>
        </is>
      </c>
      <c r="F9" s="7" t="inlineStr">
        <is>
          <t>taint_tabor</t>
        </is>
      </c>
      <c r="G9" s="6" t="inlineStr">
        <is>
          <t>Taint/Tabor, ISRI Scrap Specifications Circular 2022</t>
        </is>
      </c>
      <c r="H9" s="13" t="n">
        <v>1260</v>
      </c>
      <c r="I9" s="6" t="n">
        <v>60</v>
      </c>
      <c r="J9" s="6" t="inlineStr">
        <is>
          <t>40ft</t>
        </is>
      </c>
      <c r="K9" s="6" t="n">
        <v>21</v>
      </c>
      <c r="L9" s="22" t="n">
        <v>2</v>
      </c>
      <c r="M9" s="11" t="n">
        <v>44652</v>
      </c>
      <c r="N9" s="6" t="inlineStr">
        <is>
          <t>SUP_USEC_02</t>
        </is>
      </c>
      <c r="O9" s="6" t="inlineStr">
        <is>
          <t>Delaware Bay Metals LLC (SIM)</t>
        </is>
      </c>
      <c r="P9" s="6" t="inlineStr">
        <is>
          <t>SPA/USEC/2204-04 (SIM)</t>
        </is>
      </c>
      <c r="Q9" s="6" t="inlineStr">
        <is>
          <t>FOB</t>
        </is>
      </c>
      <c r="R9" s="6" t="inlineStr">
        <is>
          <t>FOB Wilmington, DE, USA</t>
        </is>
      </c>
      <c r="S9" s="6" t="inlineStr">
        <is>
          <t>DESK_NVOCC</t>
        </is>
      </c>
      <c r="T9" s="6" t="inlineStr">
        <is>
          <t>DESK</t>
        </is>
      </c>
      <c r="U9" s="14" t="n">
        <v>0.01</v>
      </c>
      <c r="V9" s="14" t="n">
        <v>0.02</v>
      </c>
      <c r="W9" s="6" t="n">
        <v>1.5</v>
      </c>
      <c r="X9" s="14" t="n">
        <v>0.03</v>
      </c>
      <c r="Z9" s="6" t="inlineStr">
        <is>
          <t>FIXED</t>
        </is>
      </c>
      <c r="AA9" s="13" t="n">
        <v>2410</v>
      </c>
      <c r="AD9" s="13" t="n">
        <v>0</v>
      </c>
      <c r="AI9" s="6" t="inlineStr">
        <is>
          <t>LC_SIGHT</t>
        </is>
      </c>
      <c r="AK9" s="6" t="inlineStr">
        <is>
          <t>2022-04-12</t>
        </is>
      </c>
      <c r="AL9" s="6" t="inlineStr">
        <is>
          <t>Bharat Mercantile Bank Ltd (SIM)</t>
        </is>
      </c>
      <c r="AM9" s="10" t="b">
        <v>0</v>
      </c>
      <c r="AO9" s="10" t="b">
        <v>0</v>
      </c>
      <c r="AP9" s="6" t="inlineStr">
        <is>
          <t>2022-04-25</t>
        </is>
      </c>
      <c r="AQ9" s="6" t="inlineStr">
        <is>
          <t>2022-05-06</t>
        </is>
      </c>
      <c r="AR9" s="6" t="inlineStr">
        <is>
          <t>Wilmington, DE, USA</t>
        </is>
      </c>
      <c r="AS9" s="6" t="inlineStr">
        <is>
          <t>MUNDRA</t>
        </is>
      </c>
      <c r="AT9" s="6" t="inlineStr">
        <is>
          <t>L1 | L2</t>
        </is>
      </c>
      <c r="AU9" s="6" t="inlineStr">
        <is>
          <t>30 | 30</t>
        </is>
      </c>
      <c r="AV9" s="6" t="inlineStr">
        <is>
          <t>2022-04-27 | 2022-05-04</t>
        </is>
      </c>
      <c r="AW9" s="6" t="inlineStr">
        <is>
          <t>MV Delaware Crest (SIM) | MV Brandywine (SIM)</t>
        </is>
      </c>
      <c r="AX9" s="6" t="inlineStr">
        <is>
          <t>305E (SIM) | 307E (SIM)</t>
        </is>
      </c>
      <c r="AY9" s="6" t="inlineStr">
        <is>
          <t>Konkan Freight Services (SIM)</t>
        </is>
      </c>
      <c r="AZ9" s="6" t="inlineStr">
        <is>
          <t>PREPAID_AT_BL</t>
        </is>
      </c>
      <c r="BA9" s="6" t="inlineStr">
        <is>
          <t>UNHEDGED_STOP_LOSS</t>
        </is>
      </c>
      <c r="BB9" s="6" t="inlineStr">
        <is>
          <t>2022-04-14</t>
        </is>
      </c>
      <c r="BC9" s="6" t="n">
        <v>2005</v>
      </c>
      <c r="BD9" s="6" t="n">
        <v>1967.49</v>
      </c>
      <c r="BE9" s="6" t="n">
        <v>2260</v>
      </c>
      <c r="BF9" s="13" t="n">
        <v>120300</v>
      </c>
      <c r="BG9" s="6" t="inlineStr">
        <is>
          <t>S1</t>
        </is>
      </c>
      <c r="BH9" s="6" t="inlineStr">
        <is>
          <t>BUY_RJK_01</t>
        </is>
      </c>
      <c r="BI9" s="6" t="inlineStr">
        <is>
          <t>Saurashtra Castings and Alloys Pvt Ltd (SIM)</t>
        </is>
      </c>
      <c r="BJ9" s="6" t="inlineStr">
        <is>
          <t>2022-05-24</t>
        </is>
      </c>
      <c r="BK9" s="6" t="inlineStr">
        <is>
          <t>L1+L2</t>
        </is>
      </c>
      <c r="BL9" s="6" t="inlineStr">
        <is>
          <t>FOR buyer's works, Rajkot (SIM)</t>
        </is>
      </c>
      <c r="BM9" s="6" t="inlineStr">
        <is>
          <t>FIXED</t>
        </is>
      </c>
      <c r="BN9" s="6" t="inlineStr">
        <is>
          <t>194,500.00</t>
        </is>
      </c>
      <c r="BR9" s="6" t="inlineStr">
        <is>
          <t>0.00</t>
        </is>
      </c>
      <c r="BS9" s="6" t="inlineStr">
        <is>
          <t>ADVANCE_PLUS_CREDIT</t>
        </is>
      </c>
      <c r="BT9" s="6" t="inlineStr">
        <is>
          <t>30</t>
        </is>
      </c>
      <c r="BU9" s="6" t="inlineStr">
        <is>
          <t>0.75</t>
        </is>
      </c>
      <c r="BV9" s="21" t="n">
        <v>245070000</v>
      </c>
      <c r="BW9" s="6" t="inlineStr">
        <is>
          <t>True</t>
        </is>
      </c>
      <c r="BX9" s="6" t="n">
        <v>0.5</v>
      </c>
      <c r="BY9" s="6" t="n">
        <v>3</v>
      </c>
      <c r="BZ9" s="6" t="n">
        <v>2</v>
      </c>
      <c r="CA9" s="6" t="n">
        <v>87</v>
      </c>
      <c r="CB9" s="6" t="n">
        <v>1</v>
      </c>
      <c r="CC9" s="6" t="n">
        <v>3</v>
      </c>
      <c r="CD9" s="13" t="n">
        <v>3156900</v>
      </c>
      <c r="CE9" s="6" t="n">
        <v>3036600</v>
      </c>
      <c r="CF9" s="6" t="n">
        <v>1</v>
      </c>
      <c r="CJ9" s="6" t="inlineStr">
        <is>
          <t>2022-07-29</t>
        </is>
      </c>
      <c r="CK9" s="6" t="inlineStr">
        <is>
          <t>2022-07-29</t>
        </is>
      </c>
      <c r="CL9" s="10" t="b">
        <v>1</v>
      </c>
      <c r="CM9" s="23" t="n">
        <v>36623.37</v>
      </c>
      <c r="CN9" s="23" t="n">
        <v>19210.17</v>
      </c>
      <c r="CO9" s="24" t="b">
        <v>1</v>
      </c>
      <c r="CP9" s="25" t="n">
        <v>199577.37</v>
      </c>
      <c r="CQ9" s="25" t="n">
        <v>236251.87</v>
      </c>
      <c r="CR9" s="23" t="n">
        <v>5243327.58</v>
      </c>
      <c r="CS9" s="18">
        <f>SUMIFS(Parity!$AY$6:$AY$263,Parity!$A$6:$A$263,$M9,Parity!$C$6:$C$263,$F9,Parity!$D$6:$D$263,$E9)</f>
        <v/>
      </c>
      <c r="CT9" s="18">
        <f>SUMIFS(Parity!$BD$6:$BD$263,Parity!$A$6:$A$263,$M9,Parity!$C$6:$C$263,$F9,Parity!$D$6:$D$263,$E9)</f>
        <v/>
      </c>
      <c r="CU9" s="18">
        <f>SUMIFS(Parity!$BE$6:$BE$263,Parity!$A$6:$A$263,$M9,Parity!$C$6:$C$263,$F9,Parity!$D$6:$D$263,$E9)</f>
        <v/>
      </c>
      <c r="CV9" s="8">
        <f>SUMIFS(Parity!$BJ$6:$BJ$263,Parity!$A$6:$A$263,$M9,Parity!$C$6:$C$263,$F9,Parity!$D$6:$D$263,$E9)&gt;0</f>
        <v/>
      </c>
      <c r="CW9" s="8">
        <f>IF($CV9=$CO9,"PASS","FAIL")</f>
        <v/>
      </c>
      <c r="CX9" s="7" t="inlineStr">
        <is>
          <t>Taint/Tabor on the US lane in the week to 01-Apr-2022: 36,623 ₹/MT base, 19,210 point-in-time, 31,241 with conversion stressed — still open on all three, but every one of those numbers is a third lower than the 04-Mar week and the direction of travel is obvious. The LME has been in a 3,400 to 3,600 range for a fortnight without conviction and USD/INR is grinding up. I take a small parcel, 60 boxes, from the Delaware yard because it is 13 dollars under my own netback and because I want a second US supplier on the book before the good one prices me out. Freight is the quiet win on this lane: the index has come off 12 % since the 04-Mar week and I book it on the stop's last date rather than the first. The decision I want on the record is the hedge. I am selling 87 lots, not the 157 the desk rule would give me — half the length, not ninety per cent — for two reasons. The March margin call on the short book was the largest cash outflow we have taken and I am not rebuilding that commitment into a market that can move 12 % in a session; and on this grade the point-in-time screen is telling me the discount, not the flat price, is the risk, and MCX does not hedge a discount at any ratio. If the market keeps falling this costs me, and I would rather pay for a decision I made than for one I did not.</t>
        </is>
      </c>
      <c r="CY9" s="7" t="inlineStr">
        <is>
          <t>net_arb_inr_t | net_arb_pit_mix_inr_t | net_arb_conv18k_inr_t | grade_factor | freight_base_usd_t</t>
        </is>
      </c>
      <c r="CZ9" s="7" t="inlineStr">
        <is>
          <t>ACADEMIC SIMULATION — not actual trades</t>
        </is>
      </c>
    </row>
    <row r="10">
      <c r="A10" s="7" t="inlineStr">
        <is>
          <t>T05</t>
        </is>
      </c>
      <c r="B10" s="7" t="inlineStr">
        <is>
          <t>EXECUTED</t>
        </is>
      </c>
      <c r="C10" s="11" t="n">
        <v>44672</v>
      </c>
      <c r="D10" s="17" t="b">
        <v>1</v>
      </c>
      <c r="E10" s="7" t="inlineStr">
        <is>
          <t>USEC_MUN</t>
        </is>
      </c>
      <c r="F10" s="7" t="inlineStr">
        <is>
          <t>tense</t>
        </is>
      </c>
      <c r="G10" s="6" t="inlineStr">
        <is>
          <t>Tense, ISRI Scrap Specifications Circular 2022</t>
        </is>
      </c>
      <c r="H10" s="13" t="n">
        <v>2100</v>
      </c>
      <c r="I10" s="6" t="n">
        <v>100</v>
      </c>
      <c r="J10" s="6" t="inlineStr">
        <is>
          <t>40ft</t>
        </is>
      </c>
      <c r="K10" s="6" t="n">
        <v>21</v>
      </c>
      <c r="L10" s="22" t="n">
        <v>2</v>
      </c>
      <c r="M10" s="11" t="n">
        <v>44666</v>
      </c>
      <c r="N10" s="6" t="inlineStr">
        <is>
          <t>SUP_USEC_01</t>
        </is>
      </c>
      <c r="O10" s="6" t="inlineStr">
        <is>
          <t>Tidewater Recycling Corp (SIM)</t>
        </is>
      </c>
      <c r="P10" s="6" t="inlineStr">
        <is>
          <t>SPA/USEC/2204-05 (SIM)</t>
        </is>
      </c>
      <c r="Q10" s="6" t="inlineStr">
        <is>
          <t>CFR</t>
        </is>
      </c>
      <c r="R10" s="6" t="inlineStr">
        <is>
          <t>CFR Mundra, India</t>
        </is>
      </c>
      <c r="S10" s="6" t="inlineStr">
        <is>
          <t>SELLER (inside the CFR price)</t>
        </is>
      </c>
      <c r="T10" s="6" t="inlineStr">
        <is>
          <t>SELLER (inside the CFR price)</t>
        </is>
      </c>
      <c r="U10" s="14" t="n">
        <v>0.01</v>
      </c>
      <c r="V10" s="14" t="n">
        <v>0.02</v>
      </c>
      <c r="W10" s="6" t="n">
        <v>1.5</v>
      </c>
      <c r="X10" s="14" t="n">
        <v>0.03</v>
      </c>
      <c r="Z10" s="6" t="inlineStr">
        <is>
          <t>LME_M1_AVG</t>
        </is>
      </c>
      <c r="AB10" s="6" t="inlineStr">
        <is>
          <t>CASH</t>
        </is>
      </c>
      <c r="AC10" s="14" t="n">
        <v>0.702</v>
      </c>
      <c r="AD10" s="13" t="n">
        <v>0</v>
      </c>
      <c r="AE10" s="14" t="n">
        <v>0.95</v>
      </c>
      <c r="AF10" s="6" t="inlineStr">
        <is>
          <t>2022-06</t>
        </is>
      </c>
      <c r="AG10" s="6" t="inlineStr">
        <is>
          <t>2022-06-01</t>
        </is>
      </c>
      <c r="AH10" s="6" t="inlineStr">
        <is>
          <t>2022-06-30</t>
        </is>
      </c>
      <c r="AI10" s="6" t="inlineStr">
        <is>
          <t>LC_USANCE</t>
        </is>
      </c>
      <c r="AJ10" s="22" t="n">
        <v>60</v>
      </c>
      <c r="AK10" s="6" t="inlineStr">
        <is>
          <t>2022-04-28</t>
        </is>
      </c>
      <c r="AL10" s="6" t="inlineStr">
        <is>
          <t>Bharat Mercantile Bank Ltd (SIM)</t>
        </is>
      </c>
      <c r="AM10" s="10" t="b">
        <v>1</v>
      </c>
      <c r="AN10" s="6" t="inlineStr">
        <is>
          <t>APPLICANT</t>
        </is>
      </c>
      <c r="AO10" s="10" t="b">
        <v>0</v>
      </c>
      <c r="AP10" s="6" t="inlineStr">
        <is>
          <t>2022-05-09</t>
        </is>
      </c>
      <c r="AQ10" s="6" t="inlineStr">
        <is>
          <t>2022-05-27</t>
        </is>
      </c>
      <c r="AR10" s="6" t="inlineStr">
        <is>
          <t>Norfolk, VA, USA</t>
        </is>
      </c>
      <c r="AS10" s="6" t="inlineStr">
        <is>
          <t>MUNDRA</t>
        </is>
      </c>
      <c r="AT10" s="6" t="inlineStr">
        <is>
          <t>L1 | L2</t>
        </is>
      </c>
      <c r="AU10" s="6" t="inlineStr">
        <is>
          <t>50 | 50</t>
        </is>
      </c>
      <c r="AV10" s="6" t="inlineStr">
        <is>
          <t>2022-05-10 | 2022-05-18</t>
        </is>
      </c>
      <c r="AW10" s="6" t="inlineStr">
        <is>
          <t>MV Tidewater Venture (SIM) | MV James River (SIM)</t>
        </is>
      </c>
      <c r="AX10" s="6" t="inlineStr">
        <is>
          <t>131E (SIM) | 133E (SIM)</t>
        </is>
      </c>
      <c r="BF10" s="13" t="n">
        <v>0</v>
      </c>
      <c r="BG10" s="6" t="inlineStr">
        <is>
          <t>S1</t>
        </is>
      </c>
      <c r="BH10" s="6" t="inlineStr">
        <is>
          <t>BUY_MUN_01</t>
        </is>
      </c>
      <c r="BI10" s="6" t="inlineStr">
        <is>
          <t>Kandla Metal Industries Pvt Ltd (SIM)</t>
        </is>
      </c>
      <c r="BJ10" s="6" t="inlineStr">
        <is>
          <t>2022-04-21</t>
        </is>
      </c>
      <c r="BK10" s="6" t="inlineStr">
        <is>
          <t>L1+L2</t>
        </is>
      </c>
      <c r="BL10" s="6" t="inlineStr">
        <is>
          <t>FOR buyer's works, Gandhidham (SIM)</t>
        </is>
      </c>
      <c r="BM10" s="6" t="inlineStr">
        <is>
          <t>MCX_AVG</t>
        </is>
      </c>
      <c r="BO10" s="6" t="inlineStr">
        <is>
          <t>M1</t>
        </is>
      </c>
      <c r="BP10" s="6" t="inlineStr">
        <is>
          <t>2022-06-29..2022-07-08</t>
        </is>
      </c>
      <c r="BQ10" s="6" t="inlineStr">
        <is>
          <t>0.916000</t>
        </is>
      </c>
      <c r="BR10" s="6" t="inlineStr">
        <is>
          <t>-41,200.00</t>
        </is>
      </c>
      <c r="BS10" s="6" t="inlineStr">
        <is>
          <t>CREDIT</t>
        </is>
      </c>
      <c r="BT10" s="6" t="inlineStr">
        <is>
          <t>30</t>
        </is>
      </c>
      <c r="BV10" s="21" t="n">
        <v>433329629.88</v>
      </c>
      <c r="BW10" s="6" t="inlineStr">
        <is>
          <t>True</t>
        </is>
      </c>
      <c r="BX10" s="6" t="n">
        <v>1</v>
      </c>
      <c r="BY10" s="6" t="n">
        <v>4</v>
      </c>
      <c r="BZ10" s="6" t="n">
        <v>2</v>
      </c>
      <c r="CA10" s="6" t="n">
        <v>105</v>
      </c>
      <c r="CB10" s="6" t="n">
        <v>1</v>
      </c>
      <c r="CC10" s="6" t="n">
        <v>3</v>
      </c>
      <c r="CD10" s="13" t="n">
        <v>3956700</v>
      </c>
      <c r="CJ10" s="6" t="inlineStr">
        <is>
          <t>2022-08-12</t>
        </is>
      </c>
      <c r="CK10" s="6" t="inlineStr">
        <is>
          <t>2022-08-12</t>
        </is>
      </c>
      <c r="CL10" s="10" t="b">
        <v>1</v>
      </c>
      <c r="CM10" s="23" t="n">
        <v>42669.94</v>
      </c>
      <c r="CN10" s="23" t="n">
        <v>40777.67</v>
      </c>
      <c r="CO10" s="24" t="b">
        <v>1</v>
      </c>
      <c r="CP10" s="25" t="n">
        <v>184280.58</v>
      </c>
      <c r="CQ10" s="25" t="n">
        <v>228459.5</v>
      </c>
      <c r="CR10" s="23" t="n">
        <v>8140082.72</v>
      </c>
      <c r="CS10" s="18">
        <f>SUMIFS(Parity!$AY$6:$AY$263,Parity!$A$6:$A$263,$M10,Parity!$C$6:$C$263,$F10,Parity!$D$6:$D$263,$E10)</f>
        <v/>
      </c>
      <c r="CT10" s="18">
        <f>SUMIFS(Parity!$BD$6:$BD$263,Parity!$A$6:$A$263,$M10,Parity!$C$6:$C$263,$F10,Parity!$D$6:$D$263,$E10)</f>
        <v/>
      </c>
      <c r="CU10" s="18">
        <f>SUMIFS(Parity!$BE$6:$BE$263,Parity!$A$6:$A$263,$M10,Parity!$C$6:$C$263,$F10,Parity!$D$6:$D$263,$E10)</f>
        <v/>
      </c>
      <c r="CV10" s="8">
        <f>SUMIFS(Parity!$BJ$6:$BJ$263,Parity!$A$6:$A$263,$M10,Parity!$C$6:$C$263,$F10,Parity!$D$6:$D$263,$E10)&gt;0</f>
        <v/>
      </c>
      <c r="CW10" s="8">
        <f>IF($CV10=$CO10,"PASS","FAIL")</f>
        <v/>
      </c>
      <c r="CX10" s="7" t="inlineStr">
        <is>
          <t>Tense on the US lane in the week to 15-Apr-2022 is the first case this book has seen where the three screens agree: 42,670 ₹/MT base, 40,778 point-in-time, 37,170 with conversion stressed. When the point-in-time mix stops disagreeing with the lag-2 mix, the margin is telling me something about the market rather than about my own reconstruction, and that is worth being larger for — 100 boxes, the biggest parcel on this lane in the book. I buy it on the cash average of the month after shipment and sell it back-to-back on the buyer's delivery-month MCX average, because on a forty-day transit I do not want six weeks of flat-price risk I am not paid to take. The 60-day usance on a confirmed instrument costs me a confirmation fee I would rather not pay, but it means the cargo is sold and the first collection is in before I settle the bill, and the seller wanted the instrument more than it wanted the last third of a point on the factor — a concession to place a hundred boxes, not the price of the tenor, which I pay for in acceptance interest and a confirmation fee. The exposure I am left with is the one I actually want: the sale grosses up to 0.99 of LME through duty parity against a 0.702 purchase, so a quarter of a tonne per tonne of scrap is live until both averages are behind me, and I sell 105 lots against it today. What I am watching: my own quotational month closes three weeks before the buyer's window opens, so there is a stretch where I own priced metal against an unpriced sale and the hedge has to grow, not shrink. The rupee at 76.21 is the other thing — I cover the whole usance payable forward on each B/L, when the provisional invoice fixes what I owe and when. The final balance I do not cover until the quotational month is shut: its size and even its sign are unknown until then, and a forward against a number I have invented is a position, not a hedge.</t>
        </is>
      </c>
      <c r="CY10" s="7" t="inlineStr">
        <is>
          <t>net_arb_inr_t | net_arb_pit_mix_inr_t | net_arb_conv18k_inr_t | grade_factor | mcx_anchor_inr_kg</t>
        </is>
      </c>
      <c r="CZ10" s="7" t="inlineStr">
        <is>
          <t>ACADEMIC SIMULATION — not actual trades</t>
        </is>
      </c>
    </row>
    <row r="11">
      <c r="A11" s="7" t="inlineStr">
        <is>
          <t>T06</t>
        </is>
      </c>
      <c r="B11" s="7" t="inlineStr">
        <is>
          <t>EXECUTED</t>
        </is>
      </c>
      <c r="C11" s="11" t="n">
        <v>44691</v>
      </c>
      <c r="D11" s="17" t="b">
        <v>1</v>
      </c>
      <c r="E11" s="7" t="inlineStr">
        <is>
          <t>JEA_NSA</t>
        </is>
      </c>
      <c r="F11" s="7" t="inlineStr">
        <is>
          <t>zorba</t>
        </is>
      </c>
      <c r="G11" s="6" t="inlineStr">
        <is>
          <t>Zorba 95/5, ISRI Scrap Specifications Circular 2022</t>
        </is>
      </c>
      <c r="H11" s="13" t="n">
        <v>1300</v>
      </c>
      <c r="I11" s="6" t="n">
        <v>50</v>
      </c>
      <c r="J11" s="6" t="inlineStr">
        <is>
          <t>20ft</t>
        </is>
      </c>
      <c r="K11" s="6" t="n">
        <v>26</v>
      </c>
      <c r="L11" s="22" t="n">
        <v>2</v>
      </c>
      <c r="M11" s="11" t="n">
        <v>44687</v>
      </c>
      <c r="N11" s="6" t="inlineStr">
        <is>
          <t>SUP_JEA_01</t>
        </is>
      </c>
      <c r="O11" s="6" t="inlineStr">
        <is>
          <t>Khaleej Metal Resources FZE (SIM)</t>
        </is>
      </c>
      <c r="P11" s="6" t="inlineStr">
        <is>
          <t>SPA/JEA/2205-06 (SIM)</t>
        </is>
      </c>
      <c r="Q11" s="6" t="inlineStr">
        <is>
          <t>CFR</t>
        </is>
      </c>
      <c r="R11" s="6" t="inlineStr">
        <is>
          <t>CFR Nhava Sheva, India</t>
        </is>
      </c>
      <c r="S11" s="6" t="inlineStr">
        <is>
          <t>SELLER (inside the CFR price)</t>
        </is>
      </c>
      <c r="T11" s="6" t="inlineStr">
        <is>
          <t>SELLER (inside the CFR price)</t>
        </is>
      </c>
      <c r="U11" s="14" t="n">
        <v>0.01</v>
      </c>
      <c r="V11" s="14" t="n">
        <v>0.06</v>
      </c>
      <c r="W11" s="6" t="n">
        <v>1.5</v>
      </c>
      <c r="X11" s="14" t="n">
        <v>0.03</v>
      </c>
      <c r="Z11" s="6" t="inlineStr">
        <is>
          <t>FIXED</t>
        </is>
      </c>
      <c r="AA11" s="13" t="n">
        <v>2138</v>
      </c>
      <c r="AD11" s="13" t="n">
        <v>0</v>
      </c>
      <c r="AI11" s="6" t="inlineStr">
        <is>
          <t>LC_SIGHT</t>
        </is>
      </c>
      <c r="AK11" s="6" t="inlineStr">
        <is>
          <t>2022-05-13</t>
        </is>
      </c>
      <c r="AL11" s="6" t="inlineStr">
        <is>
          <t>Bharat Mercantile Bank Ltd (SIM)</t>
        </is>
      </c>
      <c r="AM11" s="10" t="b">
        <v>0</v>
      </c>
      <c r="AO11" s="10" t="b">
        <v>1</v>
      </c>
      <c r="AP11" s="6" t="inlineStr">
        <is>
          <t>2022-05-23</t>
        </is>
      </c>
      <c r="AQ11" s="6" t="inlineStr">
        <is>
          <t>2022-06-10</t>
        </is>
      </c>
      <c r="AR11" s="6" t="inlineStr">
        <is>
          <t>Jebel Ali, UAE</t>
        </is>
      </c>
      <c r="AS11" s="6" t="inlineStr">
        <is>
          <t>NHAVA_SHEVA</t>
        </is>
      </c>
      <c r="AT11" s="6" t="inlineStr">
        <is>
          <t>L1 | L2</t>
        </is>
      </c>
      <c r="AU11" s="6" t="inlineStr">
        <is>
          <t>25 | 25</t>
        </is>
      </c>
      <c r="AV11" s="6" t="inlineStr">
        <is>
          <t>2022-05-25 | 2022-06-07</t>
        </is>
      </c>
      <c r="AW11" s="6" t="inlineStr">
        <is>
          <t>MV Khaleej Dawn (SIM) | MV Jebel Meridian (SIM)</t>
        </is>
      </c>
      <c r="AX11" s="6" t="inlineStr">
        <is>
          <t>231W (SIM) | 233W (SIM)</t>
        </is>
      </c>
      <c r="BF11" s="13" t="n">
        <v>0</v>
      </c>
      <c r="BG11" s="6" t="inlineStr">
        <is>
          <t>S1</t>
        </is>
      </c>
      <c r="BH11" s="6" t="inlineStr">
        <is>
          <t>BUY_JNPT_01</t>
        </is>
      </c>
      <c r="BI11" s="6" t="inlineStr">
        <is>
          <t>Taloja Alloys and Smelters Pvt Ltd (SIM)</t>
        </is>
      </c>
      <c r="BJ11" s="6" t="inlineStr">
        <is>
          <t>2022-06-01</t>
        </is>
      </c>
      <c r="BK11" s="6" t="inlineStr">
        <is>
          <t>L1+L2</t>
        </is>
      </c>
      <c r="BL11" s="6" t="inlineStr">
        <is>
          <t>FOR buyer's works, Taloja (SIM)</t>
        </is>
      </c>
      <c r="BM11" s="6" t="inlineStr">
        <is>
          <t>FIXED</t>
        </is>
      </c>
      <c r="BN11" s="6" t="inlineStr">
        <is>
          <t>185,250.00</t>
        </is>
      </c>
      <c r="BR11" s="6" t="inlineStr">
        <is>
          <t>0.00</t>
        </is>
      </c>
      <c r="BS11" s="6" t="inlineStr">
        <is>
          <t>CREDIT</t>
        </is>
      </c>
      <c r="BT11" s="6" t="inlineStr">
        <is>
          <t>45</t>
        </is>
      </c>
      <c r="BV11" s="21" t="n">
        <v>240825000</v>
      </c>
      <c r="BW11" s="6" t="inlineStr">
        <is>
          <t>True</t>
        </is>
      </c>
      <c r="BX11" s="6" t="n">
        <v>0.9</v>
      </c>
      <c r="BY11" s="6" t="n">
        <v>2</v>
      </c>
      <c r="BZ11" s="6" t="n">
        <v>1</v>
      </c>
      <c r="CA11" s="6" t="n">
        <v>176</v>
      </c>
      <c r="CB11" s="6" t="n">
        <v>0.6</v>
      </c>
      <c r="CC11" s="6" t="n">
        <v>2</v>
      </c>
      <c r="CD11" s="13" t="n">
        <v>1667600</v>
      </c>
      <c r="CE11" s="6" t="n">
        <v>2779400</v>
      </c>
      <c r="CF11" s="6" t="n">
        <v>0.599986</v>
      </c>
      <c r="CJ11" s="6" t="inlineStr">
        <is>
          <t>2022-08-08</t>
        </is>
      </c>
      <c r="CK11" s="6" t="inlineStr">
        <is>
          <t>2022-08-08</t>
        </is>
      </c>
      <c r="CL11" s="10" t="b">
        <v>1</v>
      </c>
      <c r="CM11" s="23" t="n">
        <v>12841.8</v>
      </c>
      <c r="CN11" s="23" t="n">
        <v>20708.1</v>
      </c>
      <c r="CO11" s="24" t="b">
        <v>1</v>
      </c>
      <c r="CP11" s="25" t="n">
        <v>172969.58</v>
      </c>
      <c r="CQ11" s="25" t="n">
        <v>184431.19</v>
      </c>
      <c r="CR11" s="23" t="n">
        <v>2814681.41</v>
      </c>
      <c r="CS11" s="18">
        <f>SUMIFS(Parity!$AY$6:$AY$263,Parity!$A$6:$A$263,$M11,Parity!$C$6:$C$263,$F11,Parity!$D$6:$D$263,$E11)</f>
        <v/>
      </c>
      <c r="CT11" s="18">
        <f>SUMIFS(Parity!$BD$6:$BD$263,Parity!$A$6:$A$263,$M11,Parity!$C$6:$C$263,$F11,Parity!$D$6:$D$263,$E11)</f>
        <v/>
      </c>
      <c r="CU11" s="18">
        <f>SUMIFS(Parity!$BE$6:$BE$263,Parity!$A$6:$A$263,$M11,Parity!$C$6:$C$263,$F11,Parity!$D$6:$D$263,$E11)</f>
        <v/>
      </c>
      <c r="CV11" s="8">
        <f>SUMIFS(Parity!$BJ$6:$BJ$263,Parity!$A$6:$A$263,$M11,Parity!$C$6:$C$263,$F11,Parity!$D$6:$D$263,$E11)&gt;0</f>
        <v/>
      </c>
      <c r="CW11" s="8">
        <f>IF($CV11=$CO11,"PASS","FAIL")</f>
        <v/>
      </c>
      <c r="CX11" s="7" t="inlineStr">
        <is>
          <t>The Zorba window is closing. In the week to 06-May-2022 the Gulf lane gives 12,842 ₹/MT base and only 7,649 once conversion is stressed to 18,000 — a quarter of what the same screen paid in March — and on my reading this is the last week I can put a Zorba parcel on the books at all. So I take one, 50 boxes, fixed CFR at 2,138, and I take it small. The reason I am still interested is the factor: Zorba has gone from 0.699 of LME on 08-Mar to 0.792 today because yards have simply refused to follow the exchange down, and a cargo bought at a sticky discount into a falling flat price is a position where my hedge does the work and the discount is on my side. I sell 176 lots against 90 % of the length and roll once. The decision worth arguing about is the dollar. I am covering 60 % of the payable, not the whole thing. The rupee is at 77.26, almost a rupee weaker than three sessions ago; my policy is to cover the contracted USD payable in full, and to deal each forward on its bill of lading, when I know what I owe and when I owe it — which also means I am uncovered from today until the first B/L, a fortnight of rupee I am carrying whether I like it or not. But this cargo has no rupee revenue attached to it yet, and a fully covered payable against an uncontracted sale is not a hedge, it is a view. I will cover the balance when I fix the domestic price and know what rupees I am actually getting. If the rupee runs away from me before then, that is a cost I have chosen, and it belongs in the FX bucket with my name on it.</t>
        </is>
      </c>
      <c r="CY11" s="7" t="inlineStr">
        <is>
          <t>net_arb_inr_t | net_arb_pit_mix_inr_t | net_arb_conv18k_inr_t | grade_factor | mcx_anchor_inr_kg</t>
        </is>
      </c>
      <c r="CZ11" s="7" t="inlineStr">
        <is>
          <t>ACADEMIC SIMULATION — not actual trades</t>
        </is>
      </c>
    </row>
    <row r="12">
      <c r="A12" s="7" t="inlineStr">
        <is>
          <t>T07</t>
        </is>
      </c>
      <c r="B12" s="7" t="inlineStr">
        <is>
          <t>EXECUTED</t>
        </is>
      </c>
      <c r="C12" s="11" t="n">
        <v>44706</v>
      </c>
      <c r="D12" s="17" t="b">
        <v>1</v>
      </c>
      <c r="E12" s="7" t="inlineStr">
        <is>
          <t>USEC_MUN</t>
        </is>
      </c>
      <c r="F12" s="7" t="inlineStr">
        <is>
          <t>tense</t>
        </is>
      </c>
      <c r="G12" s="6" t="inlineStr">
        <is>
          <t>Tense, ISRI Scrap Specifications Circular 2022</t>
        </is>
      </c>
      <c r="H12" s="13" t="n">
        <v>1890</v>
      </c>
      <c r="I12" s="6" t="n">
        <v>90</v>
      </c>
      <c r="J12" s="6" t="inlineStr">
        <is>
          <t>40ft</t>
        </is>
      </c>
      <c r="K12" s="6" t="n">
        <v>21</v>
      </c>
      <c r="L12" s="22" t="n">
        <v>2</v>
      </c>
      <c r="M12" s="11" t="n">
        <v>44701</v>
      </c>
      <c r="N12" s="6" t="inlineStr">
        <is>
          <t>SUP_USEC_02</t>
        </is>
      </c>
      <c r="O12" s="6" t="inlineStr">
        <is>
          <t>Delaware Bay Metals LLC (SIM)</t>
        </is>
      </c>
      <c r="P12" s="6" t="inlineStr">
        <is>
          <t>SPA/USEC/2205-07 (SIM)</t>
        </is>
      </c>
      <c r="Q12" s="6" t="inlineStr">
        <is>
          <t>FOB</t>
        </is>
      </c>
      <c r="R12" s="6" t="inlineStr">
        <is>
          <t>FOB Wilmington, DE, USA</t>
        </is>
      </c>
      <c r="S12" s="6" t="inlineStr">
        <is>
          <t>DESK_NVOCC</t>
        </is>
      </c>
      <c r="T12" s="6" t="inlineStr">
        <is>
          <t>DESK</t>
        </is>
      </c>
      <c r="U12" s="14" t="n">
        <v>0.01</v>
      </c>
      <c r="V12" s="14" t="n">
        <v>0.02</v>
      </c>
      <c r="W12" s="6" t="n">
        <v>1.5</v>
      </c>
      <c r="X12" s="14" t="n">
        <v>0.03</v>
      </c>
      <c r="Z12" s="6" t="inlineStr">
        <is>
          <t>FIXED</t>
        </is>
      </c>
      <c r="AA12" s="13" t="n">
        <v>2086</v>
      </c>
      <c r="AD12" s="13" t="n">
        <v>0</v>
      </c>
      <c r="AI12" s="6" t="inlineStr">
        <is>
          <t>LC_SIGHT</t>
        </is>
      </c>
      <c r="AK12" s="6" t="inlineStr">
        <is>
          <t>2022-05-27</t>
        </is>
      </c>
      <c r="AL12" s="6" t="inlineStr">
        <is>
          <t>Bharat Mercantile Bank Ltd (SIM)</t>
        </is>
      </c>
      <c r="AM12" s="10" t="b">
        <v>0</v>
      </c>
      <c r="AO12" s="10" t="b">
        <v>0</v>
      </c>
      <c r="AP12" s="6" t="inlineStr">
        <is>
          <t>2022-06-06</t>
        </is>
      </c>
      <c r="AQ12" s="6" t="inlineStr">
        <is>
          <t>2022-06-17</t>
        </is>
      </c>
      <c r="AR12" s="6" t="inlineStr">
        <is>
          <t>Wilmington, DE, USA</t>
        </is>
      </c>
      <c r="AS12" s="6" t="inlineStr">
        <is>
          <t>MUNDRA</t>
        </is>
      </c>
      <c r="AT12" s="6" t="inlineStr">
        <is>
          <t>L1 | L2</t>
        </is>
      </c>
      <c r="AU12" s="6" t="inlineStr">
        <is>
          <t>45 | 45</t>
        </is>
      </c>
      <c r="AV12" s="6" t="inlineStr">
        <is>
          <t>2022-06-08 | 2022-06-15</t>
        </is>
      </c>
      <c r="AW12" s="6" t="inlineStr">
        <is>
          <t>MV Delaware Crest (SIM) | MV Christina Bay (SIM)</t>
        </is>
      </c>
      <c r="AX12" s="6" t="inlineStr">
        <is>
          <t>312E (SIM) | 314E (SIM)</t>
        </is>
      </c>
      <c r="AY12" s="6" t="inlineStr">
        <is>
          <t>Konkan Freight Services (SIM)</t>
        </is>
      </c>
      <c r="AZ12" s="6" t="inlineStr">
        <is>
          <t>PREPAID_AT_BL</t>
        </is>
      </c>
      <c r="BA12" s="6" t="inlineStr">
        <is>
          <t>UNHEDGED_STOP_LOSS</t>
        </is>
      </c>
      <c r="BB12" s="6" t="inlineStr">
        <is>
          <t>2022-05-27</t>
        </is>
      </c>
      <c r="BC12" s="6" t="n">
        <v>1900</v>
      </c>
      <c r="BD12" s="6" t="n">
        <v>1867.74</v>
      </c>
      <c r="BE12" s="6" t="n">
        <v>2170</v>
      </c>
      <c r="BF12" s="13" t="n">
        <v>171000</v>
      </c>
      <c r="BG12" s="6" t="inlineStr">
        <is>
          <t>S1</t>
        </is>
      </c>
      <c r="BH12" s="6" t="inlineStr">
        <is>
          <t>BUY_RJK_01</t>
        </is>
      </c>
      <c r="BI12" s="6" t="inlineStr">
        <is>
          <t>Saurashtra Castings and Alloys Pvt Ltd (SIM)</t>
        </is>
      </c>
      <c r="BJ12" s="6" t="inlineStr">
        <is>
          <t>2022-07-26</t>
        </is>
      </c>
      <c r="BK12" s="6" t="inlineStr">
        <is>
          <t>L1+L2</t>
        </is>
      </c>
      <c r="BL12" s="6" t="inlineStr">
        <is>
          <t>FOR buyer's works, Rajkot (SIM)</t>
        </is>
      </c>
      <c r="BM12" s="6" t="inlineStr">
        <is>
          <t>FIXED</t>
        </is>
      </c>
      <c r="BN12" s="6" t="inlineStr">
        <is>
          <t>165,750.00</t>
        </is>
      </c>
      <c r="BR12" s="6" t="inlineStr">
        <is>
          <t>0.00</t>
        </is>
      </c>
      <c r="BS12" s="6" t="inlineStr">
        <is>
          <t>ADVANCE_PLUS_CREDIT</t>
        </is>
      </c>
      <c r="BT12" s="6" t="inlineStr">
        <is>
          <t>30</t>
        </is>
      </c>
      <c r="BU12" s="6" t="inlineStr">
        <is>
          <t>0.70</t>
        </is>
      </c>
      <c r="BV12" s="21" t="n">
        <v>313267500</v>
      </c>
      <c r="BW12" s="6" t="inlineStr">
        <is>
          <t>True</t>
        </is>
      </c>
      <c r="BX12" s="6" t="n">
        <v>0.9</v>
      </c>
      <c r="BY12" s="6" t="n">
        <v>3</v>
      </c>
      <c r="BZ12" s="6" t="n">
        <v>2</v>
      </c>
      <c r="CA12" s="6" t="n">
        <v>247</v>
      </c>
      <c r="CB12" s="6" t="n">
        <v>1</v>
      </c>
      <c r="CC12" s="6" t="n">
        <v>3</v>
      </c>
      <c r="CD12" s="13" t="n">
        <v>4113600</v>
      </c>
      <c r="CE12" s="6" t="n">
        <v>3942540</v>
      </c>
      <c r="CF12" s="6" t="n">
        <v>1.000015</v>
      </c>
      <c r="CG12" s="6" t="inlineStr">
        <is>
          <t>L1: moisture 0.024, contamination 0.031, rejected 0 box(es) (SIM)</t>
        </is>
      </c>
      <c r="CH12" s="6" t="inlineStr">
        <is>
          <t>T07-LOG-1: L1 +6d dwell, +0d arrival, known 2022-07-28 (SIM) | T07-LOG-2: L2 +12d dwell, +0d arrival, known 2022-07-28 (SIM)</t>
        </is>
      </c>
      <c r="CI12" s="6" t="inlineStr">
        <is>
          <t>T07-PAY-1: S1 +26d, known 2022-09-26 (SIM)</t>
        </is>
      </c>
      <c r="CJ12" s="6" t="inlineStr">
        <is>
          <t>2022-10-11</t>
        </is>
      </c>
      <c r="CK12" s="6" t="inlineStr">
        <is>
          <t>2022-10-11</t>
        </is>
      </c>
      <c r="CL12" s="10" t="b">
        <v>1</v>
      </c>
      <c r="CM12" s="23" t="n">
        <v>22935.22</v>
      </c>
      <c r="CN12" s="23" t="n">
        <v>39374.43</v>
      </c>
      <c r="CO12" s="24" t="b">
        <v>1</v>
      </c>
      <c r="CP12" s="25" t="n">
        <v>177826.77</v>
      </c>
      <c r="CQ12" s="25" t="n">
        <v>199564.79</v>
      </c>
      <c r="CR12" s="23" t="n">
        <v>7142686.08</v>
      </c>
      <c r="CS12" s="18">
        <f>SUMIFS(Parity!$AY$6:$AY$263,Parity!$A$6:$A$263,$M12,Parity!$C$6:$C$263,$F12,Parity!$D$6:$D$263,$E12)</f>
        <v/>
      </c>
      <c r="CT12" s="18">
        <f>SUMIFS(Parity!$BD$6:$BD$263,Parity!$A$6:$A$263,$M12,Parity!$C$6:$C$263,$F12,Parity!$D$6:$D$263,$E12)</f>
        <v/>
      </c>
      <c r="CU12" s="18">
        <f>SUMIFS(Parity!$BE$6:$BE$263,Parity!$A$6:$A$263,$M12,Parity!$C$6:$C$263,$F12,Parity!$D$6:$D$263,$E12)</f>
        <v/>
      </c>
      <c r="CV12" s="8">
        <f>SUMIFS(Parity!$BJ$6:$BJ$263,Parity!$A$6:$A$263,$M12,Parity!$C$6:$C$263,$F12,Parity!$D$6:$D$263,$E12)&gt;0</f>
        <v/>
      </c>
      <c r="CW12" s="8">
        <f>IF($CV12=$CO12,"PASS","FAIL")</f>
        <v/>
      </c>
      <c r="CX12" s="7" t="inlineStr">
        <is>
          <t>Tense on the US lane in the week to 20-May-2022: 22,935 ₹/MT base, 39,374 point-in-time, 17,436 with conversion stressed. For once the point-in-time mix is the friendly number and the base is the cautious one, which is the opposite of March and tells me the reconstruction has stopped flattering me. It still clears all three, so I buy — 90 boxes, fixed FOB at 2,086, which is 12 dollars under my netback from a yard that hand-sorts. That last point is the whole risk on this ticket and I am pricing it: the SPA carries the moisture franchise, the contamination schedule and the radioactivity clause in writing, and I would rather take a claim on a seller than a rejection at a portal monitor. Freight I fix on 27-May at the stop's book-by date; the index has halved since the start of the window and I am not going to be clever about the last twenty dollars. I sell 247 lots against 90 % of the length and I know I am rolling through three contract months before these boxes are discharged — that roll cost is what holding unsold cargo on a forty-day lane actually costs, and I would rather see it as a line item than pretend it is free. I have no buyer. The realistic home for this parcel is Rajkot, which means a foundry with a ₹120 mn limit taking ₹300 mn of cargo, so it will be majority-advance or it will not happen. I want that written down as an exposure and not as a mitigation: a 70 % advance from that name is roughly ₹220 mn of cash I am relying on from a balance sheet whose own line I set at ₹120 mn, which is 1.8 times my own advance cap. If the advance does not arrive I own 1,890 tonnes of Tense with the hedge already lifted, and that is a worse outcome than a late receivable. I am taking it because the alternative is not placing the parcel, and the desk should count it as a breach of policy in substance even though the limit definition only counts receivables. Two other things worry me: a US-origin Tense parcel I have not inspected, and a Gujarat foundry buying into a falling ingot market, which is exactly the name that pays late.</t>
        </is>
      </c>
      <c r="CY12" s="7" t="inlineStr">
        <is>
          <t>net_arb_inr_t | net_arb_pit_mix_inr_t | net_arb_conv18k_inr_t | grade_factor | freight_base_usd_t</t>
        </is>
      </c>
      <c r="CZ12" s="7" t="inlineStr">
        <is>
          <t>ACADEMIC SIMULATION — not actual trades</t>
        </is>
      </c>
    </row>
    <row r="13">
      <c r="A13" s="7" t="inlineStr">
        <is>
          <t>T08</t>
        </is>
      </c>
      <c r="B13" s="7" t="inlineStr">
        <is>
          <t>EXECUTED</t>
        </is>
      </c>
      <c r="C13" s="11" t="n">
        <v>44720</v>
      </c>
      <c r="D13" s="17" t="b">
        <v>1</v>
      </c>
      <c r="E13" s="7" t="inlineStr">
        <is>
          <t>USEC_MUN</t>
        </is>
      </c>
      <c r="F13" s="7" t="inlineStr">
        <is>
          <t>tense</t>
        </is>
      </c>
      <c r="G13" s="6" t="inlineStr">
        <is>
          <t>Tense, ISRI Scrap Specifications Circular 2022</t>
        </is>
      </c>
      <c r="H13" s="13" t="n">
        <v>1680</v>
      </c>
      <c r="I13" s="6" t="n">
        <v>80</v>
      </c>
      <c r="J13" s="6" t="inlineStr">
        <is>
          <t>40ft</t>
        </is>
      </c>
      <c r="K13" s="6" t="n">
        <v>21</v>
      </c>
      <c r="L13" s="22" t="n">
        <v>2</v>
      </c>
      <c r="M13" s="11" t="n">
        <v>44715</v>
      </c>
      <c r="N13" s="6" t="inlineStr">
        <is>
          <t>SUP_USEC_02</t>
        </is>
      </c>
      <c r="O13" s="6" t="inlineStr">
        <is>
          <t>Delaware Bay Metals LLC (SIM)</t>
        </is>
      </c>
      <c r="P13" s="6" t="inlineStr">
        <is>
          <t>SPA/USEC/2206-08 (SIM)</t>
        </is>
      </c>
      <c r="Q13" s="6" t="inlineStr">
        <is>
          <t>CFR</t>
        </is>
      </c>
      <c r="R13" s="6" t="inlineStr">
        <is>
          <t>CFR Mundra, India</t>
        </is>
      </c>
      <c r="S13" s="6" t="inlineStr">
        <is>
          <t>SELLER (inside the CFR price)</t>
        </is>
      </c>
      <c r="T13" s="6" t="inlineStr">
        <is>
          <t>SELLER (inside the CFR price)</t>
        </is>
      </c>
      <c r="U13" s="14" t="n">
        <v>0.01</v>
      </c>
      <c r="V13" s="14" t="n">
        <v>0.02</v>
      </c>
      <c r="W13" s="6" t="n">
        <v>1.5</v>
      </c>
      <c r="X13" s="14" t="n">
        <v>0.03</v>
      </c>
      <c r="Z13" s="6" t="inlineStr">
        <is>
          <t>LME_M1_AVG</t>
        </is>
      </c>
      <c r="AB13" s="6" t="inlineStr">
        <is>
          <t>CASH</t>
        </is>
      </c>
      <c r="AC13" s="14" t="n">
        <v>0.782</v>
      </c>
      <c r="AD13" s="13" t="n">
        <v>0</v>
      </c>
      <c r="AE13" s="14" t="n">
        <v>0.95</v>
      </c>
      <c r="AF13" s="6" t="inlineStr">
        <is>
          <t>2022-07</t>
        </is>
      </c>
      <c r="AG13" s="6" t="inlineStr">
        <is>
          <t>2022-07-01</t>
        </is>
      </c>
      <c r="AH13" s="6" t="inlineStr">
        <is>
          <t>2022-07-29</t>
        </is>
      </c>
      <c r="AI13" s="6" t="inlineStr">
        <is>
          <t>LC_SIGHT</t>
        </is>
      </c>
      <c r="AK13" s="6" t="inlineStr">
        <is>
          <t>2022-06-10</t>
        </is>
      </c>
      <c r="AL13" s="6" t="inlineStr">
        <is>
          <t>Bharat Mercantile Bank Ltd (SIM)</t>
        </is>
      </c>
      <c r="AM13" s="10" t="b">
        <v>0</v>
      </c>
      <c r="AO13" s="10" t="b">
        <v>0</v>
      </c>
      <c r="AP13" s="6" t="inlineStr">
        <is>
          <t>2022-06-20</t>
        </is>
      </c>
      <c r="AQ13" s="6" t="inlineStr">
        <is>
          <t>2022-06-30</t>
        </is>
      </c>
      <c r="AR13" s="6" t="inlineStr">
        <is>
          <t>Wilmington, DE, USA</t>
        </is>
      </c>
      <c r="AS13" s="6" t="inlineStr">
        <is>
          <t>MUNDRA</t>
        </is>
      </c>
      <c r="AT13" s="6" t="inlineStr">
        <is>
          <t>L1 | L2</t>
        </is>
      </c>
      <c r="AU13" s="6" t="inlineStr">
        <is>
          <t>40 | 40</t>
        </is>
      </c>
      <c r="AV13" s="6" t="inlineStr">
        <is>
          <t>2022-06-22 | 2022-06-29</t>
        </is>
      </c>
      <c r="AW13" s="6" t="inlineStr">
        <is>
          <t>MV Brandywine (SIM) | MV Susquehanna (SIM)</t>
        </is>
      </c>
      <c r="AX13" s="6" t="inlineStr">
        <is>
          <t>318E (SIM) | 320E (SIM)</t>
        </is>
      </c>
      <c r="BF13" s="13" t="n">
        <v>0</v>
      </c>
      <c r="BG13" s="6" t="inlineStr">
        <is>
          <t>S1</t>
        </is>
      </c>
      <c r="BH13" s="6" t="inlineStr">
        <is>
          <t>BUY_MUN_01</t>
        </is>
      </c>
      <c r="BI13" s="6" t="inlineStr">
        <is>
          <t>Kandla Metal Industries Pvt Ltd (SIM)</t>
        </is>
      </c>
      <c r="BJ13" s="6" t="inlineStr">
        <is>
          <t>2022-08-09</t>
        </is>
      </c>
      <c r="BK13" s="6" t="inlineStr">
        <is>
          <t>L1+L2</t>
        </is>
      </c>
      <c r="BL13" s="6" t="inlineStr">
        <is>
          <t>FOR buyer's works, Gandhidham (SIM)</t>
        </is>
      </c>
      <c r="BM13" s="6" t="inlineStr">
        <is>
          <t>MCX_AVG</t>
        </is>
      </c>
      <c r="BO13" s="6" t="inlineStr">
        <is>
          <t>M1</t>
        </is>
      </c>
      <c r="BP13" s="6" t="inlineStr">
        <is>
          <t>2022-08-10..2022-08-22</t>
        </is>
      </c>
      <c r="BQ13" s="6" t="inlineStr">
        <is>
          <t>0.916000</t>
        </is>
      </c>
      <c r="BR13" s="6" t="inlineStr">
        <is>
          <t>-30,800.00</t>
        </is>
      </c>
      <c r="BS13" s="6" t="inlineStr">
        <is>
          <t>CREDIT</t>
        </is>
      </c>
      <c r="BT13" s="6" t="inlineStr">
        <is>
          <t>30</t>
        </is>
      </c>
      <c r="BV13" s="21" t="n">
        <v>280587600.38</v>
      </c>
      <c r="BW13" s="6" t="inlineStr">
        <is>
          <t>True</t>
        </is>
      </c>
      <c r="BX13" s="6" t="n">
        <v>0.9</v>
      </c>
      <c r="BY13" s="6" t="n">
        <v>1</v>
      </c>
      <c r="BZ13" s="6" t="n">
        <v>0</v>
      </c>
      <c r="CA13" s="6" t="n">
        <v>230</v>
      </c>
      <c r="CB13" s="6" t="n">
        <v>1</v>
      </c>
      <c r="CC13" s="6" t="n">
        <v>3</v>
      </c>
      <c r="CD13" s="13" t="n">
        <v>3152400</v>
      </c>
      <c r="CG13" s="6" t="inlineStr">
        <is>
          <t>L2: moisture 0.012, contamination 0.024, rejected 1 box(es) (RADIOACTIVITY) (SIM)</t>
        </is>
      </c>
      <c r="CH13" s="6" t="inlineStr">
        <is>
          <t>T08-LOG-1: L1 +0d dwell, +7d arrival, known 2022-07-28 (SIM) | T08-LOG-2: L2 +0d dwell, +7d arrival, known 2022-07-28 (SIM) | T08-LOG-3: L2 +14d dwell, +0d arrival, known 2022-08-16 (SIM)</t>
        </is>
      </c>
      <c r="CJ13" s="6" t="inlineStr">
        <is>
          <t>2022-10-10</t>
        </is>
      </c>
      <c r="CK13" s="6" t="inlineStr">
        <is>
          <t>2022-10-10</t>
        </is>
      </c>
      <c r="CL13" s="10" t="b">
        <v>1</v>
      </c>
      <c r="CM13" s="23" t="n">
        <v>14382.89</v>
      </c>
      <c r="CN13" s="23" t="n">
        <v>39487.57</v>
      </c>
      <c r="CO13" s="24" t="b">
        <v>1</v>
      </c>
      <c r="CP13" s="25" t="n">
        <v>178920.73</v>
      </c>
      <c r="CQ13" s="25" t="n">
        <v>195417.02</v>
      </c>
      <c r="CR13" s="23" t="n">
        <v>6387087.05</v>
      </c>
      <c r="CS13" s="18">
        <f>SUMIFS(Parity!$AY$6:$AY$263,Parity!$A$6:$A$263,$M13,Parity!$C$6:$C$263,$F13,Parity!$D$6:$D$263,$E13)</f>
        <v/>
      </c>
      <c r="CT13" s="18">
        <f>SUMIFS(Parity!$BD$6:$BD$263,Parity!$A$6:$A$263,$M13,Parity!$C$6:$C$263,$F13,Parity!$D$6:$D$263,$E13)</f>
        <v/>
      </c>
      <c r="CU13" s="18">
        <f>SUMIFS(Parity!$BE$6:$BE$263,Parity!$A$6:$A$263,$M13,Parity!$C$6:$C$263,$F13,Parity!$D$6:$D$263,$E13)</f>
        <v/>
      </c>
      <c r="CV13" s="8">
        <f>SUMIFS(Parity!$BJ$6:$BJ$263,Parity!$A$6:$A$263,$M13,Parity!$C$6:$C$263,$F13,Parity!$D$6:$D$263,$E13)&gt;0</f>
        <v/>
      </c>
      <c r="CW13" s="8">
        <f>IF($CV13=$CO13,"PASS","FAIL")</f>
        <v/>
      </c>
      <c r="CX13" s="7" t="inlineStr">
        <is>
          <t>This is the last week Tense clears anything on the US lane before the window shuts — 14,383 ₹/MT base and 8,883 with conversion at 18,000, against 39,488 on the point-in-time mix, and when the three screens disagree by that much I trust the smallest one. So the parcel is 80 boxes and it is bought on a formula, not fixed: at 0.782 against the cash average of the month after shipment I am paying what the market pays when the metal actually arrives, which on a forty-day lane into a falling market is the difference between a trade and a bet. I have no buyer today. Gandhidham is the natural home but its line is full until my previous invoice clears, so I am going to be holding unsold, formula-priced cargo for a while and I am content with that: while both the payable and the mark float, this position has essentially no flat-price risk — the factors differ by four thousandths — and I am not going to pay a spread to hedge one lot. The day my quotational month is behind me that changes completely and I will need about 230 lots on. The other thing I am pricing in is the yard: this is the same Delaware seller whose last parcel I have not yet surveyed, so the SPA again carries the full franchise, discount and radioactivity schedule, and the buyer contract will pass the discount through rather than leaving me between the two.</t>
        </is>
      </c>
      <c r="CY13" s="7" t="inlineStr">
        <is>
          <t>net_arb_inr_t | net_arb_pit_mix_inr_t | net_arb_conv18k_inr_t | grade_factor | mcx_anchor_inr_kg</t>
        </is>
      </c>
      <c r="CZ13" s="7" t="inlineStr">
        <is>
          <t>ACADEMIC SIMULATION — not actual trades</t>
        </is>
      </c>
    </row>
    <row r="14">
      <c r="A14" s="7" t="inlineStr">
        <is>
          <t>T09</t>
        </is>
      </c>
      <c r="B14" s="7" t="inlineStr">
        <is>
          <t>EXECUTED</t>
        </is>
      </c>
      <c r="C14" s="11" t="n">
        <v>44776</v>
      </c>
      <c r="D14" s="17" t="b">
        <v>1</v>
      </c>
      <c r="E14" s="7" t="inlineStr">
        <is>
          <t>JEA_NSA</t>
        </is>
      </c>
      <c r="F14" s="7" t="inlineStr">
        <is>
          <t>tense</t>
        </is>
      </c>
      <c r="G14" s="6" t="inlineStr">
        <is>
          <t>Tense, ISRI Scrap Specifications Circular 2022</t>
        </is>
      </c>
      <c r="H14" s="13" t="n">
        <v>1200</v>
      </c>
      <c r="I14" s="6" t="n">
        <v>48</v>
      </c>
      <c r="J14" s="6" t="inlineStr">
        <is>
          <t>20ft</t>
        </is>
      </c>
      <c r="K14" s="6" t="n">
        <v>25</v>
      </c>
      <c r="L14" s="22" t="n">
        <v>2</v>
      </c>
      <c r="M14" s="11" t="n">
        <v>44771</v>
      </c>
      <c r="N14" s="6" t="inlineStr">
        <is>
          <t>SUP_JEA_01</t>
        </is>
      </c>
      <c r="O14" s="6" t="inlineStr">
        <is>
          <t>Khaleej Metal Resources FZE (SIM)</t>
        </is>
      </c>
      <c r="P14" s="6" t="inlineStr">
        <is>
          <t>SPA/JEA/2208-09 (SIM)</t>
        </is>
      </c>
      <c r="Q14" s="6" t="inlineStr">
        <is>
          <t>CFR</t>
        </is>
      </c>
      <c r="R14" s="6" t="inlineStr">
        <is>
          <t>CFR Nhava Sheva, India</t>
        </is>
      </c>
      <c r="S14" s="6" t="inlineStr">
        <is>
          <t>SELLER (inside the CFR price)</t>
        </is>
      </c>
      <c r="T14" s="6" t="inlineStr">
        <is>
          <t>SELLER (inside the CFR price)</t>
        </is>
      </c>
      <c r="U14" s="14" t="n">
        <v>0.01</v>
      </c>
      <c r="V14" s="14" t="n">
        <v>0.02</v>
      </c>
      <c r="W14" s="6" t="n">
        <v>1.5</v>
      </c>
      <c r="X14" s="14" t="n">
        <v>0.03</v>
      </c>
      <c r="Z14" s="6" t="inlineStr">
        <is>
          <t>FIXED</t>
        </is>
      </c>
      <c r="AA14" s="13" t="n">
        <v>1827</v>
      </c>
      <c r="AD14" s="13" t="n">
        <v>0</v>
      </c>
      <c r="AI14" s="6" t="inlineStr">
        <is>
          <t>LC_USANCE</t>
        </is>
      </c>
      <c r="AJ14" s="22" t="n">
        <v>60</v>
      </c>
      <c r="AK14" s="6" t="inlineStr">
        <is>
          <t>2022-08-05</t>
        </is>
      </c>
      <c r="AL14" s="6" t="inlineStr">
        <is>
          <t>Bharat Mercantile Bank Ltd (SIM)</t>
        </is>
      </c>
      <c r="AM14" s="10" t="b">
        <v>0</v>
      </c>
      <c r="AO14" s="10" t="b">
        <v>1</v>
      </c>
      <c r="AP14" s="6" t="inlineStr">
        <is>
          <t>2022-08-15</t>
        </is>
      </c>
      <c r="AQ14" s="6" t="inlineStr">
        <is>
          <t>2022-08-26</t>
        </is>
      </c>
      <c r="AR14" s="6" t="inlineStr">
        <is>
          <t>Jebel Ali, UAE</t>
        </is>
      </c>
      <c r="AS14" s="6" t="inlineStr">
        <is>
          <t>NHAVA_SHEVA</t>
        </is>
      </c>
      <c r="AT14" s="6" t="inlineStr">
        <is>
          <t>L1 | L2</t>
        </is>
      </c>
      <c r="AU14" s="6" t="inlineStr">
        <is>
          <t>24 | 24</t>
        </is>
      </c>
      <c r="AV14" s="6" t="inlineStr">
        <is>
          <t>2022-08-17 | 2022-08-24</t>
        </is>
      </c>
      <c r="AW14" s="6" t="inlineStr">
        <is>
          <t>MV Khaleej Dawn (SIM) | MV Ras Al Khor (SIM)</t>
        </is>
      </c>
      <c r="AX14" s="6" t="inlineStr">
        <is>
          <t>245W (SIM) | 247W (SIM)</t>
        </is>
      </c>
      <c r="BF14" s="13" t="n">
        <v>0</v>
      </c>
      <c r="BG14" s="6" t="inlineStr">
        <is>
          <t>S1</t>
        </is>
      </c>
      <c r="BH14" s="6" t="inlineStr">
        <is>
          <t>BUY_JNPT_01</t>
        </is>
      </c>
      <c r="BI14" s="6" t="inlineStr">
        <is>
          <t>Taloja Alloys and Smelters Pvt Ltd (SIM)</t>
        </is>
      </c>
      <c r="BJ14" s="6" t="inlineStr">
        <is>
          <t>2022-08-26</t>
        </is>
      </c>
      <c r="BK14" s="6" t="inlineStr">
        <is>
          <t>L1+L2</t>
        </is>
      </c>
      <c r="BL14" s="6" t="inlineStr">
        <is>
          <t>FOR buyer's works, Taloja (SIM)</t>
        </is>
      </c>
      <c r="BM14" s="6" t="inlineStr">
        <is>
          <t>FIXED</t>
        </is>
      </c>
      <c r="BN14" s="6" t="inlineStr">
        <is>
          <t>168,500.00</t>
        </is>
      </c>
      <c r="BR14" s="6" t="inlineStr">
        <is>
          <t>0.00</t>
        </is>
      </c>
      <c r="BS14" s="6" t="inlineStr">
        <is>
          <t>ADVANCE_PLUS_CREDIT</t>
        </is>
      </c>
      <c r="BT14" s="6" t="inlineStr">
        <is>
          <t>30</t>
        </is>
      </c>
      <c r="BU14" s="6" t="inlineStr">
        <is>
          <t>0.25</t>
        </is>
      </c>
      <c r="BV14" s="21" t="n">
        <v>202200000</v>
      </c>
      <c r="BW14" s="6" t="inlineStr">
        <is>
          <t>True</t>
        </is>
      </c>
      <c r="BX14" s="6" t="n">
        <v>0.9</v>
      </c>
      <c r="BY14" s="6" t="n">
        <v>2</v>
      </c>
      <c r="BZ14" s="6" t="n">
        <v>1</v>
      </c>
      <c r="CA14" s="6" t="n">
        <v>157</v>
      </c>
      <c r="CB14" s="6" t="n">
        <v>1</v>
      </c>
      <c r="CC14" s="6" t="n">
        <v>2</v>
      </c>
      <c r="CD14" s="13" t="n">
        <v>2192400</v>
      </c>
      <c r="CE14" s="6" t="n">
        <v>2192400</v>
      </c>
      <c r="CF14" s="6" t="n">
        <v>1</v>
      </c>
      <c r="CJ14" s="6" t="inlineStr">
        <is>
          <t>2022-10-24</t>
        </is>
      </c>
      <c r="CK14" s="6" t="inlineStr">
        <is>
          <t>2022-10-24</t>
        </is>
      </c>
      <c r="CL14" s="10" t="b">
        <v>1</v>
      </c>
      <c r="CM14" s="23" t="n">
        <v>15205.9</v>
      </c>
      <c r="CN14" s="23" t="n">
        <v>26505.28</v>
      </c>
      <c r="CO14" s="24" t="b">
        <v>1</v>
      </c>
      <c r="CP14" s="25" t="n">
        <v>151725.97</v>
      </c>
      <c r="CQ14" s="25" t="n">
        <v>170221.77</v>
      </c>
      <c r="CR14" s="23" t="n">
        <v>2379969.2</v>
      </c>
      <c r="CS14" s="18">
        <f>SUMIFS(Parity!$AY$6:$AY$263,Parity!$A$6:$A$263,$M14,Parity!$C$6:$C$263,$F14,Parity!$D$6:$D$263,$E14)</f>
        <v/>
      </c>
      <c r="CT14" s="18">
        <f>SUMIFS(Parity!$BD$6:$BD$263,Parity!$A$6:$A$263,$M14,Parity!$C$6:$C$263,$F14,Parity!$D$6:$D$263,$E14)</f>
        <v/>
      </c>
      <c r="CU14" s="18">
        <f>SUMIFS(Parity!$BE$6:$BE$263,Parity!$A$6:$A$263,$M14,Parity!$C$6:$C$263,$F14,Parity!$D$6:$D$263,$E14)</f>
        <v/>
      </c>
      <c r="CV14" s="8">
        <f>SUMIFS(Parity!$BJ$6:$BJ$263,Parity!$A$6:$A$263,$M14,Parity!$C$6:$C$263,$F14,Parity!$D$6:$D$263,$E14)&gt;0</f>
        <v/>
      </c>
      <c r="CW14" s="8">
        <f>IF($CV14=$CO14,"PASS","FAIL")</f>
        <v/>
      </c>
      <c r="CX14" s="7" t="inlineStr">
        <is>
          <t>Tense on the Gulf lane reopened in the week to 22-Jul-2022 and is wider again in the week to 29-Jul-2022: 15,206 ₹/MT base, 26,505 point-in-time, 9,706 with conversion stressed. It is open on all three and it is the only thing on the board that is. The reason it reopened is not that scrap got cheaper — the rupee went through 80 and then came back, and the LME has put 82 dollars on since the 15-Jul low while the domestic anchor has not given it all back. The curve has also flipped: cash has been trading over the three-month for a fortnight, which is the first backwardation since March and argues against holding metal for its own sake. So this is a fast trade and a small one, 48 boxes on the five-day lane, fixed at 1,827 CFR. The structure is chosen for the calendar as much as the margin: a 60-day usance on a mid-August B/L means the bill, the duty, the IGST credit, the buyer's money and both forwards all land inside the desk's settlement horizon, and I do not want an open position I cannot close in the quarter I am trading. I sell 157 lots against 90 % of it and expect to roll once, out of the August contract, before Taloja signs.</t>
        </is>
      </c>
      <c r="CY14" s="7" t="inlineStr">
        <is>
          <t>net_arb_inr_t | net_arb_pit_mix_inr_t | net_arb_conv18k_inr_t | grade_factor | mcx_anchor_inr_kg | lme_cash_3m_spread_usd_t</t>
        </is>
      </c>
      <c r="CZ14" s="7" t="inlineStr">
        <is>
          <t>ACADEMIC SIMULATION — not actual trades</t>
        </is>
      </c>
    </row>
    <row r="17">
      <c r="A17" s="4" t="inlineStr">
        <is>
          <t>Hedge stack — MASTER_SPEC Table 4 row 2.7 (a) MCX tranches and rolls, (b) USD/INR forwards</t>
        </is>
      </c>
    </row>
    <row r="18">
      <c r="A18" s="3" t="inlineStr">
        <is>
          <t>Executed decisions only (lots, notionals, dates, the rate actually dealt). Prices are recomputed on Cashflows and MTM_Daily, never typed here.</t>
        </is>
      </c>
    </row>
    <row r="20" ht="30" customHeight="1">
      <c r="A20" s="5" t="inlineStr">
        <is>
          <t>trade_id</t>
        </is>
      </c>
      <c r="B20" s="5" t="inlineStr">
        <is>
          <t>instrument</t>
        </is>
      </c>
      <c r="C20" s="5" t="inlineStr">
        <is>
          <t>hedge_id</t>
        </is>
      </c>
      <c r="D20" s="5" t="inlineStr">
        <is>
          <t>decision_date</t>
        </is>
      </c>
      <c r="E20" s="5" t="inlineStr">
        <is>
          <t>contract_month</t>
        </is>
      </c>
      <c r="F20" s="5" t="inlineStr">
        <is>
          <t>direct_expiry</t>
        </is>
      </c>
      <c r="G20" s="5" t="inlineStr">
        <is>
          <t>panel_expiry_slot</t>
        </is>
      </c>
      <c r="H20" s="5" t="inlineStr">
        <is>
          <t>roll_deadline</t>
        </is>
      </c>
      <c r="I20" s="5" t="inlineStr">
        <is>
          <t>direction</t>
        </is>
      </c>
      <c r="J20" s="5" t="inlineStr">
        <is>
          <t>lots</t>
        </is>
      </c>
      <c r="K20" s="5" t="inlineStr">
        <is>
          <t>lot_mt</t>
        </is>
      </c>
      <c r="L20" s="5" t="inlineStr">
        <is>
          <t>position_mt</t>
        </is>
      </c>
      <c r="M20" s="5" t="inlineStr">
        <is>
          <t>entry_date</t>
        </is>
      </c>
      <c r="N20" s="5" t="inlineStr">
        <is>
          <t>exit_date</t>
        </is>
      </c>
      <c r="O20" s="5" t="inlineStr">
        <is>
          <t>exit_reason</t>
        </is>
      </c>
      <c r="P20" s="5" t="inlineStr">
        <is>
          <t>roll_to</t>
        </is>
      </c>
      <c r="Q20" s="5" t="inlineStr">
        <is>
          <t>entry_price_inr_kg</t>
        </is>
      </c>
      <c r="R20" s="5" t="inlineStr">
        <is>
          <t>entry_price_src</t>
        </is>
      </c>
      <c r="S20" s="5" t="inlineStr">
        <is>
          <t>exit_price_inr_kg</t>
        </is>
      </c>
      <c r="T20" s="5" t="inlineStr">
        <is>
          <t>exit_price_src</t>
        </is>
      </c>
      <c r="U20" s="5" t="inlineStr">
        <is>
          <t>hedge_ratio_target</t>
        </is>
      </c>
      <c r="V20" s="5" t="inlineStr">
        <is>
          <t>hedge_ratio_actual</t>
        </is>
      </c>
      <c r="W20" s="5" t="inlineStr">
        <is>
          <t>sizing_basis</t>
        </is>
      </c>
      <c r="X20" s="5" t="inlineStr">
        <is>
          <t>notional_usd</t>
        </is>
      </c>
      <c r="Y20" s="5" t="inlineStr">
        <is>
          <t>booking_date</t>
        </is>
      </c>
      <c r="Z20" s="5" t="inlineStr">
        <is>
          <t>value_date</t>
        </is>
      </c>
      <c r="AA20" s="5" t="inlineStr">
        <is>
          <t>cancel_date</t>
        </is>
      </c>
      <c r="AB20" s="5" t="inlineStr">
        <is>
          <t>matched_leg</t>
        </is>
      </c>
      <c r="AC20" s="5" t="inlineStr">
        <is>
          <t>forward_mid_inr</t>
        </is>
      </c>
      <c r="AD20" s="5" t="inlineStr">
        <is>
          <t>bank_margin_inr</t>
        </is>
      </c>
      <c r="AE20" s="5" t="inlineStr">
        <is>
          <t>rate_inr</t>
        </is>
      </c>
      <c r="AF20" s="5" t="inlineStr">
        <is>
          <t>index_usd_box_at_fixture</t>
        </is>
      </c>
      <c r="AG20" s="5" t="inlineStr">
        <is>
          <t>fixture_vs_index_frac</t>
        </is>
      </c>
      <c r="AH20" s="5" t="inlineStr">
        <is>
          <t>weakest_input_flag</t>
        </is>
      </c>
      <c r="AI20" s="5" t="inlineStr">
        <is>
          <t>basis_risk_note</t>
        </is>
      </c>
    </row>
    <row r="21">
      <c r="A21" s="7" t="inlineStr">
        <is>
          <t>T01</t>
        </is>
      </c>
      <c r="B21" s="6" t="inlineStr">
        <is>
          <t>MCX_ALUMINIUM_FUTURE</t>
        </is>
      </c>
      <c r="C21" s="6" t="inlineStr">
        <is>
          <t>T01-MCX-1</t>
        </is>
      </c>
      <c r="D21" s="12" t="n">
        <v>44629</v>
      </c>
      <c r="E21" s="6" t="inlineStr">
        <is>
          <t>2022-04</t>
        </is>
      </c>
      <c r="F21" s="6" t="inlineStr">
        <is>
          <t>2022-04-29</t>
        </is>
      </c>
      <c r="G21" s="6" t="inlineStr">
        <is>
          <t>2022-04-29</t>
        </is>
      </c>
      <c r="H21" s="6" t="inlineStr">
        <is>
          <t>2022-04-20</t>
        </is>
      </c>
      <c r="I21" s="6" t="inlineStr">
        <is>
          <t>SELL</t>
        </is>
      </c>
      <c r="J21" s="6" t="n">
        <v>200</v>
      </c>
      <c r="K21" s="13" t="n">
        <v>5</v>
      </c>
      <c r="L21" s="13" t="n">
        <v>1000</v>
      </c>
      <c r="M21" s="12" t="n">
        <v>44629</v>
      </c>
      <c r="N21" s="12" t="n">
        <v>44671</v>
      </c>
      <c r="O21" s="6" t="inlineStr">
        <is>
          <t>ROLL</t>
        </is>
      </c>
      <c r="P21" s="6" t="inlineStr">
        <is>
          <t>T01-MCX-3</t>
        </is>
      </c>
      <c r="Q21" s="13" t="n">
        <v>294.405</v>
      </c>
      <c r="R21" s="6" t="inlineStr">
        <is>
          <t>PANEL_M2</t>
        </is>
      </c>
      <c r="S21" s="13" t="n">
        <v>267.8723</v>
      </c>
      <c r="T21" s="6" t="inlineStr">
        <is>
          <t>PANEL_M1</t>
        </is>
      </c>
      <c r="U21" s="6" t="n">
        <v>0.9</v>
      </c>
      <c r="V21" s="6" t="n">
        <v>0.901208</v>
      </c>
      <c r="W21" s="6" t="inlineStr">
        <is>
          <t>unsold 2,520 MT at replacement value x grade factor 0.696786; k = 79.0116 ₹/t per USD/t, one lot = 422.05 ₹ per USD/t</t>
        </is>
      </c>
      <c r="AH21" s="6" t="inlineStr">
        <is>
          <t>PROXY</t>
        </is>
      </c>
      <c r="AI21" s="7" t="inlineStr">
        <is>
          <t>MCX Aluminium is a primary-ingot contract priced at duty-paid import parity; the desk is long Zorba 95/5 scrap whose CFR price is a reconstructed percentage of LME 3M. The hedge covers the LME leg of the exposure and nothing else: if the Zorba discount narrows or widens, that lands in the grade-spread bucket, not in the hedge, and on this ticket it is the larger number of the two. Three further mismatches are carried knowingly — LME official cash is fixed at the London midday ring while MCX settles in the Indian evening; the duty-parity relationship can break, as it visibly did in the first week of March 2022; and the physical cargo's duty base runs on the CBIC notified rate while MCX's uplift runs on the market rate. In base runs the panel MCX series is itself a parity proxy, so the measured cross-exchange basis is zero by construction and only the third-party mirror run shows it. The line is split 200/100 lots from the outset because the cargo is expected to be sold in two parcels, and a tranche is lifted as each sale fixes its price. The hedge goes on the day AFTER the trade: the near-month PROXY moved 12.0 % on the trade date, past the 9 % maximum daily price limit (mcx_al_dpl_max_frac), so a real contract would have traded at the limit if it traded at all, and a seller finds no bid in a limit-down market — an inference from the proxy, not an MCX print. The desk carries one session of the cargo unhedged and says so rather than claiming a fill it could not have had. Two honest qualifications on that. The panel's MCX series is a computed import-parity proxy with no price limits in it at all — it prints the whole move on the trade date — so the limit is a constraint the desk imposes on the proxy, not one the series contains. And waiting a session is not a cost by construction: on a genuinely limit-locked contract the next session gaps down to catch up the unprinted move, which would have made this short worse, while against a proxy that has already printed it the delayed fill lands above. Which way it went here is derived, not typed: see docs/20_trade_book.md §6.1. One more artefact to name, because this line rolls: the panel's M1 and M2 are built from one spot by a deterministic interest carry, so the curve is in contango by construction and every roll of a short in this book shows a gain; the real contract can and does go into backwardation, when the metal part of the same roll costs money.</t>
        </is>
      </c>
    </row>
    <row r="22">
      <c r="A22" s="7" t="inlineStr">
        <is>
          <t>T01</t>
        </is>
      </c>
      <c r="B22" s="6" t="inlineStr">
        <is>
          <t>MCX_ALUMINIUM_FUTURE</t>
        </is>
      </c>
      <c r="C22" s="6" t="inlineStr">
        <is>
          <t>T01-MCX-2</t>
        </is>
      </c>
      <c r="D22" s="12" t="n">
        <v>44629</v>
      </c>
      <c r="E22" s="6" t="inlineStr">
        <is>
          <t>2022-04</t>
        </is>
      </c>
      <c r="F22" s="6" t="inlineStr">
        <is>
          <t>2022-04-29</t>
        </is>
      </c>
      <c r="G22" s="6" t="inlineStr">
        <is>
          <t>2022-04-29</t>
        </is>
      </c>
      <c r="H22" s="6" t="inlineStr">
        <is>
          <t>2022-04-20</t>
        </is>
      </c>
      <c r="I22" s="6" t="inlineStr">
        <is>
          <t>SELL</t>
        </is>
      </c>
      <c r="J22" s="6" t="n">
        <v>100</v>
      </c>
      <c r="K22" s="13" t="n">
        <v>5</v>
      </c>
      <c r="L22" s="13" t="n">
        <v>500</v>
      </c>
      <c r="M22" s="12" t="n">
        <v>44629</v>
      </c>
      <c r="N22" s="12" t="n">
        <v>44671</v>
      </c>
      <c r="O22" s="6" t="inlineStr">
        <is>
          <t>ROLL</t>
        </is>
      </c>
      <c r="P22" s="6" t="inlineStr">
        <is>
          <t>T01-MCX-4</t>
        </is>
      </c>
      <c r="Q22" s="13" t="n">
        <v>294.405</v>
      </c>
      <c r="R22" s="6" t="inlineStr">
        <is>
          <t>PANEL_M2</t>
        </is>
      </c>
      <c r="S22" s="13" t="n">
        <v>267.8723</v>
      </c>
      <c r="T22" s="6" t="inlineStr">
        <is>
          <t>PANEL_M1</t>
        </is>
      </c>
      <c r="U22" s="6" t="n">
        <v>0.9</v>
      </c>
      <c r="V22" s="6" t="n">
        <v>0.901208</v>
      </c>
      <c r="W22" s="6" t="inlineStr">
        <is>
          <t>unsold 2,520 MT at replacement value x grade factor 0.696786; k = 79.0116 ₹/t per USD/t, one lot = 422.05 ₹ per USD/t</t>
        </is>
      </c>
      <c r="AH22" s="6" t="inlineStr">
        <is>
          <t>PROXY</t>
        </is>
      </c>
      <c r="AI22" s="7" t="inlineStr">
        <is>
          <t>MCX Aluminium is a primary-ingot contract priced at duty-paid import parity; the desk is long Zorba 95/5 scrap whose CFR price is a reconstructed percentage of LME 3M. The hedge covers the LME leg of the exposure and nothing else: if the Zorba discount narrows or widens, that lands in the grade-spread bucket, not in the hedge, and on this ticket it is the larger number of the two. Three further mismatches are carried knowingly — LME official cash is fixed at the London midday ring while MCX settles in the Indian evening; the duty-parity relationship can break, as it visibly did in the first week of March 2022; and the physical cargo's duty base runs on the CBIC notified rate while MCX's uplift runs on the market rate. In base runs the panel MCX series is itself a parity proxy, so the measured cross-exchange basis is zero by construction and only the third-party mirror run shows it. The line is split 200/100 lots from the outset because the cargo is expected to be sold in two parcels, and a tranche is lifted as each sale fixes its price. The hedge goes on the day AFTER the trade: the near-month PROXY moved 12.0 % on the trade date, past the 9 % maximum daily price limit (mcx_al_dpl_max_frac), so a real contract would have traded at the limit if it traded at all, and a seller finds no bid in a limit-down market — an inference from the proxy, not an MCX print. The desk carries one session of the cargo unhedged and says so rather than claiming a fill it could not have had. Two honest qualifications on that. The panel's MCX series is a computed import-parity proxy with no price limits in it at all — it prints the whole move on the trade date — so the limit is a constraint the desk imposes on the proxy, not one the series contains. And waiting a session is not a cost by construction: on a genuinely limit-locked contract the next session gaps down to catch up the unprinted move, which would have made this short worse, while against a proxy that has already printed it the delayed fill lands above. Which way it went here is derived, not typed: see docs/20_trade_book.md §6.1. One more artefact to name, because this line rolls: the panel's M1 and M2 are built from one spot by a deterministic interest carry, so the curve is in contango by construction and every roll of a short in this book shows a gain; the real contract can and does go into backwardation, when the metal part of the same roll costs money.</t>
        </is>
      </c>
    </row>
    <row r="23">
      <c r="A23" s="7" t="inlineStr">
        <is>
          <t>T01</t>
        </is>
      </c>
      <c r="B23" s="6" t="inlineStr">
        <is>
          <t>MCX_ALUMINIUM_FUTURE</t>
        </is>
      </c>
      <c r="C23" s="6" t="inlineStr">
        <is>
          <t>T01-MCX-3</t>
        </is>
      </c>
      <c r="D23" s="12" t="n">
        <v>44671</v>
      </c>
      <c r="E23" s="6" t="inlineStr">
        <is>
          <t>2022-05</t>
        </is>
      </c>
      <c r="F23" s="6" t="inlineStr">
        <is>
          <t>2022-05-31</t>
        </is>
      </c>
      <c r="G23" s="6" t="inlineStr">
        <is>
          <t>2022-05-31</t>
        </is>
      </c>
      <c r="H23" s="6" t="inlineStr">
        <is>
          <t>2022-05-20</t>
        </is>
      </c>
      <c r="I23" s="6" t="inlineStr">
        <is>
          <t>SELL</t>
        </is>
      </c>
      <c r="J23" s="6" t="n">
        <v>200</v>
      </c>
      <c r="K23" s="13" t="n">
        <v>5</v>
      </c>
      <c r="L23" s="13" t="n">
        <v>1000</v>
      </c>
      <c r="M23" s="12" t="n">
        <v>44671</v>
      </c>
      <c r="N23" s="12" t="n">
        <v>44676</v>
      </c>
      <c r="O23" s="6" t="inlineStr">
        <is>
          <t>UNWIND</t>
        </is>
      </c>
      <c r="Q23" s="13" t="n">
        <v>268.7933</v>
      </c>
      <c r="R23" s="6" t="inlineStr">
        <is>
          <t>PANEL_M2</t>
        </is>
      </c>
      <c r="S23" s="13" t="n">
        <v>257.2341</v>
      </c>
      <c r="T23" s="6" t="inlineStr">
        <is>
          <t>PANEL_M2</t>
        </is>
      </c>
      <c r="U23" s="6" t="n">
        <v>0.9</v>
      </c>
      <c r="W23" s="6" t="inlineStr">
        <is>
          <t>rolled: a roll keeps the position of the line it continues</t>
        </is>
      </c>
      <c r="AH23" s="6" t="inlineStr">
        <is>
          <t>PROXY</t>
        </is>
      </c>
      <c r="AI23" s="7" t="inlineStr">
        <is>
          <t>MCX Aluminium is a primary-ingot contract priced at duty-paid import parity; the desk is long Zorba 95/5 scrap whose CFR price is a reconstructed percentage of LME 3M. The hedge covers the LME leg of the exposure and nothing else: if the Zorba discount narrows or widens, that lands in the grade-spread bucket, not in the hedge, and on this ticket it is the larger number of the two. Three further mismatches are carried knowingly — LME official cash is fixed at the London midday ring while MCX settles in the Indian evening; the duty-parity relationship can break, as it visibly did in the first week of March 2022; and the physical cargo's duty base runs on the CBIC notified rate while MCX's uplift runs on the market rate. In base runs the panel MCX series is itself a parity proxy, so the measured cross-exchange basis is zero by construction and only the third-party mirror run shows it. The line is split 200/100 lots from the outset because the cargo is expected to be sold in two parcels, and a tranche is lifted as each sale fixes its price. The hedge goes on the day AFTER the trade: the near-month PROXY moved 12.0 % on the trade date, past the 9 % maximum daily price limit (mcx_al_dpl_max_frac), so a real contract would have traded at the limit if it traded at all, and a seller finds no bid in a limit-down market — an inference from the proxy, not an MCX print. The desk carries one session of the cargo unhedged and says so rather than claiming a fill it could not have had. Two honest qualifications on that. The panel's MCX series is a computed import-parity proxy with no price limits in it at all — it prints the whole move on the trade date — so the limit is a constraint the desk imposes on the proxy, not one the series contains. And waiting a session is not a cost by construction: on a genuinely limit-locked contract the next session gaps down to catch up the unprinted move, which would have made this short worse, while against a proxy that has already printed it the delayed fill lands above. Which way it went here is derived, not typed: see docs/20_trade_book.md §6.1. One more artefact to name, because this line rolls: the panel's M1 and M2 are built from one spot by a deterministic interest carry, so the curve is in contango by construction and every roll of a short in this book shows a gain; the real contract can and does go into backwardation, when the metal part of the same roll costs money.</t>
        </is>
      </c>
    </row>
    <row r="24">
      <c r="A24" s="7" t="inlineStr">
        <is>
          <t>T01</t>
        </is>
      </c>
      <c r="B24" s="6" t="inlineStr">
        <is>
          <t>MCX_ALUMINIUM_FUTURE</t>
        </is>
      </c>
      <c r="C24" s="6" t="inlineStr">
        <is>
          <t>T01-MCX-4</t>
        </is>
      </c>
      <c r="D24" s="12" t="n">
        <v>44671</v>
      </c>
      <c r="E24" s="6" t="inlineStr">
        <is>
          <t>2022-05</t>
        </is>
      </c>
      <c r="F24" s="6" t="inlineStr">
        <is>
          <t>2022-05-31</t>
        </is>
      </c>
      <c r="G24" s="6" t="inlineStr">
        <is>
          <t>2022-05-31</t>
        </is>
      </c>
      <c r="H24" s="6" t="inlineStr">
        <is>
          <t>2022-05-20</t>
        </is>
      </c>
      <c r="I24" s="6" t="inlineStr">
        <is>
          <t>SELL</t>
        </is>
      </c>
      <c r="J24" s="6" t="n">
        <v>100</v>
      </c>
      <c r="K24" s="13" t="n">
        <v>5</v>
      </c>
      <c r="L24" s="13" t="n">
        <v>500</v>
      </c>
      <c r="M24" s="12" t="n">
        <v>44671</v>
      </c>
      <c r="N24" s="12" t="n">
        <v>44690</v>
      </c>
      <c r="O24" s="6" t="inlineStr">
        <is>
          <t>UNWIND</t>
        </is>
      </c>
      <c r="Q24" s="13" t="n">
        <v>268.7933</v>
      </c>
      <c r="R24" s="6" t="inlineStr">
        <is>
          <t>PANEL_M2</t>
        </is>
      </c>
      <c r="S24" s="13" t="n">
        <v>227.58</v>
      </c>
      <c r="T24" s="6" t="inlineStr">
        <is>
          <t>PANEL_M1</t>
        </is>
      </c>
      <c r="U24" s="6" t="n">
        <v>0.9</v>
      </c>
      <c r="W24" s="6" t="inlineStr">
        <is>
          <t>rolled: a roll keeps the position of the line it continues</t>
        </is>
      </c>
      <c r="AH24" s="6" t="inlineStr">
        <is>
          <t>PROXY</t>
        </is>
      </c>
      <c r="AI24" s="7" t="inlineStr">
        <is>
          <t>MCX Aluminium is a primary-ingot contract priced at duty-paid import parity; the desk is long Zorba 95/5 scrap whose CFR price is a reconstructed percentage of LME 3M. The hedge covers the LME leg of the exposure and nothing else: if the Zorba discount narrows or widens, that lands in the grade-spread bucket, not in the hedge, and on this ticket it is the larger number of the two. Three further mismatches are carried knowingly — LME official cash is fixed at the London midday ring while MCX settles in the Indian evening; the duty-parity relationship can break, as it visibly did in the first week of March 2022; and the physical cargo's duty base runs on the CBIC notified rate while MCX's uplift runs on the market rate. In base runs the panel MCX series is itself a parity proxy, so the measured cross-exchange basis is zero by construction and only the third-party mirror run shows it. The line is split 200/100 lots from the outset because the cargo is expected to be sold in two parcels, and a tranche is lifted as each sale fixes its price. The hedge goes on the day AFTER the trade: the near-month PROXY moved 12.0 % on the trade date, past the 9 % maximum daily price limit (mcx_al_dpl_max_frac), so a real contract would have traded at the limit if it traded at all, and a seller finds no bid in a limit-down market — an inference from the proxy, not an MCX print. The desk carries one session of the cargo unhedged and says so rather than claiming a fill it could not have had. Two honest qualifications on that. The panel's MCX series is a computed import-parity proxy with no price limits in it at all — it prints the whole move on the trade date — so the limit is a constraint the desk imposes on the proxy, not one the series contains. And waiting a session is not a cost by construction: on a genuinely limit-locked contract the next session gaps down to catch up the unprinted move, which would have made this short worse, while against a proxy that has already printed it the delayed fill lands above. Which way it went here is derived, not typed: see docs/20_trade_book.md §6.1. One more artefact to name, because this line rolls: the panel's M1 and M2 are built from one spot by a deterministic interest carry, so the curve is in contango by construction and every roll of a short in this book shows a gain; the real contract can and does go into backwardation, when the metal part of the same roll costs money.</t>
        </is>
      </c>
    </row>
    <row r="25">
      <c r="A25" s="7" t="inlineStr">
        <is>
          <t>T01</t>
        </is>
      </c>
      <c r="B25" s="6" t="inlineStr">
        <is>
          <t>USDINR_FORWARD</t>
        </is>
      </c>
      <c r="C25" s="6" t="inlineStr">
        <is>
          <t>T01-FX-1</t>
        </is>
      </c>
      <c r="D25" s="12" t="n">
        <v>44649</v>
      </c>
      <c r="I25" s="6" t="inlineStr">
        <is>
          <t>BUY_USD</t>
        </is>
      </c>
      <c r="M25" s="12" t="n">
        <v>44649</v>
      </c>
      <c r="N25" s="12" t="n">
        <v>44656</v>
      </c>
      <c r="O25" s="6" t="inlineStr">
        <is>
          <t>SETTLED_AT_VALUE_DATE</t>
        </is>
      </c>
      <c r="U25" s="6" t="n">
        <v>1</v>
      </c>
      <c r="W25" s="6" t="inlineStr">
        <is>
          <t>matched to PURCHASE_INVOICE; tenor 7 days from booking</t>
        </is>
      </c>
      <c r="X25" s="13" t="n">
        <v>1965600</v>
      </c>
      <c r="Y25" s="12" t="n">
        <v>44649</v>
      </c>
      <c r="Z25" s="12" t="n">
        <v>44656</v>
      </c>
      <c r="AB25" s="6" t="inlineStr">
        <is>
          <t>PURCHASE_INVOICE</t>
        </is>
      </c>
      <c r="AC25" s="21" t="n">
        <v>75.796325</v>
      </c>
      <c r="AD25" s="21" t="n">
        <v>0.1</v>
      </c>
      <c r="AE25" s="21" t="n">
        <v>75.896325</v>
      </c>
      <c r="AH25" s="6" t="inlineStr">
        <is>
          <t>PROXY</t>
        </is>
      </c>
      <c r="AI25"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26">
      <c r="A26" s="7" t="inlineStr">
        <is>
          <t>T01</t>
        </is>
      </c>
      <c r="B26" s="6" t="inlineStr">
        <is>
          <t>USDINR_FORWARD</t>
        </is>
      </c>
      <c r="C26" s="6" t="inlineStr">
        <is>
          <t>T01-FX-2</t>
        </is>
      </c>
      <c r="D26" s="12" t="n">
        <v>44655</v>
      </c>
      <c r="I26" s="6" t="inlineStr">
        <is>
          <t>BUY_USD</t>
        </is>
      </c>
      <c r="M26" s="12" t="n">
        <v>44655</v>
      </c>
      <c r="N26" s="12" t="n">
        <v>44662</v>
      </c>
      <c r="O26" s="6" t="inlineStr">
        <is>
          <t>SETTLED_AT_VALUE_DATE</t>
        </is>
      </c>
      <c r="U26" s="6" t="n">
        <v>1</v>
      </c>
      <c r="W26" s="6" t="inlineStr">
        <is>
          <t>matched to PURCHASE_INVOICE; tenor 7 days from booking</t>
        </is>
      </c>
      <c r="X26" s="13" t="n">
        <v>1965600</v>
      </c>
      <c r="Y26" s="12" t="n">
        <v>44655</v>
      </c>
      <c r="Z26" s="12" t="n">
        <v>44662</v>
      </c>
      <c r="AB26" s="6" t="inlineStr">
        <is>
          <t>PURCHASE_INVOICE</t>
        </is>
      </c>
      <c r="AC26" s="21" t="n">
        <v>75.574504</v>
      </c>
      <c r="AD26" s="21" t="n">
        <v>0.1</v>
      </c>
      <c r="AE26" s="21" t="n">
        <v>75.674504</v>
      </c>
      <c r="AH26" s="6" t="inlineStr">
        <is>
          <t>PROXY</t>
        </is>
      </c>
      <c r="AI26"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27">
      <c r="A27" s="7" t="inlineStr">
        <is>
          <t>T01</t>
        </is>
      </c>
      <c r="B27" s="6" t="inlineStr">
        <is>
          <t>USDINR_FORWARD</t>
        </is>
      </c>
      <c r="C27" s="6" t="inlineStr">
        <is>
          <t>T01-FX-3</t>
        </is>
      </c>
      <c r="D27" s="12" t="n">
        <v>44658</v>
      </c>
      <c r="I27" s="6" t="inlineStr">
        <is>
          <t>BUY_USD</t>
        </is>
      </c>
      <c r="M27" s="12" t="n">
        <v>44658</v>
      </c>
      <c r="N27" s="12" t="n">
        <v>44665</v>
      </c>
      <c r="O27" s="6" t="inlineStr">
        <is>
          <t>SETTLED_AT_VALUE_DATE</t>
        </is>
      </c>
      <c r="U27" s="6" t="n">
        <v>1</v>
      </c>
      <c r="W27" s="6" t="inlineStr">
        <is>
          <t>matched to PURCHASE_INVOICE; tenor 7 days from booking</t>
        </is>
      </c>
      <c r="X27" s="13" t="n">
        <v>1965600</v>
      </c>
      <c r="Y27" s="12" t="n">
        <v>44658</v>
      </c>
      <c r="Z27" s="12" t="n">
        <v>44665</v>
      </c>
      <c r="AB27" s="6" t="inlineStr">
        <is>
          <t>PURCHASE_INVOICE</t>
        </is>
      </c>
      <c r="AC27" s="21" t="n">
        <v>76.037447</v>
      </c>
      <c r="AD27" s="21" t="n">
        <v>0.1</v>
      </c>
      <c r="AE27" s="21" t="n">
        <v>76.13744699999999</v>
      </c>
      <c r="AH27" s="6" t="inlineStr">
        <is>
          <t>PROXY</t>
        </is>
      </c>
      <c r="AI27"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28">
      <c r="A28" s="7" t="inlineStr">
        <is>
          <t>T01</t>
        </is>
      </c>
      <c r="B28" s="6" t="inlineStr">
        <is>
          <t>USDINR_FORWARD</t>
        </is>
      </c>
      <c r="C28" s="6" t="inlineStr">
        <is>
          <t>T01-FX-4</t>
        </is>
      </c>
      <c r="D28" s="12" t="n">
        <v>44638</v>
      </c>
      <c r="I28" s="6" t="inlineStr">
        <is>
          <t>BUY_USD</t>
        </is>
      </c>
      <c r="M28" s="12" t="n">
        <v>44638</v>
      </c>
      <c r="N28" s="12" t="n">
        <v>44697</v>
      </c>
      <c r="O28" s="6" t="inlineStr">
        <is>
          <t>SETTLED_AT_VALUE_DATE</t>
        </is>
      </c>
      <c r="U28" s="6" t="n">
        <v>1</v>
      </c>
      <c r="W28" s="6" t="inlineStr">
        <is>
          <t>matched to FREIGHT; tenor 59 days from booking</t>
        </is>
      </c>
      <c r="X28" s="13" t="n">
        <v>260400</v>
      </c>
      <c r="Y28" s="12" t="n">
        <v>44638</v>
      </c>
      <c r="Z28" s="12" t="n">
        <v>44697</v>
      </c>
      <c r="AB28" s="6" t="inlineStr">
        <is>
          <t>FREIGHT</t>
        </is>
      </c>
      <c r="AC28" s="21" t="n">
        <v>76.523675</v>
      </c>
      <c r="AD28" s="21" t="n">
        <v>0.1</v>
      </c>
      <c r="AE28" s="21" t="n">
        <v>76.62367500000001</v>
      </c>
      <c r="AH28" s="6" t="inlineStr">
        <is>
          <t>PROXY</t>
        </is>
      </c>
      <c r="AI28"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29">
      <c r="A29" s="7" t="inlineStr">
        <is>
          <t>T01</t>
        </is>
      </c>
      <c r="B29" s="6" t="inlineStr">
        <is>
          <t>FREIGHT_FIXTURE</t>
        </is>
      </c>
      <c r="C29" s="6" t="inlineStr">
        <is>
          <t>T01-FRT-1</t>
        </is>
      </c>
      <c r="D29" s="12" t="n">
        <v>44638</v>
      </c>
      <c r="I29" s="6" t="inlineStr">
        <is>
          <t>BUY_SPACE</t>
        </is>
      </c>
      <c r="J29" s="6" t="n">
        <v>120</v>
      </c>
      <c r="K29" s="13" t="n">
        <v>21</v>
      </c>
      <c r="L29" s="13" t="n">
        <v>2520</v>
      </c>
      <c r="M29" s="12" t="n">
        <v>44638</v>
      </c>
      <c r="N29" s="12" t="n">
        <v>44698</v>
      </c>
      <c r="O29" s="6" t="inlineStr">
        <is>
          <t>COLLECT_AT_ARRIVAL</t>
        </is>
      </c>
      <c r="U29" s="6" t="n">
        <v>0</v>
      </c>
      <c r="V29" s="6" t="n">
        <v>0</v>
      </c>
      <c r="W29" s="6" t="inlineStr">
        <is>
          <t>120 boxes fixed all-in; stop-loss 2,570 USD/FEU, book-by 2022-03-18</t>
        </is>
      </c>
      <c r="X29" s="13" t="n">
        <v>260400</v>
      </c>
      <c r="Y29" s="12" t="n">
        <v>44638</v>
      </c>
      <c r="Z29" s="12" t="n">
        <v>44698</v>
      </c>
      <c r="AB29" s="6" t="inlineStr">
        <is>
          <t>FREIGHT</t>
        </is>
      </c>
      <c r="AF29" s="6" t="n">
        <v>2127.09</v>
      </c>
      <c r="AG29" s="14" t="n">
        <v>0.020173</v>
      </c>
      <c r="AH29" s="6" t="inlineStr">
        <is>
          <t>ASSUMPTION</t>
        </is>
      </c>
      <c r="AI29" s="7" t="inlineStr">
        <is>
          <t>Table 4 row 2.7(d): no accessible India-lane container derivative existed in 2022, so the freight layer is UNHEDGED with a stated stop-loss rather than a hedge. Once fixed, the box rate is a fixed payable and the only live freight exposure left is the difference against the later market, which is a competitiveness memo and not a loss on this cargo (a CFR-basis grade factor does not fall when freight falls). The lane index itself is an ASSUMPTION-level reconstruction and the fixture spread over it is an ASSUMPTION.</t>
        </is>
      </c>
    </row>
    <row r="30">
      <c r="A30" s="7" t="inlineStr">
        <is>
          <t>T02</t>
        </is>
      </c>
      <c r="B30" s="6" t="inlineStr">
        <is>
          <t>MCX_ALUMINIUM_FUTURE</t>
        </is>
      </c>
      <c r="C30" s="6" t="inlineStr">
        <is>
          <t>T02-MCX-1</t>
        </is>
      </c>
      <c r="D30" s="12" t="n">
        <v>44631</v>
      </c>
      <c r="E30" s="6" t="inlineStr">
        <is>
          <t>2022-03</t>
        </is>
      </c>
      <c r="F30" s="6" t="inlineStr">
        <is>
          <t>2022-03-31</t>
        </is>
      </c>
      <c r="G30" s="6" t="inlineStr">
        <is>
          <t>2022-03-31</t>
        </is>
      </c>
      <c r="H30" s="6" t="inlineStr">
        <is>
          <t>2022-03-22</t>
        </is>
      </c>
      <c r="I30" s="6" t="inlineStr">
        <is>
          <t>SELL</t>
        </is>
      </c>
      <c r="J30" s="6" t="n">
        <v>74</v>
      </c>
      <c r="K30" s="13" t="n">
        <v>5</v>
      </c>
      <c r="L30" s="13" t="n">
        <v>370</v>
      </c>
      <c r="M30" s="12" t="n">
        <v>44631</v>
      </c>
      <c r="N30" s="12" t="n">
        <v>44642</v>
      </c>
      <c r="O30" s="6" t="inlineStr">
        <is>
          <t>ROLL</t>
        </is>
      </c>
      <c r="P30" s="6" t="inlineStr">
        <is>
          <t>T02-MCX-2</t>
        </is>
      </c>
      <c r="Q30" s="13" t="n">
        <v>287.8213</v>
      </c>
      <c r="R30" s="6" t="inlineStr">
        <is>
          <t>PANEL_M1</t>
        </is>
      </c>
      <c r="S30" s="13" t="n">
        <v>292.8327</v>
      </c>
      <c r="T30" s="6" t="inlineStr">
        <is>
          <t>PANEL_M1</t>
        </is>
      </c>
      <c r="U30" s="6" t="n">
        <v>1</v>
      </c>
      <c r="V30" s="6" t="n">
        <v>0.988217</v>
      </c>
      <c r="W30" s="6" t="inlineStr">
        <is>
          <t>S1 MCX-average leg 1,200 MT x 0.916; purchase leg floating x factor 0.638; k = 78.8355 ₹/t per USD/t, one lot = 421.00 ₹ per USD/t</t>
        </is>
      </c>
      <c r="AH30" s="6" t="inlineStr">
        <is>
          <t>PROXY</t>
        </is>
      </c>
      <c r="AI30" s="7" t="inlineStr">
        <is>
          <t>Both legs float, but against different exchanges, different references and different months: the purchase settles on the LME official cash average for the month after shipment, the sale on the MCX near-month average over nine days in April. Until the sale prices, the desk is net long roughly a third of a tonne of LME-equivalent metal per tonne of scrap — the sale's recovery factor grossed up by duty parity (0.916 x 1.0825) less the purchase factor 0.638 — so the hedge starts short. Once the sale's average is behind us and the purchase's is not, the position is short the full purchase factor and the hedge flips long. What no hedge can cover here is the gap between MCX duty-paid primary parity and an LME-priced scrap cargo, nor the fact that the two averaging windows do not overlap at all; the desk treats an averaging leg as fully open before its window and closed after its midpoint trading day, which is an approximation and is the reason the flip is one decision rather than nine. In base runs the panel MCX series is a parity proxy, so the reported basis is zero by construction. One artefact to name, because this line rolls: the panel's MCX M1 and M2 are built from one spot by a deterministic interest carry, so the curve is in contango by construction and every roll of a short in this book shows a gain; the real contract can and does go into backwardation, when the metal part of the same roll costs money.</t>
        </is>
      </c>
    </row>
    <row r="31">
      <c r="A31" s="7" t="inlineStr">
        <is>
          <t>T02</t>
        </is>
      </c>
      <c r="B31" s="6" t="inlineStr">
        <is>
          <t>MCX_ALUMINIUM_FUTURE</t>
        </is>
      </c>
      <c r="C31" s="6" t="inlineStr">
        <is>
          <t>T02-MCX-2</t>
        </is>
      </c>
      <c r="D31" s="12" t="n">
        <v>44642</v>
      </c>
      <c r="E31" s="6" t="inlineStr">
        <is>
          <t>2022-04</t>
        </is>
      </c>
      <c r="F31" s="6" t="inlineStr">
        <is>
          <t>2022-04-29</t>
        </is>
      </c>
      <c r="G31" s="6" t="inlineStr">
        <is>
          <t>2022-04-29</t>
        </is>
      </c>
      <c r="H31" s="6" t="inlineStr">
        <is>
          <t>2022-04-20</t>
        </is>
      </c>
      <c r="I31" s="6" t="inlineStr">
        <is>
          <t>SELL</t>
        </is>
      </c>
      <c r="J31" s="6" t="n">
        <v>74</v>
      </c>
      <c r="K31" s="13" t="n">
        <v>5</v>
      </c>
      <c r="L31" s="13" t="n">
        <v>370</v>
      </c>
      <c r="M31" s="12" t="n">
        <v>44642</v>
      </c>
      <c r="N31" s="12" t="n">
        <v>44671</v>
      </c>
      <c r="O31" s="6" t="inlineStr">
        <is>
          <t>ROLL</t>
        </is>
      </c>
      <c r="P31" s="6" t="inlineStr">
        <is>
          <t>T02-MCX-3</t>
        </is>
      </c>
      <c r="Q31" s="13" t="n">
        <v>293.7113</v>
      </c>
      <c r="R31" s="6" t="inlineStr">
        <is>
          <t>PANEL_M2</t>
        </is>
      </c>
      <c r="S31" s="13" t="n">
        <v>267.8723</v>
      </c>
      <c r="T31" s="6" t="inlineStr">
        <is>
          <t>PANEL_M1</t>
        </is>
      </c>
      <c r="U31" s="6" t="n">
        <v>1</v>
      </c>
      <c r="W31" s="6" t="inlineStr">
        <is>
          <t>rolled: a roll keeps the position of the line it continues</t>
        </is>
      </c>
      <c r="AH31" s="6" t="inlineStr">
        <is>
          <t>PROXY</t>
        </is>
      </c>
      <c r="AI31" s="7" t="inlineStr">
        <is>
          <t>Both legs float, but against different exchanges, different references and different months: the purchase settles on the LME official cash average for the month after shipment, the sale on the MCX near-month average over nine days in April. Until the sale prices, the desk is net long roughly a third of a tonne of LME-equivalent metal per tonne of scrap — the sale's recovery factor grossed up by duty parity (0.916 x 1.0825) less the purchase factor 0.638 — so the hedge starts short. Once the sale's average is behind us and the purchase's is not, the position is short the full purchase factor and the hedge flips long. What no hedge can cover here is the gap between MCX duty-paid primary parity and an LME-priced scrap cargo, nor the fact that the two averaging windows do not overlap at all; the desk treats an averaging leg as fully open before its window and closed after its midpoint trading day, which is an approximation and is the reason the flip is one decision rather than nine. In base runs the panel MCX series is a parity proxy, so the reported basis is zero by construction. One artefact to name, because this line rolls: the panel's MCX M1 and M2 are built from one spot by a deterministic interest carry, so the curve is in contango by construction and every roll of a short in this book shows a gain; the real contract can and does go into backwardation, when the metal part of the same roll costs money.</t>
        </is>
      </c>
    </row>
    <row r="32">
      <c r="A32" s="7" t="inlineStr">
        <is>
          <t>T02</t>
        </is>
      </c>
      <c r="B32" s="6" t="inlineStr">
        <is>
          <t>MCX_ALUMINIUM_FUTURE</t>
        </is>
      </c>
      <c r="C32" s="6" t="inlineStr">
        <is>
          <t>T02-MCX-3</t>
        </is>
      </c>
      <c r="D32" s="12" t="n">
        <v>44671</v>
      </c>
      <c r="E32" s="6" t="inlineStr">
        <is>
          <t>2022-05</t>
        </is>
      </c>
      <c r="F32" s="6" t="inlineStr">
        <is>
          <t>2022-05-31</t>
        </is>
      </c>
      <c r="G32" s="6" t="inlineStr">
        <is>
          <t>2022-05-31</t>
        </is>
      </c>
      <c r="H32" s="6" t="inlineStr">
        <is>
          <t>2022-05-20</t>
        </is>
      </c>
      <c r="I32" s="6" t="inlineStr">
        <is>
          <t>SELL</t>
        </is>
      </c>
      <c r="J32" s="6" t="n">
        <v>74</v>
      </c>
      <c r="K32" s="13" t="n">
        <v>5</v>
      </c>
      <c r="L32" s="13" t="n">
        <v>370</v>
      </c>
      <c r="M32" s="12" t="n">
        <v>44671</v>
      </c>
      <c r="N32" s="12" t="n">
        <v>44676</v>
      </c>
      <c r="O32" s="6" t="inlineStr">
        <is>
          <t>UNWIND</t>
        </is>
      </c>
      <c r="Q32" s="13" t="n">
        <v>268.7933</v>
      </c>
      <c r="R32" s="6" t="inlineStr">
        <is>
          <t>PANEL_M2</t>
        </is>
      </c>
      <c r="S32" s="13" t="n">
        <v>257.2341</v>
      </c>
      <c r="T32" s="6" t="inlineStr">
        <is>
          <t>PANEL_M2</t>
        </is>
      </c>
      <c r="U32" s="6" t="n">
        <v>1</v>
      </c>
      <c r="W32" s="6" t="inlineStr">
        <is>
          <t>rolled: a roll keeps the position of the line it continues</t>
        </is>
      </c>
      <c r="AH32" s="6" t="inlineStr">
        <is>
          <t>PROXY</t>
        </is>
      </c>
      <c r="AI32" s="7" t="inlineStr">
        <is>
          <t>Both legs float, but against different exchanges, different references and different months: the purchase settles on the LME official cash average for the month after shipment, the sale on the MCX near-month average over nine days in April. Until the sale prices, the desk is net long roughly a third of a tonne of LME-equivalent metal per tonne of scrap — the sale's recovery factor grossed up by duty parity (0.916 x 1.0825) less the purchase factor 0.638 — so the hedge starts short. Once the sale's average is behind us and the purchase's is not, the position is short the full purchase factor and the hedge flips long. What no hedge can cover here is the gap between MCX duty-paid primary parity and an LME-priced scrap cargo, nor the fact that the two averaging windows do not overlap at all; the desk treats an averaging leg as fully open before its window and closed after its midpoint trading day, which is an approximation and is the reason the flip is one decision rather than nine. In base runs the panel MCX series is a parity proxy, so the reported basis is zero by construction. One artefact to name, because this line rolls: the panel's MCX M1 and M2 are built from one spot by a deterministic interest carry, so the curve is in contango by construction and every roll of a short in this book shows a gain; the real contract can and does go into backwardation, when the metal part of the same roll costs money.</t>
        </is>
      </c>
    </row>
    <row r="33">
      <c r="A33" s="7" t="inlineStr">
        <is>
          <t>T02</t>
        </is>
      </c>
      <c r="B33" s="6" t="inlineStr">
        <is>
          <t>MCX_ALUMINIUM_FUTURE</t>
        </is>
      </c>
      <c r="C33" s="6" t="inlineStr">
        <is>
          <t>T02-MCX-4</t>
        </is>
      </c>
      <c r="D33" s="12" t="n">
        <v>44676</v>
      </c>
      <c r="E33" s="6" t="inlineStr">
        <is>
          <t>2022-05</t>
        </is>
      </c>
      <c r="F33" s="6" t="inlineStr">
        <is>
          <t>2022-05-31</t>
        </is>
      </c>
      <c r="G33" s="6" t="inlineStr">
        <is>
          <t>2022-05-31</t>
        </is>
      </c>
      <c r="H33" s="6" t="inlineStr">
        <is>
          <t>2022-05-20</t>
        </is>
      </c>
      <c r="I33" s="6" t="inlineStr">
        <is>
          <t>BUY</t>
        </is>
      </c>
      <c r="J33" s="6" t="n">
        <v>145</v>
      </c>
      <c r="K33" s="13" t="n">
        <v>5</v>
      </c>
      <c r="L33" s="13" t="n">
        <v>725</v>
      </c>
      <c r="M33" s="12" t="n">
        <v>44676</v>
      </c>
      <c r="N33" s="12" t="n">
        <v>44698</v>
      </c>
      <c r="O33" s="6" t="inlineStr">
        <is>
          <t>UNWIND</t>
        </is>
      </c>
      <c r="Q33" s="13" t="n">
        <v>257.2341</v>
      </c>
      <c r="R33" s="6" t="inlineStr">
        <is>
          <t>PANEL_M2</t>
        </is>
      </c>
      <c r="S33" s="13" t="n">
        <v>238.2345</v>
      </c>
      <c r="T33" s="6" t="inlineStr">
        <is>
          <t>PANEL_M1</t>
        </is>
      </c>
      <c r="U33" s="6" t="n">
        <v>1</v>
      </c>
      <c r="V33" s="6" t="n">
        <v>0.9978590000000001</v>
      </c>
      <c r="W33" s="6" t="inlineStr">
        <is>
          <t>purchase leg floating x factor 0.638; k = 79.0018 ₹/t per USD/t, one lot = 420.29 ₹ per USD/t</t>
        </is>
      </c>
      <c r="AH33" s="6" t="inlineStr">
        <is>
          <t>PROXY</t>
        </is>
      </c>
      <c r="AI33" s="7" t="inlineStr">
        <is>
          <t>Both legs float, but against different exchanges, different references and different months: the purchase settles on the LME official cash average for the month after shipment, the sale on the MCX near-month average over nine days in April. Until the sale prices, the desk is net long roughly a third of a tonne of LME-equivalent metal per tonne of scrap — the sale's recovery factor grossed up by duty parity (0.916 x 1.0825) less the purchase factor 0.638 — so the hedge starts short. Once the sale's average is behind us and the purchase's is not, the position is short the full purchase factor and the hedge flips long. What no hedge can cover here is the gap between MCX duty-paid primary parity and an LME-priced scrap cargo, nor the fact that the two averaging windows do not overlap at all; the desk treats an averaging leg as fully open before its window and closed after its midpoint trading day, which is an approximation and is the reason the flip is one decision rather than nine. In base runs the panel MCX series is a parity proxy, so the reported basis is zero by construction. One artefact to name, because this line rolls: the panel's MCX M1 and M2 are built from one spot by a deterministic interest carry, so the curve is in contango by construction and every roll of a short in this book shows a gain; the real contract can and does go into backwardation, when the metal part of the same roll costs money.</t>
        </is>
      </c>
    </row>
    <row r="34">
      <c r="A34" s="7" t="inlineStr">
        <is>
          <t>T02</t>
        </is>
      </c>
      <c r="B34" s="6" t="inlineStr">
        <is>
          <t>USDINR_FORWARD</t>
        </is>
      </c>
      <c r="C34" s="6" t="inlineStr">
        <is>
          <t>T02-FX-1</t>
        </is>
      </c>
      <c r="D34" s="12" t="n">
        <v>44656</v>
      </c>
      <c r="I34" s="6" t="inlineStr">
        <is>
          <t>BUY_USD</t>
        </is>
      </c>
      <c r="M34" s="12" t="n">
        <v>44656</v>
      </c>
      <c r="N34" s="12" t="n">
        <v>44746</v>
      </c>
      <c r="O34" s="6" t="inlineStr">
        <is>
          <t>SETTLED_AT_VALUE_DATE</t>
        </is>
      </c>
      <c r="U34" s="6" t="n">
        <v>1</v>
      </c>
      <c r="W34" s="6" t="inlineStr">
        <is>
          <t>matched to PURCHASE_PROVISIONAL; tenor 90 days from booking</t>
        </is>
      </c>
      <c r="X34" s="13" t="n">
        <v>1241900</v>
      </c>
      <c r="Y34" s="12" t="n">
        <v>44656</v>
      </c>
      <c r="Z34" s="12" t="n">
        <v>44746</v>
      </c>
      <c r="AB34" s="6" t="inlineStr">
        <is>
          <t>PURCHASE_PROVISIONAL</t>
        </is>
      </c>
      <c r="AC34" s="21" t="n">
        <v>75.94059799999999</v>
      </c>
      <c r="AD34" s="21" t="n">
        <v>0.1</v>
      </c>
      <c r="AE34" s="21" t="n">
        <v>76.040598</v>
      </c>
      <c r="AH34" s="6" t="inlineStr">
        <is>
          <t>PROXY</t>
        </is>
      </c>
      <c r="AI34"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35">
      <c r="A35" s="7" t="inlineStr">
        <is>
          <t>T02</t>
        </is>
      </c>
      <c r="B35" s="6" t="inlineStr">
        <is>
          <t>USDINR_FORWARD</t>
        </is>
      </c>
      <c r="C35" s="6" t="inlineStr">
        <is>
          <t>T02-FX-2</t>
        </is>
      </c>
      <c r="D35" s="12" t="n">
        <v>44664</v>
      </c>
      <c r="I35" s="6" t="inlineStr">
        <is>
          <t>BUY_USD</t>
        </is>
      </c>
      <c r="M35" s="12" t="n">
        <v>44664</v>
      </c>
      <c r="N35" s="12" t="n">
        <v>44754</v>
      </c>
      <c r="O35" s="6" t="inlineStr">
        <is>
          <t>SETTLED_AT_VALUE_DATE</t>
        </is>
      </c>
      <c r="U35" s="6" t="n">
        <v>1</v>
      </c>
      <c r="W35" s="6" t="inlineStr">
        <is>
          <t>matched to PURCHASE_PROVISIONAL; tenor 90 days from booking</t>
        </is>
      </c>
      <c r="X35" s="13" t="n">
        <v>1166000</v>
      </c>
      <c r="Y35" s="12" t="n">
        <v>44664</v>
      </c>
      <c r="Z35" s="12" t="n">
        <v>44754</v>
      </c>
      <c r="AB35" s="6" t="inlineStr">
        <is>
          <t>PURCHASE_PROVISIONAL</t>
        </is>
      </c>
      <c r="AC35" s="21" t="n">
        <v>76.77863600000001</v>
      </c>
      <c r="AD35" s="21" t="n">
        <v>0.1</v>
      </c>
      <c r="AE35" s="21" t="n">
        <v>76.878636</v>
      </c>
      <c r="AH35" s="6" t="inlineStr">
        <is>
          <t>PROXY</t>
        </is>
      </c>
      <c r="AI35"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36">
      <c r="A36" s="7" t="inlineStr">
        <is>
          <t>T02</t>
        </is>
      </c>
      <c r="B36" s="6" t="inlineStr">
        <is>
          <t>USDINR_FORWARD</t>
        </is>
      </c>
      <c r="C36" s="6" t="inlineStr">
        <is>
          <t>T02-FX-3</t>
        </is>
      </c>
      <c r="D36" s="12" t="n">
        <v>44713</v>
      </c>
      <c r="I36" s="6" t="inlineStr">
        <is>
          <t>SELL_USD</t>
        </is>
      </c>
      <c r="M36" s="12" t="n">
        <v>44713</v>
      </c>
      <c r="N36" s="12" t="n">
        <v>44746</v>
      </c>
      <c r="O36" s="6" t="inlineStr">
        <is>
          <t>SETTLED_AT_VALUE_DATE</t>
        </is>
      </c>
      <c r="U36" s="6" t="n">
        <v>1</v>
      </c>
      <c r="W36" s="6" t="inlineStr">
        <is>
          <t>matched to PURCHASE_FINAL; tenor 33 days from booking</t>
        </is>
      </c>
      <c r="X36" s="13" t="n">
        <v>240000</v>
      </c>
      <c r="Y36" s="12" t="n">
        <v>44713</v>
      </c>
      <c r="Z36" s="12" t="n">
        <v>44746</v>
      </c>
      <c r="AB36" s="6" t="inlineStr">
        <is>
          <t>PURCHASE_FINAL</t>
        </is>
      </c>
      <c r="AC36" s="21" t="n">
        <v>77.775946</v>
      </c>
      <c r="AD36" s="21" t="n">
        <v>0.1</v>
      </c>
      <c r="AE36" s="21" t="n">
        <v>77.675946</v>
      </c>
      <c r="AH36" s="6" t="inlineStr">
        <is>
          <t>PROXY</t>
        </is>
      </c>
      <c r="AI36"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37">
      <c r="A37" s="7" t="inlineStr">
        <is>
          <t>T03</t>
        </is>
      </c>
      <c r="B37" s="6" t="inlineStr">
        <is>
          <t>MCX_ALUMINIUM_FUTURE</t>
        </is>
      </c>
      <c r="C37" s="6" t="inlineStr">
        <is>
          <t>T03-MCX-1</t>
        </is>
      </c>
      <c r="D37" s="12" t="n">
        <v>44643</v>
      </c>
      <c r="E37" s="6" t="inlineStr">
        <is>
          <t>2022-04</t>
        </is>
      </c>
      <c r="F37" s="6" t="inlineStr">
        <is>
          <t>2022-04-29</t>
        </is>
      </c>
      <c r="G37" s="6" t="inlineStr">
        <is>
          <t>2022-04-29</t>
        </is>
      </c>
      <c r="H37" s="6" t="inlineStr">
        <is>
          <t>2022-04-20</t>
        </is>
      </c>
      <c r="I37" s="6" t="inlineStr">
        <is>
          <t>SELL</t>
        </is>
      </c>
      <c r="J37" s="6" t="n">
        <v>143</v>
      </c>
      <c r="K37" s="13" t="n">
        <v>5</v>
      </c>
      <c r="L37" s="13" t="n">
        <v>715</v>
      </c>
      <c r="M37" s="12" t="n">
        <v>44643</v>
      </c>
      <c r="N37" s="12" t="n">
        <v>44671</v>
      </c>
      <c r="O37" s="6" t="inlineStr">
        <is>
          <t>ROLL</t>
        </is>
      </c>
      <c r="P37" s="6" t="inlineStr">
        <is>
          <t>T03-MCX-2</t>
        </is>
      </c>
      <c r="Q37" s="13" t="n">
        <v>295.6989</v>
      </c>
      <c r="R37" s="6" t="inlineStr">
        <is>
          <t>PANEL_M2</t>
        </is>
      </c>
      <c r="S37" s="13" t="n">
        <v>267.8723</v>
      </c>
      <c r="T37" s="6" t="inlineStr">
        <is>
          <t>PANEL_M1</t>
        </is>
      </c>
      <c r="U37" s="6" t="n">
        <v>0.9</v>
      </c>
      <c r="V37" s="6" t="n">
        <v>0.8992019999999999</v>
      </c>
      <c r="W37" s="6" t="inlineStr">
        <is>
          <t>unsold 1,200 MT at replacement value x grade factor 0.698000; k = 78.8519 ₹/t per USD/t, one lot = 420.58 ₹ per USD/t</t>
        </is>
      </c>
      <c r="AH37" s="6" t="inlineStr">
        <is>
          <t>PROXY</t>
        </is>
      </c>
      <c r="AI37" s="7" t="inlineStr">
        <is>
          <t>A fixed-price cargo with no buyer is a naked long in LME-equivalent metal, marked at what it would cost to replace it, so the MCX short is the entire risk management on this ticket until a sale is contracted. It leaves three exposures open and the desk is taking all three deliberately: the Taint/Tabor discount to LME, which is where most of this grade's volatility actually lives; one roll from the April into the May contract; and the divergence between MCX duty-paid primary parity and the scrap the desk owns. In base runs the panel MCX series is a parity proxy, so the reported cross-exchange basis is zero by construction and only the mirror run carries evidence of it. One artefact to name, because this line rolls: the panel's MCX M1 and M2 are built from one spot by a deterministic interest carry, so the curve is in contango by construction and every roll of a short in this book shows a gain; the real contract can and does go into backwardation, when the metal part of the same roll costs money.</t>
        </is>
      </c>
    </row>
    <row r="38">
      <c r="A38" s="7" t="inlineStr">
        <is>
          <t>T03</t>
        </is>
      </c>
      <c r="B38" s="6" t="inlineStr">
        <is>
          <t>MCX_ALUMINIUM_FUTURE</t>
        </is>
      </c>
      <c r="C38" s="6" t="inlineStr">
        <is>
          <t>T03-MCX-2</t>
        </is>
      </c>
      <c r="D38" s="12" t="n">
        <v>44671</v>
      </c>
      <c r="E38" s="6" t="inlineStr">
        <is>
          <t>2022-05</t>
        </is>
      </c>
      <c r="F38" s="6" t="inlineStr">
        <is>
          <t>2022-05-31</t>
        </is>
      </c>
      <c r="G38" s="6" t="inlineStr">
        <is>
          <t>2022-05-31</t>
        </is>
      </c>
      <c r="H38" s="6" t="inlineStr">
        <is>
          <t>2022-05-20</t>
        </is>
      </c>
      <c r="I38" s="6" t="inlineStr">
        <is>
          <t>SELL</t>
        </is>
      </c>
      <c r="J38" s="6" t="n">
        <v>143</v>
      </c>
      <c r="K38" s="13" t="n">
        <v>5</v>
      </c>
      <c r="L38" s="13" t="n">
        <v>715</v>
      </c>
      <c r="M38" s="12" t="n">
        <v>44671</v>
      </c>
      <c r="N38" s="12" t="n">
        <v>44677</v>
      </c>
      <c r="O38" s="6" t="inlineStr">
        <is>
          <t>UNWIND</t>
        </is>
      </c>
      <c r="Q38" s="13" t="n">
        <v>268.7933</v>
      </c>
      <c r="R38" s="6" t="inlineStr">
        <is>
          <t>PANEL_M2</t>
        </is>
      </c>
      <c r="S38" s="13" t="n">
        <v>258.1115</v>
      </c>
      <c r="T38" s="6" t="inlineStr">
        <is>
          <t>PANEL_M2</t>
        </is>
      </c>
      <c r="U38" s="6" t="n">
        <v>0.9</v>
      </c>
      <c r="W38" s="6" t="inlineStr">
        <is>
          <t>rolled: a roll keeps the position of the line it continues</t>
        </is>
      </c>
      <c r="AH38" s="6" t="inlineStr">
        <is>
          <t>PROXY</t>
        </is>
      </c>
      <c r="AI38" s="7" t="inlineStr">
        <is>
          <t>A fixed-price cargo with no buyer is a naked long in LME-equivalent metal, marked at what it would cost to replace it, so the MCX short is the entire risk management on this ticket until a sale is contracted. It leaves three exposures open and the desk is taking all three deliberately: the Taint/Tabor discount to LME, which is where most of this grade's volatility actually lives; one roll from the April into the May contract; and the divergence between MCX duty-paid primary parity and the scrap the desk owns. In base runs the panel MCX series is a parity proxy, so the reported cross-exchange basis is zero by construction and only the mirror run carries evidence of it. One artefact to name, because this line rolls: the panel's MCX M1 and M2 are built from one spot by a deterministic interest carry, so the curve is in contango by construction and every roll of a short in this book shows a gain; the real contract can and does go into backwardation, when the metal part of the same roll costs money.</t>
        </is>
      </c>
    </row>
    <row r="39">
      <c r="A39" s="7" t="inlineStr">
        <is>
          <t>T03</t>
        </is>
      </c>
      <c r="B39" s="6" t="inlineStr">
        <is>
          <t>USDINR_FORWARD</t>
        </is>
      </c>
      <c r="C39" s="6" t="inlineStr">
        <is>
          <t>T03-FX-1</t>
        </is>
      </c>
      <c r="D39" s="12" t="n">
        <v>44664</v>
      </c>
      <c r="I39" s="6" t="inlineStr">
        <is>
          <t>BUY_USD</t>
        </is>
      </c>
      <c r="M39" s="12" t="n">
        <v>44664</v>
      </c>
      <c r="N39" s="12" t="n">
        <v>44671</v>
      </c>
      <c r="O39" s="6" t="inlineStr">
        <is>
          <t>SETTLED_AT_VALUE_DATE</t>
        </is>
      </c>
      <c r="U39" s="6" t="n">
        <v>1</v>
      </c>
      <c r="W39" s="6" t="inlineStr">
        <is>
          <t>matched to PURCHASE_INVOICE; tenor 7 days from booking</t>
        </is>
      </c>
      <c r="X39" s="13" t="n">
        <v>1482000</v>
      </c>
      <c r="Y39" s="12" t="n">
        <v>44664</v>
      </c>
      <c r="Z39" s="12" t="n">
        <v>44671</v>
      </c>
      <c r="AB39" s="6" t="inlineStr">
        <is>
          <t>PURCHASE_INVOICE</t>
        </is>
      </c>
      <c r="AC39" s="21" t="n">
        <v>76.23134400000001</v>
      </c>
      <c r="AD39" s="21" t="n">
        <v>0.1</v>
      </c>
      <c r="AE39" s="21" t="n">
        <v>76.331344</v>
      </c>
      <c r="AH39" s="6" t="inlineStr">
        <is>
          <t>PROXY</t>
        </is>
      </c>
      <c r="AI39"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40">
      <c r="A40" s="7" t="inlineStr">
        <is>
          <t>T03</t>
        </is>
      </c>
      <c r="B40" s="6" t="inlineStr">
        <is>
          <t>USDINR_FORWARD</t>
        </is>
      </c>
      <c r="C40" s="6" t="inlineStr">
        <is>
          <t>T03-FX-2</t>
        </is>
      </c>
      <c r="D40" s="12" t="n">
        <v>44673</v>
      </c>
      <c r="I40" s="6" t="inlineStr">
        <is>
          <t>BUY_USD</t>
        </is>
      </c>
      <c r="M40" s="12" t="n">
        <v>44673</v>
      </c>
      <c r="N40" s="12" t="n">
        <v>44680</v>
      </c>
      <c r="O40" s="6" t="inlineStr">
        <is>
          <t>SETTLED_AT_VALUE_DATE</t>
        </is>
      </c>
      <c r="U40" s="6" t="n">
        <v>1</v>
      </c>
      <c r="W40" s="6" t="inlineStr">
        <is>
          <t>matched to PURCHASE_INVOICE; tenor 7 days from booking</t>
        </is>
      </c>
      <c r="X40" s="13" t="n">
        <v>1482000</v>
      </c>
      <c r="Y40" s="12" t="n">
        <v>44673</v>
      </c>
      <c r="Z40" s="12" t="n">
        <v>44680</v>
      </c>
      <c r="AB40" s="6" t="inlineStr">
        <is>
          <t>PURCHASE_INVOICE</t>
        </is>
      </c>
      <c r="AC40" s="21" t="n">
        <v>76.493877</v>
      </c>
      <c r="AD40" s="21" t="n">
        <v>0.1</v>
      </c>
      <c r="AE40" s="21" t="n">
        <v>76.59387700000001</v>
      </c>
      <c r="AH40" s="6" t="inlineStr">
        <is>
          <t>PROXY</t>
        </is>
      </c>
      <c r="AI40"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41">
      <c r="A41" s="7" t="inlineStr">
        <is>
          <t>T04</t>
        </is>
      </c>
      <c r="B41" s="6" t="inlineStr">
        <is>
          <t>MCX_ALUMINIUM_FUTURE</t>
        </is>
      </c>
      <c r="C41" s="6" t="inlineStr">
        <is>
          <t>T04-MCX-1</t>
        </is>
      </c>
      <c r="D41" s="12" t="n">
        <v>44657</v>
      </c>
      <c r="E41" s="6" t="inlineStr">
        <is>
          <t>2022-04</t>
        </is>
      </c>
      <c r="F41" s="6" t="inlineStr">
        <is>
          <t>2022-04-29</t>
        </is>
      </c>
      <c r="G41" s="6" t="inlineStr">
        <is>
          <t>2022-04-29</t>
        </is>
      </c>
      <c r="H41" s="6" t="inlineStr">
        <is>
          <t>2022-04-20</t>
        </is>
      </c>
      <c r="I41" s="6" t="inlineStr">
        <is>
          <t>SELL</t>
        </is>
      </c>
      <c r="J41" s="6" t="n">
        <v>87</v>
      </c>
      <c r="K41" s="13" t="n">
        <v>5</v>
      </c>
      <c r="L41" s="13" t="n">
        <v>435</v>
      </c>
      <c r="M41" s="12" t="n">
        <v>44657</v>
      </c>
      <c r="N41" s="12" t="n">
        <v>44671</v>
      </c>
      <c r="O41" s="6" t="inlineStr">
        <is>
          <t>ROLL</t>
        </is>
      </c>
      <c r="P41" s="6" t="inlineStr">
        <is>
          <t>T04-MCX-2</t>
        </is>
      </c>
      <c r="Q41" s="13" t="n">
        <v>283.3802</v>
      </c>
      <c r="R41" s="6" t="inlineStr">
        <is>
          <t>PANEL_M1</t>
        </is>
      </c>
      <c r="S41" s="13" t="n">
        <v>267.8723</v>
      </c>
      <c r="T41" s="6" t="inlineStr">
        <is>
          <t>PANEL_M1</t>
        </is>
      </c>
      <c r="U41" s="6" t="n">
        <v>0.5</v>
      </c>
      <c r="V41" s="6" t="n">
        <v>0.5001910000000001</v>
      </c>
      <c r="W41" s="6" t="inlineStr">
        <is>
          <t>unsold 1,260 MT at replacement value x grade factor 0.726000; k = 78.2376 ₹/t per USD/t, one lot = 416.90 ₹ per USD/t</t>
        </is>
      </c>
      <c r="AH41" s="6" t="inlineStr">
        <is>
          <t>PROXY</t>
        </is>
      </c>
      <c r="AI41" s="7" t="inlineStr">
        <is>
          <t>Same cross-exchange mismatch as every other ticket in this book — MCX prices duty-paid primary ingot, the desk owns LME-linked Taint/Tabor scrap, so the hedge covers the metal leg and leaves the grade spread in its own bucket. What is different here is the size: 0.50 of the LME-equivalent delta rather than the desk's usual 0.90. The reason is written down on the trade date, not after it. First, the March variation-margin call on the short book was the largest cash outflow the desk had taken and the line has not been rebuilt; a smaller short is a smaller margin commitment through a market that has already shown it can move 12 % in a session. Second, on this grade the point-in-time screen says the scrap discount, not the flat price, is where the risk lives, and the MCX contract does not hedge the discount at any ratio. This is a deliberate decision to carry roughly 435 tonnes of LME-equivalent length unhedged, and if the market keeps falling it will cost money. One artefact to name, because this line rolls: the panel's MCX M1 and M2 are built from one spot by a deterministic interest carry, so the curve is in contango by construction and every roll of a short in this book shows a gain; the real contract can and does go into backwardation, when the metal part of the same roll costs money.</t>
        </is>
      </c>
    </row>
    <row r="42">
      <c r="A42" s="7" t="inlineStr">
        <is>
          <t>T04</t>
        </is>
      </c>
      <c r="B42" s="6" t="inlineStr">
        <is>
          <t>MCX_ALUMINIUM_FUTURE</t>
        </is>
      </c>
      <c r="C42" s="6" t="inlineStr">
        <is>
          <t>T04-MCX-2</t>
        </is>
      </c>
      <c r="D42" s="12" t="n">
        <v>44671</v>
      </c>
      <c r="E42" s="6" t="inlineStr">
        <is>
          <t>2022-05</t>
        </is>
      </c>
      <c r="F42" s="6" t="inlineStr">
        <is>
          <t>2022-05-31</t>
        </is>
      </c>
      <c r="G42" s="6" t="inlineStr">
        <is>
          <t>2022-05-31</t>
        </is>
      </c>
      <c r="H42" s="6" t="inlineStr">
        <is>
          <t>2022-05-20</t>
        </is>
      </c>
      <c r="I42" s="6" t="inlineStr">
        <is>
          <t>SELL</t>
        </is>
      </c>
      <c r="J42" s="6" t="n">
        <v>87</v>
      </c>
      <c r="K42" s="13" t="n">
        <v>5</v>
      </c>
      <c r="L42" s="13" t="n">
        <v>435</v>
      </c>
      <c r="M42" s="12" t="n">
        <v>44671</v>
      </c>
      <c r="N42" s="12" t="n">
        <v>44701</v>
      </c>
      <c r="O42" s="6" t="inlineStr">
        <is>
          <t>ROLL</t>
        </is>
      </c>
      <c r="P42" s="6" t="inlineStr">
        <is>
          <t>T04-MCX-3</t>
        </is>
      </c>
      <c r="Q42" s="13" t="n">
        <v>268.7933</v>
      </c>
      <c r="R42" s="6" t="inlineStr">
        <is>
          <t>PANEL_M2</t>
        </is>
      </c>
      <c r="S42" s="13" t="n">
        <v>246.8141</v>
      </c>
      <c r="T42" s="6" t="inlineStr">
        <is>
          <t>PANEL_M1</t>
        </is>
      </c>
      <c r="U42" s="6" t="n">
        <v>0.5</v>
      </c>
      <c r="W42" s="6" t="inlineStr">
        <is>
          <t>rolled: a roll keeps the position of the line it continues</t>
        </is>
      </c>
      <c r="AH42" s="6" t="inlineStr">
        <is>
          <t>PROXY</t>
        </is>
      </c>
      <c r="AI42" s="7" t="inlineStr">
        <is>
          <t>Same cross-exchange mismatch as every other ticket in this book — MCX prices duty-paid primary ingot, the desk owns LME-linked Taint/Tabor scrap, so the hedge covers the metal leg and leaves the grade spread in its own bucket. What is different here is the size: 0.50 of the LME-equivalent delta rather than the desk's usual 0.90. The reason is written down on the trade date, not after it. First, the March variation-margin call on the short book was the largest cash outflow the desk had taken and the line has not been rebuilt; a smaller short is a smaller margin commitment through a market that has already shown it can move 12 % in a session. Second, on this grade the point-in-time screen says the scrap discount, not the flat price, is where the risk lives, and the MCX contract does not hedge the discount at any ratio. This is a deliberate decision to carry roughly 435 tonnes of LME-equivalent length unhedged, and if the market keeps falling it will cost money. One artefact to name, because this line rolls: the panel's MCX M1 and M2 are built from one spot by a deterministic interest carry, so the curve is in contango by construction and every roll of a short in this book shows a gain; the real contract can and does go into backwardation, when the metal part of the same roll costs money.</t>
        </is>
      </c>
    </row>
    <row r="43">
      <c r="A43" s="7" t="inlineStr">
        <is>
          <t>T04</t>
        </is>
      </c>
      <c r="B43" s="6" t="inlineStr">
        <is>
          <t>MCX_ALUMINIUM_FUTURE</t>
        </is>
      </c>
      <c r="C43" s="6" t="inlineStr">
        <is>
          <t>T04-MCX-3</t>
        </is>
      </c>
      <c r="D43" s="12" t="n">
        <v>44701</v>
      </c>
      <c r="E43" s="6" t="inlineStr">
        <is>
          <t>2022-06</t>
        </is>
      </c>
      <c r="F43" s="6" t="inlineStr">
        <is>
          <t>2022-06-30</t>
        </is>
      </c>
      <c r="G43" s="6" t="inlineStr">
        <is>
          <t>2022-06-30</t>
        </is>
      </c>
      <c r="H43" s="6" t="inlineStr">
        <is>
          <t>2022-06-21</t>
        </is>
      </c>
      <c r="I43" s="6" t="inlineStr">
        <is>
          <t>SELL</t>
        </is>
      </c>
      <c r="J43" s="6" t="n">
        <v>87</v>
      </c>
      <c r="K43" s="13" t="n">
        <v>5</v>
      </c>
      <c r="L43" s="13" t="n">
        <v>435</v>
      </c>
      <c r="M43" s="12" t="n">
        <v>44701</v>
      </c>
      <c r="N43" s="12" t="n">
        <v>44705</v>
      </c>
      <c r="O43" s="6" t="inlineStr">
        <is>
          <t>UNWIND</t>
        </is>
      </c>
      <c r="Q43" s="13" t="n">
        <v>247.7731</v>
      </c>
      <c r="R43" s="6" t="inlineStr">
        <is>
          <t>PANEL_M2</t>
        </is>
      </c>
      <c r="S43" s="13" t="n">
        <v>243.1646</v>
      </c>
      <c r="T43" s="6" t="inlineStr">
        <is>
          <t>PANEL_M2</t>
        </is>
      </c>
      <c r="U43" s="6" t="n">
        <v>0.5</v>
      </c>
      <c r="W43" s="6" t="inlineStr">
        <is>
          <t>rolled: a roll keeps the position of the line it continues</t>
        </is>
      </c>
      <c r="AH43" s="6" t="inlineStr">
        <is>
          <t>PROXY</t>
        </is>
      </c>
      <c r="AI43" s="7" t="inlineStr">
        <is>
          <t>Same cross-exchange mismatch as every other ticket in this book — MCX prices duty-paid primary ingot, the desk owns LME-linked Taint/Tabor scrap, so the hedge covers the metal leg and leaves the grade spread in its own bucket. What is different here is the size: 0.50 of the LME-equivalent delta rather than the desk's usual 0.90. The reason is written down on the trade date, not after it. First, the March variation-margin call on the short book was the largest cash outflow the desk had taken and the line has not been rebuilt; a smaller short is a smaller margin commitment through a market that has already shown it can move 12 % in a session. Second, on this grade the point-in-time screen says the scrap discount, not the flat price, is where the risk lives, and the MCX contract does not hedge the discount at any ratio. This is a deliberate decision to carry roughly 435 tonnes of LME-equivalent length unhedged, and if the market keeps falling it will cost money. One artefact to name, because this line rolls: the panel's MCX M1 and M2 are built from one spot by a deterministic interest carry, so the curve is in contango by construction and every roll of a short in this book shows a gain; the real contract can and does go into backwardation, when the metal part of the same roll costs money.</t>
        </is>
      </c>
    </row>
    <row r="44">
      <c r="A44" s="7" t="inlineStr">
        <is>
          <t>T04</t>
        </is>
      </c>
      <c r="B44" s="6" t="inlineStr">
        <is>
          <t>USDINR_FORWARD</t>
        </is>
      </c>
      <c r="C44" s="6" t="inlineStr">
        <is>
          <t>T04-FX-1</t>
        </is>
      </c>
      <c r="D44" s="12" t="n">
        <v>44678</v>
      </c>
      <c r="I44" s="6" t="inlineStr">
        <is>
          <t>BUY_USD</t>
        </is>
      </c>
      <c r="M44" s="12" t="n">
        <v>44678</v>
      </c>
      <c r="N44" s="12" t="n">
        <v>44685</v>
      </c>
      <c r="O44" s="6" t="inlineStr">
        <is>
          <t>SETTLED_AT_VALUE_DATE</t>
        </is>
      </c>
      <c r="U44" s="6" t="n">
        <v>1</v>
      </c>
      <c r="W44" s="6" t="inlineStr">
        <is>
          <t>matched to PURCHASE_INVOICE; tenor 7 days from booking</t>
        </is>
      </c>
      <c r="X44" s="13" t="n">
        <v>1518300</v>
      </c>
      <c r="Y44" s="12" t="n">
        <v>44678</v>
      </c>
      <c r="Z44" s="12" t="n">
        <v>44685</v>
      </c>
      <c r="AB44" s="6" t="inlineStr">
        <is>
          <t>PURCHASE_INVOICE</t>
        </is>
      </c>
      <c r="AC44" s="21" t="n">
        <v>76.64997</v>
      </c>
      <c r="AD44" s="21" t="n">
        <v>0.1</v>
      </c>
      <c r="AE44" s="21" t="n">
        <v>76.74997</v>
      </c>
      <c r="AH44" s="6" t="inlineStr">
        <is>
          <t>PROXY</t>
        </is>
      </c>
      <c r="AI44"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45">
      <c r="A45" s="7" t="inlineStr">
        <is>
          <t>T04</t>
        </is>
      </c>
      <c r="B45" s="6" t="inlineStr">
        <is>
          <t>USDINR_FORWARD</t>
        </is>
      </c>
      <c r="C45" s="6" t="inlineStr">
        <is>
          <t>T04-FX-2</t>
        </is>
      </c>
      <c r="D45" s="12" t="n">
        <v>44685</v>
      </c>
      <c r="I45" s="6" t="inlineStr">
        <is>
          <t>BUY_USD</t>
        </is>
      </c>
      <c r="M45" s="12" t="n">
        <v>44685</v>
      </c>
      <c r="N45" s="12" t="n">
        <v>44692</v>
      </c>
      <c r="O45" s="6" t="inlineStr">
        <is>
          <t>SETTLED_AT_VALUE_DATE</t>
        </is>
      </c>
      <c r="U45" s="6" t="n">
        <v>1</v>
      </c>
      <c r="W45" s="6" t="inlineStr">
        <is>
          <t>matched to PURCHASE_INVOICE; tenor 7 days from booking</t>
        </is>
      </c>
      <c r="X45" s="13" t="n">
        <v>1518300</v>
      </c>
      <c r="Y45" s="12" t="n">
        <v>44685</v>
      </c>
      <c r="Z45" s="12" t="n">
        <v>44692</v>
      </c>
      <c r="AB45" s="6" t="inlineStr">
        <is>
          <t>PURCHASE_INVOICE</t>
        </is>
      </c>
      <c r="AC45" s="21" t="n">
        <v>76.40558</v>
      </c>
      <c r="AD45" s="21" t="n">
        <v>0.1</v>
      </c>
      <c r="AE45" s="21" t="n">
        <v>76.50557999999999</v>
      </c>
      <c r="AH45" s="6" t="inlineStr">
        <is>
          <t>PROXY</t>
        </is>
      </c>
      <c r="AI45"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46">
      <c r="A46" s="7" t="inlineStr">
        <is>
          <t>T04</t>
        </is>
      </c>
      <c r="B46" s="6" t="inlineStr">
        <is>
          <t>USDINR_FORWARD</t>
        </is>
      </c>
      <c r="C46" s="6" t="inlineStr">
        <is>
          <t>T04-FX-3</t>
        </is>
      </c>
      <c r="D46" s="12" t="n">
        <v>44665</v>
      </c>
      <c r="I46" s="6" t="inlineStr">
        <is>
          <t>BUY_USD</t>
        </is>
      </c>
      <c r="M46" s="12" t="n">
        <v>44665</v>
      </c>
      <c r="N46" s="12" t="n">
        <v>44685</v>
      </c>
      <c r="O46" s="6" t="inlineStr">
        <is>
          <t>SETTLED_AT_VALUE_DATE</t>
        </is>
      </c>
      <c r="U46" s="6" t="n">
        <v>1</v>
      </c>
      <c r="W46" s="6" t="inlineStr">
        <is>
          <t>matched to FREIGHT; tenor 20 days from booking</t>
        </is>
      </c>
      <c r="X46" s="13" t="n">
        <v>120300</v>
      </c>
      <c r="Y46" s="12" t="n">
        <v>44665</v>
      </c>
      <c r="Z46" s="12" t="n">
        <v>44685</v>
      </c>
      <c r="AB46" s="6" t="inlineStr">
        <is>
          <t>FREIGHT</t>
        </is>
      </c>
      <c r="AC46" s="21" t="n">
        <v>76.26054000000001</v>
      </c>
      <c r="AD46" s="21" t="n">
        <v>0.1</v>
      </c>
      <c r="AE46" s="21" t="n">
        <v>76.36054</v>
      </c>
      <c r="AH46" s="6" t="inlineStr">
        <is>
          <t>PROXY</t>
        </is>
      </c>
      <c r="AI46"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47">
      <c r="A47" s="7" t="inlineStr">
        <is>
          <t>T04</t>
        </is>
      </c>
      <c r="B47" s="6" t="inlineStr">
        <is>
          <t>FREIGHT_FIXTURE</t>
        </is>
      </c>
      <c r="C47" s="6" t="inlineStr">
        <is>
          <t>T04-FRT-1</t>
        </is>
      </c>
      <c r="D47" s="12" t="n">
        <v>44665</v>
      </c>
      <c r="I47" s="6" t="inlineStr">
        <is>
          <t>BUY_SPACE</t>
        </is>
      </c>
      <c r="J47" s="6" t="n">
        <v>60</v>
      </c>
      <c r="K47" s="13" t="n">
        <v>21</v>
      </c>
      <c r="L47" s="13" t="n">
        <v>1260</v>
      </c>
      <c r="M47" s="12" t="n">
        <v>44665</v>
      </c>
      <c r="N47" s="12" t="n">
        <v>44685</v>
      </c>
      <c r="O47" s="6" t="inlineStr">
        <is>
          <t>PREPAID_AT_BL</t>
        </is>
      </c>
      <c r="U47" s="6" t="n">
        <v>0</v>
      </c>
      <c r="V47" s="6" t="n">
        <v>0</v>
      </c>
      <c r="W47" s="6" t="inlineStr">
        <is>
          <t>60 boxes fixed all-in; stop-loss 2,260 USD/FEU, book-by 2022-04-14</t>
        </is>
      </c>
      <c r="X47" s="13" t="n">
        <v>120300</v>
      </c>
      <c r="Y47" s="12" t="n">
        <v>44665</v>
      </c>
      <c r="Z47" s="12" t="n">
        <v>44685</v>
      </c>
      <c r="AB47" s="6" t="inlineStr">
        <is>
          <t>FREIGHT</t>
        </is>
      </c>
      <c r="AF47" s="6" t="n">
        <v>1967.49</v>
      </c>
      <c r="AG47" s="14" t="n">
        <v>0.019065</v>
      </c>
      <c r="AH47" s="6" t="inlineStr">
        <is>
          <t>ASSUMPTION</t>
        </is>
      </c>
      <c r="AI47" s="7" t="inlineStr">
        <is>
          <t>Table 4 row 2.7(d): no accessible India-lane container derivative existed in 2022, so the freight layer is UNHEDGED with a stated stop-loss rather than a hedge. Once fixed, the box rate is a fixed payable and the only live freight exposure left is the difference against the later market, which is a competitiveness memo and not a loss on this cargo (a CFR-basis grade factor does not fall when freight falls). The lane index itself is an ASSUMPTION-level reconstruction and the fixture spread over it is an ASSUMPTION.</t>
        </is>
      </c>
    </row>
    <row r="48">
      <c r="A48" s="7" t="inlineStr">
        <is>
          <t>T05</t>
        </is>
      </c>
      <c r="B48" s="6" t="inlineStr">
        <is>
          <t>MCX_ALUMINIUM_FUTURE</t>
        </is>
      </c>
      <c r="C48" s="6" t="inlineStr">
        <is>
          <t>T05-MCX-1</t>
        </is>
      </c>
      <c r="D48" s="12" t="n">
        <v>44672</v>
      </c>
      <c r="E48" s="6" t="inlineStr">
        <is>
          <t>2022-05</t>
        </is>
      </c>
      <c r="F48" s="6" t="inlineStr">
        <is>
          <t>2022-05-31</t>
        </is>
      </c>
      <c r="G48" s="6" t="inlineStr">
        <is>
          <t>2022-05-31</t>
        </is>
      </c>
      <c r="H48" s="6" t="inlineStr">
        <is>
          <t>2022-05-20</t>
        </is>
      </c>
      <c r="I48" s="6" t="inlineStr">
        <is>
          <t>SELL</t>
        </is>
      </c>
      <c r="J48" s="6" t="n">
        <v>105</v>
      </c>
      <c r="K48" s="13" t="n">
        <v>5</v>
      </c>
      <c r="L48" s="13" t="n">
        <v>525</v>
      </c>
      <c r="M48" s="12" t="n">
        <v>44672</v>
      </c>
      <c r="N48" s="12" t="n">
        <v>44701</v>
      </c>
      <c r="O48" s="6" t="inlineStr">
        <is>
          <t>ROLL</t>
        </is>
      </c>
      <c r="P48" s="6" t="inlineStr">
        <is>
          <t>T05-MCX-2</t>
        </is>
      </c>
      <c r="Q48" s="13" t="n">
        <v>270.2483</v>
      </c>
      <c r="R48" s="6" t="inlineStr">
        <is>
          <t>PANEL_M2</t>
        </is>
      </c>
      <c r="S48" s="13" t="n">
        <v>246.8141</v>
      </c>
      <c r="T48" s="6" t="inlineStr">
        <is>
          <t>PANEL_M1</t>
        </is>
      </c>
      <c r="U48" s="6" t="n">
        <v>1</v>
      </c>
      <c r="V48" s="6" t="n">
        <v>0.988327</v>
      </c>
      <c r="W48" s="6" t="inlineStr">
        <is>
          <t>S1 MCX-average leg 2,100 MT x 0.916; purchase leg floating x factor 0.702; k = 78.5977 ₹/t per USD/t, one lot = 418.27 ₹ per USD/t</t>
        </is>
      </c>
      <c r="AH48" s="6" t="inlineStr">
        <is>
          <t>PROXY</t>
        </is>
      </c>
      <c r="AI48" s="7" t="inlineStr">
        <is>
          <t>Two floating legs against two exchanges: the purchase on the LME official cash average of the month after shipment, the sale on the MCX near-month average over eight days at the turn of June and July. Because the sale's recovery factor grossed up by duty parity (0.916 x 1.0825 = 0.99) is larger than the purchase factor 0.702, the margin itself is LME-linked and the residual is a net long of about a quarter of a tonne per tonne of scrap — 105 lots at inception. When the purchase quotational period closes first the long becomes the whole cargo, so the hedge is increased by 279 lots rather than lifted, and both lines come off together when the sale's window passes its midpoint. The unhedgeable parts are the same as elsewhere: MCX prices duty-paid primary metal, the desk owns Tense scrap, and the two averaging windows do not overlap. In base runs the panel MCX series is a parity proxy, so the measured cross-exchange basis is zero by construction. One artefact to name, because this line rolls: the panel's MCX M1 and M2 are built from one spot by a deterministic interest carry, so the curve is in contango by construction and every roll of a short in this book shows a gain; the real contract can and does go into backwardation, when the metal part of the same roll costs money.</t>
        </is>
      </c>
    </row>
    <row r="49">
      <c r="A49" s="7" t="inlineStr">
        <is>
          <t>T05</t>
        </is>
      </c>
      <c r="B49" s="6" t="inlineStr">
        <is>
          <t>MCX_ALUMINIUM_FUTURE</t>
        </is>
      </c>
      <c r="C49" s="6" t="inlineStr">
        <is>
          <t>T05-MCX-2</t>
        </is>
      </c>
      <c r="D49" s="12" t="n">
        <v>44701</v>
      </c>
      <c r="E49" s="6" t="inlineStr">
        <is>
          <t>2022-06</t>
        </is>
      </c>
      <c r="F49" s="6" t="inlineStr">
        <is>
          <t>2022-06-30</t>
        </is>
      </c>
      <c r="G49" s="6" t="inlineStr">
        <is>
          <t>2022-06-30</t>
        </is>
      </c>
      <c r="H49" s="6" t="inlineStr">
        <is>
          <t>2022-06-21</t>
        </is>
      </c>
      <c r="I49" s="6" t="inlineStr">
        <is>
          <t>SELL</t>
        </is>
      </c>
      <c r="J49" s="6" t="n">
        <v>105</v>
      </c>
      <c r="K49" s="13" t="n">
        <v>5</v>
      </c>
      <c r="L49" s="13" t="n">
        <v>525</v>
      </c>
      <c r="M49" s="12" t="n">
        <v>44701</v>
      </c>
      <c r="N49" s="12" t="n">
        <v>44733</v>
      </c>
      <c r="O49" s="6" t="inlineStr">
        <is>
          <t>ROLL</t>
        </is>
      </c>
      <c r="P49" s="6" t="inlineStr">
        <is>
          <t>T05-MCX-4</t>
        </is>
      </c>
      <c r="Q49" s="13" t="n">
        <v>247.7731</v>
      </c>
      <c r="R49" s="6" t="inlineStr">
        <is>
          <t>PANEL_M2</t>
        </is>
      </c>
      <c r="S49" s="13" t="n">
        <v>213.348</v>
      </c>
      <c r="T49" s="6" t="inlineStr">
        <is>
          <t>PANEL_M1</t>
        </is>
      </c>
      <c r="U49" s="6" t="n">
        <v>1</v>
      </c>
      <c r="W49" s="6" t="inlineStr">
        <is>
          <t>rolled: a roll keeps the position of the line it continues</t>
        </is>
      </c>
      <c r="AH49" s="6" t="inlineStr">
        <is>
          <t>PROXY</t>
        </is>
      </c>
      <c r="AI49" s="7" t="inlineStr">
        <is>
          <t>Two floating legs against two exchanges: the purchase on the LME official cash average of the month after shipment, the sale on the MCX near-month average over eight days at the turn of June and July. Because the sale's recovery factor grossed up by duty parity (0.916 x 1.0825 = 0.99) is larger than the purchase factor 0.702, the margin itself is LME-linked and the residual is a net long of about a quarter of a tonne per tonne of scrap — 105 lots at inception. When the purchase quotational period closes first the long becomes the whole cargo, so the hedge is increased by 279 lots rather than lifted, and both lines come off together when the sale's window passes its midpoint. The unhedgeable parts are the same as elsewhere: MCX prices duty-paid primary metal, the desk owns Tense scrap, and the two averaging windows do not overlap. In base runs the panel MCX series is a parity proxy, so the measured cross-exchange basis is zero by construction. One artefact to name, because this line rolls: the panel's MCX M1 and M2 are built from one spot by a deterministic interest carry, so the curve is in contango by construction and every roll of a short in this book shows a gain; the real contract can and does go into backwardation, when the metal part of the same roll costs money.</t>
        </is>
      </c>
    </row>
    <row r="50">
      <c r="A50" s="7" t="inlineStr">
        <is>
          <t>T05</t>
        </is>
      </c>
      <c r="B50" s="6" t="inlineStr">
        <is>
          <t>MCX_ALUMINIUM_FUTURE</t>
        </is>
      </c>
      <c r="C50" s="6" t="inlineStr">
        <is>
          <t>T05-MCX-3</t>
        </is>
      </c>
      <c r="D50" s="12" t="n">
        <v>44728</v>
      </c>
      <c r="E50" s="6" t="inlineStr">
        <is>
          <t>2022-07</t>
        </is>
      </c>
      <c r="F50" s="6" t="inlineStr">
        <is>
          <t>2022-07-29</t>
        </is>
      </c>
      <c r="G50" s="6" t="inlineStr">
        <is>
          <t>2022-07-29</t>
        </is>
      </c>
      <c r="H50" s="6" t="inlineStr">
        <is>
          <t>2022-07-20</t>
        </is>
      </c>
      <c r="I50" s="6" t="inlineStr">
        <is>
          <t>SELL</t>
        </is>
      </c>
      <c r="J50" s="6" t="n">
        <v>279</v>
      </c>
      <c r="K50" s="13" t="n">
        <v>5</v>
      </c>
      <c r="L50" s="13" t="n">
        <v>1395</v>
      </c>
      <c r="M50" s="12" t="n">
        <v>44728</v>
      </c>
      <c r="N50" s="12" t="n">
        <v>44746</v>
      </c>
      <c r="O50" s="6" t="inlineStr">
        <is>
          <t>UNWIND</t>
        </is>
      </c>
      <c r="Q50" s="13" t="n">
        <v>212.6034</v>
      </c>
      <c r="R50" s="6" t="inlineStr">
        <is>
          <t>PANEL_M2</t>
        </is>
      </c>
      <c r="S50" s="13" t="n">
        <v>208.4704</v>
      </c>
      <c r="T50" s="6" t="inlineStr">
        <is>
          <t>PANEL_M1</t>
        </is>
      </c>
      <c r="U50" s="6" t="n">
        <v>1</v>
      </c>
      <c r="V50" s="6" t="n">
        <v>1.002197</v>
      </c>
      <c r="W50" s="6" t="inlineStr">
        <is>
          <t>S1 MCX-average leg 2,100 MT x 0.916; k = 80.5478 ₹/t per USD/t, one lot = 427.03 ₹ per USD/t</t>
        </is>
      </c>
      <c r="AH50" s="6" t="inlineStr">
        <is>
          <t>PROXY</t>
        </is>
      </c>
      <c r="AI50" s="7" t="inlineStr">
        <is>
          <t>Two floating legs against two exchanges: the purchase on the LME official cash average of the month after shipment, the sale on the MCX near-month average over eight days at the turn of June and July. Because the sale's recovery factor grossed up by duty parity (0.916 x 1.0825 = 0.99) is larger than the purchase factor 0.702, the margin itself is LME-linked and the residual is a net long of about a quarter of a tonne per tonne of scrap — 105 lots at inception. When the purchase quotational period closes first the long becomes the whole cargo, so the hedge is increased by 279 lots rather than lifted, and both lines come off together when the sale's window passes its midpoint. The unhedgeable parts are the same as elsewhere: MCX prices duty-paid primary metal, the desk owns Tense scrap, and the two averaging windows do not overlap. In base runs the panel MCX series is a parity proxy, so the measured cross-exchange basis is zero by construction. One artefact to name, because this line rolls: the panel's MCX M1 and M2 are built from one spot by a deterministic interest carry, so the curve is in contango by construction and every roll of a short in this book shows a gain; the real contract can and does go into backwardation, when the metal part of the same roll costs money.</t>
        </is>
      </c>
    </row>
    <row r="51">
      <c r="A51" s="7" t="inlineStr">
        <is>
          <t>T05</t>
        </is>
      </c>
      <c r="B51" s="6" t="inlineStr">
        <is>
          <t>MCX_ALUMINIUM_FUTURE</t>
        </is>
      </c>
      <c r="C51" s="6" t="inlineStr">
        <is>
          <t>T05-MCX-4</t>
        </is>
      </c>
      <c r="D51" s="12" t="n">
        <v>44733</v>
      </c>
      <c r="E51" s="6" t="inlineStr">
        <is>
          <t>2022-07</t>
        </is>
      </c>
      <c r="F51" s="6" t="inlineStr">
        <is>
          <t>2022-07-29</t>
        </is>
      </c>
      <c r="G51" s="6" t="inlineStr">
        <is>
          <t>2022-07-29</t>
        </is>
      </c>
      <c r="H51" s="6" t="inlineStr">
        <is>
          <t>2022-07-20</t>
        </is>
      </c>
      <c r="I51" s="6" t="inlineStr">
        <is>
          <t>SELL</t>
        </is>
      </c>
      <c r="J51" s="6" t="n">
        <v>105</v>
      </c>
      <c r="K51" s="13" t="n">
        <v>5</v>
      </c>
      <c r="L51" s="13" t="n">
        <v>525</v>
      </c>
      <c r="M51" s="12" t="n">
        <v>44733</v>
      </c>
      <c r="N51" s="12" t="n">
        <v>44746</v>
      </c>
      <c r="O51" s="6" t="inlineStr">
        <is>
          <t>UNWIND</t>
        </is>
      </c>
      <c r="Q51" s="13" t="n">
        <v>214.2183</v>
      </c>
      <c r="R51" s="6" t="inlineStr">
        <is>
          <t>PANEL_M2</t>
        </is>
      </c>
      <c r="S51" s="13" t="n">
        <v>208.4704</v>
      </c>
      <c r="T51" s="6" t="inlineStr">
        <is>
          <t>PANEL_M1</t>
        </is>
      </c>
      <c r="U51" s="6" t="n">
        <v>1</v>
      </c>
      <c r="W51" s="6" t="inlineStr">
        <is>
          <t>rolled: a roll keeps the position of the line it continues</t>
        </is>
      </c>
      <c r="AH51" s="6" t="inlineStr">
        <is>
          <t>PROXY</t>
        </is>
      </c>
      <c r="AI51" s="7" t="inlineStr">
        <is>
          <t>Two floating legs against two exchanges: the purchase on the LME official cash average of the month after shipment, the sale on the MCX near-month average over eight days at the turn of June and July. Because the sale's recovery factor grossed up by duty parity (0.916 x 1.0825 = 0.99) is larger than the purchase factor 0.702, the margin itself is LME-linked and the residual is a net long of about a quarter of a tonne per tonne of scrap — 105 lots at inception. When the purchase quotational period closes first the long becomes the whole cargo, so the hedge is increased by 279 lots rather than lifted, and both lines come off together when the sale's window passes its midpoint. The unhedgeable parts are the same as elsewhere: MCX prices duty-paid primary metal, the desk owns Tense scrap, and the two averaging windows do not overlap. In base runs the panel MCX series is a parity proxy, so the measured cross-exchange basis is zero by construction. One artefact to name, because this line rolls: the panel's MCX M1 and M2 are built from one spot by a deterministic interest carry, so the curve is in contango by construction and every roll of a short in this book shows a gain; the real contract can and does go into backwardation, when the metal part of the same roll costs money.</t>
        </is>
      </c>
    </row>
    <row r="52">
      <c r="A52" s="7" t="inlineStr">
        <is>
          <t>T05</t>
        </is>
      </c>
      <c r="B52" s="6" t="inlineStr">
        <is>
          <t>USDINR_FORWARD</t>
        </is>
      </c>
      <c r="C52" s="6" t="inlineStr">
        <is>
          <t>T05-FX-1</t>
        </is>
      </c>
      <c r="D52" s="12" t="n">
        <v>44691</v>
      </c>
      <c r="I52" s="6" t="inlineStr">
        <is>
          <t>BUY_USD</t>
        </is>
      </c>
      <c r="M52" s="12" t="n">
        <v>44691</v>
      </c>
      <c r="N52" s="12" t="n">
        <v>44753</v>
      </c>
      <c r="O52" s="6" t="inlineStr">
        <is>
          <t>SETTLED_AT_VALUE_DATE</t>
        </is>
      </c>
      <c r="U52" s="6" t="n">
        <v>1</v>
      </c>
      <c r="W52" s="6" t="inlineStr">
        <is>
          <t>matched to PURCHASE_PROVISIONAL; tenor 62 days from booking</t>
        </is>
      </c>
      <c r="X52" s="13" t="n">
        <v>1874500</v>
      </c>
      <c r="Y52" s="12" t="n">
        <v>44691</v>
      </c>
      <c r="Z52" s="12" t="n">
        <v>44753</v>
      </c>
      <c r="AB52" s="6" t="inlineStr">
        <is>
          <t>PURCHASE_PROVISIONAL</t>
        </is>
      </c>
      <c r="AC52" s="21" t="n">
        <v>77.764641</v>
      </c>
      <c r="AD52" s="21" t="n">
        <v>0.1</v>
      </c>
      <c r="AE52" s="21" t="n">
        <v>77.86464100000001</v>
      </c>
      <c r="AH52" s="6" t="inlineStr">
        <is>
          <t>PROXY</t>
        </is>
      </c>
      <c r="AI52"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53">
      <c r="A53" s="7" t="inlineStr">
        <is>
          <t>T05</t>
        </is>
      </c>
      <c r="B53" s="6" t="inlineStr">
        <is>
          <t>USDINR_FORWARD</t>
        </is>
      </c>
      <c r="C53" s="6" t="inlineStr">
        <is>
          <t>T05-FX-2</t>
        </is>
      </c>
      <c r="D53" s="12" t="n">
        <v>44699</v>
      </c>
      <c r="I53" s="6" t="inlineStr">
        <is>
          <t>BUY_USD</t>
        </is>
      </c>
      <c r="M53" s="12" t="n">
        <v>44699</v>
      </c>
      <c r="N53" s="12" t="n">
        <v>44760</v>
      </c>
      <c r="O53" s="6" t="inlineStr">
        <is>
          <t>SETTLED_AT_VALUE_DATE</t>
        </is>
      </c>
      <c r="U53" s="6" t="n">
        <v>1</v>
      </c>
      <c r="W53" s="6" t="inlineStr">
        <is>
          <t>matched to PURCHASE_PROVISIONAL; tenor 61 days from booking</t>
        </is>
      </c>
      <c r="X53" s="13" t="n">
        <v>1992200</v>
      </c>
      <c r="Y53" s="12" t="n">
        <v>44699</v>
      </c>
      <c r="Z53" s="12" t="n">
        <v>44760</v>
      </c>
      <c r="AB53" s="6" t="inlineStr">
        <is>
          <t>PURCHASE_PROVISIONAL</t>
        </is>
      </c>
      <c r="AC53" s="21" t="n">
        <v>78.06589200000001</v>
      </c>
      <c r="AD53" s="21" t="n">
        <v>0.1</v>
      </c>
      <c r="AE53" s="21" t="n">
        <v>78.165892</v>
      </c>
      <c r="AH53" s="6" t="inlineStr">
        <is>
          <t>PROXY</t>
        </is>
      </c>
      <c r="AI53"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54">
      <c r="A54" s="7" t="inlineStr">
        <is>
          <t>T05</t>
        </is>
      </c>
      <c r="B54" s="6" t="inlineStr">
        <is>
          <t>USDINR_FORWARD</t>
        </is>
      </c>
      <c r="C54" s="6" t="inlineStr">
        <is>
          <t>T05-FX-3</t>
        </is>
      </c>
      <c r="D54" s="12" t="n">
        <v>44743</v>
      </c>
      <c r="I54" s="6" t="inlineStr">
        <is>
          <t>SELL_USD</t>
        </is>
      </c>
      <c r="M54" s="12" t="n">
        <v>44743</v>
      </c>
      <c r="N54" s="12" t="n">
        <v>44760</v>
      </c>
      <c r="O54" s="6" t="inlineStr">
        <is>
          <t>SETTLED_AT_VALUE_DATE</t>
        </is>
      </c>
      <c r="U54" s="6" t="n">
        <v>1</v>
      </c>
      <c r="W54" s="6" t="inlineStr">
        <is>
          <t>matched to PURCHASE_FINAL; tenor 17 days from booking</t>
        </is>
      </c>
      <c r="X54" s="13" t="n">
        <v>90000</v>
      </c>
      <c r="Y54" s="12" t="n">
        <v>44743</v>
      </c>
      <c r="Z54" s="12" t="n">
        <v>44760</v>
      </c>
      <c r="AB54" s="6" t="inlineStr">
        <is>
          <t>PURCHASE_FINAL</t>
        </is>
      </c>
      <c r="AC54" s="21" t="n">
        <v>79.14969499999999</v>
      </c>
      <c r="AD54" s="21" t="n">
        <v>0.1</v>
      </c>
      <c r="AE54" s="21" t="n">
        <v>79.049695</v>
      </c>
      <c r="AH54" s="6" t="inlineStr">
        <is>
          <t>PROXY</t>
        </is>
      </c>
      <c r="AI54"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55">
      <c r="A55" s="7" t="inlineStr">
        <is>
          <t>T06</t>
        </is>
      </c>
      <c r="B55" s="6" t="inlineStr">
        <is>
          <t>MCX_ALUMINIUM_FUTURE</t>
        </is>
      </c>
      <c r="C55" s="6" t="inlineStr">
        <is>
          <t>T06-MCX-1</t>
        </is>
      </c>
      <c r="D55" s="12" t="n">
        <v>44691</v>
      </c>
      <c r="E55" s="6" t="inlineStr">
        <is>
          <t>2022-05</t>
        </is>
      </c>
      <c r="F55" s="6" t="inlineStr">
        <is>
          <t>2022-05-31</t>
        </is>
      </c>
      <c r="G55" s="6" t="inlineStr">
        <is>
          <t>2022-05-31</t>
        </is>
      </c>
      <c r="H55" s="6" t="inlineStr">
        <is>
          <t>2022-05-20</t>
        </is>
      </c>
      <c r="I55" s="6" t="inlineStr">
        <is>
          <t>SELL</t>
        </is>
      </c>
      <c r="J55" s="6" t="n">
        <v>176</v>
      </c>
      <c r="K55" s="13" t="n">
        <v>5</v>
      </c>
      <c r="L55" s="13" t="n">
        <v>880</v>
      </c>
      <c r="M55" s="12" t="n">
        <v>44691</v>
      </c>
      <c r="N55" s="12" t="n">
        <v>44701</v>
      </c>
      <c r="O55" s="6" t="inlineStr">
        <is>
          <t>ROLL</t>
        </is>
      </c>
      <c r="P55" s="6" t="inlineStr">
        <is>
          <t>T06-MCX-2</t>
        </is>
      </c>
      <c r="Q55" s="13" t="n">
        <v>224.5043</v>
      </c>
      <c r="R55" s="6" t="inlineStr">
        <is>
          <t>PANEL_M1</t>
        </is>
      </c>
      <c r="S55" s="13" t="n">
        <v>246.8141</v>
      </c>
      <c r="T55" s="6" t="inlineStr">
        <is>
          <t>PANEL_M1</t>
        </is>
      </c>
      <c r="U55" s="6" t="n">
        <v>0.9</v>
      </c>
      <c r="V55" s="6" t="n">
        <v>0.899699</v>
      </c>
      <c r="W55" s="6" t="inlineStr">
        <is>
          <t>unsold 1,300 MT at replacement value x grade factor 0.791500; k = 79.7201 ₹/t per USD/t, one lot = 424.26 ₹ per USD/t</t>
        </is>
      </c>
      <c r="AH55" s="6" t="inlineStr">
        <is>
          <t>PROXY</t>
        </is>
      </c>
      <c r="AI55" s="7" t="inlineStr">
        <is>
          <t>Fixed-price cargo, no buyer at inception: the whole position is a long in LME-equivalent metal marked at import replacement value, and the MCX short is the only thing standing against it. The cross-exchange mismatch is the standard one — MCX settles duty-paid primary ingot in the Indian evening, the cargo prices off LME 3M through a reconstructed Zorba factor fixed at the London ring — and it is larger than usual on this ticket because the Zorba discount has moved thirteen points since March while the flat price has fallen a thousand dollars. That divergence is the grade-spread bucket and no number of lots hedges it. One roll, May into June. In base runs the panel MCX series is a parity proxy, so the reported basis is zero by construction. One artefact to name, because this line rolls: the panel's MCX M1 and M2 are built from one spot by a deterministic interest carry, so the curve is in contango by construction and every roll of a short in this book shows a gain; the real contract can and does go into backwardation, when the metal part of the same roll costs money.</t>
        </is>
      </c>
    </row>
    <row r="56">
      <c r="A56" s="7" t="inlineStr">
        <is>
          <t>T06</t>
        </is>
      </c>
      <c r="B56" s="6" t="inlineStr">
        <is>
          <t>MCX_ALUMINIUM_FUTURE</t>
        </is>
      </c>
      <c r="C56" s="6" t="inlineStr">
        <is>
          <t>T06-MCX-2</t>
        </is>
      </c>
      <c r="D56" s="12" t="n">
        <v>44701</v>
      </c>
      <c r="E56" s="6" t="inlineStr">
        <is>
          <t>2022-06</t>
        </is>
      </c>
      <c r="F56" s="6" t="inlineStr">
        <is>
          <t>2022-06-30</t>
        </is>
      </c>
      <c r="G56" s="6" t="inlineStr">
        <is>
          <t>2022-06-30</t>
        </is>
      </c>
      <c r="H56" s="6" t="inlineStr">
        <is>
          <t>2022-06-21</t>
        </is>
      </c>
      <c r="I56" s="6" t="inlineStr">
        <is>
          <t>SELL</t>
        </is>
      </c>
      <c r="J56" s="6" t="n">
        <v>176</v>
      </c>
      <c r="K56" s="13" t="n">
        <v>5</v>
      </c>
      <c r="L56" s="13" t="n">
        <v>880</v>
      </c>
      <c r="M56" s="12" t="n">
        <v>44701</v>
      </c>
      <c r="N56" s="12" t="n">
        <v>44713</v>
      </c>
      <c r="O56" s="6" t="inlineStr">
        <is>
          <t>UNWIND</t>
        </is>
      </c>
      <c r="Q56" s="13" t="n">
        <v>247.7731</v>
      </c>
      <c r="R56" s="6" t="inlineStr">
        <is>
          <t>PANEL_M2</t>
        </is>
      </c>
      <c r="S56" s="13" t="n">
        <v>227.5651</v>
      </c>
      <c r="T56" s="6" t="inlineStr">
        <is>
          <t>PANEL_M1</t>
        </is>
      </c>
      <c r="U56" s="6" t="n">
        <v>0.9</v>
      </c>
      <c r="W56" s="6" t="inlineStr">
        <is>
          <t>rolled: a roll keeps the position of the line it continues</t>
        </is>
      </c>
      <c r="AH56" s="6" t="inlineStr">
        <is>
          <t>PROXY</t>
        </is>
      </c>
      <c r="AI56" s="7" t="inlineStr">
        <is>
          <t>Fixed-price cargo, no buyer at inception: the whole position is a long in LME-equivalent metal marked at import replacement value, and the MCX short is the only thing standing against it. The cross-exchange mismatch is the standard one — MCX settles duty-paid primary ingot in the Indian evening, the cargo prices off LME 3M through a reconstructed Zorba factor fixed at the London ring — and it is larger than usual on this ticket because the Zorba discount has moved thirteen points since March while the flat price has fallen a thousand dollars. That divergence is the grade-spread bucket and no number of lots hedges it. One roll, May into June. In base runs the panel MCX series is a parity proxy, so the reported basis is zero by construction. One artefact to name, because this line rolls: the panel's MCX M1 and M2 are built from one spot by a deterministic interest carry, so the curve is in contango by construction and every roll of a short in this book shows a gain; the real contract can and does go into backwardation, when the metal part of the same roll costs money.</t>
        </is>
      </c>
    </row>
    <row r="57">
      <c r="A57" s="7" t="inlineStr">
        <is>
          <t>T06</t>
        </is>
      </c>
      <c r="B57" s="6" t="inlineStr">
        <is>
          <t>USDINR_FORWARD</t>
        </is>
      </c>
      <c r="C57" s="6" t="inlineStr">
        <is>
          <t>T06-FX-1</t>
        </is>
      </c>
      <c r="D57" s="12" t="n">
        <v>44706</v>
      </c>
      <c r="I57" s="6" t="inlineStr">
        <is>
          <t>BUY_USD</t>
        </is>
      </c>
      <c r="M57" s="12" t="n">
        <v>44706</v>
      </c>
      <c r="N57" s="12" t="n">
        <v>44713</v>
      </c>
      <c r="O57" s="6" t="inlineStr">
        <is>
          <t>SETTLED_AT_VALUE_DATE</t>
        </is>
      </c>
      <c r="U57" s="6" t="n">
        <v>0.6</v>
      </c>
      <c r="W57" s="6" t="inlineStr">
        <is>
          <t>matched to PURCHASE_INVOICE; tenor 7 days from booking</t>
        </is>
      </c>
      <c r="X57" s="13" t="n">
        <v>833800</v>
      </c>
      <c r="Y57" s="12" t="n">
        <v>44706</v>
      </c>
      <c r="Z57" s="12" t="n">
        <v>44713</v>
      </c>
      <c r="AB57" s="6" t="inlineStr">
        <is>
          <t>PURCHASE_INVOICE</t>
        </is>
      </c>
      <c r="AC57" s="21" t="n">
        <v>77.632006</v>
      </c>
      <c r="AD57" s="21" t="n">
        <v>0.1</v>
      </c>
      <c r="AE57" s="21" t="n">
        <v>77.732006</v>
      </c>
      <c r="AH57" s="6" t="inlineStr">
        <is>
          <t>PROXY</t>
        </is>
      </c>
      <c r="AI57"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58">
      <c r="A58" s="7" t="inlineStr">
        <is>
          <t>T06</t>
        </is>
      </c>
      <c r="B58" s="6" t="inlineStr">
        <is>
          <t>USDINR_FORWARD</t>
        </is>
      </c>
      <c r="C58" s="6" t="inlineStr">
        <is>
          <t>T06-FX-2</t>
        </is>
      </c>
      <c r="D58" s="12" t="n">
        <v>44719</v>
      </c>
      <c r="I58" s="6" t="inlineStr">
        <is>
          <t>BUY_USD</t>
        </is>
      </c>
      <c r="M58" s="12" t="n">
        <v>44719</v>
      </c>
      <c r="N58" s="12" t="n">
        <v>44726</v>
      </c>
      <c r="O58" s="6" t="inlineStr">
        <is>
          <t>SETTLED_AT_VALUE_DATE</t>
        </is>
      </c>
      <c r="U58" s="6" t="n">
        <v>0.6</v>
      </c>
      <c r="W58" s="6" t="inlineStr">
        <is>
          <t>matched to PURCHASE_INVOICE; tenor 7 days from booking</t>
        </is>
      </c>
      <c r="X58" s="13" t="n">
        <v>833800</v>
      </c>
      <c r="Y58" s="12" t="n">
        <v>44719</v>
      </c>
      <c r="Z58" s="12" t="n">
        <v>44726</v>
      </c>
      <c r="AB58" s="6" t="inlineStr">
        <is>
          <t>PURCHASE_INVOICE</t>
        </is>
      </c>
      <c r="AC58" s="21" t="n">
        <v>77.77778600000001</v>
      </c>
      <c r="AD58" s="21" t="n">
        <v>0.1</v>
      </c>
      <c r="AE58" s="21" t="n">
        <v>77.877786</v>
      </c>
      <c r="AH58" s="6" t="inlineStr">
        <is>
          <t>PROXY</t>
        </is>
      </c>
      <c r="AI58"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59">
      <c r="A59" s="7" t="inlineStr">
        <is>
          <t>T07</t>
        </is>
      </c>
      <c r="B59" s="6" t="inlineStr">
        <is>
          <t>MCX_ALUMINIUM_FUTURE</t>
        </is>
      </c>
      <c r="C59" s="6" t="inlineStr">
        <is>
          <t>T07-MCX-1</t>
        </is>
      </c>
      <c r="D59" s="12" t="n">
        <v>44706</v>
      </c>
      <c r="E59" s="6" t="inlineStr">
        <is>
          <t>2022-06</t>
        </is>
      </c>
      <c r="F59" s="6" t="inlineStr">
        <is>
          <t>2022-06-30</t>
        </is>
      </c>
      <c r="G59" s="6" t="inlineStr">
        <is>
          <t>2022-06-30</t>
        </is>
      </c>
      <c r="H59" s="6" t="inlineStr">
        <is>
          <t>2022-06-21</t>
        </is>
      </c>
      <c r="I59" s="6" t="inlineStr">
        <is>
          <t>SELL</t>
        </is>
      </c>
      <c r="J59" s="6" t="n">
        <v>247</v>
      </c>
      <c r="K59" s="13" t="n">
        <v>5</v>
      </c>
      <c r="L59" s="13" t="n">
        <v>1235</v>
      </c>
      <c r="M59" s="12" t="n">
        <v>44706</v>
      </c>
      <c r="N59" s="12" t="n">
        <v>44733</v>
      </c>
      <c r="O59" s="6" t="inlineStr">
        <is>
          <t>ROLL</t>
        </is>
      </c>
      <c r="P59" s="6" t="inlineStr">
        <is>
          <t>T07-MCX-2</t>
        </is>
      </c>
      <c r="Q59" s="13" t="n">
        <v>238.7243</v>
      </c>
      <c r="R59" s="6" t="inlineStr">
        <is>
          <t>PANEL_M2</t>
        </is>
      </c>
      <c r="S59" s="13" t="n">
        <v>213.348</v>
      </c>
      <c r="T59" s="6" t="inlineStr">
        <is>
          <t>PANEL_M1</t>
        </is>
      </c>
      <c r="U59" s="6" t="n">
        <v>0.9</v>
      </c>
      <c r="V59" s="6" t="n">
        <v>0.899451</v>
      </c>
      <c r="W59" s="6" t="inlineStr">
        <is>
          <t>unsold 1,890 MT at replacement value x grade factor 0.765516; k = 80.0682 ₹/t per USD/t, one lot = 425.17 ₹ per USD/t</t>
        </is>
      </c>
      <c r="AH59" s="6" t="inlineStr">
        <is>
          <t>PROXY</t>
        </is>
      </c>
      <c r="AI59" s="7" t="inlineStr">
        <is>
          <t>A fixed-price cargo held unsold for nine weeks across a forty-day transit: the longest naked long in the book and the one that rolls through three contract months before the boxes are even discharged. The MCX short covers the LME-equivalent metal; the Tense discount to LME, the two roll spreads and the primary-versus-scrap divergence stay open by construction. Because the sale is priced on accepted weight with the SPA's quality discount passed through, any out-turn shortfall reduces the sold tonnes and not the hedge — so a survey that goes against the desk leaves a small over-hedge for a few days, which the desk accepts rather than trading around a number it does not yet have. In base runs the panel MCX series is a parity proxy, so the reported cross-exchange basis is zero by construction. On the roll cost this ticket talks about: the panel's M1 and M2 come from one spot through a deterministic interest carry, so its curve is in permanent contango and a short that rolls COLLECTS the spread here rather than paying it. The cost the rationale is worried about is the other state of the world — a curve that flips to backwardation, which the LME's own cash-3M curve later did (a disclosure added in review, after the fact, and not an input to this decision) — and this book cannot show it. Treat the roll line as mostly the proxy's rupee carry, not as evidence that rolling a short is free.</t>
        </is>
      </c>
    </row>
    <row r="60">
      <c r="A60" s="7" t="inlineStr">
        <is>
          <t>T07</t>
        </is>
      </c>
      <c r="B60" s="6" t="inlineStr">
        <is>
          <t>MCX_ALUMINIUM_FUTURE</t>
        </is>
      </c>
      <c r="C60" s="6" t="inlineStr">
        <is>
          <t>T07-MCX-2</t>
        </is>
      </c>
      <c r="D60" s="12" t="n">
        <v>44733</v>
      </c>
      <c r="E60" s="6" t="inlineStr">
        <is>
          <t>2022-07</t>
        </is>
      </c>
      <c r="F60" s="6" t="inlineStr">
        <is>
          <t>2022-07-29</t>
        </is>
      </c>
      <c r="G60" s="6" t="inlineStr">
        <is>
          <t>2022-07-29</t>
        </is>
      </c>
      <c r="H60" s="6" t="inlineStr">
        <is>
          <t>2022-07-20</t>
        </is>
      </c>
      <c r="I60" s="6" t="inlineStr">
        <is>
          <t>SELL</t>
        </is>
      </c>
      <c r="J60" s="6" t="n">
        <v>247</v>
      </c>
      <c r="K60" s="13" t="n">
        <v>5</v>
      </c>
      <c r="L60" s="13" t="n">
        <v>1235</v>
      </c>
      <c r="M60" s="12" t="n">
        <v>44733</v>
      </c>
      <c r="N60" s="12" t="n">
        <v>44762</v>
      </c>
      <c r="O60" s="6" t="inlineStr">
        <is>
          <t>ROLL</t>
        </is>
      </c>
      <c r="P60" s="6" t="inlineStr">
        <is>
          <t>T07-MCX-3</t>
        </is>
      </c>
      <c r="Q60" s="13" t="n">
        <v>214.2183</v>
      </c>
      <c r="R60" s="6" t="inlineStr">
        <is>
          <t>PANEL_M2</t>
        </is>
      </c>
      <c r="S60" s="13" t="n">
        <v>213.0299</v>
      </c>
      <c r="T60" s="6" t="inlineStr">
        <is>
          <t>PANEL_M1</t>
        </is>
      </c>
      <c r="U60" s="6" t="n">
        <v>0.9</v>
      </c>
      <c r="W60" s="6" t="inlineStr">
        <is>
          <t>rolled: a roll keeps the position of the line it continues</t>
        </is>
      </c>
      <c r="AH60" s="6" t="inlineStr">
        <is>
          <t>PROXY</t>
        </is>
      </c>
      <c r="AI60" s="7" t="inlineStr">
        <is>
          <t>A fixed-price cargo held unsold for nine weeks across a forty-day transit: the longest naked long in the book and the one that rolls through three contract months before the boxes are even discharged. The MCX short covers the LME-equivalent metal; the Tense discount to LME, the two roll spreads and the primary-versus-scrap divergence stay open by construction. Because the sale is priced on accepted weight with the SPA's quality discount passed through, any out-turn shortfall reduces the sold tonnes and not the hedge — so a survey that goes against the desk leaves a small over-hedge for a few days, which the desk accepts rather than trading around a number it does not yet have. In base runs the panel MCX series is a parity proxy, so the reported cross-exchange basis is zero by construction. On the roll cost this ticket talks about: the panel's M1 and M2 come from one spot through a deterministic interest carry, so its curve is in permanent contango and a short that rolls COLLECTS the spread here rather than paying it. The cost the rationale is worried about is the other state of the world — a curve that flips to backwardation, which the LME's own cash-3M curve later did (a disclosure added in review, after the fact, and not an input to this decision) — and this book cannot show it. Treat the roll line as mostly the proxy's rupee carry, not as evidence that rolling a short is free.</t>
        </is>
      </c>
    </row>
    <row r="61">
      <c r="A61" s="7" t="inlineStr">
        <is>
          <t>T07</t>
        </is>
      </c>
      <c r="B61" s="6" t="inlineStr">
        <is>
          <t>MCX_ALUMINIUM_FUTURE</t>
        </is>
      </c>
      <c r="C61" s="6" t="inlineStr">
        <is>
          <t>T07-MCX-3</t>
        </is>
      </c>
      <c r="D61" s="12" t="n">
        <v>44762</v>
      </c>
      <c r="E61" s="6" t="inlineStr">
        <is>
          <t>2022-08</t>
        </is>
      </c>
      <c r="F61" s="6" t="inlineStr">
        <is>
          <t>2022-08-30</t>
        </is>
      </c>
      <c r="G61" s="6" t="inlineStr">
        <is>
          <t>2022-08-31</t>
        </is>
      </c>
      <c r="H61" s="6" t="inlineStr">
        <is>
          <t>2022-08-18</t>
        </is>
      </c>
      <c r="I61" s="6" t="inlineStr">
        <is>
          <t>SELL</t>
        </is>
      </c>
      <c r="J61" s="6" t="n">
        <v>247</v>
      </c>
      <c r="K61" s="13" t="n">
        <v>5</v>
      </c>
      <c r="L61" s="13" t="n">
        <v>1235</v>
      </c>
      <c r="M61" s="12" t="n">
        <v>44762</v>
      </c>
      <c r="N61" s="12" t="n">
        <v>44768</v>
      </c>
      <c r="O61" s="6" t="inlineStr">
        <is>
          <t>UNWIND</t>
        </is>
      </c>
      <c r="Q61" s="13" t="n">
        <v>214.0517</v>
      </c>
      <c r="R61" s="6" t="inlineStr">
        <is>
          <t>PANEL_M2</t>
        </is>
      </c>
      <c r="S61" s="13" t="n">
        <v>211.6601</v>
      </c>
      <c r="T61" s="6" t="inlineStr">
        <is>
          <t>PANEL_M2</t>
        </is>
      </c>
      <c r="U61" s="6" t="n">
        <v>0.9</v>
      </c>
      <c r="W61" s="6" t="inlineStr">
        <is>
          <t>rolled: a roll keeps the position of the line it continues</t>
        </is>
      </c>
      <c r="AH61" s="6" t="inlineStr">
        <is>
          <t>PROXY</t>
        </is>
      </c>
      <c r="AI61" s="7" t="inlineStr">
        <is>
          <t>A fixed-price cargo held unsold for nine weeks across a forty-day transit: the longest naked long in the book and the one that rolls through three contract months before the boxes are even discharged. The MCX short covers the LME-equivalent metal; the Tense discount to LME, the two roll spreads and the primary-versus-scrap divergence stay open by construction. Because the sale is priced on accepted weight with the SPA's quality discount passed through, any out-turn shortfall reduces the sold tonnes and not the hedge — so a survey that goes against the desk leaves a small over-hedge for a few days, which the desk accepts rather than trading around a number it does not yet have. In base runs the panel MCX series is a parity proxy, so the reported cross-exchange basis is zero by construction. On the roll cost this ticket talks about: the panel's M1 and M2 come from one spot through a deterministic interest carry, so its curve is in permanent contango and a short that rolls COLLECTS the spread here rather than paying it. The cost the rationale is worried about is the other state of the world — a curve that flips to backwardation, which the LME's own cash-3M curve later did (a disclosure added in review, after the fact, and not an input to this decision) — and this book cannot show it. Treat the roll line as mostly the proxy's rupee carry, not as evidence that rolling a short is free.</t>
        </is>
      </c>
    </row>
    <row r="62">
      <c r="A62" s="7" t="inlineStr">
        <is>
          <t>T07</t>
        </is>
      </c>
      <c r="B62" s="6" t="inlineStr">
        <is>
          <t>USDINR_FORWARD</t>
        </is>
      </c>
      <c r="C62" s="6" t="inlineStr">
        <is>
          <t>T07-FX-1</t>
        </is>
      </c>
      <c r="D62" s="12" t="n">
        <v>44720</v>
      </c>
      <c r="I62" s="6" t="inlineStr">
        <is>
          <t>BUY_USD</t>
        </is>
      </c>
      <c r="M62" s="12" t="n">
        <v>44720</v>
      </c>
      <c r="N62" s="12" t="n">
        <v>44727</v>
      </c>
      <c r="O62" s="6" t="inlineStr">
        <is>
          <t>SETTLED_AT_VALUE_DATE</t>
        </is>
      </c>
      <c r="U62" s="6" t="n">
        <v>1</v>
      </c>
      <c r="W62" s="6" t="inlineStr">
        <is>
          <t>matched to PURCHASE_INVOICE; tenor 7 days from booking</t>
        </is>
      </c>
      <c r="X62" s="13" t="n">
        <v>1971300</v>
      </c>
      <c r="Y62" s="12" t="n">
        <v>44720</v>
      </c>
      <c r="Z62" s="12" t="n">
        <v>44727</v>
      </c>
      <c r="AB62" s="6" t="inlineStr">
        <is>
          <t>PURCHASE_INVOICE</t>
        </is>
      </c>
      <c r="AC62" s="21" t="n">
        <v>77.731548</v>
      </c>
      <c r="AD62" s="21" t="n">
        <v>0.1</v>
      </c>
      <c r="AE62" s="21" t="n">
        <v>77.831548</v>
      </c>
      <c r="AH62" s="6" t="inlineStr">
        <is>
          <t>PROXY</t>
        </is>
      </c>
      <c r="AI62"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63">
      <c r="A63" s="7" t="inlineStr">
        <is>
          <t>T07</t>
        </is>
      </c>
      <c r="B63" s="6" t="inlineStr">
        <is>
          <t>USDINR_FORWARD</t>
        </is>
      </c>
      <c r="C63" s="6" t="inlineStr">
        <is>
          <t>T07-FX-2</t>
        </is>
      </c>
      <c r="D63" s="12" t="n">
        <v>44727</v>
      </c>
      <c r="I63" s="6" t="inlineStr">
        <is>
          <t>BUY_USD</t>
        </is>
      </c>
      <c r="M63" s="12" t="n">
        <v>44727</v>
      </c>
      <c r="N63" s="12" t="n">
        <v>44734</v>
      </c>
      <c r="O63" s="6" t="inlineStr">
        <is>
          <t>SETTLED_AT_VALUE_DATE</t>
        </is>
      </c>
      <c r="U63" s="6" t="n">
        <v>1</v>
      </c>
      <c r="W63" s="6" t="inlineStr">
        <is>
          <t>matched to PURCHASE_INVOICE; tenor 7 days from booking</t>
        </is>
      </c>
      <c r="X63" s="13" t="n">
        <v>1971300</v>
      </c>
      <c r="Y63" s="12" t="n">
        <v>44727</v>
      </c>
      <c r="Z63" s="12" t="n">
        <v>44734</v>
      </c>
      <c r="AB63" s="6" t="inlineStr">
        <is>
          <t>PURCHASE_INVOICE</t>
        </is>
      </c>
      <c r="AC63" s="21" t="n">
        <v>78.197352</v>
      </c>
      <c r="AD63" s="21" t="n">
        <v>0.1</v>
      </c>
      <c r="AE63" s="21" t="n">
        <v>78.297352</v>
      </c>
      <c r="AH63" s="6" t="inlineStr">
        <is>
          <t>PROXY</t>
        </is>
      </c>
      <c r="AI63"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64">
      <c r="A64" s="7" t="inlineStr">
        <is>
          <t>T07</t>
        </is>
      </c>
      <c r="B64" s="6" t="inlineStr">
        <is>
          <t>USDINR_FORWARD</t>
        </is>
      </c>
      <c r="C64" s="6" t="inlineStr">
        <is>
          <t>T07-FX-3</t>
        </is>
      </c>
      <c r="D64" s="12" t="n">
        <v>44708</v>
      </c>
      <c r="I64" s="6" t="inlineStr">
        <is>
          <t>BUY_USD</t>
        </is>
      </c>
      <c r="M64" s="12" t="n">
        <v>44708</v>
      </c>
      <c r="N64" s="12" t="n">
        <v>44727</v>
      </c>
      <c r="O64" s="6" t="inlineStr">
        <is>
          <t>SETTLED_AT_VALUE_DATE</t>
        </is>
      </c>
      <c r="U64" s="6" t="n">
        <v>1</v>
      </c>
      <c r="W64" s="6" t="inlineStr">
        <is>
          <t>matched to FREIGHT; tenor 19 days from booking</t>
        </is>
      </c>
      <c r="X64" s="13" t="n">
        <v>171000</v>
      </c>
      <c r="Y64" s="12" t="n">
        <v>44708</v>
      </c>
      <c r="Z64" s="12" t="n">
        <v>44727</v>
      </c>
      <c r="AB64" s="6" t="inlineStr">
        <is>
          <t>FREIGHT</t>
        </is>
      </c>
      <c r="AC64" s="21" t="n">
        <v>77.737011</v>
      </c>
      <c r="AD64" s="21" t="n">
        <v>0.1</v>
      </c>
      <c r="AE64" s="21" t="n">
        <v>77.837011</v>
      </c>
      <c r="AH64" s="6" t="inlineStr">
        <is>
          <t>PROXY</t>
        </is>
      </c>
      <c r="AI64"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65">
      <c r="A65" s="7" t="inlineStr">
        <is>
          <t>T07</t>
        </is>
      </c>
      <c r="B65" s="6" t="inlineStr">
        <is>
          <t>FREIGHT_FIXTURE</t>
        </is>
      </c>
      <c r="C65" s="6" t="inlineStr">
        <is>
          <t>T07-FRT-1</t>
        </is>
      </c>
      <c r="D65" s="12" t="n">
        <v>44708</v>
      </c>
      <c r="I65" s="6" t="inlineStr">
        <is>
          <t>BUY_SPACE</t>
        </is>
      </c>
      <c r="J65" s="6" t="n">
        <v>90</v>
      </c>
      <c r="K65" s="13" t="n">
        <v>21</v>
      </c>
      <c r="L65" s="13" t="n">
        <v>1890</v>
      </c>
      <c r="M65" s="12" t="n">
        <v>44708</v>
      </c>
      <c r="N65" s="12" t="n">
        <v>44727</v>
      </c>
      <c r="O65" s="6" t="inlineStr">
        <is>
          <t>PREPAID_AT_BL</t>
        </is>
      </c>
      <c r="U65" s="6" t="n">
        <v>0</v>
      </c>
      <c r="V65" s="6" t="n">
        <v>0</v>
      </c>
      <c r="W65" s="6" t="inlineStr">
        <is>
          <t>90 boxes fixed all-in; stop-loss 2,170 USD/FEU, book-by 2022-05-27</t>
        </is>
      </c>
      <c r="X65" s="13" t="n">
        <v>171000</v>
      </c>
      <c r="Y65" s="12" t="n">
        <v>44708</v>
      </c>
      <c r="Z65" s="12" t="n">
        <v>44727</v>
      </c>
      <c r="AB65" s="6" t="inlineStr">
        <is>
          <t>FREIGHT</t>
        </is>
      </c>
      <c r="AF65" s="6" t="n">
        <v>1867.74</v>
      </c>
      <c r="AG65" s="14" t="n">
        <v>0.017272</v>
      </c>
      <c r="AH65" s="6" t="inlineStr">
        <is>
          <t>ASSUMPTION</t>
        </is>
      </c>
      <c r="AI65" s="7" t="inlineStr">
        <is>
          <t>Table 4 row 2.7(d): no accessible India-lane container derivative existed in 2022, so the freight layer is UNHEDGED with a stated stop-loss rather than a hedge. Once fixed, the box rate is a fixed payable and the only live freight exposure left is the difference against the later market, which is a competitiveness memo and not a loss on this cargo (a CFR-basis grade factor does not fall when freight falls). The lane index itself is an ASSUMPTION-level reconstruction and the fixture spread over it is an ASSUMPTION.</t>
        </is>
      </c>
    </row>
    <row r="66">
      <c r="A66" s="7" t="inlineStr">
        <is>
          <t>T08</t>
        </is>
      </c>
      <c r="B66" s="6" t="inlineStr">
        <is>
          <t>MCX_ALUMINIUM_FUTURE</t>
        </is>
      </c>
      <c r="C66" s="6" t="inlineStr">
        <is>
          <t>T08-MCX-1</t>
        </is>
      </c>
      <c r="D66" s="12" t="n">
        <v>44757</v>
      </c>
      <c r="E66" s="6" t="inlineStr">
        <is>
          <t>2022-08</t>
        </is>
      </c>
      <c r="F66" s="6" t="inlineStr">
        <is>
          <t>2022-08-30</t>
        </is>
      </c>
      <c r="G66" s="6" t="inlineStr">
        <is>
          <t>2022-08-31</t>
        </is>
      </c>
      <c r="H66" s="6" t="inlineStr">
        <is>
          <t>2022-08-18</t>
        </is>
      </c>
      <c r="I66" s="6" t="inlineStr">
        <is>
          <t>SELL</t>
        </is>
      </c>
      <c r="J66" s="6" t="n">
        <v>230</v>
      </c>
      <c r="K66" s="13" t="n">
        <v>5</v>
      </c>
      <c r="L66" s="13" t="n">
        <v>1150</v>
      </c>
      <c r="M66" s="12" t="n">
        <v>44757</v>
      </c>
      <c r="N66" s="12" t="n">
        <v>44789</v>
      </c>
      <c r="O66" s="6" t="inlineStr">
        <is>
          <t>UNWIND</t>
        </is>
      </c>
      <c r="Q66" s="13" t="n">
        <v>201.9376</v>
      </c>
      <c r="R66" s="6" t="inlineStr">
        <is>
          <t>PANEL_M2</t>
        </is>
      </c>
      <c r="S66" s="13" t="n">
        <v>210.2062</v>
      </c>
      <c r="T66" s="6" t="inlineStr">
        <is>
          <t>PANEL_M1</t>
        </is>
      </c>
      <c r="U66" s="6" t="n">
        <v>0.9</v>
      </c>
      <c r="V66" s="6" t="n">
        <v>0.898637</v>
      </c>
      <c r="W66" s="6" t="inlineStr">
        <is>
          <t>unsold 1,680 MT at replacement value x grade factor 0.805000; k = 82.3344 ₹/t per USD/t, one lot = 435.05 ₹ per USD/t</t>
        </is>
      </c>
      <c r="AH66" s="6" t="inlineStr">
        <is>
          <t>PROXY</t>
        </is>
      </c>
      <c r="AI66" s="7" t="inlineStr">
        <is>
          <t>This ticket is unhedged on purpose for its first five weeks and the reason is arithmetic, not appetite: a CFR cargo bought on a forward LME average and not yet sold carries almost no flat-price risk, because the mark and the payable move together — the contract factor 0.782 and the mark factor 0.786 differ by four thousandths, about one lot on 1,680 tonnes. The exposure appears the moment the quotational period passes its midpoint and the payable stops floating: from that day the desk owns priced metal with no buyer, and 230 lots go on against 90 % of the replacement-value delta. They come off at the midpoint of the buyer's August averaging window. The mismatches carried throughout are the usual ones — MCX prices duty-paid primary ingot against LME-priced Tense scrap, and in base runs the panel MCX series is itself a parity proxy so the measured cross-exchange basis is zero by construction.</t>
        </is>
      </c>
    </row>
    <row r="67">
      <c r="A67" s="7" t="inlineStr">
        <is>
          <t>T08</t>
        </is>
      </c>
      <c r="B67" s="6" t="inlineStr">
        <is>
          <t>USDINR_FORWARD</t>
        </is>
      </c>
      <c r="C67" s="6" t="inlineStr">
        <is>
          <t>T08-FX-1</t>
        </is>
      </c>
      <c r="D67" s="12" t="n">
        <v>44734</v>
      </c>
      <c r="I67" s="6" t="inlineStr">
        <is>
          <t>BUY_USD</t>
        </is>
      </c>
      <c r="M67" s="12" t="n">
        <v>44734</v>
      </c>
      <c r="N67" s="12" t="n">
        <v>44741</v>
      </c>
      <c r="O67" s="6" t="inlineStr">
        <is>
          <t>SETTLED_AT_VALUE_DATE</t>
        </is>
      </c>
      <c r="U67" s="6" t="n">
        <v>1</v>
      </c>
      <c r="W67" s="6" t="inlineStr">
        <is>
          <t>matched to PURCHASE_PROVISIONAL; tenor 7 days from booking</t>
        </is>
      </c>
      <c r="X67" s="13" t="n">
        <v>1532300</v>
      </c>
      <c r="Y67" s="12" t="n">
        <v>44734</v>
      </c>
      <c r="Z67" s="12" t="n">
        <v>44741</v>
      </c>
      <c r="AB67" s="6" t="inlineStr">
        <is>
          <t>PURCHASE_PROVISIONAL</t>
        </is>
      </c>
      <c r="AC67" s="21" t="n">
        <v>78.379873</v>
      </c>
      <c r="AD67" s="21" t="n">
        <v>0.1</v>
      </c>
      <c r="AE67" s="21" t="n">
        <v>78.479873</v>
      </c>
      <c r="AH67" s="6" t="inlineStr">
        <is>
          <t>PROXY</t>
        </is>
      </c>
      <c r="AI67"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68">
      <c r="A68" s="7" t="inlineStr">
        <is>
          <t>T08</t>
        </is>
      </c>
      <c r="B68" s="6" t="inlineStr">
        <is>
          <t>USDINR_FORWARD</t>
        </is>
      </c>
      <c r="C68" s="6" t="inlineStr">
        <is>
          <t>T08-FX-2</t>
        </is>
      </c>
      <c r="D68" s="12" t="n">
        <v>44741</v>
      </c>
      <c r="I68" s="6" t="inlineStr">
        <is>
          <t>BUY_USD</t>
        </is>
      </c>
      <c r="M68" s="12" t="n">
        <v>44741</v>
      </c>
      <c r="N68" s="12" t="n">
        <v>44748</v>
      </c>
      <c r="O68" s="6" t="inlineStr">
        <is>
          <t>SETTLED_AT_VALUE_DATE</t>
        </is>
      </c>
      <c r="U68" s="6" t="n">
        <v>1</v>
      </c>
      <c r="W68" s="6" t="inlineStr">
        <is>
          <t>matched to PURCHASE_PROVISIONAL; tenor 7 days from booking</t>
        </is>
      </c>
      <c r="X68" s="13" t="n">
        <v>1530100</v>
      </c>
      <c r="Y68" s="12" t="n">
        <v>44741</v>
      </c>
      <c r="Z68" s="12" t="n">
        <v>44748</v>
      </c>
      <c r="AB68" s="6" t="inlineStr">
        <is>
          <t>PURCHASE_PROVISIONAL</t>
        </is>
      </c>
      <c r="AC68" s="21" t="n">
        <v>79.006176</v>
      </c>
      <c r="AD68" s="21" t="n">
        <v>0.1</v>
      </c>
      <c r="AE68" s="21" t="n">
        <v>79.106176</v>
      </c>
      <c r="AH68" s="6" t="inlineStr">
        <is>
          <t>PROXY</t>
        </is>
      </c>
      <c r="AI68"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69">
      <c r="A69" s="7" t="inlineStr">
        <is>
          <t>T08</t>
        </is>
      </c>
      <c r="B69" s="6" t="inlineStr">
        <is>
          <t>USDINR_FORWARD</t>
        </is>
      </c>
      <c r="C69" s="6" t="inlineStr">
        <is>
          <t>T08-FX-3</t>
        </is>
      </c>
      <c r="D69" s="12" t="n">
        <v>44774</v>
      </c>
      <c r="I69" s="6" t="inlineStr">
        <is>
          <t>BUY_USD</t>
        </is>
      </c>
      <c r="M69" s="12" t="n">
        <v>44774</v>
      </c>
      <c r="N69" s="12" t="n">
        <v>44778</v>
      </c>
      <c r="O69" s="6" t="inlineStr">
        <is>
          <t>SETTLED_AT_VALUE_DATE</t>
        </is>
      </c>
      <c r="U69" s="6" t="n">
        <v>1</v>
      </c>
      <c r="W69" s="6" t="inlineStr">
        <is>
          <t>matched to PURCHASE_FINAL; tenor 4 days from booking</t>
        </is>
      </c>
      <c r="X69" s="13" t="n">
        <v>90000</v>
      </c>
      <c r="Y69" s="12" t="n">
        <v>44774</v>
      </c>
      <c r="Z69" s="12" t="n">
        <v>44778</v>
      </c>
      <c r="AB69" s="6" t="inlineStr">
        <is>
          <t>PURCHASE_FINAL</t>
        </is>
      </c>
      <c r="AC69" s="21" t="n">
        <v>79.11333999999999</v>
      </c>
      <c r="AD69" s="21" t="n">
        <v>0.1</v>
      </c>
      <c r="AE69" s="21" t="n">
        <v>79.21334</v>
      </c>
      <c r="AH69" s="6" t="inlineStr">
        <is>
          <t>PROXY</t>
        </is>
      </c>
      <c r="AI69"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70">
      <c r="A70" s="7" t="inlineStr">
        <is>
          <t>T09</t>
        </is>
      </c>
      <c r="B70" s="6" t="inlineStr">
        <is>
          <t>MCX_ALUMINIUM_FUTURE</t>
        </is>
      </c>
      <c r="C70" s="6" t="inlineStr">
        <is>
          <t>T09-MCX-1</t>
        </is>
      </c>
      <c r="D70" s="12" t="n">
        <v>44776</v>
      </c>
      <c r="E70" s="6" t="inlineStr">
        <is>
          <t>2022-08</t>
        </is>
      </c>
      <c r="F70" s="6" t="inlineStr">
        <is>
          <t>2022-08-30</t>
        </is>
      </c>
      <c r="G70" s="6" t="inlineStr">
        <is>
          <t>2022-08-31</t>
        </is>
      </c>
      <c r="H70" s="6" t="inlineStr">
        <is>
          <t>2022-08-18</t>
        </is>
      </c>
      <c r="I70" s="6" t="inlineStr">
        <is>
          <t>SELL</t>
        </is>
      </c>
      <c r="J70" s="6" t="n">
        <v>157</v>
      </c>
      <c r="K70" s="13" t="n">
        <v>5</v>
      </c>
      <c r="L70" s="13" t="n">
        <v>785</v>
      </c>
      <c r="M70" s="12" t="n">
        <v>44776</v>
      </c>
      <c r="N70" s="12" t="n">
        <v>44791</v>
      </c>
      <c r="O70" s="6" t="inlineStr">
        <is>
          <t>ROLL</t>
        </is>
      </c>
      <c r="P70" s="6" t="inlineStr">
        <is>
          <t>T09-MCX-2</t>
        </is>
      </c>
      <c r="Q70" s="13" t="n">
        <v>206.7112</v>
      </c>
      <c r="R70" s="6" t="inlineStr">
        <is>
          <t>PANEL_M1</t>
        </is>
      </c>
      <c r="S70" s="13" t="n">
        <v>208.3171</v>
      </c>
      <c r="T70" s="6" t="inlineStr">
        <is>
          <t>PANEL_M1</t>
        </is>
      </c>
      <c r="U70" s="6" t="n">
        <v>0.9</v>
      </c>
      <c r="V70" s="6" t="n">
        <v>0.900618</v>
      </c>
      <c r="W70" s="6" t="inlineStr">
        <is>
          <t>unsold 1,200 MT at replacement value x grade factor 0.765161; k = 81.6477 ₹/t per USD/t, one lot = 430.05 ₹ per USD/t</t>
        </is>
      </c>
      <c r="AH70" s="6" t="inlineStr">
        <is>
          <t>PROXY</t>
        </is>
      </c>
      <c r="AI70" s="7" t="inlineStr">
        <is>
          <t>Fixed price, no buyer for three weeks, so the position is a naked LME-equivalent long marked at replacement value and hedged with 157 lots of MCX. The roll on 18-Aug is the one place in this book where the panel's monthly slot and the exchange's real calendar disagree: the DIRECT expiry list puts August expiry on 30-Aug while the panel's rule-based slot is 31-Aug, and the position is keyed to the contract month so that both views resolve to the same contract. The cross-exchange mismatch is the usual one and in base runs the measured basis is zero by construction, the panel MCX series being a parity proxy. The roll on this line is worth naming twice: the panel builds M1 and M2 from one spot with a deterministic interest carry, so its curve is always in contango and rolling a short always shows a gain — while the LME's own cash-3M curve has been in backwardation for a fortnight, and in backwardation the metal part of a short roll costs money; on a parity curve that carried the LME slope only the rupee-over-dollar rate carry would keep this roll positive. The gain this roll reports is mostly the proxy's rupee carry, not a market view.</t>
        </is>
      </c>
    </row>
    <row r="71">
      <c r="A71" s="7" t="inlineStr">
        <is>
          <t>T09</t>
        </is>
      </c>
      <c r="B71" s="6" t="inlineStr">
        <is>
          <t>MCX_ALUMINIUM_FUTURE</t>
        </is>
      </c>
      <c r="C71" s="6" t="inlineStr">
        <is>
          <t>T09-MCX-2</t>
        </is>
      </c>
      <c r="D71" s="12" t="n">
        <v>44791</v>
      </c>
      <c r="E71" s="6" t="inlineStr">
        <is>
          <t>2022-09</t>
        </is>
      </c>
      <c r="F71" s="6" t="inlineStr">
        <is>
          <t>2022-09-30</t>
        </is>
      </c>
      <c r="G71" s="6" t="inlineStr">
        <is>
          <t>2022-09-30</t>
        </is>
      </c>
      <c r="H71" s="6" t="inlineStr">
        <is>
          <t>2022-09-21</t>
        </is>
      </c>
      <c r="I71" s="6" t="inlineStr">
        <is>
          <t>SELL</t>
        </is>
      </c>
      <c r="J71" s="6" t="n">
        <v>157</v>
      </c>
      <c r="K71" s="13" t="n">
        <v>5</v>
      </c>
      <c r="L71" s="13" t="n">
        <v>785</v>
      </c>
      <c r="M71" s="12" t="n">
        <v>44791</v>
      </c>
      <c r="N71" s="12" t="n">
        <v>44799</v>
      </c>
      <c r="O71" s="6" t="inlineStr">
        <is>
          <t>UNWIND</t>
        </is>
      </c>
      <c r="Q71" s="13" t="n">
        <v>209.2813</v>
      </c>
      <c r="R71" s="6" t="inlineStr">
        <is>
          <t>PANEL_M2</t>
        </is>
      </c>
      <c r="S71" s="13" t="n">
        <v>216.8196</v>
      </c>
      <c r="T71" s="6" t="inlineStr">
        <is>
          <t>PANEL_M2</t>
        </is>
      </c>
      <c r="U71" s="6" t="n">
        <v>0.9</v>
      </c>
      <c r="W71" s="6" t="inlineStr">
        <is>
          <t>rolled: a roll keeps the position of the line it continues</t>
        </is>
      </c>
      <c r="AH71" s="6" t="inlineStr">
        <is>
          <t>PROXY</t>
        </is>
      </c>
      <c r="AI71" s="7" t="inlineStr">
        <is>
          <t>Fixed price, no buyer for three weeks, so the position is a naked LME-equivalent long marked at replacement value and hedged with 157 lots of MCX. The roll on 18-Aug is the one place in this book where the panel's monthly slot and the exchange's real calendar disagree: the DIRECT expiry list puts August expiry on 30-Aug while the panel's rule-based slot is 31-Aug, and the position is keyed to the contract month so that both views resolve to the same contract. The cross-exchange mismatch is the usual one and in base runs the measured basis is zero by construction, the panel MCX series being a parity proxy. The roll on this line is worth naming twice: the panel builds M1 and M2 from one spot with a deterministic interest carry, so its curve is always in contango and rolling a short always shows a gain — while the LME's own cash-3M curve has been in backwardation for a fortnight, and in backwardation the metal part of a short roll costs money; on a parity curve that carried the LME slope only the rupee-over-dollar rate carry would keep this roll positive. The gain this roll reports is mostly the proxy's rupee carry, not a market view.</t>
        </is>
      </c>
    </row>
    <row r="72">
      <c r="A72" s="7" t="inlineStr">
        <is>
          <t>T09</t>
        </is>
      </c>
      <c r="B72" s="6" t="inlineStr">
        <is>
          <t>USDINR_FORWARD</t>
        </is>
      </c>
      <c r="C72" s="6" t="inlineStr">
        <is>
          <t>T09-FX-1</t>
        </is>
      </c>
      <c r="D72" s="12" t="n">
        <v>44790</v>
      </c>
      <c r="I72" s="6" t="inlineStr">
        <is>
          <t>BUY_USD</t>
        </is>
      </c>
      <c r="M72" s="12" t="n">
        <v>44790</v>
      </c>
      <c r="N72" s="12" t="n">
        <v>44851</v>
      </c>
      <c r="O72" s="6" t="inlineStr">
        <is>
          <t>SETTLED_AT_VALUE_DATE</t>
        </is>
      </c>
      <c r="U72" s="6" t="n">
        <v>1</v>
      </c>
      <c r="W72" s="6" t="inlineStr">
        <is>
          <t>matched to PURCHASE_INVOICE; tenor 61 days from booking</t>
        </is>
      </c>
      <c r="X72" s="13" t="n">
        <v>1096200</v>
      </c>
      <c r="Y72" s="12" t="n">
        <v>44790</v>
      </c>
      <c r="Z72" s="12" t="n">
        <v>44851</v>
      </c>
      <c r="AB72" s="6" t="inlineStr">
        <is>
          <t>PURCHASE_INVOICE</t>
        </is>
      </c>
      <c r="AC72" s="21" t="n">
        <v>79.849476</v>
      </c>
      <c r="AD72" s="21" t="n">
        <v>0.1</v>
      </c>
      <c r="AE72" s="21" t="n">
        <v>79.949476</v>
      </c>
      <c r="AH72" s="6" t="inlineStr">
        <is>
          <t>PROXY</t>
        </is>
      </c>
      <c r="AI72" s="7" t="inlineStr">
        <is>
          <t>Deliverable outright against the LC/usance payment date. The forward mid is covered interest parity off the booking day's spot and 3-month rates (PROXY), so the hedge is exact against the panel and carries the panel's own FX proxy error, not a market quote.</t>
        </is>
      </c>
    </row>
    <row r="73">
      <c r="A73" s="7" t="inlineStr">
        <is>
          <t>T09</t>
        </is>
      </c>
      <c r="B73" s="6" t="inlineStr">
        <is>
          <t>USDINR_FORWARD</t>
        </is>
      </c>
      <c r="C73" s="6" t="inlineStr">
        <is>
          <t>T09-FX-2</t>
        </is>
      </c>
      <c r="D73" s="12" t="n">
        <v>44797</v>
      </c>
      <c r="I73" s="6" t="inlineStr">
        <is>
          <t>BUY_USD</t>
        </is>
      </c>
      <c r="M73" s="12" t="n">
        <v>44797</v>
      </c>
      <c r="N73" s="12" t="n">
        <v>44858</v>
      </c>
      <c r="O73" s="6" t="inlineStr">
        <is>
          <t>SETTLED_AT_VALUE_DATE</t>
        </is>
      </c>
      <c r="U73" s="6" t="n">
        <v>1</v>
      </c>
      <c r="W73" s="6" t="inlineStr">
        <is>
          <t>matched to PURCHASE_INVOICE; tenor 61 days from booking</t>
        </is>
      </c>
      <c r="X73" s="13" t="n">
        <v>1096200</v>
      </c>
      <c r="Y73" s="12" t="n">
        <v>44797</v>
      </c>
      <c r="Z73" s="12" t="n">
        <v>44858</v>
      </c>
      <c r="AB73" s="6" t="inlineStr">
        <is>
          <t>PURCHASE_INVOICE</t>
        </is>
      </c>
      <c r="AC73" s="21" t="n">
        <v>80.206324</v>
      </c>
      <c r="AD73" s="21" t="n">
        <v>0.1</v>
      </c>
      <c r="AE73" s="21" t="n">
        <v>80.306324</v>
      </c>
      <c r="AH73" s="6" t="inlineStr">
        <is>
          <t>PROXY</t>
        </is>
      </c>
      <c r="AI73" s="7" t="inlineStr">
        <is>
          <t>Deliverable outright against the LC/usance payment date. The forward mid is covered interest parity off the booking day's spot and 3-month rates (PROXY), so the hedge is exact against the panel and carries the panel's own FX proxy error, not a market quote.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1393"/>
  <sheetViews>
    <sheetView showGridLines="0" workbookViewId="0">
      <pane xSplit="14" ySplit="7" topLeftCell="O8"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2" customWidth="1" min="3" max="3"/>
    <col width="13" customWidth="1" min="4" max="4"/>
    <col width="13" customWidth="1" min="5" max="5"/>
    <col width="13" customWidth="1" min="6" max="6"/>
    <col width="13" customWidth="1" min="7" max="7"/>
    <col width="12" customWidth="1" min="8" max="8"/>
    <col width="12"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4" customWidth="1" min="36" max="36"/>
    <col width="14" customWidth="1" min="37" max="37"/>
    <col width="14" customWidth="1" min="38" max="38"/>
    <col width="14" customWidth="1" min="39" max="39"/>
  </cols>
  <sheetData>
    <row r="1">
      <c r="A1" s="1" t="inlineStr">
        <is>
          <t>ACADEMIC SIMULATION — not actual trades</t>
        </is>
      </c>
    </row>
    <row r="2">
      <c r="A2" s="2" t="inlineStr">
        <is>
          <t>Cashflows — the dated cash ledger, and the MCX margin schedule derived from the panel</t>
        </is>
      </c>
    </row>
    <row r="3">
      <c r="A3" s="3" t="inlineStr">
        <is>
          <t>pnl_class PNL = P&amp;L; BS = balance-sheet (moves cash and funding, never P&amp;L, lifetime sum zero per trade). Funding is an accrual, not a dated flow — it is on Equity_Curve.</t>
        </is>
      </c>
    </row>
    <row r="5">
      <c r="A5" s="4" t="inlineStr">
        <is>
          <t>1. Cash ledger — one row per dated flow (outputs/tables/trade_cashflows.csv, REALISED)</t>
        </is>
      </c>
    </row>
    <row r="7" ht="30" customHeight="1">
      <c r="A7" s="5" t="inlineStr">
        <is>
          <t>trade_id</t>
        </is>
      </c>
      <c r="B7" s="5" t="inlineStr">
        <is>
          <t>leg_id</t>
        </is>
      </c>
      <c r="C7" s="5" t="inlineStr">
        <is>
          <t>hedge_id</t>
        </is>
      </c>
      <c r="D7" s="5" t="inlineStr">
        <is>
          <t>leg_type</t>
        </is>
      </c>
      <c r="E7" s="5" t="inlineStr">
        <is>
          <t>cf_type</t>
        </is>
      </c>
      <c r="F7" s="5" t="inlineStr">
        <is>
          <t>pnl_class</t>
        </is>
      </c>
      <c r="G7" s="5" t="inlineStr">
        <is>
          <t>currency</t>
        </is>
      </c>
      <c r="H7" s="5" t="inlineStr">
        <is>
          <t>contract_date</t>
        </is>
      </c>
      <c r="I7" s="5" t="inlineStr">
        <is>
          <t>fixing_date</t>
        </is>
      </c>
      <c r="J7" s="5" t="inlineStr">
        <is>
          <t>due_date_contractual</t>
        </is>
      </c>
      <c r="K7" s="5" t="inlineStr">
        <is>
          <t>settle_date</t>
        </is>
      </c>
      <c r="L7" s="5" t="inlineStr">
        <is>
          <t>date_rule</t>
        </is>
      </c>
      <c r="M7" s="5" t="inlineStr">
        <is>
          <t>event_ids</t>
        </is>
      </c>
      <c r="N7" s="5" t="inlineStr">
        <is>
          <t>weakest_input_flag</t>
        </is>
      </c>
      <c r="O7" s="5" t="inlineStr">
        <is>
          <t>amount_ccy</t>
        </is>
      </c>
      <c r="P7" s="5" t="inlineStr">
        <is>
          <t>amount_inr_py</t>
        </is>
      </c>
      <c r="Q7" s="5" t="inlineStr">
        <is>
          <t>fx_sign</t>
        </is>
      </c>
      <c r="R7" s="5" t="inlineStr">
        <is>
          <t>fx_notional_usd</t>
        </is>
      </c>
      <c r="S7" s="5" t="inlineStr">
        <is>
          <t>fx_value_date</t>
        </is>
      </c>
      <c r="T7" s="5" t="inlineStr">
        <is>
          <t>fx_strike_inr</t>
        </is>
      </c>
      <c r="U7" s="5" t="inlineStr">
        <is>
          <t>amount_src</t>
        </is>
      </c>
      <c r="V7" s="5" t="inlineStr">
        <is>
          <t>amount_ccy_calc</t>
        </is>
      </c>
      <c r="W7" s="5" t="inlineStr">
        <is>
          <t>fx_rate_calc</t>
        </is>
      </c>
      <c r="X7" s="5" t="inlineStr">
        <is>
          <t>amount_inr_calc</t>
        </is>
      </c>
      <c r="Y7" s="5" t="inlineStr">
        <is>
          <t>diff_inr</t>
        </is>
      </c>
      <c r="Z7" s="5" t="inlineStr">
        <is>
          <t>check</t>
        </is>
      </c>
      <c r="AA7" s="5" t="inlineStr">
        <is>
          <t>formula</t>
        </is>
      </c>
      <c r="AB7" s="5" t="inlineStr">
        <is>
          <t>label</t>
        </is>
      </c>
    </row>
    <row r="8">
      <c r="A8" s="7" t="inlineStr">
        <is>
          <t>T01</t>
        </is>
      </c>
      <c r="B8" s="7" t="inlineStr">
        <is>
          <t>MCX:T01-MCX-1</t>
        </is>
      </c>
      <c r="C8" s="7" t="inlineStr">
        <is>
          <t>T01-MCX-1</t>
        </is>
      </c>
      <c r="D8" s="7" t="inlineStr">
        <is>
          <t>MCX_INITIAL_MARGIN</t>
        </is>
      </c>
      <c r="E8" s="7" t="inlineStr">
        <is>
          <t>MCX_INITIAL_MARGIN</t>
        </is>
      </c>
      <c r="F8" s="7" t="inlineStr">
        <is>
          <t>BS</t>
        </is>
      </c>
      <c r="G8" s="7" t="inlineStr">
        <is>
          <t>INR</t>
        </is>
      </c>
      <c r="H8" s="11" t="n">
        <v>44629</v>
      </c>
      <c r="I8" s="11" t="n">
        <v>44629</v>
      </c>
      <c r="J8" s="11" t="n">
        <v>44629</v>
      </c>
      <c r="K8" s="11" t="n">
        <v>44629</v>
      </c>
      <c r="L8" s="7" t="inlineStr">
        <is>
          <t>roll following on the LME panel calendar</t>
        </is>
      </c>
      <c r="N8" s="7" t="inlineStr">
        <is>
          <t>PROXY</t>
        </is>
      </c>
      <c r="O8" s="9" t="n">
        <v>-29440498.35</v>
      </c>
      <c r="P8" s="9" t="n">
        <v>-29440498.35</v>
      </c>
      <c r="U8" s="7" t="inlineStr">
        <is>
          <t>DERIVED_IN_WORKBOOK</t>
        </is>
      </c>
      <c r="V8" s="8">
        <f>-SUMIFS(Cashflows!$W$1043:$W$1393,Cashflows!$B$1043:$B$1393,$C8,Cashflows!$C$1043:$C$1393,$K8)</f>
        <v/>
      </c>
      <c r="W8" s="8">
        <f>IF($G8="INR",1,INDEX(Market_Daily!$F$6:$F$256,MATCH($K8,Market_Daily!$A$6:$A$256,0)))</f>
        <v/>
      </c>
      <c r="X8" s="8">
        <f>$V8*$W8</f>
        <v/>
      </c>
      <c r="Y8" s="18">
        <f>$X8-$P8</f>
        <v/>
      </c>
      <c r="Z8" s="8">
        <f>IF(ABS($Y8)&lt;=tol_cashflow_inr,"PASS","FAIL")</f>
        <v/>
      </c>
      <c r="AA8" s="7" t="inlineStr">
        <is>
          <t>-d(lots x lot_kg x F(s) x mcx_al_margin_used_frac)</t>
        </is>
      </c>
    </row>
    <row r="9">
      <c r="A9" s="7" t="inlineStr">
        <is>
          <t>T01</t>
        </is>
      </c>
      <c r="B9" s="7" t="inlineStr">
        <is>
          <t>MCX:T01-MCX-1</t>
        </is>
      </c>
      <c r="C9" s="7" t="inlineStr">
        <is>
          <t>T01-MCX-1</t>
        </is>
      </c>
      <c r="D9" s="7" t="inlineStr">
        <is>
          <t>MCX_SLIPPAGE</t>
        </is>
      </c>
      <c r="E9" s="7" t="inlineStr">
        <is>
          <t>MCX_SLIPPAGE</t>
        </is>
      </c>
      <c r="F9" s="7" t="inlineStr">
        <is>
          <t>PNL</t>
        </is>
      </c>
      <c r="G9" s="7" t="inlineStr">
        <is>
          <t>INR</t>
        </is>
      </c>
      <c r="H9" s="11" t="n">
        <v>44629</v>
      </c>
      <c r="J9" s="11" t="n">
        <v>44629</v>
      </c>
      <c r="K9" s="11" t="n">
        <v>44629</v>
      </c>
      <c r="L9" s="7" t="inlineStr">
        <is>
          <t>roll following on the LME panel calendar</t>
        </is>
      </c>
      <c r="N9" s="7" t="inlineStr">
        <is>
          <t>ASSUMPTION</t>
        </is>
      </c>
      <c r="O9" s="9" t="n">
        <v>-100000</v>
      </c>
      <c r="P9" s="9" t="n">
        <v>-100000</v>
      </c>
      <c r="U9" s="7" t="inlineStr">
        <is>
          <t>DERIVED_IN_WORKBOOK</t>
        </is>
      </c>
      <c r="V9" s="8">
        <f>SUMIFS(Cashflows!$Z$1043:$Z$1393,Cashflows!$B$1043:$B$1393,$C9,Cashflows!$C$1043:$C$1393,$K9)</f>
        <v/>
      </c>
      <c r="W9" s="8">
        <f>IF($G9="INR",1,INDEX(Market_Daily!$F$6:$F$256,MATCH($K9,Market_Daily!$A$6:$A$256,0)))</f>
        <v/>
      </c>
      <c r="X9" s="8">
        <f>$V9*$W9</f>
        <v/>
      </c>
      <c r="Y9" s="18">
        <f>$X9-$P9</f>
        <v/>
      </c>
      <c r="Z9" s="8">
        <f>IF(ABS($Y9)&lt;=tol_cashflow_inr,"PASS","FAIL")</f>
        <v/>
      </c>
      <c r="AA9" s="7" t="inlineStr">
        <is>
          <t>-lots x lot_kg x mcx_slippage_ticks x tick</t>
        </is>
      </c>
    </row>
    <row r="10">
      <c r="A10" s="7" t="inlineStr">
        <is>
          <t>T01</t>
        </is>
      </c>
      <c r="B10" s="7" t="inlineStr">
        <is>
          <t>MCX:T01-MCX-1</t>
        </is>
      </c>
      <c r="C10" s="7" t="inlineStr">
        <is>
          <t>T01-MCX-1</t>
        </is>
      </c>
      <c r="D10" s="7" t="inlineStr">
        <is>
          <t>MCX_TRANSACTION_COST</t>
        </is>
      </c>
      <c r="E10" s="7" t="inlineStr">
        <is>
          <t>MCX_TRANSACTION_COST</t>
        </is>
      </c>
      <c r="F10" s="7" t="inlineStr">
        <is>
          <t>PNL</t>
        </is>
      </c>
      <c r="G10" s="7" t="inlineStr">
        <is>
          <t>INR</t>
        </is>
      </c>
      <c r="H10" s="11" t="n">
        <v>44629</v>
      </c>
      <c r="I10" s="11" t="n">
        <v>44629</v>
      </c>
      <c r="J10" s="11" t="n">
        <v>44629</v>
      </c>
      <c r="K10" s="11" t="n">
        <v>44629</v>
      </c>
      <c r="L10" s="7" t="inlineStr">
        <is>
          <t>roll following on the LME panel calendar</t>
        </is>
      </c>
      <c r="N10" s="7" t="inlineStr">
        <is>
          <t>ASSUMPTION</t>
        </is>
      </c>
      <c r="O10" s="9" t="n">
        <v>-88291.5</v>
      </c>
      <c r="P10" s="9" t="n">
        <v>-88291.5</v>
      </c>
      <c r="U10" s="7" t="inlineStr">
        <is>
          <t>DERIVED_IN_WORKBOOK</t>
        </is>
      </c>
      <c r="V10" s="8">
        <f>SUMIFS(Cashflows!$AA$1043:$AA$1393,Cashflows!$B$1043:$B$1393,$C10,Cashflows!$C$1043:$C$1393,$K10)</f>
        <v/>
      </c>
      <c r="W10" s="8">
        <f>IF($G10="INR",1,INDEX(Market_Daily!$F$6:$F$256,MATCH($K10,Market_Daily!$A$6:$A$256,0)))</f>
        <v/>
      </c>
      <c r="X10" s="8">
        <f>$V10*$W10</f>
        <v/>
      </c>
      <c r="Y10" s="18">
        <f>$X10-$P10</f>
        <v/>
      </c>
      <c r="Z10" s="8">
        <f>IF(ABS($Y10)&lt;=tol_cashflow_inr,"PASS","FAIL")</f>
        <v/>
      </c>
      <c r="AA10" s="7" t="inlineStr">
        <is>
          <t>-lots x lot_kg x fill x mcx_txn_cost_frac</t>
        </is>
      </c>
    </row>
    <row r="11">
      <c r="A11" s="7" t="inlineStr">
        <is>
          <t>T01</t>
        </is>
      </c>
      <c r="B11" s="7" t="inlineStr">
        <is>
          <t>MCX:T01-MCX-1</t>
        </is>
      </c>
      <c r="C11" s="7" t="inlineStr">
        <is>
          <t>T01-MCX-1</t>
        </is>
      </c>
      <c r="D11" s="7" t="inlineStr">
        <is>
          <t>MCX_VARIATION_MARGIN</t>
        </is>
      </c>
      <c r="E11" s="7" t="inlineStr">
        <is>
          <t>MCX_VARIATION_MARGIN</t>
        </is>
      </c>
      <c r="F11" s="7" t="inlineStr">
        <is>
          <t>PNL</t>
        </is>
      </c>
      <c r="G11" s="7" t="inlineStr">
        <is>
          <t>INR</t>
        </is>
      </c>
      <c r="H11" s="11" t="n">
        <v>44629</v>
      </c>
      <c r="I11" s="11" t="n">
        <v>44629</v>
      </c>
      <c r="J11" s="11" t="n">
        <v>44629</v>
      </c>
      <c r="K11" s="11" t="n">
        <v>44629</v>
      </c>
      <c r="L11" s="7" t="inlineStr">
        <is>
          <t>roll following on the LME panel calendar</t>
        </is>
      </c>
      <c r="N11" s="7" t="inlineStr">
        <is>
          <t>PROXY</t>
        </is>
      </c>
      <c r="O11" s="9" t="n">
        <v>-0</v>
      </c>
      <c r="P11" s="9" t="n">
        <v>-0</v>
      </c>
      <c r="U11" s="7" t="inlineStr">
        <is>
          <t>DERIVED_IN_WORKBOOK</t>
        </is>
      </c>
      <c r="V11" s="8">
        <f>SUMIFS(Cashflows!$R$1043:$R$1393,Cashflows!$B$1043:$B$1393,$C11,Cashflows!$C$1043:$C$1393,$K11)</f>
        <v/>
      </c>
      <c r="W11" s="8">
        <f>IF($G11="INR",1,INDEX(Market_Daily!$F$6:$F$256,MATCH($K11,Market_Daily!$A$6:$A$256,0)))</f>
        <v/>
      </c>
      <c r="X11" s="8">
        <f>$V11*$W11</f>
        <v/>
      </c>
      <c r="Y11" s="18">
        <f>$X11-$P11</f>
        <v/>
      </c>
      <c r="Z11" s="8">
        <f>IF(ABS($Y11)&lt;=tol_cashflow_inr,"PASS","FAIL")</f>
        <v/>
      </c>
      <c r="AA11" s="7" t="inlineStr">
        <is>
          <t>direction x lots x lot_kg x (F(entry) - entry settle) = 0 by construction</t>
        </is>
      </c>
    </row>
    <row r="12">
      <c r="A12" s="7" t="inlineStr">
        <is>
          <t>T01</t>
        </is>
      </c>
      <c r="B12" s="7" t="inlineStr">
        <is>
          <t>MCX:T01-MCX-2</t>
        </is>
      </c>
      <c r="C12" s="7" t="inlineStr">
        <is>
          <t>T01-MCX-2</t>
        </is>
      </c>
      <c r="D12" s="7" t="inlineStr">
        <is>
          <t>MCX_INITIAL_MARGIN</t>
        </is>
      </c>
      <c r="E12" s="7" t="inlineStr">
        <is>
          <t>MCX_INITIAL_MARGIN</t>
        </is>
      </c>
      <c r="F12" s="7" t="inlineStr">
        <is>
          <t>BS</t>
        </is>
      </c>
      <c r="G12" s="7" t="inlineStr">
        <is>
          <t>INR</t>
        </is>
      </c>
      <c r="H12" s="11" t="n">
        <v>44629</v>
      </c>
      <c r="I12" s="11" t="n">
        <v>44629</v>
      </c>
      <c r="J12" s="11" t="n">
        <v>44629</v>
      </c>
      <c r="K12" s="11" t="n">
        <v>44629</v>
      </c>
      <c r="L12" s="7" t="inlineStr">
        <is>
          <t>roll following on the LME panel calendar</t>
        </is>
      </c>
      <c r="N12" s="7" t="inlineStr">
        <is>
          <t>PROXY</t>
        </is>
      </c>
      <c r="O12" s="9" t="n">
        <v>-14720249.17</v>
      </c>
      <c r="P12" s="9" t="n">
        <v>-14720249.17</v>
      </c>
      <c r="U12" s="7" t="inlineStr">
        <is>
          <t>DERIVED_IN_WORKBOOK</t>
        </is>
      </c>
      <c r="V12" s="8">
        <f>-SUMIFS(Cashflows!$W$1043:$W$1393,Cashflows!$B$1043:$B$1393,$C12,Cashflows!$C$1043:$C$1393,$K12)</f>
        <v/>
      </c>
      <c r="W12" s="8">
        <f>IF($G12="INR",1,INDEX(Market_Daily!$F$6:$F$256,MATCH($K12,Market_Daily!$A$6:$A$256,0)))</f>
        <v/>
      </c>
      <c r="X12" s="8">
        <f>$V12*$W12</f>
        <v/>
      </c>
      <c r="Y12" s="18">
        <f>$X12-$P12</f>
        <v/>
      </c>
      <c r="Z12" s="8">
        <f>IF(ABS($Y12)&lt;=tol_cashflow_inr,"PASS","FAIL")</f>
        <v/>
      </c>
      <c r="AA12" s="7" t="inlineStr">
        <is>
          <t>-d(lots x lot_kg x F(s) x mcx_al_margin_used_frac)</t>
        </is>
      </c>
    </row>
    <row r="13">
      <c r="A13" s="7" t="inlineStr">
        <is>
          <t>T01</t>
        </is>
      </c>
      <c r="B13" s="7" t="inlineStr">
        <is>
          <t>MCX:T01-MCX-2</t>
        </is>
      </c>
      <c r="C13" s="7" t="inlineStr">
        <is>
          <t>T01-MCX-2</t>
        </is>
      </c>
      <c r="D13" s="7" t="inlineStr">
        <is>
          <t>MCX_SLIPPAGE</t>
        </is>
      </c>
      <c r="E13" s="7" t="inlineStr">
        <is>
          <t>MCX_SLIPPAGE</t>
        </is>
      </c>
      <c r="F13" s="7" t="inlineStr">
        <is>
          <t>PNL</t>
        </is>
      </c>
      <c r="G13" s="7" t="inlineStr">
        <is>
          <t>INR</t>
        </is>
      </c>
      <c r="H13" s="11" t="n">
        <v>44629</v>
      </c>
      <c r="J13" s="11" t="n">
        <v>44629</v>
      </c>
      <c r="K13" s="11" t="n">
        <v>44629</v>
      </c>
      <c r="L13" s="7" t="inlineStr">
        <is>
          <t>roll following on the LME panel calendar</t>
        </is>
      </c>
      <c r="N13" s="7" t="inlineStr">
        <is>
          <t>ASSUMPTION</t>
        </is>
      </c>
      <c r="O13" s="9" t="n">
        <v>-50000</v>
      </c>
      <c r="P13" s="9" t="n">
        <v>-50000</v>
      </c>
      <c r="U13" s="7" t="inlineStr">
        <is>
          <t>DERIVED_IN_WORKBOOK</t>
        </is>
      </c>
      <c r="V13" s="8">
        <f>SUMIFS(Cashflows!$Z$1043:$Z$1393,Cashflows!$B$1043:$B$1393,$C13,Cashflows!$C$1043:$C$1393,$K13)</f>
        <v/>
      </c>
      <c r="W13" s="8">
        <f>IF($G13="INR",1,INDEX(Market_Daily!$F$6:$F$256,MATCH($K13,Market_Daily!$A$6:$A$256,0)))</f>
        <v/>
      </c>
      <c r="X13" s="8">
        <f>$V13*$W13</f>
        <v/>
      </c>
      <c r="Y13" s="18">
        <f>$X13-$P13</f>
        <v/>
      </c>
      <c r="Z13" s="8">
        <f>IF(ABS($Y13)&lt;=tol_cashflow_inr,"PASS","FAIL")</f>
        <v/>
      </c>
      <c r="AA13" s="7" t="inlineStr">
        <is>
          <t>-lots x lot_kg x mcx_slippage_ticks x tick</t>
        </is>
      </c>
    </row>
    <row r="14">
      <c r="A14" s="7" t="inlineStr">
        <is>
          <t>T01</t>
        </is>
      </c>
      <c r="B14" s="7" t="inlineStr">
        <is>
          <t>MCX:T01-MCX-2</t>
        </is>
      </c>
      <c r="C14" s="7" t="inlineStr">
        <is>
          <t>T01-MCX-2</t>
        </is>
      </c>
      <c r="D14" s="7" t="inlineStr">
        <is>
          <t>MCX_TRANSACTION_COST</t>
        </is>
      </c>
      <c r="E14" s="7" t="inlineStr">
        <is>
          <t>MCX_TRANSACTION_COST</t>
        </is>
      </c>
      <c r="F14" s="7" t="inlineStr">
        <is>
          <t>PNL</t>
        </is>
      </c>
      <c r="G14" s="7" t="inlineStr">
        <is>
          <t>INR</t>
        </is>
      </c>
      <c r="H14" s="11" t="n">
        <v>44629</v>
      </c>
      <c r="I14" s="11" t="n">
        <v>44629</v>
      </c>
      <c r="J14" s="11" t="n">
        <v>44629</v>
      </c>
      <c r="K14" s="11" t="n">
        <v>44629</v>
      </c>
      <c r="L14" s="7" t="inlineStr">
        <is>
          <t>roll following on the LME panel calendar</t>
        </is>
      </c>
      <c r="N14" s="7" t="inlineStr">
        <is>
          <t>ASSUMPTION</t>
        </is>
      </c>
      <c r="O14" s="9" t="n">
        <v>-44145.75</v>
      </c>
      <c r="P14" s="9" t="n">
        <v>-44145.75</v>
      </c>
      <c r="U14" s="7" t="inlineStr">
        <is>
          <t>DERIVED_IN_WORKBOOK</t>
        </is>
      </c>
      <c r="V14" s="8">
        <f>SUMIFS(Cashflows!$AA$1043:$AA$1393,Cashflows!$B$1043:$B$1393,$C14,Cashflows!$C$1043:$C$1393,$K14)</f>
        <v/>
      </c>
      <c r="W14" s="8">
        <f>IF($G14="INR",1,INDEX(Market_Daily!$F$6:$F$256,MATCH($K14,Market_Daily!$A$6:$A$256,0)))</f>
        <v/>
      </c>
      <c r="X14" s="8">
        <f>$V14*$W14</f>
        <v/>
      </c>
      <c r="Y14" s="18">
        <f>$X14-$P14</f>
        <v/>
      </c>
      <c r="Z14" s="8">
        <f>IF(ABS($Y14)&lt;=tol_cashflow_inr,"PASS","FAIL")</f>
        <v/>
      </c>
      <c r="AA14" s="7" t="inlineStr">
        <is>
          <t>-lots x lot_kg x fill x mcx_txn_cost_frac</t>
        </is>
      </c>
    </row>
    <row r="15">
      <c r="A15" s="7" t="inlineStr">
        <is>
          <t>T01</t>
        </is>
      </c>
      <c r="B15" s="7" t="inlineStr">
        <is>
          <t>MCX:T01-MCX-2</t>
        </is>
      </c>
      <c r="C15" s="7" t="inlineStr">
        <is>
          <t>T01-MCX-2</t>
        </is>
      </c>
      <c r="D15" s="7" t="inlineStr">
        <is>
          <t>MCX_VARIATION_MARGIN</t>
        </is>
      </c>
      <c r="E15" s="7" t="inlineStr">
        <is>
          <t>MCX_VARIATION_MARGIN</t>
        </is>
      </c>
      <c r="F15" s="7" t="inlineStr">
        <is>
          <t>PNL</t>
        </is>
      </c>
      <c r="G15" s="7" t="inlineStr">
        <is>
          <t>INR</t>
        </is>
      </c>
      <c r="H15" s="11" t="n">
        <v>44629</v>
      </c>
      <c r="I15" s="11" t="n">
        <v>44629</v>
      </c>
      <c r="J15" s="11" t="n">
        <v>44629</v>
      </c>
      <c r="K15" s="11" t="n">
        <v>44629</v>
      </c>
      <c r="L15" s="7" t="inlineStr">
        <is>
          <t>roll following on the LME panel calendar</t>
        </is>
      </c>
      <c r="N15" s="7" t="inlineStr">
        <is>
          <t>PROXY</t>
        </is>
      </c>
      <c r="O15" s="9" t="n">
        <v>-0</v>
      </c>
      <c r="P15" s="9" t="n">
        <v>-0</v>
      </c>
      <c r="U15" s="7" t="inlineStr">
        <is>
          <t>DERIVED_IN_WORKBOOK</t>
        </is>
      </c>
      <c r="V15" s="8">
        <f>SUMIFS(Cashflows!$R$1043:$R$1393,Cashflows!$B$1043:$B$1393,$C15,Cashflows!$C$1043:$C$1393,$K15)</f>
        <v/>
      </c>
      <c r="W15" s="8">
        <f>IF($G15="INR",1,INDEX(Market_Daily!$F$6:$F$256,MATCH($K15,Market_Daily!$A$6:$A$256,0)))</f>
        <v/>
      </c>
      <c r="X15" s="8">
        <f>$V15*$W15</f>
        <v/>
      </c>
      <c r="Y15" s="18">
        <f>$X15-$P15</f>
        <v/>
      </c>
      <c r="Z15" s="8">
        <f>IF(ABS($Y15)&lt;=tol_cashflow_inr,"PASS","FAIL")</f>
        <v/>
      </c>
      <c r="AA15" s="7" t="inlineStr">
        <is>
          <t>direction x lots x lot_kg x (F(entry) - entry settle) = 0 by construction</t>
        </is>
      </c>
    </row>
    <row r="16">
      <c r="A16" s="7" t="inlineStr">
        <is>
          <t>T01</t>
        </is>
      </c>
      <c r="B16" s="7" t="inlineStr">
        <is>
          <t>MCX:T01-MCX-1</t>
        </is>
      </c>
      <c r="C16" s="7" t="inlineStr">
        <is>
          <t>T01-MCX-1</t>
        </is>
      </c>
      <c r="D16" s="7" t="inlineStr">
        <is>
          <t>MCX_INITIAL_MARGIN</t>
        </is>
      </c>
      <c r="E16" s="7" t="inlineStr">
        <is>
          <t>MCX_INITIAL_MARGIN</t>
        </is>
      </c>
      <c r="F16" s="7" t="inlineStr">
        <is>
          <t>BS</t>
        </is>
      </c>
      <c r="G16" s="7" t="inlineStr">
        <is>
          <t>INR</t>
        </is>
      </c>
      <c r="H16" s="11" t="n">
        <v>44629</v>
      </c>
      <c r="I16" s="11" t="n">
        <v>44630</v>
      </c>
      <c r="J16" s="11" t="n">
        <v>44630</v>
      </c>
      <c r="K16" s="11" t="n">
        <v>44630</v>
      </c>
      <c r="L16" s="7" t="inlineStr">
        <is>
          <t>roll following on the LME panel calendar</t>
        </is>
      </c>
      <c r="N16" s="7" t="inlineStr">
        <is>
          <t>PROXY</t>
        </is>
      </c>
      <c r="O16" s="9" t="n">
        <v>79537.06</v>
      </c>
      <c r="P16" s="9" t="n">
        <v>79537.06</v>
      </c>
      <c r="U16" s="7" t="inlineStr">
        <is>
          <t>DERIVED_IN_WORKBOOK</t>
        </is>
      </c>
      <c r="V16" s="8">
        <f>-SUMIFS(Cashflows!$W$1043:$W$1393,Cashflows!$B$1043:$B$1393,$C16,Cashflows!$C$1043:$C$1393,$K16)</f>
        <v/>
      </c>
      <c r="W16" s="8">
        <f>IF($G16="INR",1,INDEX(Market_Daily!$F$6:$F$256,MATCH($K16,Market_Daily!$A$6:$A$256,0)))</f>
        <v/>
      </c>
      <c r="X16" s="8">
        <f>$V16*$W16</f>
        <v/>
      </c>
      <c r="Y16" s="18">
        <f>$X16-$P16</f>
        <v/>
      </c>
      <c r="Z16" s="8">
        <f>IF(ABS($Y16)&lt;=tol_cashflow_inr,"PASS","FAIL")</f>
        <v/>
      </c>
      <c r="AA16" s="7" t="inlineStr">
        <is>
          <t>-d(lots x lot_kg x F(s) x mcx_al_margin_used_frac)</t>
        </is>
      </c>
    </row>
    <row r="17">
      <c r="A17" s="7" t="inlineStr">
        <is>
          <t>T01</t>
        </is>
      </c>
      <c r="B17" s="7" t="inlineStr">
        <is>
          <t>MCX:T01-MCX-1</t>
        </is>
      </c>
      <c r="C17" s="7" t="inlineStr">
        <is>
          <t>T01-MCX-1</t>
        </is>
      </c>
      <c r="D17" s="7" t="inlineStr">
        <is>
          <t>MCX_VARIATION_MARGIN</t>
        </is>
      </c>
      <c r="E17" s="7" t="inlineStr">
        <is>
          <t>MCX_VARIATION_MARGIN</t>
        </is>
      </c>
      <c r="F17" s="7" t="inlineStr">
        <is>
          <t>PNL</t>
        </is>
      </c>
      <c r="G17" s="7" t="inlineStr">
        <is>
          <t>INR</t>
        </is>
      </c>
      <c r="H17" s="11" t="n">
        <v>44629</v>
      </c>
      <c r="I17" s="11" t="n">
        <v>44630</v>
      </c>
      <c r="J17" s="11" t="n">
        <v>44630</v>
      </c>
      <c r="K17" s="11" t="n">
        <v>44630</v>
      </c>
      <c r="L17" s="7" t="inlineStr">
        <is>
          <t>roll following on the LME panel calendar</t>
        </is>
      </c>
      <c r="N17" s="7" t="inlineStr">
        <is>
          <t>PROXY</t>
        </is>
      </c>
      <c r="O17" s="9" t="n">
        <v>795370.63</v>
      </c>
      <c r="P17" s="9" t="n">
        <v>795370.63</v>
      </c>
      <c r="U17" s="7" t="inlineStr">
        <is>
          <t>DERIVED_IN_WORKBOOK</t>
        </is>
      </c>
      <c r="V17" s="8">
        <f>SUMIFS(Cashflows!$R$1043:$R$1393,Cashflows!$B$1043:$B$1393,$C17,Cashflows!$C$1043:$C$1393,$K17)</f>
        <v/>
      </c>
      <c r="W17" s="8">
        <f>IF($G17="INR",1,INDEX(Market_Daily!$F$6:$F$256,MATCH($K17,Market_Daily!$A$6:$A$256,0)))</f>
        <v/>
      </c>
      <c r="X17" s="8">
        <f>$V17*$W17</f>
        <v/>
      </c>
      <c r="Y17" s="18">
        <f>$X17-$P17</f>
        <v/>
      </c>
      <c r="Z17" s="8">
        <f>IF(ABS($Y17)&lt;=tol_cashflow_inr,"PASS","FAIL")</f>
        <v/>
      </c>
      <c r="AA17" s="7" t="inlineStr">
        <is>
          <t>direction x lots x lot_kg x (F(s) - F(s-1))</t>
        </is>
      </c>
    </row>
    <row r="18">
      <c r="A18" s="7" t="inlineStr">
        <is>
          <t>T01</t>
        </is>
      </c>
      <c r="B18" s="7" t="inlineStr">
        <is>
          <t>MCX:T01-MCX-2</t>
        </is>
      </c>
      <c r="C18" s="7" t="inlineStr">
        <is>
          <t>T01-MCX-2</t>
        </is>
      </c>
      <c r="D18" s="7" t="inlineStr">
        <is>
          <t>MCX_INITIAL_MARGIN</t>
        </is>
      </c>
      <c r="E18" s="7" t="inlineStr">
        <is>
          <t>MCX_INITIAL_MARGIN</t>
        </is>
      </c>
      <c r="F18" s="7" t="inlineStr">
        <is>
          <t>BS</t>
        </is>
      </c>
      <c r="G18" s="7" t="inlineStr">
        <is>
          <t>INR</t>
        </is>
      </c>
      <c r="H18" s="11" t="n">
        <v>44629</v>
      </c>
      <c r="I18" s="11" t="n">
        <v>44630</v>
      </c>
      <c r="J18" s="11" t="n">
        <v>44630</v>
      </c>
      <c r="K18" s="11" t="n">
        <v>44630</v>
      </c>
      <c r="L18" s="7" t="inlineStr">
        <is>
          <t>roll following on the LME panel calendar</t>
        </is>
      </c>
      <c r="N18" s="7" t="inlineStr">
        <is>
          <t>PROXY</t>
        </is>
      </c>
      <c r="O18" s="9" t="n">
        <v>39768.53</v>
      </c>
      <c r="P18" s="9" t="n">
        <v>39768.53</v>
      </c>
      <c r="U18" s="7" t="inlineStr">
        <is>
          <t>DERIVED_IN_WORKBOOK</t>
        </is>
      </c>
      <c r="V18" s="8">
        <f>-SUMIFS(Cashflows!$W$1043:$W$1393,Cashflows!$B$1043:$B$1393,$C18,Cashflows!$C$1043:$C$1393,$K18)</f>
        <v/>
      </c>
      <c r="W18" s="8">
        <f>IF($G18="INR",1,INDEX(Market_Daily!$F$6:$F$256,MATCH($K18,Market_Daily!$A$6:$A$256,0)))</f>
        <v/>
      </c>
      <c r="X18" s="8">
        <f>$V18*$W18</f>
        <v/>
      </c>
      <c r="Y18" s="18">
        <f>$X18-$P18</f>
        <v/>
      </c>
      <c r="Z18" s="8">
        <f>IF(ABS($Y18)&lt;=tol_cashflow_inr,"PASS","FAIL")</f>
        <v/>
      </c>
      <c r="AA18" s="7" t="inlineStr">
        <is>
          <t>-d(lots x lot_kg x F(s) x mcx_al_margin_used_frac)</t>
        </is>
      </c>
    </row>
    <row r="19">
      <c r="A19" s="7" t="inlineStr">
        <is>
          <t>T01</t>
        </is>
      </c>
      <c r="B19" s="7" t="inlineStr">
        <is>
          <t>MCX:T01-MCX-2</t>
        </is>
      </c>
      <c r="C19" s="7" t="inlineStr">
        <is>
          <t>T01-MCX-2</t>
        </is>
      </c>
      <c r="D19" s="7" t="inlineStr">
        <is>
          <t>MCX_VARIATION_MARGIN</t>
        </is>
      </c>
      <c r="E19" s="7" t="inlineStr">
        <is>
          <t>MCX_VARIATION_MARGIN</t>
        </is>
      </c>
      <c r="F19" s="7" t="inlineStr">
        <is>
          <t>PNL</t>
        </is>
      </c>
      <c r="G19" s="7" t="inlineStr">
        <is>
          <t>INR</t>
        </is>
      </c>
      <c r="H19" s="11" t="n">
        <v>44629</v>
      </c>
      <c r="I19" s="11" t="n">
        <v>44630</v>
      </c>
      <c r="J19" s="11" t="n">
        <v>44630</v>
      </c>
      <c r="K19" s="11" t="n">
        <v>44630</v>
      </c>
      <c r="L19" s="7" t="inlineStr">
        <is>
          <t>roll following on the LME panel calendar</t>
        </is>
      </c>
      <c r="N19" s="7" t="inlineStr">
        <is>
          <t>PROXY</t>
        </is>
      </c>
      <c r="O19" s="9" t="n">
        <v>397685.31</v>
      </c>
      <c r="P19" s="9" t="n">
        <v>397685.31</v>
      </c>
      <c r="U19" s="7" t="inlineStr">
        <is>
          <t>DERIVED_IN_WORKBOOK</t>
        </is>
      </c>
      <c r="V19" s="8">
        <f>SUMIFS(Cashflows!$R$1043:$R$1393,Cashflows!$B$1043:$B$1393,$C19,Cashflows!$C$1043:$C$1393,$K19)</f>
        <v/>
      </c>
      <c r="W19" s="8">
        <f>IF($G19="INR",1,INDEX(Market_Daily!$F$6:$F$256,MATCH($K19,Market_Daily!$A$6:$A$256,0)))</f>
        <v/>
      </c>
      <c r="X19" s="8">
        <f>$V19*$W19</f>
        <v/>
      </c>
      <c r="Y19" s="18">
        <f>$X19-$P19</f>
        <v/>
      </c>
      <c r="Z19" s="8">
        <f>IF(ABS($Y19)&lt;=tol_cashflow_inr,"PASS","FAIL")</f>
        <v/>
      </c>
      <c r="AA19" s="7" t="inlineStr">
        <is>
          <t>direction x lots x lot_kg x (F(s) - F(s-1))</t>
        </is>
      </c>
    </row>
    <row r="20">
      <c r="A20" s="7" t="inlineStr">
        <is>
          <t>T01</t>
        </is>
      </c>
      <c r="B20" s="7" t="inlineStr">
        <is>
          <t>MCX:T01-MCX-1</t>
        </is>
      </c>
      <c r="C20" s="7" t="inlineStr">
        <is>
          <t>T01-MCX-1</t>
        </is>
      </c>
      <c r="D20" s="7" t="inlineStr">
        <is>
          <t>MCX_INITIAL_MARGIN</t>
        </is>
      </c>
      <c r="E20" s="7" t="inlineStr">
        <is>
          <t>MCX_INITIAL_MARGIN</t>
        </is>
      </c>
      <c r="F20" s="7" t="inlineStr">
        <is>
          <t>BS</t>
        </is>
      </c>
      <c r="G20" s="7" t="inlineStr">
        <is>
          <t>INR</t>
        </is>
      </c>
      <c r="H20" s="11" t="n">
        <v>44629</v>
      </c>
      <c r="I20" s="11" t="n">
        <v>44631</v>
      </c>
      <c r="J20" s="11" t="n">
        <v>44631</v>
      </c>
      <c r="K20" s="11" t="n">
        <v>44631</v>
      </c>
      <c r="L20" s="7" t="inlineStr">
        <is>
          <t>roll following on the LME panel calendar</t>
        </is>
      </c>
      <c r="N20" s="7" t="inlineStr">
        <is>
          <t>PROXY</t>
        </is>
      </c>
      <c r="O20" s="9" t="n">
        <v>492577.97</v>
      </c>
      <c r="P20" s="9" t="n">
        <v>492577.97</v>
      </c>
      <c r="U20" s="7" t="inlineStr">
        <is>
          <t>DERIVED_IN_WORKBOOK</t>
        </is>
      </c>
      <c r="V20" s="8">
        <f>-SUMIFS(Cashflows!$W$1043:$W$1393,Cashflows!$B$1043:$B$1393,$C20,Cashflows!$C$1043:$C$1393,$K20)</f>
        <v/>
      </c>
      <c r="W20" s="8">
        <f>IF($G20="INR",1,INDEX(Market_Daily!$F$6:$F$256,MATCH($K20,Market_Daily!$A$6:$A$256,0)))</f>
        <v/>
      </c>
      <c r="X20" s="8">
        <f>$V20*$W20</f>
        <v/>
      </c>
      <c r="Y20" s="18">
        <f>$X20-$P20</f>
        <v/>
      </c>
      <c r="Z20" s="8">
        <f>IF(ABS($Y20)&lt;=tol_cashflow_inr,"PASS","FAIL")</f>
        <v/>
      </c>
      <c r="AA20" s="7" t="inlineStr">
        <is>
          <t>-d(lots x lot_kg x F(s) x mcx_al_margin_used_frac)</t>
        </is>
      </c>
    </row>
    <row r="21">
      <c r="A21" s="7" t="inlineStr">
        <is>
          <t>T01</t>
        </is>
      </c>
      <c r="B21" s="7" t="inlineStr">
        <is>
          <t>MCX:T01-MCX-1</t>
        </is>
      </c>
      <c r="C21" s="7" t="inlineStr">
        <is>
          <t>T01-MCX-1</t>
        </is>
      </c>
      <c r="D21" s="7" t="inlineStr">
        <is>
          <t>MCX_VARIATION_MARGIN</t>
        </is>
      </c>
      <c r="E21" s="7" t="inlineStr">
        <is>
          <t>MCX_VARIATION_MARGIN</t>
        </is>
      </c>
      <c r="F21" s="7" t="inlineStr">
        <is>
          <t>PNL</t>
        </is>
      </c>
      <c r="G21" s="7" t="inlineStr">
        <is>
          <t>INR</t>
        </is>
      </c>
      <c r="H21" s="11" t="n">
        <v>44629</v>
      </c>
      <c r="I21" s="11" t="n">
        <v>44631</v>
      </c>
      <c r="J21" s="11" t="n">
        <v>44631</v>
      </c>
      <c r="K21" s="11" t="n">
        <v>44631</v>
      </c>
      <c r="L21" s="7" t="inlineStr">
        <is>
          <t>roll following on the LME panel calendar</t>
        </is>
      </c>
      <c r="N21" s="7" t="inlineStr">
        <is>
          <t>PROXY</t>
        </is>
      </c>
      <c r="O21" s="9" t="n">
        <v>4925779.69</v>
      </c>
      <c r="P21" s="9" t="n">
        <v>4925779.69</v>
      </c>
      <c r="U21" s="7" t="inlineStr">
        <is>
          <t>DERIVED_IN_WORKBOOK</t>
        </is>
      </c>
      <c r="V21" s="8">
        <f>SUMIFS(Cashflows!$R$1043:$R$1393,Cashflows!$B$1043:$B$1393,$C21,Cashflows!$C$1043:$C$1393,$K21)</f>
        <v/>
      </c>
      <c r="W21" s="8">
        <f>IF($G21="INR",1,INDEX(Market_Daily!$F$6:$F$256,MATCH($K21,Market_Daily!$A$6:$A$256,0)))</f>
        <v/>
      </c>
      <c r="X21" s="8">
        <f>$V21*$W21</f>
        <v/>
      </c>
      <c r="Y21" s="18">
        <f>$X21-$P21</f>
        <v/>
      </c>
      <c r="Z21" s="8">
        <f>IF(ABS($Y21)&lt;=tol_cashflow_inr,"PASS","FAIL")</f>
        <v/>
      </c>
      <c r="AA21" s="7" t="inlineStr">
        <is>
          <t>direction x lots x lot_kg x (F(s) - F(s-1))</t>
        </is>
      </c>
    </row>
    <row r="22">
      <c r="A22" s="7" t="inlineStr">
        <is>
          <t>T01</t>
        </is>
      </c>
      <c r="B22" s="7" t="inlineStr">
        <is>
          <t>MCX:T01-MCX-2</t>
        </is>
      </c>
      <c r="C22" s="7" t="inlineStr">
        <is>
          <t>T01-MCX-2</t>
        </is>
      </c>
      <c r="D22" s="7" t="inlineStr">
        <is>
          <t>MCX_INITIAL_MARGIN</t>
        </is>
      </c>
      <c r="E22" s="7" t="inlineStr">
        <is>
          <t>MCX_INITIAL_MARGIN</t>
        </is>
      </c>
      <c r="F22" s="7" t="inlineStr">
        <is>
          <t>BS</t>
        </is>
      </c>
      <c r="G22" s="7" t="inlineStr">
        <is>
          <t>INR</t>
        </is>
      </c>
      <c r="H22" s="11" t="n">
        <v>44629</v>
      </c>
      <c r="I22" s="11" t="n">
        <v>44631</v>
      </c>
      <c r="J22" s="11" t="n">
        <v>44631</v>
      </c>
      <c r="K22" s="11" t="n">
        <v>44631</v>
      </c>
      <c r="L22" s="7" t="inlineStr">
        <is>
          <t>roll following on the LME panel calendar</t>
        </is>
      </c>
      <c r="N22" s="7" t="inlineStr">
        <is>
          <t>PROXY</t>
        </is>
      </c>
      <c r="O22" s="9" t="n">
        <v>246288.98</v>
      </c>
      <c r="P22" s="9" t="n">
        <v>246288.98</v>
      </c>
      <c r="U22" s="7" t="inlineStr">
        <is>
          <t>DERIVED_IN_WORKBOOK</t>
        </is>
      </c>
      <c r="V22" s="8">
        <f>-SUMIFS(Cashflows!$W$1043:$W$1393,Cashflows!$B$1043:$B$1393,$C22,Cashflows!$C$1043:$C$1393,$K22)</f>
        <v/>
      </c>
      <c r="W22" s="8">
        <f>IF($G22="INR",1,INDEX(Market_Daily!$F$6:$F$256,MATCH($K22,Market_Daily!$A$6:$A$256,0)))</f>
        <v/>
      </c>
      <c r="X22" s="8">
        <f>$V22*$W22</f>
        <v/>
      </c>
      <c r="Y22" s="18">
        <f>$X22-$P22</f>
        <v/>
      </c>
      <c r="Z22" s="8">
        <f>IF(ABS($Y22)&lt;=tol_cashflow_inr,"PASS","FAIL")</f>
        <v/>
      </c>
      <c r="AA22" s="7" t="inlineStr">
        <is>
          <t>-d(lots x lot_kg x F(s) x mcx_al_margin_used_frac)</t>
        </is>
      </c>
    </row>
    <row r="23">
      <c r="A23" s="7" t="inlineStr">
        <is>
          <t>T01</t>
        </is>
      </c>
      <c r="B23" s="7" t="inlineStr">
        <is>
          <t>MCX:T01-MCX-2</t>
        </is>
      </c>
      <c r="C23" s="7" t="inlineStr">
        <is>
          <t>T01-MCX-2</t>
        </is>
      </c>
      <c r="D23" s="7" t="inlineStr">
        <is>
          <t>MCX_VARIATION_MARGIN</t>
        </is>
      </c>
      <c r="E23" s="7" t="inlineStr">
        <is>
          <t>MCX_VARIATION_MARGIN</t>
        </is>
      </c>
      <c r="F23" s="7" t="inlineStr">
        <is>
          <t>PNL</t>
        </is>
      </c>
      <c r="G23" s="7" t="inlineStr">
        <is>
          <t>INR</t>
        </is>
      </c>
      <c r="H23" s="11" t="n">
        <v>44629</v>
      </c>
      <c r="I23" s="11" t="n">
        <v>44631</v>
      </c>
      <c r="J23" s="11" t="n">
        <v>44631</v>
      </c>
      <c r="K23" s="11" t="n">
        <v>44631</v>
      </c>
      <c r="L23" s="7" t="inlineStr">
        <is>
          <t>roll following on the LME panel calendar</t>
        </is>
      </c>
      <c r="N23" s="7" t="inlineStr">
        <is>
          <t>PROXY</t>
        </is>
      </c>
      <c r="O23" s="9" t="n">
        <v>2462889.85</v>
      </c>
      <c r="P23" s="9" t="n">
        <v>2462889.85</v>
      </c>
      <c r="U23" s="7" t="inlineStr">
        <is>
          <t>DERIVED_IN_WORKBOOK</t>
        </is>
      </c>
      <c r="V23" s="8">
        <f>SUMIFS(Cashflows!$R$1043:$R$1393,Cashflows!$B$1043:$B$1393,$C23,Cashflows!$C$1043:$C$1393,$K23)</f>
        <v/>
      </c>
      <c r="W23" s="8">
        <f>IF($G23="INR",1,INDEX(Market_Daily!$F$6:$F$256,MATCH($K23,Market_Daily!$A$6:$A$256,0)))</f>
        <v/>
      </c>
      <c r="X23" s="8">
        <f>$V23*$W23</f>
        <v/>
      </c>
      <c r="Y23" s="18">
        <f>$X23-$P23</f>
        <v/>
      </c>
      <c r="Z23" s="8">
        <f>IF(ABS($Y23)&lt;=tol_cashflow_inr,"PASS","FAIL")</f>
        <v/>
      </c>
      <c r="AA23" s="7" t="inlineStr">
        <is>
          <t>direction x lots x lot_kg x (F(s) - F(s-1))</t>
        </is>
      </c>
    </row>
    <row r="24">
      <c r="A24" s="7" t="inlineStr">
        <is>
          <t>T01</t>
        </is>
      </c>
      <c r="B24" s="7" t="inlineStr">
        <is>
          <t>LC_FEES</t>
        </is>
      </c>
      <c r="D24" s="7" t="inlineStr">
        <is>
          <t>LC_CONFIRMATION_FEE</t>
        </is>
      </c>
      <c r="E24" s="7" t="inlineStr">
        <is>
          <t>LC_CONFIRMATION_FEE</t>
        </is>
      </c>
      <c r="F24" s="7" t="inlineStr">
        <is>
          <t>PNL</t>
        </is>
      </c>
      <c r="G24" s="7" t="inlineStr">
        <is>
          <t>USD</t>
        </is>
      </c>
      <c r="H24" s="11" t="n">
        <v>44628</v>
      </c>
      <c r="I24" s="11" t="n">
        <v>44634</v>
      </c>
      <c r="J24" s="11" t="n">
        <v>44634</v>
      </c>
      <c r="K24" s="11" t="n">
        <v>44634</v>
      </c>
      <c r="L24" s="7" t="inlineStr">
        <is>
          <t>roll following on the LME panel calendar</t>
        </is>
      </c>
      <c r="N24" s="7" t="inlineStr">
        <is>
          <t>PROXY</t>
        </is>
      </c>
      <c r="O24" s="9" t="n">
        <v>-3955.77</v>
      </c>
      <c r="P24" s="9" t="n">
        <v>-302930.49</v>
      </c>
      <c r="U24" s="7" t="inlineStr">
        <is>
          <t>PYTHON_LIFECYCLE</t>
        </is>
      </c>
      <c r="V24" s="8">
        <f>$O24</f>
        <v/>
      </c>
      <c r="W24" s="8">
        <f>IF($G24="INR",1,INDEX(Market_Daily!$F$6:$F$256,MATCH($K24,Market_Daily!$A$6:$A$256,0)))</f>
        <v/>
      </c>
      <c r="X24" s="8">
        <f>$V24*$W24</f>
        <v/>
      </c>
      <c r="Y24" s="18">
        <f>$X24-$P24</f>
        <v/>
      </c>
      <c r="Z24" s="8">
        <f>IF(ABS($Y24)&lt;=tol_cashflow_inr,"PASS","FAIL")</f>
        <v/>
      </c>
      <c r="AA24" s="7" t="inlineStr">
        <is>
          <t>-lc_confirmation_fee_pa x lc_value_usd x (validity + usance)/360</t>
        </is>
      </c>
    </row>
    <row r="25">
      <c r="A25" s="7" t="inlineStr">
        <is>
          <t>T01</t>
        </is>
      </c>
      <c r="B25" s="7" t="inlineStr">
        <is>
          <t>LC_FEES</t>
        </is>
      </c>
      <c r="D25" s="7" t="inlineStr">
        <is>
          <t>LC_OPENING_FEE</t>
        </is>
      </c>
      <c r="E25" s="7" t="inlineStr">
        <is>
          <t>LC_OPENING_FEE</t>
        </is>
      </c>
      <c r="F25" s="7" t="inlineStr">
        <is>
          <t>PNL</t>
        </is>
      </c>
      <c r="G25" s="7" t="inlineStr">
        <is>
          <t>USD</t>
        </is>
      </c>
      <c r="H25" s="11" t="n">
        <v>44628</v>
      </c>
      <c r="I25" s="11" t="n">
        <v>44634</v>
      </c>
      <c r="J25" s="11" t="n">
        <v>44634</v>
      </c>
      <c r="K25" s="11" t="n">
        <v>44634</v>
      </c>
      <c r="L25" s="7" t="inlineStr">
        <is>
          <t>roll following on the LME panel calendar</t>
        </is>
      </c>
      <c r="N25" s="7" t="inlineStr">
        <is>
          <t>DIRECT</t>
        </is>
      </c>
      <c r="O25" s="9" t="n">
        <v>-9906.620000000001</v>
      </c>
      <c r="P25" s="9" t="n">
        <v>-758643.3199999999</v>
      </c>
      <c r="U25" s="7" t="inlineStr">
        <is>
          <t>PYTHON_LIFECYCLE</t>
        </is>
      </c>
      <c r="V25" s="8">
        <f>$O25</f>
        <v/>
      </c>
      <c r="W25" s="8">
        <f>IF($G25="INR",1,INDEX(Market_Daily!$F$6:$F$256,MATCH($K25,Market_Daily!$A$6:$A$256,0)))</f>
        <v/>
      </c>
      <c r="X25" s="8">
        <f>$V25*$W25</f>
        <v/>
      </c>
      <c r="Y25" s="18">
        <f>$X25-$P25</f>
        <v/>
      </c>
      <c r="Z25" s="8">
        <f>IF(ABS($Y25)&lt;=tol_cashflow_inr,"PASS","FAIL")</f>
        <v/>
      </c>
      <c r="AA25" s="7" t="inlineStr">
        <is>
          <t>-lc_opening_fee_frac_per_month x ceil(validity/30) x lc_value_usd</t>
        </is>
      </c>
    </row>
    <row r="26">
      <c r="A26" s="7" t="inlineStr">
        <is>
          <t>T01</t>
        </is>
      </c>
      <c r="B26" s="7" t="inlineStr">
        <is>
          <t>MCX:T01-MCX-1</t>
        </is>
      </c>
      <c r="C26" s="7" t="inlineStr">
        <is>
          <t>T01-MCX-1</t>
        </is>
      </c>
      <c r="D26" s="7" t="inlineStr">
        <is>
          <t>MCX_INITIAL_MARGIN</t>
        </is>
      </c>
      <c r="E26" s="7" t="inlineStr">
        <is>
          <t>MCX_INITIAL_MARGIN</t>
        </is>
      </c>
      <c r="F26" s="7" t="inlineStr">
        <is>
          <t>BS</t>
        </is>
      </c>
      <c r="G26" s="7" t="inlineStr">
        <is>
          <t>INR</t>
        </is>
      </c>
      <c r="H26" s="11" t="n">
        <v>44629</v>
      </c>
      <c r="I26" s="11" t="n">
        <v>44634</v>
      </c>
      <c r="J26" s="11" t="n">
        <v>44634</v>
      </c>
      <c r="K26" s="11" t="n">
        <v>44634</v>
      </c>
      <c r="L26" s="7" t="inlineStr">
        <is>
          <t>roll following on the LME panel calendar</t>
        </is>
      </c>
      <c r="N26" s="7" t="inlineStr">
        <is>
          <t>PROXY</t>
        </is>
      </c>
      <c r="O26" s="9" t="n">
        <v>557402.52</v>
      </c>
      <c r="P26" s="9" t="n">
        <v>557402.52</v>
      </c>
      <c r="U26" s="7" t="inlineStr">
        <is>
          <t>DERIVED_IN_WORKBOOK</t>
        </is>
      </c>
      <c r="V26" s="8">
        <f>-SUMIFS(Cashflows!$W$1043:$W$1393,Cashflows!$B$1043:$B$1393,$C26,Cashflows!$C$1043:$C$1393,$K26)</f>
        <v/>
      </c>
      <c r="W26" s="8">
        <f>IF($G26="INR",1,INDEX(Market_Daily!$F$6:$F$256,MATCH($K26,Market_Daily!$A$6:$A$256,0)))</f>
        <v/>
      </c>
      <c r="X26" s="8">
        <f>$V26*$W26</f>
        <v/>
      </c>
      <c r="Y26" s="18">
        <f>$X26-$P26</f>
        <v/>
      </c>
      <c r="Z26" s="8">
        <f>IF(ABS($Y26)&lt;=tol_cashflow_inr,"PASS","FAIL")</f>
        <v/>
      </c>
      <c r="AA26" s="7" t="inlineStr">
        <is>
          <t>-d(lots x lot_kg x F(s) x mcx_al_margin_used_frac)</t>
        </is>
      </c>
    </row>
    <row r="27">
      <c r="A27" s="7" t="inlineStr">
        <is>
          <t>T01</t>
        </is>
      </c>
      <c r="B27" s="7" t="inlineStr">
        <is>
          <t>MCX:T01-MCX-1</t>
        </is>
      </c>
      <c r="C27" s="7" t="inlineStr">
        <is>
          <t>T01-MCX-1</t>
        </is>
      </c>
      <c r="D27" s="7" t="inlineStr">
        <is>
          <t>MCX_VARIATION_MARGIN</t>
        </is>
      </c>
      <c r="E27" s="7" t="inlineStr">
        <is>
          <t>MCX_VARIATION_MARGIN</t>
        </is>
      </c>
      <c r="F27" s="7" t="inlineStr">
        <is>
          <t>PNL</t>
        </is>
      </c>
      <c r="G27" s="7" t="inlineStr">
        <is>
          <t>INR</t>
        </is>
      </c>
      <c r="H27" s="11" t="n">
        <v>44629</v>
      </c>
      <c r="I27" s="11" t="n">
        <v>44634</v>
      </c>
      <c r="J27" s="11" t="n">
        <v>44634</v>
      </c>
      <c r="K27" s="11" t="n">
        <v>44634</v>
      </c>
      <c r="L27" s="7" t="inlineStr">
        <is>
          <t>roll following on the LME panel calendar</t>
        </is>
      </c>
      <c r="N27" s="7" t="inlineStr">
        <is>
          <t>PROXY</t>
        </is>
      </c>
      <c r="O27" s="9" t="n">
        <v>5574025.23</v>
      </c>
      <c r="P27" s="9" t="n">
        <v>5574025.23</v>
      </c>
      <c r="U27" s="7" t="inlineStr">
        <is>
          <t>DERIVED_IN_WORKBOOK</t>
        </is>
      </c>
      <c r="V27" s="8">
        <f>SUMIFS(Cashflows!$R$1043:$R$1393,Cashflows!$B$1043:$B$1393,$C27,Cashflows!$C$1043:$C$1393,$K27)</f>
        <v/>
      </c>
      <c r="W27" s="8">
        <f>IF($G27="INR",1,INDEX(Market_Daily!$F$6:$F$256,MATCH($K27,Market_Daily!$A$6:$A$256,0)))</f>
        <v/>
      </c>
      <c r="X27" s="8">
        <f>$V27*$W27</f>
        <v/>
      </c>
      <c r="Y27" s="18">
        <f>$X27-$P27</f>
        <v/>
      </c>
      <c r="Z27" s="8">
        <f>IF(ABS($Y27)&lt;=tol_cashflow_inr,"PASS","FAIL")</f>
        <v/>
      </c>
      <c r="AA27" s="7" t="inlineStr">
        <is>
          <t>direction x lots x lot_kg x (F(s) - F(s-1))</t>
        </is>
      </c>
    </row>
    <row r="28">
      <c r="A28" s="7" t="inlineStr">
        <is>
          <t>T01</t>
        </is>
      </c>
      <c r="B28" s="7" t="inlineStr">
        <is>
          <t>MCX:T01-MCX-2</t>
        </is>
      </c>
      <c r="C28" s="7" t="inlineStr">
        <is>
          <t>T01-MCX-2</t>
        </is>
      </c>
      <c r="D28" s="7" t="inlineStr">
        <is>
          <t>MCX_INITIAL_MARGIN</t>
        </is>
      </c>
      <c r="E28" s="7" t="inlineStr">
        <is>
          <t>MCX_INITIAL_MARGIN</t>
        </is>
      </c>
      <c r="F28" s="7" t="inlineStr">
        <is>
          <t>BS</t>
        </is>
      </c>
      <c r="G28" s="7" t="inlineStr">
        <is>
          <t>INR</t>
        </is>
      </c>
      <c r="H28" s="11" t="n">
        <v>44629</v>
      </c>
      <c r="I28" s="11" t="n">
        <v>44634</v>
      </c>
      <c r="J28" s="11" t="n">
        <v>44634</v>
      </c>
      <c r="K28" s="11" t="n">
        <v>44634</v>
      </c>
      <c r="L28" s="7" t="inlineStr">
        <is>
          <t>roll following on the LME panel calendar</t>
        </is>
      </c>
      <c r="N28" s="7" t="inlineStr">
        <is>
          <t>PROXY</t>
        </is>
      </c>
      <c r="O28" s="9" t="n">
        <v>278701.26</v>
      </c>
      <c r="P28" s="9" t="n">
        <v>278701.26</v>
      </c>
      <c r="U28" s="7" t="inlineStr">
        <is>
          <t>DERIVED_IN_WORKBOOK</t>
        </is>
      </c>
      <c r="V28" s="8">
        <f>-SUMIFS(Cashflows!$W$1043:$W$1393,Cashflows!$B$1043:$B$1393,$C28,Cashflows!$C$1043:$C$1393,$K28)</f>
        <v/>
      </c>
      <c r="W28" s="8">
        <f>IF($G28="INR",1,INDEX(Market_Daily!$F$6:$F$256,MATCH($K28,Market_Daily!$A$6:$A$256,0)))</f>
        <v/>
      </c>
      <c r="X28" s="8">
        <f>$V28*$W28</f>
        <v/>
      </c>
      <c r="Y28" s="18">
        <f>$X28-$P28</f>
        <v/>
      </c>
      <c r="Z28" s="8">
        <f>IF(ABS($Y28)&lt;=tol_cashflow_inr,"PASS","FAIL")</f>
        <v/>
      </c>
      <c r="AA28" s="7" t="inlineStr">
        <is>
          <t>-d(lots x lot_kg x F(s) x mcx_al_margin_used_frac)</t>
        </is>
      </c>
    </row>
    <row r="29">
      <c r="A29" s="7" t="inlineStr">
        <is>
          <t>T01</t>
        </is>
      </c>
      <c r="B29" s="7" t="inlineStr">
        <is>
          <t>MCX:T01-MCX-2</t>
        </is>
      </c>
      <c r="C29" s="7" t="inlineStr">
        <is>
          <t>T01-MCX-2</t>
        </is>
      </c>
      <c r="D29" s="7" t="inlineStr">
        <is>
          <t>MCX_VARIATION_MARGIN</t>
        </is>
      </c>
      <c r="E29" s="7" t="inlineStr">
        <is>
          <t>MCX_VARIATION_MARGIN</t>
        </is>
      </c>
      <c r="F29" s="7" t="inlineStr">
        <is>
          <t>PNL</t>
        </is>
      </c>
      <c r="G29" s="7" t="inlineStr">
        <is>
          <t>INR</t>
        </is>
      </c>
      <c r="H29" s="11" t="n">
        <v>44629</v>
      </c>
      <c r="I29" s="11" t="n">
        <v>44634</v>
      </c>
      <c r="J29" s="11" t="n">
        <v>44634</v>
      </c>
      <c r="K29" s="11" t="n">
        <v>44634</v>
      </c>
      <c r="L29" s="7" t="inlineStr">
        <is>
          <t>roll following on the LME panel calendar</t>
        </is>
      </c>
      <c r="N29" s="7" t="inlineStr">
        <is>
          <t>PROXY</t>
        </is>
      </c>
      <c r="O29" s="9" t="n">
        <v>2787012.62</v>
      </c>
      <c r="P29" s="9" t="n">
        <v>2787012.62</v>
      </c>
      <c r="U29" s="7" t="inlineStr">
        <is>
          <t>DERIVED_IN_WORKBOOK</t>
        </is>
      </c>
      <c r="V29" s="8">
        <f>SUMIFS(Cashflows!$R$1043:$R$1393,Cashflows!$B$1043:$B$1393,$C29,Cashflows!$C$1043:$C$1393,$K29)</f>
        <v/>
      </c>
      <c r="W29" s="8">
        <f>IF($G29="INR",1,INDEX(Market_Daily!$F$6:$F$256,MATCH($K29,Market_Daily!$A$6:$A$256,0)))</f>
        <v/>
      </c>
      <c r="X29" s="8">
        <f>$V29*$W29</f>
        <v/>
      </c>
      <c r="Y29" s="18">
        <f>$X29-$P29</f>
        <v/>
      </c>
      <c r="Z29" s="8">
        <f>IF(ABS($Y29)&lt;=tol_cashflow_inr,"PASS","FAIL")</f>
        <v/>
      </c>
      <c r="AA29" s="7" t="inlineStr">
        <is>
          <t>direction x lots x lot_kg x (F(s) - F(s-1))</t>
        </is>
      </c>
    </row>
    <row r="30">
      <c r="A30" s="7" t="inlineStr">
        <is>
          <t>T01</t>
        </is>
      </c>
      <c r="B30" s="7" t="inlineStr">
        <is>
          <t>MCX:T01-MCX-1</t>
        </is>
      </c>
      <c r="C30" s="7" t="inlineStr">
        <is>
          <t>T01-MCX-1</t>
        </is>
      </c>
      <c r="D30" s="7" t="inlineStr">
        <is>
          <t>MCX_INITIAL_MARGIN</t>
        </is>
      </c>
      <c r="E30" s="7" t="inlineStr">
        <is>
          <t>MCX_INITIAL_MARGIN</t>
        </is>
      </c>
      <c r="F30" s="7" t="inlineStr">
        <is>
          <t>BS</t>
        </is>
      </c>
      <c r="G30" s="7" t="inlineStr">
        <is>
          <t>INR</t>
        </is>
      </c>
      <c r="H30" s="11" t="n">
        <v>44629</v>
      </c>
      <c r="I30" s="11" t="n">
        <v>44635</v>
      </c>
      <c r="J30" s="11" t="n">
        <v>44635</v>
      </c>
      <c r="K30" s="11" t="n">
        <v>44635</v>
      </c>
      <c r="L30" s="7" t="inlineStr">
        <is>
          <t>roll following on the LME panel calendar</t>
        </is>
      </c>
      <c r="N30" s="7" t="inlineStr">
        <is>
          <t>PROXY</t>
        </is>
      </c>
      <c r="O30" s="9" t="n">
        <v>1582292.48</v>
      </c>
      <c r="P30" s="9" t="n">
        <v>1582292.48</v>
      </c>
      <c r="U30" s="7" t="inlineStr">
        <is>
          <t>DERIVED_IN_WORKBOOK</t>
        </is>
      </c>
      <c r="V30" s="8">
        <f>-SUMIFS(Cashflows!$W$1043:$W$1393,Cashflows!$B$1043:$B$1393,$C30,Cashflows!$C$1043:$C$1393,$K30)</f>
        <v/>
      </c>
      <c r="W30" s="8">
        <f>IF($G30="INR",1,INDEX(Market_Daily!$F$6:$F$256,MATCH($K30,Market_Daily!$A$6:$A$256,0)))</f>
        <v/>
      </c>
      <c r="X30" s="8">
        <f>$V30*$W30</f>
        <v/>
      </c>
      <c r="Y30" s="18">
        <f>$X30-$P30</f>
        <v/>
      </c>
      <c r="Z30" s="8">
        <f>IF(ABS($Y30)&lt;=tol_cashflow_inr,"PASS","FAIL")</f>
        <v/>
      </c>
      <c r="AA30" s="7" t="inlineStr">
        <is>
          <t>-d(lots x lot_kg x F(s) x mcx_al_margin_used_frac)</t>
        </is>
      </c>
    </row>
    <row r="31">
      <c r="A31" s="7" t="inlineStr">
        <is>
          <t>T01</t>
        </is>
      </c>
      <c r="B31" s="7" t="inlineStr">
        <is>
          <t>MCX:T01-MCX-1</t>
        </is>
      </c>
      <c r="C31" s="7" t="inlineStr">
        <is>
          <t>T01-MCX-1</t>
        </is>
      </c>
      <c r="D31" s="7" t="inlineStr">
        <is>
          <t>MCX_VARIATION_MARGIN</t>
        </is>
      </c>
      <c r="E31" s="7" t="inlineStr">
        <is>
          <t>MCX_VARIATION_MARGIN</t>
        </is>
      </c>
      <c r="F31" s="7" t="inlineStr">
        <is>
          <t>PNL</t>
        </is>
      </c>
      <c r="G31" s="7" t="inlineStr">
        <is>
          <t>INR</t>
        </is>
      </c>
      <c r="H31" s="11" t="n">
        <v>44629</v>
      </c>
      <c r="I31" s="11" t="n">
        <v>44635</v>
      </c>
      <c r="J31" s="11" t="n">
        <v>44635</v>
      </c>
      <c r="K31" s="11" t="n">
        <v>44635</v>
      </c>
      <c r="L31" s="7" t="inlineStr">
        <is>
          <t>roll following on the LME panel calendar</t>
        </is>
      </c>
      <c r="N31" s="7" t="inlineStr">
        <is>
          <t>PROXY</t>
        </is>
      </c>
      <c r="O31" s="9" t="n">
        <v>15822924.77</v>
      </c>
      <c r="P31" s="9" t="n">
        <v>15822924.77</v>
      </c>
      <c r="U31" s="7" t="inlineStr">
        <is>
          <t>DERIVED_IN_WORKBOOK</t>
        </is>
      </c>
      <c r="V31" s="8">
        <f>SUMIFS(Cashflows!$R$1043:$R$1393,Cashflows!$B$1043:$B$1393,$C31,Cashflows!$C$1043:$C$1393,$K31)</f>
        <v/>
      </c>
      <c r="W31" s="8">
        <f>IF($G31="INR",1,INDEX(Market_Daily!$F$6:$F$256,MATCH($K31,Market_Daily!$A$6:$A$256,0)))</f>
        <v/>
      </c>
      <c r="X31" s="8">
        <f>$V31*$W31</f>
        <v/>
      </c>
      <c r="Y31" s="18">
        <f>$X31-$P31</f>
        <v/>
      </c>
      <c r="Z31" s="8">
        <f>IF(ABS($Y31)&lt;=tol_cashflow_inr,"PASS","FAIL")</f>
        <v/>
      </c>
      <c r="AA31" s="7" t="inlineStr">
        <is>
          <t>direction x lots x lot_kg x (F(s) - F(s-1))</t>
        </is>
      </c>
    </row>
    <row r="32">
      <c r="A32" s="7" t="inlineStr">
        <is>
          <t>T01</t>
        </is>
      </c>
      <c r="B32" s="7" t="inlineStr">
        <is>
          <t>MCX:T01-MCX-2</t>
        </is>
      </c>
      <c r="C32" s="7" t="inlineStr">
        <is>
          <t>T01-MCX-2</t>
        </is>
      </c>
      <c r="D32" s="7" t="inlineStr">
        <is>
          <t>MCX_INITIAL_MARGIN</t>
        </is>
      </c>
      <c r="E32" s="7" t="inlineStr">
        <is>
          <t>MCX_INITIAL_MARGIN</t>
        </is>
      </c>
      <c r="F32" s="7" t="inlineStr">
        <is>
          <t>BS</t>
        </is>
      </c>
      <c r="G32" s="7" t="inlineStr">
        <is>
          <t>INR</t>
        </is>
      </c>
      <c r="H32" s="11" t="n">
        <v>44629</v>
      </c>
      <c r="I32" s="11" t="n">
        <v>44635</v>
      </c>
      <c r="J32" s="11" t="n">
        <v>44635</v>
      </c>
      <c r="K32" s="11" t="n">
        <v>44635</v>
      </c>
      <c r="L32" s="7" t="inlineStr">
        <is>
          <t>roll following on the LME panel calendar</t>
        </is>
      </c>
      <c r="N32" s="7" t="inlineStr">
        <is>
          <t>PROXY</t>
        </is>
      </c>
      <c r="O32" s="9" t="n">
        <v>791146.24</v>
      </c>
      <c r="P32" s="9" t="n">
        <v>791146.24</v>
      </c>
      <c r="U32" s="7" t="inlineStr">
        <is>
          <t>DERIVED_IN_WORKBOOK</t>
        </is>
      </c>
      <c r="V32" s="8">
        <f>-SUMIFS(Cashflows!$W$1043:$W$1393,Cashflows!$B$1043:$B$1393,$C32,Cashflows!$C$1043:$C$1393,$K32)</f>
        <v/>
      </c>
      <c r="W32" s="8">
        <f>IF($G32="INR",1,INDEX(Market_Daily!$F$6:$F$256,MATCH($K32,Market_Daily!$A$6:$A$256,0)))</f>
        <v/>
      </c>
      <c r="X32" s="8">
        <f>$V32*$W32</f>
        <v/>
      </c>
      <c r="Y32" s="18">
        <f>$X32-$P32</f>
        <v/>
      </c>
      <c r="Z32" s="8">
        <f>IF(ABS($Y32)&lt;=tol_cashflow_inr,"PASS","FAIL")</f>
        <v/>
      </c>
      <c r="AA32" s="7" t="inlineStr">
        <is>
          <t>-d(lots x lot_kg x F(s) x mcx_al_margin_used_frac)</t>
        </is>
      </c>
    </row>
    <row r="33">
      <c r="A33" s="7" t="inlineStr">
        <is>
          <t>T01</t>
        </is>
      </c>
      <c r="B33" s="7" t="inlineStr">
        <is>
          <t>MCX:T01-MCX-2</t>
        </is>
      </c>
      <c r="C33" s="7" t="inlineStr">
        <is>
          <t>T01-MCX-2</t>
        </is>
      </c>
      <c r="D33" s="7" t="inlineStr">
        <is>
          <t>MCX_VARIATION_MARGIN</t>
        </is>
      </c>
      <c r="E33" s="7" t="inlineStr">
        <is>
          <t>MCX_VARIATION_MARGIN</t>
        </is>
      </c>
      <c r="F33" s="7" t="inlineStr">
        <is>
          <t>PNL</t>
        </is>
      </c>
      <c r="G33" s="7" t="inlineStr">
        <is>
          <t>INR</t>
        </is>
      </c>
      <c r="H33" s="11" t="n">
        <v>44629</v>
      </c>
      <c r="I33" s="11" t="n">
        <v>44635</v>
      </c>
      <c r="J33" s="11" t="n">
        <v>44635</v>
      </c>
      <c r="K33" s="11" t="n">
        <v>44635</v>
      </c>
      <c r="L33" s="7" t="inlineStr">
        <is>
          <t>roll following on the LME panel calendar</t>
        </is>
      </c>
      <c r="N33" s="7" t="inlineStr">
        <is>
          <t>PROXY</t>
        </is>
      </c>
      <c r="O33" s="9" t="n">
        <v>7911462.39</v>
      </c>
      <c r="P33" s="9" t="n">
        <v>7911462.39</v>
      </c>
      <c r="U33" s="7" t="inlineStr">
        <is>
          <t>DERIVED_IN_WORKBOOK</t>
        </is>
      </c>
      <c r="V33" s="8">
        <f>SUMIFS(Cashflows!$R$1043:$R$1393,Cashflows!$B$1043:$B$1393,$C33,Cashflows!$C$1043:$C$1393,$K33)</f>
        <v/>
      </c>
      <c r="W33" s="8">
        <f>IF($G33="INR",1,INDEX(Market_Daily!$F$6:$F$256,MATCH($K33,Market_Daily!$A$6:$A$256,0)))</f>
        <v/>
      </c>
      <c r="X33" s="8">
        <f>$V33*$W33</f>
        <v/>
      </c>
      <c r="Y33" s="18">
        <f>$X33-$P33</f>
        <v/>
      </c>
      <c r="Z33" s="8">
        <f>IF(ABS($Y33)&lt;=tol_cashflow_inr,"PASS","FAIL")</f>
        <v/>
      </c>
      <c r="AA33" s="7" t="inlineStr">
        <is>
          <t>direction x lots x lot_kg x (F(s) - F(s-1))</t>
        </is>
      </c>
    </row>
    <row r="34">
      <c r="A34" s="7" t="inlineStr">
        <is>
          <t>T01</t>
        </is>
      </c>
      <c r="B34" s="7" t="inlineStr">
        <is>
          <t>MCX:T01-MCX-1</t>
        </is>
      </c>
      <c r="C34" s="7" t="inlineStr">
        <is>
          <t>T01-MCX-1</t>
        </is>
      </c>
      <c r="D34" s="7" t="inlineStr">
        <is>
          <t>MCX_INITIAL_MARGIN</t>
        </is>
      </c>
      <c r="E34" s="7" t="inlineStr">
        <is>
          <t>MCX_INITIAL_MARGIN</t>
        </is>
      </c>
      <c r="F34" s="7" t="inlineStr">
        <is>
          <t>BS</t>
        </is>
      </c>
      <c r="G34" s="7" t="inlineStr">
        <is>
          <t>INR</t>
        </is>
      </c>
      <c r="H34" s="11" t="n">
        <v>44629</v>
      </c>
      <c r="I34" s="11" t="n">
        <v>44636</v>
      </c>
      <c r="J34" s="11" t="n">
        <v>44636</v>
      </c>
      <c r="K34" s="11" t="n">
        <v>44636</v>
      </c>
      <c r="L34" s="7" t="inlineStr">
        <is>
          <t>roll following on the LME panel calendar</t>
        </is>
      </c>
      <c r="N34" s="7" t="inlineStr">
        <is>
          <t>PROXY</t>
        </is>
      </c>
      <c r="O34" s="9" t="n">
        <v>-667652.9</v>
      </c>
      <c r="P34" s="9" t="n">
        <v>-667652.9</v>
      </c>
      <c r="U34" s="7" t="inlineStr">
        <is>
          <t>DERIVED_IN_WORKBOOK</t>
        </is>
      </c>
      <c r="V34" s="8">
        <f>-SUMIFS(Cashflows!$W$1043:$W$1393,Cashflows!$B$1043:$B$1393,$C34,Cashflows!$C$1043:$C$1393,$K34)</f>
        <v/>
      </c>
      <c r="W34" s="8">
        <f>IF($G34="INR",1,INDEX(Market_Daily!$F$6:$F$256,MATCH($K34,Market_Daily!$A$6:$A$256,0)))</f>
        <v/>
      </c>
      <c r="X34" s="8">
        <f>$V34*$W34</f>
        <v/>
      </c>
      <c r="Y34" s="18">
        <f>$X34-$P34</f>
        <v/>
      </c>
      <c r="Z34" s="8">
        <f>IF(ABS($Y34)&lt;=tol_cashflow_inr,"PASS","FAIL")</f>
        <v/>
      </c>
      <c r="AA34" s="7" t="inlineStr">
        <is>
          <t>-d(lots x lot_kg x F(s) x mcx_al_margin_used_frac)</t>
        </is>
      </c>
    </row>
    <row r="35">
      <c r="A35" s="7" t="inlineStr">
        <is>
          <t>T01</t>
        </is>
      </c>
      <c r="B35" s="7" t="inlineStr">
        <is>
          <t>MCX:T01-MCX-1</t>
        </is>
      </c>
      <c r="C35" s="7" t="inlineStr">
        <is>
          <t>T01-MCX-1</t>
        </is>
      </c>
      <c r="D35" s="7" t="inlineStr">
        <is>
          <t>MCX_VARIATION_MARGIN</t>
        </is>
      </c>
      <c r="E35" s="7" t="inlineStr">
        <is>
          <t>MCX_VARIATION_MARGIN</t>
        </is>
      </c>
      <c r="F35" s="7" t="inlineStr">
        <is>
          <t>PNL</t>
        </is>
      </c>
      <c r="G35" s="7" t="inlineStr">
        <is>
          <t>INR</t>
        </is>
      </c>
      <c r="H35" s="11" t="n">
        <v>44629</v>
      </c>
      <c r="I35" s="11" t="n">
        <v>44636</v>
      </c>
      <c r="J35" s="11" t="n">
        <v>44636</v>
      </c>
      <c r="K35" s="11" t="n">
        <v>44636</v>
      </c>
      <c r="L35" s="7" t="inlineStr">
        <is>
          <t>roll following on the LME panel calendar</t>
        </is>
      </c>
      <c r="N35" s="7" t="inlineStr">
        <is>
          <t>PROXY</t>
        </is>
      </c>
      <c r="O35" s="9" t="n">
        <v>-6676529.02</v>
      </c>
      <c r="P35" s="9" t="n">
        <v>-6676529.02</v>
      </c>
      <c r="U35" s="7" t="inlineStr">
        <is>
          <t>DERIVED_IN_WORKBOOK</t>
        </is>
      </c>
      <c r="V35" s="8">
        <f>SUMIFS(Cashflows!$R$1043:$R$1393,Cashflows!$B$1043:$B$1393,$C35,Cashflows!$C$1043:$C$1393,$K35)</f>
        <v/>
      </c>
      <c r="W35" s="8">
        <f>IF($G35="INR",1,INDEX(Market_Daily!$F$6:$F$256,MATCH($K35,Market_Daily!$A$6:$A$256,0)))</f>
        <v/>
      </c>
      <c r="X35" s="8">
        <f>$V35*$W35</f>
        <v/>
      </c>
      <c r="Y35" s="18">
        <f>$X35-$P35</f>
        <v/>
      </c>
      <c r="Z35" s="8">
        <f>IF(ABS($Y35)&lt;=tol_cashflow_inr,"PASS","FAIL")</f>
        <v/>
      </c>
      <c r="AA35" s="7" t="inlineStr">
        <is>
          <t>direction x lots x lot_kg x (F(s) - F(s-1))</t>
        </is>
      </c>
    </row>
    <row r="36">
      <c r="A36" s="7" t="inlineStr">
        <is>
          <t>T01</t>
        </is>
      </c>
      <c r="B36" s="7" t="inlineStr">
        <is>
          <t>MCX:T01-MCX-2</t>
        </is>
      </c>
      <c r="C36" s="7" t="inlineStr">
        <is>
          <t>T01-MCX-2</t>
        </is>
      </c>
      <c r="D36" s="7" t="inlineStr">
        <is>
          <t>MCX_INITIAL_MARGIN</t>
        </is>
      </c>
      <c r="E36" s="7" t="inlineStr">
        <is>
          <t>MCX_INITIAL_MARGIN</t>
        </is>
      </c>
      <c r="F36" s="7" t="inlineStr">
        <is>
          <t>BS</t>
        </is>
      </c>
      <c r="G36" s="7" t="inlineStr">
        <is>
          <t>INR</t>
        </is>
      </c>
      <c r="H36" s="11" t="n">
        <v>44629</v>
      </c>
      <c r="I36" s="11" t="n">
        <v>44636</v>
      </c>
      <c r="J36" s="11" t="n">
        <v>44636</v>
      </c>
      <c r="K36" s="11" t="n">
        <v>44636</v>
      </c>
      <c r="L36" s="7" t="inlineStr">
        <is>
          <t>roll following on the LME panel calendar</t>
        </is>
      </c>
      <c r="N36" s="7" t="inlineStr">
        <is>
          <t>PROXY</t>
        </is>
      </c>
      <c r="O36" s="9" t="n">
        <v>-333826.45</v>
      </c>
      <c r="P36" s="9" t="n">
        <v>-333826.45</v>
      </c>
      <c r="U36" s="7" t="inlineStr">
        <is>
          <t>DERIVED_IN_WORKBOOK</t>
        </is>
      </c>
      <c r="V36" s="8">
        <f>-SUMIFS(Cashflows!$W$1043:$W$1393,Cashflows!$B$1043:$B$1393,$C36,Cashflows!$C$1043:$C$1393,$K36)</f>
        <v/>
      </c>
      <c r="W36" s="8">
        <f>IF($G36="INR",1,INDEX(Market_Daily!$F$6:$F$256,MATCH($K36,Market_Daily!$A$6:$A$256,0)))</f>
        <v/>
      </c>
      <c r="X36" s="8">
        <f>$V36*$W36</f>
        <v/>
      </c>
      <c r="Y36" s="18">
        <f>$X36-$P36</f>
        <v/>
      </c>
      <c r="Z36" s="8">
        <f>IF(ABS($Y36)&lt;=tol_cashflow_inr,"PASS","FAIL")</f>
        <v/>
      </c>
      <c r="AA36" s="7" t="inlineStr">
        <is>
          <t>-d(lots x lot_kg x F(s) x mcx_al_margin_used_frac)</t>
        </is>
      </c>
    </row>
    <row r="37">
      <c r="A37" s="7" t="inlineStr">
        <is>
          <t>T01</t>
        </is>
      </c>
      <c r="B37" s="7" t="inlineStr">
        <is>
          <t>MCX:T01-MCX-2</t>
        </is>
      </c>
      <c r="C37" s="7" t="inlineStr">
        <is>
          <t>T01-MCX-2</t>
        </is>
      </c>
      <c r="D37" s="7" t="inlineStr">
        <is>
          <t>MCX_VARIATION_MARGIN</t>
        </is>
      </c>
      <c r="E37" s="7" t="inlineStr">
        <is>
          <t>MCX_VARIATION_MARGIN</t>
        </is>
      </c>
      <c r="F37" s="7" t="inlineStr">
        <is>
          <t>PNL</t>
        </is>
      </c>
      <c r="G37" s="7" t="inlineStr">
        <is>
          <t>INR</t>
        </is>
      </c>
      <c r="H37" s="11" t="n">
        <v>44629</v>
      </c>
      <c r="I37" s="11" t="n">
        <v>44636</v>
      </c>
      <c r="J37" s="11" t="n">
        <v>44636</v>
      </c>
      <c r="K37" s="11" t="n">
        <v>44636</v>
      </c>
      <c r="L37" s="7" t="inlineStr">
        <is>
          <t>roll following on the LME panel calendar</t>
        </is>
      </c>
      <c r="N37" s="7" t="inlineStr">
        <is>
          <t>PROXY</t>
        </is>
      </c>
      <c r="O37" s="9" t="n">
        <v>-3338264.51</v>
      </c>
      <c r="P37" s="9" t="n">
        <v>-3338264.51</v>
      </c>
      <c r="U37" s="7" t="inlineStr">
        <is>
          <t>DERIVED_IN_WORKBOOK</t>
        </is>
      </c>
      <c r="V37" s="8">
        <f>SUMIFS(Cashflows!$R$1043:$R$1393,Cashflows!$B$1043:$B$1393,$C37,Cashflows!$C$1043:$C$1393,$K37)</f>
        <v/>
      </c>
      <c r="W37" s="8">
        <f>IF($G37="INR",1,INDEX(Market_Daily!$F$6:$F$256,MATCH($K37,Market_Daily!$A$6:$A$256,0)))</f>
        <v/>
      </c>
      <c r="X37" s="8">
        <f>$V37*$W37</f>
        <v/>
      </c>
      <c r="Y37" s="18">
        <f>$X37-$P37</f>
        <v/>
      </c>
      <c r="Z37" s="8">
        <f>IF(ABS($Y37)&lt;=tol_cashflow_inr,"PASS","FAIL")</f>
        <v/>
      </c>
      <c r="AA37" s="7" t="inlineStr">
        <is>
          <t>direction x lots x lot_kg x (F(s) - F(s-1))</t>
        </is>
      </c>
    </row>
    <row r="38">
      <c r="A38" s="7" t="inlineStr">
        <is>
          <t>T01</t>
        </is>
      </c>
      <c r="B38" s="7" t="inlineStr">
        <is>
          <t>MCX:T01-MCX-1</t>
        </is>
      </c>
      <c r="C38" s="7" t="inlineStr">
        <is>
          <t>T01-MCX-1</t>
        </is>
      </c>
      <c r="D38" s="7" t="inlineStr">
        <is>
          <t>MCX_INITIAL_MARGIN</t>
        </is>
      </c>
      <c r="E38" s="7" t="inlineStr">
        <is>
          <t>MCX_INITIAL_MARGIN</t>
        </is>
      </c>
      <c r="F38" s="7" t="inlineStr">
        <is>
          <t>BS</t>
        </is>
      </c>
      <c r="G38" s="7" t="inlineStr">
        <is>
          <t>INR</t>
        </is>
      </c>
      <c r="H38" s="11" t="n">
        <v>44629</v>
      </c>
      <c r="I38" s="11" t="n">
        <v>44637</v>
      </c>
      <c r="J38" s="11" t="n">
        <v>44637</v>
      </c>
      <c r="K38" s="11" t="n">
        <v>44637</v>
      </c>
      <c r="L38" s="7" t="inlineStr">
        <is>
          <t>roll following on the LME panel calendar</t>
        </is>
      </c>
      <c r="N38" s="7" t="inlineStr">
        <is>
          <t>PROXY</t>
        </is>
      </c>
      <c r="O38" s="9" t="n">
        <v>272131.61</v>
      </c>
      <c r="P38" s="9" t="n">
        <v>272131.61</v>
      </c>
      <c r="U38" s="7" t="inlineStr">
        <is>
          <t>DERIVED_IN_WORKBOOK</t>
        </is>
      </c>
      <c r="V38" s="8">
        <f>-SUMIFS(Cashflows!$W$1043:$W$1393,Cashflows!$B$1043:$B$1393,$C38,Cashflows!$C$1043:$C$1393,$K38)</f>
        <v/>
      </c>
      <c r="W38" s="8">
        <f>IF($G38="INR",1,INDEX(Market_Daily!$F$6:$F$256,MATCH($K38,Market_Daily!$A$6:$A$256,0)))</f>
        <v/>
      </c>
      <c r="X38" s="8">
        <f>$V38*$W38</f>
        <v/>
      </c>
      <c r="Y38" s="18">
        <f>$X38-$P38</f>
        <v/>
      </c>
      <c r="Z38" s="8">
        <f>IF(ABS($Y38)&lt;=tol_cashflow_inr,"PASS","FAIL")</f>
        <v/>
      </c>
      <c r="AA38" s="7" t="inlineStr">
        <is>
          <t>-d(lots x lot_kg x F(s) x mcx_al_margin_used_frac)</t>
        </is>
      </c>
    </row>
    <row r="39">
      <c r="A39" s="7" t="inlineStr">
        <is>
          <t>T01</t>
        </is>
      </c>
      <c r="B39" s="7" t="inlineStr">
        <is>
          <t>MCX:T01-MCX-1</t>
        </is>
      </c>
      <c r="C39" s="7" t="inlineStr">
        <is>
          <t>T01-MCX-1</t>
        </is>
      </c>
      <c r="D39" s="7" t="inlineStr">
        <is>
          <t>MCX_VARIATION_MARGIN</t>
        </is>
      </c>
      <c r="E39" s="7" t="inlineStr">
        <is>
          <t>MCX_VARIATION_MARGIN</t>
        </is>
      </c>
      <c r="F39" s="7" t="inlineStr">
        <is>
          <t>PNL</t>
        </is>
      </c>
      <c r="G39" s="7" t="inlineStr">
        <is>
          <t>INR</t>
        </is>
      </c>
      <c r="H39" s="11" t="n">
        <v>44629</v>
      </c>
      <c r="I39" s="11" t="n">
        <v>44637</v>
      </c>
      <c r="J39" s="11" t="n">
        <v>44637</v>
      </c>
      <c r="K39" s="11" t="n">
        <v>44637</v>
      </c>
      <c r="L39" s="7" t="inlineStr">
        <is>
          <t>roll following on the LME panel calendar</t>
        </is>
      </c>
      <c r="N39" s="7" t="inlineStr">
        <is>
          <t>PROXY</t>
        </is>
      </c>
      <c r="O39" s="9" t="n">
        <v>2721316.14</v>
      </c>
      <c r="P39" s="9" t="n">
        <v>2721316.14</v>
      </c>
      <c r="U39" s="7" t="inlineStr">
        <is>
          <t>DERIVED_IN_WORKBOOK</t>
        </is>
      </c>
      <c r="V39" s="8">
        <f>SUMIFS(Cashflows!$R$1043:$R$1393,Cashflows!$B$1043:$B$1393,$C39,Cashflows!$C$1043:$C$1393,$K39)</f>
        <v/>
      </c>
      <c r="W39" s="8">
        <f>IF($G39="INR",1,INDEX(Market_Daily!$F$6:$F$256,MATCH($K39,Market_Daily!$A$6:$A$256,0)))</f>
        <v/>
      </c>
      <c r="X39" s="8">
        <f>$V39*$W39</f>
        <v/>
      </c>
      <c r="Y39" s="18">
        <f>$X39-$P39</f>
        <v/>
      </c>
      <c r="Z39" s="8">
        <f>IF(ABS($Y39)&lt;=tol_cashflow_inr,"PASS","FAIL")</f>
        <v/>
      </c>
      <c r="AA39" s="7" t="inlineStr">
        <is>
          <t>direction x lots x lot_kg x (F(s) - F(s-1))</t>
        </is>
      </c>
    </row>
    <row r="40">
      <c r="A40" s="7" t="inlineStr">
        <is>
          <t>T01</t>
        </is>
      </c>
      <c r="B40" s="7" t="inlineStr">
        <is>
          <t>MCX:T01-MCX-2</t>
        </is>
      </c>
      <c r="C40" s="7" t="inlineStr">
        <is>
          <t>T01-MCX-2</t>
        </is>
      </c>
      <c r="D40" s="7" t="inlineStr">
        <is>
          <t>MCX_INITIAL_MARGIN</t>
        </is>
      </c>
      <c r="E40" s="7" t="inlineStr">
        <is>
          <t>MCX_INITIAL_MARGIN</t>
        </is>
      </c>
      <c r="F40" s="7" t="inlineStr">
        <is>
          <t>BS</t>
        </is>
      </c>
      <c r="G40" s="7" t="inlineStr">
        <is>
          <t>INR</t>
        </is>
      </c>
      <c r="H40" s="11" t="n">
        <v>44629</v>
      </c>
      <c r="I40" s="11" t="n">
        <v>44637</v>
      </c>
      <c r="J40" s="11" t="n">
        <v>44637</v>
      </c>
      <c r="K40" s="11" t="n">
        <v>44637</v>
      </c>
      <c r="L40" s="7" t="inlineStr">
        <is>
          <t>roll following on the LME panel calendar</t>
        </is>
      </c>
      <c r="N40" s="7" t="inlineStr">
        <is>
          <t>PROXY</t>
        </is>
      </c>
      <c r="O40" s="9" t="n">
        <v>136065.81</v>
      </c>
      <c r="P40" s="9" t="n">
        <v>136065.81</v>
      </c>
      <c r="U40" s="7" t="inlineStr">
        <is>
          <t>DERIVED_IN_WORKBOOK</t>
        </is>
      </c>
      <c r="V40" s="8">
        <f>-SUMIFS(Cashflows!$W$1043:$W$1393,Cashflows!$B$1043:$B$1393,$C40,Cashflows!$C$1043:$C$1393,$K40)</f>
        <v/>
      </c>
      <c r="W40" s="8">
        <f>IF($G40="INR",1,INDEX(Market_Daily!$F$6:$F$256,MATCH($K40,Market_Daily!$A$6:$A$256,0)))</f>
        <v/>
      </c>
      <c r="X40" s="8">
        <f>$V40*$W40</f>
        <v/>
      </c>
      <c r="Y40" s="18">
        <f>$X40-$P40</f>
        <v/>
      </c>
      <c r="Z40" s="8">
        <f>IF(ABS($Y40)&lt;=tol_cashflow_inr,"PASS","FAIL")</f>
        <v/>
      </c>
      <c r="AA40" s="7" t="inlineStr">
        <is>
          <t>-d(lots x lot_kg x F(s) x mcx_al_margin_used_frac)</t>
        </is>
      </c>
    </row>
    <row r="41">
      <c r="A41" s="7" t="inlineStr">
        <is>
          <t>T01</t>
        </is>
      </c>
      <c r="B41" s="7" t="inlineStr">
        <is>
          <t>MCX:T01-MCX-2</t>
        </is>
      </c>
      <c r="C41" s="7" t="inlineStr">
        <is>
          <t>T01-MCX-2</t>
        </is>
      </c>
      <c r="D41" s="7" t="inlineStr">
        <is>
          <t>MCX_VARIATION_MARGIN</t>
        </is>
      </c>
      <c r="E41" s="7" t="inlineStr">
        <is>
          <t>MCX_VARIATION_MARGIN</t>
        </is>
      </c>
      <c r="F41" s="7" t="inlineStr">
        <is>
          <t>PNL</t>
        </is>
      </c>
      <c r="G41" s="7" t="inlineStr">
        <is>
          <t>INR</t>
        </is>
      </c>
      <c r="H41" s="11" t="n">
        <v>44629</v>
      </c>
      <c r="I41" s="11" t="n">
        <v>44637</v>
      </c>
      <c r="J41" s="11" t="n">
        <v>44637</v>
      </c>
      <c r="K41" s="11" t="n">
        <v>44637</v>
      </c>
      <c r="L41" s="7" t="inlineStr">
        <is>
          <t>roll following on the LME panel calendar</t>
        </is>
      </c>
      <c r="N41" s="7" t="inlineStr">
        <is>
          <t>PROXY</t>
        </is>
      </c>
      <c r="O41" s="9" t="n">
        <v>1360658.07</v>
      </c>
      <c r="P41" s="9" t="n">
        <v>1360658.07</v>
      </c>
      <c r="U41" s="7" t="inlineStr">
        <is>
          <t>DERIVED_IN_WORKBOOK</t>
        </is>
      </c>
      <c r="V41" s="8">
        <f>SUMIFS(Cashflows!$R$1043:$R$1393,Cashflows!$B$1043:$B$1393,$C41,Cashflows!$C$1043:$C$1393,$K41)</f>
        <v/>
      </c>
      <c r="W41" s="8">
        <f>IF($G41="INR",1,INDEX(Market_Daily!$F$6:$F$256,MATCH($K41,Market_Daily!$A$6:$A$256,0)))</f>
        <v/>
      </c>
      <c r="X41" s="8">
        <f>$V41*$W41</f>
        <v/>
      </c>
      <c r="Y41" s="18">
        <f>$X41-$P41</f>
        <v/>
      </c>
      <c r="Z41" s="8">
        <f>IF(ABS($Y41)&lt;=tol_cashflow_inr,"PASS","FAIL")</f>
        <v/>
      </c>
      <c r="AA41" s="7" t="inlineStr">
        <is>
          <t>direction x lots x lot_kg x (F(s) - F(s-1))</t>
        </is>
      </c>
    </row>
    <row r="42">
      <c r="A42" s="7" t="inlineStr">
        <is>
          <t>T01</t>
        </is>
      </c>
      <c r="B42" s="7" t="inlineStr">
        <is>
          <t>MCX:T01-MCX-1</t>
        </is>
      </c>
      <c r="C42" s="7" t="inlineStr">
        <is>
          <t>T01-MCX-1</t>
        </is>
      </c>
      <c r="D42" s="7" t="inlineStr">
        <is>
          <t>MCX_INITIAL_MARGIN</t>
        </is>
      </c>
      <c r="E42" s="7" t="inlineStr">
        <is>
          <t>MCX_INITIAL_MARGIN</t>
        </is>
      </c>
      <c r="F42" s="7" t="inlineStr">
        <is>
          <t>BS</t>
        </is>
      </c>
      <c r="G42" s="7" t="inlineStr">
        <is>
          <t>INR</t>
        </is>
      </c>
      <c r="H42" s="11" t="n">
        <v>44629</v>
      </c>
      <c r="I42" s="11" t="n">
        <v>44638</v>
      </c>
      <c r="J42" s="11" t="n">
        <v>44638</v>
      </c>
      <c r="K42" s="11" t="n">
        <v>44638</v>
      </c>
      <c r="L42" s="7" t="inlineStr">
        <is>
          <t>roll following on the LME panel calendar</t>
        </is>
      </c>
      <c r="N42" s="7" t="inlineStr">
        <is>
          <t>PROXY</t>
        </is>
      </c>
      <c r="O42" s="9" t="n">
        <v>-848774.4399999999</v>
      </c>
      <c r="P42" s="9" t="n">
        <v>-848774.4399999999</v>
      </c>
      <c r="U42" s="7" t="inlineStr">
        <is>
          <t>DERIVED_IN_WORKBOOK</t>
        </is>
      </c>
      <c r="V42" s="8">
        <f>-SUMIFS(Cashflows!$W$1043:$W$1393,Cashflows!$B$1043:$B$1393,$C42,Cashflows!$C$1043:$C$1393,$K42)</f>
        <v/>
      </c>
      <c r="W42" s="8">
        <f>IF($G42="INR",1,INDEX(Market_Daily!$F$6:$F$256,MATCH($K42,Market_Daily!$A$6:$A$256,0)))</f>
        <v/>
      </c>
      <c r="X42" s="8">
        <f>$V42*$W42</f>
        <v/>
      </c>
      <c r="Y42" s="18">
        <f>$X42-$P42</f>
        <v/>
      </c>
      <c r="Z42" s="8">
        <f>IF(ABS($Y42)&lt;=tol_cashflow_inr,"PASS","FAIL")</f>
        <v/>
      </c>
      <c r="AA42" s="7" t="inlineStr">
        <is>
          <t>-d(lots x lot_kg x F(s) x mcx_al_margin_used_frac)</t>
        </is>
      </c>
    </row>
    <row r="43">
      <c r="A43" s="7" t="inlineStr">
        <is>
          <t>T01</t>
        </is>
      </c>
      <c r="B43" s="7" t="inlineStr">
        <is>
          <t>MCX:T01-MCX-1</t>
        </is>
      </c>
      <c r="C43" s="7" t="inlineStr">
        <is>
          <t>T01-MCX-1</t>
        </is>
      </c>
      <c r="D43" s="7" t="inlineStr">
        <is>
          <t>MCX_VARIATION_MARGIN</t>
        </is>
      </c>
      <c r="E43" s="7" t="inlineStr">
        <is>
          <t>MCX_VARIATION_MARGIN</t>
        </is>
      </c>
      <c r="F43" s="7" t="inlineStr">
        <is>
          <t>PNL</t>
        </is>
      </c>
      <c r="G43" s="7" t="inlineStr">
        <is>
          <t>INR</t>
        </is>
      </c>
      <c r="H43" s="11" t="n">
        <v>44629</v>
      </c>
      <c r="I43" s="11" t="n">
        <v>44638</v>
      </c>
      <c r="J43" s="11" t="n">
        <v>44638</v>
      </c>
      <c r="K43" s="11" t="n">
        <v>44638</v>
      </c>
      <c r="L43" s="7" t="inlineStr">
        <is>
          <t>roll following on the LME panel calendar</t>
        </is>
      </c>
      <c r="N43" s="7" t="inlineStr">
        <is>
          <t>PROXY</t>
        </is>
      </c>
      <c r="O43" s="9" t="n">
        <v>-8487744.390000001</v>
      </c>
      <c r="P43" s="9" t="n">
        <v>-8487744.390000001</v>
      </c>
      <c r="U43" s="7" t="inlineStr">
        <is>
          <t>DERIVED_IN_WORKBOOK</t>
        </is>
      </c>
      <c r="V43" s="8">
        <f>SUMIFS(Cashflows!$R$1043:$R$1393,Cashflows!$B$1043:$B$1393,$C43,Cashflows!$C$1043:$C$1393,$K43)</f>
        <v/>
      </c>
      <c r="W43" s="8">
        <f>IF($G43="INR",1,INDEX(Market_Daily!$F$6:$F$256,MATCH($K43,Market_Daily!$A$6:$A$256,0)))</f>
        <v/>
      </c>
      <c r="X43" s="8">
        <f>$V43*$W43</f>
        <v/>
      </c>
      <c r="Y43" s="18">
        <f>$X43-$P43</f>
        <v/>
      </c>
      <c r="Z43" s="8">
        <f>IF(ABS($Y43)&lt;=tol_cashflow_inr,"PASS","FAIL")</f>
        <v/>
      </c>
      <c r="AA43" s="7" t="inlineStr">
        <is>
          <t>direction x lots x lot_kg x (F(s) - F(s-1))</t>
        </is>
      </c>
    </row>
    <row r="44">
      <c r="A44" s="7" t="inlineStr">
        <is>
          <t>T01</t>
        </is>
      </c>
      <c r="B44" s="7" t="inlineStr">
        <is>
          <t>MCX:T01-MCX-2</t>
        </is>
      </c>
      <c r="C44" s="7" t="inlineStr">
        <is>
          <t>T01-MCX-2</t>
        </is>
      </c>
      <c r="D44" s="7" t="inlineStr">
        <is>
          <t>MCX_INITIAL_MARGIN</t>
        </is>
      </c>
      <c r="E44" s="7" t="inlineStr">
        <is>
          <t>MCX_INITIAL_MARGIN</t>
        </is>
      </c>
      <c r="F44" s="7" t="inlineStr">
        <is>
          <t>BS</t>
        </is>
      </c>
      <c r="G44" s="7" t="inlineStr">
        <is>
          <t>INR</t>
        </is>
      </c>
      <c r="H44" s="11" t="n">
        <v>44629</v>
      </c>
      <c r="I44" s="11" t="n">
        <v>44638</v>
      </c>
      <c r="J44" s="11" t="n">
        <v>44638</v>
      </c>
      <c r="K44" s="11" t="n">
        <v>44638</v>
      </c>
      <c r="L44" s="7" t="inlineStr">
        <is>
          <t>roll following on the LME panel calendar</t>
        </is>
      </c>
      <c r="N44" s="7" t="inlineStr">
        <is>
          <t>PROXY</t>
        </is>
      </c>
      <c r="O44" s="9" t="n">
        <v>-424387.22</v>
      </c>
      <c r="P44" s="9" t="n">
        <v>-424387.22</v>
      </c>
      <c r="U44" s="7" t="inlineStr">
        <is>
          <t>DERIVED_IN_WORKBOOK</t>
        </is>
      </c>
      <c r="V44" s="8">
        <f>-SUMIFS(Cashflows!$W$1043:$W$1393,Cashflows!$B$1043:$B$1393,$C44,Cashflows!$C$1043:$C$1393,$K44)</f>
        <v/>
      </c>
      <c r="W44" s="8">
        <f>IF($G44="INR",1,INDEX(Market_Daily!$F$6:$F$256,MATCH($K44,Market_Daily!$A$6:$A$256,0)))</f>
        <v/>
      </c>
      <c r="X44" s="8">
        <f>$V44*$W44</f>
        <v/>
      </c>
      <c r="Y44" s="18">
        <f>$X44-$P44</f>
        <v/>
      </c>
      <c r="Z44" s="8">
        <f>IF(ABS($Y44)&lt;=tol_cashflow_inr,"PASS","FAIL")</f>
        <v/>
      </c>
      <c r="AA44" s="7" t="inlineStr">
        <is>
          <t>-d(lots x lot_kg x F(s) x mcx_al_margin_used_frac)</t>
        </is>
      </c>
    </row>
    <row r="45">
      <c r="A45" s="7" t="inlineStr">
        <is>
          <t>T01</t>
        </is>
      </c>
      <c r="B45" s="7" t="inlineStr">
        <is>
          <t>MCX:T01-MCX-2</t>
        </is>
      </c>
      <c r="C45" s="7" t="inlineStr">
        <is>
          <t>T01-MCX-2</t>
        </is>
      </c>
      <c r="D45" s="7" t="inlineStr">
        <is>
          <t>MCX_VARIATION_MARGIN</t>
        </is>
      </c>
      <c r="E45" s="7" t="inlineStr">
        <is>
          <t>MCX_VARIATION_MARGIN</t>
        </is>
      </c>
      <c r="F45" s="7" t="inlineStr">
        <is>
          <t>PNL</t>
        </is>
      </c>
      <c r="G45" s="7" t="inlineStr">
        <is>
          <t>INR</t>
        </is>
      </c>
      <c r="H45" s="11" t="n">
        <v>44629</v>
      </c>
      <c r="I45" s="11" t="n">
        <v>44638</v>
      </c>
      <c r="J45" s="11" t="n">
        <v>44638</v>
      </c>
      <c r="K45" s="11" t="n">
        <v>44638</v>
      </c>
      <c r="L45" s="7" t="inlineStr">
        <is>
          <t>roll following on the LME panel calendar</t>
        </is>
      </c>
      <c r="N45" s="7" t="inlineStr">
        <is>
          <t>PROXY</t>
        </is>
      </c>
      <c r="O45" s="9" t="n">
        <v>-4243872.19</v>
      </c>
      <c r="P45" s="9" t="n">
        <v>-4243872.19</v>
      </c>
      <c r="U45" s="7" t="inlineStr">
        <is>
          <t>DERIVED_IN_WORKBOOK</t>
        </is>
      </c>
      <c r="V45" s="8">
        <f>SUMIFS(Cashflows!$R$1043:$R$1393,Cashflows!$B$1043:$B$1393,$C45,Cashflows!$C$1043:$C$1393,$K45)</f>
        <v/>
      </c>
      <c r="W45" s="8">
        <f>IF($G45="INR",1,INDEX(Market_Daily!$F$6:$F$256,MATCH($K45,Market_Daily!$A$6:$A$256,0)))</f>
        <v/>
      </c>
      <c r="X45" s="8">
        <f>$V45*$W45</f>
        <v/>
      </c>
      <c r="Y45" s="18">
        <f>$X45-$P45</f>
        <v/>
      </c>
      <c r="Z45" s="8">
        <f>IF(ABS($Y45)&lt;=tol_cashflow_inr,"PASS","FAIL")</f>
        <v/>
      </c>
      <c r="AA45" s="7" t="inlineStr">
        <is>
          <t>direction x lots x lot_kg x (F(s) - F(s-1))</t>
        </is>
      </c>
    </row>
    <row r="46">
      <c r="A46" s="7" t="inlineStr">
        <is>
          <t>T01</t>
        </is>
      </c>
      <c r="B46" s="7" t="inlineStr">
        <is>
          <t>MCX:T01-MCX-1</t>
        </is>
      </c>
      <c r="C46" s="7" t="inlineStr">
        <is>
          <t>T01-MCX-1</t>
        </is>
      </c>
      <c r="D46" s="7" t="inlineStr">
        <is>
          <t>MCX_INITIAL_MARGIN</t>
        </is>
      </c>
      <c r="E46" s="7" t="inlineStr">
        <is>
          <t>MCX_INITIAL_MARGIN</t>
        </is>
      </c>
      <c r="F46" s="7" t="inlineStr">
        <is>
          <t>BS</t>
        </is>
      </c>
      <c r="G46" s="7" t="inlineStr">
        <is>
          <t>INR</t>
        </is>
      </c>
      <c r="H46" s="11" t="n">
        <v>44629</v>
      </c>
      <c r="I46" s="11" t="n">
        <v>44641</v>
      </c>
      <c r="J46" s="11" t="n">
        <v>44641</v>
      </c>
      <c r="K46" s="11" t="n">
        <v>44641</v>
      </c>
      <c r="L46" s="7" t="inlineStr">
        <is>
          <t>roll following on the LME panel calendar</t>
        </is>
      </c>
      <c r="N46" s="7" t="inlineStr">
        <is>
          <t>PROXY</t>
        </is>
      </c>
      <c r="O46" s="9" t="n">
        <v>-1188582.63</v>
      </c>
      <c r="P46" s="9" t="n">
        <v>-1188582.63</v>
      </c>
      <c r="U46" s="7" t="inlineStr">
        <is>
          <t>DERIVED_IN_WORKBOOK</t>
        </is>
      </c>
      <c r="V46" s="8">
        <f>-SUMIFS(Cashflows!$W$1043:$W$1393,Cashflows!$B$1043:$B$1393,$C46,Cashflows!$C$1043:$C$1393,$K46)</f>
        <v/>
      </c>
      <c r="W46" s="8">
        <f>IF($G46="INR",1,INDEX(Market_Daily!$F$6:$F$256,MATCH($K46,Market_Daily!$A$6:$A$256,0)))</f>
        <v/>
      </c>
      <c r="X46" s="8">
        <f>$V46*$W46</f>
        <v/>
      </c>
      <c r="Y46" s="18">
        <f>$X46-$P46</f>
        <v/>
      </c>
      <c r="Z46" s="8">
        <f>IF(ABS($Y46)&lt;=tol_cashflow_inr,"PASS","FAIL")</f>
        <v/>
      </c>
      <c r="AA46" s="7" t="inlineStr">
        <is>
          <t>-d(lots x lot_kg x F(s) x mcx_al_margin_used_frac)</t>
        </is>
      </c>
    </row>
    <row r="47">
      <c r="A47" s="7" t="inlineStr">
        <is>
          <t>T01</t>
        </is>
      </c>
      <c r="B47" s="7" t="inlineStr">
        <is>
          <t>MCX:T01-MCX-1</t>
        </is>
      </c>
      <c r="C47" s="7" t="inlineStr">
        <is>
          <t>T01-MCX-1</t>
        </is>
      </c>
      <c r="D47" s="7" t="inlineStr">
        <is>
          <t>MCX_VARIATION_MARGIN</t>
        </is>
      </c>
      <c r="E47" s="7" t="inlineStr">
        <is>
          <t>MCX_VARIATION_MARGIN</t>
        </is>
      </c>
      <c r="F47" s="7" t="inlineStr">
        <is>
          <t>PNL</t>
        </is>
      </c>
      <c r="G47" s="7" t="inlineStr">
        <is>
          <t>INR</t>
        </is>
      </c>
      <c r="H47" s="11" t="n">
        <v>44629</v>
      </c>
      <c r="I47" s="11" t="n">
        <v>44641</v>
      </c>
      <c r="J47" s="11" t="n">
        <v>44641</v>
      </c>
      <c r="K47" s="11" t="n">
        <v>44641</v>
      </c>
      <c r="L47" s="7" t="inlineStr">
        <is>
          <t>roll following on the LME panel calendar</t>
        </is>
      </c>
      <c r="N47" s="7" t="inlineStr">
        <is>
          <t>PROXY</t>
        </is>
      </c>
      <c r="O47" s="9" t="n">
        <v>-11885826.29</v>
      </c>
      <c r="P47" s="9" t="n">
        <v>-11885826.29</v>
      </c>
      <c r="U47" s="7" t="inlineStr">
        <is>
          <t>DERIVED_IN_WORKBOOK</t>
        </is>
      </c>
      <c r="V47" s="8">
        <f>SUMIFS(Cashflows!$R$1043:$R$1393,Cashflows!$B$1043:$B$1393,$C47,Cashflows!$C$1043:$C$1393,$K47)</f>
        <v/>
      </c>
      <c r="W47" s="8">
        <f>IF($G47="INR",1,INDEX(Market_Daily!$F$6:$F$256,MATCH($K47,Market_Daily!$A$6:$A$256,0)))</f>
        <v/>
      </c>
      <c r="X47" s="8">
        <f>$V47*$W47</f>
        <v/>
      </c>
      <c r="Y47" s="18">
        <f>$X47-$P47</f>
        <v/>
      </c>
      <c r="Z47" s="8">
        <f>IF(ABS($Y47)&lt;=tol_cashflow_inr,"PASS","FAIL")</f>
        <v/>
      </c>
      <c r="AA47" s="7" t="inlineStr">
        <is>
          <t>direction x lots x lot_kg x (F(s) - F(s-1))</t>
        </is>
      </c>
    </row>
    <row r="48">
      <c r="A48" s="7" t="inlineStr">
        <is>
          <t>T01</t>
        </is>
      </c>
      <c r="B48" s="7" t="inlineStr">
        <is>
          <t>MCX:T01-MCX-2</t>
        </is>
      </c>
      <c r="C48" s="7" t="inlineStr">
        <is>
          <t>T01-MCX-2</t>
        </is>
      </c>
      <c r="D48" s="7" t="inlineStr">
        <is>
          <t>MCX_INITIAL_MARGIN</t>
        </is>
      </c>
      <c r="E48" s="7" t="inlineStr">
        <is>
          <t>MCX_INITIAL_MARGIN</t>
        </is>
      </c>
      <c r="F48" s="7" t="inlineStr">
        <is>
          <t>BS</t>
        </is>
      </c>
      <c r="G48" s="7" t="inlineStr">
        <is>
          <t>INR</t>
        </is>
      </c>
      <c r="H48" s="11" t="n">
        <v>44629</v>
      </c>
      <c r="I48" s="11" t="n">
        <v>44641</v>
      </c>
      <c r="J48" s="11" t="n">
        <v>44641</v>
      </c>
      <c r="K48" s="11" t="n">
        <v>44641</v>
      </c>
      <c r="L48" s="7" t="inlineStr">
        <is>
          <t>roll following on the LME panel calendar</t>
        </is>
      </c>
      <c r="N48" s="7" t="inlineStr">
        <is>
          <t>PROXY</t>
        </is>
      </c>
      <c r="O48" s="9" t="n">
        <v>-594291.3100000001</v>
      </c>
      <c r="P48" s="9" t="n">
        <v>-594291.3100000001</v>
      </c>
      <c r="U48" s="7" t="inlineStr">
        <is>
          <t>DERIVED_IN_WORKBOOK</t>
        </is>
      </c>
      <c r="V48" s="8">
        <f>-SUMIFS(Cashflows!$W$1043:$W$1393,Cashflows!$B$1043:$B$1393,$C48,Cashflows!$C$1043:$C$1393,$K48)</f>
        <v/>
      </c>
      <c r="W48" s="8">
        <f>IF($G48="INR",1,INDEX(Market_Daily!$F$6:$F$256,MATCH($K48,Market_Daily!$A$6:$A$256,0)))</f>
        <v/>
      </c>
      <c r="X48" s="8">
        <f>$V48*$W48</f>
        <v/>
      </c>
      <c r="Y48" s="18">
        <f>$X48-$P48</f>
        <v/>
      </c>
      <c r="Z48" s="8">
        <f>IF(ABS($Y48)&lt;=tol_cashflow_inr,"PASS","FAIL")</f>
        <v/>
      </c>
      <c r="AA48" s="7" t="inlineStr">
        <is>
          <t>-d(lots x lot_kg x F(s) x mcx_al_margin_used_frac)</t>
        </is>
      </c>
    </row>
    <row r="49">
      <c r="A49" s="7" t="inlineStr">
        <is>
          <t>T01</t>
        </is>
      </c>
      <c r="B49" s="7" t="inlineStr">
        <is>
          <t>MCX:T01-MCX-2</t>
        </is>
      </c>
      <c r="C49" s="7" t="inlineStr">
        <is>
          <t>T01-MCX-2</t>
        </is>
      </c>
      <c r="D49" s="7" t="inlineStr">
        <is>
          <t>MCX_VARIATION_MARGIN</t>
        </is>
      </c>
      <c r="E49" s="7" t="inlineStr">
        <is>
          <t>MCX_VARIATION_MARGIN</t>
        </is>
      </c>
      <c r="F49" s="7" t="inlineStr">
        <is>
          <t>PNL</t>
        </is>
      </c>
      <c r="G49" s="7" t="inlineStr">
        <is>
          <t>INR</t>
        </is>
      </c>
      <c r="H49" s="11" t="n">
        <v>44629</v>
      </c>
      <c r="I49" s="11" t="n">
        <v>44641</v>
      </c>
      <c r="J49" s="11" t="n">
        <v>44641</v>
      </c>
      <c r="K49" s="11" t="n">
        <v>44641</v>
      </c>
      <c r="L49" s="7" t="inlineStr">
        <is>
          <t>roll following on the LME panel calendar</t>
        </is>
      </c>
      <c r="N49" s="7" t="inlineStr">
        <is>
          <t>PROXY</t>
        </is>
      </c>
      <c r="O49" s="9" t="n">
        <v>-5942913.15</v>
      </c>
      <c r="P49" s="9" t="n">
        <v>-5942913.15</v>
      </c>
      <c r="U49" s="7" t="inlineStr">
        <is>
          <t>DERIVED_IN_WORKBOOK</t>
        </is>
      </c>
      <c r="V49" s="8">
        <f>SUMIFS(Cashflows!$R$1043:$R$1393,Cashflows!$B$1043:$B$1393,$C49,Cashflows!$C$1043:$C$1393,$K49)</f>
        <v/>
      </c>
      <c r="W49" s="8">
        <f>IF($G49="INR",1,INDEX(Market_Daily!$F$6:$F$256,MATCH($K49,Market_Daily!$A$6:$A$256,0)))</f>
        <v/>
      </c>
      <c r="X49" s="8">
        <f>$V49*$W49</f>
        <v/>
      </c>
      <c r="Y49" s="18">
        <f>$X49-$P49</f>
        <v/>
      </c>
      <c r="Z49" s="8">
        <f>IF(ABS($Y49)&lt;=tol_cashflow_inr,"PASS","FAIL")</f>
        <v/>
      </c>
      <c r="AA49" s="7" t="inlineStr">
        <is>
          <t>direction x lots x lot_kg x (F(s) - F(s-1))</t>
        </is>
      </c>
    </row>
    <row r="50">
      <c r="A50" s="7" t="inlineStr">
        <is>
          <t>T01</t>
        </is>
      </c>
      <c r="B50" s="7" t="inlineStr">
        <is>
          <t>MCX:T01-MCX-1</t>
        </is>
      </c>
      <c r="C50" s="7" t="inlineStr">
        <is>
          <t>T01-MCX-1</t>
        </is>
      </c>
      <c r="D50" s="7" t="inlineStr">
        <is>
          <t>MCX_INITIAL_MARGIN</t>
        </is>
      </c>
      <c r="E50" s="7" t="inlineStr">
        <is>
          <t>MCX_INITIAL_MARGIN</t>
        </is>
      </c>
      <c r="F50" s="7" t="inlineStr">
        <is>
          <t>BS</t>
        </is>
      </c>
      <c r="G50" s="7" t="inlineStr">
        <is>
          <t>INR</t>
        </is>
      </c>
      <c r="H50" s="11" t="n">
        <v>44629</v>
      </c>
      <c r="I50" s="11" t="n">
        <v>44642</v>
      </c>
      <c r="J50" s="11" t="n">
        <v>44642</v>
      </c>
      <c r="K50" s="11" t="n">
        <v>44642</v>
      </c>
      <c r="L50" s="7" t="inlineStr">
        <is>
          <t>roll following on the LME panel calendar</t>
        </is>
      </c>
      <c r="N50" s="7" t="inlineStr">
        <is>
          <t>PROXY</t>
        </is>
      </c>
      <c r="O50" s="9" t="n">
        <v>-209567.27</v>
      </c>
      <c r="P50" s="9" t="n">
        <v>-209567.27</v>
      </c>
      <c r="U50" s="7" t="inlineStr">
        <is>
          <t>DERIVED_IN_WORKBOOK</t>
        </is>
      </c>
      <c r="V50" s="8">
        <f>-SUMIFS(Cashflows!$W$1043:$W$1393,Cashflows!$B$1043:$B$1393,$C50,Cashflows!$C$1043:$C$1393,$K50)</f>
        <v/>
      </c>
      <c r="W50" s="8">
        <f>IF($G50="INR",1,INDEX(Market_Daily!$F$6:$F$256,MATCH($K50,Market_Daily!$A$6:$A$256,0)))</f>
        <v/>
      </c>
      <c r="X50" s="8">
        <f>$V50*$W50</f>
        <v/>
      </c>
      <c r="Y50" s="18">
        <f>$X50-$P50</f>
        <v/>
      </c>
      <c r="Z50" s="8">
        <f>IF(ABS($Y50)&lt;=tol_cashflow_inr,"PASS","FAIL")</f>
        <v/>
      </c>
      <c r="AA50" s="7" t="inlineStr">
        <is>
          <t>-d(lots x lot_kg x F(s) x mcx_al_margin_used_frac)</t>
        </is>
      </c>
    </row>
    <row r="51">
      <c r="A51" s="7" t="inlineStr">
        <is>
          <t>T01</t>
        </is>
      </c>
      <c r="B51" s="7" t="inlineStr">
        <is>
          <t>MCX:T01-MCX-1</t>
        </is>
      </c>
      <c r="C51" s="7" t="inlineStr">
        <is>
          <t>T01-MCX-1</t>
        </is>
      </c>
      <c r="D51" s="7" t="inlineStr">
        <is>
          <t>MCX_VARIATION_MARGIN</t>
        </is>
      </c>
      <c r="E51" s="7" t="inlineStr">
        <is>
          <t>MCX_VARIATION_MARGIN</t>
        </is>
      </c>
      <c r="F51" s="7" t="inlineStr">
        <is>
          <t>PNL</t>
        </is>
      </c>
      <c r="G51" s="7" t="inlineStr">
        <is>
          <t>INR</t>
        </is>
      </c>
      <c r="H51" s="11" t="n">
        <v>44629</v>
      </c>
      <c r="I51" s="11" t="n">
        <v>44642</v>
      </c>
      <c r="J51" s="11" t="n">
        <v>44642</v>
      </c>
      <c r="K51" s="11" t="n">
        <v>44642</v>
      </c>
      <c r="L51" s="7" t="inlineStr">
        <is>
          <t>roll following on the LME panel calendar</t>
        </is>
      </c>
      <c r="N51" s="7" t="inlineStr">
        <is>
          <t>PROXY</t>
        </is>
      </c>
      <c r="O51" s="9" t="n">
        <v>-2095672.72</v>
      </c>
      <c r="P51" s="9" t="n">
        <v>-2095672.72</v>
      </c>
      <c r="U51" s="7" t="inlineStr">
        <is>
          <t>DERIVED_IN_WORKBOOK</t>
        </is>
      </c>
      <c r="V51" s="8">
        <f>SUMIFS(Cashflows!$R$1043:$R$1393,Cashflows!$B$1043:$B$1393,$C51,Cashflows!$C$1043:$C$1393,$K51)</f>
        <v/>
      </c>
      <c r="W51" s="8">
        <f>IF($G51="INR",1,INDEX(Market_Daily!$F$6:$F$256,MATCH($K51,Market_Daily!$A$6:$A$256,0)))</f>
        <v/>
      </c>
      <c r="X51" s="8">
        <f>$V51*$W51</f>
        <v/>
      </c>
      <c r="Y51" s="18">
        <f>$X51-$P51</f>
        <v/>
      </c>
      <c r="Z51" s="8">
        <f>IF(ABS($Y51)&lt;=tol_cashflow_inr,"PASS","FAIL")</f>
        <v/>
      </c>
      <c r="AA51" s="7" t="inlineStr">
        <is>
          <t>direction x lots x lot_kg x (F(s) - F(s-1))</t>
        </is>
      </c>
    </row>
    <row r="52">
      <c r="A52" s="7" t="inlineStr">
        <is>
          <t>T01</t>
        </is>
      </c>
      <c r="B52" s="7" t="inlineStr">
        <is>
          <t>MCX:T01-MCX-2</t>
        </is>
      </c>
      <c r="C52" s="7" t="inlineStr">
        <is>
          <t>T01-MCX-2</t>
        </is>
      </c>
      <c r="D52" s="7" t="inlineStr">
        <is>
          <t>MCX_INITIAL_MARGIN</t>
        </is>
      </c>
      <c r="E52" s="7" t="inlineStr">
        <is>
          <t>MCX_INITIAL_MARGIN</t>
        </is>
      </c>
      <c r="F52" s="7" t="inlineStr">
        <is>
          <t>BS</t>
        </is>
      </c>
      <c r="G52" s="7" t="inlineStr">
        <is>
          <t>INR</t>
        </is>
      </c>
      <c r="H52" s="11" t="n">
        <v>44629</v>
      </c>
      <c r="I52" s="11" t="n">
        <v>44642</v>
      </c>
      <c r="J52" s="11" t="n">
        <v>44642</v>
      </c>
      <c r="K52" s="11" t="n">
        <v>44642</v>
      </c>
      <c r="L52" s="7" t="inlineStr">
        <is>
          <t>roll following on the LME panel calendar</t>
        </is>
      </c>
      <c r="N52" s="7" t="inlineStr">
        <is>
          <t>PROXY</t>
        </is>
      </c>
      <c r="O52" s="9" t="n">
        <v>-104783.64</v>
      </c>
      <c r="P52" s="9" t="n">
        <v>-104783.64</v>
      </c>
      <c r="U52" s="7" t="inlineStr">
        <is>
          <t>DERIVED_IN_WORKBOOK</t>
        </is>
      </c>
      <c r="V52" s="8">
        <f>-SUMIFS(Cashflows!$W$1043:$W$1393,Cashflows!$B$1043:$B$1393,$C52,Cashflows!$C$1043:$C$1393,$K52)</f>
        <v/>
      </c>
      <c r="W52" s="8">
        <f>IF($G52="INR",1,INDEX(Market_Daily!$F$6:$F$256,MATCH($K52,Market_Daily!$A$6:$A$256,0)))</f>
        <v/>
      </c>
      <c r="X52" s="8">
        <f>$V52*$W52</f>
        <v/>
      </c>
      <c r="Y52" s="18">
        <f>$X52-$P52</f>
        <v/>
      </c>
      <c r="Z52" s="8">
        <f>IF(ABS($Y52)&lt;=tol_cashflow_inr,"PASS","FAIL")</f>
        <v/>
      </c>
      <c r="AA52" s="7" t="inlineStr">
        <is>
          <t>-d(lots x lot_kg x F(s) x mcx_al_margin_used_frac)</t>
        </is>
      </c>
    </row>
    <row r="53">
      <c r="A53" s="7" t="inlineStr">
        <is>
          <t>T01</t>
        </is>
      </c>
      <c r="B53" s="7" t="inlineStr">
        <is>
          <t>MCX:T01-MCX-2</t>
        </is>
      </c>
      <c r="C53" s="7" t="inlineStr">
        <is>
          <t>T01-MCX-2</t>
        </is>
      </c>
      <c r="D53" s="7" t="inlineStr">
        <is>
          <t>MCX_VARIATION_MARGIN</t>
        </is>
      </c>
      <c r="E53" s="7" t="inlineStr">
        <is>
          <t>MCX_VARIATION_MARGIN</t>
        </is>
      </c>
      <c r="F53" s="7" t="inlineStr">
        <is>
          <t>PNL</t>
        </is>
      </c>
      <c r="G53" s="7" t="inlineStr">
        <is>
          <t>INR</t>
        </is>
      </c>
      <c r="H53" s="11" t="n">
        <v>44629</v>
      </c>
      <c r="I53" s="11" t="n">
        <v>44642</v>
      </c>
      <c r="J53" s="11" t="n">
        <v>44642</v>
      </c>
      <c r="K53" s="11" t="n">
        <v>44642</v>
      </c>
      <c r="L53" s="7" t="inlineStr">
        <is>
          <t>roll following on the LME panel calendar</t>
        </is>
      </c>
      <c r="N53" s="7" t="inlineStr">
        <is>
          <t>PROXY</t>
        </is>
      </c>
      <c r="O53" s="9" t="n">
        <v>-1047836.36</v>
      </c>
      <c r="P53" s="9" t="n">
        <v>-1047836.36</v>
      </c>
      <c r="U53" s="7" t="inlineStr">
        <is>
          <t>DERIVED_IN_WORKBOOK</t>
        </is>
      </c>
      <c r="V53" s="8">
        <f>SUMIFS(Cashflows!$R$1043:$R$1393,Cashflows!$B$1043:$B$1393,$C53,Cashflows!$C$1043:$C$1393,$K53)</f>
        <v/>
      </c>
      <c r="W53" s="8">
        <f>IF($G53="INR",1,INDEX(Market_Daily!$F$6:$F$256,MATCH($K53,Market_Daily!$A$6:$A$256,0)))</f>
        <v/>
      </c>
      <c r="X53" s="8">
        <f>$V53*$W53</f>
        <v/>
      </c>
      <c r="Y53" s="18">
        <f>$X53-$P53</f>
        <v/>
      </c>
      <c r="Z53" s="8">
        <f>IF(ABS($Y53)&lt;=tol_cashflow_inr,"PASS","FAIL")</f>
        <v/>
      </c>
      <c r="AA53" s="7" t="inlineStr">
        <is>
          <t>direction x lots x lot_kg x (F(s) - F(s-1))</t>
        </is>
      </c>
    </row>
    <row r="54">
      <c r="A54" s="7" t="inlineStr">
        <is>
          <t>T01</t>
        </is>
      </c>
      <c r="B54" s="7" t="inlineStr">
        <is>
          <t>MCX:T01-MCX-1</t>
        </is>
      </c>
      <c r="C54" s="7" t="inlineStr">
        <is>
          <t>T01-MCX-1</t>
        </is>
      </c>
      <c r="D54" s="7" t="inlineStr">
        <is>
          <t>MCX_INITIAL_MARGIN</t>
        </is>
      </c>
      <c r="E54" s="7" t="inlineStr">
        <is>
          <t>MCX_INITIAL_MARGIN</t>
        </is>
      </c>
      <c r="F54" s="7" t="inlineStr">
        <is>
          <t>BS</t>
        </is>
      </c>
      <c r="G54" s="7" t="inlineStr">
        <is>
          <t>INR</t>
        </is>
      </c>
      <c r="H54" s="11" t="n">
        <v>44629</v>
      </c>
      <c r="I54" s="11" t="n">
        <v>44643</v>
      </c>
      <c r="J54" s="11" t="n">
        <v>44643</v>
      </c>
      <c r="K54" s="11" t="n">
        <v>44643</v>
      </c>
      <c r="L54" s="7" t="inlineStr">
        <is>
          <t>roll following on the LME panel calendar</t>
        </is>
      </c>
      <c r="N54" s="7" t="inlineStr">
        <is>
          <t>PROXY</t>
        </is>
      </c>
      <c r="O54" s="9" t="n">
        <v>-198760.63</v>
      </c>
      <c r="P54" s="9" t="n">
        <v>-198760.63</v>
      </c>
      <c r="U54" s="7" t="inlineStr">
        <is>
          <t>DERIVED_IN_WORKBOOK</t>
        </is>
      </c>
      <c r="V54" s="8">
        <f>-SUMIFS(Cashflows!$W$1043:$W$1393,Cashflows!$B$1043:$B$1393,$C54,Cashflows!$C$1043:$C$1393,$K54)</f>
        <v/>
      </c>
      <c r="W54" s="8">
        <f>IF($G54="INR",1,INDEX(Market_Daily!$F$6:$F$256,MATCH($K54,Market_Daily!$A$6:$A$256,0)))</f>
        <v/>
      </c>
      <c r="X54" s="8">
        <f>$V54*$W54</f>
        <v/>
      </c>
      <c r="Y54" s="18">
        <f>$X54-$P54</f>
        <v/>
      </c>
      <c r="Z54" s="8">
        <f>IF(ABS($Y54)&lt;=tol_cashflow_inr,"PASS","FAIL")</f>
        <v/>
      </c>
      <c r="AA54" s="7" t="inlineStr">
        <is>
          <t>-d(lots x lot_kg x F(s) x mcx_al_margin_used_frac)</t>
        </is>
      </c>
    </row>
    <row r="55">
      <c r="A55" s="7" t="inlineStr">
        <is>
          <t>T01</t>
        </is>
      </c>
      <c r="B55" s="7" t="inlineStr">
        <is>
          <t>MCX:T01-MCX-1</t>
        </is>
      </c>
      <c r="C55" s="7" t="inlineStr">
        <is>
          <t>T01-MCX-1</t>
        </is>
      </c>
      <c r="D55" s="7" t="inlineStr">
        <is>
          <t>MCX_VARIATION_MARGIN</t>
        </is>
      </c>
      <c r="E55" s="7" t="inlineStr">
        <is>
          <t>MCX_VARIATION_MARGIN</t>
        </is>
      </c>
      <c r="F55" s="7" t="inlineStr">
        <is>
          <t>PNL</t>
        </is>
      </c>
      <c r="G55" s="7" t="inlineStr">
        <is>
          <t>INR</t>
        </is>
      </c>
      <c r="H55" s="11" t="n">
        <v>44629</v>
      </c>
      <c r="I55" s="11" t="n">
        <v>44643</v>
      </c>
      <c r="J55" s="11" t="n">
        <v>44643</v>
      </c>
      <c r="K55" s="11" t="n">
        <v>44643</v>
      </c>
      <c r="L55" s="7" t="inlineStr">
        <is>
          <t>roll following on the LME panel calendar</t>
        </is>
      </c>
      <c r="N55" s="7" t="inlineStr">
        <is>
          <t>PROXY</t>
        </is>
      </c>
      <c r="O55" s="9" t="n">
        <v>-1987606.28</v>
      </c>
      <c r="P55" s="9" t="n">
        <v>-1987606.28</v>
      </c>
      <c r="U55" s="7" t="inlineStr">
        <is>
          <t>DERIVED_IN_WORKBOOK</t>
        </is>
      </c>
      <c r="V55" s="8">
        <f>SUMIFS(Cashflows!$R$1043:$R$1393,Cashflows!$B$1043:$B$1393,$C55,Cashflows!$C$1043:$C$1393,$K55)</f>
        <v/>
      </c>
      <c r="W55" s="8">
        <f>IF($G55="INR",1,INDEX(Market_Daily!$F$6:$F$256,MATCH($K55,Market_Daily!$A$6:$A$256,0)))</f>
        <v/>
      </c>
      <c r="X55" s="8">
        <f>$V55*$W55</f>
        <v/>
      </c>
      <c r="Y55" s="18">
        <f>$X55-$P55</f>
        <v/>
      </c>
      <c r="Z55" s="8">
        <f>IF(ABS($Y55)&lt;=tol_cashflow_inr,"PASS","FAIL")</f>
        <v/>
      </c>
      <c r="AA55" s="7" t="inlineStr">
        <is>
          <t>direction x lots x lot_kg x (F(s) - F(s-1))</t>
        </is>
      </c>
    </row>
    <row r="56">
      <c r="A56" s="7" t="inlineStr">
        <is>
          <t>T01</t>
        </is>
      </c>
      <c r="B56" s="7" t="inlineStr">
        <is>
          <t>MCX:T01-MCX-2</t>
        </is>
      </c>
      <c r="C56" s="7" t="inlineStr">
        <is>
          <t>T01-MCX-2</t>
        </is>
      </c>
      <c r="D56" s="7" t="inlineStr">
        <is>
          <t>MCX_INITIAL_MARGIN</t>
        </is>
      </c>
      <c r="E56" s="7" t="inlineStr">
        <is>
          <t>MCX_INITIAL_MARGIN</t>
        </is>
      </c>
      <c r="F56" s="7" t="inlineStr">
        <is>
          <t>BS</t>
        </is>
      </c>
      <c r="G56" s="7" t="inlineStr">
        <is>
          <t>INR</t>
        </is>
      </c>
      <c r="H56" s="11" t="n">
        <v>44629</v>
      </c>
      <c r="I56" s="11" t="n">
        <v>44643</v>
      </c>
      <c r="J56" s="11" t="n">
        <v>44643</v>
      </c>
      <c r="K56" s="11" t="n">
        <v>44643</v>
      </c>
      <c r="L56" s="7" t="inlineStr">
        <is>
          <t>roll following on the LME panel calendar</t>
        </is>
      </c>
      <c r="N56" s="7" t="inlineStr">
        <is>
          <t>PROXY</t>
        </is>
      </c>
      <c r="O56" s="9" t="n">
        <v>-99380.31</v>
      </c>
      <c r="P56" s="9" t="n">
        <v>-99380.31</v>
      </c>
      <c r="U56" s="7" t="inlineStr">
        <is>
          <t>DERIVED_IN_WORKBOOK</t>
        </is>
      </c>
      <c r="V56" s="8">
        <f>-SUMIFS(Cashflows!$W$1043:$W$1393,Cashflows!$B$1043:$B$1393,$C56,Cashflows!$C$1043:$C$1393,$K56)</f>
        <v/>
      </c>
      <c r="W56" s="8">
        <f>IF($G56="INR",1,INDEX(Market_Daily!$F$6:$F$256,MATCH($K56,Market_Daily!$A$6:$A$256,0)))</f>
        <v/>
      </c>
      <c r="X56" s="8">
        <f>$V56*$W56</f>
        <v/>
      </c>
      <c r="Y56" s="18">
        <f>$X56-$P56</f>
        <v/>
      </c>
      <c r="Z56" s="8">
        <f>IF(ABS($Y56)&lt;=tol_cashflow_inr,"PASS","FAIL")</f>
        <v/>
      </c>
      <c r="AA56" s="7" t="inlineStr">
        <is>
          <t>-d(lots x lot_kg x F(s) x mcx_al_margin_used_frac)</t>
        </is>
      </c>
    </row>
    <row r="57">
      <c r="A57" s="7" t="inlineStr">
        <is>
          <t>T01</t>
        </is>
      </c>
      <c r="B57" s="7" t="inlineStr">
        <is>
          <t>MCX:T01-MCX-2</t>
        </is>
      </c>
      <c r="C57" s="7" t="inlineStr">
        <is>
          <t>T01-MCX-2</t>
        </is>
      </c>
      <c r="D57" s="7" t="inlineStr">
        <is>
          <t>MCX_VARIATION_MARGIN</t>
        </is>
      </c>
      <c r="E57" s="7" t="inlineStr">
        <is>
          <t>MCX_VARIATION_MARGIN</t>
        </is>
      </c>
      <c r="F57" s="7" t="inlineStr">
        <is>
          <t>PNL</t>
        </is>
      </c>
      <c r="G57" s="7" t="inlineStr">
        <is>
          <t>INR</t>
        </is>
      </c>
      <c r="H57" s="11" t="n">
        <v>44629</v>
      </c>
      <c r="I57" s="11" t="n">
        <v>44643</v>
      </c>
      <c r="J57" s="11" t="n">
        <v>44643</v>
      </c>
      <c r="K57" s="11" t="n">
        <v>44643</v>
      </c>
      <c r="L57" s="7" t="inlineStr">
        <is>
          <t>roll following on the LME panel calendar</t>
        </is>
      </c>
      <c r="N57" s="7" t="inlineStr">
        <is>
          <t>PROXY</t>
        </is>
      </c>
      <c r="O57" s="9" t="n">
        <v>-993803.14</v>
      </c>
      <c r="P57" s="9" t="n">
        <v>-993803.14</v>
      </c>
      <c r="U57" s="7" t="inlineStr">
        <is>
          <t>DERIVED_IN_WORKBOOK</t>
        </is>
      </c>
      <c r="V57" s="8">
        <f>SUMIFS(Cashflows!$R$1043:$R$1393,Cashflows!$B$1043:$B$1393,$C57,Cashflows!$C$1043:$C$1393,$K57)</f>
        <v/>
      </c>
      <c r="W57" s="8">
        <f>IF($G57="INR",1,INDEX(Market_Daily!$F$6:$F$256,MATCH($K57,Market_Daily!$A$6:$A$256,0)))</f>
        <v/>
      </c>
      <c r="X57" s="8">
        <f>$V57*$W57</f>
        <v/>
      </c>
      <c r="Y57" s="18">
        <f>$X57-$P57</f>
        <v/>
      </c>
      <c r="Z57" s="8">
        <f>IF(ABS($Y57)&lt;=tol_cashflow_inr,"PASS","FAIL")</f>
        <v/>
      </c>
      <c r="AA57" s="7" t="inlineStr">
        <is>
          <t>direction x lots x lot_kg x (F(s) - F(s-1))</t>
        </is>
      </c>
    </row>
    <row r="58">
      <c r="A58" s="7" t="inlineStr">
        <is>
          <t>T01</t>
        </is>
      </c>
      <c r="B58" s="7" t="inlineStr">
        <is>
          <t>MCX:T01-MCX-1</t>
        </is>
      </c>
      <c r="C58" s="7" t="inlineStr">
        <is>
          <t>T01-MCX-1</t>
        </is>
      </c>
      <c r="D58" s="7" t="inlineStr">
        <is>
          <t>MCX_INITIAL_MARGIN</t>
        </is>
      </c>
      <c r="E58" s="7" t="inlineStr">
        <is>
          <t>MCX_INITIAL_MARGIN</t>
        </is>
      </c>
      <c r="F58" s="7" t="inlineStr">
        <is>
          <t>BS</t>
        </is>
      </c>
      <c r="G58" s="7" t="inlineStr">
        <is>
          <t>INR</t>
        </is>
      </c>
      <c r="H58" s="11" t="n">
        <v>44629</v>
      </c>
      <c r="I58" s="11" t="n">
        <v>44644</v>
      </c>
      <c r="J58" s="11" t="n">
        <v>44644</v>
      </c>
      <c r="K58" s="11" t="n">
        <v>44644</v>
      </c>
      <c r="L58" s="7" t="inlineStr">
        <is>
          <t>roll following on the LME panel calendar</t>
        </is>
      </c>
      <c r="N58" s="7" t="inlineStr">
        <is>
          <t>PROXY</t>
        </is>
      </c>
      <c r="O58" s="9" t="n">
        <v>-848000.4399999999</v>
      </c>
      <c r="P58" s="9" t="n">
        <v>-848000.4399999999</v>
      </c>
      <c r="U58" s="7" t="inlineStr">
        <is>
          <t>DERIVED_IN_WORKBOOK</t>
        </is>
      </c>
      <c r="V58" s="8">
        <f>-SUMIFS(Cashflows!$W$1043:$W$1393,Cashflows!$B$1043:$B$1393,$C58,Cashflows!$C$1043:$C$1393,$K58)</f>
        <v/>
      </c>
      <c r="W58" s="8">
        <f>IF($G58="INR",1,INDEX(Market_Daily!$F$6:$F$256,MATCH($K58,Market_Daily!$A$6:$A$256,0)))</f>
        <v/>
      </c>
      <c r="X58" s="8">
        <f>$V58*$W58</f>
        <v/>
      </c>
      <c r="Y58" s="18">
        <f>$X58-$P58</f>
        <v/>
      </c>
      <c r="Z58" s="8">
        <f>IF(ABS($Y58)&lt;=tol_cashflow_inr,"PASS","FAIL")</f>
        <v/>
      </c>
      <c r="AA58" s="7" t="inlineStr">
        <is>
          <t>-d(lots x lot_kg x F(s) x mcx_al_margin_used_frac)</t>
        </is>
      </c>
    </row>
    <row r="59">
      <c r="A59" s="7" t="inlineStr">
        <is>
          <t>T01</t>
        </is>
      </c>
      <c r="B59" s="7" t="inlineStr">
        <is>
          <t>MCX:T01-MCX-1</t>
        </is>
      </c>
      <c r="C59" s="7" t="inlineStr">
        <is>
          <t>T01-MCX-1</t>
        </is>
      </c>
      <c r="D59" s="7" t="inlineStr">
        <is>
          <t>MCX_VARIATION_MARGIN</t>
        </is>
      </c>
      <c r="E59" s="7" t="inlineStr">
        <is>
          <t>MCX_VARIATION_MARGIN</t>
        </is>
      </c>
      <c r="F59" s="7" t="inlineStr">
        <is>
          <t>PNL</t>
        </is>
      </c>
      <c r="G59" s="7" t="inlineStr">
        <is>
          <t>INR</t>
        </is>
      </c>
      <c r="H59" s="11" t="n">
        <v>44629</v>
      </c>
      <c r="I59" s="11" t="n">
        <v>44644</v>
      </c>
      <c r="J59" s="11" t="n">
        <v>44644</v>
      </c>
      <c r="K59" s="11" t="n">
        <v>44644</v>
      </c>
      <c r="L59" s="7" t="inlineStr">
        <is>
          <t>roll following on the LME panel calendar</t>
        </is>
      </c>
      <c r="N59" s="7" t="inlineStr">
        <is>
          <t>PROXY</t>
        </is>
      </c>
      <c r="O59" s="9" t="n">
        <v>-8480004.439999999</v>
      </c>
      <c r="P59" s="9" t="n">
        <v>-8480004.439999999</v>
      </c>
      <c r="U59" s="7" t="inlineStr">
        <is>
          <t>DERIVED_IN_WORKBOOK</t>
        </is>
      </c>
      <c r="V59" s="8">
        <f>SUMIFS(Cashflows!$R$1043:$R$1393,Cashflows!$B$1043:$B$1393,$C59,Cashflows!$C$1043:$C$1393,$K59)</f>
        <v/>
      </c>
      <c r="W59" s="8">
        <f>IF($G59="INR",1,INDEX(Market_Daily!$F$6:$F$256,MATCH($K59,Market_Daily!$A$6:$A$256,0)))</f>
        <v/>
      </c>
      <c r="X59" s="8">
        <f>$V59*$W59</f>
        <v/>
      </c>
      <c r="Y59" s="18">
        <f>$X59-$P59</f>
        <v/>
      </c>
      <c r="Z59" s="8">
        <f>IF(ABS($Y59)&lt;=tol_cashflow_inr,"PASS","FAIL")</f>
        <v/>
      </c>
      <c r="AA59" s="7" t="inlineStr">
        <is>
          <t>direction x lots x lot_kg x (F(s) - F(s-1))</t>
        </is>
      </c>
    </row>
    <row r="60">
      <c r="A60" s="7" t="inlineStr">
        <is>
          <t>T01</t>
        </is>
      </c>
      <c r="B60" s="7" t="inlineStr">
        <is>
          <t>MCX:T01-MCX-2</t>
        </is>
      </c>
      <c r="C60" s="7" t="inlineStr">
        <is>
          <t>T01-MCX-2</t>
        </is>
      </c>
      <c r="D60" s="7" t="inlineStr">
        <is>
          <t>MCX_INITIAL_MARGIN</t>
        </is>
      </c>
      <c r="E60" s="7" t="inlineStr">
        <is>
          <t>MCX_INITIAL_MARGIN</t>
        </is>
      </c>
      <c r="F60" s="7" t="inlineStr">
        <is>
          <t>BS</t>
        </is>
      </c>
      <c r="G60" s="7" t="inlineStr">
        <is>
          <t>INR</t>
        </is>
      </c>
      <c r="H60" s="11" t="n">
        <v>44629</v>
      </c>
      <c r="I60" s="11" t="n">
        <v>44644</v>
      </c>
      <c r="J60" s="11" t="n">
        <v>44644</v>
      </c>
      <c r="K60" s="11" t="n">
        <v>44644</v>
      </c>
      <c r="L60" s="7" t="inlineStr">
        <is>
          <t>roll following on the LME panel calendar</t>
        </is>
      </c>
      <c r="N60" s="7" t="inlineStr">
        <is>
          <t>PROXY</t>
        </is>
      </c>
      <c r="O60" s="9" t="n">
        <v>-424000.22</v>
      </c>
      <c r="P60" s="9" t="n">
        <v>-424000.22</v>
      </c>
      <c r="U60" s="7" t="inlineStr">
        <is>
          <t>DERIVED_IN_WORKBOOK</t>
        </is>
      </c>
      <c r="V60" s="8">
        <f>-SUMIFS(Cashflows!$W$1043:$W$1393,Cashflows!$B$1043:$B$1393,$C60,Cashflows!$C$1043:$C$1393,$K60)</f>
        <v/>
      </c>
      <c r="W60" s="8">
        <f>IF($G60="INR",1,INDEX(Market_Daily!$F$6:$F$256,MATCH($K60,Market_Daily!$A$6:$A$256,0)))</f>
        <v/>
      </c>
      <c r="X60" s="8">
        <f>$V60*$W60</f>
        <v/>
      </c>
      <c r="Y60" s="18">
        <f>$X60-$P60</f>
        <v/>
      </c>
      <c r="Z60" s="8">
        <f>IF(ABS($Y60)&lt;=tol_cashflow_inr,"PASS","FAIL")</f>
        <v/>
      </c>
      <c r="AA60" s="7" t="inlineStr">
        <is>
          <t>-d(lots x lot_kg x F(s) x mcx_al_margin_used_frac)</t>
        </is>
      </c>
    </row>
    <row r="61">
      <c r="A61" s="7" t="inlineStr">
        <is>
          <t>T01</t>
        </is>
      </c>
      <c r="B61" s="7" t="inlineStr">
        <is>
          <t>MCX:T01-MCX-2</t>
        </is>
      </c>
      <c r="C61" s="7" t="inlineStr">
        <is>
          <t>T01-MCX-2</t>
        </is>
      </c>
      <c r="D61" s="7" t="inlineStr">
        <is>
          <t>MCX_VARIATION_MARGIN</t>
        </is>
      </c>
      <c r="E61" s="7" t="inlineStr">
        <is>
          <t>MCX_VARIATION_MARGIN</t>
        </is>
      </c>
      <c r="F61" s="7" t="inlineStr">
        <is>
          <t>PNL</t>
        </is>
      </c>
      <c r="G61" s="7" t="inlineStr">
        <is>
          <t>INR</t>
        </is>
      </c>
      <c r="H61" s="11" t="n">
        <v>44629</v>
      </c>
      <c r="I61" s="11" t="n">
        <v>44644</v>
      </c>
      <c r="J61" s="11" t="n">
        <v>44644</v>
      </c>
      <c r="K61" s="11" t="n">
        <v>44644</v>
      </c>
      <c r="L61" s="7" t="inlineStr">
        <is>
          <t>roll following on the LME panel calendar</t>
        </is>
      </c>
      <c r="N61" s="7" t="inlineStr">
        <is>
          <t>PROXY</t>
        </is>
      </c>
      <c r="O61" s="9" t="n">
        <v>-4240002.22</v>
      </c>
      <c r="P61" s="9" t="n">
        <v>-4240002.22</v>
      </c>
      <c r="U61" s="7" t="inlineStr">
        <is>
          <t>DERIVED_IN_WORKBOOK</t>
        </is>
      </c>
      <c r="V61" s="8">
        <f>SUMIFS(Cashflows!$R$1043:$R$1393,Cashflows!$B$1043:$B$1393,$C61,Cashflows!$C$1043:$C$1393,$K61)</f>
        <v/>
      </c>
      <c r="W61" s="8">
        <f>IF($G61="INR",1,INDEX(Market_Daily!$F$6:$F$256,MATCH($K61,Market_Daily!$A$6:$A$256,0)))</f>
        <v/>
      </c>
      <c r="X61" s="8">
        <f>$V61*$W61</f>
        <v/>
      </c>
      <c r="Y61" s="18">
        <f>$X61-$P61</f>
        <v/>
      </c>
      <c r="Z61" s="8">
        <f>IF(ABS($Y61)&lt;=tol_cashflow_inr,"PASS","FAIL")</f>
        <v/>
      </c>
      <c r="AA61" s="7" t="inlineStr">
        <is>
          <t>direction x lots x lot_kg x (F(s) - F(s-1))</t>
        </is>
      </c>
    </row>
    <row r="62">
      <c r="A62" s="7" t="inlineStr">
        <is>
          <t>T01</t>
        </is>
      </c>
      <c r="B62" s="7" t="inlineStr">
        <is>
          <t>MCX:T01-MCX-1</t>
        </is>
      </c>
      <c r="C62" s="7" t="inlineStr">
        <is>
          <t>T01-MCX-1</t>
        </is>
      </c>
      <c r="D62" s="7" t="inlineStr">
        <is>
          <t>MCX_INITIAL_MARGIN</t>
        </is>
      </c>
      <c r="E62" s="7" t="inlineStr">
        <is>
          <t>MCX_INITIAL_MARGIN</t>
        </is>
      </c>
      <c r="F62" s="7" t="inlineStr">
        <is>
          <t>BS</t>
        </is>
      </c>
      <c r="G62" s="7" t="inlineStr">
        <is>
          <t>INR</t>
        </is>
      </c>
      <c r="H62" s="11" t="n">
        <v>44629</v>
      </c>
      <c r="I62" s="11" t="n">
        <v>44645</v>
      </c>
      <c r="J62" s="11" t="n">
        <v>44645</v>
      </c>
      <c r="K62" s="11" t="n">
        <v>44645</v>
      </c>
      <c r="L62" s="7" t="inlineStr">
        <is>
          <t>roll following on the LME panel calendar</t>
        </is>
      </c>
      <c r="N62" s="7" t="inlineStr">
        <is>
          <t>PROXY</t>
        </is>
      </c>
      <c r="O62" s="9" t="n">
        <v>760026.4399999999</v>
      </c>
      <c r="P62" s="9" t="n">
        <v>760026.4399999999</v>
      </c>
      <c r="U62" s="7" t="inlineStr">
        <is>
          <t>DERIVED_IN_WORKBOOK</t>
        </is>
      </c>
      <c r="V62" s="8">
        <f>-SUMIFS(Cashflows!$W$1043:$W$1393,Cashflows!$B$1043:$B$1393,$C62,Cashflows!$C$1043:$C$1393,$K62)</f>
        <v/>
      </c>
      <c r="W62" s="8">
        <f>IF($G62="INR",1,INDEX(Market_Daily!$F$6:$F$256,MATCH($K62,Market_Daily!$A$6:$A$256,0)))</f>
        <v/>
      </c>
      <c r="X62" s="8">
        <f>$V62*$W62</f>
        <v/>
      </c>
      <c r="Y62" s="18">
        <f>$X62-$P62</f>
        <v/>
      </c>
      <c r="Z62" s="8">
        <f>IF(ABS($Y62)&lt;=tol_cashflow_inr,"PASS","FAIL")</f>
        <v/>
      </c>
      <c r="AA62" s="7" t="inlineStr">
        <is>
          <t>-d(lots x lot_kg x F(s) x mcx_al_margin_used_frac)</t>
        </is>
      </c>
    </row>
    <row r="63">
      <c r="A63" s="7" t="inlineStr">
        <is>
          <t>T01</t>
        </is>
      </c>
      <c r="B63" s="7" t="inlineStr">
        <is>
          <t>MCX:T01-MCX-1</t>
        </is>
      </c>
      <c r="C63" s="7" t="inlineStr">
        <is>
          <t>T01-MCX-1</t>
        </is>
      </c>
      <c r="D63" s="7" t="inlineStr">
        <is>
          <t>MCX_VARIATION_MARGIN</t>
        </is>
      </c>
      <c r="E63" s="7" t="inlineStr">
        <is>
          <t>MCX_VARIATION_MARGIN</t>
        </is>
      </c>
      <c r="F63" s="7" t="inlineStr">
        <is>
          <t>PNL</t>
        </is>
      </c>
      <c r="G63" s="7" t="inlineStr">
        <is>
          <t>INR</t>
        </is>
      </c>
      <c r="H63" s="11" t="n">
        <v>44629</v>
      </c>
      <c r="I63" s="11" t="n">
        <v>44645</v>
      </c>
      <c r="J63" s="11" t="n">
        <v>44645</v>
      </c>
      <c r="K63" s="11" t="n">
        <v>44645</v>
      </c>
      <c r="L63" s="7" t="inlineStr">
        <is>
          <t>roll following on the LME panel calendar</t>
        </is>
      </c>
      <c r="N63" s="7" t="inlineStr">
        <is>
          <t>PROXY</t>
        </is>
      </c>
      <c r="O63" s="9" t="n">
        <v>7600264.38</v>
      </c>
      <c r="P63" s="9" t="n">
        <v>7600264.38</v>
      </c>
      <c r="U63" s="7" t="inlineStr">
        <is>
          <t>DERIVED_IN_WORKBOOK</t>
        </is>
      </c>
      <c r="V63" s="8">
        <f>SUMIFS(Cashflows!$R$1043:$R$1393,Cashflows!$B$1043:$B$1393,$C63,Cashflows!$C$1043:$C$1393,$K63)</f>
        <v/>
      </c>
      <c r="W63" s="8">
        <f>IF($G63="INR",1,INDEX(Market_Daily!$F$6:$F$256,MATCH($K63,Market_Daily!$A$6:$A$256,0)))</f>
        <v/>
      </c>
      <c r="X63" s="8">
        <f>$V63*$W63</f>
        <v/>
      </c>
      <c r="Y63" s="18">
        <f>$X63-$P63</f>
        <v/>
      </c>
      <c r="Z63" s="8">
        <f>IF(ABS($Y63)&lt;=tol_cashflow_inr,"PASS","FAIL")</f>
        <v/>
      </c>
      <c r="AA63" s="7" t="inlineStr">
        <is>
          <t>direction x lots x lot_kg x (F(s) - F(s-1))</t>
        </is>
      </c>
    </row>
    <row r="64">
      <c r="A64" s="7" t="inlineStr">
        <is>
          <t>T01</t>
        </is>
      </c>
      <c r="B64" s="7" t="inlineStr">
        <is>
          <t>MCX:T01-MCX-2</t>
        </is>
      </c>
      <c r="C64" s="7" t="inlineStr">
        <is>
          <t>T01-MCX-2</t>
        </is>
      </c>
      <c r="D64" s="7" t="inlineStr">
        <is>
          <t>MCX_INITIAL_MARGIN</t>
        </is>
      </c>
      <c r="E64" s="7" t="inlineStr">
        <is>
          <t>MCX_INITIAL_MARGIN</t>
        </is>
      </c>
      <c r="F64" s="7" t="inlineStr">
        <is>
          <t>BS</t>
        </is>
      </c>
      <c r="G64" s="7" t="inlineStr">
        <is>
          <t>INR</t>
        </is>
      </c>
      <c r="H64" s="11" t="n">
        <v>44629</v>
      </c>
      <c r="I64" s="11" t="n">
        <v>44645</v>
      </c>
      <c r="J64" s="11" t="n">
        <v>44645</v>
      </c>
      <c r="K64" s="11" t="n">
        <v>44645</v>
      </c>
      <c r="L64" s="7" t="inlineStr">
        <is>
          <t>roll following on the LME panel calendar</t>
        </is>
      </c>
      <c r="N64" s="7" t="inlineStr">
        <is>
          <t>PROXY</t>
        </is>
      </c>
      <c r="O64" s="9" t="n">
        <v>380013.22</v>
      </c>
      <c r="P64" s="9" t="n">
        <v>380013.22</v>
      </c>
      <c r="U64" s="7" t="inlineStr">
        <is>
          <t>DERIVED_IN_WORKBOOK</t>
        </is>
      </c>
      <c r="V64" s="8">
        <f>-SUMIFS(Cashflows!$W$1043:$W$1393,Cashflows!$B$1043:$B$1393,$C64,Cashflows!$C$1043:$C$1393,$K64)</f>
        <v/>
      </c>
      <c r="W64" s="8">
        <f>IF($G64="INR",1,INDEX(Market_Daily!$F$6:$F$256,MATCH($K64,Market_Daily!$A$6:$A$256,0)))</f>
        <v/>
      </c>
      <c r="X64" s="8">
        <f>$V64*$W64</f>
        <v/>
      </c>
      <c r="Y64" s="18">
        <f>$X64-$P64</f>
        <v/>
      </c>
      <c r="Z64" s="8">
        <f>IF(ABS($Y64)&lt;=tol_cashflow_inr,"PASS","FAIL")</f>
        <v/>
      </c>
      <c r="AA64" s="7" t="inlineStr">
        <is>
          <t>-d(lots x lot_kg x F(s) x mcx_al_margin_used_frac)</t>
        </is>
      </c>
    </row>
    <row r="65">
      <c r="A65" s="7" t="inlineStr">
        <is>
          <t>T01</t>
        </is>
      </c>
      <c r="B65" s="7" t="inlineStr">
        <is>
          <t>MCX:T01-MCX-2</t>
        </is>
      </c>
      <c r="C65" s="7" t="inlineStr">
        <is>
          <t>T01-MCX-2</t>
        </is>
      </c>
      <c r="D65" s="7" t="inlineStr">
        <is>
          <t>MCX_VARIATION_MARGIN</t>
        </is>
      </c>
      <c r="E65" s="7" t="inlineStr">
        <is>
          <t>MCX_VARIATION_MARGIN</t>
        </is>
      </c>
      <c r="F65" s="7" t="inlineStr">
        <is>
          <t>PNL</t>
        </is>
      </c>
      <c r="G65" s="7" t="inlineStr">
        <is>
          <t>INR</t>
        </is>
      </c>
      <c r="H65" s="11" t="n">
        <v>44629</v>
      </c>
      <c r="I65" s="11" t="n">
        <v>44645</v>
      </c>
      <c r="J65" s="11" t="n">
        <v>44645</v>
      </c>
      <c r="K65" s="11" t="n">
        <v>44645</v>
      </c>
      <c r="L65" s="7" t="inlineStr">
        <is>
          <t>roll following on the LME panel calendar</t>
        </is>
      </c>
      <c r="N65" s="7" t="inlineStr">
        <is>
          <t>PROXY</t>
        </is>
      </c>
      <c r="O65" s="9" t="n">
        <v>3800132.19</v>
      </c>
      <c r="P65" s="9" t="n">
        <v>3800132.19</v>
      </c>
      <c r="U65" s="7" t="inlineStr">
        <is>
          <t>DERIVED_IN_WORKBOOK</t>
        </is>
      </c>
      <c r="V65" s="8">
        <f>SUMIFS(Cashflows!$R$1043:$R$1393,Cashflows!$B$1043:$B$1393,$C65,Cashflows!$C$1043:$C$1393,$K65)</f>
        <v/>
      </c>
      <c r="W65" s="8">
        <f>IF($G65="INR",1,INDEX(Market_Daily!$F$6:$F$256,MATCH($K65,Market_Daily!$A$6:$A$256,0)))</f>
        <v/>
      </c>
      <c r="X65" s="8">
        <f>$V65*$W65</f>
        <v/>
      </c>
      <c r="Y65" s="18">
        <f>$X65-$P65</f>
        <v/>
      </c>
      <c r="Z65" s="8">
        <f>IF(ABS($Y65)&lt;=tol_cashflow_inr,"PASS","FAIL")</f>
        <v/>
      </c>
      <c r="AA65" s="7" t="inlineStr">
        <is>
          <t>direction x lots x lot_kg x (F(s) - F(s-1))</t>
        </is>
      </c>
    </row>
    <row r="66">
      <c r="A66" s="7" t="inlineStr">
        <is>
          <t>T01</t>
        </is>
      </c>
      <c r="B66" s="7" t="inlineStr">
        <is>
          <t>MCX:T01-MCX-1</t>
        </is>
      </c>
      <c r="C66" s="7" t="inlineStr">
        <is>
          <t>T01-MCX-1</t>
        </is>
      </c>
      <c r="D66" s="7" t="inlineStr">
        <is>
          <t>MCX_INITIAL_MARGIN</t>
        </is>
      </c>
      <c r="E66" s="7" t="inlineStr">
        <is>
          <t>MCX_INITIAL_MARGIN</t>
        </is>
      </c>
      <c r="F66" s="7" t="inlineStr">
        <is>
          <t>BS</t>
        </is>
      </c>
      <c r="G66" s="7" t="inlineStr">
        <is>
          <t>INR</t>
        </is>
      </c>
      <c r="H66" s="11" t="n">
        <v>44629</v>
      </c>
      <c r="I66" s="11" t="n">
        <v>44648</v>
      </c>
      <c r="J66" s="11" t="n">
        <v>44648</v>
      </c>
      <c r="K66" s="11" t="n">
        <v>44648</v>
      </c>
      <c r="L66" s="7" t="inlineStr">
        <is>
          <t>roll following on the LME panel calendar</t>
        </is>
      </c>
      <c r="N66" s="7" t="inlineStr">
        <is>
          <t>PROXY</t>
        </is>
      </c>
      <c r="O66" s="9" t="n">
        <v>-157328.52</v>
      </c>
      <c r="P66" s="9" t="n">
        <v>-157328.52</v>
      </c>
      <c r="U66" s="7" t="inlineStr">
        <is>
          <t>DERIVED_IN_WORKBOOK</t>
        </is>
      </c>
      <c r="V66" s="8">
        <f>-SUMIFS(Cashflows!$W$1043:$W$1393,Cashflows!$B$1043:$B$1393,$C66,Cashflows!$C$1043:$C$1393,$K66)</f>
        <v/>
      </c>
      <c r="W66" s="8">
        <f>IF($G66="INR",1,INDEX(Market_Daily!$F$6:$F$256,MATCH($K66,Market_Daily!$A$6:$A$256,0)))</f>
        <v/>
      </c>
      <c r="X66" s="8">
        <f>$V66*$W66</f>
        <v/>
      </c>
      <c r="Y66" s="18">
        <f>$X66-$P66</f>
        <v/>
      </c>
      <c r="Z66" s="8">
        <f>IF(ABS($Y66)&lt;=tol_cashflow_inr,"PASS","FAIL")</f>
        <v/>
      </c>
      <c r="AA66" s="7" t="inlineStr">
        <is>
          <t>-d(lots x lot_kg x F(s) x mcx_al_margin_used_frac)</t>
        </is>
      </c>
    </row>
    <row r="67">
      <c r="A67" s="7" t="inlineStr">
        <is>
          <t>T01</t>
        </is>
      </c>
      <c r="B67" s="7" t="inlineStr">
        <is>
          <t>MCX:T01-MCX-1</t>
        </is>
      </c>
      <c r="C67" s="7" t="inlineStr">
        <is>
          <t>T01-MCX-1</t>
        </is>
      </c>
      <c r="D67" s="7" t="inlineStr">
        <is>
          <t>MCX_VARIATION_MARGIN</t>
        </is>
      </c>
      <c r="E67" s="7" t="inlineStr">
        <is>
          <t>MCX_VARIATION_MARGIN</t>
        </is>
      </c>
      <c r="F67" s="7" t="inlineStr">
        <is>
          <t>PNL</t>
        </is>
      </c>
      <c r="G67" s="7" t="inlineStr">
        <is>
          <t>INR</t>
        </is>
      </c>
      <c r="H67" s="11" t="n">
        <v>44629</v>
      </c>
      <c r="I67" s="11" t="n">
        <v>44648</v>
      </c>
      <c r="J67" s="11" t="n">
        <v>44648</v>
      </c>
      <c r="K67" s="11" t="n">
        <v>44648</v>
      </c>
      <c r="L67" s="7" t="inlineStr">
        <is>
          <t>roll following on the LME panel calendar</t>
        </is>
      </c>
      <c r="N67" s="7" t="inlineStr">
        <is>
          <t>PROXY</t>
        </is>
      </c>
      <c r="O67" s="9" t="n">
        <v>-1573285.24</v>
      </c>
      <c r="P67" s="9" t="n">
        <v>-1573285.24</v>
      </c>
      <c r="U67" s="7" t="inlineStr">
        <is>
          <t>DERIVED_IN_WORKBOOK</t>
        </is>
      </c>
      <c r="V67" s="8">
        <f>SUMIFS(Cashflows!$R$1043:$R$1393,Cashflows!$B$1043:$B$1393,$C67,Cashflows!$C$1043:$C$1393,$K67)</f>
        <v/>
      </c>
      <c r="W67" s="8">
        <f>IF($G67="INR",1,INDEX(Market_Daily!$F$6:$F$256,MATCH($K67,Market_Daily!$A$6:$A$256,0)))</f>
        <v/>
      </c>
      <c r="X67" s="8">
        <f>$V67*$W67</f>
        <v/>
      </c>
      <c r="Y67" s="18">
        <f>$X67-$P67</f>
        <v/>
      </c>
      <c r="Z67" s="8">
        <f>IF(ABS($Y67)&lt;=tol_cashflow_inr,"PASS","FAIL")</f>
        <v/>
      </c>
      <c r="AA67" s="7" t="inlineStr">
        <is>
          <t>direction x lots x lot_kg x (F(s) - F(s-1))</t>
        </is>
      </c>
    </row>
    <row r="68">
      <c r="A68" s="7" t="inlineStr">
        <is>
          <t>T01</t>
        </is>
      </c>
      <c r="B68" s="7" t="inlineStr">
        <is>
          <t>MCX:T01-MCX-2</t>
        </is>
      </c>
      <c r="C68" s="7" t="inlineStr">
        <is>
          <t>T01-MCX-2</t>
        </is>
      </c>
      <c r="D68" s="7" t="inlineStr">
        <is>
          <t>MCX_INITIAL_MARGIN</t>
        </is>
      </c>
      <c r="E68" s="7" t="inlineStr">
        <is>
          <t>MCX_INITIAL_MARGIN</t>
        </is>
      </c>
      <c r="F68" s="7" t="inlineStr">
        <is>
          <t>BS</t>
        </is>
      </c>
      <c r="G68" s="7" t="inlineStr">
        <is>
          <t>INR</t>
        </is>
      </c>
      <c r="H68" s="11" t="n">
        <v>44629</v>
      </c>
      <c r="I68" s="11" t="n">
        <v>44648</v>
      </c>
      <c r="J68" s="11" t="n">
        <v>44648</v>
      </c>
      <c r="K68" s="11" t="n">
        <v>44648</v>
      </c>
      <c r="L68" s="7" t="inlineStr">
        <is>
          <t>roll following on the LME panel calendar</t>
        </is>
      </c>
      <c r="N68" s="7" t="inlineStr">
        <is>
          <t>PROXY</t>
        </is>
      </c>
      <c r="O68" s="9" t="n">
        <v>-78664.25999999999</v>
      </c>
      <c r="P68" s="9" t="n">
        <v>-78664.25999999999</v>
      </c>
      <c r="U68" s="7" t="inlineStr">
        <is>
          <t>DERIVED_IN_WORKBOOK</t>
        </is>
      </c>
      <c r="V68" s="8">
        <f>-SUMIFS(Cashflows!$W$1043:$W$1393,Cashflows!$B$1043:$B$1393,$C68,Cashflows!$C$1043:$C$1393,$K68)</f>
        <v/>
      </c>
      <c r="W68" s="8">
        <f>IF($G68="INR",1,INDEX(Market_Daily!$F$6:$F$256,MATCH($K68,Market_Daily!$A$6:$A$256,0)))</f>
        <v/>
      </c>
      <c r="X68" s="8">
        <f>$V68*$W68</f>
        <v/>
      </c>
      <c r="Y68" s="18">
        <f>$X68-$P68</f>
        <v/>
      </c>
      <c r="Z68" s="8">
        <f>IF(ABS($Y68)&lt;=tol_cashflow_inr,"PASS","FAIL")</f>
        <v/>
      </c>
      <c r="AA68" s="7" t="inlineStr">
        <is>
          <t>-d(lots x lot_kg x F(s) x mcx_al_margin_used_frac)</t>
        </is>
      </c>
    </row>
    <row r="69">
      <c r="A69" s="7" t="inlineStr">
        <is>
          <t>T01</t>
        </is>
      </c>
      <c r="B69" s="7" t="inlineStr">
        <is>
          <t>MCX:T01-MCX-2</t>
        </is>
      </c>
      <c r="C69" s="7" t="inlineStr">
        <is>
          <t>T01-MCX-2</t>
        </is>
      </c>
      <c r="D69" s="7" t="inlineStr">
        <is>
          <t>MCX_VARIATION_MARGIN</t>
        </is>
      </c>
      <c r="E69" s="7" t="inlineStr">
        <is>
          <t>MCX_VARIATION_MARGIN</t>
        </is>
      </c>
      <c r="F69" s="7" t="inlineStr">
        <is>
          <t>PNL</t>
        </is>
      </c>
      <c r="G69" s="7" t="inlineStr">
        <is>
          <t>INR</t>
        </is>
      </c>
      <c r="H69" s="11" t="n">
        <v>44629</v>
      </c>
      <c r="I69" s="11" t="n">
        <v>44648</v>
      </c>
      <c r="J69" s="11" t="n">
        <v>44648</v>
      </c>
      <c r="K69" s="11" t="n">
        <v>44648</v>
      </c>
      <c r="L69" s="7" t="inlineStr">
        <is>
          <t>roll following on the LME panel calendar</t>
        </is>
      </c>
      <c r="N69" s="7" t="inlineStr">
        <is>
          <t>PROXY</t>
        </is>
      </c>
      <c r="O69" s="9" t="n">
        <v>-786642.62</v>
      </c>
      <c r="P69" s="9" t="n">
        <v>-786642.62</v>
      </c>
      <c r="U69" s="7" t="inlineStr">
        <is>
          <t>DERIVED_IN_WORKBOOK</t>
        </is>
      </c>
      <c r="V69" s="8">
        <f>SUMIFS(Cashflows!$R$1043:$R$1393,Cashflows!$B$1043:$B$1393,$C69,Cashflows!$C$1043:$C$1393,$K69)</f>
        <v/>
      </c>
      <c r="W69" s="8">
        <f>IF($G69="INR",1,INDEX(Market_Daily!$F$6:$F$256,MATCH($K69,Market_Daily!$A$6:$A$256,0)))</f>
        <v/>
      </c>
      <c r="X69" s="8">
        <f>$V69*$W69</f>
        <v/>
      </c>
      <c r="Y69" s="18">
        <f>$X69-$P69</f>
        <v/>
      </c>
      <c r="Z69" s="8">
        <f>IF(ABS($Y69)&lt;=tol_cashflow_inr,"PASS","FAIL")</f>
        <v/>
      </c>
      <c r="AA69" s="7" t="inlineStr">
        <is>
          <t>direction x lots x lot_kg x (F(s) - F(s-1))</t>
        </is>
      </c>
    </row>
    <row r="70">
      <c r="A70" s="7" t="inlineStr">
        <is>
          <t>T01</t>
        </is>
      </c>
      <c r="B70" s="7" t="inlineStr">
        <is>
          <t>INSURANCE:L1</t>
        </is>
      </c>
      <c r="C70" s="7" t="inlineStr">
        <is>
          <t>L1</t>
        </is>
      </c>
      <c r="D70" s="7" t="inlineStr">
        <is>
          <t>INSURANCE</t>
        </is>
      </c>
      <c r="E70" s="7" t="inlineStr">
        <is>
          <t>INSURANCE</t>
        </is>
      </c>
      <c r="F70" s="7" t="inlineStr">
        <is>
          <t>PNL</t>
        </is>
      </c>
      <c r="G70" s="7" t="inlineStr">
        <is>
          <t>USD</t>
        </is>
      </c>
      <c r="H70" s="11" t="n">
        <v>44628</v>
      </c>
      <c r="I70" s="11" t="n">
        <v>44649</v>
      </c>
      <c r="J70" s="11" t="n">
        <v>44649</v>
      </c>
      <c r="K70" s="11" t="n">
        <v>44649</v>
      </c>
      <c r="L70" s="7" t="inlineStr">
        <is>
          <t>roll following on the LME panel calendar</t>
        </is>
      </c>
      <c r="N70" s="7" t="inlineStr">
        <is>
          <t>ASSUMPTION</t>
        </is>
      </c>
      <c r="O70" s="9" t="n">
        <v>-2257.64</v>
      </c>
      <c r="P70" s="9" t="n">
        <v>-171015.55</v>
      </c>
      <c r="U70" s="7" t="inlineStr">
        <is>
          <t>PYTHON_LIFECYCLE</t>
        </is>
      </c>
      <c r="V70" s="8">
        <f>$O70</f>
        <v/>
      </c>
      <c r="W70" s="8">
        <f>IF($G70="INR",1,INDEX(Market_Daily!$F$6:$F$256,MATCH($K70,Market_Daily!$A$6:$A$256,0)))</f>
        <v/>
      </c>
      <c r="X70" s="8">
        <f>$V70*$W70</f>
        <v/>
      </c>
      <c r="Y70" s="18">
        <f>$X70-$P70</f>
        <v/>
      </c>
      <c r="Z70" s="8">
        <f>IF(ABS($Y70)&lt;=tol_cashflow_inr,"PASS","FAIL")</f>
        <v/>
      </c>
      <c r="AA70" s="7" t="inlineStr">
        <is>
          <t>-insurance_rate x insured_value_uplift x cfr_value_usd</t>
        </is>
      </c>
    </row>
    <row r="71">
      <c r="A71" s="7" t="inlineStr">
        <is>
          <t>T01</t>
        </is>
      </c>
      <c r="B71" s="7" t="inlineStr">
        <is>
          <t>MCX:T01-MCX-1</t>
        </is>
      </c>
      <c r="C71" s="7" t="inlineStr">
        <is>
          <t>T01-MCX-1</t>
        </is>
      </c>
      <c r="D71" s="7" t="inlineStr">
        <is>
          <t>MCX_INITIAL_MARGIN</t>
        </is>
      </c>
      <c r="E71" s="7" t="inlineStr">
        <is>
          <t>MCX_INITIAL_MARGIN</t>
        </is>
      </c>
      <c r="F71" s="7" t="inlineStr">
        <is>
          <t>BS</t>
        </is>
      </c>
      <c r="G71" s="7" t="inlineStr">
        <is>
          <t>INR</t>
        </is>
      </c>
      <c r="H71" s="11" t="n">
        <v>44629</v>
      </c>
      <c r="I71" s="11" t="n">
        <v>44649</v>
      </c>
      <c r="J71" s="11" t="n">
        <v>44649</v>
      </c>
      <c r="K71" s="11" t="n">
        <v>44649</v>
      </c>
      <c r="L71" s="7" t="inlineStr">
        <is>
          <t>roll following on the LME panel calendar</t>
        </is>
      </c>
      <c r="N71" s="7" t="inlineStr">
        <is>
          <t>PROXY</t>
        </is>
      </c>
      <c r="O71" s="9" t="n">
        <v>340619.68</v>
      </c>
      <c r="P71" s="9" t="n">
        <v>340619.68</v>
      </c>
      <c r="U71" s="7" t="inlineStr">
        <is>
          <t>DERIVED_IN_WORKBOOK</t>
        </is>
      </c>
      <c r="V71" s="8">
        <f>-SUMIFS(Cashflows!$W$1043:$W$1393,Cashflows!$B$1043:$B$1393,$C71,Cashflows!$C$1043:$C$1393,$K71)</f>
        <v/>
      </c>
      <c r="W71" s="8">
        <f>IF($G71="INR",1,INDEX(Market_Daily!$F$6:$F$256,MATCH($K71,Market_Daily!$A$6:$A$256,0)))</f>
        <v/>
      </c>
      <c r="X71" s="8">
        <f>$V71*$W71</f>
        <v/>
      </c>
      <c r="Y71" s="18">
        <f>$X71-$P71</f>
        <v/>
      </c>
      <c r="Z71" s="8">
        <f>IF(ABS($Y71)&lt;=tol_cashflow_inr,"PASS","FAIL")</f>
        <v/>
      </c>
      <c r="AA71" s="7" t="inlineStr">
        <is>
          <t>-d(lots x lot_kg x F(s) x mcx_al_margin_used_frac)</t>
        </is>
      </c>
    </row>
    <row r="72">
      <c r="A72" s="7" t="inlineStr">
        <is>
          <t>T01</t>
        </is>
      </c>
      <c r="B72" s="7" t="inlineStr">
        <is>
          <t>MCX:T01-MCX-1</t>
        </is>
      </c>
      <c r="C72" s="7" t="inlineStr">
        <is>
          <t>T01-MCX-1</t>
        </is>
      </c>
      <c r="D72" s="7" t="inlineStr">
        <is>
          <t>MCX_VARIATION_MARGIN</t>
        </is>
      </c>
      <c r="E72" s="7" t="inlineStr">
        <is>
          <t>MCX_VARIATION_MARGIN</t>
        </is>
      </c>
      <c r="F72" s="7" t="inlineStr">
        <is>
          <t>PNL</t>
        </is>
      </c>
      <c r="G72" s="7" t="inlineStr">
        <is>
          <t>INR</t>
        </is>
      </c>
      <c r="H72" s="11" t="n">
        <v>44629</v>
      </c>
      <c r="I72" s="11" t="n">
        <v>44649</v>
      </c>
      <c r="J72" s="11" t="n">
        <v>44649</v>
      </c>
      <c r="K72" s="11" t="n">
        <v>44649</v>
      </c>
      <c r="L72" s="7" t="inlineStr">
        <is>
          <t>roll following on the LME panel calendar</t>
        </is>
      </c>
      <c r="N72" s="7" t="inlineStr">
        <is>
          <t>PROXY</t>
        </is>
      </c>
      <c r="O72" s="9" t="n">
        <v>3406196.81</v>
      </c>
      <c r="P72" s="9" t="n">
        <v>3406196.81</v>
      </c>
      <c r="U72" s="7" t="inlineStr">
        <is>
          <t>DERIVED_IN_WORKBOOK</t>
        </is>
      </c>
      <c r="V72" s="8">
        <f>SUMIFS(Cashflows!$R$1043:$R$1393,Cashflows!$B$1043:$B$1393,$C72,Cashflows!$C$1043:$C$1393,$K72)</f>
        <v/>
      </c>
      <c r="W72" s="8">
        <f>IF($G72="INR",1,INDEX(Market_Daily!$F$6:$F$256,MATCH($K72,Market_Daily!$A$6:$A$256,0)))</f>
        <v/>
      </c>
      <c r="X72" s="8">
        <f>$V72*$W72</f>
        <v/>
      </c>
      <c r="Y72" s="18">
        <f>$X72-$P72</f>
        <v/>
      </c>
      <c r="Z72" s="8">
        <f>IF(ABS($Y72)&lt;=tol_cashflow_inr,"PASS","FAIL")</f>
        <v/>
      </c>
      <c r="AA72" s="7" t="inlineStr">
        <is>
          <t>direction x lots x lot_kg x (F(s) - F(s-1))</t>
        </is>
      </c>
    </row>
    <row r="73">
      <c r="A73" s="7" t="inlineStr">
        <is>
          <t>T01</t>
        </is>
      </c>
      <c r="B73" s="7" t="inlineStr">
        <is>
          <t>MCX:T01-MCX-2</t>
        </is>
      </c>
      <c r="C73" s="7" t="inlineStr">
        <is>
          <t>T01-MCX-2</t>
        </is>
      </c>
      <c r="D73" s="7" t="inlineStr">
        <is>
          <t>MCX_INITIAL_MARGIN</t>
        </is>
      </c>
      <c r="E73" s="7" t="inlineStr">
        <is>
          <t>MCX_INITIAL_MARGIN</t>
        </is>
      </c>
      <c r="F73" s="7" t="inlineStr">
        <is>
          <t>BS</t>
        </is>
      </c>
      <c r="G73" s="7" t="inlineStr">
        <is>
          <t>INR</t>
        </is>
      </c>
      <c r="H73" s="11" t="n">
        <v>44629</v>
      </c>
      <c r="I73" s="11" t="n">
        <v>44649</v>
      </c>
      <c r="J73" s="11" t="n">
        <v>44649</v>
      </c>
      <c r="K73" s="11" t="n">
        <v>44649</v>
      </c>
      <c r="L73" s="7" t="inlineStr">
        <is>
          <t>roll following on the LME panel calendar</t>
        </is>
      </c>
      <c r="N73" s="7" t="inlineStr">
        <is>
          <t>PROXY</t>
        </is>
      </c>
      <c r="O73" s="9" t="n">
        <v>170309.84</v>
      </c>
      <c r="P73" s="9" t="n">
        <v>170309.84</v>
      </c>
      <c r="U73" s="7" t="inlineStr">
        <is>
          <t>DERIVED_IN_WORKBOOK</t>
        </is>
      </c>
      <c r="V73" s="8">
        <f>-SUMIFS(Cashflows!$W$1043:$W$1393,Cashflows!$B$1043:$B$1393,$C73,Cashflows!$C$1043:$C$1393,$K73)</f>
        <v/>
      </c>
      <c r="W73" s="8">
        <f>IF($G73="INR",1,INDEX(Market_Daily!$F$6:$F$256,MATCH($K73,Market_Daily!$A$6:$A$256,0)))</f>
        <v/>
      </c>
      <c r="X73" s="8">
        <f>$V73*$W73</f>
        <v/>
      </c>
      <c r="Y73" s="18">
        <f>$X73-$P73</f>
        <v/>
      </c>
      <c r="Z73" s="8">
        <f>IF(ABS($Y73)&lt;=tol_cashflow_inr,"PASS","FAIL")</f>
        <v/>
      </c>
      <c r="AA73" s="7" t="inlineStr">
        <is>
          <t>-d(lots x lot_kg x F(s) x mcx_al_margin_used_frac)</t>
        </is>
      </c>
    </row>
    <row r="74">
      <c r="A74" s="7" t="inlineStr">
        <is>
          <t>T01</t>
        </is>
      </c>
      <c r="B74" s="7" t="inlineStr">
        <is>
          <t>MCX:T01-MCX-2</t>
        </is>
      </c>
      <c r="C74" s="7" t="inlineStr">
        <is>
          <t>T01-MCX-2</t>
        </is>
      </c>
      <c r="D74" s="7" t="inlineStr">
        <is>
          <t>MCX_VARIATION_MARGIN</t>
        </is>
      </c>
      <c r="E74" s="7" t="inlineStr">
        <is>
          <t>MCX_VARIATION_MARGIN</t>
        </is>
      </c>
      <c r="F74" s="7" t="inlineStr">
        <is>
          <t>PNL</t>
        </is>
      </c>
      <c r="G74" s="7" t="inlineStr">
        <is>
          <t>INR</t>
        </is>
      </c>
      <c r="H74" s="11" t="n">
        <v>44629</v>
      </c>
      <c r="I74" s="11" t="n">
        <v>44649</v>
      </c>
      <c r="J74" s="11" t="n">
        <v>44649</v>
      </c>
      <c r="K74" s="11" t="n">
        <v>44649</v>
      </c>
      <c r="L74" s="7" t="inlineStr">
        <is>
          <t>roll following on the LME panel calendar</t>
        </is>
      </c>
      <c r="N74" s="7" t="inlineStr">
        <is>
          <t>PROXY</t>
        </is>
      </c>
      <c r="O74" s="9" t="n">
        <v>1703098.4</v>
      </c>
      <c r="P74" s="9" t="n">
        <v>1703098.4</v>
      </c>
      <c r="U74" s="7" t="inlineStr">
        <is>
          <t>DERIVED_IN_WORKBOOK</t>
        </is>
      </c>
      <c r="V74" s="8">
        <f>SUMIFS(Cashflows!$R$1043:$R$1393,Cashflows!$B$1043:$B$1393,$C74,Cashflows!$C$1043:$C$1393,$K74)</f>
        <v/>
      </c>
      <c r="W74" s="8">
        <f>IF($G74="INR",1,INDEX(Market_Daily!$F$6:$F$256,MATCH($K74,Market_Daily!$A$6:$A$256,0)))</f>
        <v/>
      </c>
      <c r="X74" s="8">
        <f>$V74*$W74</f>
        <v/>
      </c>
      <c r="Y74" s="18">
        <f>$X74-$P74</f>
        <v/>
      </c>
      <c r="Z74" s="8">
        <f>IF(ABS($Y74)&lt;=tol_cashflow_inr,"PASS","FAIL")</f>
        <v/>
      </c>
      <c r="AA74" s="7" t="inlineStr">
        <is>
          <t>direction x lots x lot_kg x (F(s) - F(s-1))</t>
        </is>
      </c>
    </row>
    <row r="75">
      <c r="A75" s="7" t="inlineStr">
        <is>
          <t>T01</t>
        </is>
      </c>
      <c r="B75" s="7" t="inlineStr">
        <is>
          <t>MCX:T01-MCX-1</t>
        </is>
      </c>
      <c r="C75" s="7" t="inlineStr">
        <is>
          <t>T01-MCX-1</t>
        </is>
      </c>
      <c r="D75" s="7" t="inlineStr">
        <is>
          <t>MCX_INITIAL_MARGIN</t>
        </is>
      </c>
      <c r="E75" s="7" t="inlineStr">
        <is>
          <t>MCX_INITIAL_MARGIN</t>
        </is>
      </c>
      <c r="F75" s="7" t="inlineStr">
        <is>
          <t>BS</t>
        </is>
      </c>
      <c r="G75" s="7" t="inlineStr">
        <is>
          <t>INR</t>
        </is>
      </c>
      <c r="H75" s="11" t="n">
        <v>44629</v>
      </c>
      <c r="I75" s="11" t="n">
        <v>44650</v>
      </c>
      <c r="J75" s="11" t="n">
        <v>44650</v>
      </c>
      <c r="K75" s="11" t="n">
        <v>44650</v>
      </c>
      <c r="L75" s="7" t="inlineStr">
        <is>
          <t>roll following on the LME panel calendar</t>
        </is>
      </c>
      <c r="N75" s="7" t="inlineStr">
        <is>
          <t>PROXY</t>
        </is>
      </c>
      <c r="O75" s="9" t="n">
        <v>585396.46</v>
      </c>
      <c r="P75" s="9" t="n">
        <v>585396.46</v>
      </c>
      <c r="U75" s="7" t="inlineStr">
        <is>
          <t>DERIVED_IN_WORKBOOK</t>
        </is>
      </c>
      <c r="V75" s="8">
        <f>-SUMIFS(Cashflows!$W$1043:$W$1393,Cashflows!$B$1043:$B$1393,$C75,Cashflows!$C$1043:$C$1393,$K75)</f>
        <v/>
      </c>
      <c r="W75" s="8">
        <f>IF($G75="INR",1,INDEX(Market_Daily!$F$6:$F$256,MATCH($K75,Market_Daily!$A$6:$A$256,0)))</f>
        <v/>
      </c>
      <c r="X75" s="8">
        <f>$V75*$W75</f>
        <v/>
      </c>
      <c r="Y75" s="18">
        <f>$X75-$P75</f>
        <v/>
      </c>
      <c r="Z75" s="8">
        <f>IF(ABS($Y75)&lt;=tol_cashflow_inr,"PASS","FAIL")</f>
        <v/>
      </c>
      <c r="AA75" s="7" t="inlineStr">
        <is>
          <t>-d(lots x lot_kg x F(s) x mcx_al_margin_used_frac)</t>
        </is>
      </c>
    </row>
    <row r="76">
      <c r="A76" s="7" t="inlineStr">
        <is>
          <t>T01</t>
        </is>
      </c>
      <c r="B76" s="7" t="inlineStr">
        <is>
          <t>MCX:T01-MCX-1</t>
        </is>
      </c>
      <c r="C76" s="7" t="inlineStr">
        <is>
          <t>T01-MCX-1</t>
        </is>
      </c>
      <c r="D76" s="7" t="inlineStr">
        <is>
          <t>MCX_VARIATION_MARGIN</t>
        </is>
      </c>
      <c r="E76" s="7" t="inlineStr">
        <is>
          <t>MCX_VARIATION_MARGIN</t>
        </is>
      </c>
      <c r="F76" s="7" t="inlineStr">
        <is>
          <t>PNL</t>
        </is>
      </c>
      <c r="G76" s="7" t="inlineStr">
        <is>
          <t>INR</t>
        </is>
      </c>
      <c r="H76" s="11" t="n">
        <v>44629</v>
      </c>
      <c r="I76" s="11" t="n">
        <v>44650</v>
      </c>
      <c r="J76" s="11" t="n">
        <v>44650</v>
      </c>
      <c r="K76" s="11" t="n">
        <v>44650</v>
      </c>
      <c r="L76" s="7" t="inlineStr">
        <is>
          <t>roll following on the LME panel calendar</t>
        </is>
      </c>
      <c r="N76" s="7" t="inlineStr">
        <is>
          <t>PROXY</t>
        </is>
      </c>
      <c r="O76" s="9" t="n">
        <v>5853964.62</v>
      </c>
      <c r="P76" s="9" t="n">
        <v>5853964.62</v>
      </c>
      <c r="U76" s="7" t="inlineStr">
        <is>
          <t>DERIVED_IN_WORKBOOK</t>
        </is>
      </c>
      <c r="V76" s="8">
        <f>SUMIFS(Cashflows!$R$1043:$R$1393,Cashflows!$B$1043:$B$1393,$C76,Cashflows!$C$1043:$C$1393,$K76)</f>
        <v/>
      </c>
      <c r="W76" s="8">
        <f>IF($G76="INR",1,INDEX(Market_Daily!$F$6:$F$256,MATCH($K76,Market_Daily!$A$6:$A$256,0)))</f>
        <v/>
      </c>
      <c r="X76" s="8">
        <f>$V76*$W76</f>
        <v/>
      </c>
      <c r="Y76" s="18">
        <f>$X76-$P76</f>
        <v/>
      </c>
      <c r="Z76" s="8">
        <f>IF(ABS($Y76)&lt;=tol_cashflow_inr,"PASS","FAIL")</f>
        <v/>
      </c>
      <c r="AA76" s="7" t="inlineStr">
        <is>
          <t>direction x lots x lot_kg x (F(s) - F(s-1))</t>
        </is>
      </c>
    </row>
    <row r="77">
      <c r="A77" s="7" t="inlineStr">
        <is>
          <t>T01</t>
        </is>
      </c>
      <c r="B77" s="7" t="inlineStr">
        <is>
          <t>MCX:T01-MCX-2</t>
        </is>
      </c>
      <c r="C77" s="7" t="inlineStr">
        <is>
          <t>T01-MCX-2</t>
        </is>
      </c>
      <c r="D77" s="7" t="inlineStr">
        <is>
          <t>MCX_INITIAL_MARGIN</t>
        </is>
      </c>
      <c r="E77" s="7" t="inlineStr">
        <is>
          <t>MCX_INITIAL_MARGIN</t>
        </is>
      </c>
      <c r="F77" s="7" t="inlineStr">
        <is>
          <t>BS</t>
        </is>
      </c>
      <c r="G77" s="7" t="inlineStr">
        <is>
          <t>INR</t>
        </is>
      </c>
      <c r="H77" s="11" t="n">
        <v>44629</v>
      </c>
      <c r="I77" s="11" t="n">
        <v>44650</v>
      </c>
      <c r="J77" s="11" t="n">
        <v>44650</v>
      </c>
      <c r="K77" s="11" t="n">
        <v>44650</v>
      </c>
      <c r="L77" s="7" t="inlineStr">
        <is>
          <t>roll following on the LME panel calendar</t>
        </is>
      </c>
      <c r="N77" s="7" t="inlineStr">
        <is>
          <t>PROXY</t>
        </is>
      </c>
      <c r="O77" s="9" t="n">
        <v>292698.23</v>
      </c>
      <c r="P77" s="9" t="n">
        <v>292698.23</v>
      </c>
      <c r="U77" s="7" t="inlineStr">
        <is>
          <t>DERIVED_IN_WORKBOOK</t>
        </is>
      </c>
      <c r="V77" s="8">
        <f>-SUMIFS(Cashflows!$W$1043:$W$1393,Cashflows!$B$1043:$B$1393,$C77,Cashflows!$C$1043:$C$1393,$K77)</f>
        <v/>
      </c>
      <c r="W77" s="8">
        <f>IF($G77="INR",1,INDEX(Market_Daily!$F$6:$F$256,MATCH($K77,Market_Daily!$A$6:$A$256,0)))</f>
        <v/>
      </c>
      <c r="X77" s="8">
        <f>$V77*$W77</f>
        <v/>
      </c>
      <c r="Y77" s="18">
        <f>$X77-$P77</f>
        <v/>
      </c>
      <c r="Z77" s="8">
        <f>IF(ABS($Y77)&lt;=tol_cashflow_inr,"PASS","FAIL")</f>
        <v/>
      </c>
      <c r="AA77" s="7" t="inlineStr">
        <is>
          <t>-d(lots x lot_kg x F(s) x mcx_al_margin_used_frac)</t>
        </is>
      </c>
    </row>
    <row r="78">
      <c r="A78" s="7" t="inlineStr">
        <is>
          <t>T01</t>
        </is>
      </c>
      <c r="B78" s="7" t="inlineStr">
        <is>
          <t>MCX:T01-MCX-2</t>
        </is>
      </c>
      <c r="C78" s="7" t="inlineStr">
        <is>
          <t>T01-MCX-2</t>
        </is>
      </c>
      <c r="D78" s="7" t="inlineStr">
        <is>
          <t>MCX_VARIATION_MARGIN</t>
        </is>
      </c>
      <c r="E78" s="7" t="inlineStr">
        <is>
          <t>MCX_VARIATION_MARGIN</t>
        </is>
      </c>
      <c r="F78" s="7" t="inlineStr">
        <is>
          <t>PNL</t>
        </is>
      </c>
      <c r="G78" s="7" t="inlineStr">
        <is>
          <t>INR</t>
        </is>
      </c>
      <c r="H78" s="11" t="n">
        <v>44629</v>
      </c>
      <c r="I78" s="11" t="n">
        <v>44650</v>
      </c>
      <c r="J78" s="11" t="n">
        <v>44650</v>
      </c>
      <c r="K78" s="11" t="n">
        <v>44650</v>
      </c>
      <c r="L78" s="7" t="inlineStr">
        <is>
          <t>roll following on the LME panel calendar</t>
        </is>
      </c>
      <c r="N78" s="7" t="inlineStr">
        <is>
          <t>PROXY</t>
        </is>
      </c>
      <c r="O78" s="9" t="n">
        <v>2926982.31</v>
      </c>
      <c r="P78" s="9" t="n">
        <v>2926982.31</v>
      </c>
      <c r="U78" s="7" t="inlineStr">
        <is>
          <t>DERIVED_IN_WORKBOOK</t>
        </is>
      </c>
      <c r="V78" s="8">
        <f>SUMIFS(Cashflows!$R$1043:$R$1393,Cashflows!$B$1043:$B$1393,$C78,Cashflows!$C$1043:$C$1393,$K78)</f>
        <v/>
      </c>
      <c r="W78" s="8">
        <f>IF($G78="INR",1,INDEX(Market_Daily!$F$6:$F$256,MATCH($K78,Market_Daily!$A$6:$A$256,0)))</f>
        <v/>
      </c>
      <c r="X78" s="8">
        <f>$V78*$W78</f>
        <v/>
      </c>
      <c r="Y78" s="18">
        <f>$X78-$P78</f>
        <v/>
      </c>
      <c r="Z78" s="8">
        <f>IF(ABS($Y78)&lt;=tol_cashflow_inr,"PASS","FAIL")</f>
        <v/>
      </c>
      <c r="AA78" s="7" t="inlineStr">
        <is>
          <t>direction x lots x lot_kg x (F(s) - F(s-1))</t>
        </is>
      </c>
    </row>
    <row r="79">
      <c r="A79" s="7" t="inlineStr">
        <is>
          <t>T01</t>
        </is>
      </c>
      <c r="B79" s="7" t="inlineStr">
        <is>
          <t>MCX:T01-MCX-1</t>
        </is>
      </c>
      <c r="C79" s="7" t="inlineStr">
        <is>
          <t>T01-MCX-1</t>
        </is>
      </c>
      <c r="D79" s="7" t="inlineStr">
        <is>
          <t>MCX_INITIAL_MARGIN</t>
        </is>
      </c>
      <c r="E79" s="7" t="inlineStr">
        <is>
          <t>MCX_INITIAL_MARGIN</t>
        </is>
      </c>
      <c r="F79" s="7" t="inlineStr">
        <is>
          <t>BS</t>
        </is>
      </c>
      <c r="G79" s="7" t="inlineStr">
        <is>
          <t>INR</t>
        </is>
      </c>
      <c r="H79" s="11" t="n">
        <v>44629</v>
      </c>
      <c r="I79" s="11" t="n">
        <v>44651</v>
      </c>
      <c r="J79" s="11" t="n">
        <v>44651</v>
      </c>
      <c r="K79" s="11" t="n">
        <v>44651</v>
      </c>
      <c r="L79" s="7" t="inlineStr">
        <is>
          <t>roll following on the LME panel calendar</t>
        </is>
      </c>
      <c r="N79" s="7" t="inlineStr">
        <is>
          <t>PROXY</t>
        </is>
      </c>
      <c r="O79" s="9" t="n">
        <v>63475.48</v>
      </c>
      <c r="P79" s="9" t="n">
        <v>63475.48</v>
      </c>
      <c r="U79" s="7" t="inlineStr">
        <is>
          <t>DERIVED_IN_WORKBOOK</t>
        </is>
      </c>
      <c r="V79" s="8">
        <f>-SUMIFS(Cashflows!$W$1043:$W$1393,Cashflows!$B$1043:$B$1393,$C79,Cashflows!$C$1043:$C$1393,$K79)</f>
        <v/>
      </c>
      <c r="W79" s="8">
        <f>IF($G79="INR",1,INDEX(Market_Daily!$F$6:$F$256,MATCH($K79,Market_Daily!$A$6:$A$256,0)))</f>
        <v/>
      </c>
      <c r="X79" s="8">
        <f>$V79*$W79</f>
        <v/>
      </c>
      <c r="Y79" s="18">
        <f>$X79-$P79</f>
        <v/>
      </c>
      <c r="Z79" s="8">
        <f>IF(ABS($Y79)&lt;=tol_cashflow_inr,"PASS","FAIL")</f>
        <v/>
      </c>
      <c r="AA79" s="7" t="inlineStr">
        <is>
          <t>-d(lots x lot_kg x F(s) x mcx_al_margin_used_frac)</t>
        </is>
      </c>
    </row>
    <row r="80">
      <c r="A80" s="7" t="inlineStr">
        <is>
          <t>T01</t>
        </is>
      </c>
      <c r="B80" s="7" t="inlineStr">
        <is>
          <t>MCX:T01-MCX-1</t>
        </is>
      </c>
      <c r="C80" s="7" t="inlineStr">
        <is>
          <t>T01-MCX-1</t>
        </is>
      </c>
      <c r="D80" s="7" t="inlineStr">
        <is>
          <t>MCX_VARIATION_MARGIN</t>
        </is>
      </c>
      <c r="E80" s="7" t="inlineStr">
        <is>
          <t>MCX_VARIATION_MARGIN</t>
        </is>
      </c>
      <c r="F80" s="7" t="inlineStr">
        <is>
          <t>PNL</t>
        </is>
      </c>
      <c r="G80" s="7" t="inlineStr">
        <is>
          <t>INR</t>
        </is>
      </c>
      <c r="H80" s="11" t="n">
        <v>44629</v>
      </c>
      <c r="I80" s="11" t="n">
        <v>44651</v>
      </c>
      <c r="J80" s="11" t="n">
        <v>44651</v>
      </c>
      <c r="K80" s="11" t="n">
        <v>44651</v>
      </c>
      <c r="L80" s="7" t="inlineStr">
        <is>
          <t>roll following on the LME panel calendar</t>
        </is>
      </c>
      <c r="N80" s="7" t="inlineStr">
        <is>
          <t>PROXY</t>
        </is>
      </c>
      <c r="O80" s="9" t="n">
        <v>634754.76</v>
      </c>
      <c r="P80" s="9" t="n">
        <v>634754.76</v>
      </c>
      <c r="U80" s="7" t="inlineStr">
        <is>
          <t>DERIVED_IN_WORKBOOK</t>
        </is>
      </c>
      <c r="V80" s="8">
        <f>SUMIFS(Cashflows!$R$1043:$R$1393,Cashflows!$B$1043:$B$1393,$C80,Cashflows!$C$1043:$C$1393,$K80)</f>
        <v/>
      </c>
      <c r="W80" s="8">
        <f>IF($G80="INR",1,INDEX(Market_Daily!$F$6:$F$256,MATCH($K80,Market_Daily!$A$6:$A$256,0)))</f>
        <v/>
      </c>
      <c r="X80" s="8">
        <f>$V80*$W80</f>
        <v/>
      </c>
      <c r="Y80" s="18">
        <f>$X80-$P80</f>
        <v/>
      </c>
      <c r="Z80" s="8">
        <f>IF(ABS($Y80)&lt;=tol_cashflow_inr,"PASS","FAIL")</f>
        <v/>
      </c>
      <c r="AA80" s="7" t="inlineStr">
        <is>
          <t>direction x lots x lot_kg x (F(s) - F(s-1))</t>
        </is>
      </c>
    </row>
    <row r="81">
      <c r="A81" s="7" t="inlineStr">
        <is>
          <t>T01</t>
        </is>
      </c>
      <c r="B81" s="7" t="inlineStr">
        <is>
          <t>MCX:T01-MCX-2</t>
        </is>
      </c>
      <c r="C81" s="7" t="inlineStr">
        <is>
          <t>T01-MCX-2</t>
        </is>
      </c>
      <c r="D81" s="7" t="inlineStr">
        <is>
          <t>MCX_INITIAL_MARGIN</t>
        </is>
      </c>
      <c r="E81" s="7" t="inlineStr">
        <is>
          <t>MCX_INITIAL_MARGIN</t>
        </is>
      </c>
      <c r="F81" s="7" t="inlineStr">
        <is>
          <t>BS</t>
        </is>
      </c>
      <c r="G81" s="7" t="inlineStr">
        <is>
          <t>INR</t>
        </is>
      </c>
      <c r="H81" s="11" t="n">
        <v>44629</v>
      </c>
      <c r="I81" s="11" t="n">
        <v>44651</v>
      </c>
      <c r="J81" s="11" t="n">
        <v>44651</v>
      </c>
      <c r="K81" s="11" t="n">
        <v>44651</v>
      </c>
      <c r="L81" s="7" t="inlineStr">
        <is>
          <t>roll following on the LME panel calendar</t>
        </is>
      </c>
      <c r="N81" s="7" t="inlineStr">
        <is>
          <t>PROXY</t>
        </is>
      </c>
      <c r="O81" s="9" t="n">
        <v>31737.74</v>
      </c>
      <c r="P81" s="9" t="n">
        <v>31737.74</v>
      </c>
      <c r="U81" s="7" t="inlineStr">
        <is>
          <t>DERIVED_IN_WORKBOOK</t>
        </is>
      </c>
      <c r="V81" s="8">
        <f>-SUMIFS(Cashflows!$W$1043:$W$1393,Cashflows!$B$1043:$B$1393,$C81,Cashflows!$C$1043:$C$1393,$K81)</f>
        <v/>
      </c>
      <c r="W81" s="8">
        <f>IF($G81="INR",1,INDEX(Market_Daily!$F$6:$F$256,MATCH($K81,Market_Daily!$A$6:$A$256,0)))</f>
        <v/>
      </c>
      <c r="X81" s="8">
        <f>$V81*$W81</f>
        <v/>
      </c>
      <c r="Y81" s="18">
        <f>$X81-$P81</f>
        <v/>
      </c>
      <c r="Z81" s="8">
        <f>IF(ABS($Y81)&lt;=tol_cashflow_inr,"PASS","FAIL")</f>
        <v/>
      </c>
      <c r="AA81" s="7" t="inlineStr">
        <is>
          <t>-d(lots x lot_kg x F(s) x mcx_al_margin_used_frac)</t>
        </is>
      </c>
    </row>
    <row r="82">
      <c r="A82" s="7" t="inlineStr">
        <is>
          <t>T01</t>
        </is>
      </c>
      <c r="B82" s="7" t="inlineStr">
        <is>
          <t>MCX:T01-MCX-2</t>
        </is>
      </c>
      <c r="C82" s="7" t="inlineStr">
        <is>
          <t>T01-MCX-2</t>
        </is>
      </c>
      <c r="D82" s="7" t="inlineStr">
        <is>
          <t>MCX_VARIATION_MARGIN</t>
        </is>
      </c>
      <c r="E82" s="7" t="inlineStr">
        <is>
          <t>MCX_VARIATION_MARGIN</t>
        </is>
      </c>
      <c r="F82" s="7" t="inlineStr">
        <is>
          <t>PNL</t>
        </is>
      </c>
      <c r="G82" s="7" t="inlineStr">
        <is>
          <t>INR</t>
        </is>
      </c>
      <c r="H82" s="11" t="n">
        <v>44629</v>
      </c>
      <c r="I82" s="11" t="n">
        <v>44651</v>
      </c>
      <c r="J82" s="11" t="n">
        <v>44651</v>
      </c>
      <c r="K82" s="11" t="n">
        <v>44651</v>
      </c>
      <c r="L82" s="7" t="inlineStr">
        <is>
          <t>roll following on the LME panel calendar</t>
        </is>
      </c>
      <c r="N82" s="7" t="inlineStr">
        <is>
          <t>PROXY</t>
        </is>
      </c>
      <c r="O82" s="9" t="n">
        <v>317377.38</v>
      </c>
      <c r="P82" s="9" t="n">
        <v>317377.38</v>
      </c>
      <c r="U82" s="7" t="inlineStr">
        <is>
          <t>DERIVED_IN_WORKBOOK</t>
        </is>
      </c>
      <c r="V82" s="8">
        <f>SUMIFS(Cashflows!$R$1043:$R$1393,Cashflows!$B$1043:$B$1393,$C82,Cashflows!$C$1043:$C$1393,$K82)</f>
        <v/>
      </c>
      <c r="W82" s="8">
        <f>IF($G82="INR",1,INDEX(Market_Daily!$F$6:$F$256,MATCH($K82,Market_Daily!$A$6:$A$256,0)))</f>
        <v/>
      </c>
      <c r="X82" s="8">
        <f>$V82*$W82</f>
        <v/>
      </c>
      <c r="Y82" s="18">
        <f>$X82-$P82</f>
        <v/>
      </c>
      <c r="Z82" s="8">
        <f>IF(ABS($Y82)&lt;=tol_cashflow_inr,"PASS","FAIL")</f>
        <v/>
      </c>
      <c r="AA82" s="7" t="inlineStr">
        <is>
          <t>direction x lots x lot_kg x (F(s) - F(s-1))</t>
        </is>
      </c>
    </row>
    <row r="83">
      <c r="A83" s="7" t="inlineStr">
        <is>
          <t>T01</t>
        </is>
      </c>
      <c r="B83" s="7" t="inlineStr">
        <is>
          <t>MCX:T01-MCX-1</t>
        </is>
      </c>
      <c r="C83" s="7" t="inlineStr">
        <is>
          <t>T01-MCX-1</t>
        </is>
      </c>
      <c r="D83" s="7" t="inlineStr">
        <is>
          <t>MCX_INITIAL_MARGIN</t>
        </is>
      </c>
      <c r="E83" s="7" t="inlineStr">
        <is>
          <t>MCX_INITIAL_MARGIN</t>
        </is>
      </c>
      <c r="F83" s="7" t="inlineStr">
        <is>
          <t>BS</t>
        </is>
      </c>
      <c r="G83" s="7" t="inlineStr">
        <is>
          <t>INR</t>
        </is>
      </c>
      <c r="H83" s="11" t="n">
        <v>44629</v>
      </c>
      <c r="I83" s="11" t="n">
        <v>44652</v>
      </c>
      <c r="J83" s="11" t="n">
        <v>44652</v>
      </c>
      <c r="K83" s="11" t="n">
        <v>44652</v>
      </c>
      <c r="L83" s="7" t="inlineStr">
        <is>
          <t>roll following on the LME panel calendar</t>
        </is>
      </c>
      <c r="N83" s="7" t="inlineStr">
        <is>
          <t>PROXY</t>
        </is>
      </c>
      <c r="O83" s="9" t="n">
        <v>88368.16</v>
      </c>
      <c r="P83" s="9" t="n">
        <v>88368.16</v>
      </c>
      <c r="U83" s="7" t="inlineStr">
        <is>
          <t>DERIVED_IN_WORKBOOK</t>
        </is>
      </c>
      <c r="V83" s="8">
        <f>-SUMIFS(Cashflows!$W$1043:$W$1393,Cashflows!$B$1043:$B$1393,$C83,Cashflows!$C$1043:$C$1393,$K83)</f>
        <v/>
      </c>
      <c r="W83" s="8">
        <f>IF($G83="INR",1,INDEX(Market_Daily!$F$6:$F$256,MATCH($K83,Market_Daily!$A$6:$A$256,0)))</f>
        <v/>
      </c>
      <c r="X83" s="8">
        <f>$V83*$W83</f>
        <v/>
      </c>
      <c r="Y83" s="18">
        <f>$X83-$P83</f>
        <v/>
      </c>
      <c r="Z83" s="8">
        <f>IF(ABS($Y83)&lt;=tol_cashflow_inr,"PASS","FAIL")</f>
        <v/>
      </c>
      <c r="AA83" s="7" t="inlineStr">
        <is>
          <t>-d(lots x lot_kg x F(s) x mcx_al_margin_used_frac)</t>
        </is>
      </c>
    </row>
    <row r="84">
      <c r="A84" s="7" t="inlineStr">
        <is>
          <t>T01</t>
        </is>
      </c>
      <c r="B84" s="7" t="inlineStr">
        <is>
          <t>MCX:T01-MCX-1</t>
        </is>
      </c>
      <c r="C84" s="7" t="inlineStr">
        <is>
          <t>T01-MCX-1</t>
        </is>
      </c>
      <c r="D84" s="7" t="inlineStr">
        <is>
          <t>MCX_VARIATION_MARGIN</t>
        </is>
      </c>
      <c r="E84" s="7" t="inlineStr">
        <is>
          <t>MCX_VARIATION_MARGIN</t>
        </is>
      </c>
      <c r="F84" s="7" t="inlineStr">
        <is>
          <t>PNL</t>
        </is>
      </c>
      <c r="G84" s="7" t="inlineStr">
        <is>
          <t>INR</t>
        </is>
      </c>
      <c r="H84" s="11" t="n">
        <v>44629</v>
      </c>
      <c r="I84" s="11" t="n">
        <v>44652</v>
      </c>
      <c r="J84" s="11" t="n">
        <v>44652</v>
      </c>
      <c r="K84" s="11" t="n">
        <v>44652</v>
      </c>
      <c r="L84" s="7" t="inlineStr">
        <is>
          <t>roll following on the LME panel calendar</t>
        </is>
      </c>
      <c r="N84" s="7" t="inlineStr">
        <is>
          <t>PROXY</t>
        </is>
      </c>
      <c r="O84" s="9" t="n">
        <v>883681.63</v>
      </c>
      <c r="P84" s="9" t="n">
        <v>883681.63</v>
      </c>
      <c r="U84" s="7" t="inlineStr">
        <is>
          <t>DERIVED_IN_WORKBOOK</t>
        </is>
      </c>
      <c r="V84" s="8">
        <f>SUMIFS(Cashflows!$R$1043:$R$1393,Cashflows!$B$1043:$B$1393,$C84,Cashflows!$C$1043:$C$1393,$K84)</f>
        <v/>
      </c>
      <c r="W84" s="8">
        <f>IF($G84="INR",1,INDEX(Market_Daily!$F$6:$F$256,MATCH($K84,Market_Daily!$A$6:$A$256,0)))</f>
        <v/>
      </c>
      <c r="X84" s="8">
        <f>$V84*$W84</f>
        <v/>
      </c>
      <c r="Y84" s="18">
        <f>$X84-$P84</f>
        <v/>
      </c>
      <c r="Z84" s="8">
        <f>IF(ABS($Y84)&lt;=tol_cashflow_inr,"PASS","FAIL")</f>
        <v/>
      </c>
      <c r="AA84" s="7" t="inlineStr">
        <is>
          <t>direction x lots x lot_kg x (F(s) - F(s-1))</t>
        </is>
      </c>
    </row>
    <row r="85">
      <c r="A85" s="7" t="inlineStr">
        <is>
          <t>T01</t>
        </is>
      </c>
      <c r="B85" s="7" t="inlineStr">
        <is>
          <t>MCX:T01-MCX-2</t>
        </is>
      </c>
      <c r="C85" s="7" t="inlineStr">
        <is>
          <t>T01-MCX-2</t>
        </is>
      </c>
      <c r="D85" s="7" t="inlineStr">
        <is>
          <t>MCX_INITIAL_MARGIN</t>
        </is>
      </c>
      <c r="E85" s="7" t="inlineStr">
        <is>
          <t>MCX_INITIAL_MARGIN</t>
        </is>
      </c>
      <c r="F85" s="7" t="inlineStr">
        <is>
          <t>BS</t>
        </is>
      </c>
      <c r="G85" s="7" t="inlineStr">
        <is>
          <t>INR</t>
        </is>
      </c>
      <c r="H85" s="11" t="n">
        <v>44629</v>
      </c>
      <c r="I85" s="11" t="n">
        <v>44652</v>
      </c>
      <c r="J85" s="11" t="n">
        <v>44652</v>
      </c>
      <c r="K85" s="11" t="n">
        <v>44652</v>
      </c>
      <c r="L85" s="7" t="inlineStr">
        <is>
          <t>roll following on the LME panel calendar</t>
        </is>
      </c>
      <c r="N85" s="7" t="inlineStr">
        <is>
          <t>PROXY</t>
        </is>
      </c>
      <c r="O85" s="9" t="n">
        <v>44184.08</v>
      </c>
      <c r="P85" s="9" t="n">
        <v>44184.08</v>
      </c>
      <c r="U85" s="7" t="inlineStr">
        <is>
          <t>DERIVED_IN_WORKBOOK</t>
        </is>
      </c>
      <c r="V85" s="8">
        <f>-SUMIFS(Cashflows!$W$1043:$W$1393,Cashflows!$B$1043:$B$1393,$C85,Cashflows!$C$1043:$C$1393,$K85)</f>
        <v/>
      </c>
      <c r="W85" s="8">
        <f>IF($G85="INR",1,INDEX(Market_Daily!$F$6:$F$256,MATCH($K85,Market_Daily!$A$6:$A$256,0)))</f>
        <v/>
      </c>
      <c r="X85" s="8">
        <f>$V85*$W85</f>
        <v/>
      </c>
      <c r="Y85" s="18">
        <f>$X85-$P85</f>
        <v/>
      </c>
      <c r="Z85" s="8">
        <f>IF(ABS($Y85)&lt;=tol_cashflow_inr,"PASS","FAIL")</f>
        <v/>
      </c>
      <c r="AA85" s="7" t="inlineStr">
        <is>
          <t>-d(lots x lot_kg x F(s) x mcx_al_margin_used_frac)</t>
        </is>
      </c>
    </row>
    <row r="86">
      <c r="A86" s="7" t="inlineStr">
        <is>
          <t>T01</t>
        </is>
      </c>
      <c r="B86" s="7" t="inlineStr">
        <is>
          <t>MCX:T01-MCX-2</t>
        </is>
      </c>
      <c r="C86" s="7" t="inlineStr">
        <is>
          <t>T01-MCX-2</t>
        </is>
      </c>
      <c r="D86" s="7" t="inlineStr">
        <is>
          <t>MCX_VARIATION_MARGIN</t>
        </is>
      </c>
      <c r="E86" s="7" t="inlineStr">
        <is>
          <t>MCX_VARIATION_MARGIN</t>
        </is>
      </c>
      <c r="F86" s="7" t="inlineStr">
        <is>
          <t>PNL</t>
        </is>
      </c>
      <c r="G86" s="7" t="inlineStr">
        <is>
          <t>INR</t>
        </is>
      </c>
      <c r="H86" s="11" t="n">
        <v>44629</v>
      </c>
      <c r="I86" s="11" t="n">
        <v>44652</v>
      </c>
      <c r="J86" s="11" t="n">
        <v>44652</v>
      </c>
      <c r="K86" s="11" t="n">
        <v>44652</v>
      </c>
      <c r="L86" s="7" t="inlineStr">
        <is>
          <t>roll following on the LME panel calendar</t>
        </is>
      </c>
      <c r="N86" s="7" t="inlineStr">
        <is>
          <t>PROXY</t>
        </is>
      </c>
      <c r="O86" s="9" t="n">
        <v>441840.81</v>
      </c>
      <c r="P86" s="9" t="n">
        <v>441840.81</v>
      </c>
      <c r="U86" s="7" t="inlineStr">
        <is>
          <t>DERIVED_IN_WORKBOOK</t>
        </is>
      </c>
      <c r="V86" s="8">
        <f>SUMIFS(Cashflows!$R$1043:$R$1393,Cashflows!$B$1043:$B$1393,$C86,Cashflows!$C$1043:$C$1393,$K86)</f>
        <v/>
      </c>
      <c r="W86" s="8">
        <f>IF($G86="INR",1,INDEX(Market_Daily!$F$6:$F$256,MATCH($K86,Market_Daily!$A$6:$A$256,0)))</f>
        <v/>
      </c>
      <c r="X86" s="8">
        <f>$V86*$W86</f>
        <v/>
      </c>
      <c r="Y86" s="18">
        <f>$X86-$P86</f>
        <v/>
      </c>
      <c r="Z86" s="8">
        <f>IF(ABS($Y86)&lt;=tol_cashflow_inr,"PASS","FAIL")</f>
        <v/>
      </c>
      <c r="AA86" s="7" t="inlineStr">
        <is>
          <t>direction x lots x lot_kg x (F(s) - F(s-1))</t>
        </is>
      </c>
    </row>
    <row r="87">
      <c r="A87" s="7" t="inlineStr">
        <is>
          <t>T01</t>
        </is>
      </c>
      <c r="B87" s="7" t="inlineStr">
        <is>
          <t>INSURANCE:L2</t>
        </is>
      </c>
      <c r="C87" s="7" t="inlineStr">
        <is>
          <t>L2</t>
        </is>
      </c>
      <c r="D87" s="7" t="inlineStr">
        <is>
          <t>INSURANCE</t>
        </is>
      </c>
      <c r="E87" s="7" t="inlineStr">
        <is>
          <t>INSURANCE</t>
        </is>
      </c>
      <c r="F87" s="7" t="inlineStr">
        <is>
          <t>PNL</t>
        </is>
      </c>
      <c r="G87" s="7" t="inlineStr">
        <is>
          <t>USD</t>
        </is>
      </c>
      <c r="H87" s="11" t="n">
        <v>44628</v>
      </c>
      <c r="I87" s="11" t="n">
        <v>44655</v>
      </c>
      <c r="J87" s="11" t="n">
        <v>44655</v>
      </c>
      <c r="K87" s="11" t="n">
        <v>44655</v>
      </c>
      <c r="L87" s="7" t="inlineStr">
        <is>
          <t>roll following on the LME panel calendar</t>
        </is>
      </c>
      <c r="N87" s="7" t="inlineStr">
        <is>
          <t>ASSUMPTION</t>
        </is>
      </c>
      <c r="O87" s="9" t="n">
        <v>-2257.64</v>
      </c>
      <c r="P87" s="9" t="n">
        <v>-170513.91</v>
      </c>
      <c r="U87" s="7" t="inlineStr">
        <is>
          <t>PYTHON_LIFECYCLE</t>
        </is>
      </c>
      <c r="V87" s="8">
        <f>$O87</f>
        <v/>
      </c>
      <c r="W87" s="8">
        <f>IF($G87="INR",1,INDEX(Market_Daily!$F$6:$F$256,MATCH($K87,Market_Daily!$A$6:$A$256,0)))</f>
        <v/>
      </c>
      <c r="X87" s="8">
        <f>$V87*$W87</f>
        <v/>
      </c>
      <c r="Y87" s="18">
        <f>$X87-$P87</f>
        <v/>
      </c>
      <c r="Z87" s="8">
        <f>IF(ABS($Y87)&lt;=tol_cashflow_inr,"PASS","FAIL")</f>
        <v/>
      </c>
      <c r="AA87" s="7" t="inlineStr">
        <is>
          <t>-insurance_rate x insured_value_uplift x cfr_value_usd</t>
        </is>
      </c>
    </row>
    <row r="88">
      <c r="A88" s="7" t="inlineStr">
        <is>
          <t>T01</t>
        </is>
      </c>
      <c r="B88" s="7" t="inlineStr">
        <is>
          <t>MCX:T01-MCX-1</t>
        </is>
      </c>
      <c r="C88" s="7" t="inlineStr">
        <is>
          <t>T01-MCX-1</t>
        </is>
      </c>
      <c r="D88" s="7" t="inlineStr">
        <is>
          <t>MCX_INITIAL_MARGIN</t>
        </is>
      </c>
      <c r="E88" s="7" t="inlineStr">
        <is>
          <t>MCX_INITIAL_MARGIN</t>
        </is>
      </c>
      <c r="F88" s="7" t="inlineStr">
        <is>
          <t>BS</t>
        </is>
      </c>
      <c r="G88" s="7" t="inlineStr">
        <is>
          <t>INR</t>
        </is>
      </c>
      <c r="H88" s="11" t="n">
        <v>44629</v>
      </c>
      <c r="I88" s="11" t="n">
        <v>44655</v>
      </c>
      <c r="J88" s="11" t="n">
        <v>44655</v>
      </c>
      <c r="K88" s="11" t="n">
        <v>44655</v>
      </c>
      <c r="L88" s="7" t="inlineStr">
        <is>
          <t>roll following on the LME panel calendar</t>
        </is>
      </c>
      <c r="N88" s="7" t="inlineStr">
        <is>
          <t>PROXY</t>
        </is>
      </c>
      <c r="O88" s="9" t="n">
        <v>503996.07</v>
      </c>
      <c r="P88" s="9" t="n">
        <v>503996.07</v>
      </c>
      <c r="U88" s="7" t="inlineStr">
        <is>
          <t>DERIVED_IN_WORKBOOK</t>
        </is>
      </c>
      <c r="V88" s="8">
        <f>-SUMIFS(Cashflows!$W$1043:$W$1393,Cashflows!$B$1043:$B$1393,$C88,Cashflows!$C$1043:$C$1393,$K88)</f>
        <v/>
      </c>
      <c r="W88" s="8">
        <f>IF($G88="INR",1,INDEX(Market_Daily!$F$6:$F$256,MATCH($K88,Market_Daily!$A$6:$A$256,0)))</f>
        <v/>
      </c>
      <c r="X88" s="8">
        <f>$V88*$W88</f>
        <v/>
      </c>
      <c r="Y88" s="18">
        <f>$X88-$P88</f>
        <v/>
      </c>
      <c r="Z88" s="8">
        <f>IF(ABS($Y88)&lt;=tol_cashflow_inr,"PASS","FAIL")</f>
        <v/>
      </c>
      <c r="AA88" s="7" t="inlineStr">
        <is>
          <t>-d(lots x lot_kg x F(s) x mcx_al_margin_used_frac)</t>
        </is>
      </c>
    </row>
    <row r="89">
      <c r="A89" s="7" t="inlineStr">
        <is>
          <t>T01</t>
        </is>
      </c>
      <c r="B89" s="7" t="inlineStr">
        <is>
          <t>MCX:T01-MCX-1</t>
        </is>
      </c>
      <c r="C89" s="7" t="inlineStr">
        <is>
          <t>T01-MCX-1</t>
        </is>
      </c>
      <c r="D89" s="7" t="inlineStr">
        <is>
          <t>MCX_VARIATION_MARGIN</t>
        </is>
      </c>
      <c r="E89" s="7" t="inlineStr">
        <is>
          <t>MCX_VARIATION_MARGIN</t>
        </is>
      </c>
      <c r="F89" s="7" t="inlineStr">
        <is>
          <t>PNL</t>
        </is>
      </c>
      <c r="G89" s="7" t="inlineStr">
        <is>
          <t>INR</t>
        </is>
      </c>
      <c r="H89" s="11" t="n">
        <v>44629</v>
      </c>
      <c r="I89" s="11" t="n">
        <v>44655</v>
      </c>
      <c r="J89" s="11" t="n">
        <v>44655</v>
      </c>
      <c r="K89" s="11" t="n">
        <v>44655</v>
      </c>
      <c r="L89" s="7" t="inlineStr">
        <is>
          <t>roll following on the LME panel calendar</t>
        </is>
      </c>
      <c r="N89" s="7" t="inlineStr">
        <is>
          <t>PROXY</t>
        </is>
      </c>
      <c r="O89" s="9" t="n">
        <v>5039960.72</v>
      </c>
      <c r="P89" s="9" t="n">
        <v>5039960.72</v>
      </c>
      <c r="U89" s="7" t="inlineStr">
        <is>
          <t>DERIVED_IN_WORKBOOK</t>
        </is>
      </c>
      <c r="V89" s="8">
        <f>SUMIFS(Cashflows!$R$1043:$R$1393,Cashflows!$B$1043:$B$1393,$C89,Cashflows!$C$1043:$C$1393,$K89)</f>
        <v/>
      </c>
      <c r="W89" s="8">
        <f>IF($G89="INR",1,INDEX(Market_Daily!$F$6:$F$256,MATCH($K89,Market_Daily!$A$6:$A$256,0)))</f>
        <v/>
      </c>
      <c r="X89" s="8">
        <f>$V89*$W89</f>
        <v/>
      </c>
      <c r="Y89" s="18">
        <f>$X89-$P89</f>
        <v/>
      </c>
      <c r="Z89" s="8">
        <f>IF(ABS($Y89)&lt;=tol_cashflow_inr,"PASS","FAIL")</f>
        <v/>
      </c>
      <c r="AA89" s="7" t="inlineStr">
        <is>
          <t>direction x lots x lot_kg x (F(s) - F(s-1))</t>
        </is>
      </c>
    </row>
    <row r="90">
      <c r="A90" s="7" t="inlineStr">
        <is>
          <t>T01</t>
        </is>
      </c>
      <c r="B90" s="7" t="inlineStr">
        <is>
          <t>MCX:T01-MCX-2</t>
        </is>
      </c>
      <c r="C90" s="7" t="inlineStr">
        <is>
          <t>T01-MCX-2</t>
        </is>
      </c>
      <c r="D90" s="7" t="inlineStr">
        <is>
          <t>MCX_INITIAL_MARGIN</t>
        </is>
      </c>
      <c r="E90" s="7" t="inlineStr">
        <is>
          <t>MCX_INITIAL_MARGIN</t>
        </is>
      </c>
      <c r="F90" s="7" t="inlineStr">
        <is>
          <t>BS</t>
        </is>
      </c>
      <c r="G90" s="7" t="inlineStr">
        <is>
          <t>INR</t>
        </is>
      </c>
      <c r="H90" s="11" t="n">
        <v>44629</v>
      </c>
      <c r="I90" s="11" t="n">
        <v>44655</v>
      </c>
      <c r="J90" s="11" t="n">
        <v>44655</v>
      </c>
      <c r="K90" s="11" t="n">
        <v>44655</v>
      </c>
      <c r="L90" s="7" t="inlineStr">
        <is>
          <t>roll following on the LME panel calendar</t>
        </is>
      </c>
      <c r="N90" s="7" t="inlineStr">
        <is>
          <t>PROXY</t>
        </is>
      </c>
      <c r="O90" s="9" t="n">
        <v>251998.04</v>
      </c>
      <c r="P90" s="9" t="n">
        <v>251998.04</v>
      </c>
      <c r="U90" s="7" t="inlineStr">
        <is>
          <t>DERIVED_IN_WORKBOOK</t>
        </is>
      </c>
      <c r="V90" s="8">
        <f>-SUMIFS(Cashflows!$W$1043:$W$1393,Cashflows!$B$1043:$B$1393,$C90,Cashflows!$C$1043:$C$1393,$K90)</f>
        <v/>
      </c>
      <c r="W90" s="8">
        <f>IF($G90="INR",1,INDEX(Market_Daily!$F$6:$F$256,MATCH($K90,Market_Daily!$A$6:$A$256,0)))</f>
        <v/>
      </c>
      <c r="X90" s="8">
        <f>$V90*$W90</f>
        <v/>
      </c>
      <c r="Y90" s="18">
        <f>$X90-$P90</f>
        <v/>
      </c>
      <c r="Z90" s="8">
        <f>IF(ABS($Y90)&lt;=tol_cashflow_inr,"PASS","FAIL")</f>
        <v/>
      </c>
      <c r="AA90" s="7" t="inlineStr">
        <is>
          <t>-d(lots x lot_kg x F(s) x mcx_al_margin_used_frac)</t>
        </is>
      </c>
    </row>
    <row r="91">
      <c r="A91" s="7" t="inlineStr">
        <is>
          <t>T01</t>
        </is>
      </c>
      <c r="B91" s="7" t="inlineStr">
        <is>
          <t>MCX:T01-MCX-2</t>
        </is>
      </c>
      <c r="C91" s="7" t="inlineStr">
        <is>
          <t>T01-MCX-2</t>
        </is>
      </c>
      <c r="D91" s="7" t="inlineStr">
        <is>
          <t>MCX_VARIATION_MARGIN</t>
        </is>
      </c>
      <c r="E91" s="7" t="inlineStr">
        <is>
          <t>MCX_VARIATION_MARGIN</t>
        </is>
      </c>
      <c r="F91" s="7" t="inlineStr">
        <is>
          <t>PNL</t>
        </is>
      </c>
      <c r="G91" s="7" t="inlineStr">
        <is>
          <t>INR</t>
        </is>
      </c>
      <c r="H91" s="11" t="n">
        <v>44629</v>
      </c>
      <c r="I91" s="11" t="n">
        <v>44655</v>
      </c>
      <c r="J91" s="11" t="n">
        <v>44655</v>
      </c>
      <c r="K91" s="11" t="n">
        <v>44655</v>
      </c>
      <c r="L91" s="7" t="inlineStr">
        <is>
          <t>roll following on the LME panel calendar</t>
        </is>
      </c>
      <c r="N91" s="7" t="inlineStr">
        <is>
          <t>PROXY</t>
        </is>
      </c>
      <c r="O91" s="9" t="n">
        <v>2519980.36</v>
      </c>
      <c r="P91" s="9" t="n">
        <v>2519980.36</v>
      </c>
      <c r="U91" s="7" t="inlineStr">
        <is>
          <t>DERIVED_IN_WORKBOOK</t>
        </is>
      </c>
      <c r="V91" s="8">
        <f>SUMIFS(Cashflows!$R$1043:$R$1393,Cashflows!$B$1043:$B$1393,$C91,Cashflows!$C$1043:$C$1393,$K91)</f>
        <v/>
      </c>
      <c r="W91" s="8">
        <f>IF($G91="INR",1,INDEX(Market_Daily!$F$6:$F$256,MATCH($K91,Market_Daily!$A$6:$A$256,0)))</f>
        <v/>
      </c>
      <c r="X91" s="8">
        <f>$V91*$W91</f>
        <v/>
      </c>
      <c r="Y91" s="18">
        <f>$X91-$P91</f>
        <v/>
      </c>
      <c r="Z91" s="8">
        <f>IF(ABS($Y91)&lt;=tol_cashflow_inr,"PASS","FAIL")</f>
        <v/>
      </c>
      <c r="AA91" s="7" t="inlineStr">
        <is>
          <t>direction x lots x lot_kg x (F(s) - F(s-1))</t>
        </is>
      </c>
    </row>
    <row r="92">
      <c r="A92" s="7" t="inlineStr">
        <is>
          <t>T01</t>
        </is>
      </c>
      <c r="B92" s="7" t="inlineStr">
        <is>
          <t>BILL_COMMISSION:L1</t>
        </is>
      </c>
      <c r="C92" s="7" t="inlineStr">
        <is>
          <t>L1</t>
        </is>
      </c>
      <c r="D92" s="7" t="inlineStr">
        <is>
          <t>IMPORT_BILL_COMMISSION</t>
        </is>
      </c>
      <c r="E92" s="7" t="inlineStr">
        <is>
          <t>IMPORT_BILL_COMMISSION</t>
        </is>
      </c>
      <c r="F92" s="7" t="inlineStr">
        <is>
          <t>PNL</t>
        </is>
      </c>
      <c r="G92" s="7" t="inlineStr">
        <is>
          <t>USD</t>
        </is>
      </c>
      <c r="H92" s="11" t="n">
        <v>44628</v>
      </c>
      <c r="I92" s="11" t="n">
        <v>44656</v>
      </c>
      <c r="J92" s="11" t="n">
        <v>44656</v>
      </c>
      <c r="K92" s="11" t="n">
        <v>44656</v>
      </c>
      <c r="L92" s="7" t="inlineStr">
        <is>
          <t>roll following on the LME panel calendar</t>
        </is>
      </c>
      <c r="N92" s="7" t="inlineStr">
        <is>
          <t>DIRECT</t>
        </is>
      </c>
      <c r="O92" s="9" t="n">
        <v>-2358.72</v>
      </c>
      <c r="P92" s="9" t="n">
        <v>-177694.17</v>
      </c>
      <c r="U92" s="7" t="inlineStr">
        <is>
          <t>PYTHON_LIFECYCLE</t>
        </is>
      </c>
      <c r="V92" s="8">
        <f>$O92</f>
        <v/>
      </c>
      <c r="W92" s="8">
        <f>IF($G92="INR",1,INDEX(Market_Daily!$F$6:$F$256,MATCH($K92,Market_Daily!$A$6:$A$256,0)))</f>
        <v/>
      </c>
      <c r="X92" s="8">
        <f>$V92*$W92</f>
        <v/>
      </c>
      <c r="Y92" s="18">
        <f>$X92-$P92</f>
        <v/>
      </c>
      <c r="Z92" s="8">
        <f>IF(ABS($Y92)&lt;=tol_cashflow_inr,"PASS","FAIL")</f>
        <v/>
      </c>
      <c r="AA92" s="7" t="inlineStr">
        <is>
          <t>-import_bill_commission_frac x bill_usd</t>
        </is>
      </c>
    </row>
    <row r="93">
      <c r="A93" s="7" t="inlineStr">
        <is>
          <t>T01</t>
        </is>
      </c>
      <c r="B93" s="7" t="inlineStr">
        <is>
          <t>FX:T01-FX-1</t>
        </is>
      </c>
      <c r="C93" s="7" t="inlineStr">
        <is>
          <t>T01-FX-1</t>
        </is>
      </c>
      <c r="D93" s="7" t="inlineStr">
        <is>
          <t>FX_FORWARD</t>
        </is>
      </c>
      <c r="E93" s="7" t="inlineStr">
        <is>
          <t>FX_FORWARD</t>
        </is>
      </c>
      <c r="F93" s="7" t="inlineStr">
        <is>
          <t>PNL</t>
        </is>
      </c>
      <c r="G93" s="7" t="inlineStr">
        <is>
          <t>INR</t>
        </is>
      </c>
      <c r="H93" s="11" t="n">
        <v>44649</v>
      </c>
      <c r="I93" s="11" t="n">
        <v>44656</v>
      </c>
      <c r="J93" s="11" t="n">
        <v>44656</v>
      </c>
      <c r="K93" s="11" t="n">
        <v>44656</v>
      </c>
      <c r="L93" s="7" t="inlineStr">
        <is>
          <t>roll following on the LME panel calendar</t>
        </is>
      </c>
      <c r="N93" s="7" t="inlineStr">
        <is>
          <t>PROXY</t>
        </is>
      </c>
      <c r="O93" s="9" t="n">
        <v>-1103339.71</v>
      </c>
      <c r="P93" s="9" t="n">
        <v>-1103339.71</v>
      </c>
      <c r="Q93" s="6" t="n">
        <v>1</v>
      </c>
      <c r="R93" s="13" t="n">
        <v>1965600</v>
      </c>
      <c r="S93" s="12" t="n">
        <v>44656</v>
      </c>
      <c r="T93" s="21" t="n">
        <v>75.896325</v>
      </c>
      <c r="U93" s="7" t="inlineStr">
        <is>
          <t>DERIVED_IN_WORKBOOK</t>
        </is>
      </c>
      <c r="V93" s="8">
        <f>$Q93*$R93*(IF($S93&lt;$K93,INDEX(Market_Daily!$F$6:$F$256,MATCH($S93,Market_Daily!$A$6:$A$256,1)),IF($S93=$K93,INDEX(Market_Daily!$F$6:$F$256,MATCH($K93,Market_Daily!$A$6:$A$256,0)),(INDEX(Market_Daily!$F$6:$F$256,MATCH($K93,Market_Daily!$A$6:$A$256,0))*(1+INDEX(Market_Daily!$I$6:$I$256,MATCH($K93,Market_Daily!$A$6:$A$256,0))*($S93-$K93)/day_count_inr)/(1+INDEX(Market_Daily!$J$6:$J$256,MATCH($K93,Market_Daily!$A$6:$A$256,0))*($S93-$K93)/day_count_usd))))-$T93)</f>
        <v/>
      </c>
      <c r="W93" s="8">
        <f>IF($G93="INR",1,INDEX(Market_Daily!$F$6:$F$256,MATCH($K93,Market_Daily!$A$6:$A$256,0)))</f>
        <v/>
      </c>
      <c r="X93" s="8">
        <f>$V93*$W93</f>
        <v/>
      </c>
      <c r="Y93" s="18">
        <f>$X93-$P93</f>
        <v/>
      </c>
      <c r="Z93" s="8">
        <f>IF(ABS($Y93)&lt;=tol_cashflow_inr,"PASS","FAIL")</f>
        <v/>
      </c>
      <c r="AA93" s="7" t="inlineStr">
        <is>
          <t>sign x notional x (X(tau, value_date) - K)</t>
        </is>
      </c>
    </row>
    <row r="94">
      <c r="A94" s="7" t="inlineStr">
        <is>
          <t>T01</t>
        </is>
      </c>
      <c r="B94" s="7" t="inlineStr">
        <is>
          <t>MCX:T01-MCX-1</t>
        </is>
      </c>
      <c r="C94" s="7" t="inlineStr">
        <is>
          <t>T01-MCX-1</t>
        </is>
      </c>
      <c r="D94" s="7" t="inlineStr">
        <is>
          <t>MCX_INITIAL_MARGIN</t>
        </is>
      </c>
      <c r="E94" s="7" t="inlineStr">
        <is>
          <t>MCX_INITIAL_MARGIN</t>
        </is>
      </c>
      <c r="F94" s="7" t="inlineStr">
        <is>
          <t>BS</t>
        </is>
      </c>
      <c r="G94" s="7" t="inlineStr">
        <is>
          <t>INR</t>
        </is>
      </c>
      <c r="H94" s="11" t="n">
        <v>44629</v>
      </c>
      <c r="I94" s="11" t="n">
        <v>44656</v>
      </c>
      <c r="J94" s="11" t="n">
        <v>44656</v>
      </c>
      <c r="K94" s="11" t="n">
        <v>44656</v>
      </c>
      <c r="L94" s="7" t="inlineStr">
        <is>
          <t>roll following on the LME panel calendar</t>
        </is>
      </c>
      <c r="N94" s="7" t="inlineStr">
        <is>
          <t>PROXY</t>
        </is>
      </c>
      <c r="O94" s="9" t="n">
        <v>312085.87</v>
      </c>
      <c r="P94" s="9" t="n">
        <v>312085.87</v>
      </c>
      <c r="U94" s="7" t="inlineStr">
        <is>
          <t>DERIVED_IN_WORKBOOK</t>
        </is>
      </c>
      <c r="V94" s="8">
        <f>-SUMIFS(Cashflows!$W$1043:$W$1393,Cashflows!$B$1043:$B$1393,$C94,Cashflows!$C$1043:$C$1393,$K94)</f>
        <v/>
      </c>
      <c r="W94" s="8">
        <f>IF($G94="INR",1,INDEX(Market_Daily!$F$6:$F$256,MATCH($K94,Market_Daily!$A$6:$A$256,0)))</f>
        <v/>
      </c>
      <c r="X94" s="8">
        <f>$V94*$W94</f>
        <v/>
      </c>
      <c r="Y94" s="18">
        <f>$X94-$P94</f>
        <v/>
      </c>
      <c r="Z94" s="8">
        <f>IF(ABS($Y94)&lt;=tol_cashflow_inr,"PASS","FAIL")</f>
        <v/>
      </c>
      <c r="AA94" s="7" t="inlineStr">
        <is>
          <t>-d(lots x lot_kg x F(s) x mcx_al_margin_used_frac)</t>
        </is>
      </c>
    </row>
    <row r="95">
      <c r="A95" s="7" t="inlineStr">
        <is>
          <t>T01</t>
        </is>
      </c>
      <c r="B95" s="7" t="inlineStr">
        <is>
          <t>MCX:T01-MCX-1</t>
        </is>
      </c>
      <c r="C95" s="7" t="inlineStr">
        <is>
          <t>T01-MCX-1</t>
        </is>
      </c>
      <c r="D95" s="7" t="inlineStr">
        <is>
          <t>MCX_VARIATION_MARGIN</t>
        </is>
      </c>
      <c r="E95" s="7" t="inlineStr">
        <is>
          <t>MCX_VARIATION_MARGIN</t>
        </is>
      </c>
      <c r="F95" s="7" t="inlineStr">
        <is>
          <t>PNL</t>
        </is>
      </c>
      <c r="G95" s="7" t="inlineStr">
        <is>
          <t>INR</t>
        </is>
      </c>
      <c r="H95" s="11" t="n">
        <v>44629</v>
      </c>
      <c r="I95" s="11" t="n">
        <v>44656</v>
      </c>
      <c r="J95" s="11" t="n">
        <v>44656</v>
      </c>
      <c r="K95" s="11" t="n">
        <v>44656</v>
      </c>
      <c r="L95" s="7" t="inlineStr">
        <is>
          <t>roll following on the LME panel calendar</t>
        </is>
      </c>
      <c r="N95" s="7" t="inlineStr">
        <is>
          <t>PROXY</t>
        </is>
      </c>
      <c r="O95" s="9" t="n">
        <v>3120858.67</v>
      </c>
      <c r="P95" s="9" t="n">
        <v>3120858.67</v>
      </c>
      <c r="U95" s="7" t="inlineStr">
        <is>
          <t>DERIVED_IN_WORKBOOK</t>
        </is>
      </c>
      <c r="V95" s="8">
        <f>SUMIFS(Cashflows!$R$1043:$R$1393,Cashflows!$B$1043:$B$1393,$C95,Cashflows!$C$1043:$C$1393,$K95)</f>
        <v/>
      </c>
      <c r="W95" s="8">
        <f>IF($G95="INR",1,INDEX(Market_Daily!$F$6:$F$256,MATCH($K95,Market_Daily!$A$6:$A$256,0)))</f>
        <v/>
      </c>
      <c r="X95" s="8">
        <f>$V95*$W95</f>
        <v/>
      </c>
      <c r="Y95" s="18">
        <f>$X95-$P95</f>
        <v/>
      </c>
      <c r="Z95" s="8">
        <f>IF(ABS($Y95)&lt;=tol_cashflow_inr,"PASS","FAIL")</f>
        <v/>
      </c>
      <c r="AA95" s="7" t="inlineStr">
        <is>
          <t>direction x lots x lot_kg x (F(s) - F(s-1))</t>
        </is>
      </c>
    </row>
    <row r="96">
      <c r="A96" s="7" t="inlineStr">
        <is>
          <t>T01</t>
        </is>
      </c>
      <c r="B96" s="7" t="inlineStr">
        <is>
          <t>MCX:T01-MCX-2</t>
        </is>
      </c>
      <c r="C96" s="7" t="inlineStr">
        <is>
          <t>T01-MCX-2</t>
        </is>
      </c>
      <c r="D96" s="7" t="inlineStr">
        <is>
          <t>MCX_INITIAL_MARGIN</t>
        </is>
      </c>
      <c r="E96" s="7" t="inlineStr">
        <is>
          <t>MCX_INITIAL_MARGIN</t>
        </is>
      </c>
      <c r="F96" s="7" t="inlineStr">
        <is>
          <t>BS</t>
        </is>
      </c>
      <c r="G96" s="7" t="inlineStr">
        <is>
          <t>INR</t>
        </is>
      </c>
      <c r="H96" s="11" t="n">
        <v>44629</v>
      </c>
      <c r="I96" s="11" t="n">
        <v>44656</v>
      </c>
      <c r="J96" s="11" t="n">
        <v>44656</v>
      </c>
      <c r="K96" s="11" t="n">
        <v>44656</v>
      </c>
      <c r="L96" s="7" t="inlineStr">
        <is>
          <t>roll following on the LME panel calendar</t>
        </is>
      </c>
      <c r="N96" s="7" t="inlineStr">
        <is>
          <t>PROXY</t>
        </is>
      </c>
      <c r="O96" s="9" t="n">
        <v>156042.93</v>
      </c>
      <c r="P96" s="9" t="n">
        <v>156042.93</v>
      </c>
      <c r="U96" s="7" t="inlineStr">
        <is>
          <t>DERIVED_IN_WORKBOOK</t>
        </is>
      </c>
      <c r="V96" s="8">
        <f>-SUMIFS(Cashflows!$W$1043:$W$1393,Cashflows!$B$1043:$B$1393,$C96,Cashflows!$C$1043:$C$1393,$K96)</f>
        <v/>
      </c>
      <c r="W96" s="8">
        <f>IF($G96="INR",1,INDEX(Market_Daily!$F$6:$F$256,MATCH($K96,Market_Daily!$A$6:$A$256,0)))</f>
        <v/>
      </c>
      <c r="X96" s="8">
        <f>$V96*$W96</f>
        <v/>
      </c>
      <c r="Y96" s="18">
        <f>$X96-$P96</f>
        <v/>
      </c>
      <c r="Z96" s="8">
        <f>IF(ABS($Y96)&lt;=tol_cashflow_inr,"PASS","FAIL")</f>
        <v/>
      </c>
      <c r="AA96" s="7" t="inlineStr">
        <is>
          <t>-d(lots x lot_kg x F(s) x mcx_al_margin_used_frac)</t>
        </is>
      </c>
    </row>
    <row r="97">
      <c r="A97" s="7" t="inlineStr">
        <is>
          <t>T01</t>
        </is>
      </c>
      <c r="B97" s="7" t="inlineStr">
        <is>
          <t>MCX:T01-MCX-2</t>
        </is>
      </c>
      <c r="C97" s="7" t="inlineStr">
        <is>
          <t>T01-MCX-2</t>
        </is>
      </c>
      <c r="D97" s="7" t="inlineStr">
        <is>
          <t>MCX_VARIATION_MARGIN</t>
        </is>
      </c>
      <c r="E97" s="7" t="inlineStr">
        <is>
          <t>MCX_VARIATION_MARGIN</t>
        </is>
      </c>
      <c r="F97" s="7" t="inlineStr">
        <is>
          <t>PNL</t>
        </is>
      </c>
      <c r="G97" s="7" t="inlineStr">
        <is>
          <t>INR</t>
        </is>
      </c>
      <c r="H97" s="11" t="n">
        <v>44629</v>
      </c>
      <c r="I97" s="11" t="n">
        <v>44656</v>
      </c>
      <c r="J97" s="11" t="n">
        <v>44656</v>
      </c>
      <c r="K97" s="11" t="n">
        <v>44656</v>
      </c>
      <c r="L97" s="7" t="inlineStr">
        <is>
          <t>roll following on the LME panel calendar</t>
        </is>
      </c>
      <c r="N97" s="7" t="inlineStr">
        <is>
          <t>PROXY</t>
        </is>
      </c>
      <c r="O97" s="9" t="n">
        <v>1560429.34</v>
      </c>
      <c r="P97" s="9" t="n">
        <v>1560429.34</v>
      </c>
      <c r="U97" s="7" t="inlineStr">
        <is>
          <t>DERIVED_IN_WORKBOOK</t>
        </is>
      </c>
      <c r="V97" s="8">
        <f>SUMIFS(Cashflows!$R$1043:$R$1393,Cashflows!$B$1043:$B$1393,$C97,Cashflows!$C$1043:$C$1393,$K97)</f>
        <v/>
      </c>
      <c r="W97" s="8">
        <f>IF($G97="INR",1,INDEX(Market_Daily!$F$6:$F$256,MATCH($K97,Market_Daily!$A$6:$A$256,0)))</f>
        <v/>
      </c>
      <c r="X97" s="8">
        <f>$V97*$W97</f>
        <v/>
      </c>
      <c r="Y97" s="18">
        <f>$X97-$P97</f>
        <v/>
      </c>
      <c r="Z97" s="8">
        <f>IF(ABS($Y97)&lt;=tol_cashflow_inr,"PASS","FAIL")</f>
        <v/>
      </c>
      <c r="AA97" s="7" t="inlineStr">
        <is>
          <t>direction x lots x lot_kg x (F(s) - F(s-1))</t>
        </is>
      </c>
    </row>
    <row r="98">
      <c r="A98" s="7" t="inlineStr">
        <is>
          <t>T01</t>
        </is>
      </c>
      <c r="B98" s="7" t="inlineStr">
        <is>
          <t>PURCHASE:L1</t>
        </is>
      </c>
      <c r="C98" s="7" t="inlineStr">
        <is>
          <t>L1</t>
        </is>
      </c>
      <c r="D98" s="7" t="inlineStr">
        <is>
          <t>PURCHASE_INVOICE</t>
        </is>
      </c>
      <c r="E98" s="7" t="inlineStr">
        <is>
          <t>PURCHASE_INVOICE</t>
        </is>
      </c>
      <c r="F98" s="7" t="inlineStr">
        <is>
          <t>PNL</t>
        </is>
      </c>
      <c r="G98" s="7" t="inlineStr">
        <is>
          <t>USD</t>
        </is>
      </c>
      <c r="H98" s="11" t="n">
        <v>44628</v>
      </c>
      <c r="J98" s="11" t="n">
        <v>44656</v>
      </c>
      <c r="K98" s="11" t="n">
        <v>44656</v>
      </c>
      <c r="L98" s="7" t="inlineStr">
        <is>
          <t>roll following on the LME panel calendar</t>
        </is>
      </c>
      <c r="N98" s="7" t="inlineStr">
        <is>
          <t>SIM</t>
        </is>
      </c>
      <c r="O98" s="9" t="n">
        <v>-1965600</v>
      </c>
      <c r="P98" s="9" t="n">
        <v>-148078476</v>
      </c>
      <c r="U98" s="7" t="inlineStr">
        <is>
          <t>PYTHON_LIFECYCLE</t>
        </is>
      </c>
      <c r="V98" s="8">
        <f>$O98</f>
        <v/>
      </c>
      <c r="W98" s="8">
        <f>IF($G98="INR",1,INDEX(Market_Daily!$F$6:$F$256,MATCH($K98,Market_Daily!$A$6:$A$256,0)))</f>
        <v/>
      </c>
      <c r="X98" s="8">
        <f>$V98*$W98</f>
        <v/>
      </c>
      <c r="Y98" s="18">
        <f>$X98-$P98</f>
        <v/>
      </c>
      <c r="Z98" s="8">
        <f>IF(ABS($Y98)&lt;=tol_cashflow_inr,"PASS","FAIL")</f>
        <v/>
      </c>
      <c r="AA98" s="7" t="inlineStr">
        <is>
          <t>-q_bl x price_usd_t</t>
        </is>
      </c>
    </row>
    <row r="99">
      <c r="A99" s="7" t="inlineStr">
        <is>
          <t>T01</t>
        </is>
      </c>
      <c r="B99" s="7" t="inlineStr">
        <is>
          <t>MCX:T01-MCX-1</t>
        </is>
      </c>
      <c r="C99" s="7" t="inlineStr">
        <is>
          <t>T01-MCX-1</t>
        </is>
      </c>
      <c r="D99" s="7" t="inlineStr">
        <is>
          <t>MCX_INITIAL_MARGIN</t>
        </is>
      </c>
      <c r="E99" s="7" t="inlineStr">
        <is>
          <t>MCX_INITIAL_MARGIN</t>
        </is>
      </c>
      <c r="F99" s="7" t="inlineStr">
        <is>
          <t>BS</t>
        </is>
      </c>
      <c r="G99" s="7" t="inlineStr">
        <is>
          <t>INR</t>
        </is>
      </c>
      <c r="H99" s="11" t="n">
        <v>44629</v>
      </c>
      <c r="I99" s="11" t="n">
        <v>44657</v>
      </c>
      <c r="J99" s="11" t="n">
        <v>44657</v>
      </c>
      <c r="K99" s="11" t="n">
        <v>44657</v>
      </c>
      <c r="L99" s="7" t="inlineStr">
        <is>
          <t>roll following on the LME panel calendar</t>
        </is>
      </c>
      <c r="N99" s="7" t="inlineStr">
        <is>
          <t>PROXY</t>
        </is>
      </c>
      <c r="O99" s="9" t="n">
        <v>-416763.39</v>
      </c>
      <c r="P99" s="9" t="n">
        <v>-416763.39</v>
      </c>
      <c r="U99" s="7" t="inlineStr">
        <is>
          <t>DERIVED_IN_WORKBOOK</t>
        </is>
      </c>
      <c r="V99" s="8">
        <f>-SUMIFS(Cashflows!$W$1043:$W$1393,Cashflows!$B$1043:$B$1393,$C99,Cashflows!$C$1043:$C$1393,$K99)</f>
        <v/>
      </c>
      <c r="W99" s="8">
        <f>IF($G99="INR",1,INDEX(Market_Daily!$F$6:$F$256,MATCH($K99,Market_Daily!$A$6:$A$256,0)))</f>
        <v/>
      </c>
      <c r="X99" s="8">
        <f>$V99*$W99</f>
        <v/>
      </c>
      <c r="Y99" s="18">
        <f>$X99-$P99</f>
        <v/>
      </c>
      <c r="Z99" s="8">
        <f>IF(ABS($Y99)&lt;=tol_cashflow_inr,"PASS","FAIL")</f>
        <v/>
      </c>
      <c r="AA99" s="7" t="inlineStr">
        <is>
          <t>-d(lots x lot_kg x F(s) x mcx_al_margin_used_frac)</t>
        </is>
      </c>
    </row>
    <row r="100">
      <c r="A100" s="7" t="inlineStr">
        <is>
          <t>T01</t>
        </is>
      </c>
      <c r="B100" s="7" t="inlineStr">
        <is>
          <t>MCX:T01-MCX-1</t>
        </is>
      </c>
      <c r="C100" s="7" t="inlineStr">
        <is>
          <t>T01-MCX-1</t>
        </is>
      </c>
      <c r="D100" s="7" t="inlineStr">
        <is>
          <t>MCX_VARIATION_MARGIN</t>
        </is>
      </c>
      <c r="E100" s="7" t="inlineStr">
        <is>
          <t>MCX_VARIATION_MARGIN</t>
        </is>
      </c>
      <c r="F100" s="7" t="inlineStr">
        <is>
          <t>PNL</t>
        </is>
      </c>
      <c r="G100" s="7" t="inlineStr">
        <is>
          <t>INR</t>
        </is>
      </c>
      <c r="H100" s="11" t="n">
        <v>44629</v>
      </c>
      <c r="I100" s="11" t="n">
        <v>44657</v>
      </c>
      <c r="J100" s="11" t="n">
        <v>44657</v>
      </c>
      <c r="K100" s="11" t="n">
        <v>44657</v>
      </c>
      <c r="L100" s="7" t="inlineStr">
        <is>
          <t>roll following on the LME panel calendar</t>
        </is>
      </c>
      <c r="N100" s="7" t="inlineStr">
        <is>
          <t>PROXY</t>
        </is>
      </c>
      <c r="O100" s="9" t="n">
        <v>-4167633.89</v>
      </c>
      <c r="P100" s="9" t="n">
        <v>-4167633.89</v>
      </c>
      <c r="U100" s="7" t="inlineStr">
        <is>
          <t>DERIVED_IN_WORKBOOK</t>
        </is>
      </c>
      <c r="V100" s="8">
        <f>SUMIFS(Cashflows!$R$1043:$R$1393,Cashflows!$B$1043:$B$1393,$C100,Cashflows!$C$1043:$C$1393,$K100)</f>
        <v/>
      </c>
      <c r="W100" s="8">
        <f>IF($G100="INR",1,INDEX(Market_Daily!$F$6:$F$256,MATCH($K100,Market_Daily!$A$6:$A$256,0)))</f>
        <v/>
      </c>
      <c r="X100" s="8">
        <f>$V100*$W100</f>
        <v/>
      </c>
      <c r="Y100" s="18">
        <f>$X100-$P100</f>
        <v/>
      </c>
      <c r="Z100" s="8">
        <f>IF(ABS($Y100)&lt;=tol_cashflow_inr,"PASS","FAIL")</f>
        <v/>
      </c>
      <c r="AA100" s="7" t="inlineStr">
        <is>
          <t>direction x lots x lot_kg x (F(s) - F(s-1))</t>
        </is>
      </c>
    </row>
    <row r="101">
      <c r="A101" s="7" t="inlineStr">
        <is>
          <t>T01</t>
        </is>
      </c>
      <c r="B101" s="7" t="inlineStr">
        <is>
          <t>MCX:T01-MCX-2</t>
        </is>
      </c>
      <c r="C101" s="7" t="inlineStr">
        <is>
          <t>T01-MCX-2</t>
        </is>
      </c>
      <c r="D101" s="7" t="inlineStr">
        <is>
          <t>MCX_INITIAL_MARGIN</t>
        </is>
      </c>
      <c r="E101" s="7" t="inlineStr">
        <is>
          <t>MCX_INITIAL_MARGIN</t>
        </is>
      </c>
      <c r="F101" s="7" t="inlineStr">
        <is>
          <t>BS</t>
        </is>
      </c>
      <c r="G101" s="7" t="inlineStr">
        <is>
          <t>INR</t>
        </is>
      </c>
      <c r="H101" s="11" t="n">
        <v>44629</v>
      </c>
      <c r="I101" s="11" t="n">
        <v>44657</v>
      </c>
      <c r="J101" s="11" t="n">
        <v>44657</v>
      </c>
      <c r="K101" s="11" t="n">
        <v>44657</v>
      </c>
      <c r="L101" s="7" t="inlineStr">
        <is>
          <t>roll following on the LME panel calendar</t>
        </is>
      </c>
      <c r="N101" s="7" t="inlineStr">
        <is>
          <t>PROXY</t>
        </is>
      </c>
      <c r="O101" s="9" t="n">
        <v>-208381.69</v>
      </c>
      <c r="P101" s="9" t="n">
        <v>-208381.69</v>
      </c>
      <c r="U101" s="7" t="inlineStr">
        <is>
          <t>DERIVED_IN_WORKBOOK</t>
        </is>
      </c>
      <c r="V101" s="8">
        <f>-SUMIFS(Cashflows!$W$1043:$W$1393,Cashflows!$B$1043:$B$1393,$C101,Cashflows!$C$1043:$C$1393,$K101)</f>
        <v/>
      </c>
      <c r="W101" s="8">
        <f>IF($G101="INR",1,INDEX(Market_Daily!$F$6:$F$256,MATCH($K101,Market_Daily!$A$6:$A$256,0)))</f>
        <v/>
      </c>
      <c r="X101" s="8">
        <f>$V101*$W101</f>
        <v/>
      </c>
      <c r="Y101" s="18">
        <f>$X101-$P101</f>
        <v/>
      </c>
      <c r="Z101" s="8">
        <f>IF(ABS($Y101)&lt;=tol_cashflow_inr,"PASS","FAIL")</f>
        <v/>
      </c>
      <c r="AA101" s="7" t="inlineStr">
        <is>
          <t>-d(lots x lot_kg x F(s) x mcx_al_margin_used_frac)</t>
        </is>
      </c>
    </row>
    <row r="102">
      <c r="A102" s="7" t="inlineStr">
        <is>
          <t>T01</t>
        </is>
      </c>
      <c r="B102" s="7" t="inlineStr">
        <is>
          <t>MCX:T01-MCX-2</t>
        </is>
      </c>
      <c r="C102" s="7" t="inlineStr">
        <is>
          <t>T01-MCX-2</t>
        </is>
      </c>
      <c r="D102" s="7" t="inlineStr">
        <is>
          <t>MCX_VARIATION_MARGIN</t>
        </is>
      </c>
      <c r="E102" s="7" t="inlineStr">
        <is>
          <t>MCX_VARIATION_MARGIN</t>
        </is>
      </c>
      <c r="F102" s="7" t="inlineStr">
        <is>
          <t>PNL</t>
        </is>
      </c>
      <c r="G102" s="7" t="inlineStr">
        <is>
          <t>INR</t>
        </is>
      </c>
      <c r="H102" s="11" t="n">
        <v>44629</v>
      </c>
      <c r="I102" s="11" t="n">
        <v>44657</v>
      </c>
      <c r="J102" s="11" t="n">
        <v>44657</v>
      </c>
      <c r="K102" s="11" t="n">
        <v>44657</v>
      </c>
      <c r="L102" s="7" t="inlineStr">
        <is>
          <t>roll following on the LME panel calendar</t>
        </is>
      </c>
      <c r="N102" s="7" t="inlineStr">
        <is>
          <t>PROXY</t>
        </is>
      </c>
      <c r="O102" s="9" t="n">
        <v>-2083816.94</v>
      </c>
      <c r="P102" s="9" t="n">
        <v>-2083816.94</v>
      </c>
      <c r="U102" s="7" t="inlineStr">
        <is>
          <t>DERIVED_IN_WORKBOOK</t>
        </is>
      </c>
      <c r="V102" s="8">
        <f>SUMIFS(Cashflows!$R$1043:$R$1393,Cashflows!$B$1043:$B$1393,$C102,Cashflows!$C$1043:$C$1393,$K102)</f>
        <v/>
      </c>
      <c r="W102" s="8">
        <f>IF($G102="INR",1,INDEX(Market_Daily!$F$6:$F$256,MATCH($K102,Market_Daily!$A$6:$A$256,0)))</f>
        <v/>
      </c>
      <c r="X102" s="8">
        <f>$V102*$W102</f>
        <v/>
      </c>
      <c r="Y102" s="18">
        <f>$X102-$P102</f>
        <v/>
      </c>
      <c r="Z102" s="8">
        <f>IF(ABS($Y102)&lt;=tol_cashflow_inr,"PASS","FAIL")</f>
        <v/>
      </c>
      <c r="AA102" s="7" t="inlineStr">
        <is>
          <t>direction x lots x lot_kg x (F(s) - F(s-1))</t>
        </is>
      </c>
    </row>
    <row r="103">
      <c r="A103" s="7" t="inlineStr">
        <is>
          <t>T01</t>
        </is>
      </c>
      <c r="B103" s="7" t="inlineStr">
        <is>
          <t>INSURANCE:L3</t>
        </is>
      </c>
      <c r="C103" s="7" t="inlineStr">
        <is>
          <t>L3</t>
        </is>
      </c>
      <c r="D103" s="7" t="inlineStr">
        <is>
          <t>INSURANCE</t>
        </is>
      </c>
      <c r="E103" s="7" t="inlineStr">
        <is>
          <t>INSURANCE</t>
        </is>
      </c>
      <c r="F103" s="7" t="inlineStr">
        <is>
          <t>PNL</t>
        </is>
      </c>
      <c r="G103" s="7" t="inlineStr">
        <is>
          <t>USD</t>
        </is>
      </c>
      <c r="H103" s="11" t="n">
        <v>44628</v>
      </c>
      <c r="I103" s="11" t="n">
        <v>44658</v>
      </c>
      <c r="J103" s="11" t="n">
        <v>44658</v>
      </c>
      <c r="K103" s="11" t="n">
        <v>44658</v>
      </c>
      <c r="L103" s="7" t="inlineStr">
        <is>
          <t>roll following on the LME panel calendar</t>
        </is>
      </c>
      <c r="N103" s="7" t="inlineStr">
        <is>
          <t>ASSUMPTION</t>
        </is>
      </c>
      <c r="O103" s="9" t="n">
        <v>-2257.64</v>
      </c>
      <c r="P103" s="9" t="n">
        <v>-171558.74</v>
      </c>
      <c r="U103" s="7" t="inlineStr">
        <is>
          <t>PYTHON_LIFECYCLE</t>
        </is>
      </c>
      <c r="V103" s="8">
        <f>$O103</f>
        <v/>
      </c>
      <c r="W103" s="8">
        <f>IF($G103="INR",1,INDEX(Market_Daily!$F$6:$F$256,MATCH($K103,Market_Daily!$A$6:$A$256,0)))</f>
        <v/>
      </c>
      <c r="X103" s="8">
        <f>$V103*$W103</f>
        <v/>
      </c>
      <c r="Y103" s="18">
        <f>$X103-$P103</f>
        <v/>
      </c>
      <c r="Z103" s="8">
        <f>IF(ABS($Y103)&lt;=tol_cashflow_inr,"PASS","FAIL")</f>
        <v/>
      </c>
      <c r="AA103" s="7" t="inlineStr">
        <is>
          <t>-insurance_rate x insured_value_uplift x cfr_value_usd</t>
        </is>
      </c>
    </row>
    <row r="104">
      <c r="A104" s="7" t="inlineStr">
        <is>
          <t>T01</t>
        </is>
      </c>
      <c r="B104" s="7" t="inlineStr">
        <is>
          <t>MCX:T01-MCX-1</t>
        </is>
      </c>
      <c r="C104" s="7" t="inlineStr">
        <is>
          <t>T01-MCX-1</t>
        </is>
      </c>
      <c r="D104" s="7" t="inlineStr">
        <is>
          <t>MCX_INITIAL_MARGIN</t>
        </is>
      </c>
      <c r="E104" s="7" t="inlineStr">
        <is>
          <t>MCX_INITIAL_MARGIN</t>
        </is>
      </c>
      <c r="F104" s="7" t="inlineStr">
        <is>
          <t>BS</t>
        </is>
      </c>
      <c r="G104" s="7" t="inlineStr">
        <is>
          <t>INR</t>
        </is>
      </c>
      <c r="H104" s="11" t="n">
        <v>44629</v>
      </c>
      <c r="I104" s="11" t="n">
        <v>44658</v>
      </c>
      <c r="J104" s="11" t="n">
        <v>44658</v>
      </c>
      <c r="K104" s="11" t="n">
        <v>44658</v>
      </c>
      <c r="L104" s="7" t="inlineStr">
        <is>
          <t>roll following on the LME panel calendar</t>
        </is>
      </c>
      <c r="N104" s="7" t="inlineStr">
        <is>
          <t>PROXY</t>
        </is>
      </c>
      <c r="O104" s="9" t="n">
        <v>748866.79</v>
      </c>
      <c r="P104" s="9" t="n">
        <v>748866.79</v>
      </c>
      <c r="U104" s="7" t="inlineStr">
        <is>
          <t>DERIVED_IN_WORKBOOK</t>
        </is>
      </c>
      <c r="V104" s="8">
        <f>-SUMIFS(Cashflows!$W$1043:$W$1393,Cashflows!$B$1043:$B$1393,$C104,Cashflows!$C$1043:$C$1393,$K104)</f>
        <v/>
      </c>
      <c r="W104" s="8">
        <f>IF($G104="INR",1,INDEX(Market_Daily!$F$6:$F$256,MATCH($K104,Market_Daily!$A$6:$A$256,0)))</f>
        <v/>
      </c>
      <c r="X104" s="8">
        <f>$V104*$W104</f>
        <v/>
      </c>
      <c r="Y104" s="18">
        <f>$X104-$P104</f>
        <v/>
      </c>
      <c r="Z104" s="8">
        <f>IF(ABS($Y104)&lt;=tol_cashflow_inr,"PASS","FAIL")</f>
        <v/>
      </c>
      <c r="AA104" s="7" t="inlineStr">
        <is>
          <t>-d(lots x lot_kg x F(s) x mcx_al_margin_used_frac)</t>
        </is>
      </c>
    </row>
    <row r="105">
      <c r="A105" s="7" t="inlineStr">
        <is>
          <t>T01</t>
        </is>
      </c>
      <c r="B105" s="7" t="inlineStr">
        <is>
          <t>MCX:T01-MCX-1</t>
        </is>
      </c>
      <c r="C105" s="7" t="inlineStr">
        <is>
          <t>T01-MCX-1</t>
        </is>
      </c>
      <c r="D105" s="7" t="inlineStr">
        <is>
          <t>MCX_VARIATION_MARGIN</t>
        </is>
      </c>
      <c r="E105" s="7" t="inlineStr">
        <is>
          <t>MCX_VARIATION_MARGIN</t>
        </is>
      </c>
      <c r="F105" s="7" t="inlineStr">
        <is>
          <t>PNL</t>
        </is>
      </c>
      <c r="G105" s="7" t="inlineStr">
        <is>
          <t>INR</t>
        </is>
      </c>
      <c r="H105" s="11" t="n">
        <v>44629</v>
      </c>
      <c r="I105" s="11" t="n">
        <v>44658</v>
      </c>
      <c r="J105" s="11" t="n">
        <v>44658</v>
      </c>
      <c r="K105" s="11" t="n">
        <v>44658</v>
      </c>
      <c r="L105" s="7" t="inlineStr">
        <is>
          <t>roll following on the LME panel calendar</t>
        </is>
      </c>
      <c r="N105" s="7" t="inlineStr">
        <is>
          <t>PROXY</t>
        </is>
      </c>
      <c r="O105" s="9" t="n">
        <v>7488667.94</v>
      </c>
      <c r="P105" s="9" t="n">
        <v>7488667.94</v>
      </c>
      <c r="U105" s="7" t="inlineStr">
        <is>
          <t>DERIVED_IN_WORKBOOK</t>
        </is>
      </c>
      <c r="V105" s="8">
        <f>SUMIFS(Cashflows!$R$1043:$R$1393,Cashflows!$B$1043:$B$1393,$C105,Cashflows!$C$1043:$C$1393,$K105)</f>
        <v/>
      </c>
      <c r="W105" s="8">
        <f>IF($G105="INR",1,INDEX(Market_Daily!$F$6:$F$256,MATCH($K105,Market_Daily!$A$6:$A$256,0)))</f>
        <v/>
      </c>
      <c r="X105" s="8">
        <f>$V105*$W105</f>
        <v/>
      </c>
      <c r="Y105" s="18">
        <f>$X105-$P105</f>
        <v/>
      </c>
      <c r="Z105" s="8">
        <f>IF(ABS($Y105)&lt;=tol_cashflow_inr,"PASS","FAIL")</f>
        <v/>
      </c>
      <c r="AA105" s="7" t="inlineStr">
        <is>
          <t>direction x lots x lot_kg x (F(s) - F(s-1))</t>
        </is>
      </c>
    </row>
    <row r="106">
      <c r="A106" s="7" t="inlineStr">
        <is>
          <t>T01</t>
        </is>
      </c>
      <c r="B106" s="7" t="inlineStr">
        <is>
          <t>MCX:T01-MCX-2</t>
        </is>
      </c>
      <c r="C106" s="7" t="inlineStr">
        <is>
          <t>T01-MCX-2</t>
        </is>
      </c>
      <c r="D106" s="7" t="inlineStr">
        <is>
          <t>MCX_INITIAL_MARGIN</t>
        </is>
      </c>
      <c r="E106" s="7" t="inlineStr">
        <is>
          <t>MCX_INITIAL_MARGIN</t>
        </is>
      </c>
      <c r="F106" s="7" t="inlineStr">
        <is>
          <t>BS</t>
        </is>
      </c>
      <c r="G106" s="7" t="inlineStr">
        <is>
          <t>INR</t>
        </is>
      </c>
      <c r="H106" s="11" t="n">
        <v>44629</v>
      </c>
      <c r="I106" s="11" t="n">
        <v>44658</v>
      </c>
      <c r="J106" s="11" t="n">
        <v>44658</v>
      </c>
      <c r="K106" s="11" t="n">
        <v>44658</v>
      </c>
      <c r="L106" s="7" t="inlineStr">
        <is>
          <t>roll following on the LME panel calendar</t>
        </is>
      </c>
      <c r="N106" s="7" t="inlineStr">
        <is>
          <t>PROXY</t>
        </is>
      </c>
      <c r="O106" s="9" t="n">
        <v>374433.4</v>
      </c>
      <c r="P106" s="9" t="n">
        <v>374433.4</v>
      </c>
      <c r="U106" s="7" t="inlineStr">
        <is>
          <t>DERIVED_IN_WORKBOOK</t>
        </is>
      </c>
      <c r="V106" s="8">
        <f>-SUMIFS(Cashflows!$W$1043:$W$1393,Cashflows!$B$1043:$B$1393,$C106,Cashflows!$C$1043:$C$1393,$K106)</f>
        <v/>
      </c>
      <c r="W106" s="8">
        <f>IF($G106="INR",1,INDEX(Market_Daily!$F$6:$F$256,MATCH($K106,Market_Daily!$A$6:$A$256,0)))</f>
        <v/>
      </c>
      <c r="X106" s="8">
        <f>$V106*$W106</f>
        <v/>
      </c>
      <c r="Y106" s="18">
        <f>$X106-$P106</f>
        <v/>
      </c>
      <c r="Z106" s="8">
        <f>IF(ABS($Y106)&lt;=tol_cashflow_inr,"PASS","FAIL")</f>
        <v/>
      </c>
      <c r="AA106" s="7" t="inlineStr">
        <is>
          <t>-d(lots x lot_kg x F(s) x mcx_al_margin_used_frac)</t>
        </is>
      </c>
    </row>
    <row r="107">
      <c r="A107" s="7" t="inlineStr">
        <is>
          <t>T01</t>
        </is>
      </c>
      <c r="B107" s="7" t="inlineStr">
        <is>
          <t>MCX:T01-MCX-2</t>
        </is>
      </c>
      <c r="C107" s="7" t="inlineStr">
        <is>
          <t>T01-MCX-2</t>
        </is>
      </c>
      <c r="D107" s="7" t="inlineStr">
        <is>
          <t>MCX_VARIATION_MARGIN</t>
        </is>
      </c>
      <c r="E107" s="7" t="inlineStr">
        <is>
          <t>MCX_VARIATION_MARGIN</t>
        </is>
      </c>
      <c r="F107" s="7" t="inlineStr">
        <is>
          <t>PNL</t>
        </is>
      </c>
      <c r="G107" s="7" t="inlineStr">
        <is>
          <t>INR</t>
        </is>
      </c>
      <c r="H107" s="11" t="n">
        <v>44629</v>
      </c>
      <c r="I107" s="11" t="n">
        <v>44658</v>
      </c>
      <c r="J107" s="11" t="n">
        <v>44658</v>
      </c>
      <c r="K107" s="11" t="n">
        <v>44658</v>
      </c>
      <c r="L107" s="7" t="inlineStr">
        <is>
          <t>roll following on the LME panel calendar</t>
        </is>
      </c>
      <c r="N107" s="7" t="inlineStr">
        <is>
          <t>PROXY</t>
        </is>
      </c>
      <c r="O107" s="9" t="n">
        <v>3744333.97</v>
      </c>
      <c r="P107" s="9" t="n">
        <v>3744333.97</v>
      </c>
      <c r="U107" s="7" t="inlineStr">
        <is>
          <t>DERIVED_IN_WORKBOOK</t>
        </is>
      </c>
      <c r="V107" s="8">
        <f>SUMIFS(Cashflows!$R$1043:$R$1393,Cashflows!$B$1043:$B$1393,$C107,Cashflows!$C$1043:$C$1393,$K107)</f>
        <v/>
      </c>
      <c r="W107" s="8">
        <f>IF($G107="INR",1,INDEX(Market_Daily!$F$6:$F$256,MATCH($K107,Market_Daily!$A$6:$A$256,0)))</f>
        <v/>
      </c>
      <c r="X107" s="8">
        <f>$V107*$W107</f>
        <v/>
      </c>
      <c r="Y107" s="18">
        <f>$X107-$P107</f>
        <v/>
      </c>
      <c r="Z107" s="8">
        <f>IF(ABS($Y107)&lt;=tol_cashflow_inr,"PASS","FAIL")</f>
        <v/>
      </c>
      <c r="AA107" s="7" t="inlineStr">
        <is>
          <t>direction x lots x lot_kg x (F(s) - F(s-1))</t>
        </is>
      </c>
    </row>
    <row r="108">
      <c r="A108" s="7" t="inlineStr">
        <is>
          <t>T01</t>
        </is>
      </c>
      <c r="B108" s="7" t="inlineStr">
        <is>
          <t>MCX:T01-MCX-1</t>
        </is>
      </c>
      <c r="C108" s="7" t="inlineStr">
        <is>
          <t>T01-MCX-1</t>
        </is>
      </c>
      <c r="D108" s="7" t="inlineStr">
        <is>
          <t>MCX_INITIAL_MARGIN</t>
        </is>
      </c>
      <c r="E108" s="7" t="inlineStr">
        <is>
          <t>MCX_INITIAL_MARGIN</t>
        </is>
      </c>
      <c r="F108" s="7" t="inlineStr">
        <is>
          <t>BS</t>
        </is>
      </c>
      <c r="G108" s="7" t="inlineStr">
        <is>
          <t>INR</t>
        </is>
      </c>
      <c r="H108" s="11" t="n">
        <v>44629</v>
      </c>
      <c r="I108" s="11" t="n">
        <v>44659</v>
      </c>
      <c r="J108" s="11" t="n">
        <v>44659</v>
      </c>
      <c r="K108" s="11" t="n">
        <v>44659</v>
      </c>
      <c r="L108" s="7" t="inlineStr">
        <is>
          <t>roll following on the LME panel calendar</t>
        </is>
      </c>
      <c r="N108" s="7" t="inlineStr">
        <is>
          <t>PROXY</t>
        </is>
      </c>
      <c r="O108" s="9" t="n">
        <v>-352180.01</v>
      </c>
      <c r="P108" s="9" t="n">
        <v>-352180.01</v>
      </c>
      <c r="U108" s="7" t="inlineStr">
        <is>
          <t>DERIVED_IN_WORKBOOK</t>
        </is>
      </c>
      <c r="V108" s="8">
        <f>-SUMIFS(Cashflows!$W$1043:$W$1393,Cashflows!$B$1043:$B$1393,$C108,Cashflows!$C$1043:$C$1393,$K108)</f>
        <v/>
      </c>
      <c r="W108" s="8">
        <f>IF($G108="INR",1,INDEX(Market_Daily!$F$6:$F$256,MATCH($K108,Market_Daily!$A$6:$A$256,0)))</f>
        <v/>
      </c>
      <c r="X108" s="8">
        <f>$V108*$W108</f>
        <v/>
      </c>
      <c r="Y108" s="18">
        <f>$X108-$P108</f>
        <v/>
      </c>
      <c r="Z108" s="8">
        <f>IF(ABS($Y108)&lt;=tol_cashflow_inr,"PASS","FAIL")</f>
        <v/>
      </c>
      <c r="AA108" s="7" t="inlineStr">
        <is>
          <t>-d(lots x lot_kg x F(s) x mcx_al_margin_used_frac)</t>
        </is>
      </c>
    </row>
    <row r="109">
      <c r="A109" s="7" t="inlineStr">
        <is>
          <t>T01</t>
        </is>
      </c>
      <c r="B109" s="7" t="inlineStr">
        <is>
          <t>MCX:T01-MCX-1</t>
        </is>
      </c>
      <c r="C109" s="7" t="inlineStr">
        <is>
          <t>T01-MCX-1</t>
        </is>
      </c>
      <c r="D109" s="7" t="inlineStr">
        <is>
          <t>MCX_VARIATION_MARGIN</t>
        </is>
      </c>
      <c r="E109" s="7" t="inlineStr">
        <is>
          <t>MCX_VARIATION_MARGIN</t>
        </is>
      </c>
      <c r="F109" s="7" t="inlineStr">
        <is>
          <t>PNL</t>
        </is>
      </c>
      <c r="G109" s="7" t="inlineStr">
        <is>
          <t>INR</t>
        </is>
      </c>
      <c r="H109" s="11" t="n">
        <v>44629</v>
      </c>
      <c r="I109" s="11" t="n">
        <v>44659</v>
      </c>
      <c r="J109" s="11" t="n">
        <v>44659</v>
      </c>
      <c r="K109" s="11" t="n">
        <v>44659</v>
      </c>
      <c r="L109" s="7" t="inlineStr">
        <is>
          <t>roll following on the LME panel calendar</t>
        </is>
      </c>
      <c r="N109" s="7" t="inlineStr">
        <is>
          <t>PROXY</t>
        </is>
      </c>
      <c r="O109" s="9" t="n">
        <v>-3521800.15</v>
      </c>
      <c r="P109" s="9" t="n">
        <v>-3521800.15</v>
      </c>
      <c r="U109" s="7" t="inlineStr">
        <is>
          <t>DERIVED_IN_WORKBOOK</t>
        </is>
      </c>
      <c r="V109" s="8">
        <f>SUMIFS(Cashflows!$R$1043:$R$1393,Cashflows!$B$1043:$B$1393,$C109,Cashflows!$C$1043:$C$1393,$K109)</f>
        <v/>
      </c>
      <c r="W109" s="8">
        <f>IF($G109="INR",1,INDEX(Market_Daily!$F$6:$F$256,MATCH($K109,Market_Daily!$A$6:$A$256,0)))</f>
        <v/>
      </c>
      <c r="X109" s="8">
        <f>$V109*$W109</f>
        <v/>
      </c>
      <c r="Y109" s="18">
        <f>$X109-$P109</f>
        <v/>
      </c>
      <c r="Z109" s="8">
        <f>IF(ABS($Y109)&lt;=tol_cashflow_inr,"PASS","FAIL")</f>
        <v/>
      </c>
      <c r="AA109" s="7" t="inlineStr">
        <is>
          <t>direction x lots x lot_kg x (F(s) - F(s-1))</t>
        </is>
      </c>
    </row>
    <row r="110">
      <c r="A110" s="7" t="inlineStr">
        <is>
          <t>T01</t>
        </is>
      </c>
      <c r="B110" s="7" t="inlineStr">
        <is>
          <t>MCX:T01-MCX-2</t>
        </is>
      </c>
      <c r="C110" s="7" t="inlineStr">
        <is>
          <t>T01-MCX-2</t>
        </is>
      </c>
      <c r="D110" s="7" t="inlineStr">
        <is>
          <t>MCX_INITIAL_MARGIN</t>
        </is>
      </c>
      <c r="E110" s="7" t="inlineStr">
        <is>
          <t>MCX_INITIAL_MARGIN</t>
        </is>
      </c>
      <c r="F110" s="7" t="inlineStr">
        <is>
          <t>BS</t>
        </is>
      </c>
      <c r="G110" s="7" t="inlineStr">
        <is>
          <t>INR</t>
        </is>
      </c>
      <c r="H110" s="11" t="n">
        <v>44629</v>
      </c>
      <c r="I110" s="11" t="n">
        <v>44659</v>
      </c>
      <c r="J110" s="11" t="n">
        <v>44659</v>
      </c>
      <c r="K110" s="11" t="n">
        <v>44659</v>
      </c>
      <c r="L110" s="7" t="inlineStr">
        <is>
          <t>roll following on the LME panel calendar</t>
        </is>
      </c>
      <c r="N110" s="7" t="inlineStr">
        <is>
          <t>PROXY</t>
        </is>
      </c>
      <c r="O110" s="9" t="n">
        <v>-176090.01</v>
      </c>
      <c r="P110" s="9" t="n">
        <v>-176090.01</v>
      </c>
      <c r="U110" s="7" t="inlineStr">
        <is>
          <t>DERIVED_IN_WORKBOOK</t>
        </is>
      </c>
      <c r="V110" s="8">
        <f>-SUMIFS(Cashflows!$W$1043:$W$1393,Cashflows!$B$1043:$B$1393,$C110,Cashflows!$C$1043:$C$1393,$K110)</f>
        <v/>
      </c>
      <c r="W110" s="8">
        <f>IF($G110="INR",1,INDEX(Market_Daily!$F$6:$F$256,MATCH($K110,Market_Daily!$A$6:$A$256,0)))</f>
        <v/>
      </c>
      <c r="X110" s="8">
        <f>$V110*$W110</f>
        <v/>
      </c>
      <c r="Y110" s="18">
        <f>$X110-$P110</f>
        <v/>
      </c>
      <c r="Z110" s="8">
        <f>IF(ABS($Y110)&lt;=tol_cashflow_inr,"PASS","FAIL")</f>
        <v/>
      </c>
      <c r="AA110" s="7" t="inlineStr">
        <is>
          <t>-d(lots x lot_kg x F(s) x mcx_al_margin_used_frac)</t>
        </is>
      </c>
    </row>
    <row r="111">
      <c r="A111" s="7" t="inlineStr">
        <is>
          <t>T01</t>
        </is>
      </c>
      <c r="B111" s="7" t="inlineStr">
        <is>
          <t>MCX:T01-MCX-2</t>
        </is>
      </c>
      <c r="C111" s="7" t="inlineStr">
        <is>
          <t>T01-MCX-2</t>
        </is>
      </c>
      <c r="D111" s="7" t="inlineStr">
        <is>
          <t>MCX_VARIATION_MARGIN</t>
        </is>
      </c>
      <c r="E111" s="7" t="inlineStr">
        <is>
          <t>MCX_VARIATION_MARGIN</t>
        </is>
      </c>
      <c r="F111" s="7" t="inlineStr">
        <is>
          <t>PNL</t>
        </is>
      </c>
      <c r="G111" s="7" t="inlineStr">
        <is>
          <t>INR</t>
        </is>
      </c>
      <c r="H111" s="11" t="n">
        <v>44629</v>
      </c>
      <c r="I111" s="11" t="n">
        <v>44659</v>
      </c>
      <c r="J111" s="11" t="n">
        <v>44659</v>
      </c>
      <c r="K111" s="11" t="n">
        <v>44659</v>
      </c>
      <c r="L111" s="7" t="inlineStr">
        <is>
          <t>roll following on the LME panel calendar</t>
        </is>
      </c>
      <c r="N111" s="7" t="inlineStr">
        <is>
          <t>PROXY</t>
        </is>
      </c>
      <c r="O111" s="9" t="n">
        <v>-1760900.07</v>
      </c>
      <c r="P111" s="9" t="n">
        <v>-1760900.07</v>
      </c>
      <c r="U111" s="7" t="inlineStr">
        <is>
          <t>DERIVED_IN_WORKBOOK</t>
        </is>
      </c>
      <c r="V111" s="8">
        <f>SUMIFS(Cashflows!$R$1043:$R$1393,Cashflows!$B$1043:$B$1393,$C111,Cashflows!$C$1043:$C$1393,$K111)</f>
        <v/>
      </c>
      <c r="W111" s="8">
        <f>IF($G111="INR",1,INDEX(Market_Daily!$F$6:$F$256,MATCH($K111,Market_Daily!$A$6:$A$256,0)))</f>
        <v/>
      </c>
      <c r="X111" s="8">
        <f>$V111*$W111</f>
        <v/>
      </c>
      <c r="Y111" s="18">
        <f>$X111-$P111</f>
        <v/>
      </c>
      <c r="Z111" s="8">
        <f>IF(ABS($Y111)&lt;=tol_cashflow_inr,"PASS","FAIL")</f>
        <v/>
      </c>
      <c r="AA111" s="7" t="inlineStr">
        <is>
          <t>direction x lots x lot_kg x (F(s) - F(s-1))</t>
        </is>
      </c>
    </row>
    <row r="112">
      <c r="A112" s="7" t="inlineStr">
        <is>
          <t>T01</t>
        </is>
      </c>
      <c r="B112" s="7" t="inlineStr">
        <is>
          <t>BILL_COMMISSION:L2</t>
        </is>
      </c>
      <c r="C112" s="7" t="inlineStr">
        <is>
          <t>L2</t>
        </is>
      </c>
      <c r="D112" s="7" t="inlineStr">
        <is>
          <t>IMPORT_BILL_COMMISSION</t>
        </is>
      </c>
      <c r="E112" s="7" t="inlineStr">
        <is>
          <t>IMPORT_BILL_COMMISSION</t>
        </is>
      </c>
      <c r="F112" s="7" t="inlineStr">
        <is>
          <t>PNL</t>
        </is>
      </c>
      <c r="G112" s="7" t="inlineStr">
        <is>
          <t>USD</t>
        </is>
      </c>
      <c r="H112" s="11" t="n">
        <v>44628</v>
      </c>
      <c r="I112" s="11" t="n">
        <v>44662</v>
      </c>
      <c r="J112" s="11" t="n">
        <v>44662</v>
      </c>
      <c r="K112" s="11" t="n">
        <v>44662</v>
      </c>
      <c r="L112" s="7" t="inlineStr">
        <is>
          <t>roll following on the LME panel calendar</t>
        </is>
      </c>
      <c r="N112" s="7" t="inlineStr">
        <is>
          <t>DIRECT</t>
        </is>
      </c>
      <c r="O112" s="9" t="n">
        <v>-2358.72</v>
      </c>
      <c r="P112" s="9" t="n">
        <v>-178978.26</v>
      </c>
      <c r="U112" s="7" t="inlineStr">
        <is>
          <t>PYTHON_LIFECYCLE</t>
        </is>
      </c>
      <c r="V112" s="8">
        <f>$O112</f>
        <v/>
      </c>
      <c r="W112" s="8">
        <f>IF($G112="INR",1,INDEX(Market_Daily!$F$6:$F$256,MATCH($K112,Market_Daily!$A$6:$A$256,0)))</f>
        <v/>
      </c>
      <c r="X112" s="8">
        <f>$V112*$W112</f>
        <v/>
      </c>
      <c r="Y112" s="18">
        <f>$X112-$P112</f>
        <v/>
      </c>
      <c r="Z112" s="8">
        <f>IF(ABS($Y112)&lt;=tol_cashflow_inr,"PASS","FAIL")</f>
        <v/>
      </c>
      <c r="AA112" s="7" t="inlineStr">
        <is>
          <t>-import_bill_commission_frac x bill_usd</t>
        </is>
      </c>
    </row>
    <row r="113">
      <c r="A113" s="7" t="inlineStr">
        <is>
          <t>T01</t>
        </is>
      </c>
      <c r="B113" s="7" t="inlineStr">
        <is>
          <t>FX:T01-FX-2</t>
        </is>
      </c>
      <c r="C113" s="7" t="inlineStr">
        <is>
          <t>T01-FX-2</t>
        </is>
      </c>
      <c r="D113" s="7" t="inlineStr">
        <is>
          <t>FX_FORWARD</t>
        </is>
      </c>
      <c r="E113" s="7" t="inlineStr">
        <is>
          <t>FX_FORWARD</t>
        </is>
      </c>
      <c r="F113" s="7" t="inlineStr">
        <is>
          <t>PNL</t>
        </is>
      </c>
      <c r="G113" s="7" t="inlineStr">
        <is>
          <t>INR</t>
        </is>
      </c>
      <c r="H113" s="11" t="n">
        <v>44655</v>
      </c>
      <c r="I113" s="11" t="n">
        <v>44662</v>
      </c>
      <c r="J113" s="11" t="n">
        <v>44662</v>
      </c>
      <c r="K113" s="11" t="n">
        <v>44662</v>
      </c>
      <c r="L113" s="7" t="inlineStr">
        <is>
          <t>roll following on the LME panel calendar</t>
        </is>
      </c>
      <c r="N113" s="7" t="inlineStr">
        <is>
          <t>PROXY</t>
        </is>
      </c>
      <c r="O113" s="9" t="n">
        <v>402743.92</v>
      </c>
      <c r="P113" s="9" t="n">
        <v>402743.92</v>
      </c>
      <c r="Q113" s="6" t="n">
        <v>1</v>
      </c>
      <c r="R113" s="13" t="n">
        <v>1965600</v>
      </c>
      <c r="S113" s="12" t="n">
        <v>44662</v>
      </c>
      <c r="T113" s="21" t="n">
        <v>75.674504</v>
      </c>
      <c r="U113" s="7" t="inlineStr">
        <is>
          <t>DERIVED_IN_WORKBOOK</t>
        </is>
      </c>
      <c r="V113" s="8">
        <f>$Q113*$R113*(IF($S113&lt;$K113,INDEX(Market_Daily!$F$6:$F$256,MATCH($S113,Market_Daily!$A$6:$A$256,1)),IF($S113=$K113,INDEX(Market_Daily!$F$6:$F$256,MATCH($K113,Market_Daily!$A$6:$A$256,0)),(INDEX(Market_Daily!$F$6:$F$256,MATCH($K113,Market_Daily!$A$6:$A$256,0))*(1+INDEX(Market_Daily!$I$6:$I$256,MATCH($K113,Market_Daily!$A$6:$A$256,0))*($S113-$K113)/day_count_inr)/(1+INDEX(Market_Daily!$J$6:$J$256,MATCH($K113,Market_Daily!$A$6:$A$256,0))*($S113-$K113)/day_count_usd))))-$T113)</f>
        <v/>
      </c>
      <c r="W113" s="8">
        <f>IF($G113="INR",1,INDEX(Market_Daily!$F$6:$F$256,MATCH($K113,Market_Daily!$A$6:$A$256,0)))</f>
        <v/>
      </c>
      <c r="X113" s="8">
        <f>$V113*$W113</f>
        <v/>
      </c>
      <c r="Y113" s="18">
        <f>$X113-$P113</f>
        <v/>
      </c>
      <c r="Z113" s="8">
        <f>IF(ABS($Y113)&lt;=tol_cashflow_inr,"PASS","FAIL")</f>
        <v/>
      </c>
      <c r="AA113" s="7" t="inlineStr">
        <is>
          <t>sign x notional x (X(tau, value_date) - K)</t>
        </is>
      </c>
    </row>
    <row r="114">
      <c r="A114" s="7" t="inlineStr">
        <is>
          <t>T01</t>
        </is>
      </c>
      <c r="B114" s="7" t="inlineStr">
        <is>
          <t>MCX:T01-MCX-1</t>
        </is>
      </c>
      <c r="C114" s="7" t="inlineStr">
        <is>
          <t>T01-MCX-1</t>
        </is>
      </c>
      <c r="D114" s="7" t="inlineStr">
        <is>
          <t>MCX_INITIAL_MARGIN</t>
        </is>
      </c>
      <c r="E114" s="7" t="inlineStr">
        <is>
          <t>MCX_INITIAL_MARGIN</t>
        </is>
      </c>
      <c r="F114" s="7" t="inlineStr">
        <is>
          <t>BS</t>
        </is>
      </c>
      <c r="G114" s="7" t="inlineStr">
        <is>
          <t>INR</t>
        </is>
      </c>
      <c r="H114" s="11" t="n">
        <v>44629</v>
      </c>
      <c r="I114" s="11" t="n">
        <v>44662</v>
      </c>
      <c r="J114" s="11" t="n">
        <v>44662</v>
      </c>
      <c r="K114" s="11" t="n">
        <v>44662</v>
      </c>
      <c r="L114" s="7" t="inlineStr">
        <is>
          <t>roll following on the LME panel calendar</t>
        </is>
      </c>
      <c r="N114" s="7" t="inlineStr">
        <is>
          <t>PROXY</t>
        </is>
      </c>
      <c r="O114" s="9" t="n">
        <v>1321894.71</v>
      </c>
      <c r="P114" s="9" t="n">
        <v>1321894.71</v>
      </c>
      <c r="U114" s="7" t="inlineStr">
        <is>
          <t>DERIVED_IN_WORKBOOK</t>
        </is>
      </c>
      <c r="V114" s="8">
        <f>-SUMIFS(Cashflows!$W$1043:$W$1393,Cashflows!$B$1043:$B$1393,$C114,Cashflows!$C$1043:$C$1393,$K114)</f>
        <v/>
      </c>
      <c r="W114" s="8">
        <f>IF($G114="INR",1,INDEX(Market_Daily!$F$6:$F$256,MATCH($K114,Market_Daily!$A$6:$A$256,0)))</f>
        <v/>
      </c>
      <c r="X114" s="8">
        <f>$V114*$W114</f>
        <v/>
      </c>
      <c r="Y114" s="18">
        <f>$X114-$P114</f>
        <v/>
      </c>
      <c r="Z114" s="8">
        <f>IF(ABS($Y114)&lt;=tol_cashflow_inr,"PASS","FAIL")</f>
        <v/>
      </c>
      <c r="AA114" s="7" t="inlineStr">
        <is>
          <t>-d(lots x lot_kg x F(s) x mcx_al_margin_used_frac)</t>
        </is>
      </c>
    </row>
    <row r="115">
      <c r="A115" s="7" t="inlineStr">
        <is>
          <t>T01</t>
        </is>
      </c>
      <c r="B115" s="7" t="inlineStr">
        <is>
          <t>MCX:T01-MCX-1</t>
        </is>
      </c>
      <c r="C115" s="7" t="inlineStr">
        <is>
          <t>T01-MCX-1</t>
        </is>
      </c>
      <c r="D115" s="7" t="inlineStr">
        <is>
          <t>MCX_VARIATION_MARGIN</t>
        </is>
      </c>
      <c r="E115" s="7" t="inlineStr">
        <is>
          <t>MCX_VARIATION_MARGIN</t>
        </is>
      </c>
      <c r="F115" s="7" t="inlineStr">
        <is>
          <t>PNL</t>
        </is>
      </c>
      <c r="G115" s="7" t="inlineStr">
        <is>
          <t>INR</t>
        </is>
      </c>
      <c r="H115" s="11" t="n">
        <v>44629</v>
      </c>
      <c r="I115" s="11" t="n">
        <v>44662</v>
      </c>
      <c r="J115" s="11" t="n">
        <v>44662</v>
      </c>
      <c r="K115" s="11" t="n">
        <v>44662</v>
      </c>
      <c r="L115" s="7" t="inlineStr">
        <is>
          <t>roll following on the LME panel calendar</t>
        </is>
      </c>
      <c r="N115" s="7" t="inlineStr">
        <is>
          <t>PROXY</t>
        </is>
      </c>
      <c r="O115" s="9" t="n">
        <v>13218947.08</v>
      </c>
      <c r="P115" s="9" t="n">
        <v>13218947.08</v>
      </c>
      <c r="U115" s="7" t="inlineStr">
        <is>
          <t>DERIVED_IN_WORKBOOK</t>
        </is>
      </c>
      <c r="V115" s="8">
        <f>SUMIFS(Cashflows!$R$1043:$R$1393,Cashflows!$B$1043:$B$1393,$C115,Cashflows!$C$1043:$C$1393,$K115)</f>
        <v/>
      </c>
      <c r="W115" s="8">
        <f>IF($G115="INR",1,INDEX(Market_Daily!$F$6:$F$256,MATCH($K115,Market_Daily!$A$6:$A$256,0)))</f>
        <v/>
      </c>
      <c r="X115" s="8">
        <f>$V115*$W115</f>
        <v/>
      </c>
      <c r="Y115" s="18">
        <f>$X115-$P115</f>
        <v/>
      </c>
      <c r="Z115" s="8">
        <f>IF(ABS($Y115)&lt;=tol_cashflow_inr,"PASS","FAIL")</f>
        <v/>
      </c>
      <c r="AA115" s="7" t="inlineStr">
        <is>
          <t>direction x lots x lot_kg x (F(s) - F(s-1))</t>
        </is>
      </c>
    </row>
    <row r="116">
      <c r="A116" s="7" t="inlineStr">
        <is>
          <t>T01</t>
        </is>
      </c>
      <c r="B116" s="7" t="inlineStr">
        <is>
          <t>MCX:T01-MCX-2</t>
        </is>
      </c>
      <c r="C116" s="7" t="inlineStr">
        <is>
          <t>T01-MCX-2</t>
        </is>
      </c>
      <c r="D116" s="7" t="inlineStr">
        <is>
          <t>MCX_INITIAL_MARGIN</t>
        </is>
      </c>
      <c r="E116" s="7" t="inlineStr">
        <is>
          <t>MCX_INITIAL_MARGIN</t>
        </is>
      </c>
      <c r="F116" s="7" t="inlineStr">
        <is>
          <t>BS</t>
        </is>
      </c>
      <c r="G116" s="7" t="inlineStr">
        <is>
          <t>INR</t>
        </is>
      </c>
      <c r="H116" s="11" t="n">
        <v>44629</v>
      </c>
      <c r="I116" s="11" t="n">
        <v>44662</v>
      </c>
      <c r="J116" s="11" t="n">
        <v>44662</v>
      </c>
      <c r="K116" s="11" t="n">
        <v>44662</v>
      </c>
      <c r="L116" s="7" t="inlineStr">
        <is>
          <t>roll following on the LME panel calendar</t>
        </is>
      </c>
      <c r="N116" s="7" t="inlineStr">
        <is>
          <t>PROXY</t>
        </is>
      </c>
      <c r="O116" s="9" t="n">
        <v>660947.35</v>
      </c>
      <c r="P116" s="9" t="n">
        <v>660947.35</v>
      </c>
      <c r="U116" s="7" t="inlineStr">
        <is>
          <t>DERIVED_IN_WORKBOOK</t>
        </is>
      </c>
      <c r="V116" s="8">
        <f>-SUMIFS(Cashflows!$W$1043:$W$1393,Cashflows!$B$1043:$B$1393,$C116,Cashflows!$C$1043:$C$1393,$K116)</f>
        <v/>
      </c>
      <c r="W116" s="8">
        <f>IF($G116="INR",1,INDEX(Market_Daily!$F$6:$F$256,MATCH($K116,Market_Daily!$A$6:$A$256,0)))</f>
        <v/>
      </c>
      <c r="X116" s="8">
        <f>$V116*$W116</f>
        <v/>
      </c>
      <c r="Y116" s="18">
        <f>$X116-$P116</f>
        <v/>
      </c>
      <c r="Z116" s="8">
        <f>IF(ABS($Y116)&lt;=tol_cashflow_inr,"PASS","FAIL")</f>
        <v/>
      </c>
      <c r="AA116" s="7" t="inlineStr">
        <is>
          <t>-d(lots x lot_kg x F(s) x mcx_al_margin_used_frac)</t>
        </is>
      </c>
    </row>
    <row r="117">
      <c r="A117" s="7" t="inlineStr">
        <is>
          <t>T01</t>
        </is>
      </c>
      <c r="B117" s="7" t="inlineStr">
        <is>
          <t>MCX:T01-MCX-2</t>
        </is>
      </c>
      <c r="C117" s="7" t="inlineStr">
        <is>
          <t>T01-MCX-2</t>
        </is>
      </c>
      <c r="D117" s="7" t="inlineStr">
        <is>
          <t>MCX_VARIATION_MARGIN</t>
        </is>
      </c>
      <c r="E117" s="7" t="inlineStr">
        <is>
          <t>MCX_VARIATION_MARGIN</t>
        </is>
      </c>
      <c r="F117" s="7" t="inlineStr">
        <is>
          <t>PNL</t>
        </is>
      </c>
      <c r="G117" s="7" t="inlineStr">
        <is>
          <t>INR</t>
        </is>
      </c>
      <c r="H117" s="11" t="n">
        <v>44629</v>
      </c>
      <c r="I117" s="11" t="n">
        <v>44662</v>
      </c>
      <c r="J117" s="11" t="n">
        <v>44662</v>
      </c>
      <c r="K117" s="11" t="n">
        <v>44662</v>
      </c>
      <c r="L117" s="7" t="inlineStr">
        <is>
          <t>roll following on the LME panel calendar</t>
        </is>
      </c>
      <c r="N117" s="7" t="inlineStr">
        <is>
          <t>PROXY</t>
        </is>
      </c>
      <c r="O117" s="9" t="n">
        <v>6609473.54</v>
      </c>
      <c r="P117" s="9" t="n">
        <v>6609473.54</v>
      </c>
      <c r="U117" s="7" t="inlineStr">
        <is>
          <t>DERIVED_IN_WORKBOOK</t>
        </is>
      </c>
      <c r="V117" s="8">
        <f>SUMIFS(Cashflows!$R$1043:$R$1393,Cashflows!$B$1043:$B$1393,$C117,Cashflows!$C$1043:$C$1393,$K117)</f>
        <v/>
      </c>
      <c r="W117" s="8">
        <f>IF($G117="INR",1,INDEX(Market_Daily!$F$6:$F$256,MATCH($K117,Market_Daily!$A$6:$A$256,0)))</f>
        <v/>
      </c>
      <c r="X117" s="8">
        <f>$V117*$W117</f>
        <v/>
      </c>
      <c r="Y117" s="18">
        <f>$X117-$P117</f>
        <v/>
      </c>
      <c r="Z117" s="8">
        <f>IF(ABS($Y117)&lt;=tol_cashflow_inr,"PASS","FAIL")</f>
        <v/>
      </c>
      <c r="AA117" s="7" t="inlineStr">
        <is>
          <t>direction x lots x lot_kg x (F(s) - F(s-1))</t>
        </is>
      </c>
    </row>
    <row r="118">
      <c r="A118" s="7" t="inlineStr">
        <is>
          <t>T01</t>
        </is>
      </c>
      <c r="B118" s="7" t="inlineStr">
        <is>
          <t>PURCHASE:L2</t>
        </is>
      </c>
      <c r="C118" s="7" t="inlineStr">
        <is>
          <t>L2</t>
        </is>
      </c>
      <c r="D118" s="7" t="inlineStr">
        <is>
          <t>PURCHASE_INVOICE</t>
        </is>
      </c>
      <c r="E118" s="7" t="inlineStr">
        <is>
          <t>PURCHASE_INVOICE</t>
        </is>
      </c>
      <c r="F118" s="7" t="inlineStr">
        <is>
          <t>PNL</t>
        </is>
      </c>
      <c r="G118" s="7" t="inlineStr">
        <is>
          <t>USD</t>
        </is>
      </c>
      <c r="H118" s="11" t="n">
        <v>44628</v>
      </c>
      <c r="J118" s="11" t="n">
        <v>44662</v>
      </c>
      <c r="K118" s="11" t="n">
        <v>44662</v>
      </c>
      <c r="L118" s="7" t="inlineStr">
        <is>
          <t>roll following on the LME panel calendar</t>
        </is>
      </c>
      <c r="N118" s="7" t="inlineStr">
        <is>
          <t>SIM</t>
        </is>
      </c>
      <c r="O118" s="9" t="n">
        <v>-1965600</v>
      </c>
      <c r="P118" s="9" t="n">
        <v>-149148548.64</v>
      </c>
      <c r="U118" s="7" t="inlineStr">
        <is>
          <t>PYTHON_LIFECYCLE</t>
        </is>
      </c>
      <c r="V118" s="8">
        <f>$O118</f>
        <v/>
      </c>
      <c r="W118" s="8">
        <f>IF($G118="INR",1,INDEX(Market_Daily!$F$6:$F$256,MATCH($K118,Market_Daily!$A$6:$A$256,0)))</f>
        <v/>
      </c>
      <c r="X118" s="8">
        <f>$V118*$W118</f>
        <v/>
      </c>
      <c r="Y118" s="18">
        <f>$X118-$P118</f>
        <v/>
      </c>
      <c r="Z118" s="8">
        <f>IF(ABS($Y118)&lt;=tol_cashflow_inr,"PASS","FAIL")</f>
        <v/>
      </c>
      <c r="AA118" s="7" t="inlineStr">
        <is>
          <t>-q_bl x price_usd_t</t>
        </is>
      </c>
    </row>
    <row r="119">
      <c r="A119" s="7" t="inlineStr">
        <is>
          <t>T01</t>
        </is>
      </c>
      <c r="B119" s="7" t="inlineStr">
        <is>
          <t>MCX:T01-MCX-1</t>
        </is>
      </c>
      <c r="C119" s="7" t="inlineStr">
        <is>
          <t>T01-MCX-1</t>
        </is>
      </c>
      <c r="D119" s="7" t="inlineStr">
        <is>
          <t>MCX_INITIAL_MARGIN</t>
        </is>
      </c>
      <c r="E119" s="7" t="inlineStr">
        <is>
          <t>MCX_INITIAL_MARGIN</t>
        </is>
      </c>
      <c r="F119" s="7" t="inlineStr">
        <is>
          <t>BS</t>
        </is>
      </c>
      <c r="G119" s="7" t="inlineStr">
        <is>
          <t>INR</t>
        </is>
      </c>
      <c r="H119" s="11" t="n">
        <v>44629</v>
      </c>
      <c r="I119" s="11" t="n">
        <v>44663</v>
      </c>
      <c r="J119" s="11" t="n">
        <v>44663</v>
      </c>
      <c r="K119" s="11" t="n">
        <v>44663</v>
      </c>
      <c r="L119" s="7" t="inlineStr">
        <is>
          <t>roll following on the LME panel calendar</t>
        </is>
      </c>
      <c r="N119" s="7" t="inlineStr">
        <is>
          <t>PROXY</t>
        </is>
      </c>
      <c r="O119" s="9" t="n">
        <v>66062.02</v>
      </c>
      <c r="P119" s="9" t="n">
        <v>66062.02</v>
      </c>
      <c r="U119" s="7" t="inlineStr">
        <is>
          <t>DERIVED_IN_WORKBOOK</t>
        </is>
      </c>
      <c r="V119" s="8">
        <f>-SUMIFS(Cashflows!$W$1043:$W$1393,Cashflows!$B$1043:$B$1393,$C119,Cashflows!$C$1043:$C$1393,$K119)</f>
        <v/>
      </c>
      <c r="W119" s="8">
        <f>IF($G119="INR",1,INDEX(Market_Daily!$F$6:$F$256,MATCH($K119,Market_Daily!$A$6:$A$256,0)))</f>
        <v/>
      </c>
      <c r="X119" s="8">
        <f>$V119*$W119</f>
        <v/>
      </c>
      <c r="Y119" s="18">
        <f>$X119-$P119</f>
        <v/>
      </c>
      <c r="Z119" s="8">
        <f>IF(ABS($Y119)&lt;=tol_cashflow_inr,"PASS","FAIL")</f>
        <v/>
      </c>
      <c r="AA119" s="7" t="inlineStr">
        <is>
          <t>-d(lots x lot_kg x F(s) x mcx_al_margin_used_frac)</t>
        </is>
      </c>
    </row>
    <row r="120">
      <c r="A120" s="7" t="inlineStr">
        <is>
          <t>T01</t>
        </is>
      </c>
      <c r="B120" s="7" t="inlineStr">
        <is>
          <t>MCX:T01-MCX-1</t>
        </is>
      </c>
      <c r="C120" s="7" t="inlineStr">
        <is>
          <t>T01-MCX-1</t>
        </is>
      </c>
      <c r="D120" s="7" t="inlineStr">
        <is>
          <t>MCX_VARIATION_MARGIN</t>
        </is>
      </c>
      <c r="E120" s="7" t="inlineStr">
        <is>
          <t>MCX_VARIATION_MARGIN</t>
        </is>
      </c>
      <c r="F120" s="7" t="inlineStr">
        <is>
          <t>PNL</t>
        </is>
      </c>
      <c r="G120" s="7" t="inlineStr">
        <is>
          <t>INR</t>
        </is>
      </c>
      <c r="H120" s="11" t="n">
        <v>44629</v>
      </c>
      <c r="I120" s="11" t="n">
        <v>44663</v>
      </c>
      <c r="J120" s="11" t="n">
        <v>44663</v>
      </c>
      <c r="K120" s="11" t="n">
        <v>44663</v>
      </c>
      <c r="L120" s="7" t="inlineStr">
        <is>
          <t>roll following on the LME panel calendar</t>
        </is>
      </c>
      <c r="N120" s="7" t="inlineStr">
        <is>
          <t>PROXY</t>
        </is>
      </c>
      <c r="O120" s="9" t="n">
        <v>660620.16</v>
      </c>
      <c r="P120" s="9" t="n">
        <v>660620.16</v>
      </c>
      <c r="U120" s="7" t="inlineStr">
        <is>
          <t>DERIVED_IN_WORKBOOK</t>
        </is>
      </c>
      <c r="V120" s="8">
        <f>SUMIFS(Cashflows!$R$1043:$R$1393,Cashflows!$B$1043:$B$1393,$C120,Cashflows!$C$1043:$C$1393,$K120)</f>
        <v/>
      </c>
      <c r="W120" s="8">
        <f>IF($G120="INR",1,INDEX(Market_Daily!$F$6:$F$256,MATCH($K120,Market_Daily!$A$6:$A$256,0)))</f>
        <v/>
      </c>
      <c r="X120" s="8">
        <f>$V120*$W120</f>
        <v/>
      </c>
      <c r="Y120" s="18">
        <f>$X120-$P120</f>
        <v/>
      </c>
      <c r="Z120" s="8">
        <f>IF(ABS($Y120)&lt;=tol_cashflow_inr,"PASS","FAIL")</f>
        <v/>
      </c>
      <c r="AA120" s="7" t="inlineStr">
        <is>
          <t>direction x lots x lot_kg x (F(s) - F(s-1))</t>
        </is>
      </c>
    </row>
    <row r="121">
      <c r="A121" s="7" t="inlineStr">
        <is>
          <t>T01</t>
        </is>
      </c>
      <c r="B121" s="7" t="inlineStr">
        <is>
          <t>MCX:T01-MCX-2</t>
        </is>
      </c>
      <c r="C121" s="7" t="inlineStr">
        <is>
          <t>T01-MCX-2</t>
        </is>
      </c>
      <c r="D121" s="7" t="inlineStr">
        <is>
          <t>MCX_INITIAL_MARGIN</t>
        </is>
      </c>
      <c r="E121" s="7" t="inlineStr">
        <is>
          <t>MCX_INITIAL_MARGIN</t>
        </is>
      </c>
      <c r="F121" s="7" t="inlineStr">
        <is>
          <t>BS</t>
        </is>
      </c>
      <c r="G121" s="7" t="inlineStr">
        <is>
          <t>INR</t>
        </is>
      </c>
      <c r="H121" s="11" t="n">
        <v>44629</v>
      </c>
      <c r="I121" s="11" t="n">
        <v>44663</v>
      </c>
      <c r="J121" s="11" t="n">
        <v>44663</v>
      </c>
      <c r="K121" s="11" t="n">
        <v>44663</v>
      </c>
      <c r="L121" s="7" t="inlineStr">
        <is>
          <t>roll following on the LME panel calendar</t>
        </is>
      </c>
      <c r="N121" s="7" t="inlineStr">
        <is>
          <t>PROXY</t>
        </is>
      </c>
      <c r="O121" s="9" t="n">
        <v>33031.01</v>
      </c>
      <c r="P121" s="9" t="n">
        <v>33031.01</v>
      </c>
      <c r="U121" s="7" t="inlineStr">
        <is>
          <t>DERIVED_IN_WORKBOOK</t>
        </is>
      </c>
      <c r="V121" s="8">
        <f>-SUMIFS(Cashflows!$W$1043:$W$1393,Cashflows!$B$1043:$B$1393,$C121,Cashflows!$C$1043:$C$1393,$K121)</f>
        <v/>
      </c>
      <c r="W121" s="8">
        <f>IF($G121="INR",1,INDEX(Market_Daily!$F$6:$F$256,MATCH($K121,Market_Daily!$A$6:$A$256,0)))</f>
        <v/>
      </c>
      <c r="X121" s="8">
        <f>$V121*$W121</f>
        <v/>
      </c>
      <c r="Y121" s="18">
        <f>$X121-$P121</f>
        <v/>
      </c>
      <c r="Z121" s="8">
        <f>IF(ABS($Y121)&lt;=tol_cashflow_inr,"PASS","FAIL")</f>
        <v/>
      </c>
      <c r="AA121" s="7" t="inlineStr">
        <is>
          <t>-d(lots x lot_kg x F(s) x mcx_al_margin_used_frac)</t>
        </is>
      </c>
    </row>
    <row r="122">
      <c r="A122" s="7" t="inlineStr">
        <is>
          <t>T01</t>
        </is>
      </c>
      <c r="B122" s="7" t="inlineStr">
        <is>
          <t>MCX:T01-MCX-2</t>
        </is>
      </c>
      <c r="C122" s="7" t="inlineStr">
        <is>
          <t>T01-MCX-2</t>
        </is>
      </c>
      <c r="D122" s="7" t="inlineStr">
        <is>
          <t>MCX_VARIATION_MARGIN</t>
        </is>
      </c>
      <c r="E122" s="7" t="inlineStr">
        <is>
          <t>MCX_VARIATION_MARGIN</t>
        </is>
      </c>
      <c r="F122" s="7" t="inlineStr">
        <is>
          <t>PNL</t>
        </is>
      </c>
      <c r="G122" s="7" t="inlineStr">
        <is>
          <t>INR</t>
        </is>
      </c>
      <c r="H122" s="11" t="n">
        <v>44629</v>
      </c>
      <c r="I122" s="11" t="n">
        <v>44663</v>
      </c>
      <c r="J122" s="11" t="n">
        <v>44663</v>
      </c>
      <c r="K122" s="11" t="n">
        <v>44663</v>
      </c>
      <c r="L122" s="7" t="inlineStr">
        <is>
          <t>roll following on the LME panel calendar</t>
        </is>
      </c>
      <c r="N122" s="7" t="inlineStr">
        <is>
          <t>PROXY</t>
        </is>
      </c>
      <c r="O122" s="9" t="n">
        <v>330310.08</v>
      </c>
      <c r="P122" s="9" t="n">
        <v>330310.08</v>
      </c>
      <c r="U122" s="7" t="inlineStr">
        <is>
          <t>DERIVED_IN_WORKBOOK</t>
        </is>
      </c>
      <c r="V122" s="8">
        <f>SUMIFS(Cashflows!$R$1043:$R$1393,Cashflows!$B$1043:$B$1393,$C122,Cashflows!$C$1043:$C$1393,$K122)</f>
        <v/>
      </c>
      <c r="W122" s="8">
        <f>IF($G122="INR",1,INDEX(Market_Daily!$F$6:$F$256,MATCH($K122,Market_Daily!$A$6:$A$256,0)))</f>
        <v/>
      </c>
      <c r="X122" s="8">
        <f>$V122*$W122</f>
        <v/>
      </c>
      <c r="Y122" s="18">
        <f>$X122-$P122</f>
        <v/>
      </c>
      <c r="Z122" s="8">
        <f>IF(ABS($Y122)&lt;=tol_cashflow_inr,"PASS","FAIL")</f>
        <v/>
      </c>
      <c r="AA122" s="7" t="inlineStr">
        <is>
          <t>direction x lots x lot_kg x (F(s) - F(s-1))</t>
        </is>
      </c>
    </row>
    <row r="123">
      <c r="A123" s="7" t="inlineStr">
        <is>
          <t>T01</t>
        </is>
      </c>
      <c r="B123" s="7" t="inlineStr">
        <is>
          <t>MCX:T01-MCX-1</t>
        </is>
      </c>
      <c r="C123" s="7" t="inlineStr">
        <is>
          <t>T01-MCX-1</t>
        </is>
      </c>
      <c r="D123" s="7" t="inlineStr">
        <is>
          <t>MCX_INITIAL_MARGIN</t>
        </is>
      </c>
      <c r="E123" s="7" t="inlineStr">
        <is>
          <t>MCX_INITIAL_MARGIN</t>
        </is>
      </c>
      <c r="F123" s="7" t="inlineStr">
        <is>
          <t>BS</t>
        </is>
      </c>
      <c r="G123" s="7" t="inlineStr">
        <is>
          <t>INR</t>
        </is>
      </c>
      <c r="H123" s="11" t="n">
        <v>44629</v>
      </c>
      <c r="I123" s="11" t="n">
        <v>44664</v>
      </c>
      <c r="J123" s="11" t="n">
        <v>44664</v>
      </c>
      <c r="K123" s="11" t="n">
        <v>44664</v>
      </c>
      <c r="L123" s="7" t="inlineStr">
        <is>
          <t>roll following on the LME panel calendar</t>
        </is>
      </c>
      <c r="N123" s="7" t="inlineStr">
        <is>
          <t>PROXY</t>
        </is>
      </c>
      <c r="O123" s="9" t="n">
        <v>59616.09</v>
      </c>
      <c r="P123" s="9" t="n">
        <v>59616.09</v>
      </c>
      <c r="U123" s="7" t="inlineStr">
        <is>
          <t>DERIVED_IN_WORKBOOK</t>
        </is>
      </c>
      <c r="V123" s="8">
        <f>-SUMIFS(Cashflows!$W$1043:$W$1393,Cashflows!$B$1043:$B$1393,$C123,Cashflows!$C$1043:$C$1393,$K123)</f>
        <v/>
      </c>
      <c r="W123" s="8">
        <f>IF($G123="INR",1,INDEX(Market_Daily!$F$6:$F$256,MATCH($K123,Market_Daily!$A$6:$A$256,0)))</f>
        <v/>
      </c>
      <c r="X123" s="8">
        <f>$V123*$W123</f>
        <v/>
      </c>
      <c r="Y123" s="18">
        <f>$X123-$P123</f>
        <v/>
      </c>
      <c r="Z123" s="8">
        <f>IF(ABS($Y123)&lt;=tol_cashflow_inr,"PASS","FAIL")</f>
        <v/>
      </c>
      <c r="AA123" s="7" t="inlineStr">
        <is>
          <t>-d(lots x lot_kg x F(s) x mcx_al_margin_used_frac)</t>
        </is>
      </c>
    </row>
    <row r="124">
      <c r="A124" s="7" t="inlineStr">
        <is>
          <t>T01</t>
        </is>
      </c>
      <c r="B124" s="7" t="inlineStr">
        <is>
          <t>MCX:T01-MCX-1</t>
        </is>
      </c>
      <c r="C124" s="7" t="inlineStr">
        <is>
          <t>T01-MCX-1</t>
        </is>
      </c>
      <c r="D124" s="7" t="inlineStr">
        <is>
          <t>MCX_VARIATION_MARGIN</t>
        </is>
      </c>
      <c r="E124" s="7" t="inlineStr">
        <is>
          <t>MCX_VARIATION_MARGIN</t>
        </is>
      </c>
      <c r="F124" s="7" t="inlineStr">
        <is>
          <t>PNL</t>
        </is>
      </c>
      <c r="G124" s="7" t="inlineStr">
        <is>
          <t>INR</t>
        </is>
      </c>
      <c r="H124" s="11" t="n">
        <v>44629</v>
      </c>
      <c r="I124" s="11" t="n">
        <v>44664</v>
      </c>
      <c r="J124" s="11" t="n">
        <v>44664</v>
      </c>
      <c r="K124" s="11" t="n">
        <v>44664</v>
      </c>
      <c r="L124" s="7" t="inlineStr">
        <is>
          <t>roll following on the LME panel calendar</t>
        </is>
      </c>
      <c r="N124" s="7" t="inlineStr">
        <is>
          <t>PROXY</t>
        </is>
      </c>
      <c r="O124" s="9" t="n">
        <v>596160.92</v>
      </c>
      <c r="P124" s="9" t="n">
        <v>596160.92</v>
      </c>
      <c r="U124" s="7" t="inlineStr">
        <is>
          <t>DERIVED_IN_WORKBOOK</t>
        </is>
      </c>
      <c r="V124" s="8">
        <f>SUMIFS(Cashflows!$R$1043:$R$1393,Cashflows!$B$1043:$B$1393,$C124,Cashflows!$C$1043:$C$1393,$K124)</f>
        <v/>
      </c>
      <c r="W124" s="8">
        <f>IF($G124="INR",1,INDEX(Market_Daily!$F$6:$F$256,MATCH($K124,Market_Daily!$A$6:$A$256,0)))</f>
        <v/>
      </c>
      <c r="X124" s="8">
        <f>$V124*$W124</f>
        <v/>
      </c>
      <c r="Y124" s="18">
        <f>$X124-$P124</f>
        <v/>
      </c>
      <c r="Z124" s="8">
        <f>IF(ABS($Y124)&lt;=tol_cashflow_inr,"PASS","FAIL")</f>
        <v/>
      </c>
      <c r="AA124" s="7" t="inlineStr">
        <is>
          <t>direction x lots x lot_kg x (F(s) - F(s-1))</t>
        </is>
      </c>
    </row>
    <row r="125">
      <c r="A125" s="7" t="inlineStr">
        <is>
          <t>T01</t>
        </is>
      </c>
      <c r="B125" s="7" t="inlineStr">
        <is>
          <t>MCX:T01-MCX-2</t>
        </is>
      </c>
      <c r="C125" s="7" t="inlineStr">
        <is>
          <t>T01-MCX-2</t>
        </is>
      </c>
      <c r="D125" s="7" t="inlineStr">
        <is>
          <t>MCX_INITIAL_MARGIN</t>
        </is>
      </c>
      <c r="E125" s="7" t="inlineStr">
        <is>
          <t>MCX_INITIAL_MARGIN</t>
        </is>
      </c>
      <c r="F125" s="7" t="inlineStr">
        <is>
          <t>BS</t>
        </is>
      </c>
      <c r="G125" s="7" t="inlineStr">
        <is>
          <t>INR</t>
        </is>
      </c>
      <c r="H125" s="11" t="n">
        <v>44629</v>
      </c>
      <c r="I125" s="11" t="n">
        <v>44664</v>
      </c>
      <c r="J125" s="11" t="n">
        <v>44664</v>
      </c>
      <c r="K125" s="11" t="n">
        <v>44664</v>
      </c>
      <c r="L125" s="7" t="inlineStr">
        <is>
          <t>roll following on the LME panel calendar</t>
        </is>
      </c>
      <c r="N125" s="7" t="inlineStr">
        <is>
          <t>PROXY</t>
        </is>
      </c>
      <c r="O125" s="9" t="n">
        <v>29808.05</v>
      </c>
      <c r="P125" s="9" t="n">
        <v>29808.05</v>
      </c>
      <c r="U125" s="7" t="inlineStr">
        <is>
          <t>DERIVED_IN_WORKBOOK</t>
        </is>
      </c>
      <c r="V125" s="8">
        <f>-SUMIFS(Cashflows!$W$1043:$W$1393,Cashflows!$B$1043:$B$1393,$C125,Cashflows!$C$1043:$C$1393,$K125)</f>
        <v/>
      </c>
      <c r="W125" s="8">
        <f>IF($G125="INR",1,INDEX(Market_Daily!$F$6:$F$256,MATCH($K125,Market_Daily!$A$6:$A$256,0)))</f>
        <v/>
      </c>
      <c r="X125" s="8">
        <f>$V125*$W125</f>
        <v/>
      </c>
      <c r="Y125" s="18">
        <f>$X125-$P125</f>
        <v/>
      </c>
      <c r="Z125" s="8">
        <f>IF(ABS($Y125)&lt;=tol_cashflow_inr,"PASS","FAIL")</f>
        <v/>
      </c>
      <c r="AA125" s="7" t="inlineStr">
        <is>
          <t>-d(lots x lot_kg x F(s) x mcx_al_margin_used_frac)</t>
        </is>
      </c>
    </row>
    <row r="126">
      <c r="A126" s="7" t="inlineStr">
        <is>
          <t>T01</t>
        </is>
      </c>
      <c r="B126" s="7" t="inlineStr">
        <is>
          <t>MCX:T01-MCX-2</t>
        </is>
      </c>
      <c r="C126" s="7" t="inlineStr">
        <is>
          <t>T01-MCX-2</t>
        </is>
      </c>
      <c r="D126" s="7" t="inlineStr">
        <is>
          <t>MCX_VARIATION_MARGIN</t>
        </is>
      </c>
      <c r="E126" s="7" t="inlineStr">
        <is>
          <t>MCX_VARIATION_MARGIN</t>
        </is>
      </c>
      <c r="F126" s="7" t="inlineStr">
        <is>
          <t>PNL</t>
        </is>
      </c>
      <c r="G126" s="7" t="inlineStr">
        <is>
          <t>INR</t>
        </is>
      </c>
      <c r="H126" s="11" t="n">
        <v>44629</v>
      </c>
      <c r="I126" s="11" t="n">
        <v>44664</v>
      </c>
      <c r="J126" s="11" t="n">
        <v>44664</v>
      </c>
      <c r="K126" s="11" t="n">
        <v>44664</v>
      </c>
      <c r="L126" s="7" t="inlineStr">
        <is>
          <t>roll following on the LME panel calendar</t>
        </is>
      </c>
      <c r="N126" s="7" t="inlineStr">
        <is>
          <t>PROXY</t>
        </is>
      </c>
      <c r="O126" s="9" t="n">
        <v>298080.46</v>
      </c>
      <c r="P126" s="9" t="n">
        <v>298080.46</v>
      </c>
      <c r="U126" s="7" t="inlineStr">
        <is>
          <t>DERIVED_IN_WORKBOOK</t>
        </is>
      </c>
      <c r="V126" s="8">
        <f>SUMIFS(Cashflows!$R$1043:$R$1393,Cashflows!$B$1043:$B$1393,$C126,Cashflows!$C$1043:$C$1393,$K126)</f>
        <v/>
      </c>
      <c r="W126" s="8">
        <f>IF($G126="INR",1,INDEX(Market_Daily!$F$6:$F$256,MATCH($K126,Market_Daily!$A$6:$A$256,0)))</f>
        <v/>
      </c>
      <c r="X126" s="8">
        <f>$V126*$W126</f>
        <v/>
      </c>
      <c r="Y126" s="18">
        <f>$X126-$P126</f>
        <v/>
      </c>
      <c r="Z126" s="8">
        <f>IF(ABS($Y126)&lt;=tol_cashflow_inr,"PASS","FAIL")</f>
        <v/>
      </c>
      <c r="AA126" s="7" t="inlineStr">
        <is>
          <t>direction x lots x lot_kg x (F(s) - F(s-1))</t>
        </is>
      </c>
    </row>
    <row r="127">
      <c r="A127" s="7" t="inlineStr">
        <is>
          <t>T01</t>
        </is>
      </c>
      <c r="B127" s="7" t="inlineStr">
        <is>
          <t>BILL_COMMISSION:L3</t>
        </is>
      </c>
      <c r="C127" s="7" t="inlineStr">
        <is>
          <t>L3</t>
        </is>
      </c>
      <c r="D127" s="7" t="inlineStr">
        <is>
          <t>IMPORT_BILL_COMMISSION</t>
        </is>
      </c>
      <c r="E127" s="7" t="inlineStr">
        <is>
          <t>IMPORT_BILL_COMMISSION</t>
        </is>
      </c>
      <c r="F127" s="7" t="inlineStr">
        <is>
          <t>PNL</t>
        </is>
      </c>
      <c r="G127" s="7" t="inlineStr">
        <is>
          <t>USD</t>
        </is>
      </c>
      <c r="H127" s="11" t="n">
        <v>44628</v>
      </c>
      <c r="I127" s="11" t="n">
        <v>44665</v>
      </c>
      <c r="J127" s="11" t="n">
        <v>44665</v>
      </c>
      <c r="K127" s="11" t="n">
        <v>44665</v>
      </c>
      <c r="L127" s="7" t="inlineStr">
        <is>
          <t>roll following on the LME panel calendar</t>
        </is>
      </c>
      <c r="N127" s="7" t="inlineStr">
        <is>
          <t>DIRECT</t>
        </is>
      </c>
      <c r="O127" s="9" t="n">
        <v>-2358.72</v>
      </c>
      <c r="P127" s="9" t="n">
        <v>-179568.88</v>
      </c>
      <c r="U127" s="7" t="inlineStr">
        <is>
          <t>PYTHON_LIFECYCLE</t>
        </is>
      </c>
      <c r="V127" s="8">
        <f>$O127</f>
        <v/>
      </c>
      <c r="W127" s="8">
        <f>IF($G127="INR",1,INDEX(Market_Daily!$F$6:$F$256,MATCH($K127,Market_Daily!$A$6:$A$256,0)))</f>
        <v/>
      </c>
      <c r="X127" s="8">
        <f>$V127*$W127</f>
        <v/>
      </c>
      <c r="Y127" s="18">
        <f>$X127-$P127</f>
        <v/>
      </c>
      <c r="Z127" s="8">
        <f>IF(ABS($Y127)&lt;=tol_cashflow_inr,"PASS","FAIL")</f>
        <v/>
      </c>
      <c r="AA127" s="7" t="inlineStr">
        <is>
          <t>-import_bill_commission_frac x bill_usd</t>
        </is>
      </c>
    </row>
    <row r="128">
      <c r="A128" s="7" t="inlineStr">
        <is>
          <t>T01</t>
        </is>
      </c>
      <c r="B128" s="7" t="inlineStr">
        <is>
          <t>FX:T01-FX-3</t>
        </is>
      </c>
      <c r="C128" s="7" t="inlineStr">
        <is>
          <t>T01-FX-3</t>
        </is>
      </c>
      <c r="D128" s="7" t="inlineStr">
        <is>
          <t>FX_FORWARD</t>
        </is>
      </c>
      <c r="E128" s="7" t="inlineStr">
        <is>
          <t>FX_FORWARD</t>
        </is>
      </c>
      <c r="F128" s="7" t="inlineStr">
        <is>
          <t>PNL</t>
        </is>
      </c>
      <c r="G128" s="7" t="inlineStr">
        <is>
          <t>INR</t>
        </is>
      </c>
      <c r="H128" s="11" t="n">
        <v>44658</v>
      </c>
      <c r="I128" s="11" t="n">
        <v>44665</v>
      </c>
      <c r="J128" s="11" t="n">
        <v>44665</v>
      </c>
      <c r="K128" s="11" t="n">
        <v>44665</v>
      </c>
      <c r="L128" s="7" t="inlineStr">
        <is>
          <t>roll following on the LME panel calendar</t>
        </is>
      </c>
      <c r="N128" s="7" t="inlineStr">
        <is>
          <t>PROXY</t>
        </is>
      </c>
      <c r="O128" s="9" t="n">
        <v>-15030.89</v>
      </c>
      <c r="P128" s="9" t="n">
        <v>-15030.89</v>
      </c>
      <c r="Q128" s="6" t="n">
        <v>1</v>
      </c>
      <c r="R128" s="13" t="n">
        <v>1965600</v>
      </c>
      <c r="S128" s="12" t="n">
        <v>44665</v>
      </c>
      <c r="T128" s="21" t="n">
        <v>76.13744699999999</v>
      </c>
      <c r="U128" s="7" t="inlineStr">
        <is>
          <t>DERIVED_IN_WORKBOOK</t>
        </is>
      </c>
      <c r="V128" s="8">
        <f>$Q128*$R128*(IF($S128&lt;$K128,INDEX(Market_Daily!$F$6:$F$256,MATCH($S128,Market_Daily!$A$6:$A$256,1)),IF($S128=$K128,INDEX(Market_Daily!$F$6:$F$256,MATCH($K128,Market_Daily!$A$6:$A$256,0)),(INDEX(Market_Daily!$F$6:$F$256,MATCH($K128,Market_Daily!$A$6:$A$256,0))*(1+INDEX(Market_Daily!$I$6:$I$256,MATCH($K128,Market_Daily!$A$6:$A$256,0))*($S128-$K128)/day_count_inr)/(1+INDEX(Market_Daily!$J$6:$J$256,MATCH($K128,Market_Daily!$A$6:$A$256,0))*($S128-$K128)/day_count_usd))))-$T128)</f>
        <v/>
      </c>
      <c r="W128" s="8">
        <f>IF($G128="INR",1,INDEX(Market_Daily!$F$6:$F$256,MATCH($K128,Market_Daily!$A$6:$A$256,0)))</f>
        <v/>
      </c>
      <c r="X128" s="8">
        <f>$V128*$W128</f>
        <v/>
      </c>
      <c r="Y128" s="18">
        <f>$X128-$P128</f>
        <v/>
      </c>
      <c r="Z128" s="8">
        <f>IF(ABS($Y128)&lt;=tol_cashflow_inr,"PASS","FAIL")</f>
        <v/>
      </c>
      <c r="AA128" s="7" t="inlineStr">
        <is>
          <t>sign x notional x (X(tau, value_date) - K)</t>
        </is>
      </c>
    </row>
    <row r="129">
      <c r="A129" s="7" t="inlineStr">
        <is>
          <t>T01</t>
        </is>
      </c>
      <c r="B129" s="7" t="inlineStr">
        <is>
          <t>MCX:T01-MCX-1</t>
        </is>
      </c>
      <c r="C129" s="7" t="inlineStr">
        <is>
          <t>T01-MCX-1</t>
        </is>
      </c>
      <c r="D129" s="7" t="inlineStr">
        <is>
          <t>MCX_INITIAL_MARGIN</t>
        </is>
      </c>
      <c r="E129" s="7" t="inlineStr">
        <is>
          <t>MCX_INITIAL_MARGIN</t>
        </is>
      </c>
      <c r="F129" s="7" t="inlineStr">
        <is>
          <t>BS</t>
        </is>
      </c>
      <c r="G129" s="7" t="inlineStr">
        <is>
          <t>INR</t>
        </is>
      </c>
      <c r="H129" s="11" t="n">
        <v>44629</v>
      </c>
      <c r="I129" s="11" t="n">
        <v>44665</v>
      </c>
      <c r="J129" s="11" t="n">
        <v>44665</v>
      </c>
      <c r="K129" s="11" t="n">
        <v>44665</v>
      </c>
      <c r="L129" s="7" t="inlineStr">
        <is>
          <t>roll following on the LME panel calendar</t>
        </is>
      </c>
      <c r="N129" s="7" t="inlineStr">
        <is>
          <t>PROXY</t>
        </is>
      </c>
      <c r="O129" s="9" t="n">
        <v>-229684.29</v>
      </c>
      <c r="P129" s="9" t="n">
        <v>-229684.29</v>
      </c>
      <c r="U129" s="7" t="inlineStr">
        <is>
          <t>DERIVED_IN_WORKBOOK</t>
        </is>
      </c>
      <c r="V129" s="8">
        <f>-SUMIFS(Cashflows!$W$1043:$W$1393,Cashflows!$B$1043:$B$1393,$C129,Cashflows!$C$1043:$C$1393,$K129)</f>
        <v/>
      </c>
      <c r="W129" s="8">
        <f>IF($G129="INR",1,INDEX(Market_Daily!$F$6:$F$256,MATCH($K129,Market_Daily!$A$6:$A$256,0)))</f>
        <v/>
      </c>
      <c r="X129" s="8">
        <f>$V129*$W129</f>
        <v/>
      </c>
      <c r="Y129" s="18">
        <f>$X129-$P129</f>
        <v/>
      </c>
      <c r="Z129" s="8">
        <f>IF(ABS($Y129)&lt;=tol_cashflow_inr,"PASS","FAIL")</f>
        <v/>
      </c>
      <c r="AA129" s="7" t="inlineStr">
        <is>
          <t>-d(lots x lot_kg x F(s) x mcx_al_margin_used_frac)</t>
        </is>
      </c>
    </row>
    <row r="130">
      <c r="A130" s="7" t="inlineStr">
        <is>
          <t>T01</t>
        </is>
      </c>
      <c r="B130" s="7" t="inlineStr">
        <is>
          <t>MCX:T01-MCX-1</t>
        </is>
      </c>
      <c r="C130" s="7" t="inlineStr">
        <is>
          <t>T01-MCX-1</t>
        </is>
      </c>
      <c r="D130" s="7" t="inlineStr">
        <is>
          <t>MCX_VARIATION_MARGIN</t>
        </is>
      </c>
      <c r="E130" s="7" t="inlineStr">
        <is>
          <t>MCX_VARIATION_MARGIN</t>
        </is>
      </c>
      <c r="F130" s="7" t="inlineStr">
        <is>
          <t>PNL</t>
        </is>
      </c>
      <c r="G130" s="7" t="inlineStr">
        <is>
          <t>INR</t>
        </is>
      </c>
      <c r="H130" s="11" t="n">
        <v>44629</v>
      </c>
      <c r="I130" s="11" t="n">
        <v>44665</v>
      </c>
      <c r="J130" s="11" t="n">
        <v>44665</v>
      </c>
      <c r="K130" s="11" t="n">
        <v>44665</v>
      </c>
      <c r="L130" s="7" t="inlineStr">
        <is>
          <t>roll following on the LME panel calendar</t>
        </is>
      </c>
      <c r="N130" s="7" t="inlineStr">
        <is>
          <t>PROXY</t>
        </is>
      </c>
      <c r="O130" s="9" t="n">
        <v>-2296842.88</v>
      </c>
      <c r="P130" s="9" t="n">
        <v>-2296842.88</v>
      </c>
      <c r="U130" s="7" t="inlineStr">
        <is>
          <t>DERIVED_IN_WORKBOOK</t>
        </is>
      </c>
      <c r="V130" s="8">
        <f>SUMIFS(Cashflows!$R$1043:$R$1393,Cashflows!$B$1043:$B$1393,$C130,Cashflows!$C$1043:$C$1393,$K130)</f>
        <v/>
      </c>
      <c r="W130" s="8">
        <f>IF($G130="INR",1,INDEX(Market_Daily!$F$6:$F$256,MATCH($K130,Market_Daily!$A$6:$A$256,0)))</f>
        <v/>
      </c>
      <c r="X130" s="8">
        <f>$V130*$W130</f>
        <v/>
      </c>
      <c r="Y130" s="18">
        <f>$X130-$P130</f>
        <v/>
      </c>
      <c r="Z130" s="8">
        <f>IF(ABS($Y130)&lt;=tol_cashflow_inr,"PASS","FAIL")</f>
        <v/>
      </c>
      <c r="AA130" s="7" t="inlineStr">
        <is>
          <t>direction x lots x lot_kg x (F(s) - F(s-1))</t>
        </is>
      </c>
    </row>
    <row r="131">
      <c r="A131" s="7" t="inlineStr">
        <is>
          <t>T01</t>
        </is>
      </c>
      <c r="B131" s="7" t="inlineStr">
        <is>
          <t>MCX:T01-MCX-2</t>
        </is>
      </c>
      <c r="C131" s="7" t="inlineStr">
        <is>
          <t>T01-MCX-2</t>
        </is>
      </c>
      <c r="D131" s="7" t="inlineStr">
        <is>
          <t>MCX_INITIAL_MARGIN</t>
        </is>
      </c>
      <c r="E131" s="7" t="inlineStr">
        <is>
          <t>MCX_INITIAL_MARGIN</t>
        </is>
      </c>
      <c r="F131" s="7" t="inlineStr">
        <is>
          <t>BS</t>
        </is>
      </c>
      <c r="G131" s="7" t="inlineStr">
        <is>
          <t>INR</t>
        </is>
      </c>
      <c r="H131" s="11" t="n">
        <v>44629</v>
      </c>
      <c r="I131" s="11" t="n">
        <v>44665</v>
      </c>
      <c r="J131" s="11" t="n">
        <v>44665</v>
      </c>
      <c r="K131" s="11" t="n">
        <v>44665</v>
      </c>
      <c r="L131" s="7" t="inlineStr">
        <is>
          <t>roll following on the LME panel calendar</t>
        </is>
      </c>
      <c r="N131" s="7" t="inlineStr">
        <is>
          <t>PROXY</t>
        </is>
      </c>
      <c r="O131" s="9" t="n">
        <v>-114842.14</v>
      </c>
      <c r="P131" s="9" t="n">
        <v>-114842.14</v>
      </c>
      <c r="U131" s="7" t="inlineStr">
        <is>
          <t>DERIVED_IN_WORKBOOK</t>
        </is>
      </c>
      <c r="V131" s="8">
        <f>-SUMIFS(Cashflows!$W$1043:$W$1393,Cashflows!$B$1043:$B$1393,$C131,Cashflows!$C$1043:$C$1393,$K131)</f>
        <v/>
      </c>
      <c r="W131" s="8">
        <f>IF($G131="INR",1,INDEX(Market_Daily!$F$6:$F$256,MATCH($K131,Market_Daily!$A$6:$A$256,0)))</f>
        <v/>
      </c>
      <c r="X131" s="8">
        <f>$V131*$W131</f>
        <v/>
      </c>
      <c r="Y131" s="18">
        <f>$X131-$P131</f>
        <v/>
      </c>
      <c r="Z131" s="8">
        <f>IF(ABS($Y131)&lt;=tol_cashflow_inr,"PASS","FAIL")</f>
        <v/>
      </c>
      <c r="AA131" s="7" t="inlineStr">
        <is>
          <t>-d(lots x lot_kg x F(s) x mcx_al_margin_used_frac)</t>
        </is>
      </c>
    </row>
    <row r="132">
      <c r="A132" s="7" t="inlineStr">
        <is>
          <t>T01</t>
        </is>
      </c>
      <c r="B132" s="7" t="inlineStr">
        <is>
          <t>MCX:T01-MCX-2</t>
        </is>
      </c>
      <c r="C132" s="7" t="inlineStr">
        <is>
          <t>T01-MCX-2</t>
        </is>
      </c>
      <c r="D132" s="7" t="inlineStr">
        <is>
          <t>MCX_VARIATION_MARGIN</t>
        </is>
      </c>
      <c r="E132" s="7" t="inlineStr">
        <is>
          <t>MCX_VARIATION_MARGIN</t>
        </is>
      </c>
      <c r="F132" s="7" t="inlineStr">
        <is>
          <t>PNL</t>
        </is>
      </c>
      <c r="G132" s="7" t="inlineStr">
        <is>
          <t>INR</t>
        </is>
      </c>
      <c r="H132" s="11" t="n">
        <v>44629</v>
      </c>
      <c r="I132" s="11" t="n">
        <v>44665</v>
      </c>
      <c r="J132" s="11" t="n">
        <v>44665</v>
      </c>
      <c r="K132" s="11" t="n">
        <v>44665</v>
      </c>
      <c r="L132" s="7" t="inlineStr">
        <is>
          <t>roll following on the LME panel calendar</t>
        </is>
      </c>
      <c r="N132" s="7" t="inlineStr">
        <is>
          <t>PROXY</t>
        </is>
      </c>
      <c r="O132" s="9" t="n">
        <v>-1148421.44</v>
      </c>
      <c r="P132" s="9" t="n">
        <v>-1148421.44</v>
      </c>
      <c r="U132" s="7" t="inlineStr">
        <is>
          <t>DERIVED_IN_WORKBOOK</t>
        </is>
      </c>
      <c r="V132" s="8">
        <f>SUMIFS(Cashflows!$R$1043:$R$1393,Cashflows!$B$1043:$B$1393,$C132,Cashflows!$C$1043:$C$1393,$K132)</f>
        <v/>
      </c>
      <c r="W132" s="8">
        <f>IF($G132="INR",1,INDEX(Market_Daily!$F$6:$F$256,MATCH($K132,Market_Daily!$A$6:$A$256,0)))</f>
        <v/>
      </c>
      <c r="X132" s="8">
        <f>$V132*$W132</f>
        <v/>
      </c>
      <c r="Y132" s="18">
        <f>$X132-$P132</f>
        <v/>
      </c>
      <c r="Z132" s="8">
        <f>IF(ABS($Y132)&lt;=tol_cashflow_inr,"PASS","FAIL")</f>
        <v/>
      </c>
      <c r="AA132" s="7" t="inlineStr">
        <is>
          <t>direction x lots x lot_kg x (F(s) - F(s-1))</t>
        </is>
      </c>
    </row>
    <row r="133">
      <c r="A133" s="7" t="inlineStr">
        <is>
          <t>T01</t>
        </is>
      </c>
      <c r="B133" s="7" t="inlineStr">
        <is>
          <t>PURCHASE:L3</t>
        </is>
      </c>
      <c r="C133" s="7" t="inlineStr">
        <is>
          <t>L3</t>
        </is>
      </c>
      <c r="D133" s="7" t="inlineStr">
        <is>
          <t>PURCHASE_INVOICE</t>
        </is>
      </c>
      <c r="E133" s="7" t="inlineStr">
        <is>
          <t>PURCHASE_INVOICE</t>
        </is>
      </c>
      <c r="F133" s="7" t="inlineStr">
        <is>
          <t>PNL</t>
        </is>
      </c>
      <c r="G133" s="7" t="inlineStr">
        <is>
          <t>USD</t>
        </is>
      </c>
      <c r="H133" s="11" t="n">
        <v>44628</v>
      </c>
      <c r="J133" s="11" t="n">
        <v>44665</v>
      </c>
      <c r="K133" s="11" t="n">
        <v>44665</v>
      </c>
      <c r="L133" s="7" t="inlineStr">
        <is>
          <t>roll following on the LME panel calendar</t>
        </is>
      </c>
      <c r="N133" s="7" t="inlineStr">
        <is>
          <t>SIM</t>
        </is>
      </c>
      <c r="O133" s="9" t="n">
        <v>-1965600</v>
      </c>
      <c r="P133" s="9" t="n">
        <v>-149640734.88</v>
      </c>
      <c r="U133" s="7" t="inlineStr">
        <is>
          <t>PYTHON_LIFECYCLE</t>
        </is>
      </c>
      <c r="V133" s="8">
        <f>$O133</f>
        <v/>
      </c>
      <c r="W133" s="8">
        <f>IF($G133="INR",1,INDEX(Market_Daily!$F$6:$F$256,MATCH($K133,Market_Daily!$A$6:$A$256,0)))</f>
        <v/>
      </c>
      <c r="X133" s="8">
        <f>$V133*$W133</f>
        <v/>
      </c>
      <c r="Y133" s="18">
        <f>$X133-$P133</f>
        <v/>
      </c>
      <c r="Z133" s="8">
        <f>IF(ABS($Y133)&lt;=tol_cashflow_inr,"PASS","FAIL")</f>
        <v/>
      </c>
      <c r="AA133" s="7" t="inlineStr">
        <is>
          <t>-q_bl x price_usd_t</t>
        </is>
      </c>
    </row>
    <row r="134">
      <c r="A134" s="7" t="inlineStr">
        <is>
          <t>T01</t>
        </is>
      </c>
      <c r="B134" s="7" t="inlineStr">
        <is>
          <t>MCX:T01-MCX-1</t>
        </is>
      </c>
      <c r="C134" s="7" t="inlineStr">
        <is>
          <t>T01-MCX-1</t>
        </is>
      </c>
      <c r="D134" s="7" t="inlineStr">
        <is>
          <t>MCX_INITIAL_MARGIN</t>
        </is>
      </c>
      <c r="E134" s="7" t="inlineStr">
        <is>
          <t>MCX_INITIAL_MARGIN</t>
        </is>
      </c>
      <c r="F134" s="7" t="inlineStr">
        <is>
          <t>BS</t>
        </is>
      </c>
      <c r="G134" s="7" t="inlineStr">
        <is>
          <t>INR</t>
        </is>
      </c>
      <c r="H134" s="11" t="n">
        <v>44629</v>
      </c>
      <c r="I134" s="11" t="n">
        <v>44670</v>
      </c>
      <c r="J134" s="11" t="n">
        <v>44670</v>
      </c>
      <c r="K134" s="11" t="n">
        <v>44670</v>
      </c>
      <c r="L134" s="7" t="inlineStr">
        <is>
          <t>roll following on the LME panel calendar</t>
        </is>
      </c>
      <c r="N134" s="7" t="inlineStr">
        <is>
          <t>PROXY</t>
        </is>
      </c>
      <c r="O134" s="9" t="n">
        <v>-720147.28</v>
      </c>
      <c r="P134" s="9" t="n">
        <v>-720147.28</v>
      </c>
      <c r="U134" s="7" t="inlineStr">
        <is>
          <t>DERIVED_IN_WORKBOOK</t>
        </is>
      </c>
      <c r="V134" s="8">
        <f>-SUMIFS(Cashflows!$W$1043:$W$1393,Cashflows!$B$1043:$B$1393,$C134,Cashflows!$C$1043:$C$1393,$K134)</f>
        <v/>
      </c>
      <c r="W134" s="8">
        <f>IF($G134="INR",1,INDEX(Market_Daily!$F$6:$F$256,MATCH($K134,Market_Daily!$A$6:$A$256,0)))</f>
        <v/>
      </c>
      <c r="X134" s="8">
        <f>$V134*$W134</f>
        <v/>
      </c>
      <c r="Y134" s="18">
        <f>$X134-$P134</f>
        <v/>
      </c>
      <c r="Z134" s="8">
        <f>IF(ABS($Y134)&lt;=tol_cashflow_inr,"PASS","FAIL")</f>
        <v/>
      </c>
      <c r="AA134" s="7" t="inlineStr">
        <is>
          <t>-d(lots x lot_kg x F(s) x mcx_al_margin_used_frac)</t>
        </is>
      </c>
    </row>
    <row r="135">
      <c r="A135" s="7" t="inlineStr">
        <is>
          <t>T01</t>
        </is>
      </c>
      <c r="B135" s="7" t="inlineStr">
        <is>
          <t>MCX:T01-MCX-1</t>
        </is>
      </c>
      <c r="C135" s="7" t="inlineStr">
        <is>
          <t>T01-MCX-1</t>
        </is>
      </c>
      <c r="D135" s="7" t="inlineStr">
        <is>
          <t>MCX_VARIATION_MARGIN</t>
        </is>
      </c>
      <c r="E135" s="7" t="inlineStr">
        <is>
          <t>MCX_VARIATION_MARGIN</t>
        </is>
      </c>
      <c r="F135" s="7" t="inlineStr">
        <is>
          <t>PNL</t>
        </is>
      </c>
      <c r="G135" s="7" t="inlineStr">
        <is>
          <t>INR</t>
        </is>
      </c>
      <c r="H135" s="11" t="n">
        <v>44629</v>
      </c>
      <c r="I135" s="11" t="n">
        <v>44670</v>
      </c>
      <c r="J135" s="11" t="n">
        <v>44670</v>
      </c>
      <c r="K135" s="11" t="n">
        <v>44670</v>
      </c>
      <c r="L135" s="7" t="inlineStr">
        <is>
          <t>roll following on the LME panel calendar</t>
        </is>
      </c>
      <c r="N135" s="7" t="inlineStr">
        <is>
          <t>PROXY</t>
        </is>
      </c>
      <c r="O135" s="9" t="n">
        <v>-7201472.77</v>
      </c>
      <c r="P135" s="9" t="n">
        <v>-7201472.77</v>
      </c>
      <c r="U135" s="7" t="inlineStr">
        <is>
          <t>DERIVED_IN_WORKBOOK</t>
        </is>
      </c>
      <c r="V135" s="8">
        <f>SUMIFS(Cashflows!$R$1043:$R$1393,Cashflows!$B$1043:$B$1393,$C135,Cashflows!$C$1043:$C$1393,$K135)</f>
        <v/>
      </c>
      <c r="W135" s="8">
        <f>IF($G135="INR",1,INDEX(Market_Daily!$F$6:$F$256,MATCH($K135,Market_Daily!$A$6:$A$256,0)))</f>
        <v/>
      </c>
      <c r="X135" s="8">
        <f>$V135*$W135</f>
        <v/>
      </c>
      <c r="Y135" s="18">
        <f>$X135-$P135</f>
        <v/>
      </c>
      <c r="Z135" s="8">
        <f>IF(ABS($Y135)&lt;=tol_cashflow_inr,"PASS","FAIL")</f>
        <v/>
      </c>
      <c r="AA135" s="7" t="inlineStr">
        <is>
          <t>direction x lots x lot_kg x (F(s) - F(s-1))</t>
        </is>
      </c>
    </row>
    <row r="136">
      <c r="A136" s="7" t="inlineStr">
        <is>
          <t>T01</t>
        </is>
      </c>
      <c r="B136" s="7" t="inlineStr">
        <is>
          <t>MCX:T01-MCX-2</t>
        </is>
      </c>
      <c r="C136" s="7" t="inlineStr">
        <is>
          <t>T01-MCX-2</t>
        </is>
      </c>
      <c r="D136" s="7" t="inlineStr">
        <is>
          <t>MCX_INITIAL_MARGIN</t>
        </is>
      </c>
      <c r="E136" s="7" t="inlineStr">
        <is>
          <t>MCX_INITIAL_MARGIN</t>
        </is>
      </c>
      <c r="F136" s="7" t="inlineStr">
        <is>
          <t>BS</t>
        </is>
      </c>
      <c r="G136" s="7" t="inlineStr">
        <is>
          <t>INR</t>
        </is>
      </c>
      <c r="H136" s="11" t="n">
        <v>44629</v>
      </c>
      <c r="I136" s="11" t="n">
        <v>44670</v>
      </c>
      <c r="J136" s="11" t="n">
        <v>44670</v>
      </c>
      <c r="K136" s="11" t="n">
        <v>44670</v>
      </c>
      <c r="L136" s="7" t="inlineStr">
        <is>
          <t>roll following on the LME panel calendar</t>
        </is>
      </c>
      <c r="N136" s="7" t="inlineStr">
        <is>
          <t>PROXY</t>
        </is>
      </c>
      <c r="O136" s="9" t="n">
        <v>-360073.64</v>
      </c>
      <c r="P136" s="9" t="n">
        <v>-360073.64</v>
      </c>
      <c r="U136" s="7" t="inlineStr">
        <is>
          <t>DERIVED_IN_WORKBOOK</t>
        </is>
      </c>
      <c r="V136" s="8">
        <f>-SUMIFS(Cashflows!$W$1043:$W$1393,Cashflows!$B$1043:$B$1393,$C136,Cashflows!$C$1043:$C$1393,$K136)</f>
        <v/>
      </c>
      <c r="W136" s="8">
        <f>IF($G136="INR",1,INDEX(Market_Daily!$F$6:$F$256,MATCH($K136,Market_Daily!$A$6:$A$256,0)))</f>
        <v/>
      </c>
      <c r="X136" s="8">
        <f>$V136*$W136</f>
        <v/>
      </c>
      <c r="Y136" s="18">
        <f>$X136-$P136</f>
        <v/>
      </c>
      <c r="Z136" s="8">
        <f>IF(ABS($Y136)&lt;=tol_cashflow_inr,"PASS","FAIL")</f>
        <v/>
      </c>
      <c r="AA136" s="7" t="inlineStr">
        <is>
          <t>-d(lots x lot_kg x F(s) x mcx_al_margin_used_frac)</t>
        </is>
      </c>
    </row>
    <row r="137">
      <c r="A137" s="7" t="inlineStr">
        <is>
          <t>T01</t>
        </is>
      </c>
      <c r="B137" s="7" t="inlineStr">
        <is>
          <t>MCX:T01-MCX-2</t>
        </is>
      </c>
      <c r="C137" s="7" t="inlineStr">
        <is>
          <t>T01-MCX-2</t>
        </is>
      </c>
      <c r="D137" s="7" t="inlineStr">
        <is>
          <t>MCX_VARIATION_MARGIN</t>
        </is>
      </c>
      <c r="E137" s="7" t="inlineStr">
        <is>
          <t>MCX_VARIATION_MARGIN</t>
        </is>
      </c>
      <c r="F137" s="7" t="inlineStr">
        <is>
          <t>PNL</t>
        </is>
      </c>
      <c r="G137" s="7" t="inlineStr">
        <is>
          <t>INR</t>
        </is>
      </c>
      <c r="H137" s="11" t="n">
        <v>44629</v>
      </c>
      <c r="I137" s="11" t="n">
        <v>44670</v>
      </c>
      <c r="J137" s="11" t="n">
        <v>44670</v>
      </c>
      <c r="K137" s="11" t="n">
        <v>44670</v>
      </c>
      <c r="L137" s="7" t="inlineStr">
        <is>
          <t>roll following on the LME panel calendar</t>
        </is>
      </c>
      <c r="N137" s="7" t="inlineStr">
        <is>
          <t>PROXY</t>
        </is>
      </c>
      <c r="O137" s="9" t="n">
        <v>-3600736.39</v>
      </c>
      <c r="P137" s="9" t="n">
        <v>-3600736.39</v>
      </c>
      <c r="U137" s="7" t="inlineStr">
        <is>
          <t>DERIVED_IN_WORKBOOK</t>
        </is>
      </c>
      <c r="V137" s="8">
        <f>SUMIFS(Cashflows!$R$1043:$R$1393,Cashflows!$B$1043:$B$1393,$C137,Cashflows!$C$1043:$C$1393,$K137)</f>
        <v/>
      </c>
      <c r="W137" s="8">
        <f>IF($G137="INR",1,INDEX(Market_Daily!$F$6:$F$256,MATCH($K137,Market_Daily!$A$6:$A$256,0)))</f>
        <v/>
      </c>
      <c r="X137" s="8">
        <f>$V137*$W137</f>
        <v/>
      </c>
      <c r="Y137" s="18">
        <f>$X137-$P137</f>
        <v/>
      </c>
      <c r="Z137" s="8">
        <f>IF(ABS($Y137)&lt;=tol_cashflow_inr,"PASS","FAIL")</f>
        <v/>
      </c>
      <c r="AA137" s="7" t="inlineStr">
        <is>
          <t>direction x lots x lot_kg x (F(s) - F(s-1))</t>
        </is>
      </c>
    </row>
    <row r="138">
      <c r="A138" s="7" t="inlineStr">
        <is>
          <t>T01</t>
        </is>
      </c>
      <c r="B138" s="7" t="inlineStr">
        <is>
          <t>MCX:T01-MCX-1</t>
        </is>
      </c>
      <c r="C138" s="7" t="inlineStr">
        <is>
          <t>T01-MCX-1</t>
        </is>
      </c>
      <c r="D138" s="7" t="inlineStr">
        <is>
          <t>MCX_INITIAL_MARGIN</t>
        </is>
      </c>
      <c r="E138" s="7" t="inlineStr">
        <is>
          <t>MCX_INITIAL_MARGIN</t>
        </is>
      </c>
      <c r="F138" s="7" t="inlineStr">
        <is>
          <t>BS</t>
        </is>
      </c>
      <c r="G138" s="7" t="inlineStr">
        <is>
          <t>INR</t>
        </is>
      </c>
      <c r="H138" s="11" t="n">
        <v>44629</v>
      </c>
      <c r="I138" s="11" t="n">
        <v>44671</v>
      </c>
      <c r="J138" s="11" t="n">
        <v>44671</v>
      </c>
      <c r="K138" s="11" t="n">
        <v>44671</v>
      </c>
      <c r="L138" s="7" t="inlineStr">
        <is>
          <t>roll following on the LME panel calendar</t>
        </is>
      </c>
      <c r="N138" s="7" t="inlineStr">
        <is>
          <t>PROXY</t>
        </is>
      </c>
      <c r="O138" s="9" t="n">
        <v>27443590.74</v>
      </c>
      <c r="P138" s="9" t="n">
        <v>27443590.74</v>
      </c>
      <c r="U138" s="7" t="inlineStr">
        <is>
          <t>DERIVED_IN_WORKBOOK</t>
        </is>
      </c>
      <c r="V138" s="8">
        <f>-SUMIFS(Cashflows!$W$1043:$W$1393,Cashflows!$B$1043:$B$1393,$C138,Cashflows!$C$1043:$C$1393,$K138)</f>
        <v/>
      </c>
      <c r="W138" s="8">
        <f>IF($G138="INR",1,INDEX(Market_Daily!$F$6:$F$256,MATCH($K138,Market_Daily!$A$6:$A$256,0)))</f>
        <v/>
      </c>
      <c r="X138" s="8">
        <f>$V138*$W138</f>
        <v/>
      </c>
      <c r="Y138" s="18">
        <f>$X138-$P138</f>
        <v/>
      </c>
      <c r="Z138" s="8">
        <f>IF(ABS($Y138)&lt;=tol_cashflow_inr,"PASS","FAIL")</f>
        <v/>
      </c>
      <c r="AA138" s="7" t="inlineStr">
        <is>
          <t>-d(lots x lot_kg x F(s) x mcx_al_margin_used_frac)</t>
        </is>
      </c>
    </row>
    <row r="139">
      <c r="A139" s="7" t="inlineStr">
        <is>
          <t>T01</t>
        </is>
      </c>
      <c r="B139" s="7" t="inlineStr">
        <is>
          <t>MCX:T01-MCX-1</t>
        </is>
      </c>
      <c r="C139" s="7" t="inlineStr">
        <is>
          <t>T01-MCX-1</t>
        </is>
      </c>
      <c r="D139" s="7" t="inlineStr">
        <is>
          <t>MCX_SLIPPAGE</t>
        </is>
      </c>
      <c r="E139" s="7" t="inlineStr">
        <is>
          <t>MCX_SLIPPAGE</t>
        </is>
      </c>
      <c r="F139" s="7" t="inlineStr">
        <is>
          <t>PNL</t>
        </is>
      </c>
      <c r="G139" s="7" t="inlineStr">
        <is>
          <t>INR</t>
        </is>
      </c>
      <c r="H139" s="11" t="n">
        <v>44671</v>
      </c>
      <c r="J139" s="11" t="n">
        <v>44671</v>
      </c>
      <c r="K139" s="11" t="n">
        <v>44671</v>
      </c>
      <c r="L139" s="7" t="inlineStr">
        <is>
          <t>roll following on the LME panel calendar</t>
        </is>
      </c>
      <c r="N139" s="7" t="inlineStr">
        <is>
          <t>ASSUMPTION</t>
        </is>
      </c>
      <c r="O139" s="9" t="n">
        <v>-100000</v>
      </c>
      <c r="P139" s="9" t="n">
        <v>-100000</v>
      </c>
      <c r="U139" s="7" t="inlineStr">
        <is>
          <t>DERIVED_IN_WORKBOOK</t>
        </is>
      </c>
      <c r="V139" s="8">
        <f>SUMIFS(Cashflows!$Z$1043:$Z$1393,Cashflows!$B$1043:$B$1393,$C139,Cashflows!$C$1043:$C$1393,$K139)</f>
        <v/>
      </c>
      <c r="W139" s="8">
        <f>IF($G139="INR",1,INDEX(Market_Daily!$F$6:$F$256,MATCH($K139,Market_Daily!$A$6:$A$256,0)))</f>
        <v/>
      </c>
      <c r="X139" s="8">
        <f>$V139*$W139</f>
        <v/>
      </c>
      <c r="Y139" s="18">
        <f>$X139-$P139</f>
        <v/>
      </c>
      <c r="Z139" s="8">
        <f>IF(ABS($Y139)&lt;=tol_cashflow_inr,"PASS","FAIL")</f>
        <v/>
      </c>
      <c r="AA139" s="7" t="inlineStr">
        <is>
          <t>-lots x lot_kg x mcx_slippage_ticks x tick</t>
        </is>
      </c>
    </row>
    <row r="140">
      <c r="A140" s="7" t="inlineStr">
        <is>
          <t>T01</t>
        </is>
      </c>
      <c r="B140" s="7" t="inlineStr">
        <is>
          <t>MCX:T01-MCX-1</t>
        </is>
      </c>
      <c r="C140" s="7" t="inlineStr">
        <is>
          <t>T01-MCX-1</t>
        </is>
      </c>
      <c r="D140" s="7" t="inlineStr">
        <is>
          <t>MCX_TRANSACTION_COST</t>
        </is>
      </c>
      <c r="E140" s="7" t="inlineStr">
        <is>
          <t>MCX_TRANSACTION_COST</t>
        </is>
      </c>
      <c r="F140" s="7" t="inlineStr">
        <is>
          <t>PNL</t>
        </is>
      </c>
      <c r="G140" s="7" t="inlineStr">
        <is>
          <t>INR</t>
        </is>
      </c>
      <c r="H140" s="11" t="n">
        <v>44671</v>
      </c>
      <c r="I140" s="11" t="n">
        <v>44671</v>
      </c>
      <c r="J140" s="11" t="n">
        <v>44671</v>
      </c>
      <c r="K140" s="11" t="n">
        <v>44671</v>
      </c>
      <c r="L140" s="7" t="inlineStr">
        <is>
          <t>roll following on the LME panel calendar</t>
        </is>
      </c>
      <c r="N140" s="7" t="inlineStr">
        <is>
          <t>ASSUMPTION</t>
        </is>
      </c>
      <c r="O140" s="9" t="n">
        <v>-80391.7</v>
      </c>
      <c r="P140" s="9" t="n">
        <v>-80391.7</v>
      </c>
      <c r="U140" s="7" t="inlineStr">
        <is>
          <t>DERIVED_IN_WORKBOOK</t>
        </is>
      </c>
      <c r="V140" s="8">
        <f>SUMIFS(Cashflows!$AA$1043:$AA$1393,Cashflows!$B$1043:$B$1393,$C140,Cashflows!$C$1043:$C$1393,$K140)</f>
        <v/>
      </c>
      <c r="W140" s="8">
        <f>IF($G140="INR",1,INDEX(Market_Daily!$F$6:$F$256,MATCH($K140,Market_Daily!$A$6:$A$256,0)))</f>
        <v/>
      </c>
      <c r="X140" s="8">
        <f>$V140*$W140</f>
        <v/>
      </c>
      <c r="Y140" s="18">
        <f>$X140-$P140</f>
        <v/>
      </c>
      <c r="Z140" s="8">
        <f>IF(ABS($Y140)&lt;=tol_cashflow_inr,"PASS","FAIL")</f>
        <v/>
      </c>
      <c r="AA140" s="7" t="inlineStr">
        <is>
          <t>-lots x lot_kg x fill x mcx_txn_cost_frac</t>
        </is>
      </c>
    </row>
    <row r="141">
      <c r="A141" s="7" t="inlineStr">
        <is>
          <t>T01</t>
        </is>
      </c>
      <c r="B141" s="7" t="inlineStr">
        <is>
          <t>MCX:T01-MCX-1</t>
        </is>
      </c>
      <c r="C141" s="7" t="inlineStr">
        <is>
          <t>T01-MCX-1</t>
        </is>
      </c>
      <c r="D141" s="7" t="inlineStr">
        <is>
          <t>MCX_VARIATION_MARGIN</t>
        </is>
      </c>
      <c r="E141" s="7" t="inlineStr">
        <is>
          <t>MCX_VARIATION_MARGIN</t>
        </is>
      </c>
      <c r="F141" s="7" t="inlineStr">
        <is>
          <t>PNL</t>
        </is>
      </c>
      <c r="G141" s="7" t="inlineStr">
        <is>
          <t>INR</t>
        </is>
      </c>
      <c r="H141" s="11" t="n">
        <v>44629</v>
      </c>
      <c r="I141" s="11" t="n">
        <v>44671</v>
      </c>
      <c r="J141" s="11" t="n">
        <v>44671</v>
      </c>
      <c r="K141" s="11" t="n">
        <v>44671</v>
      </c>
      <c r="L141" s="7" t="inlineStr">
        <is>
          <t>roll following on the LME panel calendar</t>
        </is>
      </c>
      <c r="N141" s="7" t="inlineStr">
        <is>
          <t>PROXY</t>
        </is>
      </c>
      <c r="O141" s="9" t="n">
        <v>6563572.92</v>
      </c>
      <c r="P141" s="9" t="n">
        <v>6563572.92</v>
      </c>
      <c r="U141" s="7" t="inlineStr">
        <is>
          <t>DERIVED_IN_WORKBOOK</t>
        </is>
      </c>
      <c r="V141" s="8">
        <f>SUMIFS(Cashflows!$R$1043:$R$1393,Cashflows!$B$1043:$B$1393,$C141,Cashflows!$C$1043:$C$1393,$K141)</f>
        <v/>
      </c>
      <c r="W141" s="8">
        <f>IF($G141="INR",1,INDEX(Market_Daily!$F$6:$F$256,MATCH($K141,Market_Daily!$A$6:$A$256,0)))</f>
        <v/>
      </c>
      <c r="X141" s="8">
        <f>$V141*$W141</f>
        <v/>
      </c>
      <c r="Y141" s="18">
        <f>$X141-$P141</f>
        <v/>
      </c>
      <c r="Z141" s="8">
        <f>IF(ABS($Y141)&lt;=tol_cashflow_inr,"PASS","FAIL")</f>
        <v/>
      </c>
      <c r="AA141" s="7" t="inlineStr">
        <is>
          <t>direction x lots x lot_kg x (F(s) - F(s-1))</t>
        </is>
      </c>
    </row>
    <row r="142">
      <c r="A142" s="7" t="inlineStr">
        <is>
          <t>T01</t>
        </is>
      </c>
      <c r="B142" s="7" t="inlineStr">
        <is>
          <t>MCX:T01-MCX-2</t>
        </is>
      </c>
      <c r="C142" s="7" t="inlineStr">
        <is>
          <t>T01-MCX-2</t>
        </is>
      </c>
      <c r="D142" s="7" t="inlineStr">
        <is>
          <t>MCX_INITIAL_MARGIN</t>
        </is>
      </c>
      <c r="E142" s="7" t="inlineStr">
        <is>
          <t>MCX_INITIAL_MARGIN</t>
        </is>
      </c>
      <c r="F142" s="7" t="inlineStr">
        <is>
          <t>BS</t>
        </is>
      </c>
      <c r="G142" s="7" t="inlineStr">
        <is>
          <t>INR</t>
        </is>
      </c>
      <c r="H142" s="11" t="n">
        <v>44629</v>
      </c>
      <c r="I142" s="11" t="n">
        <v>44671</v>
      </c>
      <c r="J142" s="11" t="n">
        <v>44671</v>
      </c>
      <c r="K142" s="11" t="n">
        <v>44671</v>
      </c>
      <c r="L142" s="7" t="inlineStr">
        <is>
          <t>roll following on the LME panel calendar</t>
        </is>
      </c>
      <c r="N142" s="7" t="inlineStr">
        <is>
          <t>PROXY</t>
        </is>
      </c>
      <c r="O142" s="9" t="n">
        <v>13721795.37</v>
      </c>
      <c r="P142" s="9" t="n">
        <v>13721795.37</v>
      </c>
      <c r="U142" s="7" t="inlineStr">
        <is>
          <t>DERIVED_IN_WORKBOOK</t>
        </is>
      </c>
      <c r="V142" s="8">
        <f>-SUMIFS(Cashflows!$W$1043:$W$1393,Cashflows!$B$1043:$B$1393,$C142,Cashflows!$C$1043:$C$1393,$K142)</f>
        <v/>
      </c>
      <c r="W142" s="8">
        <f>IF($G142="INR",1,INDEX(Market_Daily!$F$6:$F$256,MATCH($K142,Market_Daily!$A$6:$A$256,0)))</f>
        <v/>
      </c>
      <c r="X142" s="8">
        <f>$V142*$W142</f>
        <v/>
      </c>
      <c r="Y142" s="18">
        <f>$X142-$P142</f>
        <v/>
      </c>
      <c r="Z142" s="8">
        <f>IF(ABS($Y142)&lt;=tol_cashflow_inr,"PASS","FAIL")</f>
        <v/>
      </c>
      <c r="AA142" s="7" t="inlineStr">
        <is>
          <t>-d(lots x lot_kg x F(s) x mcx_al_margin_used_frac)</t>
        </is>
      </c>
    </row>
    <row r="143">
      <c r="A143" s="7" t="inlineStr">
        <is>
          <t>T01</t>
        </is>
      </c>
      <c r="B143" s="7" t="inlineStr">
        <is>
          <t>MCX:T01-MCX-2</t>
        </is>
      </c>
      <c r="C143" s="7" t="inlineStr">
        <is>
          <t>T01-MCX-2</t>
        </is>
      </c>
      <c r="D143" s="7" t="inlineStr">
        <is>
          <t>MCX_SLIPPAGE</t>
        </is>
      </c>
      <c r="E143" s="7" t="inlineStr">
        <is>
          <t>MCX_SLIPPAGE</t>
        </is>
      </c>
      <c r="F143" s="7" t="inlineStr">
        <is>
          <t>PNL</t>
        </is>
      </c>
      <c r="G143" s="7" t="inlineStr">
        <is>
          <t>INR</t>
        </is>
      </c>
      <c r="H143" s="11" t="n">
        <v>44671</v>
      </c>
      <c r="J143" s="11" t="n">
        <v>44671</v>
      </c>
      <c r="K143" s="11" t="n">
        <v>44671</v>
      </c>
      <c r="L143" s="7" t="inlineStr">
        <is>
          <t>roll following on the LME panel calendar</t>
        </is>
      </c>
      <c r="N143" s="7" t="inlineStr">
        <is>
          <t>ASSUMPTION</t>
        </is>
      </c>
      <c r="O143" s="9" t="n">
        <v>-50000</v>
      </c>
      <c r="P143" s="9" t="n">
        <v>-50000</v>
      </c>
      <c r="U143" s="7" t="inlineStr">
        <is>
          <t>DERIVED_IN_WORKBOOK</t>
        </is>
      </c>
      <c r="V143" s="8">
        <f>SUMIFS(Cashflows!$Z$1043:$Z$1393,Cashflows!$B$1043:$B$1393,$C143,Cashflows!$C$1043:$C$1393,$K143)</f>
        <v/>
      </c>
      <c r="W143" s="8">
        <f>IF($G143="INR",1,INDEX(Market_Daily!$F$6:$F$256,MATCH($K143,Market_Daily!$A$6:$A$256,0)))</f>
        <v/>
      </c>
      <c r="X143" s="8">
        <f>$V143*$W143</f>
        <v/>
      </c>
      <c r="Y143" s="18">
        <f>$X143-$P143</f>
        <v/>
      </c>
      <c r="Z143" s="8">
        <f>IF(ABS($Y143)&lt;=tol_cashflow_inr,"PASS","FAIL")</f>
        <v/>
      </c>
      <c r="AA143" s="7" t="inlineStr">
        <is>
          <t>-lots x lot_kg x mcx_slippage_ticks x tick</t>
        </is>
      </c>
    </row>
    <row r="144">
      <c r="A144" s="7" t="inlineStr">
        <is>
          <t>T01</t>
        </is>
      </c>
      <c r="B144" s="7" t="inlineStr">
        <is>
          <t>MCX:T01-MCX-2</t>
        </is>
      </c>
      <c r="C144" s="7" t="inlineStr">
        <is>
          <t>T01-MCX-2</t>
        </is>
      </c>
      <c r="D144" s="7" t="inlineStr">
        <is>
          <t>MCX_TRANSACTION_COST</t>
        </is>
      </c>
      <c r="E144" s="7" t="inlineStr">
        <is>
          <t>MCX_TRANSACTION_COST</t>
        </is>
      </c>
      <c r="F144" s="7" t="inlineStr">
        <is>
          <t>PNL</t>
        </is>
      </c>
      <c r="G144" s="7" t="inlineStr">
        <is>
          <t>INR</t>
        </is>
      </c>
      <c r="H144" s="11" t="n">
        <v>44671</v>
      </c>
      <c r="I144" s="11" t="n">
        <v>44671</v>
      </c>
      <c r="J144" s="11" t="n">
        <v>44671</v>
      </c>
      <c r="K144" s="11" t="n">
        <v>44671</v>
      </c>
      <c r="L144" s="7" t="inlineStr">
        <is>
          <t>roll following on the LME panel calendar</t>
        </is>
      </c>
      <c r="N144" s="7" t="inlineStr">
        <is>
          <t>ASSUMPTION</t>
        </is>
      </c>
      <c r="O144" s="9" t="n">
        <v>-40195.85</v>
      </c>
      <c r="P144" s="9" t="n">
        <v>-40195.85</v>
      </c>
      <c r="U144" s="7" t="inlineStr">
        <is>
          <t>DERIVED_IN_WORKBOOK</t>
        </is>
      </c>
      <c r="V144" s="8">
        <f>SUMIFS(Cashflows!$AA$1043:$AA$1393,Cashflows!$B$1043:$B$1393,$C144,Cashflows!$C$1043:$C$1393,$K144)</f>
        <v/>
      </c>
      <c r="W144" s="8">
        <f>IF($G144="INR",1,INDEX(Market_Daily!$F$6:$F$256,MATCH($K144,Market_Daily!$A$6:$A$256,0)))</f>
        <v/>
      </c>
      <c r="X144" s="8">
        <f>$V144*$W144</f>
        <v/>
      </c>
      <c r="Y144" s="18">
        <f>$X144-$P144</f>
        <v/>
      </c>
      <c r="Z144" s="8">
        <f>IF(ABS($Y144)&lt;=tol_cashflow_inr,"PASS","FAIL")</f>
        <v/>
      </c>
      <c r="AA144" s="7" t="inlineStr">
        <is>
          <t>-lots x lot_kg x fill x mcx_txn_cost_frac</t>
        </is>
      </c>
    </row>
    <row r="145">
      <c r="A145" s="7" t="inlineStr">
        <is>
          <t>T01</t>
        </is>
      </c>
      <c r="B145" s="7" t="inlineStr">
        <is>
          <t>MCX:T01-MCX-2</t>
        </is>
      </c>
      <c r="C145" s="7" t="inlineStr">
        <is>
          <t>T01-MCX-2</t>
        </is>
      </c>
      <c r="D145" s="7" t="inlineStr">
        <is>
          <t>MCX_VARIATION_MARGIN</t>
        </is>
      </c>
      <c r="E145" s="7" t="inlineStr">
        <is>
          <t>MCX_VARIATION_MARGIN</t>
        </is>
      </c>
      <c r="F145" s="7" t="inlineStr">
        <is>
          <t>PNL</t>
        </is>
      </c>
      <c r="G145" s="7" t="inlineStr">
        <is>
          <t>INR</t>
        </is>
      </c>
      <c r="H145" s="11" t="n">
        <v>44629</v>
      </c>
      <c r="I145" s="11" t="n">
        <v>44671</v>
      </c>
      <c r="J145" s="11" t="n">
        <v>44671</v>
      </c>
      <c r="K145" s="11" t="n">
        <v>44671</v>
      </c>
      <c r="L145" s="7" t="inlineStr">
        <is>
          <t>roll following on the LME panel calendar</t>
        </is>
      </c>
      <c r="N145" s="7" t="inlineStr">
        <is>
          <t>PROXY</t>
        </is>
      </c>
      <c r="O145" s="9" t="n">
        <v>3281786.46</v>
      </c>
      <c r="P145" s="9" t="n">
        <v>3281786.46</v>
      </c>
      <c r="U145" s="7" t="inlineStr">
        <is>
          <t>DERIVED_IN_WORKBOOK</t>
        </is>
      </c>
      <c r="V145" s="8">
        <f>SUMIFS(Cashflows!$R$1043:$R$1393,Cashflows!$B$1043:$B$1393,$C145,Cashflows!$C$1043:$C$1393,$K145)</f>
        <v/>
      </c>
      <c r="W145" s="8">
        <f>IF($G145="INR",1,INDEX(Market_Daily!$F$6:$F$256,MATCH($K145,Market_Daily!$A$6:$A$256,0)))</f>
        <v/>
      </c>
      <c r="X145" s="8">
        <f>$V145*$W145</f>
        <v/>
      </c>
      <c r="Y145" s="18">
        <f>$X145-$P145</f>
        <v/>
      </c>
      <c r="Z145" s="8">
        <f>IF(ABS($Y145)&lt;=tol_cashflow_inr,"PASS","FAIL")</f>
        <v/>
      </c>
      <c r="AA145" s="7" t="inlineStr">
        <is>
          <t>direction x lots x lot_kg x (F(s) - F(s-1))</t>
        </is>
      </c>
    </row>
    <row r="146">
      <c r="A146" s="7" t="inlineStr">
        <is>
          <t>T01</t>
        </is>
      </c>
      <c r="B146" s="7" t="inlineStr">
        <is>
          <t>MCX:T01-MCX-3</t>
        </is>
      </c>
      <c r="C146" s="7" t="inlineStr">
        <is>
          <t>T01-MCX-3</t>
        </is>
      </c>
      <c r="D146" s="7" t="inlineStr">
        <is>
          <t>MCX_INITIAL_MARGIN</t>
        </is>
      </c>
      <c r="E146" s="7" t="inlineStr">
        <is>
          <t>MCX_INITIAL_MARGIN</t>
        </is>
      </c>
      <c r="F146" s="7" t="inlineStr">
        <is>
          <t>BS</t>
        </is>
      </c>
      <c r="G146" s="7" t="inlineStr">
        <is>
          <t>INR</t>
        </is>
      </c>
      <c r="H146" s="11" t="n">
        <v>44671</v>
      </c>
      <c r="I146" s="11" t="n">
        <v>44671</v>
      </c>
      <c r="J146" s="11" t="n">
        <v>44671</v>
      </c>
      <c r="K146" s="11" t="n">
        <v>44671</v>
      </c>
      <c r="L146" s="7" t="inlineStr">
        <is>
          <t>roll following on the LME panel calendar</t>
        </is>
      </c>
      <c r="N146" s="7" t="inlineStr">
        <is>
          <t>PROXY</t>
        </is>
      </c>
      <c r="O146" s="9" t="n">
        <v>-26879333.48</v>
      </c>
      <c r="P146" s="9" t="n">
        <v>-26879333.48</v>
      </c>
      <c r="U146" s="7" t="inlineStr">
        <is>
          <t>DERIVED_IN_WORKBOOK</t>
        </is>
      </c>
      <c r="V146" s="8">
        <f>-SUMIFS(Cashflows!$W$1043:$W$1393,Cashflows!$B$1043:$B$1393,$C146,Cashflows!$C$1043:$C$1393,$K146)</f>
        <v/>
      </c>
      <c r="W146" s="8">
        <f>IF($G146="INR",1,INDEX(Market_Daily!$F$6:$F$256,MATCH($K146,Market_Daily!$A$6:$A$256,0)))</f>
        <v/>
      </c>
      <c r="X146" s="8">
        <f>$V146*$W146</f>
        <v/>
      </c>
      <c r="Y146" s="18">
        <f>$X146-$P146</f>
        <v/>
      </c>
      <c r="Z146" s="8">
        <f>IF(ABS($Y146)&lt;=tol_cashflow_inr,"PASS","FAIL")</f>
        <v/>
      </c>
      <c r="AA146" s="7" t="inlineStr">
        <is>
          <t>-d(lots x lot_kg x F(s) x mcx_al_margin_used_frac)</t>
        </is>
      </c>
    </row>
    <row r="147">
      <c r="A147" s="7" t="inlineStr">
        <is>
          <t>T01</t>
        </is>
      </c>
      <c r="B147" s="7" t="inlineStr">
        <is>
          <t>MCX:T01-MCX-3</t>
        </is>
      </c>
      <c r="C147" s="7" t="inlineStr">
        <is>
          <t>T01-MCX-3</t>
        </is>
      </c>
      <c r="D147" s="7" t="inlineStr">
        <is>
          <t>MCX_SLIPPAGE</t>
        </is>
      </c>
      <c r="E147" s="7" t="inlineStr">
        <is>
          <t>MCX_SLIPPAGE</t>
        </is>
      </c>
      <c r="F147" s="7" t="inlineStr">
        <is>
          <t>PNL</t>
        </is>
      </c>
      <c r="G147" s="7" t="inlineStr">
        <is>
          <t>INR</t>
        </is>
      </c>
      <c r="H147" s="11" t="n">
        <v>44671</v>
      </c>
      <c r="J147" s="11" t="n">
        <v>44671</v>
      </c>
      <c r="K147" s="11" t="n">
        <v>44671</v>
      </c>
      <c r="L147" s="7" t="inlineStr">
        <is>
          <t>roll following on the LME panel calendar</t>
        </is>
      </c>
      <c r="N147" s="7" t="inlineStr">
        <is>
          <t>ASSUMPTION</t>
        </is>
      </c>
      <c r="O147" s="9" t="n">
        <v>-100000</v>
      </c>
      <c r="P147" s="9" t="n">
        <v>-100000</v>
      </c>
      <c r="U147" s="7" t="inlineStr">
        <is>
          <t>DERIVED_IN_WORKBOOK</t>
        </is>
      </c>
      <c r="V147" s="8">
        <f>SUMIFS(Cashflows!$Z$1043:$Z$1393,Cashflows!$B$1043:$B$1393,$C147,Cashflows!$C$1043:$C$1393,$K147)</f>
        <v/>
      </c>
      <c r="W147" s="8">
        <f>IF($G147="INR",1,INDEX(Market_Daily!$F$6:$F$256,MATCH($K147,Market_Daily!$A$6:$A$256,0)))</f>
        <v/>
      </c>
      <c r="X147" s="8">
        <f>$V147*$W147</f>
        <v/>
      </c>
      <c r="Y147" s="18">
        <f>$X147-$P147</f>
        <v/>
      </c>
      <c r="Z147" s="8">
        <f>IF(ABS($Y147)&lt;=tol_cashflow_inr,"PASS","FAIL")</f>
        <v/>
      </c>
      <c r="AA147" s="7" t="inlineStr">
        <is>
          <t>-lots x lot_kg x mcx_slippage_ticks x tick</t>
        </is>
      </c>
    </row>
    <row r="148">
      <c r="A148" s="7" t="inlineStr">
        <is>
          <t>T01</t>
        </is>
      </c>
      <c r="B148" s="7" t="inlineStr">
        <is>
          <t>MCX:T01-MCX-3</t>
        </is>
      </c>
      <c r="C148" s="7" t="inlineStr">
        <is>
          <t>T01-MCX-3</t>
        </is>
      </c>
      <c r="D148" s="7" t="inlineStr">
        <is>
          <t>MCX_TRANSACTION_COST</t>
        </is>
      </c>
      <c r="E148" s="7" t="inlineStr">
        <is>
          <t>MCX_TRANSACTION_COST</t>
        </is>
      </c>
      <c r="F148" s="7" t="inlineStr">
        <is>
          <t>PNL</t>
        </is>
      </c>
      <c r="G148" s="7" t="inlineStr">
        <is>
          <t>INR</t>
        </is>
      </c>
      <c r="H148" s="11" t="n">
        <v>44671</v>
      </c>
      <c r="I148" s="11" t="n">
        <v>44671</v>
      </c>
      <c r="J148" s="11" t="n">
        <v>44671</v>
      </c>
      <c r="K148" s="11" t="n">
        <v>44671</v>
      </c>
      <c r="L148" s="7" t="inlineStr">
        <is>
          <t>roll following on the LME panel calendar</t>
        </is>
      </c>
      <c r="N148" s="7" t="inlineStr">
        <is>
          <t>ASSUMPTION</t>
        </is>
      </c>
      <c r="O148" s="9" t="n">
        <v>-80608</v>
      </c>
      <c r="P148" s="9" t="n">
        <v>-80608</v>
      </c>
      <c r="U148" s="7" t="inlineStr">
        <is>
          <t>DERIVED_IN_WORKBOOK</t>
        </is>
      </c>
      <c r="V148" s="8">
        <f>SUMIFS(Cashflows!$AA$1043:$AA$1393,Cashflows!$B$1043:$B$1393,$C148,Cashflows!$C$1043:$C$1393,$K148)</f>
        <v/>
      </c>
      <c r="W148" s="8">
        <f>IF($G148="INR",1,INDEX(Market_Daily!$F$6:$F$256,MATCH($K148,Market_Daily!$A$6:$A$256,0)))</f>
        <v/>
      </c>
      <c r="X148" s="8">
        <f>$V148*$W148</f>
        <v/>
      </c>
      <c r="Y148" s="18">
        <f>$X148-$P148</f>
        <v/>
      </c>
      <c r="Z148" s="8">
        <f>IF(ABS($Y148)&lt;=tol_cashflow_inr,"PASS","FAIL")</f>
        <v/>
      </c>
      <c r="AA148" s="7" t="inlineStr">
        <is>
          <t>-lots x lot_kg x fill x mcx_txn_cost_frac</t>
        </is>
      </c>
    </row>
    <row r="149">
      <c r="A149" s="7" t="inlineStr">
        <is>
          <t>T01</t>
        </is>
      </c>
      <c r="B149" s="7" t="inlineStr">
        <is>
          <t>MCX:T01-MCX-3</t>
        </is>
      </c>
      <c r="C149" s="7" t="inlineStr">
        <is>
          <t>T01-MCX-3</t>
        </is>
      </c>
      <c r="D149" s="7" t="inlineStr">
        <is>
          <t>MCX_VARIATION_MARGIN</t>
        </is>
      </c>
      <c r="E149" s="7" t="inlineStr">
        <is>
          <t>MCX_VARIATION_MARGIN</t>
        </is>
      </c>
      <c r="F149" s="7" t="inlineStr">
        <is>
          <t>PNL</t>
        </is>
      </c>
      <c r="G149" s="7" t="inlineStr">
        <is>
          <t>INR</t>
        </is>
      </c>
      <c r="H149" s="11" t="n">
        <v>44671</v>
      </c>
      <c r="I149" s="11" t="n">
        <v>44671</v>
      </c>
      <c r="J149" s="11" t="n">
        <v>44671</v>
      </c>
      <c r="K149" s="11" t="n">
        <v>44671</v>
      </c>
      <c r="L149" s="7" t="inlineStr">
        <is>
          <t>roll following on the LME panel calendar</t>
        </is>
      </c>
      <c r="N149" s="7" t="inlineStr">
        <is>
          <t>PROXY</t>
        </is>
      </c>
      <c r="O149" s="9" t="n">
        <v>-0</v>
      </c>
      <c r="P149" s="9" t="n">
        <v>-0</v>
      </c>
      <c r="U149" s="7" t="inlineStr">
        <is>
          <t>DERIVED_IN_WORKBOOK</t>
        </is>
      </c>
      <c r="V149" s="8">
        <f>SUMIFS(Cashflows!$R$1043:$R$1393,Cashflows!$B$1043:$B$1393,$C149,Cashflows!$C$1043:$C$1393,$K149)</f>
        <v/>
      </c>
      <c r="W149" s="8">
        <f>IF($G149="INR",1,INDEX(Market_Daily!$F$6:$F$256,MATCH($K149,Market_Daily!$A$6:$A$256,0)))</f>
        <v/>
      </c>
      <c r="X149" s="8">
        <f>$V149*$W149</f>
        <v/>
      </c>
      <c r="Y149" s="18">
        <f>$X149-$P149</f>
        <v/>
      </c>
      <c r="Z149" s="8">
        <f>IF(ABS($Y149)&lt;=tol_cashflow_inr,"PASS","FAIL")</f>
        <v/>
      </c>
      <c r="AA149" s="7" t="inlineStr">
        <is>
          <t>direction x lots x lot_kg x (F(entry) - entry settle) = 0 by construction</t>
        </is>
      </c>
    </row>
    <row r="150">
      <c r="A150" s="7" t="inlineStr">
        <is>
          <t>T01</t>
        </is>
      </c>
      <c r="B150" s="7" t="inlineStr">
        <is>
          <t>MCX:T01-MCX-4</t>
        </is>
      </c>
      <c r="C150" s="7" t="inlineStr">
        <is>
          <t>T01-MCX-4</t>
        </is>
      </c>
      <c r="D150" s="7" t="inlineStr">
        <is>
          <t>MCX_INITIAL_MARGIN</t>
        </is>
      </c>
      <c r="E150" s="7" t="inlineStr">
        <is>
          <t>MCX_INITIAL_MARGIN</t>
        </is>
      </c>
      <c r="F150" s="7" t="inlineStr">
        <is>
          <t>BS</t>
        </is>
      </c>
      <c r="G150" s="7" t="inlineStr">
        <is>
          <t>INR</t>
        </is>
      </c>
      <c r="H150" s="11" t="n">
        <v>44671</v>
      </c>
      <c r="I150" s="11" t="n">
        <v>44671</v>
      </c>
      <c r="J150" s="11" t="n">
        <v>44671</v>
      </c>
      <c r="K150" s="11" t="n">
        <v>44671</v>
      </c>
      <c r="L150" s="7" t="inlineStr">
        <is>
          <t>roll following on the LME panel calendar</t>
        </is>
      </c>
      <c r="N150" s="7" t="inlineStr">
        <is>
          <t>PROXY</t>
        </is>
      </c>
      <c r="O150" s="9" t="n">
        <v>-13439666.74</v>
      </c>
      <c r="P150" s="9" t="n">
        <v>-13439666.74</v>
      </c>
      <c r="U150" s="7" t="inlineStr">
        <is>
          <t>DERIVED_IN_WORKBOOK</t>
        </is>
      </c>
      <c r="V150" s="8">
        <f>-SUMIFS(Cashflows!$W$1043:$W$1393,Cashflows!$B$1043:$B$1393,$C150,Cashflows!$C$1043:$C$1393,$K150)</f>
        <v/>
      </c>
      <c r="W150" s="8">
        <f>IF($G150="INR",1,INDEX(Market_Daily!$F$6:$F$256,MATCH($K150,Market_Daily!$A$6:$A$256,0)))</f>
        <v/>
      </c>
      <c r="X150" s="8">
        <f>$V150*$W150</f>
        <v/>
      </c>
      <c r="Y150" s="18">
        <f>$X150-$P150</f>
        <v/>
      </c>
      <c r="Z150" s="8">
        <f>IF(ABS($Y150)&lt;=tol_cashflow_inr,"PASS","FAIL")</f>
        <v/>
      </c>
      <c r="AA150" s="7" t="inlineStr">
        <is>
          <t>-d(lots x lot_kg x F(s) x mcx_al_margin_used_frac)</t>
        </is>
      </c>
    </row>
    <row r="151">
      <c r="A151" s="7" t="inlineStr">
        <is>
          <t>T01</t>
        </is>
      </c>
      <c r="B151" s="7" t="inlineStr">
        <is>
          <t>MCX:T01-MCX-4</t>
        </is>
      </c>
      <c r="C151" s="7" t="inlineStr">
        <is>
          <t>T01-MCX-4</t>
        </is>
      </c>
      <c r="D151" s="7" t="inlineStr">
        <is>
          <t>MCX_SLIPPAGE</t>
        </is>
      </c>
      <c r="E151" s="7" t="inlineStr">
        <is>
          <t>MCX_SLIPPAGE</t>
        </is>
      </c>
      <c r="F151" s="7" t="inlineStr">
        <is>
          <t>PNL</t>
        </is>
      </c>
      <c r="G151" s="7" t="inlineStr">
        <is>
          <t>INR</t>
        </is>
      </c>
      <c r="H151" s="11" t="n">
        <v>44671</v>
      </c>
      <c r="J151" s="11" t="n">
        <v>44671</v>
      </c>
      <c r="K151" s="11" t="n">
        <v>44671</v>
      </c>
      <c r="L151" s="7" t="inlineStr">
        <is>
          <t>roll following on the LME panel calendar</t>
        </is>
      </c>
      <c r="N151" s="7" t="inlineStr">
        <is>
          <t>ASSUMPTION</t>
        </is>
      </c>
      <c r="O151" s="9" t="n">
        <v>-50000</v>
      </c>
      <c r="P151" s="9" t="n">
        <v>-50000</v>
      </c>
      <c r="U151" s="7" t="inlineStr">
        <is>
          <t>DERIVED_IN_WORKBOOK</t>
        </is>
      </c>
      <c r="V151" s="8">
        <f>SUMIFS(Cashflows!$Z$1043:$Z$1393,Cashflows!$B$1043:$B$1393,$C151,Cashflows!$C$1043:$C$1393,$K151)</f>
        <v/>
      </c>
      <c r="W151" s="8">
        <f>IF($G151="INR",1,INDEX(Market_Daily!$F$6:$F$256,MATCH($K151,Market_Daily!$A$6:$A$256,0)))</f>
        <v/>
      </c>
      <c r="X151" s="8">
        <f>$V151*$W151</f>
        <v/>
      </c>
      <c r="Y151" s="18">
        <f>$X151-$P151</f>
        <v/>
      </c>
      <c r="Z151" s="8">
        <f>IF(ABS($Y151)&lt;=tol_cashflow_inr,"PASS","FAIL")</f>
        <v/>
      </c>
      <c r="AA151" s="7" t="inlineStr">
        <is>
          <t>-lots x lot_kg x mcx_slippage_ticks x tick</t>
        </is>
      </c>
    </row>
    <row r="152">
      <c r="A152" s="7" t="inlineStr">
        <is>
          <t>T01</t>
        </is>
      </c>
      <c r="B152" s="7" t="inlineStr">
        <is>
          <t>MCX:T01-MCX-4</t>
        </is>
      </c>
      <c r="C152" s="7" t="inlineStr">
        <is>
          <t>T01-MCX-4</t>
        </is>
      </c>
      <c r="D152" s="7" t="inlineStr">
        <is>
          <t>MCX_TRANSACTION_COST</t>
        </is>
      </c>
      <c r="E152" s="7" t="inlineStr">
        <is>
          <t>MCX_TRANSACTION_COST</t>
        </is>
      </c>
      <c r="F152" s="7" t="inlineStr">
        <is>
          <t>PNL</t>
        </is>
      </c>
      <c r="G152" s="7" t="inlineStr">
        <is>
          <t>INR</t>
        </is>
      </c>
      <c r="H152" s="11" t="n">
        <v>44671</v>
      </c>
      <c r="I152" s="11" t="n">
        <v>44671</v>
      </c>
      <c r="J152" s="11" t="n">
        <v>44671</v>
      </c>
      <c r="K152" s="11" t="n">
        <v>44671</v>
      </c>
      <c r="L152" s="7" t="inlineStr">
        <is>
          <t>roll following on the LME panel calendar</t>
        </is>
      </c>
      <c r="N152" s="7" t="inlineStr">
        <is>
          <t>ASSUMPTION</t>
        </is>
      </c>
      <c r="O152" s="9" t="n">
        <v>-40304</v>
      </c>
      <c r="P152" s="9" t="n">
        <v>-40304</v>
      </c>
      <c r="U152" s="7" t="inlineStr">
        <is>
          <t>DERIVED_IN_WORKBOOK</t>
        </is>
      </c>
      <c r="V152" s="8">
        <f>SUMIFS(Cashflows!$AA$1043:$AA$1393,Cashflows!$B$1043:$B$1393,$C152,Cashflows!$C$1043:$C$1393,$K152)</f>
        <v/>
      </c>
      <c r="W152" s="8">
        <f>IF($G152="INR",1,INDEX(Market_Daily!$F$6:$F$256,MATCH($K152,Market_Daily!$A$6:$A$256,0)))</f>
        <v/>
      </c>
      <c r="X152" s="8">
        <f>$V152*$W152</f>
        <v/>
      </c>
      <c r="Y152" s="18">
        <f>$X152-$P152</f>
        <v/>
      </c>
      <c r="Z152" s="8">
        <f>IF(ABS($Y152)&lt;=tol_cashflow_inr,"PASS","FAIL")</f>
        <v/>
      </c>
      <c r="AA152" s="7" t="inlineStr">
        <is>
          <t>-lots x lot_kg x fill x mcx_txn_cost_frac</t>
        </is>
      </c>
    </row>
    <row r="153">
      <c r="A153" s="7" t="inlineStr">
        <is>
          <t>T01</t>
        </is>
      </c>
      <c r="B153" s="7" t="inlineStr">
        <is>
          <t>MCX:T01-MCX-4</t>
        </is>
      </c>
      <c r="C153" s="7" t="inlineStr">
        <is>
          <t>T01-MCX-4</t>
        </is>
      </c>
      <c r="D153" s="7" t="inlineStr">
        <is>
          <t>MCX_VARIATION_MARGIN</t>
        </is>
      </c>
      <c r="E153" s="7" t="inlineStr">
        <is>
          <t>MCX_VARIATION_MARGIN</t>
        </is>
      </c>
      <c r="F153" s="7" t="inlineStr">
        <is>
          <t>PNL</t>
        </is>
      </c>
      <c r="G153" s="7" t="inlineStr">
        <is>
          <t>INR</t>
        </is>
      </c>
      <c r="H153" s="11" t="n">
        <v>44671</v>
      </c>
      <c r="I153" s="11" t="n">
        <v>44671</v>
      </c>
      <c r="J153" s="11" t="n">
        <v>44671</v>
      </c>
      <c r="K153" s="11" t="n">
        <v>44671</v>
      </c>
      <c r="L153" s="7" t="inlineStr">
        <is>
          <t>roll following on the LME panel calendar</t>
        </is>
      </c>
      <c r="N153" s="7" t="inlineStr">
        <is>
          <t>PROXY</t>
        </is>
      </c>
      <c r="O153" s="9" t="n">
        <v>-0</v>
      </c>
      <c r="P153" s="9" t="n">
        <v>-0</v>
      </c>
      <c r="U153" s="7" t="inlineStr">
        <is>
          <t>DERIVED_IN_WORKBOOK</t>
        </is>
      </c>
      <c r="V153" s="8">
        <f>SUMIFS(Cashflows!$R$1043:$R$1393,Cashflows!$B$1043:$B$1393,$C153,Cashflows!$C$1043:$C$1393,$K153)</f>
        <v/>
      </c>
      <c r="W153" s="8">
        <f>IF($G153="INR",1,INDEX(Market_Daily!$F$6:$F$256,MATCH($K153,Market_Daily!$A$6:$A$256,0)))</f>
        <v/>
      </c>
      <c r="X153" s="8">
        <f>$V153*$W153</f>
        <v/>
      </c>
      <c r="Y153" s="18">
        <f>$X153-$P153</f>
        <v/>
      </c>
      <c r="Z153" s="8">
        <f>IF(ABS($Y153)&lt;=tol_cashflow_inr,"PASS","FAIL")</f>
        <v/>
      </c>
      <c r="AA153" s="7" t="inlineStr">
        <is>
          <t>direction x lots x lot_kg x (F(entry) - entry settle) = 0 by construction</t>
        </is>
      </c>
    </row>
    <row r="154">
      <c r="A154" s="7" t="inlineStr">
        <is>
          <t>T01</t>
        </is>
      </c>
      <c r="B154" s="7" t="inlineStr">
        <is>
          <t>MCX:T01-MCX-3</t>
        </is>
      </c>
      <c r="C154" s="7" t="inlineStr">
        <is>
          <t>T01-MCX-3</t>
        </is>
      </c>
      <c r="D154" s="7" t="inlineStr">
        <is>
          <t>MCX_INITIAL_MARGIN</t>
        </is>
      </c>
      <c r="E154" s="7" t="inlineStr">
        <is>
          <t>MCX_INITIAL_MARGIN</t>
        </is>
      </c>
      <c r="F154" s="7" t="inlineStr">
        <is>
          <t>BS</t>
        </is>
      </c>
      <c r="G154" s="7" t="inlineStr">
        <is>
          <t>INR</t>
        </is>
      </c>
      <c r="H154" s="11" t="n">
        <v>44671</v>
      </c>
      <c r="I154" s="11" t="n">
        <v>44672</v>
      </c>
      <c r="J154" s="11" t="n">
        <v>44672</v>
      </c>
      <c r="K154" s="11" t="n">
        <v>44672</v>
      </c>
      <c r="L154" s="7" t="inlineStr">
        <is>
          <t>roll following on the LME panel calendar</t>
        </is>
      </c>
      <c r="N154" s="7" t="inlineStr">
        <is>
          <t>PROXY</t>
        </is>
      </c>
      <c r="O154" s="9" t="n">
        <v>-145500.86</v>
      </c>
      <c r="P154" s="9" t="n">
        <v>-145500.86</v>
      </c>
      <c r="U154" s="7" t="inlineStr">
        <is>
          <t>DERIVED_IN_WORKBOOK</t>
        </is>
      </c>
      <c r="V154" s="8">
        <f>-SUMIFS(Cashflows!$W$1043:$W$1393,Cashflows!$B$1043:$B$1393,$C154,Cashflows!$C$1043:$C$1393,$K154)</f>
        <v/>
      </c>
      <c r="W154" s="8">
        <f>IF($G154="INR",1,INDEX(Market_Daily!$F$6:$F$256,MATCH($K154,Market_Daily!$A$6:$A$256,0)))</f>
        <v/>
      </c>
      <c r="X154" s="8">
        <f>$V154*$W154</f>
        <v/>
      </c>
      <c r="Y154" s="18">
        <f>$X154-$P154</f>
        <v/>
      </c>
      <c r="Z154" s="8">
        <f>IF(ABS($Y154)&lt;=tol_cashflow_inr,"PASS","FAIL")</f>
        <v/>
      </c>
      <c r="AA154" s="7" t="inlineStr">
        <is>
          <t>-d(lots x lot_kg x F(s) x mcx_al_margin_used_frac)</t>
        </is>
      </c>
    </row>
    <row r="155">
      <c r="A155" s="7" t="inlineStr">
        <is>
          <t>T01</t>
        </is>
      </c>
      <c r="B155" s="7" t="inlineStr">
        <is>
          <t>MCX:T01-MCX-3</t>
        </is>
      </c>
      <c r="C155" s="7" t="inlineStr">
        <is>
          <t>T01-MCX-3</t>
        </is>
      </c>
      <c r="D155" s="7" t="inlineStr">
        <is>
          <t>MCX_VARIATION_MARGIN</t>
        </is>
      </c>
      <c r="E155" s="7" t="inlineStr">
        <is>
          <t>MCX_VARIATION_MARGIN</t>
        </is>
      </c>
      <c r="F155" s="7" t="inlineStr">
        <is>
          <t>PNL</t>
        </is>
      </c>
      <c r="G155" s="7" t="inlineStr">
        <is>
          <t>INR</t>
        </is>
      </c>
      <c r="H155" s="11" t="n">
        <v>44671</v>
      </c>
      <c r="I155" s="11" t="n">
        <v>44672</v>
      </c>
      <c r="J155" s="11" t="n">
        <v>44672</v>
      </c>
      <c r="K155" s="11" t="n">
        <v>44672</v>
      </c>
      <c r="L155" s="7" t="inlineStr">
        <is>
          <t>roll following on the LME panel calendar</t>
        </is>
      </c>
      <c r="N155" s="7" t="inlineStr">
        <is>
          <t>PROXY</t>
        </is>
      </c>
      <c r="O155" s="9" t="n">
        <v>-1455008.64</v>
      </c>
      <c r="P155" s="9" t="n">
        <v>-1455008.64</v>
      </c>
      <c r="U155" s="7" t="inlineStr">
        <is>
          <t>DERIVED_IN_WORKBOOK</t>
        </is>
      </c>
      <c r="V155" s="8">
        <f>SUMIFS(Cashflows!$R$1043:$R$1393,Cashflows!$B$1043:$B$1393,$C155,Cashflows!$C$1043:$C$1393,$K155)</f>
        <v/>
      </c>
      <c r="W155" s="8">
        <f>IF($G155="INR",1,INDEX(Market_Daily!$F$6:$F$256,MATCH($K155,Market_Daily!$A$6:$A$256,0)))</f>
        <v/>
      </c>
      <c r="X155" s="8">
        <f>$V155*$W155</f>
        <v/>
      </c>
      <c r="Y155" s="18">
        <f>$X155-$P155</f>
        <v/>
      </c>
      <c r="Z155" s="8">
        <f>IF(ABS($Y155)&lt;=tol_cashflow_inr,"PASS","FAIL")</f>
        <v/>
      </c>
      <c r="AA155" s="7" t="inlineStr">
        <is>
          <t>direction x lots x lot_kg x (F(s) - F(s-1))</t>
        </is>
      </c>
    </row>
    <row r="156">
      <c r="A156" s="7" t="inlineStr">
        <is>
          <t>T01</t>
        </is>
      </c>
      <c r="B156" s="7" t="inlineStr">
        <is>
          <t>MCX:T01-MCX-4</t>
        </is>
      </c>
      <c r="C156" s="7" t="inlineStr">
        <is>
          <t>T01-MCX-4</t>
        </is>
      </c>
      <c r="D156" s="7" t="inlineStr">
        <is>
          <t>MCX_INITIAL_MARGIN</t>
        </is>
      </c>
      <c r="E156" s="7" t="inlineStr">
        <is>
          <t>MCX_INITIAL_MARGIN</t>
        </is>
      </c>
      <c r="F156" s="7" t="inlineStr">
        <is>
          <t>BS</t>
        </is>
      </c>
      <c r="G156" s="7" t="inlineStr">
        <is>
          <t>INR</t>
        </is>
      </c>
      <c r="H156" s="11" t="n">
        <v>44671</v>
      </c>
      <c r="I156" s="11" t="n">
        <v>44672</v>
      </c>
      <c r="J156" s="11" t="n">
        <v>44672</v>
      </c>
      <c r="K156" s="11" t="n">
        <v>44672</v>
      </c>
      <c r="L156" s="7" t="inlineStr">
        <is>
          <t>roll following on the LME panel calendar</t>
        </is>
      </c>
      <c r="N156" s="7" t="inlineStr">
        <is>
          <t>PROXY</t>
        </is>
      </c>
      <c r="O156" s="9" t="n">
        <v>-72750.42999999999</v>
      </c>
      <c r="P156" s="9" t="n">
        <v>-72750.42999999999</v>
      </c>
      <c r="U156" s="7" t="inlineStr">
        <is>
          <t>DERIVED_IN_WORKBOOK</t>
        </is>
      </c>
      <c r="V156" s="8">
        <f>-SUMIFS(Cashflows!$W$1043:$W$1393,Cashflows!$B$1043:$B$1393,$C156,Cashflows!$C$1043:$C$1393,$K156)</f>
        <v/>
      </c>
      <c r="W156" s="8">
        <f>IF($G156="INR",1,INDEX(Market_Daily!$F$6:$F$256,MATCH($K156,Market_Daily!$A$6:$A$256,0)))</f>
        <v/>
      </c>
      <c r="X156" s="8">
        <f>$V156*$W156</f>
        <v/>
      </c>
      <c r="Y156" s="18">
        <f>$X156-$P156</f>
        <v/>
      </c>
      <c r="Z156" s="8">
        <f>IF(ABS($Y156)&lt;=tol_cashflow_inr,"PASS","FAIL")</f>
        <v/>
      </c>
      <c r="AA156" s="7" t="inlineStr">
        <is>
          <t>-d(lots x lot_kg x F(s) x mcx_al_margin_used_frac)</t>
        </is>
      </c>
    </row>
    <row r="157">
      <c r="A157" s="7" t="inlineStr">
        <is>
          <t>T01</t>
        </is>
      </c>
      <c r="B157" s="7" t="inlineStr">
        <is>
          <t>MCX:T01-MCX-4</t>
        </is>
      </c>
      <c r="C157" s="7" t="inlineStr">
        <is>
          <t>T01-MCX-4</t>
        </is>
      </c>
      <c r="D157" s="7" t="inlineStr">
        <is>
          <t>MCX_VARIATION_MARGIN</t>
        </is>
      </c>
      <c r="E157" s="7" t="inlineStr">
        <is>
          <t>MCX_VARIATION_MARGIN</t>
        </is>
      </c>
      <c r="F157" s="7" t="inlineStr">
        <is>
          <t>PNL</t>
        </is>
      </c>
      <c r="G157" s="7" t="inlineStr">
        <is>
          <t>INR</t>
        </is>
      </c>
      <c r="H157" s="11" t="n">
        <v>44671</v>
      </c>
      <c r="I157" s="11" t="n">
        <v>44672</v>
      </c>
      <c r="J157" s="11" t="n">
        <v>44672</v>
      </c>
      <c r="K157" s="11" t="n">
        <v>44672</v>
      </c>
      <c r="L157" s="7" t="inlineStr">
        <is>
          <t>roll following on the LME panel calendar</t>
        </is>
      </c>
      <c r="N157" s="7" t="inlineStr">
        <is>
          <t>PROXY</t>
        </is>
      </c>
      <c r="O157" s="9" t="n">
        <v>-727504.3199999999</v>
      </c>
      <c r="P157" s="9" t="n">
        <v>-727504.3199999999</v>
      </c>
      <c r="U157" s="7" t="inlineStr">
        <is>
          <t>DERIVED_IN_WORKBOOK</t>
        </is>
      </c>
      <c r="V157" s="8">
        <f>SUMIFS(Cashflows!$R$1043:$R$1393,Cashflows!$B$1043:$B$1393,$C157,Cashflows!$C$1043:$C$1393,$K157)</f>
        <v/>
      </c>
      <c r="W157" s="8">
        <f>IF($G157="INR",1,INDEX(Market_Daily!$F$6:$F$256,MATCH($K157,Market_Daily!$A$6:$A$256,0)))</f>
        <v/>
      </c>
      <c r="X157" s="8">
        <f>$V157*$W157</f>
        <v/>
      </c>
      <c r="Y157" s="18">
        <f>$X157-$P157</f>
        <v/>
      </c>
      <c r="Z157" s="8">
        <f>IF(ABS($Y157)&lt;=tol_cashflow_inr,"PASS","FAIL")</f>
        <v/>
      </c>
      <c r="AA157" s="7" t="inlineStr">
        <is>
          <t>direction x lots x lot_kg x (F(s) - F(s-1))</t>
        </is>
      </c>
    </row>
    <row r="158">
      <c r="A158" s="7" t="inlineStr">
        <is>
          <t>T01</t>
        </is>
      </c>
      <c r="B158" s="7" t="inlineStr">
        <is>
          <t>MCX:T01-MCX-3</t>
        </is>
      </c>
      <c r="C158" s="7" t="inlineStr">
        <is>
          <t>T01-MCX-3</t>
        </is>
      </c>
      <c r="D158" s="7" t="inlineStr">
        <is>
          <t>MCX_INITIAL_MARGIN</t>
        </is>
      </c>
      <c r="E158" s="7" t="inlineStr">
        <is>
          <t>MCX_INITIAL_MARGIN</t>
        </is>
      </c>
      <c r="F158" s="7" t="inlineStr">
        <is>
          <t>BS</t>
        </is>
      </c>
      <c r="G158" s="7" t="inlineStr">
        <is>
          <t>INR</t>
        </is>
      </c>
      <c r="H158" s="11" t="n">
        <v>44671</v>
      </c>
      <c r="I158" s="11" t="n">
        <v>44673</v>
      </c>
      <c r="J158" s="11" t="n">
        <v>44673</v>
      </c>
      <c r="K158" s="11" t="n">
        <v>44673</v>
      </c>
      <c r="L158" s="7" t="inlineStr">
        <is>
          <t>roll following on the LME panel calendar</t>
        </is>
      </c>
      <c r="N158" s="7" t="inlineStr">
        <is>
          <t>PROXY</t>
        </is>
      </c>
      <c r="O158" s="9" t="n">
        <v>66348.17</v>
      </c>
      <c r="P158" s="9" t="n">
        <v>66348.17</v>
      </c>
      <c r="U158" s="7" t="inlineStr">
        <is>
          <t>DERIVED_IN_WORKBOOK</t>
        </is>
      </c>
      <c r="V158" s="8">
        <f>-SUMIFS(Cashflows!$W$1043:$W$1393,Cashflows!$B$1043:$B$1393,$C158,Cashflows!$C$1043:$C$1393,$K158)</f>
        <v/>
      </c>
      <c r="W158" s="8">
        <f>IF($G158="INR",1,INDEX(Market_Daily!$F$6:$F$256,MATCH($K158,Market_Daily!$A$6:$A$256,0)))</f>
        <v/>
      </c>
      <c r="X158" s="8">
        <f>$V158*$W158</f>
        <v/>
      </c>
      <c r="Y158" s="18">
        <f>$X158-$P158</f>
        <v/>
      </c>
      <c r="Z158" s="8">
        <f>IF(ABS($Y158)&lt;=tol_cashflow_inr,"PASS","FAIL")</f>
        <v/>
      </c>
      <c r="AA158" s="7" t="inlineStr">
        <is>
          <t>-d(lots x lot_kg x F(s) x mcx_al_margin_used_frac)</t>
        </is>
      </c>
    </row>
    <row r="159">
      <c r="A159" s="7" t="inlineStr">
        <is>
          <t>T01</t>
        </is>
      </c>
      <c r="B159" s="7" t="inlineStr">
        <is>
          <t>MCX:T01-MCX-3</t>
        </is>
      </c>
      <c r="C159" s="7" t="inlineStr">
        <is>
          <t>T01-MCX-3</t>
        </is>
      </c>
      <c r="D159" s="7" t="inlineStr">
        <is>
          <t>MCX_VARIATION_MARGIN</t>
        </is>
      </c>
      <c r="E159" s="7" t="inlineStr">
        <is>
          <t>MCX_VARIATION_MARGIN</t>
        </is>
      </c>
      <c r="F159" s="7" t="inlineStr">
        <is>
          <t>PNL</t>
        </is>
      </c>
      <c r="G159" s="7" t="inlineStr">
        <is>
          <t>INR</t>
        </is>
      </c>
      <c r="H159" s="11" t="n">
        <v>44671</v>
      </c>
      <c r="I159" s="11" t="n">
        <v>44673</v>
      </c>
      <c r="J159" s="11" t="n">
        <v>44673</v>
      </c>
      <c r="K159" s="11" t="n">
        <v>44673</v>
      </c>
      <c r="L159" s="7" t="inlineStr">
        <is>
          <t>roll following on the LME panel calendar</t>
        </is>
      </c>
      <c r="N159" s="7" t="inlineStr">
        <is>
          <t>PROXY</t>
        </is>
      </c>
      <c r="O159" s="9" t="n">
        <v>663481.73</v>
      </c>
      <c r="P159" s="9" t="n">
        <v>663481.73</v>
      </c>
      <c r="U159" s="7" t="inlineStr">
        <is>
          <t>DERIVED_IN_WORKBOOK</t>
        </is>
      </c>
      <c r="V159" s="8">
        <f>SUMIFS(Cashflows!$R$1043:$R$1393,Cashflows!$B$1043:$B$1393,$C159,Cashflows!$C$1043:$C$1393,$K159)</f>
        <v/>
      </c>
      <c r="W159" s="8">
        <f>IF($G159="INR",1,INDEX(Market_Daily!$F$6:$F$256,MATCH($K159,Market_Daily!$A$6:$A$256,0)))</f>
        <v/>
      </c>
      <c r="X159" s="8">
        <f>$V159*$W159</f>
        <v/>
      </c>
      <c r="Y159" s="18">
        <f>$X159-$P159</f>
        <v/>
      </c>
      <c r="Z159" s="8">
        <f>IF(ABS($Y159)&lt;=tol_cashflow_inr,"PASS","FAIL")</f>
        <v/>
      </c>
      <c r="AA159" s="7" t="inlineStr">
        <is>
          <t>direction x lots x lot_kg x (F(s) - F(s-1))</t>
        </is>
      </c>
    </row>
    <row r="160">
      <c r="A160" s="7" t="inlineStr">
        <is>
          <t>T01</t>
        </is>
      </c>
      <c r="B160" s="7" t="inlineStr">
        <is>
          <t>MCX:T01-MCX-4</t>
        </is>
      </c>
      <c r="C160" s="7" t="inlineStr">
        <is>
          <t>T01-MCX-4</t>
        </is>
      </c>
      <c r="D160" s="7" t="inlineStr">
        <is>
          <t>MCX_INITIAL_MARGIN</t>
        </is>
      </c>
      <c r="E160" s="7" t="inlineStr">
        <is>
          <t>MCX_INITIAL_MARGIN</t>
        </is>
      </c>
      <c r="F160" s="7" t="inlineStr">
        <is>
          <t>BS</t>
        </is>
      </c>
      <c r="G160" s="7" t="inlineStr">
        <is>
          <t>INR</t>
        </is>
      </c>
      <c r="H160" s="11" t="n">
        <v>44671</v>
      </c>
      <c r="I160" s="11" t="n">
        <v>44673</v>
      </c>
      <c r="J160" s="11" t="n">
        <v>44673</v>
      </c>
      <c r="K160" s="11" t="n">
        <v>44673</v>
      </c>
      <c r="L160" s="7" t="inlineStr">
        <is>
          <t>roll following on the LME panel calendar</t>
        </is>
      </c>
      <c r="N160" s="7" t="inlineStr">
        <is>
          <t>PROXY</t>
        </is>
      </c>
      <c r="O160" s="9" t="n">
        <v>33174.09</v>
      </c>
      <c r="P160" s="9" t="n">
        <v>33174.09</v>
      </c>
      <c r="U160" s="7" t="inlineStr">
        <is>
          <t>DERIVED_IN_WORKBOOK</t>
        </is>
      </c>
      <c r="V160" s="8">
        <f>-SUMIFS(Cashflows!$W$1043:$W$1393,Cashflows!$B$1043:$B$1393,$C160,Cashflows!$C$1043:$C$1393,$K160)</f>
        <v/>
      </c>
      <c r="W160" s="8">
        <f>IF($G160="INR",1,INDEX(Market_Daily!$F$6:$F$256,MATCH($K160,Market_Daily!$A$6:$A$256,0)))</f>
        <v/>
      </c>
      <c r="X160" s="8">
        <f>$V160*$W160</f>
        <v/>
      </c>
      <c r="Y160" s="18">
        <f>$X160-$P160</f>
        <v/>
      </c>
      <c r="Z160" s="8">
        <f>IF(ABS($Y160)&lt;=tol_cashflow_inr,"PASS","FAIL")</f>
        <v/>
      </c>
      <c r="AA160" s="7" t="inlineStr">
        <is>
          <t>-d(lots x lot_kg x F(s) x mcx_al_margin_used_frac)</t>
        </is>
      </c>
    </row>
    <row r="161">
      <c r="A161" s="7" t="inlineStr">
        <is>
          <t>T01</t>
        </is>
      </c>
      <c r="B161" s="7" t="inlineStr">
        <is>
          <t>MCX:T01-MCX-4</t>
        </is>
      </c>
      <c r="C161" s="7" t="inlineStr">
        <is>
          <t>T01-MCX-4</t>
        </is>
      </c>
      <c r="D161" s="7" t="inlineStr">
        <is>
          <t>MCX_VARIATION_MARGIN</t>
        </is>
      </c>
      <c r="E161" s="7" t="inlineStr">
        <is>
          <t>MCX_VARIATION_MARGIN</t>
        </is>
      </c>
      <c r="F161" s="7" t="inlineStr">
        <is>
          <t>PNL</t>
        </is>
      </c>
      <c r="G161" s="7" t="inlineStr">
        <is>
          <t>INR</t>
        </is>
      </c>
      <c r="H161" s="11" t="n">
        <v>44671</v>
      </c>
      <c r="I161" s="11" t="n">
        <v>44673</v>
      </c>
      <c r="J161" s="11" t="n">
        <v>44673</v>
      </c>
      <c r="K161" s="11" t="n">
        <v>44673</v>
      </c>
      <c r="L161" s="7" t="inlineStr">
        <is>
          <t>roll following on the LME panel calendar</t>
        </is>
      </c>
      <c r="N161" s="7" t="inlineStr">
        <is>
          <t>PROXY</t>
        </is>
      </c>
      <c r="O161" s="9" t="n">
        <v>331740.87</v>
      </c>
      <c r="P161" s="9" t="n">
        <v>331740.87</v>
      </c>
      <c r="U161" s="7" t="inlineStr">
        <is>
          <t>DERIVED_IN_WORKBOOK</t>
        </is>
      </c>
      <c r="V161" s="8">
        <f>SUMIFS(Cashflows!$R$1043:$R$1393,Cashflows!$B$1043:$B$1393,$C161,Cashflows!$C$1043:$C$1393,$K161)</f>
        <v/>
      </c>
      <c r="W161" s="8">
        <f>IF($G161="INR",1,INDEX(Market_Daily!$F$6:$F$256,MATCH($K161,Market_Daily!$A$6:$A$256,0)))</f>
        <v/>
      </c>
      <c r="X161" s="8">
        <f>$V161*$W161</f>
        <v/>
      </c>
      <c r="Y161" s="18">
        <f>$X161-$P161</f>
        <v/>
      </c>
      <c r="Z161" s="8">
        <f>IF(ABS($Y161)&lt;=tol_cashflow_inr,"PASS","FAIL")</f>
        <v/>
      </c>
      <c r="AA161" s="7" t="inlineStr">
        <is>
          <t>direction x lots x lot_kg x (F(s) - F(s-1))</t>
        </is>
      </c>
    </row>
    <row r="162">
      <c r="A162" s="7" t="inlineStr">
        <is>
          <t>T01</t>
        </is>
      </c>
      <c r="B162" s="7" t="inlineStr">
        <is>
          <t>MCX:T01-MCX-3</t>
        </is>
      </c>
      <c r="C162" s="7" t="inlineStr">
        <is>
          <t>T01-MCX-3</t>
        </is>
      </c>
      <c r="D162" s="7" t="inlineStr">
        <is>
          <t>MCX_INITIAL_MARGIN</t>
        </is>
      </c>
      <c r="E162" s="7" t="inlineStr">
        <is>
          <t>MCX_INITIAL_MARGIN</t>
        </is>
      </c>
      <c r="F162" s="7" t="inlineStr">
        <is>
          <t>BS</t>
        </is>
      </c>
      <c r="G162" s="7" t="inlineStr">
        <is>
          <t>INR</t>
        </is>
      </c>
      <c r="H162" s="11" t="n">
        <v>44671</v>
      </c>
      <c r="I162" s="11" t="n">
        <v>44676</v>
      </c>
      <c r="J162" s="11" t="n">
        <v>44676</v>
      </c>
      <c r="K162" s="11" t="n">
        <v>44676</v>
      </c>
      <c r="L162" s="7" t="inlineStr">
        <is>
          <t>roll following on the LME panel calendar</t>
        </is>
      </c>
      <c r="N162" s="7" t="inlineStr">
        <is>
          <t>PROXY</t>
        </is>
      </c>
      <c r="O162" s="9" t="n">
        <v>26958486.17</v>
      </c>
      <c r="P162" s="9" t="n">
        <v>26958486.17</v>
      </c>
      <c r="U162" s="7" t="inlineStr">
        <is>
          <t>DERIVED_IN_WORKBOOK</t>
        </is>
      </c>
      <c r="V162" s="8">
        <f>-SUMIFS(Cashflows!$W$1043:$W$1393,Cashflows!$B$1043:$B$1393,$C162,Cashflows!$C$1043:$C$1393,$K162)</f>
        <v/>
      </c>
      <c r="W162" s="8">
        <f>IF($G162="INR",1,INDEX(Market_Daily!$F$6:$F$256,MATCH($K162,Market_Daily!$A$6:$A$256,0)))</f>
        <v/>
      </c>
      <c r="X162" s="8">
        <f>$V162*$W162</f>
        <v/>
      </c>
      <c r="Y162" s="18">
        <f>$X162-$P162</f>
        <v/>
      </c>
      <c r="Z162" s="8">
        <f>IF(ABS($Y162)&lt;=tol_cashflow_inr,"PASS","FAIL")</f>
        <v/>
      </c>
      <c r="AA162" s="7" t="inlineStr">
        <is>
          <t>-d(lots x lot_kg x F(s) x mcx_al_margin_used_frac)</t>
        </is>
      </c>
    </row>
    <row r="163">
      <c r="A163" s="7" t="inlineStr">
        <is>
          <t>T01</t>
        </is>
      </c>
      <c r="B163" s="7" t="inlineStr">
        <is>
          <t>MCX:T01-MCX-3</t>
        </is>
      </c>
      <c r="C163" s="7" t="inlineStr">
        <is>
          <t>T01-MCX-3</t>
        </is>
      </c>
      <c r="D163" s="7" t="inlineStr">
        <is>
          <t>MCX_SLIPPAGE</t>
        </is>
      </c>
      <c r="E163" s="7" t="inlineStr">
        <is>
          <t>MCX_SLIPPAGE</t>
        </is>
      </c>
      <c r="F163" s="7" t="inlineStr">
        <is>
          <t>PNL</t>
        </is>
      </c>
      <c r="G163" s="7" t="inlineStr">
        <is>
          <t>INR</t>
        </is>
      </c>
      <c r="H163" s="11" t="n">
        <v>44676</v>
      </c>
      <c r="J163" s="11" t="n">
        <v>44676</v>
      </c>
      <c r="K163" s="11" t="n">
        <v>44676</v>
      </c>
      <c r="L163" s="7" t="inlineStr">
        <is>
          <t>roll following on the LME panel calendar</t>
        </is>
      </c>
      <c r="N163" s="7" t="inlineStr">
        <is>
          <t>ASSUMPTION</t>
        </is>
      </c>
      <c r="O163" s="9" t="n">
        <v>-100000</v>
      </c>
      <c r="P163" s="9" t="n">
        <v>-100000</v>
      </c>
      <c r="U163" s="7" t="inlineStr">
        <is>
          <t>DERIVED_IN_WORKBOOK</t>
        </is>
      </c>
      <c r="V163" s="8">
        <f>SUMIFS(Cashflows!$Z$1043:$Z$1393,Cashflows!$B$1043:$B$1393,$C163,Cashflows!$C$1043:$C$1393,$K163)</f>
        <v/>
      </c>
      <c r="W163" s="8">
        <f>IF($G163="INR",1,INDEX(Market_Daily!$F$6:$F$256,MATCH($K163,Market_Daily!$A$6:$A$256,0)))</f>
        <v/>
      </c>
      <c r="X163" s="8">
        <f>$V163*$W163</f>
        <v/>
      </c>
      <c r="Y163" s="18">
        <f>$X163-$P163</f>
        <v/>
      </c>
      <c r="Z163" s="8">
        <f>IF(ABS($Y163)&lt;=tol_cashflow_inr,"PASS","FAIL")</f>
        <v/>
      </c>
      <c r="AA163" s="7" t="inlineStr">
        <is>
          <t>-lots x lot_kg x mcx_slippage_ticks x tick</t>
        </is>
      </c>
    </row>
    <row r="164">
      <c r="A164" s="7" t="inlineStr">
        <is>
          <t>T01</t>
        </is>
      </c>
      <c r="B164" s="7" t="inlineStr">
        <is>
          <t>MCX:T01-MCX-3</t>
        </is>
      </c>
      <c r="C164" s="7" t="inlineStr">
        <is>
          <t>T01-MCX-3</t>
        </is>
      </c>
      <c r="D164" s="7" t="inlineStr">
        <is>
          <t>MCX_TRANSACTION_COST</t>
        </is>
      </c>
      <c r="E164" s="7" t="inlineStr">
        <is>
          <t>MCX_TRANSACTION_COST</t>
        </is>
      </c>
      <c r="F164" s="7" t="inlineStr">
        <is>
          <t>PNL</t>
        </is>
      </c>
      <c r="G164" s="7" t="inlineStr">
        <is>
          <t>INR</t>
        </is>
      </c>
      <c r="H164" s="11" t="n">
        <v>44676</v>
      </c>
      <c r="I164" s="11" t="n">
        <v>44676</v>
      </c>
      <c r="J164" s="11" t="n">
        <v>44676</v>
      </c>
      <c r="K164" s="11" t="n">
        <v>44676</v>
      </c>
      <c r="L164" s="7" t="inlineStr">
        <is>
          <t>roll following on the LME panel calendar</t>
        </is>
      </c>
      <c r="N164" s="7" t="inlineStr">
        <is>
          <t>ASSUMPTION</t>
        </is>
      </c>
      <c r="O164" s="9" t="n">
        <v>-77200.23</v>
      </c>
      <c r="P164" s="9" t="n">
        <v>-77200.23</v>
      </c>
      <c r="U164" s="7" t="inlineStr">
        <is>
          <t>DERIVED_IN_WORKBOOK</t>
        </is>
      </c>
      <c r="V164" s="8">
        <f>SUMIFS(Cashflows!$AA$1043:$AA$1393,Cashflows!$B$1043:$B$1393,$C164,Cashflows!$C$1043:$C$1393,$K164)</f>
        <v/>
      </c>
      <c r="W164" s="8">
        <f>IF($G164="INR",1,INDEX(Market_Daily!$F$6:$F$256,MATCH($K164,Market_Daily!$A$6:$A$256,0)))</f>
        <v/>
      </c>
      <c r="X164" s="8">
        <f>$V164*$W164</f>
        <v/>
      </c>
      <c r="Y164" s="18">
        <f>$X164-$P164</f>
        <v/>
      </c>
      <c r="Z164" s="8">
        <f>IF(ABS($Y164)&lt;=tol_cashflow_inr,"PASS","FAIL")</f>
        <v/>
      </c>
      <c r="AA164" s="7" t="inlineStr">
        <is>
          <t>-lots x lot_kg x fill x mcx_txn_cost_frac</t>
        </is>
      </c>
    </row>
    <row r="165">
      <c r="A165" s="7" t="inlineStr">
        <is>
          <t>T01</t>
        </is>
      </c>
      <c r="B165" s="7" t="inlineStr">
        <is>
          <t>MCX:T01-MCX-3</t>
        </is>
      </c>
      <c r="C165" s="7" t="inlineStr">
        <is>
          <t>T01-MCX-3</t>
        </is>
      </c>
      <c r="D165" s="7" t="inlineStr">
        <is>
          <t>MCX_VARIATION_MARGIN</t>
        </is>
      </c>
      <c r="E165" s="7" t="inlineStr">
        <is>
          <t>MCX_VARIATION_MARGIN</t>
        </is>
      </c>
      <c r="F165" s="7" t="inlineStr">
        <is>
          <t>PNL</t>
        </is>
      </c>
      <c r="G165" s="7" t="inlineStr">
        <is>
          <t>INR</t>
        </is>
      </c>
      <c r="H165" s="11" t="n">
        <v>44671</v>
      </c>
      <c r="I165" s="11" t="n">
        <v>44676</v>
      </c>
      <c r="J165" s="11" t="n">
        <v>44676</v>
      </c>
      <c r="K165" s="11" t="n">
        <v>44676</v>
      </c>
      <c r="L165" s="7" t="inlineStr">
        <is>
          <t>roll following on the LME panel calendar</t>
        </is>
      </c>
      <c r="N165" s="7" t="inlineStr">
        <is>
          <t>PROXY</t>
        </is>
      </c>
      <c r="O165" s="9" t="n">
        <v>12350769.42</v>
      </c>
      <c r="P165" s="9" t="n">
        <v>12350769.42</v>
      </c>
      <c r="U165" s="7" t="inlineStr">
        <is>
          <t>DERIVED_IN_WORKBOOK</t>
        </is>
      </c>
      <c r="V165" s="8">
        <f>SUMIFS(Cashflows!$R$1043:$R$1393,Cashflows!$B$1043:$B$1393,$C165,Cashflows!$C$1043:$C$1393,$K165)</f>
        <v/>
      </c>
      <c r="W165" s="8">
        <f>IF($G165="INR",1,INDEX(Market_Daily!$F$6:$F$256,MATCH($K165,Market_Daily!$A$6:$A$256,0)))</f>
        <v/>
      </c>
      <c r="X165" s="8">
        <f>$V165*$W165</f>
        <v/>
      </c>
      <c r="Y165" s="18">
        <f>$X165-$P165</f>
        <v/>
      </c>
      <c r="Z165" s="8">
        <f>IF(ABS($Y165)&lt;=tol_cashflow_inr,"PASS","FAIL")</f>
        <v/>
      </c>
      <c r="AA165" s="7" t="inlineStr">
        <is>
          <t>direction x lots x lot_kg x (F(s) - F(s-1))</t>
        </is>
      </c>
    </row>
    <row r="166">
      <c r="A166" s="7" t="inlineStr">
        <is>
          <t>T01</t>
        </is>
      </c>
      <c r="B166" s="7" t="inlineStr">
        <is>
          <t>MCX:T01-MCX-4</t>
        </is>
      </c>
      <c r="C166" s="7" t="inlineStr">
        <is>
          <t>T01-MCX-4</t>
        </is>
      </c>
      <c r="D166" s="7" t="inlineStr">
        <is>
          <t>MCX_INITIAL_MARGIN</t>
        </is>
      </c>
      <c r="E166" s="7" t="inlineStr">
        <is>
          <t>MCX_INITIAL_MARGIN</t>
        </is>
      </c>
      <c r="F166" s="7" t="inlineStr">
        <is>
          <t>BS</t>
        </is>
      </c>
      <c r="G166" s="7" t="inlineStr">
        <is>
          <t>INR</t>
        </is>
      </c>
      <c r="H166" s="11" t="n">
        <v>44671</v>
      </c>
      <c r="I166" s="11" t="n">
        <v>44676</v>
      </c>
      <c r="J166" s="11" t="n">
        <v>44676</v>
      </c>
      <c r="K166" s="11" t="n">
        <v>44676</v>
      </c>
      <c r="L166" s="7" t="inlineStr">
        <is>
          <t>roll following on the LME panel calendar</t>
        </is>
      </c>
      <c r="N166" s="7" t="inlineStr">
        <is>
          <t>PROXY</t>
        </is>
      </c>
      <c r="O166" s="9" t="n">
        <v>617538.47</v>
      </c>
      <c r="P166" s="9" t="n">
        <v>617538.47</v>
      </c>
      <c r="U166" s="7" t="inlineStr">
        <is>
          <t>DERIVED_IN_WORKBOOK</t>
        </is>
      </c>
      <c r="V166" s="8">
        <f>-SUMIFS(Cashflows!$W$1043:$W$1393,Cashflows!$B$1043:$B$1393,$C166,Cashflows!$C$1043:$C$1393,$K166)</f>
        <v/>
      </c>
      <c r="W166" s="8">
        <f>IF($G166="INR",1,INDEX(Market_Daily!$F$6:$F$256,MATCH($K166,Market_Daily!$A$6:$A$256,0)))</f>
        <v/>
      </c>
      <c r="X166" s="8">
        <f>$V166*$W166</f>
        <v/>
      </c>
      <c r="Y166" s="18">
        <f>$X166-$P166</f>
        <v/>
      </c>
      <c r="Z166" s="8">
        <f>IF(ABS($Y166)&lt;=tol_cashflow_inr,"PASS","FAIL")</f>
        <v/>
      </c>
      <c r="AA166" s="7" t="inlineStr">
        <is>
          <t>-d(lots x lot_kg x F(s) x mcx_al_margin_used_frac)</t>
        </is>
      </c>
    </row>
    <row r="167">
      <c r="A167" s="7" t="inlineStr">
        <is>
          <t>T01</t>
        </is>
      </c>
      <c r="B167" s="7" t="inlineStr">
        <is>
          <t>MCX:T01-MCX-4</t>
        </is>
      </c>
      <c r="C167" s="7" t="inlineStr">
        <is>
          <t>T01-MCX-4</t>
        </is>
      </c>
      <c r="D167" s="7" t="inlineStr">
        <is>
          <t>MCX_VARIATION_MARGIN</t>
        </is>
      </c>
      <c r="E167" s="7" t="inlineStr">
        <is>
          <t>MCX_VARIATION_MARGIN</t>
        </is>
      </c>
      <c r="F167" s="7" t="inlineStr">
        <is>
          <t>PNL</t>
        </is>
      </c>
      <c r="G167" s="7" t="inlineStr">
        <is>
          <t>INR</t>
        </is>
      </c>
      <c r="H167" s="11" t="n">
        <v>44671</v>
      </c>
      <c r="I167" s="11" t="n">
        <v>44676</v>
      </c>
      <c r="J167" s="11" t="n">
        <v>44676</v>
      </c>
      <c r="K167" s="11" t="n">
        <v>44676</v>
      </c>
      <c r="L167" s="7" t="inlineStr">
        <is>
          <t>roll following on the LME panel calendar</t>
        </is>
      </c>
      <c r="N167" s="7" t="inlineStr">
        <is>
          <t>PROXY</t>
        </is>
      </c>
      <c r="O167" s="9" t="n">
        <v>6175384.71</v>
      </c>
      <c r="P167" s="9" t="n">
        <v>6175384.71</v>
      </c>
      <c r="U167" s="7" t="inlineStr">
        <is>
          <t>DERIVED_IN_WORKBOOK</t>
        </is>
      </c>
      <c r="V167" s="8">
        <f>SUMIFS(Cashflows!$R$1043:$R$1393,Cashflows!$B$1043:$B$1393,$C167,Cashflows!$C$1043:$C$1393,$K167)</f>
        <v/>
      </c>
      <c r="W167" s="8">
        <f>IF($G167="INR",1,INDEX(Market_Daily!$F$6:$F$256,MATCH($K167,Market_Daily!$A$6:$A$256,0)))</f>
        <v/>
      </c>
      <c r="X167" s="8">
        <f>$V167*$W167</f>
        <v/>
      </c>
      <c r="Y167" s="18">
        <f>$X167-$P167</f>
        <v/>
      </c>
      <c r="Z167" s="8">
        <f>IF(ABS($Y167)&lt;=tol_cashflow_inr,"PASS","FAIL")</f>
        <v/>
      </c>
      <c r="AA167" s="7" t="inlineStr">
        <is>
          <t>direction x lots x lot_kg x (F(s) - F(s-1))</t>
        </is>
      </c>
    </row>
    <row r="168">
      <c r="A168" s="7" t="inlineStr">
        <is>
          <t>T01</t>
        </is>
      </c>
      <c r="B168" s="7" t="inlineStr">
        <is>
          <t>MCX:T01-MCX-4</t>
        </is>
      </c>
      <c r="C168" s="7" t="inlineStr">
        <is>
          <t>T01-MCX-4</t>
        </is>
      </c>
      <c r="D168" s="7" t="inlineStr">
        <is>
          <t>MCX_INITIAL_MARGIN</t>
        </is>
      </c>
      <c r="E168" s="7" t="inlineStr">
        <is>
          <t>MCX_INITIAL_MARGIN</t>
        </is>
      </c>
      <c r="F168" s="7" t="inlineStr">
        <is>
          <t>BS</t>
        </is>
      </c>
      <c r="G168" s="7" t="inlineStr">
        <is>
          <t>INR</t>
        </is>
      </c>
      <c r="H168" s="11" t="n">
        <v>44671</v>
      </c>
      <c r="I168" s="11" t="n">
        <v>44677</v>
      </c>
      <c r="J168" s="11" t="n">
        <v>44677</v>
      </c>
      <c r="K168" s="11" t="n">
        <v>44677</v>
      </c>
      <c r="L168" s="7" t="inlineStr">
        <is>
          <t>roll following on the LME panel calendar</t>
        </is>
      </c>
      <c r="N168" s="7" t="inlineStr">
        <is>
          <t>PROXY</t>
        </is>
      </c>
      <c r="O168" s="9" t="n">
        <v>-43870.15</v>
      </c>
      <c r="P168" s="9" t="n">
        <v>-43870.15</v>
      </c>
      <c r="U168" s="7" t="inlineStr">
        <is>
          <t>DERIVED_IN_WORKBOOK</t>
        </is>
      </c>
      <c r="V168" s="8">
        <f>-SUMIFS(Cashflows!$W$1043:$W$1393,Cashflows!$B$1043:$B$1393,$C168,Cashflows!$C$1043:$C$1393,$K168)</f>
        <v/>
      </c>
      <c r="W168" s="8">
        <f>IF($G168="INR",1,INDEX(Market_Daily!$F$6:$F$256,MATCH($K168,Market_Daily!$A$6:$A$256,0)))</f>
        <v/>
      </c>
      <c r="X168" s="8">
        <f>$V168*$W168</f>
        <v/>
      </c>
      <c r="Y168" s="18">
        <f>$X168-$P168</f>
        <v/>
      </c>
      <c r="Z168" s="8">
        <f>IF(ABS($Y168)&lt;=tol_cashflow_inr,"PASS","FAIL")</f>
        <v/>
      </c>
      <c r="AA168" s="7" t="inlineStr">
        <is>
          <t>-d(lots x lot_kg x F(s) x mcx_al_margin_used_frac)</t>
        </is>
      </c>
    </row>
    <row r="169">
      <c r="A169" s="7" t="inlineStr">
        <is>
          <t>T01</t>
        </is>
      </c>
      <c r="B169" s="7" t="inlineStr">
        <is>
          <t>MCX:T01-MCX-4</t>
        </is>
      </c>
      <c r="C169" s="7" t="inlineStr">
        <is>
          <t>T01-MCX-4</t>
        </is>
      </c>
      <c r="D169" s="7" t="inlineStr">
        <is>
          <t>MCX_VARIATION_MARGIN</t>
        </is>
      </c>
      <c r="E169" s="7" t="inlineStr">
        <is>
          <t>MCX_VARIATION_MARGIN</t>
        </is>
      </c>
      <c r="F169" s="7" t="inlineStr">
        <is>
          <t>PNL</t>
        </is>
      </c>
      <c r="G169" s="7" t="inlineStr">
        <is>
          <t>INR</t>
        </is>
      </c>
      <c r="H169" s="11" t="n">
        <v>44671</v>
      </c>
      <c r="I169" s="11" t="n">
        <v>44677</v>
      </c>
      <c r="J169" s="11" t="n">
        <v>44677</v>
      </c>
      <c r="K169" s="11" t="n">
        <v>44677</v>
      </c>
      <c r="L169" s="7" t="inlineStr">
        <is>
          <t>roll following on the LME panel calendar</t>
        </is>
      </c>
      <c r="N169" s="7" t="inlineStr">
        <is>
          <t>PROXY</t>
        </is>
      </c>
      <c r="O169" s="9" t="n">
        <v>-438701.53</v>
      </c>
      <c r="P169" s="9" t="n">
        <v>-438701.53</v>
      </c>
      <c r="U169" s="7" t="inlineStr">
        <is>
          <t>DERIVED_IN_WORKBOOK</t>
        </is>
      </c>
      <c r="V169" s="8">
        <f>SUMIFS(Cashflows!$R$1043:$R$1393,Cashflows!$B$1043:$B$1393,$C169,Cashflows!$C$1043:$C$1393,$K169)</f>
        <v/>
      </c>
      <c r="W169" s="8">
        <f>IF($G169="INR",1,INDEX(Market_Daily!$F$6:$F$256,MATCH($K169,Market_Daily!$A$6:$A$256,0)))</f>
        <v/>
      </c>
      <c r="X169" s="8">
        <f>$V169*$W169</f>
        <v/>
      </c>
      <c r="Y169" s="18">
        <f>$X169-$P169</f>
        <v/>
      </c>
      <c r="Z169" s="8">
        <f>IF(ABS($Y169)&lt;=tol_cashflow_inr,"PASS","FAIL")</f>
        <v/>
      </c>
      <c r="AA169" s="7" t="inlineStr">
        <is>
          <t>direction x lots x lot_kg x (F(s) - F(s-1))</t>
        </is>
      </c>
    </row>
    <row r="170">
      <c r="A170" s="7" t="inlineStr">
        <is>
          <t>T01</t>
        </is>
      </c>
      <c r="B170" s="7" t="inlineStr">
        <is>
          <t>MCX:T01-MCX-4</t>
        </is>
      </c>
      <c r="C170" s="7" t="inlineStr">
        <is>
          <t>T01-MCX-4</t>
        </is>
      </c>
      <c r="D170" s="7" t="inlineStr">
        <is>
          <t>MCX_INITIAL_MARGIN</t>
        </is>
      </c>
      <c r="E170" s="7" t="inlineStr">
        <is>
          <t>MCX_INITIAL_MARGIN</t>
        </is>
      </c>
      <c r="F170" s="7" t="inlineStr">
        <is>
          <t>BS</t>
        </is>
      </c>
      <c r="G170" s="7" t="inlineStr">
        <is>
          <t>INR</t>
        </is>
      </c>
      <c r="H170" s="11" t="n">
        <v>44671</v>
      </c>
      <c r="I170" s="11" t="n">
        <v>44678</v>
      </c>
      <c r="J170" s="11" t="n">
        <v>44678</v>
      </c>
      <c r="K170" s="11" t="n">
        <v>44678</v>
      </c>
      <c r="L170" s="7" t="inlineStr">
        <is>
          <t>roll following on the LME panel calendar</t>
        </is>
      </c>
      <c r="N170" s="7" t="inlineStr">
        <is>
          <t>PROXY</t>
        </is>
      </c>
      <c r="O170" s="9" t="n">
        <v>5297.54</v>
      </c>
      <c r="P170" s="9" t="n">
        <v>5297.54</v>
      </c>
      <c r="U170" s="7" t="inlineStr">
        <is>
          <t>DERIVED_IN_WORKBOOK</t>
        </is>
      </c>
      <c r="V170" s="8">
        <f>-SUMIFS(Cashflows!$W$1043:$W$1393,Cashflows!$B$1043:$B$1393,$C170,Cashflows!$C$1043:$C$1393,$K170)</f>
        <v/>
      </c>
      <c r="W170" s="8">
        <f>IF($G170="INR",1,INDEX(Market_Daily!$F$6:$F$256,MATCH($K170,Market_Daily!$A$6:$A$256,0)))</f>
        <v/>
      </c>
      <c r="X170" s="8">
        <f>$V170*$W170</f>
        <v/>
      </c>
      <c r="Y170" s="18">
        <f>$X170-$P170</f>
        <v/>
      </c>
      <c r="Z170" s="8">
        <f>IF(ABS($Y170)&lt;=tol_cashflow_inr,"PASS","FAIL")</f>
        <v/>
      </c>
      <c r="AA170" s="7" t="inlineStr">
        <is>
          <t>-d(lots x lot_kg x F(s) x mcx_al_margin_used_frac)</t>
        </is>
      </c>
    </row>
    <row r="171">
      <c r="A171" s="7" t="inlineStr">
        <is>
          <t>T01</t>
        </is>
      </c>
      <c r="B171" s="7" t="inlineStr">
        <is>
          <t>MCX:T01-MCX-4</t>
        </is>
      </c>
      <c r="C171" s="7" t="inlineStr">
        <is>
          <t>T01-MCX-4</t>
        </is>
      </c>
      <c r="D171" s="7" t="inlineStr">
        <is>
          <t>MCX_VARIATION_MARGIN</t>
        </is>
      </c>
      <c r="E171" s="7" t="inlineStr">
        <is>
          <t>MCX_VARIATION_MARGIN</t>
        </is>
      </c>
      <c r="F171" s="7" t="inlineStr">
        <is>
          <t>PNL</t>
        </is>
      </c>
      <c r="G171" s="7" t="inlineStr">
        <is>
          <t>INR</t>
        </is>
      </c>
      <c r="H171" s="11" t="n">
        <v>44671</v>
      </c>
      <c r="I171" s="11" t="n">
        <v>44678</v>
      </c>
      <c r="J171" s="11" t="n">
        <v>44678</v>
      </c>
      <c r="K171" s="11" t="n">
        <v>44678</v>
      </c>
      <c r="L171" s="7" t="inlineStr">
        <is>
          <t>roll following on the LME panel calendar</t>
        </is>
      </c>
      <c r="N171" s="7" t="inlineStr">
        <is>
          <t>PROXY</t>
        </is>
      </c>
      <c r="O171" s="9" t="n">
        <v>52975.44</v>
      </c>
      <c r="P171" s="9" t="n">
        <v>52975.44</v>
      </c>
      <c r="U171" s="7" t="inlineStr">
        <is>
          <t>DERIVED_IN_WORKBOOK</t>
        </is>
      </c>
      <c r="V171" s="8">
        <f>SUMIFS(Cashflows!$R$1043:$R$1393,Cashflows!$B$1043:$B$1393,$C171,Cashflows!$C$1043:$C$1393,$K171)</f>
        <v/>
      </c>
      <c r="W171" s="8">
        <f>IF($G171="INR",1,INDEX(Market_Daily!$F$6:$F$256,MATCH($K171,Market_Daily!$A$6:$A$256,0)))</f>
        <v/>
      </c>
      <c r="X171" s="8">
        <f>$V171*$W171</f>
        <v/>
      </c>
      <c r="Y171" s="18">
        <f>$X171-$P171</f>
        <v/>
      </c>
      <c r="Z171" s="8">
        <f>IF(ABS($Y171)&lt;=tol_cashflow_inr,"PASS","FAIL")</f>
        <v/>
      </c>
      <c r="AA171" s="7" t="inlineStr">
        <is>
          <t>direction x lots x lot_kg x (F(s) - F(s-1))</t>
        </is>
      </c>
    </row>
    <row r="172">
      <c r="A172" s="7" t="inlineStr">
        <is>
          <t>T01</t>
        </is>
      </c>
      <c r="B172" s="7" t="inlineStr">
        <is>
          <t>MCX:T01-MCX-4</t>
        </is>
      </c>
      <c r="C172" s="7" t="inlineStr">
        <is>
          <t>T01-MCX-4</t>
        </is>
      </c>
      <c r="D172" s="7" t="inlineStr">
        <is>
          <t>MCX_INITIAL_MARGIN</t>
        </is>
      </c>
      <c r="E172" s="7" t="inlineStr">
        <is>
          <t>MCX_INITIAL_MARGIN</t>
        </is>
      </c>
      <c r="F172" s="7" t="inlineStr">
        <is>
          <t>BS</t>
        </is>
      </c>
      <c r="G172" s="7" t="inlineStr">
        <is>
          <t>INR</t>
        </is>
      </c>
      <c r="H172" s="11" t="n">
        <v>44671</v>
      </c>
      <c r="I172" s="11" t="n">
        <v>44679</v>
      </c>
      <c r="J172" s="11" t="n">
        <v>44679</v>
      </c>
      <c r="K172" s="11" t="n">
        <v>44679</v>
      </c>
      <c r="L172" s="7" t="inlineStr">
        <is>
          <t>roll following on the LME panel calendar</t>
        </is>
      </c>
      <c r="N172" s="7" t="inlineStr">
        <is>
          <t>PROXY</t>
        </is>
      </c>
      <c r="O172" s="9" t="n">
        <v>137441.65</v>
      </c>
      <c r="P172" s="9" t="n">
        <v>137441.65</v>
      </c>
      <c r="U172" s="7" t="inlineStr">
        <is>
          <t>DERIVED_IN_WORKBOOK</t>
        </is>
      </c>
      <c r="V172" s="8">
        <f>-SUMIFS(Cashflows!$W$1043:$W$1393,Cashflows!$B$1043:$B$1393,$C172,Cashflows!$C$1043:$C$1393,$K172)</f>
        <v/>
      </c>
      <c r="W172" s="8">
        <f>IF($G172="INR",1,INDEX(Market_Daily!$F$6:$F$256,MATCH($K172,Market_Daily!$A$6:$A$256,0)))</f>
        <v/>
      </c>
      <c r="X172" s="8">
        <f>$V172*$W172</f>
        <v/>
      </c>
      <c r="Y172" s="18">
        <f>$X172-$P172</f>
        <v/>
      </c>
      <c r="Z172" s="8">
        <f>IF(ABS($Y172)&lt;=tol_cashflow_inr,"PASS","FAIL")</f>
        <v/>
      </c>
      <c r="AA172" s="7" t="inlineStr">
        <is>
          <t>-d(lots x lot_kg x F(s) x mcx_al_margin_used_frac)</t>
        </is>
      </c>
    </row>
    <row r="173">
      <c r="A173" s="7" t="inlineStr">
        <is>
          <t>T01</t>
        </is>
      </c>
      <c r="B173" s="7" t="inlineStr">
        <is>
          <t>MCX:T01-MCX-4</t>
        </is>
      </c>
      <c r="C173" s="7" t="inlineStr">
        <is>
          <t>T01-MCX-4</t>
        </is>
      </c>
      <c r="D173" s="7" t="inlineStr">
        <is>
          <t>MCX_VARIATION_MARGIN</t>
        </is>
      </c>
      <c r="E173" s="7" t="inlineStr">
        <is>
          <t>MCX_VARIATION_MARGIN</t>
        </is>
      </c>
      <c r="F173" s="7" t="inlineStr">
        <is>
          <t>PNL</t>
        </is>
      </c>
      <c r="G173" s="7" t="inlineStr">
        <is>
          <t>INR</t>
        </is>
      </c>
      <c r="H173" s="11" t="n">
        <v>44671</v>
      </c>
      <c r="I173" s="11" t="n">
        <v>44679</v>
      </c>
      <c r="J173" s="11" t="n">
        <v>44679</v>
      </c>
      <c r="K173" s="11" t="n">
        <v>44679</v>
      </c>
      <c r="L173" s="7" t="inlineStr">
        <is>
          <t>roll following on the LME panel calendar</t>
        </is>
      </c>
      <c r="N173" s="7" t="inlineStr">
        <is>
          <t>PROXY</t>
        </is>
      </c>
      <c r="O173" s="9" t="n">
        <v>1374416.53</v>
      </c>
      <c r="P173" s="9" t="n">
        <v>1374416.53</v>
      </c>
      <c r="U173" s="7" t="inlineStr">
        <is>
          <t>DERIVED_IN_WORKBOOK</t>
        </is>
      </c>
      <c r="V173" s="8">
        <f>SUMIFS(Cashflows!$R$1043:$R$1393,Cashflows!$B$1043:$B$1393,$C173,Cashflows!$C$1043:$C$1393,$K173)</f>
        <v/>
      </c>
      <c r="W173" s="8">
        <f>IF($G173="INR",1,INDEX(Market_Daily!$F$6:$F$256,MATCH($K173,Market_Daily!$A$6:$A$256,0)))</f>
        <v/>
      </c>
      <c r="X173" s="8">
        <f>$V173*$W173</f>
        <v/>
      </c>
      <c r="Y173" s="18">
        <f>$X173-$P173</f>
        <v/>
      </c>
      <c r="Z173" s="8">
        <f>IF(ABS($Y173)&lt;=tol_cashflow_inr,"PASS","FAIL")</f>
        <v/>
      </c>
      <c r="AA173" s="7" t="inlineStr">
        <is>
          <t>direction x lots x lot_kg x (F(s) - F(s-1))</t>
        </is>
      </c>
    </row>
    <row r="174">
      <c r="A174" s="7" t="inlineStr">
        <is>
          <t>T01</t>
        </is>
      </c>
      <c r="B174" s="7" t="inlineStr">
        <is>
          <t>MCX:T01-MCX-4</t>
        </is>
      </c>
      <c r="C174" s="7" t="inlineStr">
        <is>
          <t>T01-MCX-4</t>
        </is>
      </c>
      <c r="D174" s="7" t="inlineStr">
        <is>
          <t>MCX_INITIAL_MARGIN</t>
        </is>
      </c>
      <c r="E174" s="7" t="inlineStr">
        <is>
          <t>MCX_INITIAL_MARGIN</t>
        </is>
      </c>
      <c r="F174" s="7" t="inlineStr">
        <is>
          <t>BS</t>
        </is>
      </c>
      <c r="G174" s="7" t="inlineStr">
        <is>
          <t>INR</t>
        </is>
      </c>
      <c r="H174" s="11" t="n">
        <v>44671</v>
      </c>
      <c r="I174" s="11" t="n">
        <v>44680</v>
      </c>
      <c r="J174" s="11" t="n">
        <v>44680</v>
      </c>
      <c r="K174" s="11" t="n">
        <v>44680</v>
      </c>
      <c r="L174" s="7" t="inlineStr">
        <is>
          <t>roll following on the LME panel calendar</t>
        </is>
      </c>
      <c r="N174" s="7" t="inlineStr">
        <is>
          <t>PROXY</t>
        </is>
      </c>
      <c r="O174" s="9" t="n">
        <v>135271.38</v>
      </c>
      <c r="P174" s="9" t="n">
        <v>135271.38</v>
      </c>
      <c r="U174" s="7" t="inlineStr">
        <is>
          <t>DERIVED_IN_WORKBOOK</t>
        </is>
      </c>
      <c r="V174" s="8">
        <f>-SUMIFS(Cashflows!$W$1043:$W$1393,Cashflows!$B$1043:$B$1393,$C174,Cashflows!$C$1043:$C$1393,$K174)</f>
        <v/>
      </c>
      <c r="W174" s="8">
        <f>IF($G174="INR",1,INDEX(Market_Daily!$F$6:$F$256,MATCH($K174,Market_Daily!$A$6:$A$256,0)))</f>
        <v/>
      </c>
      <c r="X174" s="8">
        <f>$V174*$W174</f>
        <v/>
      </c>
      <c r="Y174" s="18">
        <f>$X174-$P174</f>
        <v/>
      </c>
      <c r="Z174" s="8">
        <f>IF(ABS($Y174)&lt;=tol_cashflow_inr,"PASS","FAIL")</f>
        <v/>
      </c>
      <c r="AA174" s="7" t="inlineStr">
        <is>
          <t>-d(lots x lot_kg x F(s) x mcx_al_margin_used_frac)</t>
        </is>
      </c>
    </row>
    <row r="175">
      <c r="A175" s="7" t="inlineStr">
        <is>
          <t>T01</t>
        </is>
      </c>
      <c r="B175" s="7" t="inlineStr">
        <is>
          <t>MCX:T01-MCX-4</t>
        </is>
      </c>
      <c r="C175" s="7" t="inlineStr">
        <is>
          <t>T01-MCX-4</t>
        </is>
      </c>
      <c r="D175" s="7" t="inlineStr">
        <is>
          <t>MCX_VARIATION_MARGIN</t>
        </is>
      </c>
      <c r="E175" s="7" t="inlineStr">
        <is>
          <t>MCX_VARIATION_MARGIN</t>
        </is>
      </c>
      <c r="F175" s="7" t="inlineStr">
        <is>
          <t>PNL</t>
        </is>
      </c>
      <c r="G175" s="7" t="inlineStr">
        <is>
          <t>INR</t>
        </is>
      </c>
      <c r="H175" s="11" t="n">
        <v>44671</v>
      </c>
      <c r="I175" s="11" t="n">
        <v>44680</v>
      </c>
      <c r="J175" s="11" t="n">
        <v>44680</v>
      </c>
      <c r="K175" s="11" t="n">
        <v>44680</v>
      </c>
      <c r="L175" s="7" t="inlineStr">
        <is>
          <t>roll following on the LME panel calendar</t>
        </is>
      </c>
      <c r="N175" s="7" t="inlineStr">
        <is>
          <t>PROXY</t>
        </is>
      </c>
      <c r="O175" s="9" t="n">
        <v>1352713.83</v>
      </c>
      <c r="P175" s="9" t="n">
        <v>1352713.83</v>
      </c>
      <c r="U175" s="7" t="inlineStr">
        <is>
          <t>DERIVED_IN_WORKBOOK</t>
        </is>
      </c>
      <c r="V175" s="8">
        <f>SUMIFS(Cashflows!$R$1043:$R$1393,Cashflows!$B$1043:$B$1393,$C175,Cashflows!$C$1043:$C$1393,$K175)</f>
        <v/>
      </c>
      <c r="W175" s="8">
        <f>IF($G175="INR",1,INDEX(Market_Daily!$F$6:$F$256,MATCH($K175,Market_Daily!$A$6:$A$256,0)))</f>
        <v/>
      </c>
      <c r="X175" s="8">
        <f>$V175*$W175</f>
        <v/>
      </c>
      <c r="Y175" s="18">
        <f>$X175-$P175</f>
        <v/>
      </c>
      <c r="Z175" s="8">
        <f>IF(ABS($Y175)&lt;=tol_cashflow_inr,"PASS","FAIL")</f>
        <v/>
      </c>
      <c r="AA175" s="7" t="inlineStr">
        <is>
          <t>direction x lots x lot_kg x (F(s) - F(s-1))</t>
        </is>
      </c>
    </row>
    <row r="176">
      <c r="A176" s="7" t="inlineStr">
        <is>
          <t>T01</t>
        </is>
      </c>
      <c r="B176" s="7" t="inlineStr">
        <is>
          <t>MCX:T01-MCX-4</t>
        </is>
      </c>
      <c r="C176" s="7" t="inlineStr">
        <is>
          <t>T01-MCX-4</t>
        </is>
      </c>
      <c r="D176" s="7" t="inlineStr">
        <is>
          <t>MCX_INITIAL_MARGIN</t>
        </is>
      </c>
      <c r="E176" s="7" t="inlineStr">
        <is>
          <t>MCX_INITIAL_MARGIN</t>
        </is>
      </c>
      <c r="F176" s="7" t="inlineStr">
        <is>
          <t>BS</t>
        </is>
      </c>
      <c r="G176" s="7" t="inlineStr">
        <is>
          <t>INR</t>
        </is>
      </c>
      <c r="H176" s="11" t="n">
        <v>44671</v>
      </c>
      <c r="I176" s="11" t="n">
        <v>44684</v>
      </c>
      <c r="J176" s="11" t="n">
        <v>44684</v>
      </c>
      <c r="K176" s="11" t="n">
        <v>44684</v>
      </c>
      <c r="L176" s="7" t="inlineStr">
        <is>
          <t>roll following on the LME panel calendar</t>
        </is>
      </c>
      <c r="N176" s="7" t="inlineStr">
        <is>
          <t>PROXY</t>
        </is>
      </c>
      <c r="O176" s="9" t="n">
        <v>518968.13</v>
      </c>
      <c r="P176" s="9" t="n">
        <v>518968.13</v>
      </c>
      <c r="U176" s="7" t="inlineStr">
        <is>
          <t>DERIVED_IN_WORKBOOK</t>
        </is>
      </c>
      <c r="V176" s="8">
        <f>-SUMIFS(Cashflows!$W$1043:$W$1393,Cashflows!$B$1043:$B$1393,$C176,Cashflows!$C$1043:$C$1393,$K176)</f>
        <v/>
      </c>
      <c r="W176" s="8">
        <f>IF($G176="INR",1,INDEX(Market_Daily!$F$6:$F$256,MATCH($K176,Market_Daily!$A$6:$A$256,0)))</f>
        <v/>
      </c>
      <c r="X176" s="8">
        <f>$V176*$W176</f>
        <v/>
      </c>
      <c r="Y176" s="18">
        <f>$X176-$P176</f>
        <v/>
      </c>
      <c r="Z176" s="8">
        <f>IF(ABS($Y176)&lt;=tol_cashflow_inr,"PASS","FAIL")</f>
        <v/>
      </c>
      <c r="AA176" s="7" t="inlineStr">
        <is>
          <t>-d(lots x lot_kg x F(s) x mcx_al_margin_used_frac)</t>
        </is>
      </c>
    </row>
    <row r="177">
      <c r="A177" s="7" t="inlineStr">
        <is>
          <t>T01</t>
        </is>
      </c>
      <c r="B177" s="7" t="inlineStr">
        <is>
          <t>MCX:T01-MCX-4</t>
        </is>
      </c>
      <c r="C177" s="7" t="inlineStr">
        <is>
          <t>T01-MCX-4</t>
        </is>
      </c>
      <c r="D177" s="7" t="inlineStr">
        <is>
          <t>MCX_VARIATION_MARGIN</t>
        </is>
      </c>
      <c r="E177" s="7" t="inlineStr">
        <is>
          <t>MCX_VARIATION_MARGIN</t>
        </is>
      </c>
      <c r="F177" s="7" t="inlineStr">
        <is>
          <t>PNL</t>
        </is>
      </c>
      <c r="G177" s="7" t="inlineStr">
        <is>
          <t>INR</t>
        </is>
      </c>
      <c r="H177" s="11" t="n">
        <v>44671</v>
      </c>
      <c r="I177" s="11" t="n">
        <v>44684</v>
      </c>
      <c r="J177" s="11" t="n">
        <v>44684</v>
      </c>
      <c r="K177" s="11" t="n">
        <v>44684</v>
      </c>
      <c r="L177" s="7" t="inlineStr">
        <is>
          <t>roll following on the LME panel calendar</t>
        </is>
      </c>
      <c r="N177" s="7" t="inlineStr">
        <is>
          <t>PROXY</t>
        </is>
      </c>
      <c r="O177" s="9" t="n">
        <v>5189681.29</v>
      </c>
      <c r="P177" s="9" t="n">
        <v>5189681.29</v>
      </c>
      <c r="U177" s="7" t="inlineStr">
        <is>
          <t>DERIVED_IN_WORKBOOK</t>
        </is>
      </c>
      <c r="V177" s="8">
        <f>SUMIFS(Cashflows!$R$1043:$R$1393,Cashflows!$B$1043:$B$1393,$C177,Cashflows!$C$1043:$C$1393,$K177)</f>
        <v/>
      </c>
      <c r="W177" s="8">
        <f>IF($G177="INR",1,INDEX(Market_Daily!$F$6:$F$256,MATCH($K177,Market_Daily!$A$6:$A$256,0)))</f>
        <v/>
      </c>
      <c r="X177" s="8">
        <f>$V177*$W177</f>
        <v/>
      </c>
      <c r="Y177" s="18">
        <f>$X177-$P177</f>
        <v/>
      </c>
      <c r="Z177" s="8">
        <f>IF(ABS($Y177)&lt;=tol_cashflow_inr,"PASS","FAIL")</f>
        <v/>
      </c>
      <c r="AA177" s="7" t="inlineStr">
        <is>
          <t>direction x lots x lot_kg x (F(s) - F(s-1))</t>
        </is>
      </c>
    </row>
    <row r="178">
      <c r="A178" s="7" t="inlineStr">
        <is>
          <t>T01</t>
        </is>
      </c>
      <c r="B178" s="7" t="inlineStr">
        <is>
          <t>MCX:T01-MCX-4</t>
        </is>
      </c>
      <c r="C178" s="7" t="inlineStr">
        <is>
          <t>T01-MCX-4</t>
        </is>
      </c>
      <c r="D178" s="7" t="inlineStr">
        <is>
          <t>MCX_INITIAL_MARGIN</t>
        </is>
      </c>
      <c r="E178" s="7" t="inlineStr">
        <is>
          <t>MCX_INITIAL_MARGIN</t>
        </is>
      </c>
      <c r="F178" s="7" t="inlineStr">
        <is>
          <t>BS</t>
        </is>
      </c>
      <c r="G178" s="7" t="inlineStr">
        <is>
          <t>INR</t>
        </is>
      </c>
      <c r="H178" s="11" t="n">
        <v>44671</v>
      </c>
      <c r="I178" s="11" t="n">
        <v>44685</v>
      </c>
      <c r="J178" s="11" t="n">
        <v>44685</v>
      </c>
      <c r="K178" s="11" t="n">
        <v>44685</v>
      </c>
      <c r="L178" s="7" t="inlineStr">
        <is>
          <t>roll following on the LME panel calendar</t>
        </is>
      </c>
      <c r="N178" s="7" t="inlineStr">
        <is>
          <t>PROXY</t>
        </is>
      </c>
      <c r="O178" s="9" t="n">
        <v>-37609.31</v>
      </c>
      <c r="P178" s="9" t="n">
        <v>-37609.31</v>
      </c>
      <c r="U178" s="7" t="inlineStr">
        <is>
          <t>DERIVED_IN_WORKBOOK</t>
        </is>
      </c>
      <c r="V178" s="8">
        <f>-SUMIFS(Cashflows!$W$1043:$W$1393,Cashflows!$B$1043:$B$1393,$C178,Cashflows!$C$1043:$C$1393,$K178)</f>
        <v/>
      </c>
      <c r="W178" s="8">
        <f>IF($G178="INR",1,INDEX(Market_Daily!$F$6:$F$256,MATCH($K178,Market_Daily!$A$6:$A$256,0)))</f>
        <v/>
      </c>
      <c r="X178" s="8">
        <f>$V178*$W178</f>
        <v/>
      </c>
      <c r="Y178" s="18">
        <f>$X178-$P178</f>
        <v/>
      </c>
      <c r="Z178" s="8">
        <f>IF(ABS($Y178)&lt;=tol_cashflow_inr,"PASS","FAIL")</f>
        <v/>
      </c>
      <c r="AA178" s="7" t="inlineStr">
        <is>
          <t>-d(lots x lot_kg x F(s) x mcx_al_margin_used_frac)</t>
        </is>
      </c>
    </row>
    <row r="179">
      <c r="A179" s="7" t="inlineStr">
        <is>
          <t>T01</t>
        </is>
      </c>
      <c r="B179" s="7" t="inlineStr">
        <is>
          <t>MCX:T01-MCX-4</t>
        </is>
      </c>
      <c r="C179" s="7" t="inlineStr">
        <is>
          <t>T01-MCX-4</t>
        </is>
      </c>
      <c r="D179" s="7" t="inlineStr">
        <is>
          <t>MCX_VARIATION_MARGIN</t>
        </is>
      </c>
      <c r="E179" s="7" t="inlineStr">
        <is>
          <t>MCX_VARIATION_MARGIN</t>
        </is>
      </c>
      <c r="F179" s="7" t="inlineStr">
        <is>
          <t>PNL</t>
        </is>
      </c>
      <c r="G179" s="7" t="inlineStr">
        <is>
          <t>INR</t>
        </is>
      </c>
      <c r="H179" s="11" t="n">
        <v>44671</v>
      </c>
      <c r="I179" s="11" t="n">
        <v>44685</v>
      </c>
      <c r="J179" s="11" t="n">
        <v>44685</v>
      </c>
      <c r="K179" s="11" t="n">
        <v>44685</v>
      </c>
      <c r="L179" s="7" t="inlineStr">
        <is>
          <t>roll following on the LME panel calendar</t>
        </is>
      </c>
      <c r="N179" s="7" t="inlineStr">
        <is>
          <t>PROXY</t>
        </is>
      </c>
      <c r="O179" s="9" t="n">
        <v>-376093.05</v>
      </c>
      <c r="P179" s="9" t="n">
        <v>-376093.05</v>
      </c>
      <c r="U179" s="7" t="inlineStr">
        <is>
          <t>DERIVED_IN_WORKBOOK</t>
        </is>
      </c>
      <c r="V179" s="8">
        <f>SUMIFS(Cashflows!$R$1043:$R$1393,Cashflows!$B$1043:$B$1393,$C179,Cashflows!$C$1043:$C$1393,$K179)</f>
        <v/>
      </c>
      <c r="W179" s="8">
        <f>IF($G179="INR",1,INDEX(Market_Daily!$F$6:$F$256,MATCH($K179,Market_Daily!$A$6:$A$256,0)))</f>
        <v/>
      </c>
      <c r="X179" s="8">
        <f>$V179*$W179</f>
        <v/>
      </c>
      <c r="Y179" s="18">
        <f>$X179-$P179</f>
        <v/>
      </c>
      <c r="Z179" s="8">
        <f>IF(ABS($Y179)&lt;=tol_cashflow_inr,"PASS","FAIL")</f>
        <v/>
      </c>
      <c r="AA179" s="7" t="inlineStr">
        <is>
          <t>direction x lots x lot_kg x (F(s) - F(s-1))</t>
        </is>
      </c>
    </row>
    <row r="180">
      <c r="A180" s="7" t="inlineStr">
        <is>
          <t>T01</t>
        </is>
      </c>
      <c r="B180" s="7" t="inlineStr">
        <is>
          <t>MCX:T01-MCX-4</t>
        </is>
      </c>
      <c r="C180" s="7" t="inlineStr">
        <is>
          <t>T01-MCX-4</t>
        </is>
      </c>
      <c r="D180" s="7" t="inlineStr">
        <is>
          <t>MCX_INITIAL_MARGIN</t>
        </is>
      </c>
      <c r="E180" s="7" t="inlineStr">
        <is>
          <t>MCX_INITIAL_MARGIN</t>
        </is>
      </c>
      <c r="F180" s="7" t="inlineStr">
        <is>
          <t>BS</t>
        </is>
      </c>
      <c r="G180" s="7" t="inlineStr">
        <is>
          <t>INR</t>
        </is>
      </c>
      <c r="H180" s="11" t="n">
        <v>44671</v>
      </c>
      <c r="I180" s="11" t="n">
        <v>44686</v>
      </c>
      <c r="J180" s="11" t="n">
        <v>44686</v>
      </c>
      <c r="K180" s="11" t="n">
        <v>44686</v>
      </c>
      <c r="L180" s="7" t="inlineStr">
        <is>
          <t>roll following on the LME panel calendar</t>
        </is>
      </c>
      <c r="N180" s="7" t="inlineStr">
        <is>
          <t>PROXY</t>
        </is>
      </c>
      <c r="O180" s="9" t="n">
        <v>61432.93</v>
      </c>
      <c r="P180" s="9" t="n">
        <v>61432.93</v>
      </c>
      <c r="U180" s="7" t="inlineStr">
        <is>
          <t>DERIVED_IN_WORKBOOK</t>
        </is>
      </c>
      <c r="V180" s="8">
        <f>-SUMIFS(Cashflows!$W$1043:$W$1393,Cashflows!$B$1043:$B$1393,$C180,Cashflows!$C$1043:$C$1393,$K180)</f>
        <v/>
      </c>
      <c r="W180" s="8">
        <f>IF($G180="INR",1,INDEX(Market_Daily!$F$6:$F$256,MATCH($K180,Market_Daily!$A$6:$A$256,0)))</f>
        <v/>
      </c>
      <c r="X180" s="8">
        <f>$V180*$W180</f>
        <v/>
      </c>
      <c r="Y180" s="18">
        <f>$X180-$P180</f>
        <v/>
      </c>
      <c r="Z180" s="8">
        <f>IF(ABS($Y180)&lt;=tol_cashflow_inr,"PASS","FAIL")</f>
        <v/>
      </c>
      <c r="AA180" s="7" t="inlineStr">
        <is>
          <t>-d(lots x lot_kg x F(s) x mcx_al_margin_used_frac)</t>
        </is>
      </c>
    </row>
    <row r="181">
      <c r="A181" s="7" t="inlineStr">
        <is>
          <t>T01</t>
        </is>
      </c>
      <c r="B181" s="7" t="inlineStr">
        <is>
          <t>MCX:T01-MCX-4</t>
        </is>
      </c>
      <c r="C181" s="7" t="inlineStr">
        <is>
          <t>T01-MCX-4</t>
        </is>
      </c>
      <c r="D181" s="7" t="inlineStr">
        <is>
          <t>MCX_VARIATION_MARGIN</t>
        </is>
      </c>
      <c r="E181" s="7" t="inlineStr">
        <is>
          <t>MCX_VARIATION_MARGIN</t>
        </is>
      </c>
      <c r="F181" s="7" t="inlineStr">
        <is>
          <t>PNL</t>
        </is>
      </c>
      <c r="G181" s="7" t="inlineStr">
        <is>
          <t>INR</t>
        </is>
      </c>
      <c r="H181" s="11" t="n">
        <v>44671</v>
      </c>
      <c r="I181" s="11" t="n">
        <v>44686</v>
      </c>
      <c r="J181" s="11" t="n">
        <v>44686</v>
      </c>
      <c r="K181" s="11" t="n">
        <v>44686</v>
      </c>
      <c r="L181" s="7" t="inlineStr">
        <is>
          <t>roll following on the LME panel calendar</t>
        </is>
      </c>
      <c r="N181" s="7" t="inlineStr">
        <is>
          <t>PROXY</t>
        </is>
      </c>
      <c r="O181" s="9" t="n">
        <v>614329.3199999999</v>
      </c>
      <c r="P181" s="9" t="n">
        <v>614329.3199999999</v>
      </c>
      <c r="U181" s="7" t="inlineStr">
        <is>
          <t>DERIVED_IN_WORKBOOK</t>
        </is>
      </c>
      <c r="V181" s="8">
        <f>SUMIFS(Cashflows!$R$1043:$R$1393,Cashflows!$B$1043:$B$1393,$C181,Cashflows!$C$1043:$C$1393,$K181)</f>
        <v/>
      </c>
      <c r="W181" s="8">
        <f>IF($G181="INR",1,INDEX(Market_Daily!$F$6:$F$256,MATCH($K181,Market_Daily!$A$6:$A$256,0)))</f>
        <v/>
      </c>
      <c r="X181" s="8">
        <f>$V181*$W181</f>
        <v/>
      </c>
      <c r="Y181" s="18">
        <f>$X181-$P181</f>
        <v/>
      </c>
      <c r="Z181" s="8">
        <f>IF(ABS($Y181)&lt;=tol_cashflow_inr,"PASS","FAIL")</f>
        <v/>
      </c>
      <c r="AA181" s="7" t="inlineStr">
        <is>
          <t>direction x lots x lot_kg x (F(s) - F(s-1))</t>
        </is>
      </c>
    </row>
    <row r="182">
      <c r="A182" s="7" t="inlineStr">
        <is>
          <t>T01</t>
        </is>
      </c>
      <c r="B182" s="7" t="inlineStr">
        <is>
          <t>MCX:T01-MCX-4</t>
        </is>
      </c>
      <c r="C182" s="7" t="inlineStr">
        <is>
          <t>T01-MCX-4</t>
        </is>
      </c>
      <c r="D182" s="7" t="inlineStr">
        <is>
          <t>MCX_INITIAL_MARGIN</t>
        </is>
      </c>
      <c r="E182" s="7" t="inlineStr">
        <is>
          <t>MCX_INITIAL_MARGIN</t>
        </is>
      </c>
      <c r="F182" s="7" t="inlineStr">
        <is>
          <t>BS</t>
        </is>
      </c>
      <c r="G182" s="7" t="inlineStr">
        <is>
          <t>INR</t>
        </is>
      </c>
      <c r="H182" s="11" t="n">
        <v>44671</v>
      </c>
      <c r="I182" s="11" t="n">
        <v>44687</v>
      </c>
      <c r="J182" s="11" t="n">
        <v>44687</v>
      </c>
      <c r="K182" s="11" t="n">
        <v>44687</v>
      </c>
      <c r="L182" s="7" t="inlineStr">
        <is>
          <t>roll following on the LME panel calendar</t>
        </is>
      </c>
      <c r="N182" s="7" t="inlineStr">
        <is>
          <t>PROXY</t>
        </is>
      </c>
      <c r="O182" s="9" t="n">
        <v>254938.26</v>
      </c>
      <c r="P182" s="9" t="n">
        <v>254938.26</v>
      </c>
      <c r="U182" s="7" t="inlineStr">
        <is>
          <t>DERIVED_IN_WORKBOOK</t>
        </is>
      </c>
      <c r="V182" s="8">
        <f>-SUMIFS(Cashflows!$W$1043:$W$1393,Cashflows!$B$1043:$B$1393,$C182,Cashflows!$C$1043:$C$1393,$K182)</f>
        <v/>
      </c>
      <c r="W182" s="8">
        <f>IF($G182="INR",1,INDEX(Market_Daily!$F$6:$F$256,MATCH($K182,Market_Daily!$A$6:$A$256,0)))</f>
        <v/>
      </c>
      <c r="X182" s="8">
        <f>$V182*$W182</f>
        <v/>
      </c>
      <c r="Y182" s="18">
        <f>$X182-$P182</f>
        <v/>
      </c>
      <c r="Z182" s="8">
        <f>IF(ABS($Y182)&lt;=tol_cashflow_inr,"PASS","FAIL")</f>
        <v/>
      </c>
      <c r="AA182" s="7" t="inlineStr">
        <is>
          <t>-d(lots x lot_kg x F(s) x mcx_al_margin_used_frac)</t>
        </is>
      </c>
    </row>
    <row r="183">
      <c r="A183" s="7" t="inlineStr">
        <is>
          <t>T01</t>
        </is>
      </c>
      <c r="B183" s="7" t="inlineStr">
        <is>
          <t>MCX:T01-MCX-4</t>
        </is>
      </c>
      <c r="C183" s="7" t="inlineStr">
        <is>
          <t>T01-MCX-4</t>
        </is>
      </c>
      <c r="D183" s="7" t="inlineStr">
        <is>
          <t>MCX_VARIATION_MARGIN</t>
        </is>
      </c>
      <c r="E183" s="7" t="inlineStr">
        <is>
          <t>MCX_VARIATION_MARGIN</t>
        </is>
      </c>
      <c r="F183" s="7" t="inlineStr">
        <is>
          <t>PNL</t>
        </is>
      </c>
      <c r="G183" s="7" t="inlineStr">
        <is>
          <t>INR</t>
        </is>
      </c>
      <c r="H183" s="11" t="n">
        <v>44671</v>
      </c>
      <c r="I183" s="11" t="n">
        <v>44687</v>
      </c>
      <c r="J183" s="11" t="n">
        <v>44687</v>
      </c>
      <c r="K183" s="11" t="n">
        <v>44687</v>
      </c>
      <c r="L183" s="7" t="inlineStr">
        <is>
          <t>roll following on the LME panel calendar</t>
        </is>
      </c>
      <c r="N183" s="7" t="inlineStr">
        <is>
          <t>PROXY</t>
        </is>
      </c>
      <c r="O183" s="9" t="n">
        <v>2549382.56</v>
      </c>
      <c r="P183" s="9" t="n">
        <v>2549382.56</v>
      </c>
      <c r="U183" s="7" t="inlineStr">
        <is>
          <t>DERIVED_IN_WORKBOOK</t>
        </is>
      </c>
      <c r="V183" s="8">
        <f>SUMIFS(Cashflows!$R$1043:$R$1393,Cashflows!$B$1043:$B$1393,$C183,Cashflows!$C$1043:$C$1393,$K183)</f>
        <v/>
      </c>
      <c r="W183" s="8">
        <f>IF($G183="INR",1,INDEX(Market_Daily!$F$6:$F$256,MATCH($K183,Market_Daily!$A$6:$A$256,0)))</f>
        <v/>
      </c>
      <c r="X183" s="8">
        <f>$V183*$W183</f>
        <v/>
      </c>
      <c r="Y183" s="18">
        <f>$X183-$P183</f>
        <v/>
      </c>
      <c r="Z183" s="8">
        <f>IF(ABS($Y183)&lt;=tol_cashflow_inr,"PASS","FAIL")</f>
        <v/>
      </c>
      <c r="AA183" s="7" t="inlineStr">
        <is>
          <t>direction x lots x lot_kg x (F(s) - F(s-1))</t>
        </is>
      </c>
    </row>
    <row r="184">
      <c r="A184" s="7" t="inlineStr">
        <is>
          <t>T01</t>
        </is>
      </c>
      <c r="B184" s="7" t="inlineStr">
        <is>
          <t>DUTY:L1</t>
        </is>
      </c>
      <c r="C184" s="7" t="inlineStr">
        <is>
          <t>L1</t>
        </is>
      </c>
      <c r="D184" s="7" t="inlineStr">
        <is>
          <t>CUSTOMS_DUTY</t>
        </is>
      </c>
      <c r="E184" s="7" t="inlineStr">
        <is>
          <t>CUSTOMS_DUTY</t>
        </is>
      </c>
      <c r="F184" s="7" t="inlineStr">
        <is>
          <t>PNL</t>
        </is>
      </c>
      <c r="G184" s="7" t="inlineStr">
        <is>
          <t>INR</t>
        </is>
      </c>
      <c r="H184" s="11" t="n">
        <v>44628</v>
      </c>
      <c r="I184" s="11" t="n">
        <v>44690</v>
      </c>
      <c r="J184" s="11" t="n">
        <v>44690</v>
      </c>
      <c r="K184" s="11" t="n">
        <v>44690</v>
      </c>
      <c r="L184" s="7" t="inlineStr">
        <is>
          <t>roll following on the LME panel calendar</t>
        </is>
      </c>
      <c r="N184" s="7" t="inlineStr">
        <is>
          <t>DIRECT</t>
        </is>
      </c>
      <c r="O184" s="9" t="n">
        <v>-4353562.71</v>
      </c>
      <c r="P184" s="9" t="n">
        <v>-4353562.71</v>
      </c>
      <c r="U184" s="7" t="inlineStr">
        <is>
          <t>PYTHON_LIFECYCLE</t>
        </is>
      </c>
      <c r="V184" s="8">
        <f>$O184</f>
        <v/>
      </c>
      <c r="W184" s="8">
        <f>IF($G184="INR",1,INDEX(Market_Daily!$F$6:$F$256,MATCH($K184,Market_Daily!$A$6:$A$256,0)))</f>
        <v/>
      </c>
      <c r="X184" s="8">
        <f>$V184*$W184</f>
        <v/>
      </c>
      <c r="Y184" s="18">
        <f>$X184-$P184</f>
        <v/>
      </c>
      <c r="Z184" s="8">
        <f>IF(ABS($Y184)&lt;=tol_cashflow_inr,"PASS","FAIL")</f>
        <v/>
      </c>
      <c r="AA184" s="7" t="inlineStr">
        <is>
          <t>-assessable_inr x bcd_scrap_hs7602 x (1 + sws_rate_on_bcd)</t>
        </is>
      </c>
    </row>
    <row r="185">
      <c r="A185" s="7" t="inlineStr">
        <is>
          <t>T01</t>
        </is>
      </c>
      <c r="B185" s="7" t="inlineStr">
        <is>
          <t>FREIGHT:L1</t>
        </is>
      </c>
      <c r="C185" s="7" t="inlineStr">
        <is>
          <t>L1</t>
        </is>
      </c>
      <c r="D185" s="7" t="inlineStr">
        <is>
          <t>FREIGHT</t>
        </is>
      </c>
      <c r="E185" s="7" t="inlineStr">
        <is>
          <t>FREIGHT</t>
        </is>
      </c>
      <c r="F185" s="7" t="inlineStr">
        <is>
          <t>PNL</t>
        </is>
      </c>
      <c r="G185" s="7" t="inlineStr">
        <is>
          <t>USD</t>
        </is>
      </c>
      <c r="H185" s="11" t="n">
        <v>44628</v>
      </c>
      <c r="I185" s="11" t="n">
        <v>44638</v>
      </c>
      <c r="J185" s="11" t="n">
        <v>44690</v>
      </c>
      <c r="K185" s="11" t="n">
        <v>44690</v>
      </c>
      <c r="L185" s="7" t="inlineStr">
        <is>
          <t>roll following on the LME panel calendar</t>
        </is>
      </c>
      <c r="N185" s="7" t="inlineStr">
        <is>
          <t>ASSUMPTION</t>
        </is>
      </c>
      <c r="O185" s="9" t="n">
        <v>-86800</v>
      </c>
      <c r="P185" s="9" t="n">
        <v>-6719543.88</v>
      </c>
      <c r="U185" s="7" t="inlineStr">
        <is>
          <t>PYTHON_LIFECYCLE</t>
        </is>
      </c>
      <c r="V185" s="8">
        <f>$O185</f>
        <v/>
      </c>
      <c r="W185" s="8">
        <f>IF($G185="INR",1,INDEX(Market_Daily!$F$6:$F$256,MATCH($K185,Market_Daily!$A$6:$A$256,0)))</f>
        <v/>
      </c>
      <c r="X185" s="8">
        <f>$V185*$W185</f>
        <v/>
      </c>
      <c r="Y185" s="18">
        <f>$X185-$P185</f>
        <v/>
      </c>
      <c r="Z185" s="8">
        <f>IF(ABS($Y185)&lt;=tol_cashflow_inr,"PASS","FAIL")</f>
        <v/>
      </c>
      <c r="AA185" s="7" t="inlineStr">
        <is>
          <t>-boxes x (fixture rate once booked, else market box rate)</t>
        </is>
      </c>
    </row>
    <row r="186">
      <c r="A186" s="7" t="inlineStr">
        <is>
          <t>T01</t>
        </is>
      </c>
      <c r="B186" s="7" t="inlineStr">
        <is>
          <t>IGST:L1</t>
        </is>
      </c>
      <c r="C186" s="7" t="inlineStr">
        <is>
          <t>L1</t>
        </is>
      </c>
      <c r="D186" s="7" t="inlineStr">
        <is>
          <t>IGST_IMPORT</t>
        </is>
      </c>
      <c r="E186" s="7" t="inlineStr">
        <is>
          <t>IGST_IMPORT</t>
        </is>
      </c>
      <c r="F186" s="7" t="inlineStr">
        <is>
          <t>BS</t>
        </is>
      </c>
      <c r="G186" s="7" t="inlineStr">
        <is>
          <t>INR</t>
        </is>
      </c>
      <c r="H186" s="11" t="n">
        <v>44628</v>
      </c>
      <c r="I186" s="11" t="n">
        <v>44690</v>
      </c>
      <c r="J186" s="11" t="n">
        <v>44690</v>
      </c>
      <c r="K186" s="11" t="n">
        <v>44690</v>
      </c>
      <c r="L186" s="7" t="inlineStr">
        <is>
          <t>roll following on the LME panel calendar</t>
        </is>
      </c>
      <c r="N186" s="7" t="inlineStr">
        <is>
          <t>DIRECT</t>
        </is>
      </c>
      <c r="O186" s="9" t="n">
        <v>-29279688.1</v>
      </c>
      <c r="P186" s="9" t="n">
        <v>-29279688.1</v>
      </c>
      <c r="U186" s="7" t="inlineStr">
        <is>
          <t>PYTHON_LIFECYCLE</t>
        </is>
      </c>
      <c r="V186" s="8">
        <f>$O186</f>
        <v/>
      </c>
      <c r="W186" s="8">
        <f>IF($G186="INR",1,INDEX(Market_Daily!$F$6:$F$256,MATCH($K186,Market_Daily!$A$6:$A$256,0)))</f>
        <v/>
      </c>
      <c r="X186" s="8">
        <f>$V186*$W186</f>
        <v/>
      </c>
      <c r="Y186" s="18">
        <f>$X186-$P186</f>
        <v/>
      </c>
      <c r="Z186" s="8">
        <f>IF(ABS($Y186)&lt;=tol_cashflow_inr,"PASS","FAIL")</f>
        <v/>
      </c>
      <c r="AA186" s="7" t="inlineStr">
        <is>
          <t>-(assessable + duty) x igst_rate_hs7602</t>
        </is>
      </c>
    </row>
    <row r="187">
      <c r="A187" s="7" t="inlineStr">
        <is>
          <t>T01</t>
        </is>
      </c>
      <c r="B187" s="7" t="inlineStr">
        <is>
          <t>MCX:T01-MCX-4</t>
        </is>
      </c>
      <c r="C187" s="7" t="inlineStr">
        <is>
          <t>T01-MCX-4</t>
        </is>
      </c>
      <c r="D187" s="7" t="inlineStr">
        <is>
          <t>MCX_INITIAL_MARGIN</t>
        </is>
      </c>
      <c r="E187" s="7" t="inlineStr">
        <is>
          <t>MCX_INITIAL_MARGIN</t>
        </is>
      </c>
      <c r="F187" s="7" t="inlineStr">
        <is>
          <t>BS</t>
        </is>
      </c>
      <c r="G187" s="7" t="inlineStr">
        <is>
          <t>INR</t>
        </is>
      </c>
      <c r="H187" s="11" t="n">
        <v>44671</v>
      </c>
      <c r="I187" s="11" t="n">
        <v>44690</v>
      </c>
      <c r="J187" s="11" t="n">
        <v>44690</v>
      </c>
      <c r="K187" s="11" t="n">
        <v>44690</v>
      </c>
      <c r="L187" s="7" t="inlineStr">
        <is>
          <t>roll following on the LME panel calendar</t>
        </is>
      </c>
      <c r="N187" s="7" t="inlineStr">
        <is>
          <t>PROXY</t>
        </is>
      </c>
      <c r="O187" s="9" t="n">
        <v>11829834.18</v>
      </c>
      <c r="P187" s="9" t="n">
        <v>11829834.18</v>
      </c>
      <c r="U187" s="7" t="inlineStr">
        <is>
          <t>DERIVED_IN_WORKBOOK</t>
        </is>
      </c>
      <c r="V187" s="8">
        <f>-SUMIFS(Cashflows!$W$1043:$W$1393,Cashflows!$B$1043:$B$1393,$C187,Cashflows!$C$1043:$C$1393,$K187)</f>
        <v/>
      </c>
      <c r="W187" s="8">
        <f>IF($G187="INR",1,INDEX(Market_Daily!$F$6:$F$256,MATCH($K187,Market_Daily!$A$6:$A$256,0)))</f>
        <v/>
      </c>
      <c r="X187" s="8">
        <f>$V187*$W187</f>
        <v/>
      </c>
      <c r="Y187" s="18">
        <f>$X187-$P187</f>
        <v/>
      </c>
      <c r="Z187" s="8">
        <f>IF(ABS($Y187)&lt;=tol_cashflow_inr,"PASS","FAIL")</f>
        <v/>
      </c>
      <c r="AA187" s="7" t="inlineStr">
        <is>
          <t>-d(lots x lot_kg x F(s) x mcx_al_margin_used_frac)</t>
        </is>
      </c>
    </row>
    <row r="188">
      <c r="A188" s="7" t="inlineStr">
        <is>
          <t>T01</t>
        </is>
      </c>
      <c r="B188" s="7" t="inlineStr">
        <is>
          <t>MCX:T01-MCX-4</t>
        </is>
      </c>
      <c r="C188" s="7" t="inlineStr">
        <is>
          <t>T01-MCX-4</t>
        </is>
      </c>
      <c r="D188" s="7" t="inlineStr">
        <is>
          <t>MCX_SLIPPAGE</t>
        </is>
      </c>
      <c r="E188" s="7" t="inlineStr">
        <is>
          <t>MCX_SLIPPAGE</t>
        </is>
      </c>
      <c r="F188" s="7" t="inlineStr">
        <is>
          <t>PNL</t>
        </is>
      </c>
      <c r="G188" s="7" t="inlineStr">
        <is>
          <t>INR</t>
        </is>
      </c>
      <c r="H188" s="11" t="n">
        <v>44690</v>
      </c>
      <c r="J188" s="11" t="n">
        <v>44690</v>
      </c>
      <c r="K188" s="11" t="n">
        <v>44690</v>
      </c>
      <c r="L188" s="7" t="inlineStr">
        <is>
          <t>roll following on the LME panel calendar</t>
        </is>
      </c>
      <c r="N188" s="7" t="inlineStr">
        <is>
          <t>ASSUMPTION</t>
        </is>
      </c>
      <c r="O188" s="9" t="n">
        <v>-50000</v>
      </c>
      <c r="P188" s="9" t="n">
        <v>-50000</v>
      </c>
      <c r="U188" s="7" t="inlineStr">
        <is>
          <t>DERIVED_IN_WORKBOOK</t>
        </is>
      </c>
      <c r="V188" s="8">
        <f>SUMIFS(Cashflows!$Z$1043:$Z$1393,Cashflows!$B$1043:$B$1393,$C188,Cashflows!$C$1043:$C$1393,$K188)</f>
        <v/>
      </c>
      <c r="W188" s="8">
        <f>IF($G188="INR",1,INDEX(Market_Daily!$F$6:$F$256,MATCH($K188,Market_Daily!$A$6:$A$256,0)))</f>
        <v/>
      </c>
      <c r="X188" s="8">
        <f>$V188*$W188</f>
        <v/>
      </c>
      <c r="Y188" s="18">
        <f>$X188-$P188</f>
        <v/>
      </c>
      <c r="Z188" s="8">
        <f>IF(ABS($Y188)&lt;=tol_cashflow_inr,"PASS","FAIL")</f>
        <v/>
      </c>
      <c r="AA188" s="7" t="inlineStr">
        <is>
          <t>-lots x lot_kg x mcx_slippage_ticks x tick</t>
        </is>
      </c>
    </row>
    <row r="189">
      <c r="A189" s="7" t="inlineStr">
        <is>
          <t>T01</t>
        </is>
      </c>
      <c r="B189" s="7" t="inlineStr">
        <is>
          <t>MCX:T01-MCX-4</t>
        </is>
      </c>
      <c r="C189" s="7" t="inlineStr">
        <is>
          <t>T01-MCX-4</t>
        </is>
      </c>
      <c r="D189" s="7" t="inlineStr">
        <is>
          <t>MCX_TRANSACTION_COST</t>
        </is>
      </c>
      <c r="E189" s="7" t="inlineStr">
        <is>
          <t>MCX_TRANSACTION_COST</t>
        </is>
      </c>
      <c r="F189" s="7" t="inlineStr">
        <is>
          <t>PNL</t>
        </is>
      </c>
      <c r="G189" s="7" t="inlineStr">
        <is>
          <t>INR</t>
        </is>
      </c>
      <c r="H189" s="11" t="n">
        <v>44690</v>
      </c>
      <c r="I189" s="11" t="n">
        <v>44690</v>
      </c>
      <c r="J189" s="11" t="n">
        <v>44690</v>
      </c>
      <c r="K189" s="11" t="n">
        <v>44690</v>
      </c>
      <c r="L189" s="7" t="inlineStr">
        <is>
          <t>roll following on the LME panel calendar</t>
        </is>
      </c>
      <c r="N189" s="7" t="inlineStr">
        <is>
          <t>ASSUMPTION</t>
        </is>
      </c>
      <c r="O189" s="9" t="n">
        <v>-34152</v>
      </c>
      <c r="P189" s="9" t="n">
        <v>-34152</v>
      </c>
      <c r="U189" s="7" t="inlineStr">
        <is>
          <t>DERIVED_IN_WORKBOOK</t>
        </is>
      </c>
      <c r="V189" s="8">
        <f>SUMIFS(Cashflows!$AA$1043:$AA$1393,Cashflows!$B$1043:$B$1393,$C189,Cashflows!$C$1043:$C$1393,$K189)</f>
        <v/>
      </c>
      <c r="W189" s="8">
        <f>IF($G189="INR",1,INDEX(Market_Daily!$F$6:$F$256,MATCH($K189,Market_Daily!$A$6:$A$256,0)))</f>
        <v/>
      </c>
      <c r="X189" s="8">
        <f>$V189*$W189</f>
        <v/>
      </c>
      <c r="Y189" s="18">
        <f>$X189-$P189</f>
        <v/>
      </c>
      <c r="Z189" s="8">
        <f>IF(ABS($Y189)&lt;=tol_cashflow_inr,"PASS","FAIL")</f>
        <v/>
      </c>
      <c r="AA189" s="7" t="inlineStr">
        <is>
          <t>-lots x lot_kg x fill x mcx_txn_cost_frac</t>
        </is>
      </c>
    </row>
    <row r="190">
      <c r="A190" s="7" t="inlineStr">
        <is>
          <t>T01</t>
        </is>
      </c>
      <c r="B190" s="7" t="inlineStr">
        <is>
          <t>MCX:T01-MCX-4</t>
        </is>
      </c>
      <c r="C190" s="7" t="inlineStr">
        <is>
          <t>T01-MCX-4</t>
        </is>
      </c>
      <c r="D190" s="7" t="inlineStr">
        <is>
          <t>MCX_VARIATION_MARGIN</t>
        </is>
      </c>
      <c r="E190" s="7" t="inlineStr">
        <is>
          <t>MCX_VARIATION_MARGIN</t>
        </is>
      </c>
      <c r="F190" s="7" t="inlineStr">
        <is>
          <t>PNL</t>
        </is>
      </c>
      <c r="G190" s="7" t="inlineStr">
        <is>
          <t>INR</t>
        </is>
      </c>
      <c r="H190" s="11" t="n">
        <v>44671</v>
      </c>
      <c r="I190" s="11" t="n">
        <v>44690</v>
      </c>
      <c r="J190" s="11" t="n">
        <v>44690</v>
      </c>
      <c r="K190" s="11" t="n">
        <v>44690</v>
      </c>
      <c r="L190" s="7" t="inlineStr">
        <is>
          <t>roll following on the LME panel calendar</t>
        </is>
      </c>
      <c r="N190" s="7" t="inlineStr">
        <is>
          <t>PROXY</t>
        </is>
      </c>
      <c r="O190" s="9" t="n">
        <v>4508326.69</v>
      </c>
      <c r="P190" s="9" t="n">
        <v>4508326.69</v>
      </c>
      <c r="U190" s="7" t="inlineStr">
        <is>
          <t>DERIVED_IN_WORKBOOK</t>
        </is>
      </c>
      <c r="V190" s="8">
        <f>SUMIFS(Cashflows!$R$1043:$R$1393,Cashflows!$B$1043:$B$1393,$C190,Cashflows!$C$1043:$C$1393,$K190)</f>
        <v/>
      </c>
      <c r="W190" s="8">
        <f>IF($G190="INR",1,INDEX(Market_Daily!$F$6:$F$256,MATCH($K190,Market_Daily!$A$6:$A$256,0)))</f>
        <v/>
      </c>
      <c r="X190" s="8">
        <f>$V190*$W190</f>
        <v/>
      </c>
      <c r="Y190" s="18">
        <f>$X190-$P190</f>
        <v/>
      </c>
      <c r="Z190" s="8">
        <f>IF(ABS($Y190)&lt;=tol_cashflow_inr,"PASS","FAIL")</f>
        <v/>
      </c>
      <c r="AA190" s="7" t="inlineStr">
        <is>
          <t>direction x lots x lot_kg x (F(s) - F(s-1))</t>
        </is>
      </c>
    </row>
    <row r="191">
      <c r="A191" s="7" t="inlineStr">
        <is>
          <t>T01</t>
        </is>
      </c>
      <c r="B191" s="7" t="inlineStr">
        <is>
          <t>DUTY:L2</t>
        </is>
      </c>
      <c r="C191" s="7" t="inlineStr">
        <is>
          <t>L2</t>
        </is>
      </c>
      <c r="D191" s="7" t="inlineStr">
        <is>
          <t>CUSTOMS_DUTY</t>
        </is>
      </c>
      <c r="E191" s="7" t="inlineStr">
        <is>
          <t>CUSTOMS_DUTY</t>
        </is>
      </c>
      <c r="F191" s="7" t="inlineStr">
        <is>
          <t>PNL</t>
        </is>
      </c>
      <c r="G191" s="7" t="inlineStr">
        <is>
          <t>INR</t>
        </is>
      </c>
      <c r="H191" s="11" t="n">
        <v>44628</v>
      </c>
      <c r="I191" s="11" t="n">
        <v>44697</v>
      </c>
      <c r="J191" s="11" t="n">
        <v>44697</v>
      </c>
      <c r="K191" s="11" t="n">
        <v>44697</v>
      </c>
      <c r="L191" s="7" t="inlineStr">
        <is>
          <t>roll following on the LME panel calendar</t>
        </is>
      </c>
      <c r="N191" s="7" t="inlineStr">
        <is>
          <t>DIRECT</t>
        </is>
      </c>
      <c r="O191" s="9" t="n">
        <v>-4353562.71</v>
      </c>
      <c r="P191" s="9" t="n">
        <v>-4353562.71</v>
      </c>
      <c r="U191" s="7" t="inlineStr">
        <is>
          <t>PYTHON_LIFECYCLE</t>
        </is>
      </c>
      <c r="V191" s="8">
        <f>$O191</f>
        <v/>
      </c>
      <c r="W191" s="8">
        <f>IF($G191="INR",1,INDEX(Market_Daily!$F$6:$F$256,MATCH($K191,Market_Daily!$A$6:$A$256,0)))</f>
        <v/>
      </c>
      <c r="X191" s="8">
        <f>$V191*$W191</f>
        <v/>
      </c>
      <c r="Y191" s="18">
        <f>$X191-$P191</f>
        <v/>
      </c>
      <c r="Z191" s="8">
        <f>IF(ABS($Y191)&lt;=tol_cashflow_inr,"PASS","FAIL")</f>
        <v/>
      </c>
      <c r="AA191" s="7" t="inlineStr">
        <is>
          <t>-assessable_inr x bcd_scrap_hs7602 x (1 + sws_rate_on_bcd)</t>
        </is>
      </c>
    </row>
    <row r="192">
      <c r="A192" s="7" t="inlineStr">
        <is>
          <t>T01</t>
        </is>
      </c>
      <c r="B192" s="7" t="inlineStr">
        <is>
          <t>FREIGHT:L2</t>
        </is>
      </c>
      <c r="C192" s="7" t="inlineStr">
        <is>
          <t>L2</t>
        </is>
      </c>
      <c r="D192" s="7" t="inlineStr">
        <is>
          <t>FREIGHT</t>
        </is>
      </c>
      <c r="E192" s="7" t="inlineStr">
        <is>
          <t>FREIGHT</t>
        </is>
      </c>
      <c r="F192" s="7" t="inlineStr">
        <is>
          <t>PNL</t>
        </is>
      </c>
      <c r="G192" s="7" t="inlineStr">
        <is>
          <t>USD</t>
        </is>
      </c>
      <c r="H192" s="11" t="n">
        <v>44628</v>
      </c>
      <c r="I192" s="11" t="n">
        <v>44638</v>
      </c>
      <c r="J192" s="11" t="n">
        <v>44697</v>
      </c>
      <c r="K192" s="11" t="n">
        <v>44697</v>
      </c>
      <c r="L192" s="7" t="inlineStr">
        <is>
          <t>roll following on the LME panel calendar</t>
        </is>
      </c>
      <c r="N192" s="7" t="inlineStr">
        <is>
          <t>ASSUMPTION</t>
        </is>
      </c>
      <c r="O192" s="9" t="n">
        <v>-86800</v>
      </c>
      <c r="P192" s="9" t="n">
        <v>-6752857.72</v>
      </c>
      <c r="U192" s="7" t="inlineStr">
        <is>
          <t>PYTHON_LIFECYCLE</t>
        </is>
      </c>
      <c r="V192" s="8">
        <f>$O192</f>
        <v/>
      </c>
      <c r="W192" s="8">
        <f>IF($G192="INR",1,INDEX(Market_Daily!$F$6:$F$256,MATCH($K192,Market_Daily!$A$6:$A$256,0)))</f>
        <v/>
      </c>
      <c r="X192" s="8">
        <f>$V192*$W192</f>
        <v/>
      </c>
      <c r="Y192" s="18">
        <f>$X192-$P192</f>
        <v/>
      </c>
      <c r="Z192" s="8">
        <f>IF(ABS($Y192)&lt;=tol_cashflow_inr,"PASS","FAIL")</f>
        <v/>
      </c>
      <c r="AA192" s="7" t="inlineStr">
        <is>
          <t>-boxes x (fixture rate once booked, else market box rate)</t>
        </is>
      </c>
    </row>
    <row r="193">
      <c r="A193" s="7" t="inlineStr">
        <is>
          <t>T01</t>
        </is>
      </c>
      <c r="B193" s="7" t="inlineStr">
        <is>
          <t>FX:T01-FX-4</t>
        </is>
      </c>
      <c r="C193" s="7" t="inlineStr">
        <is>
          <t>T01-FX-4</t>
        </is>
      </c>
      <c r="D193" s="7" t="inlineStr">
        <is>
          <t>FX_FORWARD</t>
        </is>
      </c>
      <c r="E193" s="7" t="inlineStr">
        <is>
          <t>FX_FORWARD</t>
        </is>
      </c>
      <c r="F193" s="7" t="inlineStr">
        <is>
          <t>PNL</t>
        </is>
      </c>
      <c r="G193" s="7" t="inlineStr">
        <is>
          <t>INR</t>
        </is>
      </c>
      <c r="H193" s="11" t="n">
        <v>44638</v>
      </c>
      <c r="I193" s="11" t="n">
        <v>44697</v>
      </c>
      <c r="J193" s="11" t="n">
        <v>44697</v>
      </c>
      <c r="K193" s="11" t="n">
        <v>44697</v>
      </c>
      <c r="L193" s="7" t="inlineStr">
        <is>
          <t>roll following on the LME panel calendar</t>
        </is>
      </c>
      <c r="N193" s="7" t="inlineStr">
        <is>
          <t>PROXY</t>
        </is>
      </c>
      <c r="O193" s="9" t="n">
        <v>305768.14</v>
      </c>
      <c r="P193" s="9" t="n">
        <v>305768.14</v>
      </c>
      <c r="Q193" s="6" t="n">
        <v>1</v>
      </c>
      <c r="R193" s="13" t="n">
        <v>260400</v>
      </c>
      <c r="S193" s="12" t="n">
        <v>44697</v>
      </c>
      <c r="T193" s="21" t="n">
        <v>76.62367500000001</v>
      </c>
      <c r="U193" s="7" t="inlineStr">
        <is>
          <t>DERIVED_IN_WORKBOOK</t>
        </is>
      </c>
      <c r="V193" s="8">
        <f>$Q193*$R193*(IF($S193&lt;$K193,INDEX(Market_Daily!$F$6:$F$256,MATCH($S193,Market_Daily!$A$6:$A$256,1)),IF($S193=$K193,INDEX(Market_Daily!$F$6:$F$256,MATCH($K193,Market_Daily!$A$6:$A$256,0)),(INDEX(Market_Daily!$F$6:$F$256,MATCH($K193,Market_Daily!$A$6:$A$256,0))*(1+INDEX(Market_Daily!$I$6:$I$256,MATCH($K193,Market_Daily!$A$6:$A$256,0))*($S193-$K193)/day_count_inr)/(1+INDEX(Market_Daily!$J$6:$J$256,MATCH($K193,Market_Daily!$A$6:$A$256,0))*($S193-$K193)/day_count_usd))))-$T193)</f>
        <v/>
      </c>
      <c r="W193" s="8">
        <f>IF($G193="INR",1,INDEX(Market_Daily!$F$6:$F$256,MATCH($K193,Market_Daily!$A$6:$A$256,0)))</f>
        <v/>
      </c>
      <c r="X193" s="8">
        <f>$V193*$W193</f>
        <v/>
      </c>
      <c r="Y193" s="18">
        <f>$X193-$P193</f>
        <v/>
      </c>
      <c r="Z193" s="8">
        <f>IF(ABS($Y193)&lt;=tol_cashflow_inr,"PASS","FAIL")</f>
        <v/>
      </c>
      <c r="AA193" s="7" t="inlineStr">
        <is>
          <t>sign x notional x (X(tau, value_date) - K)</t>
        </is>
      </c>
    </row>
    <row r="194">
      <c r="A194" s="7" t="inlineStr">
        <is>
          <t>T01</t>
        </is>
      </c>
      <c r="B194" s="7" t="inlineStr">
        <is>
          <t>IGST:L2</t>
        </is>
      </c>
      <c r="C194" s="7" t="inlineStr">
        <is>
          <t>L2</t>
        </is>
      </c>
      <c r="D194" s="7" t="inlineStr">
        <is>
          <t>IGST_IMPORT</t>
        </is>
      </c>
      <c r="E194" s="7" t="inlineStr">
        <is>
          <t>IGST_IMPORT</t>
        </is>
      </c>
      <c r="F194" s="7" t="inlineStr">
        <is>
          <t>BS</t>
        </is>
      </c>
      <c r="G194" s="7" t="inlineStr">
        <is>
          <t>INR</t>
        </is>
      </c>
      <c r="H194" s="11" t="n">
        <v>44628</v>
      </c>
      <c r="I194" s="11" t="n">
        <v>44697</v>
      </c>
      <c r="J194" s="11" t="n">
        <v>44697</v>
      </c>
      <c r="K194" s="11" t="n">
        <v>44697</v>
      </c>
      <c r="L194" s="7" t="inlineStr">
        <is>
          <t>roll following on the LME panel calendar</t>
        </is>
      </c>
      <c r="N194" s="7" t="inlineStr">
        <is>
          <t>DIRECT</t>
        </is>
      </c>
      <c r="O194" s="9" t="n">
        <v>-29279688.1</v>
      </c>
      <c r="P194" s="9" t="n">
        <v>-29279688.1</v>
      </c>
      <c r="U194" s="7" t="inlineStr">
        <is>
          <t>PYTHON_LIFECYCLE</t>
        </is>
      </c>
      <c r="V194" s="8">
        <f>$O194</f>
        <v/>
      </c>
      <c r="W194" s="8">
        <f>IF($G194="INR",1,INDEX(Market_Daily!$F$6:$F$256,MATCH($K194,Market_Daily!$A$6:$A$256,0)))</f>
        <v/>
      </c>
      <c r="X194" s="8">
        <f>$V194*$W194</f>
        <v/>
      </c>
      <c r="Y194" s="18">
        <f>$X194-$P194</f>
        <v/>
      </c>
      <c r="Z194" s="8">
        <f>IF(ABS($Y194)&lt;=tol_cashflow_inr,"PASS","FAIL")</f>
        <v/>
      </c>
      <c r="AA194" s="7" t="inlineStr">
        <is>
          <t>-(assessable + duty) x igst_rate_hs7602</t>
        </is>
      </c>
    </row>
    <row r="195">
      <c r="A195" s="7" t="inlineStr">
        <is>
          <t>T01</t>
        </is>
      </c>
      <c r="B195" s="7" t="inlineStr">
        <is>
          <t>FREIGHT:L3</t>
        </is>
      </c>
      <c r="C195" s="7" t="inlineStr">
        <is>
          <t>L3</t>
        </is>
      </c>
      <c r="D195" s="7" t="inlineStr">
        <is>
          <t>FREIGHT</t>
        </is>
      </c>
      <c r="E195" s="7" t="inlineStr">
        <is>
          <t>FREIGHT</t>
        </is>
      </c>
      <c r="F195" s="7" t="inlineStr">
        <is>
          <t>PNL</t>
        </is>
      </c>
      <c r="G195" s="7" t="inlineStr">
        <is>
          <t>USD</t>
        </is>
      </c>
      <c r="H195" s="11" t="n">
        <v>44628</v>
      </c>
      <c r="I195" s="11" t="n">
        <v>44638</v>
      </c>
      <c r="J195" s="11" t="n">
        <v>44698</v>
      </c>
      <c r="K195" s="11" t="n">
        <v>44698</v>
      </c>
      <c r="L195" s="7" t="inlineStr">
        <is>
          <t>roll following on the LME panel calendar</t>
        </is>
      </c>
      <c r="N195" s="7" t="inlineStr">
        <is>
          <t>ASSUMPTION</t>
        </is>
      </c>
      <c r="O195" s="9" t="n">
        <v>-86800</v>
      </c>
      <c r="P195" s="9" t="n">
        <v>-6723606.12</v>
      </c>
      <c r="U195" s="7" t="inlineStr">
        <is>
          <t>PYTHON_LIFECYCLE</t>
        </is>
      </c>
      <c r="V195" s="8">
        <f>$O195</f>
        <v/>
      </c>
      <c r="W195" s="8">
        <f>IF($G195="INR",1,INDEX(Market_Daily!$F$6:$F$256,MATCH($K195,Market_Daily!$A$6:$A$256,0)))</f>
        <v/>
      </c>
      <c r="X195" s="8">
        <f>$V195*$W195</f>
        <v/>
      </c>
      <c r="Y195" s="18">
        <f>$X195-$P195</f>
        <v/>
      </c>
      <c r="Z195" s="8">
        <f>IF(ABS($Y195)&lt;=tol_cashflow_inr,"PASS","FAIL")</f>
        <v/>
      </c>
      <c r="AA195" s="7" t="inlineStr">
        <is>
          <t>-boxes x (fixture rate once booked, else market box rate)</t>
        </is>
      </c>
    </row>
    <row r="196">
      <c r="A196" s="7" t="inlineStr">
        <is>
          <t>T01</t>
        </is>
      </c>
      <c r="B196" s="7" t="inlineStr">
        <is>
          <t>DUTY:L3</t>
        </is>
      </c>
      <c r="C196" s="7" t="inlineStr">
        <is>
          <t>L3</t>
        </is>
      </c>
      <c r="D196" s="7" t="inlineStr">
        <is>
          <t>CUSTOMS_DUTY</t>
        </is>
      </c>
      <c r="E196" s="7" t="inlineStr">
        <is>
          <t>CUSTOMS_DUTY</t>
        </is>
      </c>
      <c r="F196" s="7" t="inlineStr">
        <is>
          <t>PNL</t>
        </is>
      </c>
      <c r="G196" s="7" t="inlineStr">
        <is>
          <t>INR</t>
        </is>
      </c>
      <c r="H196" s="11" t="n">
        <v>44628</v>
      </c>
      <c r="I196" s="11" t="n">
        <v>44699</v>
      </c>
      <c r="J196" s="11" t="n">
        <v>44699</v>
      </c>
      <c r="K196" s="11" t="n">
        <v>44699</v>
      </c>
      <c r="L196" s="7" t="inlineStr">
        <is>
          <t>roll following on the LME panel calendar</t>
        </is>
      </c>
      <c r="N196" s="7" t="inlineStr">
        <is>
          <t>DIRECT</t>
        </is>
      </c>
      <c r="O196" s="9" t="n">
        <v>-4353562.71</v>
      </c>
      <c r="P196" s="9" t="n">
        <v>-4353562.71</v>
      </c>
      <c r="U196" s="7" t="inlineStr">
        <is>
          <t>PYTHON_LIFECYCLE</t>
        </is>
      </c>
      <c r="V196" s="8">
        <f>$O196</f>
        <v/>
      </c>
      <c r="W196" s="8">
        <f>IF($G196="INR",1,INDEX(Market_Daily!$F$6:$F$256,MATCH($K196,Market_Daily!$A$6:$A$256,0)))</f>
        <v/>
      </c>
      <c r="X196" s="8">
        <f>$V196*$W196</f>
        <v/>
      </c>
      <c r="Y196" s="18">
        <f>$X196-$P196</f>
        <v/>
      </c>
      <c r="Z196" s="8">
        <f>IF(ABS($Y196)&lt;=tol_cashflow_inr,"PASS","FAIL")</f>
        <v/>
      </c>
      <c r="AA196" s="7" t="inlineStr">
        <is>
          <t>-assessable_inr x bcd_scrap_hs7602 x (1 + sws_rate_on_bcd)</t>
        </is>
      </c>
    </row>
    <row r="197">
      <c r="A197" s="7" t="inlineStr">
        <is>
          <t>T01</t>
        </is>
      </c>
      <c r="B197" s="7" t="inlineStr">
        <is>
          <t>IGST:L3</t>
        </is>
      </c>
      <c r="C197" s="7" t="inlineStr">
        <is>
          <t>L3</t>
        </is>
      </c>
      <c r="D197" s="7" t="inlineStr">
        <is>
          <t>IGST_IMPORT</t>
        </is>
      </c>
      <c r="E197" s="7" t="inlineStr">
        <is>
          <t>IGST_IMPORT</t>
        </is>
      </c>
      <c r="F197" s="7" t="inlineStr">
        <is>
          <t>BS</t>
        </is>
      </c>
      <c r="G197" s="7" t="inlineStr">
        <is>
          <t>INR</t>
        </is>
      </c>
      <c r="H197" s="11" t="n">
        <v>44628</v>
      </c>
      <c r="I197" s="11" t="n">
        <v>44699</v>
      </c>
      <c r="J197" s="11" t="n">
        <v>44699</v>
      </c>
      <c r="K197" s="11" t="n">
        <v>44699</v>
      </c>
      <c r="L197" s="7" t="inlineStr">
        <is>
          <t>roll following on the LME panel calendar</t>
        </is>
      </c>
      <c r="N197" s="7" t="inlineStr">
        <is>
          <t>DIRECT</t>
        </is>
      </c>
      <c r="O197" s="9" t="n">
        <v>-29279688.1</v>
      </c>
      <c r="P197" s="9" t="n">
        <v>-29279688.1</v>
      </c>
      <c r="U197" s="7" t="inlineStr">
        <is>
          <t>PYTHON_LIFECYCLE</t>
        </is>
      </c>
      <c r="V197" s="8">
        <f>$O197</f>
        <v/>
      </c>
      <c r="W197" s="8">
        <f>IF($G197="INR",1,INDEX(Market_Daily!$F$6:$F$256,MATCH($K197,Market_Daily!$A$6:$A$256,0)))</f>
        <v/>
      </c>
      <c r="X197" s="8">
        <f>$V197*$W197</f>
        <v/>
      </c>
      <c r="Y197" s="18">
        <f>$X197-$P197</f>
        <v/>
      </c>
      <c r="Z197" s="8">
        <f>IF(ABS($Y197)&lt;=tol_cashflow_inr,"PASS","FAIL")</f>
        <v/>
      </c>
      <c r="AA197" s="7" t="inlineStr">
        <is>
          <t>-(assessable + duty) x igst_rate_hs7602</t>
        </is>
      </c>
    </row>
    <row r="198">
      <c r="A198" s="7" t="inlineStr">
        <is>
          <t>T01</t>
        </is>
      </c>
      <c r="B198" s="7" t="inlineStr">
        <is>
          <t>PORT:L1</t>
        </is>
      </c>
      <c r="C198" s="7" t="inlineStr">
        <is>
          <t>L1</t>
        </is>
      </c>
      <c r="D198" s="7" t="inlineStr">
        <is>
          <t>PORT_CHARGES</t>
        </is>
      </c>
      <c r="E198" s="7" t="inlineStr">
        <is>
          <t>PORT_CHARGES</t>
        </is>
      </c>
      <c r="F198" s="7" t="inlineStr">
        <is>
          <t>PNL</t>
        </is>
      </c>
      <c r="G198" s="7" t="inlineStr">
        <is>
          <t>INR</t>
        </is>
      </c>
      <c r="H198" s="11" t="n">
        <v>44628</v>
      </c>
      <c r="J198" s="11" t="n">
        <v>44699</v>
      </c>
      <c r="K198" s="11" t="n">
        <v>44699</v>
      </c>
      <c r="L198" s="7" t="inlineStr">
        <is>
          <t>roll following on the LME panel calendar</t>
        </is>
      </c>
      <c r="N198" s="7" t="inlineStr">
        <is>
          <t>ASSUMPTION</t>
        </is>
      </c>
      <c r="O198" s="9" t="n">
        <v>-2226000</v>
      </c>
      <c r="P198" s="9" t="n">
        <v>-2226000</v>
      </c>
      <c r="U198" s="7" t="inlineStr">
        <is>
          <t>PYTHON_LIFECYCLE</t>
        </is>
      </c>
      <c r="V198" s="8">
        <f>$O198</f>
        <v/>
      </c>
      <c r="W198" s="8">
        <f>IF($G198="INR",1,INDEX(Market_Daily!$F$6:$F$256,MATCH($K198,Market_Daily!$A$6:$A$256,0)))</f>
        <v/>
      </c>
      <c r="X198" s="8">
        <f>$V198*$W198</f>
        <v/>
      </c>
      <c r="Y198" s="18">
        <f>$X198-$P198</f>
        <v/>
      </c>
      <c r="Z198" s="8">
        <f>IF(ABS($Y198)&lt;=tol_cashflow_inr,"PASS","FAIL")</f>
        <v/>
      </c>
      <c r="AA198" s="7" t="inlineStr">
        <is>
          <t>-port_cf_charges_inr_t x base_payload x cleared boxes</t>
        </is>
      </c>
    </row>
    <row r="199">
      <c r="A199" s="7" t="inlineStr">
        <is>
          <t>T01</t>
        </is>
      </c>
      <c r="B199" s="7" t="inlineStr">
        <is>
          <t>SALE:S1</t>
        </is>
      </c>
      <c r="C199" s="7" t="inlineStr">
        <is>
          <t>S1</t>
        </is>
      </c>
      <c r="D199" s="7" t="inlineStr">
        <is>
          <t>SALE_ADVANCE</t>
        </is>
      </c>
      <c r="E199" s="7" t="inlineStr">
        <is>
          <t>SALE_ADVANCE</t>
        </is>
      </c>
      <c r="F199" s="7" t="inlineStr">
        <is>
          <t>PNL</t>
        </is>
      </c>
      <c r="G199" s="7" t="inlineStr">
        <is>
          <t>INR</t>
        </is>
      </c>
      <c r="H199" s="11" t="n">
        <v>44676</v>
      </c>
      <c r="I199" s="11" t="n">
        <v>44701</v>
      </c>
      <c r="J199" s="11" t="n">
        <v>44735</v>
      </c>
      <c r="K199" s="11" t="n">
        <v>44701</v>
      </c>
      <c r="L199" s="7" t="inlineStr">
        <is>
          <t>roll following on the LME panel calendar</t>
        </is>
      </c>
      <c r="N199" s="7" t="inlineStr">
        <is>
          <t>SIM</t>
        </is>
      </c>
      <c r="O199" s="9" t="n">
        <v>168840000</v>
      </c>
      <c r="P199" s="9" t="n">
        <v>168840000</v>
      </c>
      <c r="U199" s="7" t="inlineStr">
        <is>
          <t>PYTHON_LIFECYCLE</t>
        </is>
      </c>
      <c r="V199" s="8">
        <f>$O199</f>
        <v/>
      </c>
      <c r="W199" s="8">
        <f>IF($G199="INR",1,INDEX(Market_Daily!$F$6:$F$256,MATCH($K199,Market_Daily!$A$6:$A$256,0)))</f>
        <v/>
      </c>
      <c r="X199" s="8">
        <f>$V199*$W199</f>
        <v/>
      </c>
      <c r="Y199" s="18">
        <f>$X199-$P199</f>
        <v/>
      </c>
      <c r="Z199" s="8">
        <f>IF(ABS($Y199)&lt;=tol_cashflow_inr,"PASS","FAIL")</f>
        <v/>
      </c>
      <c r="AA199" s="7" t="inlineStr">
        <is>
          <t>+advance_frac x q_plan x P_sale</t>
        </is>
      </c>
    </row>
    <row r="200">
      <c r="A200" s="7" t="inlineStr">
        <is>
          <t>T01</t>
        </is>
      </c>
      <c r="B200" s="7" t="inlineStr">
        <is>
          <t>PORT:L2</t>
        </is>
      </c>
      <c r="C200" s="7" t="inlineStr">
        <is>
          <t>L2</t>
        </is>
      </c>
      <c r="D200" s="7" t="inlineStr">
        <is>
          <t>PORT_CHARGES</t>
        </is>
      </c>
      <c r="E200" s="7" t="inlineStr">
        <is>
          <t>PORT_CHARGES</t>
        </is>
      </c>
      <c r="F200" s="7" t="inlineStr">
        <is>
          <t>PNL</t>
        </is>
      </c>
      <c r="G200" s="7" t="inlineStr">
        <is>
          <t>INR</t>
        </is>
      </c>
      <c r="H200" s="11" t="n">
        <v>44628</v>
      </c>
      <c r="J200" s="11" t="n">
        <v>44705</v>
      </c>
      <c r="K200" s="11" t="n">
        <v>44705</v>
      </c>
      <c r="L200" s="7" t="inlineStr">
        <is>
          <t>roll following on the LME panel calendar</t>
        </is>
      </c>
      <c r="N200" s="7" t="inlineStr">
        <is>
          <t>ASSUMPTION</t>
        </is>
      </c>
      <c r="O200" s="9" t="n">
        <v>-2226000</v>
      </c>
      <c r="P200" s="9" t="n">
        <v>-2226000</v>
      </c>
      <c r="U200" s="7" t="inlineStr">
        <is>
          <t>PYTHON_LIFECYCLE</t>
        </is>
      </c>
      <c r="V200" s="8">
        <f>$O200</f>
        <v/>
      </c>
      <c r="W200" s="8">
        <f>IF($G200="INR",1,INDEX(Market_Daily!$F$6:$F$256,MATCH($K200,Market_Daily!$A$6:$A$256,0)))</f>
        <v/>
      </c>
      <c r="X200" s="8">
        <f>$V200*$W200</f>
        <v/>
      </c>
      <c r="Y200" s="18">
        <f>$X200-$P200</f>
        <v/>
      </c>
      <c r="Z200" s="8">
        <f>IF(ABS($Y200)&lt;=tol_cashflow_inr,"PASS","FAIL")</f>
        <v/>
      </c>
      <c r="AA200" s="7" t="inlineStr">
        <is>
          <t>-port_cf_charges_inr_t x base_payload x cleared boxes</t>
        </is>
      </c>
    </row>
    <row r="201">
      <c r="A201" s="7" t="inlineStr">
        <is>
          <t>T01</t>
        </is>
      </c>
      <c r="B201" s="7" t="inlineStr">
        <is>
          <t>SALE:S2</t>
        </is>
      </c>
      <c r="C201" s="7" t="inlineStr">
        <is>
          <t>S2</t>
        </is>
      </c>
      <c r="D201" s="7" t="inlineStr">
        <is>
          <t>SALE_ADVANCE</t>
        </is>
      </c>
      <c r="E201" s="7" t="inlineStr">
        <is>
          <t>SALE_ADVANCE</t>
        </is>
      </c>
      <c r="F201" s="7" t="inlineStr">
        <is>
          <t>PNL</t>
        </is>
      </c>
      <c r="G201" s="7" t="inlineStr">
        <is>
          <t>INR</t>
        </is>
      </c>
      <c r="H201" s="11" t="n">
        <v>44690</v>
      </c>
      <c r="I201" s="11" t="n">
        <v>44705</v>
      </c>
      <c r="J201" s="11" t="n">
        <v>44708</v>
      </c>
      <c r="K201" s="11" t="n">
        <v>44705</v>
      </c>
      <c r="L201" s="7" t="inlineStr">
        <is>
          <t>roll following on the LME panel calendar</t>
        </is>
      </c>
      <c r="N201" s="7" t="inlineStr">
        <is>
          <t>SIM</t>
        </is>
      </c>
      <c r="O201" s="9" t="n">
        <v>151620000</v>
      </c>
      <c r="P201" s="9" t="n">
        <v>151620000</v>
      </c>
      <c r="U201" s="7" t="inlineStr">
        <is>
          <t>PYTHON_LIFECYCLE</t>
        </is>
      </c>
      <c r="V201" s="8">
        <f>$O201</f>
        <v/>
      </c>
      <c r="W201" s="8">
        <f>IF($G201="INR",1,INDEX(Market_Daily!$F$6:$F$256,MATCH($K201,Market_Daily!$A$6:$A$256,0)))</f>
        <v/>
      </c>
      <c r="X201" s="8">
        <f>$V201*$W201</f>
        <v/>
      </c>
      <c r="Y201" s="18">
        <f>$X201-$P201</f>
        <v/>
      </c>
      <c r="Z201" s="8">
        <f>IF(ABS($Y201)&lt;=tol_cashflow_inr,"PASS","FAIL")</f>
        <v/>
      </c>
      <c r="AA201" s="7" t="inlineStr">
        <is>
          <t>+advance_frac x q_plan x P_sale</t>
        </is>
      </c>
    </row>
    <row r="202">
      <c r="A202" s="7" t="inlineStr">
        <is>
          <t>T01</t>
        </is>
      </c>
      <c r="B202" s="7" t="inlineStr">
        <is>
          <t>PORT:L3</t>
        </is>
      </c>
      <c r="C202" s="7" t="inlineStr">
        <is>
          <t>L3</t>
        </is>
      </c>
      <c r="D202" s="7" t="inlineStr">
        <is>
          <t>PORT_CHARGES</t>
        </is>
      </c>
      <c r="E202" s="7" t="inlineStr">
        <is>
          <t>PORT_CHARGES</t>
        </is>
      </c>
      <c r="F202" s="7" t="inlineStr">
        <is>
          <t>PNL</t>
        </is>
      </c>
      <c r="G202" s="7" t="inlineStr">
        <is>
          <t>INR</t>
        </is>
      </c>
      <c r="H202" s="11" t="n">
        <v>44628</v>
      </c>
      <c r="J202" s="11" t="n">
        <v>44708</v>
      </c>
      <c r="K202" s="11" t="n">
        <v>44708</v>
      </c>
      <c r="L202" s="7" t="inlineStr">
        <is>
          <t>roll following on the LME panel calendar</t>
        </is>
      </c>
      <c r="N202" s="7" t="inlineStr">
        <is>
          <t>ASSUMPTION</t>
        </is>
      </c>
      <c r="O202" s="9" t="n">
        <v>-2226000</v>
      </c>
      <c r="P202" s="9" t="n">
        <v>-2226000</v>
      </c>
      <c r="U202" s="7" t="inlineStr">
        <is>
          <t>PYTHON_LIFECYCLE</t>
        </is>
      </c>
      <c r="V202" s="8">
        <f>$O202</f>
        <v/>
      </c>
      <c r="W202" s="8">
        <f>IF($G202="INR",1,INDEX(Market_Daily!$F$6:$F$256,MATCH($K202,Market_Daily!$A$6:$A$256,0)))</f>
        <v/>
      </c>
      <c r="X202" s="8">
        <f>$V202*$W202</f>
        <v/>
      </c>
      <c r="Y202" s="18">
        <f>$X202-$P202</f>
        <v/>
      </c>
      <c r="Z202" s="8">
        <f>IF(ABS($Y202)&lt;=tol_cashflow_inr,"PASS","FAIL")</f>
        <v/>
      </c>
      <c r="AA202" s="7" t="inlineStr">
        <is>
          <t>-port_cf_charges_inr_t x base_payload x cleared boxes</t>
        </is>
      </c>
    </row>
    <row r="203">
      <c r="A203" s="7" t="inlineStr">
        <is>
          <t>T01</t>
        </is>
      </c>
      <c r="B203" s="7" t="inlineStr">
        <is>
          <t>SALE:S2</t>
        </is>
      </c>
      <c r="C203" s="7" t="inlineStr">
        <is>
          <t>S2</t>
        </is>
      </c>
      <c r="D203" s="7" t="inlineStr">
        <is>
          <t>SALE_BALANCE</t>
        </is>
      </c>
      <c r="E203" s="7" t="inlineStr">
        <is>
          <t>SALE_BALANCE</t>
        </is>
      </c>
      <c r="F203" s="7" t="inlineStr">
        <is>
          <t>PNL</t>
        </is>
      </c>
      <c r="G203" s="7" t="inlineStr">
        <is>
          <t>INR</t>
        </is>
      </c>
      <c r="H203" s="11" t="n">
        <v>44690</v>
      </c>
      <c r="I203" s="11" t="n">
        <v>44699</v>
      </c>
      <c r="J203" s="11" t="n">
        <v>44708</v>
      </c>
      <c r="K203" s="11" t="n">
        <v>44708</v>
      </c>
      <c r="L203" s="7" t="inlineStr">
        <is>
          <t>roll following on the LME panel calendar</t>
        </is>
      </c>
      <c r="N203" s="7" t="inlineStr">
        <is>
          <t>SIM</t>
        </is>
      </c>
      <c r="O203" s="9" t="n">
        <v>0</v>
      </c>
      <c r="P203" s="9" t="n">
        <v>0</v>
      </c>
      <c r="U203" s="7" t="inlineStr">
        <is>
          <t>PYTHON_LIFECYCLE</t>
        </is>
      </c>
      <c r="V203" s="8">
        <f>$O203</f>
        <v/>
      </c>
      <c r="W203" s="8">
        <f>IF($G203="INR",1,INDEX(Market_Daily!$F$6:$F$256,MATCH($K203,Market_Daily!$A$6:$A$256,0)))</f>
        <v/>
      </c>
      <c r="X203" s="8">
        <f>$V203*$W203</f>
        <v/>
      </c>
      <c r="Y203" s="18">
        <f>$X203-$P203</f>
        <v/>
      </c>
      <c r="Z203" s="8">
        <f>IF(ABS($Y203)&lt;=tol_cashflow_inr,"PASS","FAIL")</f>
        <v/>
      </c>
      <c r="AA203" s="7" t="inlineStr">
        <is>
          <t>+q_acc x P_sale x (1 - disc passthrough) - advance</t>
        </is>
      </c>
    </row>
    <row r="204">
      <c r="A204" s="7" t="inlineStr">
        <is>
          <t>T01</t>
        </is>
      </c>
      <c r="B204" s="7" t="inlineStr">
        <is>
          <t>IGST:L1</t>
        </is>
      </c>
      <c r="C204" s="7" t="inlineStr">
        <is>
          <t>L1</t>
        </is>
      </c>
      <c r="D204" s="7" t="inlineStr">
        <is>
          <t>IGST_CREDIT</t>
        </is>
      </c>
      <c r="E204" s="7" t="inlineStr">
        <is>
          <t>IGST_CREDIT</t>
        </is>
      </c>
      <c r="F204" s="7" t="inlineStr">
        <is>
          <t>BS</t>
        </is>
      </c>
      <c r="G204" s="7" t="inlineStr">
        <is>
          <t>INR</t>
        </is>
      </c>
      <c r="H204" s="11" t="n">
        <v>44628</v>
      </c>
      <c r="I204" s="11" t="n">
        <v>44690</v>
      </c>
      <c r="J204" s="11" t="n">
        <v>44735</v>
      </c>
      <c r="K204" s="11" t="n">
        <v>44735</v>
      </c>
      <c r="L204" s="7" t="inlineStr">
        <is>
          <t>roll following on the LME panel calendar</t>
        </is>
      </c>
      <c r="N204" s="7" t="inlineStr">
        <is>
          <t>DIRECT</t>
        </is>
      </c>
      <c r="O204" s="9" t="n">
        <v>29279688.1</v>
      </c>
      <c r="P204" s="9" t="n">
        <v>29279688.1</v>
      </c>
      <c r="U204" s="7" t="inlineStr">
        <is>
          <t>PYTHON_LIFECYCLE</t>
        </is>
      </c>
      <c r="V204" s="8">
        <f>$O204</f>
        <v/>
      </c>
      <c r="W204" s="8">
        <f>IF($G204="INR",1,INDEX(Market_Daily!$F$6:$F$256,MATCH($K204,Market_Daily!$A$6:$A$256,0)))</f>
        <v/>
      </c>
      <c r="X204" s="8">
        <f>$V204*$W204</f>
        <v/>
      </c>
      <c r="Y204" s="18">
        <f>$X204-$P204</f>
        <v/>
      </c>
      <c r="Z204" s="8">
        <f>IF(ABS($Y204)&lt;=tol_cashflow_inr,"PASS","FAIL")</f>
        <v/>
      </c>
      <c r="AA204" s="7" t="inlineStr">
        <is>
          <t>+(assessable + duty) x igst_rate at igst_credit_lag_days</t>
        </is>
      </c>
    </row>
    <row r="205">
      <c r="A205" s="7" t="inlineStr">
        <is>
          <t>T01</t>
        </is>
      </c>
      <c r="B205" s="7" t="inlineStr">
        <is>
          <t>SALE:S1</t>
        </is>
      </c>
      <c r="C205" s="7" t="inlineStr">
        <is>
          <t>S1</t>
        </is>
      </c>
      <c r="D205" s="7" t="inlineStr">
        <is>
          <t>SALE_BALANCE</t>
        </is>
      </c>
      <c r="E205" s="7" t="inlineStr">
        <is>
          <t>SALE_BALANCE</t>
        </is>
      </c>
      <c r="F205" s="7" t="inlineStr">
        <is>
          <t>PNL</t>
        </is>
      </c>
      <c r="G205" s="7" t="inlineStr">
        <is>
          <t>INR</t>
        </is>
      </c>
      <c r="H205" s="11" t="n">
        <v>44676</v>
      </c>
      <c r="I205" s="11" t="n">
        <v>44697</v>
      </c>
      <c r="J205" s="11" t="n">
        <v>44735</v>
      </c>
      <c r="K205" s="11" t="n">
        <v>44735</v>
      </c>
      <c r="L205" s="7" t="inlineStr">
        <is>
          <t>roll following on the LME panel calendar</t>
        </is>
      </c>
      <c r="N205" s="7" t="inlineStr">
        <is>
          <t>SIM</t>
        </is>
      </c>
      <c r="O205" s="9" t="n">
        <v>168840000</v>
      </c>
      <c r="P205" s="9" t="n">
        <v>168840000</v>
      </c>
      <c r="U205" s="7" t="inlineStr">
        <is>
          <t>PYTHON_LIFECYCLE</t>
        </is>
      </c>
      <c r="V205" s="8">
        <f>$O205</f>
        <v/>
      </c>
      <c r="W205" s="8">
        <f>IF($G205="INR",1,INDEX(Market_Daily!$F$6:$F$256,MATCH($K205,Market_Daily!$A$6:$A$256,0)))</f>
        <v/>
      </c>
      <c r="X205" s="8">
        <f>$V205*$W205</f>
        <v/>
      </c>
      <c r="Y205" s="18">
        <f>$X205-$P205</f>
        <v/>
      </c>
      <c r="Z205" s="8">
        <f>IF(ABS($Y205)&lt;=tol_cashflow_inr,"PASS","FAIL")</f>
        <v/>
      </c>
      <c r="AA205" s="7" t="inlineStr">
        <is>
          <t>+q_acc x P_sale x (1 - disc passthrough) - advance</t>
        </is>
      </c>
    </row>
    <row r="206">
      <c r="A206" s="7" t="inlineStr">
        <is>
          <t>T01</t>
        </is>
      </c>
      <c r="B206" s="7" t="inlineStr">
        <is>
          <t>IGST:L2</t>
        </is>
      </c>
      <c r="C206" s="7" t="inlineStr">
        <is>
          <t>L2</t>
        </is>
      </c>
      <c r="D206" s="7" t="inlineStr">
        <is>
          <t>IGST_CREDIT</t>
        </is>
      </c>
      <c r="E206" s="7" t="inlineStr">
        <is>
          <t>IGST_CREDIT</t>
        </is>
      </c>
      <c r="F206" s="7" t="inlineStr">
        <is>
          <t>BS</t>
        </is>
      </c>
      <c r="G206" s="7" t="inlineStr">
        <is>
          <t>INR</t>
        </is>
      </c>
      <c r="H206" s="11" t="n">
        <v>44628</v>
      </c>
      <c r="I206" s="11" t="n">
        <v>44697</v>
      </c>
      <c r="J206" s="11" t="n">
        <v>44741</v>
      </c>
      <c r="K206" s="11" t="n">
        <v>44741</v>
      </c>
      <c r="L206" s="7" t="inlineStr">
        <is>
          <t>roll following on the LME panel calendar</t>
        </is>
      </c>
      <c r="N206" s="7" t="inlineStr">
        <is>
          <t>DIRECT</t>
        </is>
      </c>
      <c r="O206" s="9" t="n">
        <v>29279688.1</v>
      </c>
      <c r="P206" s="9" t="n">
        <v>29279688.1</v>
      </c>
      <c r="U206" s="7" t="inlineStr">
        <is>
          <t>PYTHON_LIFECYCLE</t>
        </is>
      </c>
      <c r="V206" s="8">
        <f>$O206</f>
        <v/>
      </c>
      <c r="W206" s="8">
        <f>IF($G206="INR",1,INDEX(Market_Daily!$F$6:$F$256,MATCH($K206,Market_Daily!$A$6:$A$256,0)))</f>
        <v/>
      </c>
      <c r="X206" s="8">
        <f>$V206*$W206</f>
        <v/>
      </c>
      <c r="Y206" s="18">
        <f>$X206-$P206</f>
        <v/>
      </c>
      <c r="Z206" s="8">
        <f>IF(ABS($Y206)&lt;=tol_cashflow_inr,"PASS","FAIL")</f>
        <v/>
      </c>
      <c r="AA206" s="7" t="inlineStr">
        <is>
          <t>+(assessable + duty) x igst_rate at igst_credit_lag_days</t>
        </is>
      </c>
    </row>
    <row r="207">
      <c r="A207" s="7" t="inlineStr">
        <is>
          <t>T01</t>
        </is>
      </c>
      <c r="B207" s="7" t="inlineStr">
        <is>
          <t>IGST:L3</t>
        </is>
      </c>
      <c r="C207" s="7" t="inlineStr">
        <is>
          <t>L3</t>
        </is>
      </c>
      <c r="D207" s="7" t="inlineStr">
        <is>
          <t>IGST_CREDIT</t>
        </is>
      </c>
      <c r="E207" s="7" t="inlineStr">
        <is>
          <t>IGST_CREDIT</t>
        </is>
      </c>
      <c r="F207" s="7" t="inlineStr">
        <is>
          <t>BS</t>
        </is>
      </c>
      <c r="G207" s="7" t="inlineStr">
        <is>
          <t>INR</t>
        </is>
      </c>
      <c r="H207" s="11" t="n">
        <v>44628</v>
      </c>
      <c r="I207" s="11" t="n">
        <v>44699</v>
      </c>
      <c r="J207" s="11" t="n">
        <v>44746</v>
      </c>
      <c r="K207" s="11" t="n">
        <v>44746</v>
      </c>
      <c r="L207" s="7" t="inlineStr">
        <is>
          <t>roll following on the LME panel calendar</t>
        </is>
      </c>
      <c r="N207" s="7" t="inlineStr">
        <is>
          <t>DIRECT</t>
        </is>
      </c>
      <c r="O207" s="9" t="n">
        <v>29279688.1</v>
      </c>
      <c r="P207" s="9" t="n">
        <v>29279688.1</v>
      </c>
      <c r="U207" s="7" t="inlineStr">
        <is>
          <t>PYTHON_LIFECYCLE</t>
        </is>
      </c>
      <c r="V207" s="8">
        <f>$O207</f>
        <v/>
      </c>
      <c r="W207" s="8">
        <f>IF($G207="INR",1,INDEX(Market_Daily!$F$6:$F$256,MATCH($K207,Market_Daily!$A$6:$A$256,0)))</f>
        <v/>
      </c>
      <c r="X207" s="8">
        <f>$V207*$W207</f>
        <v/>
      </c>
      <c r="Y207" s="18">
        <f>$X207-$P207</f>
        <v/>
      </c>
      <c r="Z207" s="8">
        <f>IF(ABS($Y207)&lt;=tol_cashflow_inr,"PASS","FAIL")</f>
        <v/>
      </c>
      <c r="AA207" s="7" t="inlineStr">
        <is>
          <t>+(assessable + duty) x igst_rate at igst_credit_lag_days</t>
        </is>
      </c>
    </row>
    <row r="208">
      <c r="A208" s="7" t="inlineStr">
        <is>
          <t>T02</t>
        </is>
      </c>
      <c r="B208" s="7" t="inlineStr">
        <is>
          <t>MCX:T02-MCX-1</t>
        </is>
      </c>
      <c r="C208" s="7" t="inlineStr">
        <is>
          <t>T02-MCX-1</t>
        </is>
      </c>
      <c r="D208" s="7" t="inlineStr">
        <is>
          <t>MCX_INITIAL_MARGIN</t>
        </is>
      </c>
      <c r="E208" s="7" t="inlineStr">
        <is>
          <t>MCX_INITIAL_MARGIN</t>
        </is>
      </c>
      <c r="F208" s="7" t="inlineStr">
        <is>
          <t>BS</t>
        </is>
      </c>
      <c r="G208" s="7" t="inlineStr">
        <is>
          <t>INR</t>
        </is>
      </c>
      <c r="H208" s="11" t="n">
        <v>44631</v>
      </c>
      <c r="I208" s="11" t="n">
        <v>44631</v>
      </c>
      <c r="J208" s="11" t="n">
        <v>44631</v>
      </c>
      <c r="K208" s="11" t="n">
        <v>44631</v>
      </c>
      <c r="L208" s="7" t="inlineStr">
        <is>
          <t>roll following on the LME panel calendar</t>
        </is>
      </c>
      <c r="N208" s="7" t="inlineStr">
        <is>
          <t>PROXY</t>
        </is>
      </c>
      <c r="O208" s="9" t="n">
        <v>-10649386.45</v>
      </c>
      <c r="P208" s="9" t="n">
        <v>-10649386.45</v>
      </c>
      <c r="U208" s="7" t="inlineStr">
        <is>
          <t>DERIVED_IN_WORKBOOK</t>
        </is>
      </c>
      <c r="V208" s="8">
        <f>-SUMIFS(Cashflows!$W$1043:$W$1393,Cashflows!$B$1043:$B$1393,$C208,Cashflows!$C$1043:$C$1393,$K208)</f>
        <v/>
      </c>
      <c r="W208" s="8">
        <f>IF($G208="INR",1,INDEX(Market_Daily!$F$6:$F$256,MATCH($K208,Market_Daily!$A$6:$A$256,0)))</f>
        <v/>
      </c>
      <c r="X208" s="8">
        <f>$V208*$W208</f>
        <v/>
      </c>
      <c r="Y208" s="18">
        <f>$X208-$P208</f>
        <v/>
      </c>
      <c r="Z208" s="8">
        <f>IF(ABS($Y208)&lt;=tol_cashflow_inr,"PASS","FAIL")</f>
        <v/>
      </c>
      <c r="AA208" s="7" t="inlineStr">
        <is>
          <t>-d(lots x lot_kg x F(s) x mcx_al_margin_used_frac)</t>
        </is>
      </c>
    </row>
    <row r="209">
      <c r="A209" s="7" t="inlineStr">
        <is>
          <t>T02</t>
        </is>
      </c>
      <c r="B209" s="7" t="inlineStr">
        <is>
          <t>MCX:T02-MCX-1</t>
        </is>
      </c>
      <c r="C209" s="7" t="inlineStr">
        <is>
          <t>T02-MCX-1</t>
        </is>
      </c>
      <c r="D209" s="7" t="inlineStr">
        <is>
          <t>MCX_SLIPPAGE</t>
        </is>
      </c>
      <c r="E209" s="7" t="inlineStr">
        <is>
          <t>MCX_SLIPPAGE</t>
        </is>
      </c>
      <c r="F209" s="7" t="inlineStr">
        <is>
          <t>PNL</t>
        </is>
      </c>
      <c r="G209" s="7" t="inlineStr">
        <is>
          <t>INR</t>
        </is>
      </c>
      <c r="H209" s="11" t="n">
        <v>44631</v>
      </c>
      <c r="J209" s="11" t="n">
        <v>44631</v>
      </c>
      <c r="K209" s="11" t="n">
        <v>44631</v>
      </c>
      <c r="L209" s="7" t="inlineStr">
        <is>
          <t>roll following on the LME panel calendar</t>
        </is>
      </c>
      <c r="N209" s="7" t="inlineStr">
        <is>
          <t>ASSUMPTION</t>
        </is>
      </c>
      <c r="O209" s="9" t="n">
        <v>-37000</v>
      </c>
      <c r="P209" s="9" t="n">
        <v>-37000</v>
      </c>
      <c r="U209" s="7" t="inlineStr">
        <is>
          <t>DERIVED_IN_WORKBOOK</t>
        </is>
      </c>
      <c r="V209" s="8">
        <f>SUMIFS(Cashflows!$Z$1043:$Z$1393,Cashflows!$B$1043:$B$1393,$C209,Cashflows!$C$1043:$C$1393,$K209)</f>
        <v/>
      </c>
      <c r="W209" s="8">
        <f>IF($G209="INR",1,INDEX(Market_Daily!$F$6:$F$256,MATCH($K209,Market_Daily!$A$6:$A$256,0)))</f>
        <v/>
      </c>
      <c r="X209" s="8">
        <f>$V209*$W209</f>
        <v/>
      </c>
      <c r="Y209" s="18">
        <f>$X209-$P209</f>
        <v/>
      </c>
      <c r="Z209" s="8">
        <f>IF(ABS($Y209)&lt;=tol_cashflow_inr,"PASS","FAIL")</f>
        <v/>
      </c>
      <c r="AA209" s="7" t="inlineStr">
        <is>
          <t>-lots x lot_kg x mcx_slippage_ticks x tick</t>
        </is>
      </c>
    </row>
    <row r="210">
      <c r="A210" s="7" t="inlineStr">
        <is>
          <t>T02</t>
        </is>
      </c>
      <c r="B210" s="7" t="inlineStr">
        <is>
          <t>MCX:T02-MCX-1</t>
        </is>
      </c>
      <c r="C210" s="7" t="inlineStr">
        <is>
          <t>T02-MCX-1</t>
        </is>
      </c>
      <c r="D210" s="7" t="inlineStr">
        <is>
          <t>MCX_TRANSACTION_COST</t>
        </is>
      </c>
      <c r="E210" s="7" t="inlineStr">
        <is>
          <t>MCX_TRANSACTION_COST</t>
        </is>
      </c>
      <c r="F210" s="7" t="inlineStr">
        <is>
          <t>PNL</t>
        </is>
      </c>
      <c r="G210" s="7" t="inlineStr">
        <is>
          <t>INR</t>
        </is>
      </c>
      <c r="H210" s="11" t="n">
        <v>44631</v>
      </c>
      <c r="I210" s="11" t="n">
        <v>44631</v>
      </c>
      <c r="J210" s="11" t="n">
        <v>44631</v>
      </c>
      <c r="K210" s="11" t="n">
        <v>44631</v>
      </c>
      <c r="L210" s="7" t="inlineStr">
        <is>
          <t>roll following on the LME panel calendar</t>
        </is>
      </c>
      <c r="N210" s="7" t="inlineStr">
        <is>
          <t>ASSUMPTION</t>
        </is>
      </c>
      <c r="O210" s="9" t="n">
        <v>-31937.06</v>
      </c>
      <c r="P210" s="9" t="n">
        <v>-31937.06</v>
      </c>
      <c r="U210" s="7" t="inlineStr">
        <is>
          <t>DERIVED_IN_WORKBOOK</t>
        </is>
      </c>
      <c r="V210" s="8">
        <f>SUMIFS(Cashflows!$AA$1043:$AA$1393,Cashflows!$B$1043:$B$1393,$C210,Cashflows!$C$1043:$C$1393,$K210)</f>
        <v/>
      </c>
      <c r="W210" s="8">
        <f>IF($G210="INR",1,INDEX(Market_Daily!$F$6:$F$256,MATCH($K210,Market_Daily!$A$6:$A$256,0)))</f>
        <v/>
      </c>
      <c r="X210" s="8">
        <f>$V210*$W210</f>
        <v/>
      </c>
      <c r="Y210" s="18">
        <f>$X210-$P210</f>
        <v/>
      </c>
      <c r="Z210" s="8">
        <f>IF(ABS($Y210)&lt;=tol_cashflow_inr,"PASS","FAIL")</f>
        <v/>
      </c>
      <c r="AA210" s="7" t="inlineStr">
        <is>
          <t>-lots x lot_kg x fill x mcx_txn_cost_frac</t>
        </is>
      </c>
    </row>
    <row r="211">
      <c r="A211" s="7" t="inlineStr">
        <is>
          <t>T02</t>
        </is>
      </c>
      <c r="B211" s="7" t="inlineStr">
        <is>
          <t>MCX:T02-MCX-1</t>
        </is>
      </c>
      <c r="C211" s="7" t="inlineStr">
        <is>
          <t>T02-MCX-1</t>
        </is>
      </c>
      <c r="D211" s="7" t="inlineStr">
        <is>
          <t>MCX_VARIATION_MARGIN</t>
        </is>
      </c>
      <c r="E211" s="7" t="inlineStr">
        <is>
          <t>MCX_VARIATION_MARGIN</t>
        </is>
      </c>
      <c r="F211" s="7" t="inlineStr">
        <is>
          <t>PNL</t>
        </is>
      </c>
      <c r="G211" s="7" t="inlineStr">
        <is>
          <t>INR</t>
        </is>
      </c>
      <c r="H211" s="11" t="n">
        <v>44631</v>
      </c>
      <c r="I211" s="11" t="n">
        <v>44631</v>
      </c>
      <c r="J211" s="11" t="n">
        <v>44631</v>
      </c>
      <c r="K211" s="11" t="n">
        <v>44631</v>
      </c>
      <c r="L211" s="7" t="inlineStr">
        <is>
          <t>roll following on the LME panel calendar</t>
        </is>
      </c>
      <c r="N211" s="7" t="inlineStr">
        <is>
          <t>PROXY</t>
        </is>
      </c>
      <c r="O211" s="9" t="n">
        <v>-0</v>
      </c>
      <c r="P211" s="9" t="n">
        <v>-0</v>
      </c>
      <c r="U211" s="7" t="inlineStr">
        <is>
          <t>DERIVED_IN_WORKBOOK</t>
        </is>
      </c>
      <c r="V211" s="8">
        <f>SUMIFS(Cashflows!$R$1043:$R$1393,Cashflows!$B$1043:$B$1393,$C211,Cashflows!$C$1043:$C$1393,$K211)</f>
        <v/>
      </c>
      <c r="W211" s="8">
        <f>IF($G211="INR",1,INDEX(Market_Daily!$F$6:$F$256,MATCH($K211,Market_Daily!$A$6:$A$256,0)))</f>
        <v/>
      </c>
      <c r="X211" s="8">
        <f>$V211*$W211</f>
        <v/>
      </c>
      <c r="Y211" s="18">
        <f>$X211-$P211</f>
        <v/>
      </c>
      <c r="Z211" s="8">
        <f>IF(ABS($Y211)&lt;=tol_cashflow_inr,"PASS","FAIL")</f>
        <v/>
      </c>
      <c r="AA211" s="7" t="inlineStr">
        <is>
          <t>direction x lots x lot_kg x (F(entry) - entry settle) = 0 by construction</t>
        </is>
      </c>
    </row>
    <row r="212">
      <c r="A212" s="7" t="inlineStr">
        <is>
          <t>T02</t>
        </is>
      </c>
      <c r="B212" s="7" t="inlineStr">
        <is>
          <t>MCX:T02-MCX-1</t>
        </is>
      </c>
      <c r="C212" s="7" t="inlineStr">
        <is>
          <t>T02-MCX-1</t>
        </is>
      </c>
      <c r="D212" s="7" t="inlineStr">
        <is>
          <t>MCX_INITIAL_MARGIN</t>
        </is>
      </c>
      <c r="E212" s="7" t="inlineStr">
        <is>
          <t>MCX_INITIAL_MARGIN</t>
        </is>
      </c>
      <c r="F212" s="7" t="inlineStr">
        <is>
          <t>BS</t>
        </is>
      </c>
      <c r="G212" s="7" t="inlineStr">
        <is>
          <t>INR</t>
        </is>
      </c>
      <c r="H212" s="11" t="n">
        <v>44631</v>
      </c>
      <c r="I212" s="11" t="n">
        <v>44634</v>
      </c>
      <c r="J212" s="11" t="n">
        <v>44634</v>
      </c>
      <c r="K212" s="11" t="n">
        <v>44634</v>
      </c>
      <c r="L212" s="7" t="inlineStr">
        <is>
          <t>roll following on the LME panel calendar</t>
        </is>
      </c>
      <c r="N212" s="7" t="inlineStr">
        <is>
          <t>PROXY</t>
        </is>
      </c>
      <c r="O212" s="9" t="n">
        <v>205632.38</v>
      </c>
      <c r="P212" s="9" t="n">
        <v>205632.38</v>
      </c>
      <c r="U212" s="7" t="inlineStr">
        <is>
          <t>DERIVED_IN_WORKBOOK</t>
        </is>
      </c>
      <c r="V212" s="8">
        <f>-SUMIFS(Cashflows!$W$1043:$W$1393,Cashflows!$B$1043:$B$1393,$C212,Cashflows!$C$1043:$C$1393,$K212)</f>
        <v/>
      </c>
      <c r="W212" s="8">
        <f>IF($G212="INR",1,INDEX(Market_Daily!$F$6:$F$256,MATCH($K212,Market_Daily!$A$6:$A$256,0)))</f>
        <v/>
      </c>
      <c r="X212" s="8">
        <f>$V212*$W212</f>
        <v/>
      </c>
      <c r="Y212" s="18">
        <f>$X212-$P212</f>
        <v/>
      </c>
      <c r="Z212" s="8">
        <f>IF(ABS($Y212)&lt;=tol_cashflow_inr,"PASS","FAIL")</f>
        <v/>
      </c>
      <c r="AA212" s="7" t="inlineStr">
        <is>
          <t>-d(lots x lot_kg x F(s) x mcx_al_margin_used_frac)</t>
        </is>
      </c>
    </row>
    <row r="213">
      <c r="A213" s="7" t="inlineStr">
        <is>
          <t>T02</t>
        </is>
      </c>
      <c r="B213" s="7" t="inlineStr">
        <is>
          <t>MCX:T02-MCX-1</t>
        </is>
      </c>
      <c r="C213" s="7" t="inlineStr">
        <is>
          <t>T02-MCX-1</t>
        </is>
      </c>
      <c r="D213" s="7" t="inlineStr">
        <is>
          <t>MCX_VARIATION_MARGIN</t>
        </is>
      </c>
      <c r="E213" s="7" t="inlineStr">
        <is>
          <t>MCX_VARIATION_MARGIN</t>
        </is>
      </c>
      <c r="F213" s="7" t="inlineStr">
        <is>
          <t>PNL</t>
        </is>
      </c>
      <c r="G213" s="7" t="inlineStr">
        <is>
          <t>INR</t>
        </is>
      </c>
      <c r="H213" s="11" t="n">
        <v>44631</v>
      </c>
      <c r="I213" s="11" t="n">
        <v>44634</v>
      </c>
      <c r="J213" s="11" t="n">
        <v>44634</v>
      </c>
      <c r="K213" s="11" t="n">
        <v>44634</v>
      </c>
      <c r="L213" s="7" t="inlineStr">
        <is>
          <t>roll following on the LME panel calendar</t>
        </is>
      </c>
      <c r="N213" s="7" t="inlineStr">
        <is>
          <t>PROXY</t>
        </is>
      </c>
      <c r="O213" s="9" t="n">
        <v>2056323.76</v>
      </c>
      <c r="P213" s="9" t="n">
        <v>2056323.76</v>
      </c>
      <c r="U213" s="7" t="inlineStr">
        <is>
          <t>DERIVED_IN_WORKBOOK</t>
        </is>
      </c>
      <c r="V213" s="8">
        <f>SUMIFS(Cashflows!$R$1043:$R$1393,Cashflows!$B$1043:$B$1393,$C213,Cashflows!$C$1043:$C$1393,$K213)</f>
        <v/>
      </c>
      <c r="W213" s="8">
        <f>IF($G213="INR",1,INDEX(Market_Daily!$F$6:$F$256,MATCH($K213,Market_Daily!$A$6:$A$256,0)))</f>
        <v/>
      </c>
      <c r="X213" s="8">
        <f>$V213*$W213</f>
        <v/>
      </c>
      <c r="Y213" s="18">
        <f>$X213-$P213</f>
        <v/>
      </c>
      <c r="Z213" s="8">
        <f>IF(ABS($Y213)&lt;=tol_cashflow_inr,"PASS","FAIL")</f>
        <v/>
      </c>
      <c r="AA213" s="7" t="inlineStr">
        <is>
          <t>direction x lots x lot_kg x (F(s) - F(s-1))</t>
        </is>
      </c>
    </row>
    <row r="214">
      <c r="A214" s="7" t="inlineStr">
        <is>
          <t>T02</t>
        </is>
      </c>
      <c r="B214" s="7" t="inlineStr">
        <is>
          <t>MCX:T02-MCX-1</t>
        </is>
      </c>
      <c r="C214" s="7" t="inlineStr">
        <is>
          <t>T02-MCX-1</t>
        </is>
      </c>
      <c r="D214" s="7" t="inlineStr">
        <is>
          <t>MCX_INITIAL_MARGIN</t>
        </is>
      </c>
      <c r="E214" s="7" t="inlineStr">
        <is>
          <t>MCX_INITIAL_MARGIN</t>
        </is>
      </c>
      <c r="F214" s="7" t="inlineStr">
        <is>
          <t>BS</t>
        </is>
      </c>
      <c r="G214" s="7" t="inlineStr">
        <is>
          <t>INR</t>
        </is>
      </c>
      <c r="H214" s="11" t="n">
        <v>44631</v>
      </c>
      <c r="I214" s="11" t="n">
        <v>44635</v>
      </c>
      <c r="J214" s="11" t="n">
        <v>44635</v>
      </c>
      <c r="K214" s="11" t="n">
        <v>44635</v>
      </c>
      <c r="L214" s="7" t="inlineStr">
        <is>
          <t>roll following on the LME panel calendar</t>
        </is>
      </c>
      <c r="N214" s="7" t="inlineStr">
        <is>
          <t>PROXY</t>
        </is>
      </c>
      <c r="O214" s="9" t="n">
        <v>583701.42</v>
      </c>
      <c r="P214" s="9" t="n">
        <v>583701.42</v>
      </c>
      <c r="U214" s="7" t="inlineStr">
        <is>
          <t>DERIVED_IN_WORKBOOK</t>
        </is>
      </c>
      <c r="V214" s="8">
        <f>-SUMIFS(Cashflows!$W$1043:$W$1393,Cashflows!$B$1043:$B$1393,$C214,Cashflows!$C$1043:$C$1393,$K214)</f>
        <v/>
      </c>
      <c r="W214" s="8">
        <f>IF($G214="INR",1,INDEX(Market_Daily!$F$6:$F$256,MATCH($K214,Market_Daily!$A$6:$A$256,0)))</f>
        <v/>
      </c>
      <c r="X214" s="8">
        <f>$V214*$W214</f>
        <v/>
      </c>
      <c r="Y214" s="18">
        <f>$X214-$P214</f>
        <v/>
      </c>
      <c r="Z214" s="8">
        <f>IF(ABS($Y214)&lt;=tol_cashflow_inr,"PASS","FAIL")</f>
        <v/>
      </c>
      <c r="AA214" s="7" t="inlineStr">
        <is>
          <t>-d(lots x lot_kg x F(s) x mcx_al_margin_used_frac)</t>
        </is>
      </c>
    </row>
    <row r="215">
      <c r="A215" s="7" t="inlineStr">
        <is>
          <t>T02</t>
        </is>
      </c>
      <c r="B215" s="7" t="inlineStr">
        <is>
          <t>MCX:T02-MCX-1</t>
        </is>
      </c>
      <c r="C215" s="7" t="inlineStr">
        <is>
          <t>T02-MCX-1</t>
        </is>
      </c>
      <c r="D215" s="7" t="inlineStr">
        <is>
          <t>MCX_VARIATION_MARGIN</t>
        </is>
      </c>
      <c r="E215" s="7" t="inlineStr">
        <is>
          <t>MCX_VARIATION_MARGIN</t>
        </is>
      </c>
      <c r="F215" s="7" t="inlineStr">
        <is>
          <t>PNL</t>
        </is>
      </c>
      <c r="G215" s="7" t="inlineStr">
        <is>
          <t>INR</t>
        </is>
      </c>
      <c r="H215" s="11" t="n">
        <v>44631</v>
      </c>
      <c r="I215" s="11" t="n">
        <v>44635</v>
      </c>
      <c r="J215" s="11" t="n">
        <v>44635</v>
      </c>
      <c r="K215" s="11" t="n">
        <v>44635</v>
      </c>
      <c r="L215" s="7" t="inlineStr">
        <is>
          <t>roll following on the LME panel calendar</t>
        </is>
      </c>
      <c r="N215" s="7" t="inlineStr">
        <is>
          <t>PROXY</t>
        </is>
      </c>
      <c r="O215" s="9" t="n">
        <v>5837014.22</v>
      </c>
      <c r="P215" s="9" t="n">
        <v>5837014.22</v>
      </c>
      <c r="U215" s="7" t="inlineStr">
        <is>
          <t>DERIVED_IN_WORKBOOK</t>
        </is>
      </c>
      <c r="V215" s="8">
        <f>SUMIFS(Cashflows!$R$1043:$R$1393,Cashflows!$B$1043:$B$1393,$C215,Cashflows!$C$1043:$C$1393,$K215)</f>
        <v/>
      </c>
      <c r="W215" s="8">
        <f>IF($G215="INR",1,INDEX(Market_Daily!$F$6:$F$256,MATCH($K215,Market_Daily!$A$6:$A$256,0)))</f>
        <v/>
      </c>
      <c r="X215" s="8">
        <f>$V215*$W215</f>
        <v/>
      </c>
      <c r="Y215" s="18">
        <f>$X215-$P215</f>
        <v/>
      </c>
      <c r="Z215" s="8">
        <f>IF(ABS($Y215)&lt;=tol_cashflow_inr,"PASS","FAIL")</f>
        <v/>
      </c>
      <c r="AA215" s="7" t="inlineStr">
        <is>
          <t>direction x lots x lot_kg x (F(s) - F(s-1))</t>
        </is>
      </c>
    </row>
    <row r="216">
      <c r="A216" s="7" t="inlineStr">
        <is>
          <t>T02</t>
        </is>
      </c>
      <c r="B216" s="7" t="inlineStr">
        <is>
          <t>MCX:T02-MCX-1</t>
        </is>
      </c>
      <c r="C216" s="7" t="inlineStr">
        <is>
          <t>T02-MCX-1</t>
        </is>
      </c>
      <c r="D216" s="7" t="inlineStr">
        <is>
          <t>MCX_INITIAL_MARGIN</t>
        </is>
      </c>
      <c r="E216" s="7" t="inlineStr">
        <is>
          <t>MCX_INITIAL_MARGIN</t>
        </is>
      </c>
      <c r="F216" s="7" t="inlineStr">
        <is>
          <t>BS</t>
        </is>
      </c>
      <c r="G216" s="7" t="inlineStr">
        <is>
          <t>INR</t>
        </is>
      </c>
      <c r="H216" s="11" t="n">
        <v>44631</v>
      </c>
      <c r="I216" s="11" t="n">
        <v>44636</v>
      </c>
      <c r="J216" s="11" t="n">
        <v>44636</v>
      </c>
      <c r="K216" s="11" t="n">
        <v>44636</v>
      </c>
      <c r="L216" s="7" t="inlineStr">
        <is>
          <t>roll following on the LME panel calendar</t>
        </is>
      </c>
      <c r="N216" s="7" t="inlineStr">
        <is>
          <t>PROXY</t>
        </is>
      </c>
      <c r="O216" s="9" t="n">
        <v>-246290.02</v>
      </c>
      <c r="P216" s="9" t="n">
        <v>-246290.02</v>
      </c>
      <c r="U216" s="7" t="inlineStr">
        <is>
          <t>DERIVED_IN_WORKBOOK</t>
        </is>
      </c>
      <c r="V216" s="8">
        <f>-SUMIFS(Cashflows!$W$1043:$W$1393,Cashflows!$B$1043:$B$1393,$C216,Cashflows!$C$1043:$C$1393,$K216)</f>
        <v/>
      </c>
      <c r="W216" s="8">
        <f>IF($G216="INR",1,INDEX(Market_Daily!$F$6:$F$256,MATCH($K216,Market_Daily!$A$6:$A$256,0)))</f>
        <v/>
      </c>
      <c r="X216" s="8">
        <f>$V216*$W216</f>
        <v/>
      </c>
      <c r="Y216" s="18">
        <f>$X216-$P216</f>
        <v/>
      </c>
      <c r="Z216" s="8">
        <f>IF(ABS($Y216)&lt;=tol_cashflow_inr,"PASS","FAIL")</f>
        <v/>
      </c>
      <c r="AA216" s="7" t="inlineStr">
        <is>
          <t>-d(lots x lot_kg x F(s) x mcx_al_margin_used_frac)</t>
        </is>
      </c>
    </row>
    <row r="217">
      <c r="A217" s="7" t="inlineStr">
        <is>
          <t>T02</t>
        </is>
      </c>
      <c r="B217" s="7" t="inlineStr">
        <is>
          <t>MCX:T02-MCX-1</t>
        </is>
      </c>
      <c r="C217" s="7" t="inlineStr">
        <is>
          <t>T02-MCX-1</t>
        </is>
      </c>
      <c r="D217" s="7" t="inlineStr">
        <is>
          <t>MCX_VARIATION_MARGIN</t>
        </is>
      </c>
      <c r="E217" s="7" t="inlineStr">
        <is>
          <t>MCX_VARIATION_MARGIN</t>
        </is>
      </c>
      <c r="F217" s="7" t="inlineStr">
        <is>
          <t>PNL</t>
        </is>
      </c>
      <c r="G217" s="7" t="inlineStr">
        <is>
          <t>INR</t>
        </is>
      </c>
      <c r="H217" s="11" t="n">
        <v>44631</v>
      </c>
      <c r="I217" s="11" t="n">
        <v>44636</v>
      </c>
      <c r="J217" s="11" t="n">
        <v>44636</v>
      </c>
      <c r="K217" s="11" t="n">
        <v>44636</v>
      </c>
      <c r="L217" s="7" t="inlineStr">
        <is>
          <t>roll following on the LME panel calendar</t>
        </is>
      </c>
      <c r="N217" s="7" t="inlineStr">
        <is>
          <t>PROXY</t>
        </is>
      </c>
      <c r="O217" s="9" t="n">
        <v>-2462900.24</v>
      </c>
      <c r="P217" s="9" t="n">
        <v>-2462900.24</v>
      </c>
      <c r="U217" s="7" t="inlineStr">
        <is>
          <t>DERIVED_IN_WORKBOOK</t>
        </is>
      </c>
      <c r="V217" s="8">
        <f>SUMIFS(Cashflows!$R$1043:$R$1393,Cashflows!$B$1043:$B$1393,$C217,Cashflows!$C$1043:$C$1393,$K217)</f>
        <v/>
      </c>
      <c r="W217" s="8">
        <f>IF($G217="INR",1,INDEX(Market_Daily!$F$6:$F$256,MATCH($K217,Market_Daily!$A$6:$A$256,0)))</f>
        <v/>
      </c>
      <c r="X217" s="8">
        <f>$V217*$W217</f>
        <v/>
      </c>
      <c r="Y217" s="18">
        <f>$X217-$P217</f>
        <v/>
      </c>
      <c r="Z217" s="8">
        <f>IF(ABS($Y217)&lt;=tol_cashflow_inr,"PASS","FAIL")</f>
        <v/>
      </c>
      <c r="AA217" s="7" t="inlineStr">
        <is>
          <t>direction x lots x lot_kg x (F(s) - F(s-1))</t>
        </is>
      </c>
    </row>
    <row r="218">
      <c r="A218" s="7" t="inlineStr">
        <is>
          <t>T02</t>
        </is>
      </c>
      <c r="B218" s="7" t="inlineStr">
        <is>
          <t>MCX:T02-MCX-1</t>
        </is>
      </c>
      <c r="C218" s="7" t="inlineStr">
        <is>
          <t>T02-MCX-1</t>
        </is>
      </c>
      <c r="D218" s="7" t="inlineStr">
        <is>
          <t>MCX_INITIAL_MARGIN</t>
        </is>
      </c>
      <c r="E218" s="7" t="inlineStr">
        <is>
          <t>MCX_INITIAL_MARGIN</t>
        </is>
      </c>
      <c r="F218" s="7" t="inlineStr">
        <is>
          <t>BS</t>
        </is>
      </c>
      <c r="G218" s="7" t="inlineStr">
        <is>
          <t>INR</t>
        </is>
      </c>
      <c r="H218" s="11" t="n">
        <v>44631</v>
      </c>
      <c r="I218" s="11" t="n">
        <v>44637</v>
      </c>
      <c r="J218" s="11" t="n">
        <v>44637</v>
      </c>
      <c r="K218" s="11" t="n">
        <v>44637</v>
      </c>
      <c r="L218" s="7" t="inlineStr">
        <is>
          <t>roll following on the LME panel calendar</t>
        </is>
      </c>
      <c r="N218" s="7" t="inlineStr">
        <is>
          <t>PROXY</t>
        </is>
      </c>
      <c r="O218" s="9" t="n">
        <v>100390.78</v>
      </c>
      <c r="P218" s="9" t="n">
        <v>100390.78</v>
      </c>
      <c r="U218" s="7" t="inlineStr">
        <is>
          <t>DERIVED_IN_WORKBOOK</t>
        </is>
      </c>
      <c r="V218" s="8">
        <f>-SUMIFS(Cashflows!$W$1043:$W$1393,Cashflows!$B$1043:$B$1393,$C218,Cashflows!$C$1043:$C$1393,$K218)</f>
        <v/>
      </c>
      <c r="W218" s="8">
        <f>IF($G218="INR",1,INDEX(Market_Daily!$F$6:$F$256,MATCH($K218,Market_Daily!$A$6:$A$256,0)))</f>
        <v/>
      </c>
      <c r="X218" s="8">
        <f>$V218*$W218</f>
        <v/>
      </c>
      <c r="Y218" s="18">
        <f>$X218-$P218</f>
        <v/>
      </c>
      <c r="Z218" s="8">
        <f>IF(ABS($Y218)&lt;=tol_cashflow_inr,"PASS","FAIL")</f>
        <v/>
      </c>
      <c r="AA218" s="7" t="inlineStr">
        <is>
          <t>-d(lots x lot_kg x F(s) x mcx_al_margin_used_frac)</t>
        </is>
      </c>
    </row>
    <row r="219">
      <c r="A219" s="7" t="inlineStr">
        <is>
          <t>T02</t>
        </is>
      </c>
      <c r="B219" s="7" t="inlineStr">
        <is>
          <t>MCX:T02-MCX-1</t>
        </is>
      </c>
      <c r="C219" s="7" t="inlineStr">
        <is>
          <t>T02-MCX-1</t>
        </is>
      </c>
      <c r="D219" s="7" t="inlineStr">
        <is>
          <t>MCX_VARIATION_MARGIN</t>
        </is>
      </c>
      <c r="E219" s="7" t="inlineStr">
        <is>
          <t>MCX_VARIATION_MARGIN</t>
        </is>
      </c>
      <c r="F219" s="7" t="inlineStr">
        <is>
          <t>PNL</t>
        </is>
      </c>
      <c r="G219" s="7" t="inlineStr">
        <is>
          <t>INR</t>
        </is>
      </c>
      <c r="H219" s="11" t="n">
        <v>44631</v>
      </c>
      <c r="I219" s="11" t="n">
        <v>44637</v>
      </c>
      <c r="J219" s="11" t="n">
        <v>44637</v>
      </c>
      <c r="K219" s="11" t="n">
        <v>44637</v>
      </c>
      <c r="L219" s="7" t="inlineStr">
        <is>
          <t>roll following on the LME panel calendar</t>
        </is>
      </c>
      <c r="N219" s="7" t="inlineStr">
        <is>
          <t>PROXY</t>
        </is>
      </c>
      <c r="O219" s="9" t="n">
        <v>1003907.81</v>
      </c>
      <c r="P219" s="9" t="n">
        <v>1003907.81</v>
      </c>
      <c r="U219" s="7" t="inlineStr">
        <is>
          <t>DERIVED_IN_WORKBOOK</t>
        </is>
      </c>
      <c r="V219" s="8">
        <f>SUMIFS(Cashflows!$R$1043:$R$1393,Cashflows!$B$1043:$B$1393,$C219,Cashflows!$C$1043:$C$1393,$K219)</f>
        <v/>
      </c>
      <c r="W219" s="8">
        <f>IF($G219="INR",1,INDEX(Market_Daily!$F$6:$F$256,MATCH($K219,Market_Daily!$A$6:$A$256,0)))</f>
        <v/>
      </c>
      <c r="X219" s="8">
        <f>$V219*$W219</f>
        <v/>
      </c>
      <c r="Y219" s="18">
        <f>$X219-$P219</f>
        <v/>
      </c>
      <c r="Z219" s="8">
        <f>IF(ABS($Y219)&lt;=tol_cashflow_inr,"PASS","FAIL")</f>
        <v/>
      </c>
      <c r="AA219" s="7" t="inlineStr">
        <is>
          <t>direction x lots x lot_kg x (F(s) - F(s-1))</t>
        </is>
      </c>
    </row>
    <row r="220">
      <c r="A220" s="7" t="inlineStr">
        <is>
          <t>T02</t>
        </is>
      </c>
      <c r="B220" s="7" t="inlineStr">
        <is>
          <t>MCX:T02-MCX-1</t>
        </is>
      </c>
      <c r="C220" s="7" t="inlineStr">
        <is>
          <t>T02-MCX-1</t>
        </is>
      </c>
      <c r="D220" s="7" t="inlineStr">
        <is>
          <t>MCX_INITIAL_MARGIN</t>
        </is>
      </c>
      <c r="E220" s="7" t="inlineStr">
        <is>
          <t>MCX_INITIAL_MARGIN</t>
        </is>
      </c>
      <c r="F220" s="7" t="inlineStr">
        <is>
          <t>BS</t>
        </is>
      </c>
      <c r="G220" s="7" t="inlineStr">
        <is>
          <t>INR</t>
        </is>
      </c>
      <c r="H220" s="11" t="n">
        <v>44631</v>
      </c>
      <c r="I220" s="11" t="n">
        <v>44638</v>
      </c>
      <c r="J220" s="11" t="n">
        <v>44638</v>
      </c>
      <c r="K220" s="11" t="n">
        <v>44638</v>
      </c>
      <c r="L220" s="7" t="inlineStr">
        <is>
          <t>roll following on the LME panel calendar</t>
        </is>
      </c>
      <c r="N220" s="7" t="inlineStr">
        <is>
          <t>PROXY</t>
        </is>
      </c>
      <c r="O220" s="9" t="n">
        <v>-313104.41</v>
      </c>
      <c r="P220" s="9" t="n">
        <v>-313104.41</v>
      </c>
      <c r="U220" s="7" t="inlineStr">
        <is>
          <t>DERIVED_IN_WORKBOOK</t>
        </is>
      </c>
      <c r="V220" s="8">
        <f>-SUMIFS(Cashflows!$W$1043:$W$1393,Cashflows!$B$1043:$B$1393,$C220,Cashflows!$C$1043:$C$1393,$K220)</f>
        <v/>
      </c>
      <c r="W220" s="8">
        <f>IF($G220="INR",1,INDEX(Market_Daily!$F$6:$F$256,MATCH($K220,Market_Daily!$A$6:$A$256,0)))</f>
        <v/>
      </c>
      <c r="X220" s="8">
        <f>$V220*$W220</f>
        <v/>
      </c>
      <c r="Y220" s="18">
        <f>$X220-$P220</f>
        <v/>
      </c>
      <c r="Z220" s="8">
        <f>IF(ABS($Y220)&lt;=tol_cashflow_inr,"PASS","FAIL")</f>
        <v/>
      </c>
      <c r="AA220" s="7" t="inlineStr">
        <is>
          <t>-d(lots x lot_kg x F(s) x mcx_al_margin_used_frac)</t>
        </is>
      </c>
    </row>
    <row r="221">
      <c r="A221" s="7" t="inlineStr">
        <is>
          <t>T02</t>
        </is>
      </c>
      <c r="B221" s="7" t="inlineStr">
        <is>
          <t>MCX:T02-MCX-1</t>
        </is>
      </c>
      <c r="C221" s="7" t="inlineStr">
        <is>
          <t>T02-MCX-1</t>
        </is>
      </c>
      <c r="D221" s="7" t="inlineStr">
        <is>
          <t>MCX_VARIATION_MARGIN</t>
        </is>
      </c>
      <c r="E221" s="7" t="inlineStr">
        <is>
          <t>MCX_VARIATION_MARGIN</t>
        </is>
      </c>
      <c r="F221" s="7" t="inlineStr">
        <is>
          <t>PNL</t>
        </is>
      </c>
      <c r="G221" s="7" t="inlineStr">
        <is>
          <t>INR</t>
        </is>
      </c>
      <c r="H221" s="11" t="n">
        <v>44631</v>
      </c>
      <c r="I221" s="11" t="n">
        <v>44638</v>
      </c>
      <c r="J221" s="11" t="n">
        <v>44638</v>
      </c>
      <c r="K221" s="11" t="n">
        <v>44638</v>
      </c>
      <c r="L221" s="7" t="inlineStr">
        <is>
          <t>roll following on the LME panel calendar</t>
        </is>
      </c>
      <c r="N221" s="7" t="inlineStr">
        <is>
          <t>PROXY</t>
        </is>
      </c>
      <c r="O221" s="9" t="n">
        <v>-3131044.11</v>
      </c>
      <c r="P221" s="9" t="n">
        <v>-3131044.11</v>
      </c>
      <c r="U221" s="7" t="inlineStr">
        <is>
          <t>DERIVED_IN_WORKBOOK</t>
        </is>
      </c>
      <c r="V221" s="8">
        <f>SUMIFS(Cashflows!$R$1043:$R$1393,Cashflows!$B$1043:$B$1393,$C221,Cashflows!$C$1043:$C$1393,$K221)</f>
        <v/>
      </c>
      <c r="W221" s="8">
        <f>IF($G221="INR",1,INDEX(Market_Daily!$F$6:$F$256,MATCH($K221,Market_Daily!$A$6:$A$256,0)))</f>
        <v/>
      </c>
      <c r="X221" s="8">
        <f>$V221*$W221</f>
        <v/>
      </c>
      <c r="Y221" s="18">
        <f>$X221-$P221</f>
        <v/>
      </c>
      <c r="Z221" s="8">
        <f>IF(ABS($Y221)&lt;=tol_cashflow_inr,"PASS","FAIL")</f>
        <v/>
      </c>
      <c r="AA221" s="7" t="inlineStr">
        <is>
          <t>direction x lots x lot_kg x (F(s) - F(s-1))</t>
        </is>
      </c>
    </row>
    <row r="222">
      <c r="A222" s="7" t="inlineStr">
        <is>
          <t>T02</t>
        </is>
      </c>
      <c r="B222" s="7" t="inlineStr">
        <is>
          <t>LC_FEES</t>
        </is>
      </c>
      <c r="D222" s="7" t="inlineStr">
        <is>
          <t>LC_OPENING_FEE</t>
        </is>
      </c>
      <c r="E222" s="7" t="inlineStr">
        <is>
          <t>LC_OPENING_FEE</t>
        </is>
      </c>
      <c r="F222" s="7" t="inlineStr">
        <is>
          <t>PNL</t>
        </is>
      </c>
      <c r="G222" s="7" t="inlineStr">
        <is>
          <t>USD</t>
        </is>
      </c>
      <c r="H222" s="11" t="n">
        <v>44631</v>
      </c>
      <c r="I222" s="11" t="n">
        <v>44641</v>
      </c>
      <c r="J222" s="11" t="n">
        <v>44641</v>
      </c>
      <c r="K222" s="11" t="n">
        <v>44641</v>
      </c>
      <c r="L222" s="7" t="inlineStr">
        <is>
          <t>roll following on the LME panel calendar</t>
        </is>
      </c>
      <c r="N222" s="7" t="inlineStr">
        <is>
          <t>DIRECT</t>
        </is>
      </c>
      <c r="O222" s="9" t="n">
        <v>-4741.89</v>
      </c>
      <c r="P222" s="9" t="n">
        <v>-361649.58</v>
      </c>
      <c r="U222" s="7" t="inlineStr">
        <is>
          <t>PYTHON_LIFECYCLE</t>
        </is>
      </c>
      <c r="V222" s="8">
        <f>$O222</f>
        <v/>
      </c>
      <c r="W222" s="8">
        <f>IF($G222="INR",1,INDEX(Market_Daily!$F$6:$F$256,MATCH($K222,Market_Daily!$A$6:$A$256,0)))</f>
        <v/>
      </c>
      <c r="X222" s="8">
        <f>$V222*$W222</f>
        <v/>
      </c>
      <c r="Y222" s="18">
        <f>$X222-$P222</f>
        <v/>
      </c>
      <c r="Z222" s="8">
        <f>IF(ABS($Y222)&lt;=tol_cashflow_inr,"PASS","FAIL")</f>
        <v/>
      </c>
      <c r="AA222" s="7" t="inlineStr">
        <is>
          <t>-lc_opening_fee_frac_per_month x ceil(validity/30) x lc_value_usd</t>
        </is>
      </c>
    </row>
    <row r="223">
      <c r="A223" s="7" t="inlineStr">
        <is>
          <t>T02</t>
        </is>
      </c>
      <c r="B223" s="7" t="inlineStr">
        <is>
          <t>MCX:T02-MCX-1</t>
        </is>
      </c>
      <c r="C223" s="7" t="inlineStr">
        <is>
          <t>T02-MCX-1</t>
        </is>
      </c>
      <c r="D223" s="7" t="inlineStr">
        <is>
          <t>MCX_INITIAL_MARGIN</t>
        </is>
      </c>
      <c r="E223" s="7" t="inlineStr">
        <is>
          <t>MCX_INITIAL_MARGIN</t>
        </is>
      </c>
      <c r="F223" s="7" t="inlineStr">
        <is>
          <t>BS</t>
        </is>
      </c>
      <c r="G223" s="7" t="inlineStr">
        <is>
          <t>INR</t>
        </is>
      </c>
      <c r="H223" s="11" t="n">
        <v>44631</v>
      </c>
      <c r="I223" s="11" t="n">
        <v>44641</v>
      </c>
      <c r="J223" s="11" t="n">
        <v>44641</v>
      </c>
      <c r="K223" s="11" t="n">
        <v>44641</v>
      </c>
      <c r="L223" s="7" t="inlineStr">
        <is>
          <t>roll following on the LME panel calendar</t>
        </is>
      </c>
      <c r="N223" s="7" t="inlineStr">
        <is>
          <t>PROXY</t>
        </is>
      </c>
      <c r="O223" s="9" t="n">
        <v>-438450.61</v>
      </c>
      <c r="P223" s="9" t="n">
        <v>-438450.61</v>
      </c>
      <c r="U223" s="7" t="inlineStr">
        <is>
          <t>DERIVED_IN_WORKBOOK</t>
        </is>
      </c>
      <c r="V223" s="8">
        <f>-SUMIFS(Cashflows!$W$1043:$W$1393,Cashflows!$B$1043:$B$1393,$C223,Cashflows!$C$1043:$C$1393,$K223)</f>
        <v/>
      </c>
      <c r="W223" s="8">
        <f>IF($G223="INR",1,INDEX(Market_Daily!$F$6:$F$256,MATCH($K223,Market_Daily!$A$6:$A$256,0)))</f>
        <v/>
      </c>
      <c r="X223" s="8">
        <f>$V223*$W223</f>
        <v/>
      </c>
      <c r="Y223" s="18">
        <f>$X223-$P223</f>
        <v/>
      </c>
      <c r="Z223" s="8">
        <f>IF(ABS($Y223)&lt;=tol_cashflow_inr,"PASS","FAIL")</f>
        <v/>
      </c>
      <c r="AA223" s="7" t="inlineStr">
        <is>
          <t>-d(lots x lot_kg x F(s) x mcx_al_margin_used_frac)</t>
        </is>
      </c>
    </row>
    <row r="224">
      <c r="A224" s="7" t="inlineStr">
        <is>
          <t>T02</t>
        </is>
      </c>
      <c r="B224" s="7" t="inlineStr">
        <is>
          <t>MCX:T02-MCX-1</t>
        </is>
      </c>
      <c r="C224" s="7" t="inlineStr">
        <is>
          <t>T02-MCX-1</t>
        </is>
      </c>
      <c r="D224" s="7" t="inlineStr">
        <is>
          <t>MCX_VARIATION_MARGIN</t>
        </is>
      </c>
      <c r="E224" s="7" t="inlineStr">
        <is>
          <t>MCX_VARIATION_MARGIN</t>
        </is>
      </c>
      <c r="F224" s="7" t="inlineStr">
        <is>
          <t>PNL</t>
        </is>
      </c>
      <c r="G224" s="7" t="inlineStr">
        <is>
          <t>INR</t>
        </is>
      </c>
      <c r="H224" s="11" t="n">
        <v>44631</v>
      </c>
      <c r="I224" s="11" t="n">
        <v>44641</v>
      </c>
      <c r="J224" s="11" t="n">
        <v>44641</v>
      </c>
      <c r="K224" s="11" t="n">
        <v>44641</v>
      </c>
      <c r="L224" s="7" t="inlineStr">
        <is>
          <t>roll following on the LME panel calendar</t>
        </is>
      </c>
      <c r="N224" s="7" t="inlineStr">
        <is>
          <t>PROXY</t>
        </is>
      </c>
      <c r="O224" s="9" t="n">
        <v>-4384506.07</v>
      </c>
      <c r="P224" s="9" t="n">
        <v>-4384506.07</v>
      </c>
      <c r="U224" s="7" t="inlineStr">
        <is>
          <t>DERIVED_IN_WORKBOOK</t>
        </is>
      </c>
      <c r="V224" s="8">
        <f>SUMIFS(Cashflows!$R$1043:$R$1393,Cashflows!$B$1043:$B$1393,$C224,Cashflows!$C$1043:$C$1393,$K224)</f>
        <v/>
      </c>
      <c r="W224" s="8">
        <f>IF($G224="INR",1,INDEX(Market_Daily!$F$6:$F$256,MATCH($K224,Market_Daily!$A$6:$A$256,0)))</f>
        <v/>
      </c>
      <c r="X224" s="8">
        <f>$V224*$W224</f>
        <v/>
      </c>
      <c r="Y224" s="18">
        <f>$X224-$P224</f>
        <v/>
      </c>
      <c r="Z224" s="8">
        <f>IF(ABS($Y224)&lt;=tol_cashflow_inr,"PASS","FAIL")</f>
        <v/>
      </c>
      <c r="AA224" s="7" t="inlineStr">
        <is>
          <t>direction x lots x lot_kg x (F(s) - F(s-1))</t>
        </is>
      </c>
    </row>
    <row r="225">
      <c r="A225" s="7" t="inlineStr">
        <is>
          <t>T02</t>
        </is>
      </c>
      <c r="B225" s="7" t="inlineStr">
        <is>
          <t>MCX:T02-MCX-1</t>
        </is>
      </c>
      <c r="C225" s="7" t="inlineStr">
        <is>
          <t>T02-MCX-1</t>
        </is>
      </c>
      <c r="D225" s="7" t="inlineStr">
        <is>
          <t>MCX_INITIAL_MARGIN</t>
        </is>
      </c>
      <c r="E225" s="7" t="inlineStr">
        <is>
          <t>MCX_INITIAL_MARGIN</t>
        </is>
      </c>
      <c r="F225" s="7" t="inlineStr">
        <is>
          <t>BS</t>
        </is>
      </c>
      <c r="G225" s="7" t="inlineStr">
        <is>
          <t>INR</t>
        </is>
      </c>
      <c r="H225" s="11" t="n">
        <v>44631</v>
      </c>
      <c r="I225" s="11" t="n">
        <v>44642</v>
      </c>
      <c r="J225" s="11" t="n">
        <v>44642</v>
      </c>
      <c r="K225" s="11" t="n">
        <v>44642</v>
      </c>
      <c r="L225" s="7" t="inlineStr">
        <is>
          <t>roll following on the LME panel calendar</t>
        </is>
      </c>
      <c r="N225" s="7" t="inlineStr">
        <is>
          <t>PROXY</t>
        </is>
      </c>
      <c r="O225" s="9" t="n">
        <v>10757506.91</v>
      </c>
      <c r="P225" s="9" t="n">
        <v>10757506.91</v>
      </c>
      <c r="U225" s="7" t="inlineStr">
        <is>
          <t>DERIVED_IN_WORKBOOK</t>
        </is>
      </c>
      <c r="V225" s="8">
        <f>-SUMIFS(Cashflows!$W$1043:$W$1393,Cashflows!$B$1043:$B$1393,$C225,Cashflows!$C$1043:$C$1393,$K225)</f>
        <v/>
      </c>
      <c r="W225" s="8">
        <f>IF($G225="INR",1,INDEX(Market_Daily!$F$6:$F$256,MATCH($K225,Market_Daily!$A$6:$A$256,0)))</f>
        <v/>
      </c>
      <c r="X225" s="8">
        <f>$V225*$W225</f>
        <v/>
      </c>
      <c r="Y225" s="18">
        <f>$X225-$P225</f>
        <v/>
      </c>
      <c r="Z225" s="8">
        <f>IF(ABS($Y225)&lt;=tol_cashflow_inr,"PASS","FAIL")</f>
        <v/>
      </c>
      <c r="AA225" s="7" t="inlineStr">
        <is>
          <t>-d(lots x lot_kg x F(s) x mcx_al_margin_used_frac)</t>
        </is>
      </c>
    </row>
    <row r="226">
      <c r="A226" s="7" t="inlineStr">
        <is>
          <t>T02</t>
        </is>
      </c>
      <c r="B226" s="7" t="inlineStr">
        <is>
          <t>MCX:T02-MCX-1</t>
        </is>
      </c>
      <c r="C226" s="7" t="inlineStr">
        <is>
          <t>T02-MCX-1</t>
        </is>
      </c>
      <c r="D226" s="7" t="inlineStr">
        <is>
          <t>MCX_SLIPPAGE</t>
        </is>
      </c>
      <c r="E226" s="7" t="inlineStr">
        <is>
          <t>MCX_SLIPPAGE</t>
        </is>
      </c>
      <c r="F226" s="7" t="inlineStr">
        <is>
          <t>PNL</t>
        </is>
      </c>
      <c r="G226" s="7" t="inlineStr">
        <is>
          <t>INR</t>
        </is>
      </c>
      <c r="H226" s="11" t="n">
        <v>44642</v>
      </c>
      <c r="J226" s="11" t="n">
        <v>44642</v>
      </c>
      <c r="K226" s="11" t="n">
        <v>44642</v>
      </c>
      <c r="L226" s="7" t="inlineStr">
        <is>
          <t>roll following on the LME panel calendar</t>
        </is>
      </c>
      <c r="N226" s="7" t="inlineStr">
        <is>
          <t>ASSUMPTION</t>
        </is>
      </c>
      <c r="O226" s="9" t="n">
        <v>-37000</v>
      </c>
      <c r="P226" s="9" t="n">
        <v>-37000</v>
      </c>
      <c r="U226" s="7" t="inlineStr">
        <is>
          <t>DERIVED_IN_WORKBOOK</t>
        </is>
      </c>
      <c r="V226" s="8">
        <f>SUMIFS(Cashflows!$Z$1043:$Z$1393,Cashflows!$B$1043:$B$1393,$C226,Cashflows!$C$1043:$C$1393,$K226)</f>
        <v/>
      </c>
      <c r="W226" s="8">
        <f>IF($G226="INR",1,INDEX(Market_Daily!$F$6:$F$256,MATCH($K226,Market_Daily!$A$6:$A$256,0)))</f>
        <v/>
      </c>
      <c r="X226" s="8">
        <f>$V226*$W226</f>
        <v/>
      </c>
      <c r="Y226" s="18">
        <f>$X226-$P226</f>
        <v/>
      </c>
      <c r="Z226" s="8">
        <f>IF(ABS($Y226)&lt;=tol_cashflow_inr,"PASS","FAIL")</f>
        <v/>
      </c>
      <c r="AA226" s="7" t="inlineStr">
        <is>
          <t>-lots x lot_kg x mcx_slippage_ticks x tick</t>
        </is>
      </c>
    </row>
    <row r="227">
      <c r="A227" s="7" t="inlineStr">
        <is>
          <t>T02</t>
        </is>
      </c>
      <c r="B227" s="7" t="inlineStr">
        <is>
          <t>MCX:T02-MCX-1</t>
        </is>
      </c>
      <c r="C227" s="7" t="inlineStr">
        <is>
          <t>T02-MCX-1</t>
        </is>
      </c>
      <c r="D227" s="7" t="inlineStr">
        <is>
          <t>MCX_TRANSACTION_COST</t>
        </is>
      </c>
      <c r="E227" s="7" t="inlineStr">
        <is>
          <t>MCX_TRANSACTION_COST</t>
        </is>
      </c>
      <c r="F227" s="7" t="inlineStr">
        <is>
          <t>PNL</t>
        </is>
      </c>
      <c r="G227" s="7" t="inlineStr">
        <is>
          <t>INR</t>
        </is>
      </c>
      <c r="H227" s="11" t="n">
        <v>44642</v>
      </c>
      <c r="I227" s="11" t="n">
        <v>44642</v>
      </c>
      <c r="J227" s="11" t="n">
        <v>44642</v>
      </c>
      <c r="K227" s="11" t="n">
        <v>44642</v>
      </c>
      <c r="L227" s="7" t="inlineStr">
        <is>
          <t>roll following on the LME panel calendar</t>
        </is>
      </c>
      <c r="N227" s="7" t="inlineStr">
        <is>
          <t>ASSUMPTION</t>
        </is>
      </c>
      <c r="O227" s="9" t="n">
        <v>-32515.53</v>
      </c>
      <c r="P227" s="9" t="n">
        <v>-32515.53</v>
      </c>
      <c r="U227" s="7" t="inlineStr">
        <is>
          <t>DERIVED_IN_WORKBOOK</t>
        </is>
      </c>
      <c r="V227" s="8">
        <f>SUMIFS(Cashflows!$AA$1043:$AA$1393,Cashflows!$B$1043:$B$1393,$C227,Cashflows!$C$1043:$C$1393,$K227)</f>
        <v/>
      </c>
      <c r="W227" s="8">
        <f>IF($G227="INR",1,INDEX(Market_Daily!$F$6:$F$256,MATCH($K227,Market_Daily!$A$6:$A$256,0)))</f>
        <v/>
      </c>
      <c r="X227" s="8">
        <f>$V227*$W227</f>
        <v/>
      </c>
      <c r="Y227" s="18">
        <f>$X227-$P227</f>
        <v/>
      </c>
      <c r="Z227" s="8">
        <f>IF(ABS($Y227)&lt;=tol_cashflow_inr,"PASS","FAIL")</f>
        <v/>
      </c>
      <c r="AA227" s="7" t="inlineStr">
        <is>
          <t>-lots x lot_kg x fill x mcx_txn_cost_frac</t>
        </is>
      </c>
    </row>
    <row r="228">
      <c r="A228" s="7" t="inlineStr">
        <is>
          <t>T02</t>
        </is>
      </c>
      <c r="B228" s="7" t="inlineStr">
        <is>
          <t>MCX:T02-MCX-1</t>
        </is>
      </c>
      <c r="C228" s="7" t="inlineStr">
        <is>
          <t>T02-MCX-1</t>
        </is>
      </c>
      <c r="D228" s="7" t="inlineStr">
        <is>
          <t>MCX_VARIATION_MARGIN</t>
        </is>
      </c>
      <c r="E228" s="7" t="inlineStr">
        <is>
          <t>MCX_VARIATION_MARGIN</t>
        </is>
      </c>
      <c r="F228" s="7" t="inlineStr">
        <is>
          <t>PNL</t>
        </is>
      </c>
      <c r="G228" s="7" t="inlineStr">
        <is>
          <t>INR</t>
        </is>
      </c>
      <c r="H228" s="11" t="n">
        <v>44631</v>
      </c>
      <c r="I228" s="11" t="n">
        <v>44642</v>
      </c>
      <c r="J228" s="11" t="n">
        <v>44642</v>
      </c>
      <c r="K228" s="11" t="n">
        <v>44642</v>
      </c>
      <c r="L228" s="7" t="inlineStr">
        <is>
          <t>roll following on the LME panel calendar</t>
        </is>
      </c>
      <c r="N228" s="7" t="inlineStr">
        <is>
          <t>PROXY</t>
        </is>
      </c>
      <c r="O228" s="9" t="n">
        <v>-773046.12</v>
      </c>
      <c r="P228" s="9" t="n">
        <v>-773046.12</v>
      </c>
      <c r="U228" s="7" t="inlineStr">
        <is>
          <t>DERIVED_IN_WORKBOOK</t>
        </is>
      </c>
      <c r="V228" s="8">
        <f>SUMIFS(Cashflows!$R$1043:$R$1393,Cashflows!$B$1043:$B$1393,$C228,Cashflows!$C$1043:$C$1393,$K228)</f>
        <v/>
      </c>
      <c r="W228" s="8">
        <f>IF($G228="INR",1,INDEX(Market_Daily!$F$6:$F$256,MATCH($K228,Market_Daily!$A$6:$A$256,0)))</f>
        <v/>
      </c>
      <c r="X228" s="8">
        <f>$V228*$W228</f>
        <v/>
      </c>
      <c r="Y228" s="18">
        <f>$X228-$P228</f>
        <v/>
      </c>
      <c r="Z228" s="8">
        <f>IF(ABS($Y228)&lt;=tol_cashflow_inr,"PASS","FAIL")</f>
        <v/>
      </c>
      <c r="AA228" s="7" t="inlineStr">
        <is>
          <t>direction x lots x lot_kg x (F(s) - F(s-1))</t>
        </is>
      </c>
    </row>
    <row r="229">
      <c r="A229" s="7" t="inlineStr">
        <is>
          <t>T02</t>
        </is>
      </c>
      <c r="B229" s="7" t="inlineStr">
        <is>
          <t>MCX:T02-MCX-2</t>
        </is>
      </c>
      <c r="C229" s="7" t="inlineStr">
        <is>
          <t>T02-MCX-2</t>
        </is>
      </c>
      <c r="D229" s="7" t="inlineStr">
        <is>
          <t>MCX_INITIAL_MARGIN</t>
        </is>
      </c>
      <c r="E229" s="7" t="inlineStr">
        <is>
          <t>MCX_INITIAL_MARGIN</t>
        </is>
      </c>
      <c r="F229" s="7" t="inlineStr">
        <is>
          <t>BS</t>
        </is>
      </c>
      <c r="G229" s="7" t="inlineStr">
        <is>
          <t>INR</t>
        </is>
      </c>
      <c r="H229" s="11" t="n">
        <v>44642</v>
      </c>
      <c r="I229" s="11" t="n">
        <v>44642</v>
      </c>
      <c r="J229" s="11" t="n">
        <v>44642</v>
      </c>
      <c r="K229" s="11" t="n">
        <v>44642</v>
      </c>
      <c r="L229" s="7" t="inlineStr">
        <is>
          <t>roll following on the LME panel calendar</t>
        </is>
      </c>
      <c r="N229" s="7" t="inlineStr">
        <is>
          <t>PROXY</t>
        </is>
      </c>
      <c r="O229" s="9" t="n">
        <v>-10867319.56</v>
      </c>
      <c r="P229" s="9" t="n">
        <v>-10867319.56</v>
      </c>
      <c r="U229" s="7" t="inlineStr">
        <is>
          <t>DERIVED_IN_WORKBOOK</t>
        </is>
      </c>
      <c r="V229" s="8">
        <f>-SUMIFS(Cashflows!$W$1043:$W$1393,Cashflows!$B$1043:$B$1393,$C229,Cashflows!$C$1043:$C$1393,$K229)</f>
        <v/>
      </c>
      <c r="W229" s="8">
        <f>IF($G229="INR",1,INDEX(Market_Daily!$F$6:$F$256,MATCH($K229,Market_Daily!$A$6:$A$256,0)))</f>
        <v/>
      </c>
      <c r="X229" s="8">
        <f>$V229*$W229</f>
        <v/>
      </c>
      <c r="Y229" s="18">
        <f>$X229-$P229</f>
        <v/>
      </c>
      <c r="Z229" s="8">
        <f>IF(ABS($Y229)&lt;=tol_cashflow_inr,"PASS","FAIL")</f>
        <v/>
      </c>
      <c r="AA229" s="7" t="inlineStr">
        <is>
          <t>-d(lots x lot_kg x F(s) x mcx_al_margin_used_frac)</t>
        </is>
      </c>
    </row>
    <row r="230">
      <c r="A230" s="7" t="inlineStr">
        <is>
          <t>T02</t>
        </is>
      </c>
      <c r="B230" s="7" t="inlineStr">
        <is>
          <t>MCX:T02-MCX-2</t>
        </is>
      </c>
      <c r="C230" s="7" t="inlineStr">
        <is>
          <t>T02-MCX-2</t>
        </is>
      </c>
      <c r="D230" s="7" t="inlineStr">
        <is>
          <t>MCX_SLIPPAGE</t>
        </is>
      </c>
      <c r="E230" s="7" t="inlineStr">
        <is>
          <t>MCX_SLIPPAGE</t>
        </is>
      </c>
      <c r="F230" s="7" t="inlineStr">
        <is>
          <t>PNL</t>
        </is>
      </c>
      <c r="G230" s="7" t="inlineStr">
        <is>
          <t>INR</t>
        </is>
      </c>
      <c r="H230" s="11" t="n">
        <v>44642</v>
      </c>
      <c r="J230" s="11" t="n">
        <v>44642</v>
      </c>
      <c r="K230" s="11" t="n">
        <v>44642</v>
      </c>
      <c r="L230" s="7" t="inlineStr">
        <is>
          <t>roll following on the LME panel calendar</t>
        </is>
      </c>
      <c r="N230" s="7" t="inlineStr">
        <is>
          <t>ASSUMPTION</t>
        </is>
      </c>
      <c r="O230" s="9" t="n">
        <v>-37000</v>
      </c>
      <c r="P230" s="9" t="n">
        <v>-37000</v>
      </c>
      <c r="U230" s="7" t="inlineStr">
        <is>
          <t>DERIVED_IN_WORKBOOK</t>
        </is>
      </c>
      <c r="V230" s="8">
        <f>SUMIFS(Cashflows!$Z$1043:$Z$1393,Cashflows!$B$1043:$B$1393,$C230,Cashflows!$C$1043:$C$1393,$K230)</f>
        <v/>
      </c>
      <c r="W230" s="8">
        <f>IF($G230="INR",1,INDEX(Market_Daily!$F$6:$F$256,MATCH($K230,Market_Daily!$A$6:$A$256,0)))</f>
        <v/>
      </c>
      <c r="X230" s="8">
        <f>$V230*$W230</f>
        <v/>
      </c>
      <c r="Y230" s="18">
        <f>$X230-$P230</f>
        <v/>
      </c>
      <c r="Z230" s="8">
        <f>IF(ABS($Y230)&lt;=tol_cashflow_inr,"PASS","FAIL")</f>
        <v/>
      </c>
      <c r="AA230" s="7" t="inlineStr">
        <is>
          <t>-lots x lot_kg x mcx_slippage_ticks x tick</t>
        </is>
      </c>
    </row>
    <row r="231">
      <c r="A231" s="7" t="inlineStr">
        <is>
          <t>T02</t>
        </is>
      </c>
      <c r="B231" s="7" t="inlineStr">
        <is>
          <t>MCX:T02-MCX-2</t>
        </is>
      </c>
      <c r="C231" s="7" t="inlineStr">
        <is>
          <t>T02-MCX-2</t>
        </is>
      </c>
      <c r="D231" s="7" t="inlineStr">
        <is>
          <t>MCX_TRANSACTION_COST</t>
        </is>
      </c>
      <c r="E231" s="7" t="inlineStr">
        <is>
          <t>MCX_TRANSACTION_COST</t>
        </is>
      </c>
      <c r="F231" s="7" t="inlineStr">
        <is>
          <t>PNL</t>
        </is>
      </c>
      <c r="G231" s="7" t="inlineStr">
        <is>
          <t>INR</t>
        </is>
      </c>
      <c r="H231" s="11" t="n">
        <v>44642</v>
      </c>
      <c r="I231" s="11" t="n">
        <v>44642</v>
      </c>
      <c r="J231" s="11" t="n">
        <v>44642</v>
      </c>
      <c r="K231" s="11" t="n">
        <v>44642</v>
      </c>
      <c r="L231" s="7" t="inlineStr">
        <is>
          <t>roll following on the LME panel calendar</t>
        </is>
      </c>
      <c r="N231" s="7" t="inlineStr">
        <is>
          <t>ASSUMPTION</t>
        </is>
      </c>
      <c r="O231" s="9" t="n">
        <v>-32590.86</v>
      </c>
      <c r="P231" s="9" t="n">
        <v>-32590.86</v>
      </c>
      <c r="U231" s="7" t="inlineStr">
        <is>
          <t>DERIVED_IN_WORKBOOK</t>
        </is>
      </c>
      <c r="V231" s="8">
        <f>SUMIFS(Cashflows!$AA$1043:$AA$1393,Cashflows!$B$1043:$B$1393,$C231,Cashflows!$C$1043:$C$1393,$K231)</f>
        <v/>
      </c>
      <c r="W231" s="8">
        <f>IF($G231="INR",1,INDEX(Market_Daily!$F$6:$F$256,MATCH($K231,Market_Daily!$A$6:$A$256,0)))</f>
        <v/>
      </c>
      <c r="X231" s="8">
        <f>$V231*$W231</f>
        <v/>
      </c>
      <c r="Y231" s="18">
        <f>$X231-$P231</f>
        <v/>
      </c>
      <c r="Z231" s="8">
        <f>IF(ABS($Y231)&lt;=tol_cashflow_inr,"PASS","FAIL")</f>
        <v/>
      </c>
      <c r="AA231" s="7" t="inlineStr">
        <is>
          <t>-lots x lot_kg x fill x mcx_txn_cost_frac</t>
        </is>
      </c>
    </row>
    <row r="232">
      <c r="A232" s="7" t="inlineStr">
        <is>
          <t>T02</t>
        </is>
      </c>
      <c r="B232" s="7" t="inlineStr">
        <is>
          <t>MCX:T02-MCX-2</t>
        </is>
      </c>
      <c r="C232" s="7" t="inlineStr">
        <is>
          <t>T02-MCX-2</t>
        </is>
      </c>
      <c r="D232" s="7" t="inlineStr">
        <is>
          <t>MCX_VARIATION_MARGIN</t>
        </is>
      </c>
      <c r="E232" s="7" t="inlineStr">
        <is>
          <t>MCX_VARIATION_MARGIN</t>
        </is>
      </c>
      <c r="F232" s="7" t="inlineStr">
        <is>
          <t>PNL</t>
        </is>
      </c>
      <c r="G232" s="7" t="inlineStr">
        <is>
          <t>INR</t>
        </is>
      </c>
      <c r="H232" s="11" t="n">
        <v>44642</v>
      </c>
      <c r="I232" s="11" t="n">
        <v>44642</v>
      </c>
      <c r="J232" s="11" t="n">
        <v>44642</v>
      </c>
      <c r="K232" s="11" t="n">
        <v>44642</v>
      </c>
      <c r="L232" s="7" t="inlineStr">
        <is>
          <t>roll following on the LME panel calendar</t>
        </is>
      </c>
      <c r="N232" s="7" t="inlineStr">
        <is>
          <t>PROXY</t>
        </is>
      </c>
      <c r="O232" s="9" t="n">
        <v>-0</v>
      </c>
      <c r="P232" s="9" t="n">
        <v>-0</v>
      </c>
      <c r="U232" s="7" t="inlineStr">
        <is>
          <t>DERIVED_IN_WORKBOOK</t>
        </is>
      </c>
      <c r="V232" s="8">
        <f>SUMIFS(Cashflows!$R$1043:$R$1393,Cashflows!$B$1043:$B$1393,$C232,Cashflows!$C$1043:$C$1393,$K232)</f>
        <v/>
      </c>
      <c r="W232" s="8">
        <f>IF($G232="INR",1,INDEX(Market_Daily!$F$6:$F$256,MATCH($K232,Market_Daily!$A$6:$A$256,0)))</f>
        <v/>
      </c>
      <c r="X232" s="8">
        <f>$V232*$W232</f>
        <v/>
      </c>
      <c r="Y232" s="18">
        <f>$X232-$P232</f>
        <v/>
      </c>
      <c r="Z232" s="8">
        <f>IF(ABS($Y232)&lt;=tol_cashflow_inr,"PASS","FAIL")</f>
        <v/>
      </c>
      <c r="AA232" s="7" t="inlineStr">
        <is>
          <t>direction x lots x lot_kg x (F(entry) - entry settle) = 0 by construction</t>
        </is>
      </c>
    </row>
    <row r="233">
      <c r="A233" s="7" t="inlineStr">
        <is>
          <t>T02</t>
        </is>
      </c>
      <c r="B233" s="7" t="inlineStr">
        <is>
          <t>MCX:T02-MCX-2</t>
        </is>
      </c>
      <c r="C233" s="7" t="inlineStr">
        <is>
          <t>T02-MCX-2</t>
        </is>
      </c>
      <c r="D233" s="7" t="inlineStr">
        <is>
          <t>MCX_INITIAL_MARGIN</t>
        </is>
      </c>
      <c r="E233" s="7" t="inlineStr">
        <is>
          <t>MCX_INITIAL_MARGIN</t>
        </is>
      </c>
      <c r="F233" s="7" t="inlineStr">
        <is>
          <t>BS</t>
        </is>
      </c>
      <c r="G233" s="7" t="inlineStr">
        <is>
          <t>INR</t>
        </is>
      </c>
      <c r="H233" s="11" t="n">
        <v>44642</v>
      </c>
      <c r="I233" s="11" t="n">
        <v>44643</v>
      </c>
      <c r="J233" s="11" t="n">
        <v>44643</v>
      </c>
      <c r="K233" s="11" t="n">
        <v>44643</v>
      </c>
      <c r="L233" s="7" t="inlineStr">
        <is>
          <t>roll following on the LME panel calendar</t>
        </is>
      </c>
      <c r="N233" s="7" t="inlineStr">
        <is>
          <t>PROXY</t>
        </is>
      </c>
      <c r="O233" s="9" t="n">
        <v>-73541.42999999999</v>
      </c>
      <c r="P233" s="9" t="n">
        <v>-73541.42999999999</v>
      </c>
      <c r="U233" s="7" t="inlineStr">
        <is>
          <t>DERIVED_IN_WORKBOOK</t>
        </is>
      </c>
      <c r="V233" s="8">
        <f>-SUMIFS(Cashflows!$W$1043:$W$1393,Cashflows!$B$1043:$B$1393,$C233,Cashflows!$C$1043:$C$1393,$K233)</f>
        <v/>
      </c>
      <c r="W233" s="8">
        <f>IF($G233="INR",1,INDEX(Market_Daily!$F$6:$F$256,MATCH($K233,Market_Daily!$A$6:$A$256,0)))</f>
        <v/>
      </c>
      <c r="X233" s="8">
        <f>$V233*$W233</f>
        <v/>
      </c>
      <c r="Y233" s="18">
        <f>$X233-$P233</f>
        <v/>
      </c>
      <c r="Z233" s="8">
        <f>IF(ABS($Y233)&lt;=tol_cashflow_inr,"PASS","FAIL")</f>
        <v/>
      </c>
      <c r="AA233" s="7" t="inlineStr">
        <is>
          <t>-d(lots x lot_kg x F(s) x mcx_al_margin_used_frac)</t>
        </is>
      </c>
    </row>
    <row r="234">
      <c r="A234" s="7" t="inlineStr">
        <is>
          <t>T02</t>
        </is>
      </c>
      <c r="B234" s="7" t="inlineStr">
        <is>
          <t>MCX:T02-MCX-2</t>
        </is>
      </c>
      <c r="C234" s="7" t="inlineStr">
        <is>
          <t>T02-MCX-2</t>
        </is>
      </c>
      <c r="D234" s="7" t="inlineStr">
        <is>
          <t>MCX_VARIATION_MARGIN</t>
        </is>
      </c>
      <c r="E234" s="7" t="inlineStr">
        <is>
          <t>MCX_VARIATION_MARGIN</t>
        </is>
      </c>
      <c r="F234" s="7" t="inlineStr">
        <is>
          <t>PNL</t>
        </is>
      </c>
      <c r="G234" s="7" t="inlineStr">
        <is>
          <t>INR</t>
        </is>
      </c>
      <c r="H234" s="11" t="n">
        <v>44642</v>
      </c>
      <c r="I234" s="11" t="n">
        <v>44643</v>
      </c>
      <c r="J234" s="11" t="n">
        <v>44643</v>
      </c>
      <c r="K234" s="11" t="n">
        <v>44643</v>
      </c>
      <c r="L234" s="7" t="inlineStr">
        <is>
          <t>roll following on the LME panel calendar</t>
        </is>
      </c>
      <c r="N234" s="7" t="inlineStr">
        <is>
          <t>PROXY</t>
        </is>
      </c>
      <c r="O234" s="9" t="n">
        <v>-735414.33</v>
      </c>
      <c r="P234" s="9" t="n">
        <v>-735414.33</v>
      </c>
      <c r="U234" s="7" t="inlineStr">
        <is>
          <t>DERIVED_IN_WORKBOOK</t>
        </is>
      </c>
      <c r="V234" s="8">
        <f>SUMIFS(Cashflows!$R$1043:$R$1393,Cashflows!$B$1043:$B$1393,$C234,Cashflows!$C$1043:$C$1393,$K234)</f>
        <v/>
      </c>
      <c r="W234" s="8">
        <f>IF($G234="INR",1,INDEX(Market_Daily!$F$6:$F$256,MATCH($K234,Market_Daily!$A$6:$A$256,0)))</f>
        <v/>
      </c>
      <c r="X234" s="8">
        <f>$V234*$W234</f>
        <v/>
      </c>
      <c r="Y234" s="18">
        <f>$X234-$P234</f>
        <v/>
      </c>
      <c r="Z234" s="8">
        <f>IF(ABS($Y234)&lt;=tol_cashflow_inr,"PASS","FAIL")</f>
        <v/>
      </c>
      <c r="AA234" s="7" t="inlineStr">
        <is>
          <t>direction x lots x lot_kg x (F(s) - F(s-1))</t>
        </is>
      </c>
    </row>
    <row r="235">
      <c r="A235" s="7" t="inlineStr">
        <is>
          <t>T02</t>
        </is>
      </c>
      <c r="B235" s="7" t="inlineStr">
        <is>
          <t>MCX:T02-MCX-2</t>
        </is>
      </c>
      <c r="C235" s="7" t="inlineStr">
        <is>
          <t>T02-MCX-2</t>
        </is>
      </c>
      <c r="D235" s="7" t="inlineStr">
        <is>
          <t>MCX_INITIAL_MARGIN</t>
        </is>
      </c>
      <c r="E235" s="7" t="inlineStr">
        <is>
          <t>MCX_INITIAL_MARGIN</t>
        </is>
      </c>
      <c r="F235" s="7" t="inlineStr">
        <is>
          <t>BS</t>
        </is>
      </c>
      <c r="G235" s="7" t="inlineStr">
        <is>
          <t>INR</t>
        </is>
      </c>
      <c r="H235" s="11" t="n">
        <v>44642</v>
      </c>
      <c r="I235" s="11" t="n">
        <v>44644</v>
      </c>
      <c r="J235" s="11" t="n">
        <v>44644</v>
      </c>
      <c r="K235" s="11" t="n">
        <v>44644</v>
      </c>
      <c r="L235" s="7" t="inlineStr">
        <is>
          <t>roll following on the LME panel calendar</t>
        </is>
      </c>
      <c r="N235" s="7" t="inlineStr">
        <is>
          <t>PROXY</t>
        </is>
      </c>
      <c r="O235" s="9" t="n">
        <v>-313760.16</v>
      </c>
      <c r="P235" s="9" t="n">
        <v>-313760.16</v>
      </c>
      <c r="U235" s="7" t="inlineStr">
        <is>
          <t>DERIVED_IN_WORKBOOK</t>
        </is>
      </c>
      <c r="V235" s="8">
        <f>-SUMIFS(Cashflows!$W$1043:$W$1393,Cashflows!$B$1043:$B$1393,$C235,Cashflows!$C$1043:$C$1393,$K235)</f>
        <v/>
      </c>
      <c r="W235" s="8">
        <f>IF($G235="INR",1,INDEX(Market_Daily!$F$6:$F$256,MATCH($K235,Market_Daily!$A$6:$A$256,0)))</f>
        <v/>
      </c>
      <c r="X235" s="8">
        <f>$V235*$W235</f>
        <v/>
      </c>
      <c r="Y235" s="18">
        <f>$X235-$P235</f>
        <v/>
      </c>
      <c r="Z235" s="8">
        <f>IF(ABS($Y235)&lt;=tol_cashflow_inr,"PASS","FAIL")</f>
        <v/>
      </c>
      <c r="AA235" s="7" t="inlineStr">
        <is>
          <t>-d(lots x lot_kg x F(s) x mcx_al_margin_used_frac)</t>
        </is>
      </c>
    </row>
    <row r="236">
      <c r="A236" s="7" t="inlineStr">
        <is>
          <t>T02</t>
        </is>
      </c>
      <c r="B236" s="7" t="inlineStr">
        <is>
          <t>MCX:T02-MCX-2</t>
        </is>
      </c>
      <c r="C236" s="7" t="inlineStr">
        <is>
          <t>T02-MCX-2</t>
        </is>
      </c>
      <c r="D236" s="7" t="inlineStr">
        <is>
          <t>MCX_VARIATION_MARGIN</t>
        </is>
      </c>
      <c r="E236" s="7" t="inlineStr">
        <is>
          <t>MCX_VARIATION_MARGIN</t>
        </is>
      </c>
      <c r="F236" s="7" t="inlineStr">
        <is>
          <t>PNL</t>
        </is>
      </c>
      <c r="G236" s="7" t="inlineStr">
        <is>
          <t>INR</t>
        </is>
      </c>
      <c r="H236" s="11" t="n">
        <v>44642</v>
      </c>
      <c r="I236" s="11" t="n">
        <v>44644</v>
      </c>
      <c r="J236" s="11" t="n">
        <v>44644</v>
      </c>
      <c r="K236" s="11" t="n">
        <v>44644</v>
      </c>
      <c r="L236" s="7" t="inlineStr">
        <is>
          <t>roll following on the LME panel calendar</t>
        </is>
      </c>
      <c r="N236" s="7" t="inlineStr">
        <is>
          <t>PROXY</t>
        </is>
      </c>
      <c r="O236" s="9" t="n">
        <v>-3137601.64</v>
      </c>
      <c r="P236" s="9" t="n">
        <v>-3137601.64</v>
      </c>
      <c r="U236" s="7" t="inlineStr">
        <is>
          <t>DERIVED_IN_WORKBOOK</t>
        </is>
      </c>
      <c r="V236" s="8">
        <f>SUMIFS(Cashflows!$R$1043:$R$1393,Cashflows!$B$1043:$B$1393,$C236,Cashflows!$C$1043:$C$1393,$K236)</f>
        <v/>
      </c>
      <c r="W236" s="8">
        <f>IF($G236="INR",1,INDEX(Market_Daily!$F$6:$F$256,MATCH($K236,Market_Daily!$A$6:$A$256,0)))</f>
        <v/>
      </c>
      <c r="X236" s="8">
        <f>$V236*$W236</f>
        <v/>
      </c>
      <c r="Y236" s="18">
        <f>$X236-$P236</f>
        <v/>
      </c>
      <c r="Z236" s="8">
        <f>IF(ABS($Y236)&lt;=tol_cashflow_inr,"PASS","FAIL")</f>
        <v/>
      </c>
      <c r="AA236" s="7" t="inlineStr">
        <is>
          <t>direction x lots x lot_kg x (F(s) - F(s-1))</t>
        </is>
      </c>
    </row>
    <row r="237">
      <c r="A237" s="7" t="inlineStr">
        <is>
          <t>T02</t>
        </is>
      </c>
      <c r="B237" s="7" t="inlineStr">
        <is>
          <t>MCX:T02-MCX-2</t>
        </is>
      </c>
      <c r="C237" s="7" t="inlineStr">
        <is>
          <t>T02-MCX-2</t>
        </is>
      </c>
      <c r="D237" s="7" t="inlineStr">
        <is>
          <t>MCX_INITIAL_MARGIN</t>
        </is>
      </c>
      <c r="E237" s="7" t="inlineStr">
        <is>
          <t>MCX_INITIAL_MARGIN</t>
        </is>
      </c>
      <c r="F237" s="7" t="inlineStr">
        <is>
          <t>BS</t>
        </is>
      </c>
      <c r="G237" s="7" t="inlineStr">
        <is>
          <t>INR</t>
        </is>
      </c>
      <c r="H237" s="11" t="n">
        <v>44642</v>
      </c>
      <c r="I237" s="11" t="n">
        <v>44645</v>
      </c>
      <c r="J237" s="11" t="n">
        <v>44645</v>
      </c>
      <c r="K237" s="11" t="n">
        <v>44645</v>
      </c>
      <c r="L237" s="7" t="inlineStr">
        <is>
          <t>roll following on the LME panel calendar</t>
        </is>
      </c>
      <c r="N237" s="7" t="inlineStr">
        <is>
          <t>PROXY</t>
        </is>
      </c>
      <c r="O237" s="9" t="n">
        <v>281209.78</v>
      </c>
      <c r="P237" s="9" t="n">
        <v>281209.78</v>
      </c>
      <c r="U237" s="7" t="inlineStr">
        <is>
          <t>DERIVED_IN_WORKBOOK</t>
        </is>
      </c>
      <c r="V237" s="8">
        <f>-SUMIFS(Cashflows!$W$1043:$W$1393,Cashflows!$B$1043:$B$1393,$C237,Cashflows!$C$1043:$C$1393,$K237)</f>
        <v/>
      </c>
      <c r="W237" s="8">
        <f>IF($G237="INR",1,INDEX(Market_Daily!$F$6:$F$256,MATCH($K237,Market_Daily!$A$6:$A$256,0)))</f>
        <v/>
      </c>
      <c r="X237" s="8">
        <f>$V237*$W237</f>
        <v/>
      </c>
      <c r="Y237" s="18">
        <f>$X237-$P237</f>
        <v/>
      </c>
      <c r="Z237" s="8">
        <f>IF(ABS($Y237)&lt;=tol_cashflow_inr,"PASS","FAIL")</f>
        <v/>
      </c>
      <c r="AA237" s="7" t="inlineStr">
        <is>
          <t>-d(lots x lot_kg x F(s) x mcx_al_margin_used_frac)</t>
        </is>
      </c>
    </row>
    <row r="238">
      <c r="A238" s="7" t="inlineStr">
        <is>
          <t>T02</t>
        </is>
      </c>
      <c r="B238" s="7" t="inlineStr">
        <is>
          <t>MCX:T02-MCX-2</t>
        </is>
      </c>
      <c r="C238" s="7" t="inlineStr">
        <is>
          <t>T02-MCX-2</t>
        </is>
      </c>
      <c r="D238" s="7" t="inlineStr">
        <is>
          <t>MCX_VARIATION_MARGIN</t>
        </is>
      </c>
      <c r="E238" s="7" t="inlineStr">
        <is>
          <t>MCX_VARIATION_MARGIN</t>
        </is>
      </c>
      <c r="F238" s="7" t="inlineStr">
        <is>
          <t>PNL</t>
        </is>
      </c>
      <c r="G238" s="7" t="inlineStr">
        <is>
          <t>INR</t>
        </is>
      </c>
      <c r="H238" s="11" t="n">
        <v>44642</v>
      </c>
      <c r="I238" s="11" t="n">
        <v>44645</v>
      </c>
      <c r="J238" s="11" t="n">
        <v>44645</v>
      </c>
      <c r="K238" s="11" t="n">
        <v>44645</v>
      </c>
      <c r="L238" s="7" t="inlineStr">
        <is>
          <t>roll following on the LME panel calendar</t>
        </is>
      </c>
      <c r="N238" s="7" t="inlineStr">
        <is>
          <t>PROXY</t>
        </is>
      </c>
      <c r="O238" s="9" t="n">
        <v>2812097.82</v>
      </c>
      <c r="P238" s="9" t="n">
        <v>2812097.82</v>
      </c>
      <c r="U238" s="7" t="inlineStr">
        <is>
          <t>DERIVED_IN_WORKBOOK</t>
        </is>
      </c>
      <c r="V238" s="8">
        <f>SUMIFS(Cashflows!$R$1043:$R$1393,Cashflows!$B$1043:$B$1393,$C238,Cashflows!$C$1043:$C$1393,$K238)</f>
        <v/>
      </c>
      <c r="W238" s="8">
        <f>IF($G238="INR",1,INDEX(Market_Daily!$F$6:$F$256,MATCH($K238,Market_Daily!$A$6:$A$256,0)))</f>
        <v/>
      </c>
      <c r="X238" s="8">
        <f>$V238*$W238</f>
        <v/>
      </c>
      <c r="Y238" s="18">
        <f>$X238-$P238</f>
        <v/>
      </c>
      <c r="Z238" s="8">
        <f>IF(ABS($Y238)&lt;=tol_cashflow_inr,"PASS","FAIL")</f>
        <v/>
      </c>
      <c r="AA238" s="7" t="inlineStr">
        <is>
          <t>direction x lots x lot_kg x (F(s) - F(s-1))</t>
        </is>
      </c>
    </row>
    <row r="239">
      <c r="A239" s="7" t="inlineStr">
        <is>
          <t>T02</t>
        </is>
      </c>
      <c r="B239" s="7" t="inlineStr">
        <is>
          <t>MCX:T02-MCX-2</t>
        </is>
      </c>
      <c r="C239" s="7" t="inlineStr">
        <is>
          <t>T02-MCX-2</t>
        </is>
      </c>
      <c r="D239" s="7" t="inlineStr">
        <is>
          <t>MCX_INITIAL_MARGIN</t>
        </is>
      </c>
      <c r="E239" s="7" t="inlineStr">
        <is>
          <t>MCX_INITIAL_MARGIN</t>
        </is>
      </c>
      <c r="F239" s="7" t="inlineStr">
        <is>
          <t>BS</t>
        </is>
      </c>
      <c r="G239" s="7" t="inlineStr">
        <is>
          <t>INR</t>
        </is>
      </c>
      <c r="H239" s="11" t="n">
        <v>44642</v>
      </c>
      <c r="I239" s="11" t="n">
        <v>44648</v>
      </c>
      <c r="J239" s="11" t="n">
        <v>44648</v>
      </c>
      <c r="K239" s="11" t="n">
        <v>44648</v>
      </c>
      <c r="L239" s="7" t="inlineStr">
        <is>
          <t>roll following on the LME panel calendar</t>
        </is>
      </c>
      <c r="N239" s="7" t="inlineStr">
        <is>
          <t>PROXY</t>
        </is>
      </c>
      <c r="O239" s="9" t="n">
        <v>-58211.55</v>
      </c>
      <c r="P239" s="9" t="n">
        <v>-58211.55</v>
      </c>
      <c r="U239" s="7" t="inlineStr">
        <is>
          <t>DERIVED_IN_WORKBOOK</t>
        </is>
      </c>
      <c r="V239" s="8">
        <f>-SUMIFS(Cashflows!$W$1043:$W$1393,Cashflows!$B$1043:$B$1393,$C239,Cashflows!$C$1043:$C$1393,$K239)</f>
        <v/>
      </c>
      <c r="W239" s="8">
        <f>IF($G239="INR",1,INDEX(Market_Daily!$F$6:$F$256,MATCH($K239,Market_Daily!$A$6:$A$256,0)))</f>
        <v/>
      </c>
      <c r="X239" s="8">
        <f>$V239*$W239</f>
        <v/>
      </c>
      <c r="Y239" s="18">
        <f>$X239-$P239</f>
        <v/>
      </c>
      <c r="Z239" s="8">
        <f>IF(ABS($Y239)&lt;=tol_cashflow_inr,"PASS","FAIL")</f>
        <v/>
      </c>
      <c r="AA239" s="7" t="inlineStr">
        <is>
          <t>-d(lots x lot_kg x F(s) x mcx_al_margin_used_frac)</t>
        </is>
      </c>
    </row>
    <row r="240">
      <c r="A240" s="7" t="inlineStr">
        <is>
          <t>T02</t>
        </is>
      </c>
      <c r="B240" s="7" t="inlineStr">
        <is>
          <t>MCX:T02-MCX-2</t>
        </is>
      </c>
      <c r="C240" s="7" t="inlineStr">
        <is>
          <t>T02-MCX-2</t>
        </is>
      </c>
      <c r="D240" s="7" t="inlineStr">
        <is>
          <t>MCX_VARIATION_MARGIN</t>
        </is>
      </c>
      <c r="E240" s="7" t="inlineStr">
        <is>
          <t>MCX_VARIATION_MARGIN</t>
        </is>
      </c>
      <c r="F240" s="7" t="inlineStr">
        <is>
          <t>PNL</t>
        </is>
      </c>
      <c r="G240" s="7" t="inlineStr">
        <is>
          <t>INR</t>
        </is>
      </c>
      <c r="H240" s="11" t="n">
        <v>44642</v>
      </c>
      <c r="I240" s="11" t="n">
        <v>44648</v>
      </c>
      <c r="J240" s="11" t="n">
        <v>44648</v>
      </c>
      <c r="K240" s="11" t="n">
        <v>44648</v>
      </c>
      <c r="L240" s="7" t="inlineStr">
        <is>
          <t>roll following on the LME panel calendar</t>
        </is>
      </c>
      <c r="N240" s="7" t="inlineStr">
        <is>
          <t>PROXY</t>
        </is>
      </c>
      <c r="O240" s="9" t="n">
        <v>-582115.54</v>
      </c>
      <c r="P240" s="9" t="n">
        <v>-582115.54</v>
      </c>
      <c r="U240" s="7" t="inlineStr">
        <is>
          <t>DERIVED_IN_WORKBOOK</t>
        </is>
      </c>
      <c r="V240" s="8">
        <f>SUMIFS(Cashflows!$R$1043:$R$1393,Cashflows!$B$1043:$B$1393,$C240,Cashflows!$C$1043:$C$1393,$K240)</f>
        <v/>
      </c>
      <c r="W240" s="8">
        <f>IF($G240="INR",1,INDEX(Market_Daily!$F$6:$F$256,MATCH($K240,Market_Daily!$A$6:$A$256,0)))</f>
        <v/>
      </c>
      <c r="X240" s="8">
        <f>$V240*$W240</f>
        <v/>
      </c>
      <c r="Y240" s="18">
        <f>$X240-$P240</f>
        <v/>
      </c>
      <c r="Z240" s="8">
        <f>IF(ABS($Y240)&lt;=tol_cashflow_inr,"PASS","FAIL")</f>
        <v/>
      </c>
      <c r="AA240" s="7" t="inlineStr">
        <is>
          <t>direction x lots x lot_kg x (F(s) - F(s-1))</t>
        </is>
      </c>
    </row>
    <row r="241">
      <c r="A241" s="7" t="inlineStr">
        <is>
          <t>T02</t>
        </is>
      </c>
      <c r="B241" s="7" t="inlineStr">
        <is>
          <t>MCX:T02-MCX-2</t>
        </is>
      </c>
      <c r="C241" s="7" t="inlineStr">
        <is>
          <t>T02-MCX-2</t>
        </is>
      </c>
      <c r="D241" s="7" t="inlineStr">
        <is>
          <t>MCX_INITIAL_MARGIN</t>
        </is>
      </c>
      <c r="E241" s="7" t="inlineStr">
        <is>
          <t>MCX_INITIAL_MARGIN</t>
        </is>
      </c>
      <c r="F241" s="7" t="inlineStr">
        <is>
          <t>BS</t>
        </is>
      </c>
      <c r="G241" s="7" t="inlineStr">
        <is>
          <t>INR</t>
        </is>
      </c>
      <c r="H241" s="11" t="n">
        <v>44642</v>
      </c>
      <c r="I241" s="11" t="n">
        <v>44649</v>
      </c>
      <c r="J241" s="11" t="n">
        <v>44649</v>
      </c>
      <c r="K241" s="11" t="n">
        <v>44649</v>
      </c>
      <c r="L241" s="7" t="inlineStr">
        <is>
          <t>roll following on the LME panel calendar</t>
        </is>
      </c>
      <c r="N241" s="7" t="inlineStr">
        <is>
          <t>PROXY</t>
        </is>
      </c>
      <c r="O241" s="9" t="n">
        <v>126029.28</v>
      </c>
      <c r="P241" s="9" t="n">
        <v>126029.28</v>
      </c>
      <c r="U241" s="7" t="inlineStr">
        <is>
          <t>DERIVED_IN_WORKBOOK</t>
        </is>
      </c>
      <c r="V241" s="8">
        <f>-SUMIFS(Cashflows!$W$1043:$W$1393,Cashflows!$B$1043:$B$1393,$C241,Cashflows!$C$1043:$C$1393,$K241)</f>
        <v/>
      </c>
      <c r="W241" s="8">
        <f>IF($G241="INR",1,INDEX(Market_Daily!$F$6:$F$256,MATCH($K241,Market_Daily!$A$6:$A$256,0)))</f>
        <v/>
      </c>
      <c r="X241" s="8">
        <f>$V241*$W241</f>
        <v/>
      </c>
      <c r="Y241" s="18">
        <f>$X241-$P241</f>
        <v/>
      </c>
      <c r="Z241" s="8">
        <f>IF(ABS($Y241)&lt;=tol_cashflow_inr,"PASS","FAIL")</f>
        <v/>
      </c>
      <c r="AA241" s="7" t="inlineStr">
        <is>
          <t>-d(lots x lot_kg x F(s) x mcx_al_margin_used_frac)</t>
        </is>
      </c>
    </row>
    <row r="242">
      <c r="A242" s="7" t="inlineStr">
        <is>
          <t>T02</t>
        </is>
      </c>
      <c r="B242" s="7" t="inlineStr">
        <is>
          <t>MCX:T02-MCX-2</t>
        </is>
      </c>
      <c r="C242" s="7" t="inlineStr">
        <is>
          <t>T02-MCX-2</t>
        </is>
      </c>
      <c r="D242" s="7" t="inlineStr">
        <is>
          <t>MCX_VARIATION_MARGIN</t>
        </is>
      </c>
      <c r="E242" s="7" t="inlineStr">
        <is>
          <t>MCX_VARIATION_MARGIN</t>
        </is>
      </c>
      <c r="F242" s="7" t="inlineStr">
        <is>
          <t>PNL</t>
        </is>
      </c>
      <c r="G242" s="7" t="inlineStr">
        <is>
          <t>INR</t>
        </is>
      </c>
      <c r="H242" s="11" t="n">
        <v>44642</v>
      </c>
      <c r="I242" s="11" t="n">
        <v>44649</v>
      </c>
      <c r="J242" s="11" t="n">
        <v>44649</v>
      </c>
      <c r="K242" s="11" t="n">
        <v>44649</v>
      </c>
      <c r="L242" s="7" t="inlineStr">
        <is>
          <t>roll following on the LME panel calendar</t>
        </is>
      </c>
      <c r="N242" s="7" t="inlineStr">
        <is>
          <t>PROXY</t>
        </is>
      </c>
      <c r="O242" s="9" t="n">
        <v>1260292.82</v>
      </c>
      <c r="P242" s="9" t="n">
        <v>1260292.82</v>
      </c>
      <c r="U242" s="7" t="inlineStr">
        <is>
          <t>DERIVED_IN_WORKBOOK</t>
        </is>
      </c>
      <c r="V242" s="8">
        <f>SUMIFS(Cashflows!$R$1043:$R$1393,Cashflows!$B$1043:$B$1393,$C242,Cashflows!$C$1043:$C$1393,$K242)</f>
        <v/>
      </c>
      <c r="W242" s="8">
        <f>IF($G242="INR",1,INDEX(Market_Daily!$F$6:$F$256,MATCH($K242,Market_Daily!$A$6:$A$256,0)))</f>
        <v/>
      </c>
      <c r="X242" s="8">
        <f>$V242*$W242</f>
        <v/>
      </c>
      <c r="Y242" s="18">
        <f>$X242-$P242</f>
        <v/>
      </c>
      <c r="Z242" s="8">
        <f>IF(ABS($Y242)&lt;=tol_cashflow_inr,"PASS","FAIL")</f>
        <v/>
      </c>
      <c r="AA242" s="7" t="inlineStr">
        <is>
          <t>direction x lots x lot_kg x (F(s) - F(s-1))</t>
        </is>
      </c>
    </row>
    <row r="243">
      <c r="A243" s="7" t="inlineStr">
        <is>
          <t>T02</t>
        </is>
      </c>
      <c r="B243" s="7" t="inlineStr">
        <is>
          <t>MCX:T02-MCX-2</t>
        </is>
      </c>
      <c r="C243" s="7" t="inlineStr">
        <is>
          <t>T02-MCX-2</t>
        </is>
      </c>
      <c r="D243" s="7" t="inlineStr">
        <is>
          <t>MCX_INITIAL_MARGIN</t>
        </is>
      </c>
      <c r="E243" s="7" t="inlineStr">
        <is>
          <t>MCX_INITIAL_MARGIN</t>
        </is>
      </c>
      <c r="F243" s="7" t="inlineStr">
        <is>
          <t>BS</t>
        </is>
      </c>
      <c r="G243" s="7" t="inlineStr">
        <is>
          <t>INR</t>
        </is>
      </c>
      <c r="H243" s="11" t="n">
        <v>44642</v>
      </c>
      <c r="I243" s="11" t="n">
        <v>44650</v>
      </c>
      <c r="J243" s="11" t="n">
        <v>44650</v>
      </c>
      <c r="K243" s="11" t="n">
        <v>44650</v>
      </c>
      <c r="L243" s="7" t="inlineStr">
        <is>
          <t>roll following on the LME panel calendar</t>
        </is>
      </c>
      <c r="N243" s="7" t="inlineStr">
        <is>
          <t>PROXY</t>
        </is>
      </c>
      <c r="O243" s="9" t="n">
        <v>216596.69</v>
      </c>
      <c r="P243" s="9" t="n">
        <v>216596.69</v>
      </c>
      <c r="U243" s="7" t="inlineStr">
        <is>
          <t>DERIVED_IN_WORKBOOK</t>
        </is>
      </c>
      <c r="V243" s="8">
        <f>-SUMIFS(Cashflows!$W$1043:$W$1393,Cashflows!$B$1043:$B$1393,$C243,Cashflows!$C$1043:$C$1393,$K243)</f>
        <v/>
      </c>
      <c r="W243" s="8">
        <f>IF($G243="INR",1,INDEX(Market_Daily!$F$6:$F$256,MATCH($K243,Market_Daily!$A$6:$A$256,0)))</f>
        <v/>
      </c>
      <c r="X243" s="8">
        <f>$V243*$W243</f>
        <v/>
      </c>
      <c r="Y243" s="18">
        <f>$X243-$P243</f>
        <v/>
      </c>
      <c r="Z243" s="8">
        <f>IF(ABS($Y243)&lt;=tol_cashflow_inr,"PASS","FAIL")</f>
        <v/>
      </c>
      <c r="AA243" s="7" t="inlineStr">
        <is>
          <t>-d(lots x lot_kg x F(s) x mcx_al_margin_used_frac)</t>
        </is>
      </c>
    </row>
    <row r="244">
      <c r="A244" s="7" t="inlineStr">
        <is>
          <t>T02</t>
        </is>
      </c>
      <c r="B244" s="7" t="inlineStr">
        <is>
          <t>MCX:T02-MCX-2</t>
        </is>
      </c>
      <c r="C244" s="7" t="inlineStr">
        <is>
          <t>T02-MCX-2</t>
        </is>
      </c>
      <c r="D244" s="7" t="inlineStr">
        <is>
          <t>MCX_VARIATION_MARGIN</t>
        </is>
      </c>
      <c r="E244" s="7" t="inlineStr">
        <is>
          <t>MCX_VARIATION_MARGIN</t>
        </is>
      </c>
      <c r="F244" s="7" t="inlineStr">
        <is>
          <t>PNL</t>
        </is>
      </c>
      <c r="G244" s="7" t="inlineStr">
        <is>
          <t>INR</t>
        </is>
      </c>
      <c r="H244" s="11" t="n">
        <v>44642</v>
      </c>
      <c r="I244" s="11" t="n">
        <v>44650</v>
      </c>
      <c r="J244" s="11" t="n">
        <v>44650</v>
      </c>
      <c r="K244" s="11" t="n">
        <v>44650</v>
      </c>
      <c r="L244" s="7" t="inlineStr">
        <is>
          <t>roll following on the LME panel calendar</t>
        </is>
      </c>
      <c r="N244" s="7" t="inlineStr">
        <is>
          <t>PROXY</t>
        </is>
      </c>
      <c r="O244" s="9" t="n">
        <v>2165966.91</v>
      </c>
      <c r="P244" s="9" t="n">
        <v>2165966.91</v>
      </c>
      <c r="U244" s="7" t="inlineStr">
        <is>
          <t>DERIVED_IN_WORKBOOK</t>
        </is>
      </c>
      <c r="V244" s="8">
        <f>SUMIFS(Cashflows!$R$1043:$R$1393,Cashflows!$B$1043:$B$1393,$C244,Cashflows!$C$1043:$C$1393,$K244)</f>
        <v/>
      </c>
      <c r="W244" s="8">
        <f>IF($G244="INR",1,INDEX(Market_Daily!$F$6:$F$256,MATCH($K244,Market_Daily!$A$6:$A$256,0)))</f>
        <v/>
      </c>
      <c r="X244" s="8">
        <f>$V244*$W244</f>
        <v/>
      </c>
      <c r="Y244" s="18">
        <f>$X244-$P244</f>
        <v/>
      </c>
      <c r="Z244" s="8">
        <f>IF(ABS($Y244)&lt;=tol_cashflow_inr,"PASS","FAIL")</f>
        <v/>
      </c>
      <c r="AA244" s="7" t="inlineStr">
        <is>
          <t>direction x lots x lot_kg x (F(s) - F(s-1))</t>
        </is>
      </c>
    </row>
    <row r="245">
      <c r="A245" s="7" t="inlineStr">
        <is>
          <t>T02</t>
        </is>
      </c>
      <c r="B245" s="7" t="inlineStr">
        <is>
          <t>MCX:T02-MCX-2</t>
        </is>
      </c>
      <c r="C245" s="7" t="inlineStr">
        <is>
          <t>T02-MCX-2</t>
        </is>
      </c>
      <c r="D245" s="7" t="inlineStr">
        <is>
          <t>MCX_INITIAL_MARGIN</t>
        </is>
      </c>
      <c r="E245" s="7" t="inlineStr">
        <is>
          <t>MCX_INITIAL_MARGIN</t>
        </is>
      </c>
      <c r="F245" s="7" t="inlineStr">
        <is>
          <t>BS</t>
        </is>
      </c>
      <c r="G245" s="7" t="inlineStr">
        <is>
          <t>INR</t>
        </is>
      </c>
      <c r="H245" s="11" t="n">
        <v>44642</v>
      </c>
      <c r="I245" s="11" t="n">
        <v>44651</v>
      </c>
      <c r="J245" s="11" t="n">
        <v>44651</v>
      </c>
      <c r="K245" s="11" t="n">
        <v>44651</v>
      </c>
      <c r="L245" s="7" t="inlineStr">
        <is>
          <t>roll following on the LME panel calendar</t>
        </is>
      </c>
      <c r="N245" s="7" t="inlineStr">
        <is>
          <t>PROXY</t>
        </is>
      </c>
      <c r="O245" s="9" t="n">
        <v>23485.93</v>
      </c>
      <c r="P245" s="9" t="n">
        <v>23485.93</v>
      </c>
      <c r="U245" s="7" t="inlineStr">
        <is>
          <t>DERIVED_IN_WORKBOOK</t>
        </is>
      </c>
      <c r="V245" s="8">
        <f>-SUMIFS(Cashflows!$W$1043:$W$1393,Cashflows!$B$1043:$B$1393,$C245,Cashflows!$C$1043:$C$1393,$K245)</f>
        <v/>
      </c>
      <c r="W245" s="8">
        <f>IF($G245="INR",1,INDEX(Market_Daily!$F$6:$F$256,MATCH($K245,Market_Daily!$A$6:$A$256,0)))</f>
        <v/>
      </c>
      <c r="X245" s="8">
        <f>$V245*$W245</f>
        <v/>
      </c>
      <c r="Y245" s="18">
        <f>$X245-$P245</f>
        <v/>
      </c>
      <c r="Z245" s="8">
        <f>IF(ABS($Y245)&lt;=tol_cashflow_inr,"PASS","FAIL")</f>
        <v/>
      </c>
      <c r="AA245" s="7" t="inlineStr">
        <is>
          <t>-d(lots x lot_kg x F(s) x mcx_al_margin_used_frac)</t>
        </is>
      </c>
    </row>
    <row r="246">
      <c r="A246" s="7" t="inlineStr">
        <is>
          <t>T02</t>
        </is>
      </c>
      <c r="B246" s="7" t="inlineStr">
        <is>
          <t>MCX:T02-MCX-2</t>
        </is>
      </c>
      <c r="C246" s="7" t="inlineStr">
        <is>
          <t>T02-MCX-2</t>
        </is>
      </c>
      <c r="D246" s="7" t="inlineStr">
        <is>
          <t>MCX_VARIATION_MARGIN</t>
        </is>
      </c>
      <c r="E246" s="7" t="inlineStr">
        <is>
          <t>MCX_VARIATION_MARGIN</t>
        </is>
      </c>
      <c r="F246" s="7" t="inlineStr">
        <is>
          <t>PNL</t>
        </is>
      </c>
      <c r="G246" s="7" t="inlineStr">
        <is>
          <t>INR</t>
        </is>
      </c>
      <c r="H246" s="11" t="n">
        <v>44642</v>
      </c>
      <c r="I246" s="11" t="n">
        <v>44651</v>
      </c>
      <c r="J246" s="11" t="n">
        <v>44651</v>
      </c>
      <c r="K246" s="11" t="n">
        <v>44651</v>
      </c>
      <c r="L246" s="7" t="inlineStr">
        <is>
          <t>roll following on the LME panel calendar</t>
        </is>
      </c>
      <c r="N246" s="7" t="inlineStr">
        <is>
          <t>PROXY</t>
        </is>
      </c>
      <c r="O246" s="9" t="n">
        <v>234859.26</v>
      </c>
      <c r="P246" s="9" t="n">
        <v>234859.26</v>
      </c>
      <c r="U246" s="7" t="inlineStr">
        <is>
          <t>DERIVED_IN_WORKBOOK</t>
        </is>
      </c>
      <c r="V246" s="8">
        <f>SUMIFS(Cashflows!$R$1043:$R$1393,Cashflows!$B$1043:$B$1393,$C246,Cashflows!$C$1043:$C$1393,$K246)</f>
        <v/>
      </c>
      <c r="W246" s="8">
        <f>IF($G246="INR",1,INDEX(Market_Daily!$F$6:$F$256,MATCH($K246,Market_Daily!$A$6:$A$256,0)))</f>
        <v/>
      </c>
      <c r="X246" s="8">
        <f>$V246*$W246</f>
        <v/>
      </c>
      <c r="Y246" s="18">
        <f>$X246-$P246</f>
        <v/>
      </c>
      <c r="Z246" s="8">
        <f>IF(ABS($Y246)&lt;=tol_cashflow_inr,"PASS","FAIL")</f>
        <v/>
      </c>
      <c r="AA246" s="7" t="inlineStr">
        <is>
          <t>direction x lots x lot_kg x (F(s) - F(s-1))</t>
        </is>
      </c>
    </row>
    <row r="247">
      <c r="A247" s="7" t="inlineStr">
        <is>
          <t>T02</t>
        </is>
      </c>
      <c r="B247" s="7" t="inlineStr">
        <is>
          <t>MCX:T02-MCX-2</t>
        </is>
      </c>
      <c r="C247" s="7" t="inlineStr">
        <is>
          <t>T02-MCX-2</t>
        </is>
      </c>
      <c r="D247" s="7" t="inlineStr">
        <is>
          <t>MCX_INITIAL_MARGIN</t>
        </is>
      </c>
      <c r="E247" s="7" t="inlineStr">
        <is>
          <t>MCX_INITIAL_MARGIN</t>
        </is>
      </c>
      <c r="F247" s="7" t="inlineStr">
        <is>
          <t>BS</t>
        </is>
      </c>
      <c r="G247" s="7" t="inlineStr">
        <is>
          <t>INR</t>
        </is>
      </c>
      <c r="H247" s="11" t="n">
        <v>44642</v>
      </c>
      <c r="I247" s="11" t="n">
        <v>44652</v>
      </c>
      <c r="J247" s="11" t="n">
        <v>44652</v>
      </c>
      <c r="K247" s="11" t="n">
        <v>44652</v>
      </c>
      <c r="L247" s="7" t="inlineStr">
        <is>
          <t>roll following on the LME panel calendar</t>
        </is>
      </c>
      <c r="N247" s="7" t="inlineStr">
        <is>
          <t>PROXY</t>
        </is>
      </c>
      <c r="O247" s="9" t="n">
        <v>32696.22</v>
      </c>
      <c r="P247" s="9" t="n">
        <v>32696.22</v>
      </c>
      <c r="U247" s="7" t="inlineStr">
        <is>
          <t>DERIVED_IN_WORKBOOK</t>
        </is>
      </c>
      <c r="V247" s="8">
        <f>-SUMIFS(Cashflows!$W$1043:$W$1393,Cashflows!$B$1043:$B$1393,$C247,Cashflows!$C$1043:$C$1393,$K247)</f>
        <v/>
      </c>
      <c r="W247" s="8">
        <f>IF($G247="INR",1,INDEX(Market_Daily!$F$6:$F$256,MATCH($K247,Market_Daily!$A$6:$A$256,0)))</f>
        <v/>
      </c>
      <c r="X247" s="8">
        <f>$V247*$W247</f>
        <v/>
      </c>
      <c r="Y247" s="18">
        <f>$X247-$P247</f>
        <v/>
      </c>
      <c r="Z247" s="8">
        <f>IF(ABS($Y247)&lt;=tol_cashflow_inr,"PASS","FAIL")</f>
        <v/>
      </c>
      <c r="AA247" s="7" t="inlineStr">
        <is>
          <t>-d(lots x lot_kg x F(s) x mcx_al_margin_used_frac)</t>
        </is>
      </c>
    </row>
    <row r="248">
      <c r="A248" s="7" t="inlineStr">
        <is>
          <t>T02</t>
        </is>
      </c>
      <c r="B248" s="7" t="inlineStr">
        <is>
          <t>MCX:T02-MCX-2</t>
        </is>
      </c>
      <c r="C248" s="7" t="inlineStr">
        <is>
          <t>T02-MCX-2</t>
        </is>
      </c>
      <c r="D248" s="7" t="inlineStr">
        <is>
          <t>MCX_VARIATION_MARGIN</t>
        </is>
      </c>
      <c r="E248" s="7" t="inlineStr">
        <is>
          <t>MCX_VARIATION_MARGIN</t>
        </is>
      </c>
      <c r="F248" s="7" t="inlineStr">
        <is>
          <t>PNL</t>
        </is>
      </c>
      <c r="G248" s="7" t="inlineStr">
        <is>
          <t>INR</t>
        </is>
      </c>
      <c r="H248" s="11" t="n">
        <v>44642</v>
      </c>
      <c r="I248" s="11" t="n">
        <v>44652</v>
      </c>
      <c r="J248" s="11" t="n">
        <v>44652</v>
      </c>
      <c r="K248" s="11" t="n">
        <v>44652</v>
      </c>
      <c r="L248" s="7" t="inlineStr">
        <is>
          <t>roll following on the LME panel calendar</t>
        </is>
      </c>
      <c r="N248" s="7" t="inlineStr">
        <is>
          <t>PROXY</t>
        </is>
      </c>
      <c r="O248" s="9" t="n">
        <v>326962.2</v>
      </c>
      <c r="P248" s="9" t="n">
        <v>326962.2</v>
      </c>
      <c r="U248" s="7" t="inlineStr">
        <is>
          <t>DERIVED_IN_WORKBOOK</t>
        </is>
      </c>
      <c r="V248" s="8">
        <f>SUMIFS(Cashflows!$R$1043:$R$1393,Cashflows!$B$1043:$B$1393,$C248,Cashflows!$C$1043:$C$1393,$K248)</f>
        <v/>
      </c>
      <c r="W248" s="8">
        <f>IF($G248="INR",1,INDEX(Market_Daily!$F$6:$F$256,MATCH($K248,Market_Daily!$A$6:$A$256,0)))</f>
        <v/>
      </c>
      <c r="X248" s="8">
        <f>$V248*$W248</f>
        <v/>
      </c>
      <c r="Y248" s="18">
        <f>$X248-$P248</f>
        <v/>
      </c>
      <c r="Z248" s="8">
        <f>IF(ABS($Y248)&lt;=tol_cashflow_inr,"PASS","FAIL")</f>
        <v/>
      </c>
      <c r="AA248" s="7" t="inlineStr">
        <is>
          <t>direction x lots x lot_kg x (F(s) - F(s-1))</t>
        </is>
      </c>
    </row>
    <row r="249">
      <c r="A249" s="7" t="inlineStr">
        <is>
          <t>T02</t>
        </is>
      </c>
      <c r="B249" s="7" t="inlineStr">
        <is>
          <t>MCX:T02-MCX-2</t>
        </is>
      </c>
      <c r="C249" s="7" t="inlineStr">
        <is>
          <t>T02-MCX-2</t>
        </is>
      </c>
      <c r="D249" s="7" t="inlineStr">
        <is>
          <t>MCX_INITIAL_MARGIN</t>
        </is>
      </c>
      <c r="E249" s="7" t="inlineStr">
        <is>
          <t>MCX_INITIAL_MARGIN</t>
        </is>
      </c>
      <c r="F249" s="7" t="inlineStr">
        <is>
          <t>BS</t>
        </is>
      </c>
      <c r="G249" s="7" t="inlineStr">
        <is>
          <t>INR</t>
        </is>
      </c>
      <c r="H249" s="11" t="n">
        <v>44642</v>
      </c>
      <c r="I249" s="11" t="n">
        <v>44655</v>
      </c>
      <c r="J249" s="11" t="n">
        <v>44655</v>
      </c>
      <c r="K249" s="11" t="n">
        <v>44655</v>
      </c>
      <c r="L249" s="7" t="inlineStr">
        <is>
          <t>roll following on the LME panel calendar</t>
        </is>
      </c>
      <c r="N249" s="7" t="inlineStr">
        <is>
          <t>PROXY</t>
        </is>
      </c>
      <c r="O249" s="9" t="n">
        <v>186478.55</v>
      </c>
      <c r="P249" s="9" t="n">
        <v>186478.55</v>
      </c>
      <c r="U249" s="7" t="inlineStr">
        <is>
          <t>DERIVED_IN_WORKBOOK</t>
        </is>
      </c>
      <c r="V249" s="8">
        <f>-SUMIFS(Cashflows!$W$1043:$W$1393,Cashflows!$B$1043:$B$1393,$C249,Cashflows!$C$1043:$C$1393,$K249)</f>
        <v/>
      </c>
      <c r="W249" s="8">
        <f>IF($G249="INR",1,INDEX(Market_Daily!$F$6:$F$256,MATCH($K249,Market_Daily!$A$6:$A$256,0)))</f>
        <v/>
      </c>
      <c r="X249" s="8">
        <f>$V249*$W249</f>
        <v/>
      </c>
      <c r="Y249" s="18">
        <f>$X249-$P249</f>
        <v/>
      </c>
      <c r="Z249" s="8">
        <f>IF(ABS($Y249)&lt;=tol_cashflow_inr,"PASS","FAIL")</f>
        <v/>
      </c>
      <c r="AA249" s="7" t="inlineStr">
        <is>
          <t>-d(lots x lot_kg x F(s) x mcx_al_margin_used_frac)</t>
        </is>
      </c>
    </row>
    <row r="250">
      <c r="A250" s="7" t="inlineStr">
        <is>
          <t>T02</t>
        </is>
      </c>
      <c r="B250" s="7" t="inlineStr">
        <is>
          <t>MCX:T02-MCX-2</t>
        </is>
      </c>
      <c r="C250" s="7" t="inlineStr">
        <is>
          <t>T02-MCX-2</t>
        </is>
      </c>
      <c r="D250" s="7" t="inlineStr">
        <is>
          <t>MCX_VARIATION_MARGIN</t>
        </is>
      </c>
      <c r="E250" s="7" t="inlineStr">
        <is>
          <t>MCX_VARIATION_MARGIN</t>
        </is>
      </c>
      <c r="F250" s="7" t="inlineStr">
        <is>
          <t>PNL</t>
        </is>
      </c>
      <c r="G250" s="7" t="inlineStr">
        <is>
          <t>INR</t>
        </is>
      </c>
      <c r="H250" s="11" t="n">
        <v>44642</v>
      </c>
      <c r="I250" s="11" t="n">
        <v>44655</v>
      </c>
      <c r="J250" s="11" t="n">
        <v>44655</v>
      </c>
      <c r="K250" s="11" t="n">
        <v>44655</v>
      </c>
      <c r="L250" s="7" t="inlineStr">
        <is>
          <t>roll following on the LME panel calendar</t>
        </is>
      </c>
      <c r="N250" s="7" t="inlineStr">
        <is>
          <t>PROXY</t>
        </is>
      </c>
      <c r="O250" s="9" t="n">
        <v>1864785.47</v>
      </c>
      <c r="P250" s="9" t="n">
        <v>1864785.47</v>
      </c>
      <c r="U250" s="7" t="inlineStr">
        <is>
          <t>DERIVED_IN_WORKBOOK</t>
        </is>
      </c>
      <c r="V250" s="8">
        <f>SUMIFS(Cashflows!$R$1043:$R$1393,Cashflows!$B$1043:$B$1393,$C250,Cashflows!$C$1043:$C$1393,$K250)</f>
        <v/>
      </c>
      <c r="W250" s="8">
        <f>IF($G250="INR",1,INDEX(Market_Daily!$F$6:$F$256,MATCH($K250,Market_Daily!$A$6:$A$256,0)))</f>
        <v/>
      </c>
      <c r="X250" s="8">
        <f>$V250*$W250</f>
        <v/>
      </c>
      <c r="Y250" s="18">
        <f>$X250-$P250</f>
        <v/>
      </c>
      <c r="Z250" s="8">
        <f>IF(ABS($Y250)&lt;=tol_cashflow_inr,"PASS","FAIL")</f>
        <v/>
      </c>
      <c r="AA250" s="7" t="inlineStr">
        <is>
          <t>direction x lots x lot_kg x (F(s) - F(s-1))</t>
        </is>
      </c>
    </row>
    <row r="251">
      <c r="A251" s="7" t="inlineStr">
        <is>
          <t>T02</t>
        </is>
      </c>
      <c r="B251" s="7" t="inlineStr">
        <is>
          <t>INSURANCE:L1</t>
        </is>
      </c>
      <c r="C251" s="7" t="inlineStr">
        <is>
          <t>L1</t>
        </is>
      </c>
      <c r="D251" s="7" t="inlineStr">
        <is>
          <t>INSURANCE</t>
        </is>
      </c>
      <c r="E251" s="7" t="inlineStr">
        <is>
          <t>INSURANCE</t>
        </is>
      </c>
      <c r="F251" s="7" t="inlineStr">
        <is>
          <t>PNL</t>
        </is>
      </c>
      <c r="G251" s="7" t="inlineStr">
        <is>
          <t>USD</t>
        </is>
      </c>
      <c r="H251" s="11" t="n">
        <v>44631</v>
      </c>
      <c r="I251" s="11" t="n">
        <v>44656</v>
      </c>
      <c r="J251" s="11" t="n">
        <v>44656</v>
      </c>
      <c r="K251" s="11" t="n">
        <v>44656</v>
      </c>
      <c r="L251" s="7" t="inlineStr">
        <is>
          <t>roll following on the LME panel calendar</t>
        </is>
      </c>
      <c r="N251" s="7" t="inlineStr">
        <is>
          <t>ASSUMPTION</t>
        </is>
      </c>
      <c r="O251" s="9" t="n">
        <v>-1437.99</v>
      </c>
      <c r="P251" s="9" t="n">
        <v>-108330.84</v>
      </c>
      <c r="U251" s="7" t="inlineStr">
        <is>
          <t>PYTHON_LIFECYCLE</t>
        </is>
      </c>
      <c r="V251" s="8">
        <f>$O251</f>
        <v/>
      </c>
      <c r="W251" s="8">
        <f>IF($G251="INR",1,INDEX(Market_Daily!$F$6:$F$256,MATCH($K251,Market_Daily!$A$6:$A$256,0)))</f>
        <v/>
      </c>
      <c r="X251" s="8">
        <f>$V251*$W251</f>
        <v/>
      </c>
      <c r="Y251" s="18">
        <f>$X251-$P251</f>
        <v/>
      </c>
      <c r="Z251" s="8">
        <f>IF(ABS($Y251)&lt;=tol_cashflow_inr,"PASS","FAIL")</f>
        <v/>
      </c>
      <c r="AA251" s="7" t="inlineStr">
        <is>
          <t>-insurance_rate x insured_value_uplift x cfr_value_usd</t>
        </is>
      </c>
    </row>
    <row r="252">
      <c r="A252" s="7" t="inlineStr">
        <is>
          <t>T02</t>
        </is>
      </c>
      <c r="B252" s="7" t="inlineStr">
        <is>
          <t>MCX:T02-MCX-2</t>
        </is>
      </c>
      <c r="C252" s="7" t="inlineStr">
        <is>
          <t>T02-MCX-2</t>
        </is>
      </c>
      <c r="D252" s="7" t="inlineStr">
        <is>
          <t>MCX_INITIAL_MARGIN</t>
        </is>
      </c>
      <c r="E252" s="7" t="inlineStr">
        <is>
          <t>MCX_INITIAL_MARGIN</t>
        </is>
      </c>
      <c r="F252" s="7" t="inlineStr">
        <is>
          <t>BS</t>
        </is>
      </c>
      <c r="G252" s="7" t="inlineStr">
        <is>
          <t>INR</t>
        </is>
      </c>
      <c r="H252" s="11" t="n">
        <v>44642</v>
      </c>
      <c r="I252" s="11" t="n">
        <v>44656</v>
      </c>
      <c r="J252" s="11" t="n">
        <v>44656</v>
      </c>
      <c r="K252" s="11" t="n">
        <v>44656</v>
      </c>
      <c r="L252" s="7" t="inlineStr">
        <is>
          <t>roll following on the LME panel calendar</t>
        </is>
      </c>
      <c r="N252" s="7" t="inlineStr">
        <is>
          <t>PROXY</t>
        </is>
      </c>
      <c r="O252" s="9" t="n">
        <v>115471.77</v>
      </c>
      <c r="P252" s="9" t="n">
        <v>115471.77</v>
      </c>
      <c r="U252" s="7" t="inlineStr">
        <is>
          <t>DERIVED_IN_WORKBOOK</t>
        </is>
      </c>
      <c r="V252" s="8">
        <f>-SUMIFS(Cashflows!$W$1043:$W$1393,Cashflows!$B$1043:$B$1393,$C252,Cashflows!$C$1043:$C$1393,$K252)</f>
        <v/>
      </c>
      <c r="W252" s="8">
        <f>IF($G252="INR",1,INDEX(Market_Daily!$F$6:$F$256,MATCH($K252,Market_Daily!$A$6:$A$256,0)))</f>
        <v/>
      </c>
      <c r="X252" s="8">
        <f>$V252*$W252</f>
        <v/>
      </c>
      <c r="Y252" s="18">
        <f>$X252-$P252</f>
        <v/>
      </c>
      <c r="Z252" s="8">
        <f>IF(ABS($Y252)&lt;=tol_cashflow_inr,"PASS","FAIL")</f>
        <v/>
      </c>
      <c r="AA252" s="7" t="inlineStr">
        <is>
          <t>-d(lots x lot_kg x F(s) x mcx_al_margin_used_frac)</t>
        </is>
      </c>
    </row>
    <row r="253">
      <c r="A253" s="7" t="inlineStr">
        <is>
          <t>T02</t>
        </is>
      </c>
      <c r="B253" s="7" t="inlineStr">
        <is>
          <t>MCX:T02-MCX-2</t>
        </is>
      </c>
      <c r="C253" s="7" t="inlineStr">
        <is>
          <t>T02-MCX-2</t>
        </is>
      </c>
      <c r="D253" s="7" t="inlineStr">
        <is>
          <t>MCX_VARIATION_MARGIN</t>
        </is>
      </c>
      <c r="E253" s="7" t="inlineStr">
        <is>
          <t>MCX_VARIATION_MARGIN</t>
        </is>
      </c>
      <c r="F253" s="7" t="inlineStr">
        <is>
          <t>PNL</t>
        </is>
      </c>
      <c r="G253" s="7" t="inlineStr">
        <is>
          <t>INR</t>
        </is>
      </c>
      <c r="H253" s="11" t="n">
        <v>44642</v>
      </c>
      <c r="I253" s="11" t="n">
        <v>44656</v>
      </c>
      <c r="J253" s="11" t="n">
        <v>44656</v>
      </c>
      <c r="K253" s="11" t="n">
        <v>44656</v>
      </c>
      <c r="L253" s="7" t="inlineStr">
        <is>
          <t>roll following on the LME panel calendar</t>
        </is>
      </c>
      <c r="N253" s="7" t="inlineStr">
        <is>
          <t>PROXY</t>
        </is>
      </c>
      <c r="O253" s="9" t="n">
        <v>1154717.71</v>
      </c>
      <c r="P253" s="9" t="n">
        <v>1154717.71</v>
      </c>
      <c r="U253" s="7" t="inlineStr">
        <is>
          <t>DERIVED_IN_WORKBOOK</t>
        </is>
      </c>
      <c r="V253" s="8">
        <f>SUMIFS(Cashflows!$R$1043:$R$1393,Cashflows!$B$1043:$B$1393,$C253,Cashflows!$C$1043:$C$1393,$K253)</f>
        <v/>
      </c>
      <c r="W253" s="8">
        <f>IF($G253="INR",1,INDEX(Market_Daily!$F$6:$F$256,MATCH($K253,Market_Daily!$A$6:$A$256,0)))</f>
        <v/>
      </c>
      <c r="X253" s="8">
        <f>$V253*$W253</f>
        <v/>
      </c>
      <c r="Y253" s="18">
        <f>$X253-$P253</f>
        <v/>
      </c>
      <c r="Z253" s="8">
        <f>IF(ABS($Y253)&lt;=tol_cashflow_inr,"PASS","FAIL")</f>
        <v/>
      </c>
      <c r="AA253" s="7" t="inlineStr">
        <is>
          <t>direction x lots x lot_kg x (F(s) - F(s-1))</t>
        </is>
      </c>
    </row>
    <row r="254">
      <c r="A254" s="7" t="inlineStr">
        <is>
          <t>T02</t>
        </is>
      </c>
      <c r="B254" s="7" t="inlineStr">
        <is>
          <t>PSIC:L1</t>
        </is>
      </c>
      <c r="C254" s="7" t="inlineStr">
        <is>
          <t>L1</t>
        </is>
      </c>
      <c r="D254" s="7" t="inlineStr">
        <is>
          <t>PSIC</t>
        </is>
      </c>
      <c r="E254" s="7" t="inlineStr">
        <is>
          <t>PSIC</t>
        </is>
      </c>
      <c r="F254" s="7" t="inlineStr">
        <is>
          <t>PNL</t>
        </is>
      </c>
      <c r="G254" s="7" t="inlineStr">
        <is>
          <t>USD</t>
        </is>
      </c>
      <c r="H254" s="11" t="n">
        <v>44631</v>
      </c>
      <c r="I254" s="11" t="n">
        <v>44656</v>
      </c>
      <c r="J254" s="11" t="n">
        <v>44656</v>
      </c>
      <c r="K254" s="11" t="n">
        <v>44656</v>
      </c>
      <c r="L254" s="7" t="inlineStr">
        <is>
          <t>roll following on the LME panel calendar</t>
        </is>
      </c>
      <c r="N254" s="7" t="inlineStr">
        <is>
          <t>ASSUMPTION</t>
        </is>
      </c>
      <c r="O254" s="9" t="n">
        <v>-960</v>
      </c>
      <c r="P254" s="9" t="n">
        <v>-72321.60000000001</v>
      </c>
      <c r="U254" s="7" t="inlineStr">
        <is>
          <t>PYTHON_LIFECYCLE</t>
        </is>
      </c>
      <c r="V254" s="8">
        <f>$O254</f>
        <v/>
      </c>
      <c r="W254" s="8">
        <f>IF($G254="INR",1,INDEX(Market_Daily!$F$6:$F$256,MATCH($K254,Market_Daily!$A$6:$A$256,0)))</f>
        <v/>
      </c>
      <c r="X254" s="8">
        <f>$V254*$W254</f>
        <v/>
      </c>
      <c r="Y254" s="18">
        <f>$X254-$P254</f>
        <v/>
      </c>
      <c r="Z254" s="8">
        <f>IF(ABS($Y254)&lt;=tol_cashflow_inr,"PASS","FAIL")</f>
        <v/>
      </c>
      <c r="AA254" s="7" t="inlineStr">
        <is>
          <t>-psic_cost_usd_per_box x boxes</t>
        </is>
      </c>
    </row>
    <row r="255">
      <c r="A255" s="7" t="inlineStr">
        <is>
          <t>T02</t>
        </is>
      </c>
      <c r="B255" s="7" t="inlineStr">
        <is>
          <t>MCX:T02-MCX-2</t>
        </is>
      </c>
      <c r="C255" s="7" t="inlineStr">
        <is>
          <t>T02-MCX-2</t>
        </is>
      </c>
      <c r="D255" s="7" t="inlineStr">
        <is>
          <t>MCX_INITIAL_MARGIN</t>
        </is>
      </c>
      <c r="E255" s="7" t="inlineStr">
        <is>
          <t>MCX_INITIAL_MARGIN</t>
        </is>
      </c>
      <c r="F255" s="7" t="inlineStr">
        <is>
          <t>BS</t>
        </is>
      </c>
      <c r="G255" s="7" t="inlineStr">
        <is>
          <t>INR</t>
        </is>
      </c>
      <c r="H255" s="11" t="n">
        <v>44642</v>
      </c>
      <c r="I255" s="11" t="n">
        <v>44657</v>
      </c>
      <c r="J255" s="11" t="n">
        <v>44657</v>
      </c>
      <c r="K255" s="11" t="n">
        <v>44657</v>
      </c>
      <c r="L255" s="7" t="inlineStr">
        <is>
          <t>roll following on the LME panel calendar</t>
        </is>
      </c>
      <c r="N255" s="7" t="inlineStr">
        <is>
          <t>PROXY</t>
        </is>
      </c>
      <c r="O255" s="9" t="n">
        <v>-154202.45</v>
      </c>
      <c r="P255" s="9" t="n">
        <v>-154202.45</v>
      </c>
      <c r="U255" s="7" t="inlineStr">
        <is>
          <t>DERIVED_IN_WORKBOOK</t>
        </is>
      </c>
      <c r="V255" s="8">
        <f>-SUMIFS(Cashflows!$W$1043:$W$1393,Cashflows!$B$1043:$B$1393,$C255,Cashflows!$C$1043:$C$1393,$K255)</f>
        <v/>
      </c>
      <c r="W255" s="8">
        <f>IF($G255="INR",1,INDEX(Market_Daily!$F$6:$F$256,MATCH($K255,Market_Daily!$A$6:$A$256,0)))</f>
        <v/>
      </c>
      <c r="X255" s="8">
        <f>$V255*$W255</f>
        <v/>
      </c>
      <c r="Y255" s="18">
        <f>$X255-$P255</f>
        <v/>
      </c>
      <c r="Z255" s="8">
        <f>IF(ABS($Y255)&lt;=tol_cashflow_inr,"PASS","FAIL")</f>
        <v/>
      </c>
      <c r="AA255" s="7" t="inlineStr">
        <is>
          <t>-d(lots x lot_kg x F(s) x mcx_al_margin_used_frac)</t>
        </is>
      </c>
    </row>
    <row r="256">
      <c r="A256" s="7" t="inlineStr">
        <is>
          <t>T02</t>
        </is>
      </c>
      <c r="B256" s="7" t="inlineStr">
        <is>
          <t>MCX:T02-MCX-2</t>
        </is>
      </c>
      <c r="C256" s="7" t="inlineStr">
        <is>
          <t>T02-MCX-2</t>
        </is>
      </c>
      <c r="D256" s="7" t="inlineStr">
        <is>
          <t>MCX_VARIATION_MARGIN</t>
        </is>
      </c>
      <c r="E256" s="7" t="inlineStr">
        <is>
          <t>MCX_VARIATION_MARGIN</t>
        </is>
      </c>
      <c r="F256" s="7" t="inlineStr">
        <is>
          <t>PNL</t>
        </is>
      </c>
      <c r="G256" s="7" t="inlineStr">
        <is>
          <t>INR</t>
        </is>
      </c>
      <c r="H256" s="11" t="n">
        <v>44642</v>
      </c>
      <c r="I256" s="11" t="n">
        <v>44657</v>
      </c>
      <c r="J256" s="11" t="n">
        <v>44657</v>
      </c>
      <c r="K256" s="11" t="n">
        <v>44657</v>
      </c>
      <c r="L256" s="7" t="inlineStr">
        <is>
          <t>roll following on the LME panel calendar</t>
        </is>
      </c>
      <c r="N256" s="7" t="inlineStr">
        <is>
          <t>PROXY</t>
        </is>
      </c>
      <c r="O256" s="9" t="n">
        <v>-1542024.54</v>
      </c>
      <c r="P256" s="9" t="n">
        <v>-1542024.54</v>
      </c>
      <c r="U256" s="7" t="inlineStr">
        <is>
          <t>DERIVED_IN_WORKBOOK</t>
        </is>
      </c>
      <c r="V256" s="8">
        <f>SUMIFS(Cashflows!$R$1043:$R$1393,Cashflows!$B$1043:$B$1393,$C256,Cashflows!$C$1043:$C$1393,$K256)</f>
        <v/>
      </c>
      <c r="W256" s="8">
        <f>IF($G256="INR",1,INDEX(Market_Daily!$F$6:$F$256,MATCH($K256,Market_Daily!$A$6:$A$256,0)))</f>
        <v/>
      </c>
      <c r="X256" s="8">
        <f>$V256*$W256</f>
        <v/>
      </c>
      <c r="Y256" s="18">
        <f>$X256-$P256</f>
        <v/>
      </c>
      <c r="Z256" s="8">
        <f>IF(ABS($Y256)&lt;=tol_cashflow_inr,"PASS","FAIL")</f>
        <v/>
      </c>
      <c r="AA256" s="7" t="inlineStr">
        <is>
          <t>direction x lots x lot_kg x (F(s) - F(s-1))</t>
        </is>
      </c>
    </row>
    <row r="257">
      <c r="A257" s="7" t="inlineStr">
        <is>
          <t>T02</t>
        </is>
      </c>
      <c r="B257" s="7" t="inlineStr">
        <is>
          <t>MCX:T02-MCX-2</t>
        </is>
      </c>
      <c r="C257" s="7" t="inlineStr">
        <is>
          <t>T02-MCX-2</t>
        </is>
      </c>
      <c r="D257" s="7" t="inlineStr">
        <is>
          <t>MCX_INITIAL_MARGIN</t>
        </is>
      </c>
      <c r="E257" s="7" t="inlineStr">
        <is>
          <t>MCX_INITIAL_MARGIN</t>
        </is>
      </c>
      <c r="F257" s="7" t="inlineStr">
        <is>
          <t>BS</t>
        </is>
      </c>
      <c r="G257" s="7" t="inlineStr">
        <is>
          <t>INR</t>
        </is>
      </c>
      <c r="H257" s="11" t="n">
        <v>44642</v>
      </c>
      <c r="I257" s="11" t="n">
        <v>44658</v>
      </c>
      <c r="J257" s="11" t="n">
        <v>44658</v>
      </c>
      <c r="K257" s="11" t="n">
        <v>44658</v>
      </c>
      <c r="L257" s="7" t="inlineStr">
        <is>
          <t>roll following on the LME panel calendar</t>
        </is>
      </c>
      <c r="N257" s="7" t="inlineStr">
        <is>
          <t>PROXY</t>
        </is>
      </c>
      <c r="O257" s="9" t="n">
        <v>277080.71</v>
      </c>
      <c r="P257" s="9" t="n">
        <v>277080.71</v>
      </c>
      <c r="U257" s="7" t="inlineStr">
        <is>
          <t>DERIVED_IN_WORKBOOK</t>
        </is>
      </c>
      <c r="V257" s="8">
        <f>-SUMIFS(Cashflows!$W$1043:$W$1393,Cashflows!$B$1043:$B$1393,$C257,Cashflows!$C$1043:$C$1393,$K257)</f>
        <v/>
      </c>
      <c r="W257" s="8">
        <f>IF($G257="INR",1,INDEX(Market_Daily!$F$6:$F$256,MATCH($K257,Market_Daily!$A$6:$A$256,0)))</f>
        <v/>
      </c>
      <c r="X257" s="8">
        <f>$V257*$W257</f>
        <v/>
      </c>
      <c r="Y257" s="18">
        <f>$X257-$P257</f>
        <v/>
      </c>
      <c r="Z257" s="8">
        <f>IF(ABS($Y257)&lt;=tol_cashflow_inr,"PASS","FAIL")</f>
        <v/>
      </c>
      <c r="AA257" s="7" t="inlineStr">
        <is>
          <t>-d(lots x lot_kg x F(s) x mcx_al_margin_used_frac)</t>
        </is>
      </c>
    </row>
    <row r="258">
      <c r="A258" s="7" t="inlineStr">
        <is>
          <t>T02</t>
        </is>
      </c>
      <c r="B258" s="7" t="inlineStr">
        <is>
          <t>MCX:T02-MCX-2</t>
        </is>
      </c>
      <c r="C258" s="7" t="inlineStr">
        <is>
          <t>T02-MCX-2</t>
        </is>
      </c>
      <c r="D258" s="7" t="inlineStr">
        <is>
          <t>MCX_VARIATION_MARGIN</t>
        </is>
      </c>
      <c r="E258" s="7" t="inlineStr">
        <is>
          <t>MCX_VARIATION_MARGIN</t>
        </is>
      </c>
      <c r="F258" s="7" t="inlineStr">
        <is>
          <t>PNL</t>
        </is>
      </c>
      <c r="G258" s="7" t="inlineStr">
        <is>
          <t>INR</t>
        </is>
      </c>
      <c r="H258" s="11" t="n">
        <v>44642</v>
      </c>
      <c r="I258" s="11" t="n">
        <v>44658</v>
      </c>
      <c r="J258" s="11" t="n">
        <v>44658</v>
      </c>
      <c r="K258" s="11" t="n">
        <v>44658</v>
      </c>
      <c r="L258" s="7" t="inlineStr">
        <is>
          <t>roll following on the LME panel calendar</t>
        </is>
      </c>
      <c r="N258" s="7" t="inlineStr">
        <is>
          <t>PROXY</t>
        </is>
      </c>
      <c r="O258" s="9" t="n">
        <v>2770807.14</v>
      </c>
      <c r="P258" s="9" t="n">
        <v>2770807.14</v>
      </c>
      <c r="U258" s="7" t="inlineStr">
        <is>
          <t>DERIVED_IN_WORKBOOK</t>
        </is>
      </c>
      <c r="V258" s="8">
        <f>SUMIFS(Cashflows!$R$1043:$R$1393,Cashflows!$B$1043:$B$1393,$C258,Cashflows!$C$1043:$C$1393,$K258)</f>
        <v/>
      </c>
      <c r="W258" s="8">
        <f>IF($G258="INR",1,INDEX(Market_Daily!$F$6:$F$256,MATCH($K258,Market_Daily!$A$6:$A$256,0)))</f>
        <v/>
      </c>
      <c r="X258" s="8">
        <f>$V258*$W258</f>
        <v/>
      </c>
      <c r="Y258" s="18">
        <f>$X258-$P258</f>
        <v/>
      </c>
      <c r="Z258" s="8">
        <f>IF(ABS($Y258)&lt;=tol_cashflow_inr,"PASS","FAIL")</f>
        <v/>
      </c>
      <c r="AA258" s="7" t="inlineStr">
        <is>
          <t>direction x lots x lot_kg x (F(s) - F(s-1))</t>
        </is>
      </c>
    </row>
    <row r="259">
      <c r="A259" s="7" t="inlineStr">
        <is>
          <t>T02</t>
        </is>
      </c>
      <c r="B259" s="7" t="inlineStr">
        <is>
          <t>MCX:T02-MCX-2</t>
        </is>
      </c>
      <c r="C259" s="7" t="inlineStr">
        <is>
          <t>T02-MCX-2</t>
        </is>
      </c>
      <c r="D259" s="7" t="inlineStr">
        <is>
          <t>MCX_INITIAL_MARGIN</t>
        </is>
      </c>
      <c r="E259" s="7" t="inlineStr">
        <is>
          <t>MCX_INITIAL_MARGIN</t>
        </is>
      </c>
      <c r="F259" s="7" t="inlineStr">
        <is>
          <t>BS</t>
        </is>
      </c>
      <c r="G259" s="7" t="inlineStr">
        <is>
          <t>INR</t>
        </is>
      </c>
      <c r="H259" s="11" t="n">
        <v>44642</v>
      </c>
      <c r="I259" s="11" t="n">
        <v>44659</v>
      </c>
      <c r="J259" s="11" t="n">
        <v>44659</v>
      </c>
      <c r="K259" s="11" t="n">
        <v>44659</v>
      </c>
      <c r="L259" s="7" t="inlineStr">
        <is>
          <t>roll following on the LME panel calendar</t>
        </is>
      </c>
      <c r="N259" s="7" t="inlineStr">
        <is>
          <t>PROXY</t>
        </is>
      </c>
      <c r="O259" s="9" t="n">
        <v>-130306.61</v>
      </c>
      <c r="P259" s="9" t="n">
        <v>-130306.61</v>
      </c>
      <c r="U259" s="7" t="inlineStr">
        <is>
          <t>DERIVED_IN_WORKBOOK</t>
        </is>
      </c>
      <c r="V259" s="8">
        <f>-SUMIFS(Cashflows!$W$1043:$W$1393,Cashflows!$B$1043:$B$1393,$C259,Cashflows!$C$1043:$C$1393,$K259)</f>
        <v/>
      </c>
      <c r="W259" s="8">
        <f>IF($G259="INR",1,INDEX(Market_Daily!$F$6:$F$256,MATCH($K259,Market_Daily!$A$6:$A$256,0)))</f>
        <v/>
      </c>
      <c r="X259" s="8">
        <f>$V259*$W259</f>
        <v/>
      </c>
      <c r="Y259" s="18">
        <f>$X259-$P259</f>
        <v/>
      </c>
      <c r="Z259" s="8">
        <f>IF(ABS($Y259)&lt;=tol_cashflow_inr,"PASS","FAIL")</f>
        <v/>
      </c>
      <c r="AA259" s="7" t="inlineStr">
        <is>
          <t>-d(lots x lot_kg x F(s) x mcx_al_margin_used_frac)</t>
        </is>
      </c>
    </row>
    <row r="260">
      <c r="A260" s="7" t="inlineStr">
        <is>
          <t>T02</t>
        </is>
      </c>
      <c r="B260" s="7" t="inlineStr">
        <is>
          <t>MCX:T02-MCX-2</t>
        </is>
      </c>
      <c r="C260" s="7" t="inlineStr">
        <is>
          <t>T02-MCX-2</t>
        </is>
      </c>
      <c r="D260" s="7" t="inlineStr">
        <is>
          <t>MCX_VARIATION_MARGIN</t>
        </is>
      </c>
      <c r="E260" s="7" t="inlineStr">
        <is>
          <t>MCX_VARIATION_MARGIN</t>
        </is>
      </c>
      <c r="F260" s="7" t="inlineStr">
        <is>
          <t>PNL</t>
        </is>
      </c>
      <c r="G260" s="7" t="inlineStr">
        <is>
          <t>INR</t>
        </is>
      </c>
      <c r="H260" s="11" t="n">
        <v>44642</v>
      </c>
      <c r="I260" s="11" t="n">
        <v>44659</v>
      </c>
      <c r="J260" s="11" t="n">
        <v>44659</v>
      </c>
      <c r="K260" s="11" t="n">
        <v>44659</v>
      </c>
      <c r="L260" s="7" t="inlineStr">
        <is>
          <t>roll following on the LME panel calendar</t>
        </is>
      </c>
      <c r="N260" s="7" t="inlineStr">
        <is>
          <t>PROXY</t>
        </is>
      </c>
      <c r="O260" s="9" t="n">
        <v>-1303066.06</v>
      </c>
      <c r="P260" s="9" t="n">
        <v>-1303066.06</v>
      </c>
      <c r="U260" s="7" t="inlineStr">
        <is>
          <t>DERIVED_IN_WORKBOOK</t>
        </is>
      </c>
      <c r="V260" s="8">
        <f>SUMIFS(Cashflows!$R$1043:$R$1393,Cashflows!$B$1043:$B$1393,$C260,Cashflows!$C$1043:$C$1393,$K260)</f>
        <v/>
      </c>
      <c r="W260" s="8">
        <f>IF($G260="INR",1,INDEX(Market_Daily!$F$6:$F$256,MATCH($K260,Market_Daily!$A$6:$A$256,0)))</f>
        <v/>
      </c>
      <c r="X260" s="8">
        <f>$V260*$W260</f>
        <v/>
      </c>
      <c r="Y260" s="18">
        <f>$X260-$P260</f>
        <v/>
      </c>
      <c r="Z260" s="8">
        <f>IF(ABS($Y260)&lt;=tol_cashflow_inr,"PASS","FAIL")</f>
        <v/>
      </c>
      <c r="AA260" s="7" t="inlineStr">
        <is>
          <t>direction x lots x lot_kg x (F(s) - F(s-1))</t>
        </is>
      </c>
    </row>
    <row r="261">
      <c r="A261" s="7" t="inlineStr">
        <is>
          <t>T02</t>
        </is>
      </c>
      <c r="B261" s="7" t="inlineStr">
        <is>
          <t>DUTY:L1</t>
        </is>
      </c>
      <c r="C261" s="7" t="inlineStr">
        <is>
          <t>L1</t>
        </is>
      </c>
      <c r="D261" s="7" t="inlineStr">
        <is>
          <t>CUSTOMS_DUTY</t>
        </is>
      </c>
      <c r="E261" s="7" t="inlineStr">
        <is>
          <t>CUSTOMS_DUTY</t>
        </is>
      </c>
      <c r="F261" s="7" t="inlineStr">
        <is>
          <t>PNL</t>
        </is>
      </c>
      <c r="G261" s="7" t="inlineStr">
        <is>
          <t>INR</t>
        </is>
      </c>
      <c r="H261" s="11" t="n">
        <v>44631</v>
      </c>
      <c r="I261" s="11" t="n">
        <v>44662</v>
      </c>
      <c r="J261" s="11" t="n">
        <v>44662</v>
      </c>
      <c r="K261" s="11" t="n">
        <v>44662</v>
      </c>
      <c r="L261" s="7" t="inlineStr">
        <is>
          <t>roll following on the LME panel calendar</t>
        </is>
      </c>
      <c r="N261" s="7" t="inlineStr">
        <is>
          <t>DIRECT</t>
        </is>
      </c>
      <c r="O261" s="9" t="n">
        <v>-2763974.38</v>
      </c>
      <c r="P261" s="9" t="n">
        <v>-2763974.38</v>
      </c>
      <c r="U261" s="7" t="inlineStr">
        <is>
          <t>PYTHON_LIFECYCLE</t>
        </is>
      </c>
      <c r="V261" s="8">
        <f>$O261</f>
        <v/>
      </c>
      <c r="W261" s="8">
        <f>IF($G261="INR",1,INDEX(Market_Daily!$F$6:$F$256,MATCH($K261,Market_Daily!$A$6:$A$256,0)))</f>
        <v/>
      </c>
      <c r="X261" s="8">
        <f>$V261*$W261</f>
        <v/>
      </c>
      <c r="Y261" s="18">
        <f>$X261-$P261</f>
        <v/>
      </c>
      <c r="Z261" s="8">
        <f>IF(ABS($Y261)&lt;=tol_cashflow_inr,"PASS","FAIL")</f>
        <v/>
      </c>
      <c r="AA261" s="7" t="inlineStr">
        <is>
          <t>-assessable_inr x bcd_scrap_hs7602 x (1 + sws_rate_on_bcd)</t>
        </is>
      </c>
    </row>
    <row r="262">
      <c r="A262" s="7" t="inlineStr">
        <is>
          <t>T02</t>
        </is>
      </c>
      <c r="B262" s="7" t="inlineStr">
        <is>
          <t>IGST:L1</t>
        </is>
      </c>
      <c r="C262" s="7" t="inlineStr">
        <is>
          <t>L1</t>
        </is>
      </c>
      <c r="D262" s="7" t="inlineStr">
        <is>
          <t>IGST_IMPORT</t>
        </is>
      </c>
      <c r="E262" s="7" t="inlineStr">
        <is>
          <t>IGST_IMPORT</t>
        </is>
      </c>
      <c r="F262" s="7" t="inlineStr">
        <is>
          <t>BS</t>
        </is>
      </c>
      <c r="G262" s="7" t="inlineStr">
        <is>
          <t>INR</t>
        </is>
      </c>
      <c r="H262" s="11" t="n">
        <v>44631</v>
      </c>
      <c r="I262" s="11" t="n">
        <v>44662</v>
      </c>
      <c r="J262" s="11" t="n">
        <v>44662</v>
      </c>
      <c r="K262" s="11" t="n">
        <v>44662</v>
      </c>
      <c r="L262" s="7" t="inlineStr">
        <is>
          <t>roll following on the LME panel calendar</t>
        </is>
      </c>
      <c r="N262" s="7" t="inlineStr">
        <is>
          <t>DIRECT</t>
        </is>
      </c>
      <c r="O262" s="9" t="n">
        <v>-18588984.02</v>
      </c>
      <c r="P262" s="9" t="n">
        <v>-18588984.02</v>
      </c>
      <c r="U262" s="7" t="inlineStr">
        <is>
          <t>PYTHON_LIFECYCLE</t>
        </is>
      </c>
      <c r="V262" s="8">
        <f>$O262</f>
        <v/>
      </c>
      <c r="W262" s="8">
        <f>IF($G262="INR",1,INDEX(Market_Daily!$F$6:$F$256,MATCH($K262,Market_Daily!$A$6:$A$256,0)))</f>
        <v/>
      </c>
      <c r="X262" s="8">
        <f>$V262*$W262</f>
        <v/>
      </c>
      <c r="Y262" s="18">
        <f>$X262-$P262</f>
        <v/>
      </c>
      <c r="Z262" s="8">
        <f>IF(ABS($Y262)&lt;=tol_cashflow_inr,"PASS","FAIL")</f>
        <v/>
      </c>
      <c r="AA262" s="7" t="inlineStr">
        <is>
          <t>-(assessable + duty) x igst_rate_hs7602</t>
        </is>
      </c>
    </row>
    <row r="263">
      <c r="A263" s="7" t="inlineStr">
        <is>
          <t>T02</t>
        </is>
      </c>
      <c r="B263" s="7" t="inlineStr">
        <is>
          <t>MCX:T02-MCX-2</t>
        </is>
      </c>
      <c r="C263" s="7" t="inlineStr">
        <is>
          <t>T02-MCX-2</t>
        </is>
      </c>
      <c r="D263" s="7" t="inlineStr">
        <is>
          <t>MCX_INITIAL_MARGIN</t>
        </is>
      </c>
      <c r="E263" s="7" t="inlineStr">
        <is>
          <t>MCX_INITIAL_MARGIN</t>
        </is>
      </c>
      <c r="F263" s="7" t="inlineStr">
        <is>
          <t>BS</t>
        </is>
      </c>
      <c r="G263" s="7" t="inlineStr">
        <is>
          <t>INR</t>
        </is>
      </c>
      <c r="H263" s="11" t="n">
        <v>44642</v>
      </c>
      <c r="I263" s="11" t="n">
        <v>44662</v>
      </c>
      <c r="J263" s="11" t="n">
        <v>44662</v>
      </c>
      <c r="K263" s="11" t="n">
        <v>44662</v>
      </c>
      <c r="L263" s="7" t="inlineStr">
        <is>
          <t>roll following on the LME panel calendar</t>
        </is>
      </c>
      <c r="N263" s="7" t="inlineStr">
        <is>
          <t>PROXY</t>
        </is>
      </c>
      <c r="O263" s="9" t="n">
        <v>489101.04</v>
      </c>
      <c r="P263" s="9" t="n">
        <v>489101.04</v>
      </c>
      <c r="U263" s="7" t="inlineStr">
        <is>
          <t>DERIVED_IN_WORKBOOK</t>
        </is>
      </c>
      <c r="V263" s="8">
        <f>-SUMIFS(Cashflows!$W$1043:$W$1393,Cashflows!$B$1043:$B$1393,$C263,Cashflows!$C$1043:$C$1393,$K263)</f>
        <v/>
      </c>
      <c r="W263" s="8">
        <f>IF($G263="INR",1,INDEX(Market_Daily!$F$6:$F$256,MATCH($K263,Market_Daily!$A$6:$A$256,0)))</f>
        <v/>
      </c>
      <c r="X263" s="8">
        <f>$V263*$W263</f>
        <v/>
      </c>
      <c r="Y263" s="18">
        <f>$X263-$P263</f>
        <v/>
      </c>
      <c r="Z263" s="8">
        <f>IF(ABS($Y263)&lt;=tol_cashflow_inr,"PASS","FAIL")</f>
        <v/>
      </c>
      <c r="AA263" s="7" t="inlineStr">
        <is>
          <t>-d(lots x lot_kg x F(s) x mcx_al_margin_used_frac)</t>
        </is>
      </c>
    </row>
    <row r="264">
      <c r="A264" s="7" t="inlineStr">
        <is>
          <t>T02</t>
        </is>
      </c>
      <c r="B264" s="7" t="inlineStr">
        <is>
          <t>MCX:T02-MCX-2</t>
        </is>
      </c>
      <c r="C264" s="7" t="inlineStr">
        <is>
          <t>T02-MCX-2</t>
        </is>
      </c>
      <c r="D264" s="7" t="inlineStr">
        <is>
          <t>MCX_VARIATION_MARGIN</t>
        </is>
      </c>
      <c r="E264" s="7" t="inlineStr">
        <is>
          <t>MCX_VARIATION_MARGIN</t>
        </is>
      </c>
      <c r="F264" s="7" t="inlineStr">
        <is>
          <t>PNL</t>
        </is>
      </c>
      <c r="G264" s="7" t="inlineStr">
        <is>
          <t>INR</t>
        </is>
      </c>
      <c r="H264" s="11" t="n">
        <v>44642</v>
      </c>
      <c r="I264" s="11" t="n">
        <v>44662</v>
      </c>
      <c r="J264" s="11" t="n">
        <v>44662</v>
      </c>
      <c r="K264" s="11" t="n">
        <v>44662</v>
      </c>
      <c r="L264" s="7" t="inlineStr">
        <is>
          <t>roll following on the LME panel calendar</t>
        </is>
      </c>
      <c r="N264" s="7" t="inlineStr">
        <is>
          <t>PROXY</t>
        </is>
      </c>
      <c r="O264" s="9" t="n">
        <v>4891010.42</v>
      </c>
      <c r="P264" s="9" t="n">
        <v>4891010.42</v>
      </c>
      <c r="U264" s="7" t="inlineStr">
        <is>
          <t>DERIVED_IN_WORKBOOK</t>
        </is>
      </c>
      <c r="V264" s="8">
        <f>SUMIFS(Cashflows!$R$1043:$R$1393,Cashflows!$B$1043:$B$1393,$C264,Cashflows!$C$1043:$C$1393,$K264)</f>
        <v/>
      </c>
      <c r="W264" s="8">
        <f>IF($G264="INR",1,INDEX(Market_Daily!$F$6:$F$256,MATCH($K264,Market_Daily!$A$6:$A$256,0)))</f>
        <v/>
      </c>
      <c r="X264" s="8">
        <f>$V264*$W264</f>
        <v/>
      </c>
      <c r="Y264" s="18">
        <f>$X264-$P264</f>
        <v/>
      </c>
      <c r="Z264" s="8">
        <f>IF(ABS($Y264)&lt;=tol_cashflow_inr,"PASS","FAIL")</f>
        <v/>
      </c>
      <c r="AA264" s="7" t="inlineStr">
        <is>
          <t>direction x lots x lot_kg x (F(s) - F(s-1))</t>
        </is>
      </c>
    </row>
    <row r="265">
      <c r="A265" s="7" t="inlineStr">
        <is>
          <t>T02</t>
        </is>
      </c>
      <c r="B265" s="7" t="inlineStr">
        <is>
          <t>LC_USANCE_FEE:L1</t>
        </is>
      </c>
      <c r="C265" s="7" t="inlineStr">
        <is>
          <t>L1</t>
        </is>
      </c>
      <c r="D265" s="7" t="inlineStr">
        <is>
          <t>LC_USANCE_FEE</t>
        </is>
      </c>
      <c r="E265" s="7" t="inlineStr">
        <is>
          <t>LC_USANCE_FEE</t>
        </is>
      </c>
      <c r="F265" s="7" t="inlineStr">
        <is>
          <t>PNL</t>
        </is>
      </c>
      <c r="G265" s="7" t="inlineStr">
        <is>
          <t>USD</t>
        </is>
      </c>
      <c r="H265" s="11" t="n">
        <v>44631</v>
      </c>
      <c r="I265" s="11" t="n">
        <v>44663</v>
      </c>
      <c r="J265" s="11" t="n">
        <v>44663</v>
      </c>
      <c r="K265" s="11" t="n">
        <v>44663</v>
      </c>
      <c r="L265" s="7" t="inlineStr">
        <is>
          <t>roll following on the LME panel calendar</t>
        </is>
      </c>
      <c r="N265" s="7" t="inlineStr">
        <is>
          <t>DIRECT</t>
        </is>
      </c>
      <c r="O265" s="9" t="n">
        <v>-2607.99</v>
      </c>
      <c r="P265" s="9" t="n">
        <v>-198650.94</v>
      </c>
      <c r="U265" s="7" t="inlineStr">
        <is>
          <t>PYTHON_LIFECYCLE</t>
        </is>
      </c>
      <c r="V265" s="8">
        <f>$O265</f>
        <v/>
      </c>
      <c r="W265" s="8">
        <f>IF($G265="INR",1,INDEX(Market_Daily!$F$6:$F$256,MATCH($K265,Market_Daily!$A$6:$A$256,0)))</f>
        <v/>
      </c>
      <c r="X265" s="8">
        <f>$V265*$W265</f>
        <v/>
      </c>
      <c r="Y265" s="18">
        <f>$X265-$P265</f>
        <v/>
      </c>
      <c r="Z265" s="8">
        <f>IF(ABS($Y265)&lt;=tol_cashflow_inr,"PASS","FAIL")</f>
        <v/>
      </c>
      <c r="AA265" s="7" t="inlineStr">
        <is>
          <t>-lc_usance_fee_frac_per_month x ceil(usance/30) x bill_usd</t>
        </is>
      </c>
    </row>
    <row r="266">
      <c r="A266" s="7" t="inlineStr">
        <is>
          <t>T02</t>
        </is>
      </c>
      <c r="B266" s="7" t="inlineStr">
        <is>
          <t>MCX:T02-MCX-2</t>
        </is>
      </c>
      <c r="C266" s="7" t="inlineStr">
        <is>
          <t>T02-MCX-2</t>
        </is>
      </c>
      <c r="D266" s="7" t="inlineStr">
        <is>
          <t>MCX_INITIAL_MARGIN</t>
        </is>
      </c>
      <c r="E266" s="7" t="inlineStr">
        <is>
          <t>MCX_INITIAL_MARGIN</t>
        </is>
      </c>
      <c r="F266" s="7" t="inlineStr">
        <is>
          <t>BS</t>
        </is>
      </c>
      <c r="G266" s="7" t="inlineStr">
        <is>
          <t>INR</t>
        </is>
      </c>
      <c r="H266" s="11" t="n">
        <v>44642</v>
      </c>
      <c r="I266" s="11" t="n">
        <v>44663</v>
      </c>
      <c r="J266" s="11" t="n">
        <v>44663</v>
      </c>
      <c r="K266" s="11" t="n">
        <v>44663</v>
      </c>
      <c r="L266" s="7" t="inlineStr">
        <is>
          <t>roll following on the LME panel calendar</t>
        </is>
      </c>
      <c r="N266" s="7" t="inlineStr">
        <is>
          <t>PROXY</t>
        </is>
      </c>
      <c r="O266" s="9" t="n">
        <v>24442.95</v>
      </c>
      <c r="P266" s="9" t="n">
        <v>24442.95</v>
      </c>
      <c r="U266" s="7" t="inlineStr">
        <is>
          <t>DERIVED_IN_WORKBOOK</t>
        </is>
      </c>
      <c r="V266" s="8">
        <f>-SUMIFS(Cashflows!$W$1043:$W$1393,Cashflows!$B$1043:$B$1393,$C266,Cashflows!$C$1043:$C$1393,$K266)</f>
        <v/>
      </c>
      <c r="W266" s="8">
        <f>IF($G266="INR",1,INDEX(Market_Daily!$F$6:$F$256,MATCH($K266,Market_Daily!$A$6:$A$256,0)))</f>
        <v/>
      </c>
      <c r="X266" s="8">
        <f>$V266*$W266</f>
        <v/>
      </c>
      <c r="Y266" s="18">
        <f>$X266-$P266</f>
        <v/>
      </c>
      <c r="Z266" s="8">
        <f>IF(ABS($Y266)&lt;=tol_cashflow_inr,"PASS","FAIL")</f>
        <v/>
      </c>
      <c r="AA266" s="7" t="inlineStr">
        <is>
          <t>-d(lots x lot_kg x F(s) x mcx_al_margin_used_frac)</t>
        </is>
      </c>
    </row>
    <row r="267">
      <c r="A267" s="7" t="inlineStr">
        <is>
          <t>T02</t>
        </is>
      </c>
      <c r="B267" s="7" t="inlineStr">
        <is>
          <t>MCX:T02-MCX-2</t>
        </is>
      </c>
      <c r="C267" s="7" t="inlineStr">
        <is>
          <t>T02-MCX-2</t>
        </is>
      </c>
      <c r="D267" s="7" t="inlineStr">
        <is>
          <t>MCX_VARIATION_MARGIN</t>
        </is>
      </c>
      <c r="E267" s="7" t="inlineStr">
        <is>
          <t>MCX_VARIATION_MARGIN</t>
        </is>
      </c>
      <c r="F267" s="7" t="inlineStr">
        <is>
          <t>PNL</t>
        </is>
      </c>
      <c r="G267" s="7" t="inlineStr">
        <is>
          <t>INR</t>
        </is>
      </c>
      <c r="H267" s="11" t="n">
        <v>44642</v>
      </c>
      <c r="I267" s="11" t="n">
        <v>44663</v>
      </c>
      <c r="J267" s="11" t="n">
        <v>44663</v>
      </c>
      <c r="K267" s="11" t="n">
        <v>44663</v>
      </c>
      <c r="L267" s="7" t="inlineStr">
        <is>
          <t>roll following on the LME panel calendar</t>
        </is>
      </c>
      <c r="N267" s="7" t="inlineStr">
        <is>
          <t>PROXY</t>
        </is>
      </c>
      <c r="O267" s="9" t="n">
        <v>244429.46</v>
      </c>
      <c r="P267" s="9" t="n">
        <v>244429.46</v>
      </c>
      <c r="U267" s="7" t="inlineStr">
        <is>
          <t>DERIVED_IN_WORKBOOK</t>
        </is>
      </c>
      <c r="V267" s="8">
        <f>SUMIFS(Cashflows!$R$1043:$R$1393,Cashflows!$B$1043:$B$1393,$C267,Cashflows!$C$1043:$C$1393,$K267)</f>
        <v/>
      </c>
      <c r="W267" s="8">
        <f>IF($G267="INR",1,INDEX(Market_Daily!$F$6:$F$256,MATCH($K267,Market_Daily!$A$6:$A$256,0)))</f>
        <v/>
      </c>
      <c r="X267" s="8">
        <f>$V267*$W267</f>
        <v/>
      </c>
      <c r="Y267" s="18">
        <f>$X267-$P267</f>
        <v/>
      </c>
      <c r="Z267" s="8">
        <f>IF(ABS($Y267)&lt;=tol_cashflow_inr,"PASS","FAIL")</f>
        <v/>
      </c>
      <c r="AA267" s="7" t="inlineStr">
        <is>
          <t>direction x lots x lot_kg x (F(s) - F(s-1))</t>
        </is>
      </c>
    </row>
    <row r="268">
      <c r="A268" s="7" t="inlineStr">
        <is>
          <t>T02</t>
        </is>
      </c>
      <c r="B268" s="7" t="inlineStr">
        <is>
          <t>INSURANCE:L2</t>
        </is>
      </c>
      <c r="C268" s="7" t="inlineStr">
        <is>
          <t>L2</t>
        </is>
      </c>
      <c r="D268" s="7" t="inlineStr">
        <is>
          <t>INSURANCE</t>
        </is>
      </c>
      <c r="E268" s="7" t="inlineStr">
        <is>
          <t>INSURANCE</t>
        </is>
      </c>
      <c r="F268" s="7" t="inlineStr">
        <is>
          <t>PNL</t>
        </is>
      </c>
      <c r="G268" s="7" t="inlineStr">
        <is>
          <t>USD</t>
        </is>
      </c>
      <c r="H268" s="11" t="n">
        <v>44631</v>
      </c>
      <c r="I268" s="11" t="n">
        <v>44664</v>
      </c>
      <c r="J268" s="11" t="n">
        <v>44664</v>
      </c>
      <c r="K268" s="11" t="n">
        <v>44664</v>
      </c>
      <c r="L268" s="7" t="inlineStr">
        <is>
          <t>roll following on the LME panel calendar</t>
        </is>
      </c>
      <c r="N268" s="7" t="inlineStr">
        <is>
          <t>ASSUMPTION</t>
        </is>
      </c>
      <c r="O268" s="9" t="n">
        <v>-1350.4</v>
      </c>
      <c r="P268" s="9" t="n">
        <v>-102880.63</v>
      </c>
      <c r="U268" s="7" t="inlineStr">
        <is>
          <t>PYTHON_LIFECYCLE</t>
        </is>
      </c>
      <c r="V268" s="8">
        <f>$O268</f>
        <v/>
      </c>
      <c r="W268" s="8">
        <f>IF($G268="INR",1,INDEX(Market_Daily!$F$6:$F$256,MATCH($K268,Market_Daily!$A$6:$A$256,0)))</f>
        <v/>
      </c>
      <c r="X268" s="8">
        <f>$V268*$W268</f>
        <v/>
      </c>
      <c r="Y268" s="18">
        <f>$X268-$P268</f>
        <v/>
      </c>
      <c r="Z268" s="8">
        <f>IF(ABS($Y268)&lt;=tol_cashflow_inr,"PASS","FAIL")</f>
        <v/>
      </c>
      <c r="AA268" s="7" t="inlineStr">
        <is>
          <t>-insurance_rate x insured_value_uplift x cfr_value_usd</t>
        </is>
      </c>
    </row>
    <row r="269">
      <c r="A269" s="7" t="inlineStr">
        <is>
          <t>T02</t>
        </is>
      </c>
      <c r="B269" s="7" t="inlineStr">
        <is>
          <t>MCX:T02-MCX-2</t>
        </is>
      </c>
      <c r="C269" s="7" t="inlineStr">
        <is>
          <t>T02-MCX-2</t>
        </is>
      </c>
      <c r="D269" s="7" t="inlineStr">
        <is>
          <t>MCX_INITIAL_MARGIN</t>
        </is>
      </c>
      <c r="E269" s="7" t="inlineStr">
        <is>
          <t>MCX_INITIAL_MARGIN</t>
        </is>
      </c>
      <c r="F269" s="7" t="inlineStr">
        <is>
          <t>BS</t>
        </is>
      </c>
      <c r="G269" s="7" t="inlineStr">
        <is>
          <t>INR</t>
        </is>
      </c>
      <c r="H269" s="11" t="n">
        <v>44642</v>
      </c>
      <c r="I269" s="11" t="n">
        <v>44664</v>
      </c>
      <c r="J269" s="11" t="n">
        <v>44664</v>
      </c>
      <c r="K269" s="11" t="n">
        <v>44664</v>
      </c>
      <c r="L269" s="7" t="inlineStr">
        <is>
          <t>roll following on the LME panel calendar</t>
        </is>
      </c>
      <c r="N269" s="7" t="inlineStr">
        <is>
          <t>PROXY</t>
        </is>
      </c>
      <c r="O269" s="9" t="n">
        <v>22057.95</v>
      </c>
      <c r="P269" s="9" t="n">
        <v>22057.95</v>
      </c>
      <c r="U269" s="7" t="inlineStr">
        <is>
          <t>DERIVED_IN_WORKBOOK</t>
        </is>
      </c>
      <c r="V269" s="8">
        <f>-SUMIFS(Cashflows!$W$1043:$W$1393,Cashflows!$B$1043:$B$1393,$C269,Cashflows!$C$1043:$C$1393,$K269)</f>
        <v/>
      </c>
      <c r="W269" s="8">
        <f>IF($G269="INR",1,INDEX(Market_Daily!$F$6:$F$256,MATCH($K269,Market_Daily!$A$6:$A$256,0)))</f>
        <v/>
      </c>
      <c r="X269" s="8">
        <f>$V269*$W269</f>
        <v/>
      </c>
      <c r="Y269" s="18">
        <f>$X269-$P269</f>
        <v/>
      </c>
      <c r="Z269" s="8">
        <f>IF(ABS($Y269)&lt;=tol_cashflow_inr,"PASS","FAIL")</f>
        <v/>
      </c>
      <c r="AA269" s="7" t="inlineStr">
        <is>
          <t>-d(lots x lot_kg x F(s) x mcx_al_margin_used_frac)</t>
        </is>
      </c>
    </row>
    <row r="270">
      <c r="A270" s="7" t="inlineStr">
        <is>
          <t>T02</t>
        </is>
      </c>
      <c r="B270" s="7" t="inlineStr">
        <is>
          <t>MCX:T02-MCX-2</t>
        </is>
      </c>
      <c r="C270" s="7" t="inlineStr">
        <is>
          <t>T02-MCX-2</t>
        </is>
      </c>
      <c r="D270" s="7" t="inlineStr">
        <is>
          <t>MCX_VARIATION_MARGIN</t>
        </is>
      </c>
      <c r="E270" s="7" t="inlineStr">
        <is>
          <t>MCX_VARIATION_MARGIN</t>
        </is>
      </c>
      <c r="F270" s="7" t="inlineStr">
        <is>
          <t>PNL</t>
        </is>
      </c>
      <c r="G270" s="7" t="inlineStr">
        <is>
          <t>INR</t>
        </is>
      </c>
      <c r="H270" s="11" t="n">
        <v>44642</v>
      </c>
      <c r="I270" s="11" t="n">
        <v>44664</v>
      </c>
      <c r="J270" s="11" t="n">
        <v>44664</v>
      </c>
      <c r="K270" s="11" t="n">
        <v>44664</v>
      </c>
      <c r="L270" s="7" t="inlineStr">
        <is>
          <t>roll following on the LME panel calendar</t>
        </is>
      </c>
      <c r="N270" s="7" t="inlineStr">
        <is>
          <t>PROXY</t>
        </is>
      </c>
      <c r="O270" s="9" t="n">
        <v>220579.54</v>
      </c>
      <c r="P270" s="9" t="n">
        <v>220579.54</v>
      </c>
      <c r="U270" s="7" t="inlineStr">
        <is>
          <t>DERIVED_IN_WORKBOOK</t>
        </is>
      </c>
      <c r="V270" s="8">
        <f>SUMIFS(Cashflows!$R$1043:$R$1393,Cashflows!$B$1043:$B$1393,$C270,Cashflows!$C$1043:$C$1393,$K270)</f>
        <v/>
      </c>
      <c r="W270" s="8">
        <f>IF($G270="INR",1,INDEX(Market_Daily!$F$6:$F$256,MATCH($K270,Market_Daily!$A$6:$A$256,0)))</f>
        <v/>
      </c>
      <c r="X270" s="8">
        <f>$V270*$W270</f>
        <v/>
      </c>
      <c r="Y270" s="18">
        <f>$X270-$P270</f>
        <v/>
      </c>
      <c r="Z270" s="8">
        <f>IF(ABS($Y270)&lt;=tol_cashflow_inr,"PASS","FAIL")</f>
        <v/>
      </c>
      <c r="AA270" s="7" t="inlineStr">
        <is>
          <t>direction x lots x lot_kg x (F(s) - F(s-1))</t>
        </is>
      </c>
    </row>
    <row r="271">
      <c r="A271" s="7" t="inlineStr">
        <is>
          <t>T02</t>
        </is>
      </c>
      <c r="B271" s="7" t="inlineStr">
        <is>
          <t>PSIC:L2</t>
        </is>
      </c>
      <c r="C271" s="7" t="inlineStr">
        <is>
          <t>L2</t>
        </is>
      </c>
      <c r="D271" s="7" t="inlineStr">
        <is>
          <t>PSIC</t>
        </is>
      </c>
      <c r="E271" s="7" t="inlineStr">
        <is>
          <t>PSIC</t>
        </is>
      </c>
      <c r="F271" s="7" t="inlineStr">
        <is>
          <t>PNL</t>
        </is>
      </c>
      <c r="G271" s="7" t="inlineStr">
        <is>
          <t>USD</t>
        </is>
      </c>
      <c r="H271" s="11" t="n">
        <v>44631</v>
      </c>
      <c r="I271" s="11" t="n">
        <v>44664</v>
      </c>
      <c r="J271" s="11" t="n">
        <v>44664</v>
      </c>
      <c r="K271" s="11" t="n">
        <v>44664</v>
      </c>
      <c r="L271" s="7" t="inlineStr">
        <is>
          <t>roll following on the LME panel calendar</t>
        </is>
      </c>
      <c r="N271" s="7" t="inlineStr">
        <is>
          <t>ASSUMPTION</t>
        </is>
      </c>
      <c r="O271" s="9" t="n">
        <v>-960</v>
      </c>
      <c r="P271" s="9" t="n">
        <v>-73137.7</v>
      </c>
      <c r="U271" s="7" t="inlineStr">
        <is>
          <t>PYTHON_LIFECYCLE</t>
        </is>
      </c>
      <c r="V271" s="8">
        <f>$O271</f>
        <v/>
      </c>
      <c r="W271" s="8">
        <f>IF($G271="INR",1,INDEX(Market_Daily!$F$6:$F$256,MATCH($K271,Market_Daily!$A$6:$A$256,0)))</f>
        <v/>
      </c>
      <c r="X271" s="8">
        <f>$V271*$W271</f>
        <v/>
      </c>
      <c r="Y271" s="18">
        <f>$X271-$P271</f>
        <v/>
      </c>
      <c r="Z271" s="8">
        <f>IF(ABS($Y271)&lt;=tol_cashflow_inr,"PASS","FAIL")</f>
        <v/>
      </c>
      <c r="AA271" s="7" t="inlineStr">
        <is>
          <t>-psic_cost_usd_per_box x boxes</t>
        </is>
      </c>
    </row>
    <row r="272">
      <c r="A272" s="7" t="inlineStr">
        <is>
          <t>T02</t>
        </is>
      </c>
      <c r="B272" s="7" t="inlineStr">
        <is>
          <t>MCX:T02-MCX-2</t>
        </is>
      </c>
      <c r="C272" s="7" t="inlineStr">
        <is>
          <t>T02-MCX-2</t>
        </is>
      </c>
      <c r="D272" s="7" t="inlineStr">
        <is>
          <t>MCX_INITIAL_MARGIN</t>
        </is>
      </c>
      <c r="E272" s="7" t="inlineStr">
        <is>
          <t>MCX_INITIAL_MARGIN</t>
        </is>
      </c>
      <c r="F272" s="7" t="inlineStr">
        <is>
          <t>BS</t>
        </is>
      </c>
      <c r="G272" s="7" t="inlineStr">
        <is>
          <t>INR</t>
        </is>
      </c>
      <c r="H272" s="11" t="n">
        <v>44642</v>
      </c>
      <c r="I272" s="11" t="n">
        <v>44665</v>
      </c>
      <c r="J272" s="11" t="n">
        <v>44665</v>
      </c>
      <c r="K272" s="11" t="n">
        <v>44665</v>
      </c>
      <c r="L272" s="7" t="inlineStr">
        <is>
          <t>roll following on the LME panel calendar</t>
        </is>
      </c>
      <c r="N272" s="7" t="inlineStr">
        <is>
          <t>PROXY</t>
        </is>
      </c>
      <c r="O272" s="9" t="n">
        <v>-84983.19</v>
      </c>
      <c r="P272" s="9" t="n">
        <v>-84983.19</v>
      </c>
      <c r="U272" s="7" t="inlineStr">
        <is>
          <t>DERIVED_IN_WORKBOOK</t>
        </is>
      </c>
      <c r="V272" s="8">
        <f>-SUMIFS(Cashflows!$W$1043:$W$1393,Cashflows!$B$1043:$B$1393,$C272,Cashflows!$C$1043:$C$1393,$K272)</f>
        <v/>
      </c>
      <c r="W272" s="8">
        <f>IF($G272="INR",1,INDEX(Market_Daily!$F$6:$F$256,MATCH($K272,Market_Daily!$A$6:$A$256,0)))</f>
        <v/>
      </c>
      <c r="X272" s="8">
        <f>$V272*$W272</f>
        <v/>
      </c>
      <c r="Y272" s="18">
        <f>$X272-$P272</f>
        <v/>
      </c>
      <c r="Z272" s="8">
        <f>IF(ABS($Y272)&lt;=tol_cashflow_inr,"PASS","FAIL")</f>
        <v/>
      </c>
      <c r="AA272" s="7" t="inlineStr">
        <is>
          <t>-d(lots x lot_kg x F(s) x mcx_al_margin_used_frac)</t>
        </is>
      </c>
    </row>
    <row r="273">
      <c r="A273" s="7" t="inlineStr">
        <is>
          <t>T02</t>
        </is>
      </c>
      <c r="B273" s="7" t="inlineStr">
        <is>
          <t>MCX:T02-MCX-2</t>
        </is>
      </c>
      <c r="C273" s="7" t="inlineStr">
        <is>
          <t>T02-MCX-2</t>
        </is>
      </c>
      <c r="D273" s="7" t="inlineStr">
        <is>
          <t>MCX_VARIATION_MARGIN</t>
        </is>
      </c>
      <c r="E273" s="7" t="inlineStr">
        <is>
          <t>MCX_VARIATION_MARGIN</t>
        </is>
      </c>
      <c r="F273" s="7" t="inlineStr">
        <is>
          <t>PNL</t>
        </is>
      </c>
      <c r="G273" s="7" t="inlineStr">
        <is>
          <t>INR</t>
        </is>
      </c>
      <c r="H273" s="11" t="n">
        <v>44642</v>
      </c>
      <c r="I273" s="11" t="n">
        <v>44665</v>
      </c>
      <c r="J273" s="11" t="n">
        <v>44665</v>
      </c>
      <c r="K273" s="11" t="n">
        <v>44665</v>
      </c>
      <c r="L273" s="7" t="inlineStr">
        <is>
          <t>roll following on the LME panel calendar</t>
        </is>
      </c>
      <c r="N273" s="7" t="inlineStr">
        <is>
          <t>PROXY</t>
        </is>
      </c>
      <c r="O273" s="9" t="n">
        <v>-849831.87</v>
      </c>
      <c r="P273" s="9" t="n">
        <v>-849831.87</v>
      </c>
      <c r="U273" s="7" t="inlineStr">
        <is>
          <t>DERIVED_IN_WORKBOOK</t>
        </is>
      </c>
      <c r="V273" s="8">
        <f>SUMIFS(Cashflows!$R$1043:$R$1393,Cashflows!$B$1043:$B$1393,$C273,Cashflows!$C$1043:$C$1393,$K273)</f>
        <v/>
      </c>
      <c r="W273" s="8">
        <f>IF($G273="INR",1,INDEX(Market_Daily!$F$6:$F$256,MATCH($K273,Market_Daily!$A$6:$A$256,0)))</f>
        <v/>
      </c>
      <c r="X273" s="8">
        <f>$V273*$W273</f>
        <v/>
      </c>
      <c r="Y273" s="18">
        <f>$X273-$P273</f>
        <v/>
      </c>
      <c r="Z273" s="8">
        <f>IF(ABS($Y273)&lt;=tol_cashflow_inr,"PASS","FAIL")</f>
        <v/>
      </c>
      <c r="AA273" s="7" t="inlineStr">
        <is>
          <t>direction x lots x lot_kg x (F(s) - F(s-1))</t>
        </is>
      </c>
    </row>
    <row r="274">
      <c r="A274" s="7" t="inlineStr">
        <is>
          <t>T02</t>
        </is>
      </c>
      <c r="B274" s="7" t="inlineStr">
        <is>
          <t>DUTY:L2</t>
        </is>
      </c>
      <c r="C274" s="7" t="inlineStr">
        <is>
          <t>L2</t>
        </is>
      </c>
      <c r="D274" s="7" t="inlineStr">
        <is>
          <t>CUSTOMS_DUTY</t>
        </is>
      </c>
      <c r="E274" s="7" t="inlineStr">
        <is>
          <t>CUSTOMS_DUTY</t>
        </is>
      </c>
      <c r="F274" s="7" t="inlineStr">
        <is>
          <t>PNL</t>
        </is>
      </c>
      <c r="G274" s="7" t="inlineStr">
        <is>
          <t>INR</t>
        </is>
      </c>
      <c r="H274" s="11" t="n">
        <v>44631</v>
      </c>
      <c r="I274" s="11" t="n">
        <v>44670</v>
      </c>
      <c r="J274" s="11" t="n">
        <v>44670</v>
      </c>
      <c r="K274" s="11" t="n">
        <v>44670</v>
      </c>
      <c r="L274" s="7" t="inlineStr">
        <is>
          <t>roll following on the LME panel calendar</t>
        </is>
      </c>
      <c r="N274" s="7" t="inlineStr">
        <is>
          <t>DIRECT</t>
        </is>
      </c>
      <c r="O274" s="9" t="n">
        <v>-2595626.89</v>
      </c>
      <c r="P274" s="9" t="n">
        <v>-2595626.89</v>
      </c>
      <c r="U274" s="7" t="inlineStr">
        <is>
          <t>PYTHON_LIFECYCLE</t>
        </is>
      </c>
      <c r="V274" s="8">
        <f>$O274</f>
        <v/>
      </c>
      <c r="W274" s="8">
        <f>IF($G274="INR",1,INDEX(Market_Daily!$F$6:$F$256,MATCH($K274,Market_Daily!$A$6:$A$256,0)))</f>
        <v/>
      </c>
      <c r="X274" s="8">
        <f>$V274*$W274</f>
        <v/>
      </c>
      <c r="Y274" s="18">
        <f>$X274-$P274</f>
        <v/>
      </c>
      <c r="Z274" s="8">
        <f>IF(ABS($Y274)&lt;=tol_cashflow_inr,"PASS","FAIL")</f>
        <v/>
      </c>
      <c r="AA274" s="7" t="inlineStr">
        <is>
          <t>-assessable_inr x bcd_scrap_hs7602 x (1 + sws_rate_on_bcd)</t>
        </is>
      </c>
    </row>
    <row r="275">
      <c r="A275" s="7" t="inlineStr">
        <is>
          <t>T02</t>
        </is>
      </c>
      <c r="B275" s="7" t="inlineStr">
        <is>
          <t>IGST:L2</t>
        </is>
      </c>
      <c r="C275" s="7" t="inlineStr">
        <is>
          <t>L2</t>
        </is>
      </c>
      <c r="D275" s="7" t="inlineStr">
        <is>
          <t>IGST_IMPORT</t>
        </is>
      </c>
      <c r="E275" s="7" t="inlineStr">
        <is>
          <t>IGST_IMPORT</t>
        </is>
      </c>
      <c r="F275" s="7" t="inlineStr">
        <is>
          <t>BS</t>
        </is>
      </c>
      <c r="G275" s="7" t="inlineStr">
        <is>
          <t>INR</t>
        </is>
      </c>
      <c r="H275" s="11" t="n">
        <v>44631</v>
      </c>
      <c r="I275" s="11" t="n">
        <v>44670</v>
      </c>
      <c r="J275" s="11" t="n">
        <v>44670</v>
      </c>
      <c r="K275" s="11" t="n">
        <v>44670</v>
      </c>
      <c r="L275" s="7" t="inlineStr">
        <is>
          <t>roll following on the LME panel calendar</t>
        </is>
      </c>
      <c r="N275" s="7" t="inlineStr">
        <is>
          <t>DIRECT</t>
        </is>
      </c>
      <c r="O275" s="9" t="n">
        <v>-17456770.65</v>
      </c>
      <c r="P275" s="9" t="n">
        <v>-17456770.65</v>
      </c>
      <c r="U275" s="7" t="inlineStr">
        <is>
          <t>PYTHON_LIFECYCLE</t>
        </is>
      </c>
      <c r="V275" s="8">
        <f>$O275</f>
        <v/>
      </c>
      <c r="W275" s="8">
        <f>IF($G275="INR",1,INDEX(Market_Daily!$F$6:$F$256,MATCH($K275,Market_Daily!$A$6:$A$256,0)))</f>
        <v/>
      </c>
      <c r="X275" s="8">
        <f>$V275*$W275</f>
        <v/>
      </c>
      <c r="Y275" s="18">
        <f>$X275-$P275</f>
        <v/>
      </c>
      <c r="Z275" s="8">
        <f>IF(ABS($Y275)&lt;=tol_cashflow_inr,"PASS","FAIL")</f>
        <v/>
      </c>
      <c r="AA275" s="7" t="inlineStr">
        <is>
          <t>-(assessable + duty) x igst_rate_hs7602</t>
        </is>
      </c>
    </row>
    <row r="276">
      <c r="A276" s="7" t="inlineStr">
        <is>
          <t>T02</t>
        </is>
      </c>
      <c r="B276" s="7" t="inlineStr">
        <is>
          <t>MCX:T02-MCX-2</t>
        </is>
      </c>
      <c r="C276" s="7" t="inlineStr">
        <is>
          <t>T02-MCX-2</t>
        </is>
      </c>
      <c r="D276" s="7" t="inlineStr">
        <is>
          <t>MCX_INITIAL_MARGIN</t>
        </is>
      </c>
      <c r="E276" s="7" t="inlineStr">
        <is>
          <t>MCX_INITIAL_MARGIN</t>
        </is>
      </c>
      <c r="F276" s="7" t="inlineStr">
        <is>
          <t>BS</t>
        </is>
      </c>
      <c r="G276" s="7" t="inlineStr">
        <is>
          <t>INR</t>
        </is>
      </c>
      <c r="H276" s="11" t="n">
        <v>44642</v>
      </c>
      <c r="I276" s="11" t="n">
        <v>44670</v>
      </c>
      <c r="J276" s="11" t="n">
        <v>44670</v>
      </c>
      <c r="K276" s="11" t="n">
        <v>44670</v>
      </c>
      <c r="L276" s="7" t="inlineStr">
        <is>
          <t>roll following on the LME panel calendar</t>
        </is>
      </c>
      <c r="N276" s="7" t="inlineStr">
        <is>
          <t>PROXY</t>
        </is>
      </c>
      <c r="O276" s="9" t="n">
        <v>-266454.49</v>
      </c>
      <c r="P276" s="9" t="n">
        <v>-266454.49</v>
      </c>
      <c r="U276" s="7" t="inlineStr">
        <is>
          <t>DERIVED_IN_WORKBOOK</t>
        </is>
      </c>
      <c r="V276" s="8">
        <f>-SUMIFS(Cashflows!$W$1043:$W$1393,Cashflows!$B$1043:$B$1393,$C276,Cashflows!$C$1043:$C$1393,$K276)</f>
        <v/>
      </c>
      <c r="W276" s="8">
        <f>IF($G276="INR",1,INDEX(Market_Daily!$F$6:$F$256,MATCH($K276,Market_Daily!$A$6:$A$256,0)))</f>
        <v/>
      </c>
      <c r="X276" s="8">
        <f>$V276*$W276</f>
        <v/>
      </c>
      <c r="Y276" s="18">
        <f>$X276-$P276</f>
        <v/>
      </c>
      <c r="Z276" s="8">
        <f>IF(ABS($Y276)&lt;=tol_cashflow_inr,"PASS","FAIL")</f>
        <v/>
      </c>
      <c r="AA276" s="7" t="inlineStr">
        <is>
          <t>-d(lots x lot_kg x F(s) x mcx_al_margin_used_frac)</t>
        </is>
      </c>
    </row>
    <row r="277">
      <c r="A277" s="7" t="inlineStr">
        <is>
          <t>T02</t>
        </is>
      </c>
      <c r="B277" s="7" t="inlineStr">
        <is>
          <t>MCX:T02-MCX-2</t>
        </is>
      </c>
      <c r="C277" s="7" t="inlineStr">
        <is>
          <t>T02-MCX-2</t>
        </is>
      </c>
      <c r="D277" s="7" t="inlineStr">
        <is>
          <t>MCX_VARIATION_MARGIN</t>
        </is>
      </c>
      <c r="E277" s="7" t="inlineStr">
        <is>
          <t>MCX_VARIATION_MARGIN</t>
        </is>
      </c>
      <c r="F277" s="7" t="inlineStr">
        <is>
          <t>PNL</t>
        </is>
      </c>
      <c r="G277" s="7" t="inlineStr">
        <is>
          <t>INR</t>
        </is>
      </c>
      <c r="H277" s="11" t="n">
        <v>44642</v>
      </c>
      <c r="I277" s="11" t="n">
        <v>44670</v>
      </c>
      <c r="J277" s="11" t="n">
        <v>44670</v>
      </c>
      <c r="K277" s="11" t="n">
        <v>44670</v>
      </c>
      <c r="L277" s="7" t="inlineStr">
        <is>
          <t>roll following on the LME panel calendar</t>
        </is>
      </c>
      <c r="N277" s="7" t="inlineStr">
        <is>
          <t>PROXY</t>
        </is>
      </c>
      <c r="O277" s="9" t="n">
        <v>-2664544.93</v>
      </c>
      <c r="P277" s="9" t="n">
        <v>-2664544.93</v>
      </c>
      <c r="U277" s="7" t="inlineStr">
        <is>
          <t>DERIVED_IN_WORKBOOK</t>
        </is>
      </c>
      <c r="V277" s="8">
        <f>SUMIFS(Cashflows!$R$1043:$R$1393,Cashflows!$B$1043:$B$1393,$C277,Cashflows!$C$1043:$C$1393,$K277)</f>
        <v/>
      </c>
      <c r="W277" s="8">
        <f>IF($G277="INR",1,INDEX(Market_Daily!$F$6:$F$256,MATCH($K277,Market_Daily!$A$6:$A$256,0)))</f>
        <v/>
      </c>
      <c r="X277" s="8">
        <f>$V277*$W277</f>
        <v/>
      </c>
      <c r="Y277" s="18">
        <f>$X277-$P277</f>
        <v/>
      </c>
      <c r="Z277" s="8">
        <f>IF(ABS($Y277)&lt;=tol_cashflow_inr,"PASS","FAIL")</f>
        <v/>
      </c>
      <c r="AA277" s="7" t="inlineStr">
        <is>
          <t>direction x lots x lot_kg x (F(s) - F(s-1))</t>
        </is>
      </c>
    </row>
    <row r="278">
      <c r="A278" s="7" t="inlineStr">
        <is>
          <t>T02</t>
        </is>
      </c>
      <c r="B278" s="7" t="inlineStr">
        <is>
          <t>LC_USANCE_FEE:L2</t>
        </is>
      </c>
      <c r="C278" s="7" t="inlineStr">
        <is>
          <t>L2</t>
        </is>
      </c>
      <c r="D278" s="7" t="inlineStr">
        <is>
          <t>LC_USANCE_FEE</t>
        </is>
      </c>
      <c r="E278" s="7" t="inlineStr">
        <is>
          <t>LC_USANCE_FEE</t>
        </is>
      </c>
      <c r="F278" s="7" t="inlineStr">
        <is>
          <t>PNL</t>
        </is>
      </c>
      <c r="G278" s="7" t="inlineStr">
        <is>
          <t>USD</t>
        </is>
      </c>
      <c r="H278" s="11" t="n">
        <v>44631</v>
      </c>
      <c r="I278" s="11" t="n">
        <v>44671</v>
      </c>
      <c r="J278" s="11" t="n">
        <v>44671</v>
      </c>
      <c r="K278" s="11" t="n">
        <v>44671</v>
      </c>
      <c r="L278" s="7" t="inlineStr">
        <is>
          <t>roll following on the LME panel calendar</t>
        </is>
      </c>
      <c r="N278" s="7" t="inlineStr">
        <is>
          <t>DIRECT</t>
        </is>
      </c>
      <c r="O278" s="9" t="n">
        <v>-2449.14</v>
      </c>
      <c r="P278" s="9" t="n">
        <v>-186873.87</v>
      </c>
      <c r="U278" s="7" t="inlineStr">
        <is>
          <t>PYTHON_LIFECYCLE</t>
        </is>
      </c>
      <c r="V278" s="8">
        <f>$O278</f>
        <v/>
      </c>
      <c r="W278" s="8">
        <f>IF($G278="INR",1,INDEX(Market_Daily!$F$6:$F$256,MATCH($K278,Market_Daily!$A$6:$A$256,0)))</f>
        <v/>
      </c>
      <c r="X278" s="8">
        <f>$V278*$W278</f>
        <v/>
      </c>
      <c r="Y278" s="18">
        <f>$X278-$P278</f>
        <v/>
      </c>
      <c r="Z278" s="8">
        <f>IF(ABS($Y278)&lt;=tol_cashflow_inr,"PASS","FAIL")</f>
        <v/>
      </c>
      <c r="AA278" s="7" t="inlineStr">
        <is>
          <t>-lc_usance_fee_frac_per_month x ceil(usance/30) x bill_usd</t>
        </is>
      </c>
    </row>
    <row r="279">
      <c r="A279" s="7" t="inlineStr">
        <is>
          <t>T02</t>
        </is>
      </c>
      <c r="B279" s="7" t="inlineStr">
        <is>
          <t>MCX:T02-MCX-2</t>
        </is>
      </c>
      <c r="C279" s="7" t="inlineStr">
        <is>
          <t>T02-MCX-2</t>
        </is>
      </c>
      <c r="D279" s="7" t="inlineStr">
        <is>
          <t>MCX_INITIAL_MARGIN</t>
        </is>
      </c>
      <c r="E279" s="7" t="inlineStr">
        <is>
          <t>MCX_INITIAL_MARGIN</t>
        </is>
      </c>
      <c r="F279" s="7" t="inlineStr">
        <is>
          <t>BS</t>
        </is>
      </c>
      <c r="G279" s="7" t="inlineStr">
        <is>
          <t>INR</t>
        </is>
      </c>
      <c r="H279" s="11" t="n">
        <v>44642</v>
      </c>
      <c r="I279" s="11" t="n">
        <v>44671</v>
      </c>
      <c r="J279" s="11" t="n">
        <v>44671</v>
      </c>
      <c r="K279" s="11" t="n">
        <v>44671</v>
      </c>
      <c r="L279" s="7" t="inlineStr">
        <is>
          <t>roll following on the LME panel calendar</t>
        </is>
      </c>
      <c r="N279" s="7" t="inlineStr">
        <is>
          <t>PROXY</t>
        </is>
      </c>
      <c r="O279" s="9" t="n">
        <v>10154128.57</v>
      </c>
      <c r="P279" s="9" t="n">
        <v>10154128.57</v>
      </c>
      <c r="U279" s="7" t="inlineStr">
        <is>
          <t>DERIVED_IN_WORKBOOK</t>
        </is>
      </c>
      <c r="V279" s="8">
        <f>-SUMIFS(Cashflows!$W$1043:$W$1393,Cashflows!$B$1043:$B$1393,$C279,Cashflows!$C$1043:$C$1393,$K279)</f>
        <v/>
      </c>
      <c r="W279" s="8">
        <f>IF($G279="INR",1,INDEX(Market_Daily!$F$6:$F$256,MATCH($K279,Market_Daily!$A$6:$A$256,0)))</f>
        <v/>
      </c>
      <c r="X279" s="8">
        <f>$V279*$W279</f>
        <v/>
      </c>
      <c r="Y279" s="18">
        <f>$X279-$P279</f>
        <v/>
      </c>
      <c r="Z279" s="8">
        <f>IF(ABS($Y279)&lt;=tol_cashflow_inr,"PASS","FAIL")</f>
        <v/>
      </c>
      <c r="AA279" s="7" t="inlineStr">
        <is>
          <t>-d(lots x lot_kg x F(s) x mcx_al_margin_used_frac)</t>
        </is>
      </c>
    </row>
    <row r="280">
      <c r="A280" s="7" t="inlineStr">
        <is>
          <t>T02</t>
        </is>
      </c>
      <c r="B280" s="7" t="inlineStr">
        <is>
          <t>MCX:T02-MCX-2</t>
        </is>
      </c>
      <c r="C280" s="7" t="inlineStr">
        <is>
          <t>T02-MCX-2</t>
        </is>
      </c>
      <c r="D280" s="7" t="inlineStr">
        <is>
          <t>MCX_SLIPPAGE</t>
        </is>
      </c>
      <c r="E280" s="7" t="inlineStr">
        <is>
          <t>MCX_SLIPPAGE</t>
        </is>
      </c>
      <c r="F280" s="7" t="inlineStr">
        <is>
          <t>PNL</t>
        </is>
      </c>
      <c r="G280" s="7" t="inlineStr">
        <is>
          <t>INR</t>
        </is>
      </c>
      <c r="H280" s="11" t="n">
        <v>44671</v>
      </c>
      <c r="J280" s="11" t="n">
        <v>44671</v>
      </c>
      <c r="K280" s="11" t="n">
        <v>44671</v>
      </c>
      <c r="L280" s="7" t="inlineStr">
        <is>
          <t>roll following on the LME panel calendar</t>
        </is>
      </c>
      <c r="N280" s="7" t="inlineStr">
        <is>
          <t>ASSUMPTION</t>
        </is>
      </c>
      <c r="O280" s="9" t="n">
        <v>-37000</v>
      </c>
      <c r="P280" s="9" t="n">
        <v>-37000</v>
      </c>
      <c r="U280" s="7" t="inlineStr">
        <is>
          <t>DERIVED_IN_WORKBOOK</t>
        </is>
      </c>
      <c r="V280" s="8">
        <f>SUMIFS(Cashflows!$Z$1043:$Z$1393,Cashflows!$B$1043:$B$1393,$C280,Cashflows!$C$1043:$C$1393,$K280)</f>
        <v/>
      </c>
      <c r="W280" s="8">
        <f>IF($G280="INR",1,INDEX(Market_Daily!$F$6:$F$256,MATCH($K280,Market_Daily!$A$6:$A$256,0)))</f>
        <v/>
      </c>
      <c r="X280" s="8">
        <f>$V280*$W280</f>
        <v/>
      </c>
      <c r="Y280" s="18">
        <f>$X280-$P280</f>
        <v/>
      </c>
      <c r="Z280" s="8">
        <f>IF(ABS($Y280)&lt;=tol_cashflow_inr,"PASS","FAIL")</f>
        <v/>
      </c>
      <c r="AA280" s="7" t="inlineStr">
        <is>
          <t>-lots x lot_kg x mcx_slippage_ticks x tick</t>
        </is>
      </c>
    </row>
    <row r="281">
      <c r="A281" s="7" t="inlineStr">
        <is>
          <t>T02</t>
        </is>
      </c>
      <c r="B281" s="7" t="inlineStr">
        <is>
          <t>MCX:T02-MCX-2</t>
        </is>
      </c>
      <c r="C281" s="7" t="inlineStr">
        <is>
          <t>T02-MCX-2</t>
        </is>
      </c>
      <c r="D281" s="7" t="inlineStr">
        <is>
          <t>MCX_TRANSACTION_COST</t>
        </is>
      </c>
      <c r="E281" s="7" t="inlineStr">
        <is>
          <t>MCX_TRANSACTION_COST</t>
        </is>
      </c>
      <c r="F281" s="7" t="inlineStr">
        <is>
          <t>PNL</t>
        </is>
      </c>
      <c r="G281" s="7" t="inlineStr">
        <is>
          <t>INR</t>
        </is>
      </c>
      <c r="H281" s="11" t="n">
        <v>44671</v>
      </c>
      <c r="I281" s="11" t="n">
        <v>44671</v>
      </c>
      <c r="J281" s="11" t="n">
        <v>44671</v>
      </c>
      <c r="K281" s="11" t="n">
        <v>44671</v>
      </c>
      <c r="L281" s="7" t="inlineStr">
        <is>
          <t>roll following on the LME panel calendar</t>
        </is>
      </c>
      <c r="N281" s="7" t="inlineStr">
        <is>
          <t>ASSUMPTION</t>
        </is>
      </c>
      <c r="O281" s="9" t="n">
        <v>-29744.93</v>
      </c>
      <c r="P281" s="9" t="n">
        <v>-29744.93</v>
      </c>
      <c r="U281" s="7" t="inlineStr">
        <is>
          <t>DERIVED_IN_WORKBOOK</t>
        </is>
      </c>
      <c r="V281" s="8">
        <f>SUMIFS(Cashflows!$AA$1043:$AA$1393,Cashflows!$B$1043:$B$1393,$C281,Cashflows!$C$1043:$C$1393,$K281)</f>
        <v/>
      </c>
      <c r="W281" s="8">
        <f>IF($G281="INR",1,INDEX(Market_Daily!$F$6:$F$256,MATCH($K281,Market_Daily!$A$6:$A$256,0)))</f>
        <v/>
      </c>
      <c r="X281" s="8">
        <f>$V281*$W281</f>
        <v/>
      </c>
      <c r="Y281" s="18">
        <f>$X281-$P281</f>
        <v/>
      </c>
      <c r="Z281" s="8">
        <f>IF(ABS($Y281)&lt;=tol_cashflow_inr,"PASS","FAIL")</f>
        <v/>
      </c>
      <c r="AA281" s="7" t="inlineStr">
        <is>
          <t>-lots x lot_kg x fill x mcx_txn_cost_frac</t>
        </is>
      </c>
    </row>
    <row r="282">
      <c r="A282" s="7" t="inlineStr">
        <is>
          <t>T02</t>
        </is>
      </c>
      <c r="B282" s="7" t="inlineStr">
        <is>
          <t>MCX:T02-MCX-2</t>
        </is>
      </c>
      <c r="C282" s="7" t="inlineStr">
        <is>
          <t>T02-MCX-2</t>
        </is>
      </c>
      <c r="D282" s="7" t="inlineStr">
        <is>
          <t>MCX_VARIATION_MARGIN</t>
        </is>
      </c>
      <c r="E282" s="7" t="inlineStr">
        <is>
          <t>MCX_VARIATION_MARGIN</t>
        </is>
      </c>
      <c r="F282" s="7" t="inlineStr">
        <is>
          <t>PNL</t>
        </is>
      </c>
      <c r="G282" s="7" t="inlineStr">
        <is>
          <t>INR</t>
        </is>
      </c>
      <c r="H282" s="11" t="n">
        <v>44642</v>
      </c>
      <c r="I282" s="11" t="n">
        <v>44671</v>
      </c>
      <c r="J282" s="11" t="n">
        <v>44671</v>
      </c>
      <c r="K282" s="11" t="n">
        <v>44671</v>
      </c>
      <c r="L282" s="7" t="inlineStr">
        <is>
          <t>roll following on the LME panel calendar</t>
        </is>
      </c>
      <c r="N282" s="7" t="inlineStr">
        <is>
          <t>PROXY</t>
        </is>
      </c>
      <c r="O282" s="9" t="n">
        <v>2428521.98</v>
      </c>
      <c r="P282" s="9" t="n">
        <v>2428521.98</v>
      </c>
      <c r="U282" s="7" t="inlineStr">
        <is>
          <t>DERIVED_IN_WORKBOOK</t>
        </is>
      </c>
      <c r="V282" s="8">
        <f>SUMIFS(Cashflows!$R$1043:$R$1393,Cashflows!$B$1043:$B$1393,$C282,Cashflows!$C$1043:$C$1393,$K282)</f>
        <v/>
      </c>
      <c r="W282" s="8">
        <f>IF($G282="INR",1,INDEX(Market_Daily!$F$6:$F$256,MATCH($K282,Market_Daily!$A$6:$A$256,0)))</f>
        <v/>
      </c>
      <c r="X282" s="8">
        <f>$V282*$W282</f>
        <v/>
      </c>
      <c r="Y282" s="18">
        <f>$X282-$P282</f>
        <v/>
      </c>
      <c r="Z282" s="8">
        <f>IF(ABS($Y282)&lt;=tol_cashflow_inr,"PASS","FAIL")</f>
        <v/>
      </c>
      <c r="AA282" s="7" t="inlineStr">
        <is>
          <t>direction x lots x lot_kg x (F(s) - F(s-1))</t>
        </is>
      </c>
    </row>
    <row r="283">
      <c r="A283" s="7" t="inlineStr">
        <is>
          <t>T02</t>
        </is>
      </c>
      <c r="B283" s="7" t="inlineStr">
        <is>
          <t>MCX:T02-MCX-3</t>
        </is>
      </c>
      <c r="C283" s="7" t="inlineStr">
        <is>
          <t>T02-MCX-3</t>
        </is>
      </c>
      <c r="D283" s="7" t="inlineStr">
        <is>
          <t>MCX_INITIAL_MARGIN</t>
        </is>
      </c>
      <c r="E283" s="7" t="inlineStr">
        <is>
          <t>MCX_INITIAL_MARGIN</t>
        </is>
      </c>
      <c r="F283" s="7" t="inlineStr">
        <is>
          <t>BS</t>
        </is>
      </c>
      <c r="G283" s="7" t="inlineStr">
        <is>
          <t>INR</t>
        </is>
      </c>
      <c r="H283" s="11" t="n">
        <v>44671</v>
      </c>
      <c r="I283" s="11" t="n">
        <v>44671</v>
      </c>
      <c r="J283" s="11" t="n">
        <v>44671</v>
      </c>
      <c r="K283" s="11" t="n">
        <v>44671</v>
      </c>
      <c r="L283" s="7" t="inlineStr">
        <is>
          <t>roll following on the LME panel calendar</t>
        </is>
      </c>
      <c r="N283" s="7" t="inlineStr">
        <is>
          <t>PROXY</t>
        </is>
      </c>
      <c r="O283" s="9" t="n">
        <v>-9945353.390000001</v>
      </c>
      <c r="P283" s="9" t="n">
        <v>-9945353.390000001</v>
      </c>
      <c r="U283" s="7" t="inlineStr">
        <is>
          <t>DERIVED_IN_WORKBOOK</t>
        </is>
      </c>
      <c r="V283" s="8">
        <f>-SUMIFS(Cashflows!$W$1043:$W$1393,Cashflows!$B$1043:$B$1393,$C283,Cashflows!$C$1043:$C$1393,$K283)</f>
        <v/>
      </c>
      <c r="W283" s="8">
        <f>IF($G283="INR",1,INDEX(Market_Daily!$F$6:$F$256,MATCH($K283,Market_Daily!$A$6:$A$256,0)))</f>
        <v/>
      </c>
      <c r="X283" s="8">
        <f>$V283*$W283</f>
        <v/>
      </c>
      <c r="Y283" s="18">
        <f>$X283-$P283</f>
        <v/>
      </c>
      <c r="Z283" s="8">
        <f>IF(ABS($Y283)&lt;=tol_cashflow_inr,"PASS","FAIL")</f>
        <v/>
      </c>
      <c r="AA283" s="7" t="inlineStr">
        <is>
          <t>-d(lots x lot_kg x F(s) x mcx_al_margin_used_frac)</t>
        </is>
      </c>
    </row>
    <row r="284">
      <c r="A284" s="7" t="inlineStr">
        <is>
          <t>T02</t>
        </is>
      </c>
      <c r="B284" s="7" t="inlineStr">
        <is>
          <t>MCX:T02-MCX-3</t>
        </is>
      </c>
      <c r="C284" s="7" t="inlineStr">
        <is>
          <t>T02-MCX-3</t>
        </is>
      </c>
      <c r="D284" s="7" t="inlineStr">
        <is>
          <t>MCX_SLIPPAGE</t>
        </is>
      </c>
      <c r="E284" s="7" t="inlineStr">
        <is>
          <t>MCX_SLIPPAGE</t>
        </is>
      </c>
      <c r="F284" s="7" t="inlineStr">
        <is>
          <t>PNL</t>
        </is>
      </c>
      <c r="G284" s="7" t="inlineStr">
        <is>
          <t>INR</t>
        </is>
      </c>
      <c r="H284" s="11" t="n">
        <v>44671</v>
      </c>
      <c r="J284" s="11" t="n">
        <v>44671</v>
      </c>
      <c r="K284" s="11" t="n">
        <v>44671</v>
      </c>
      <c r="L284" s="7" t="inlineStr">
        <is>
          <t>roll following on the LME panel calendar</t>
        </is>
      </c>
      <c r="N284" s="7" t="inlineStr">
        <is>
          <t>ASSUMPTION</t>
        </is>
      </c>
      <c r="O284" s="9" t="n">
        <v>-37000</v>
      </c>
      <c r="P284" s="9" t="n">
        <v>-37000</v>
      </c>
      <c r="U284" s="7" t="inlineStr">
        <is>
          <t>DERIVED_IN_WORKBOOK</t>
        </is>
      </c>
      <c r="V284" s="8">
        <f>SUMIFS(Cashflows!$Z$1043:$Z$1393,Cashflows!$B$1043:$B$1393,$C284,Cashflows!$C$1043:$C$1393,$K284)</f>
        <v/>
      </c>
      <c r="W284" s="8">
        <f>IF($G284="INR",1,INDEX(Market_Daily!$F$6:$F$256,MATCH($K284,Market_Daily!$A$6:$A$256,0)))</f>
        <v/>
      </c>
      <c r="X284" s="8">
        <f>$V284*$W284</f>
        <v/>
      </c>
      <c r="Y284" s="18">
        <f>$X284-$P284</f>
        <v/>
      </c>
      <c r="Z284" s="8">
        <f>IF(ABS($Y284)&lt;=tol_cashflow_inr,"PASS","FAIL")</f>
        <v/>
      </c>
      <c r="AA284" s="7" t="inlineStr">
        <is>
          <t>-lots x lot_kg x mcx_slippage_ticks x tick</t>
        </is>
      </c>
    </row>
    <row r="285">
      <c r="A285" s="7" t="inlineStr">
        <is>
          <t>T02</t>
        </is>
      </c>
      <c r="B285" s="7" t="inlineStr">
        <is>
          <t>MCX:T02-MCX-3</t>
        </is>
      </c>
      <c r="C285" s="7" t="inlineStr">
        <is>
          <t>T02-MCX-3</t>
        </is>
      </c>
      <c r="D285" s="7" t="inlineStr">
        <is>
          <t>MCX_TRANSACTION_COST</t>
        </is>
      </c>
      <c r="E285" s="7" t="inlineStr">
        <is>
          <t>MCX_TRANSACTION_COST</t>
        </is>
      </c>
      <c r="F285" s="7" t="inlineStr">
        <is>
          <t>PNL</t>
        </is>
      </c>
      <c r="G285" s="7" t="inlineStr">
        <is>
          <t>INR</t>
        </is>
      </c>
      <c r="H285" s="11" t="n">
        <v>44671</v>
      </c>
      <c r="I285" s="11" t="n">
        <v>44671</v>
      </c>
      <c r="J285" s="11" t="n">
        <v>44671</v>
      </c>
      <c r="K285" s="11" t="n">
        <v>44671</v>
      </c>
      <c r="L285" s="7" t="inlineStr">
        <is>
          <t>roll following on the LME panel calendar</t>
        </is>
      </c>
      <c r="N285" s="7" t="inlineStr">
        <is>
          <t>ASSUMPTION</t>
        </is>
      </c>
      <c r="O285" s="9" t="n">
        <v>-29824.96</v>
      </c>
      <c r="P285" s="9" t="n">
        <v>-29824.96</v>
      </c>
      <c r="U285" s="7" t="inlineStr">
        <is>
          <t>DERIVED_IN_WORKBOOK</t>
        </is>
      </c>
      <c r="V285" s="8">
        <f>SUMIFS(Cashflows!$AA$1043:$AA$1393,Cashflows!$B$1043:$B$1393,$C285,Cashflows!$C$1043:$C$1393,$K285)</f>
        <v/>
      </c>
      <c r="W285" s="8">
        <f>IF($G285="INR",1,INDEX(Market_Daily!$F$6:$F$256,MATCH($K285,Market_Daily!$A$6:$A$256,0)))</f>
        <v/>
      </c>
      <c r="X285" s="8">
        <f>$V285*$W285</f>
        <v/>
      </c>
      <c r="Y285" s="18">
        <f>$X285-$P285</f>
        <v/>
      </c>
      <c r="Z285" s="8">
        <f>IF(ABS($Y285)&lt;=tol_cashflow_inr,"PASS","FAIL")</f>
        <v/>
      </c>
      <c r="AA285" s="7" t="inlineStr">
        <is>
          <t>-lots x lot_kg x fill x mcx_txn_cost_frac</t>
        </is>
      </c>
    </row>
    <row r="286">
      <c r="A286" s="7" t="inlineStr">
        <is>
          <t>T02</t>
        </is>
      </c>
      <c r="B286" s="7" t="inlineStr">
        <is>
          <t>MCX:T02-MCX-3</t>
        </is>
      </c>
      <c r="C286" s="7" t="inlineStr">
        <is>
          <t>T02-MCX-3</t>
        </is>
      </c>
      <c r="D286" s="7" t="inlineStr">
        <is>
          <t>MCX_VARIATION_MARGIN</t>
        </is>
      </c>
      <c r="E286" s="7" t="inlineStr">
        <is>
          <t>MCX_VARIATION_MARGIN</t>
        </is>
      </c>
      <c r="F286" s="7" t="inlineStr">
        <is>
          <t>PNL</t>
        </is>
      </c>
      <c r="G286" s="7" t="inlineStr">
        <is>
          <t>INR</t>
        </is>
      </c>
      <c r="H286" s="11" t="n">
        <v>44671</v>
      </c>
      <c r="I286" s="11" t="n">
        <v>44671</v>
      </c>
      <c r="J286" s="11" t="n">
        <v>44671</v>
      </c>
      <c r="K286" s="11" t="n">
        <v>44671</v>
      </c>
      <c r="L286" s="7" t="inlineStr">
        <is>
          <t>roll following on the LME panel calendar</t>
        </is>
      </c>
      <c r="N286" s="7" t="inlineStr">
        <is>
          <t>PROXY</t>
        </is>
      </c>
      <c r="O286" s="9" t="n">
        <v>-0</v>
      </c>
      <c r="P286" s="9" t="n">
        <v>-0</v>
      </c>
      <c r="U286" s="7" t="inlineStr">
        <is>
          <t>DERIVED_IN_WORKBOOK</t>
        </is>
      </c>
      <c r="V286" s="8">
        <f>SUMIFS(Cashflows!$R$1043:$R$1393,Cashflows!$B$1043:$B$1393,$C286,Cashflows!$C$1043:$C$1393,$K286)</f>
        <v/>
      </c>
      <c r="W286" s="8">
        <f>IF($G286="INR",1,INDEX(Market_Daily!$F$6:$F$256,MATCH($K286,Market_Daily!$A$6:$A$256,0)))</f>
        <v/>
      </c>
      <c r="X286" s="8">
        <f>$V286*$W286</f>
        <v/>
      </c>
      <c r="Y286" s="18">
        <f>$X286-$P286</f>
        <v/>
      </c>
      <c r="Z286" s="8">
        <f>IF(ABS($Y286)&lt;=tol_cashflow_inr,"PASS","FAIL")</f>
        <v/>
      </c>
      <c r="AA286" s="7" t="inlineStr">
        <is>
          <t>direction x lots x lot_kg x (F(entry) - entry settle) = 0 by construction</t>
        </is>
      </c>
    </row>
    <row r="287">
      <c r="A287" s="7" t="inlineStr">
        <is>
          <t>T02</t>
        </is>
      </c>
      <c r="B287" s="7" t="inlineStr">
        <is>
          <t>PORT:L1</t>
        </is>
      </c>
      <c r="C287" s="7" t="inlineStr">
        <is>
          <t>L1</t>
        </is>
      </c>
      <c r="D287" s="7" t="inlineStr">
        <is>
          <t>PORT_CHARGES</t>
        </is>
      </c>
      <c r="E287" s="7" t="inlineStr">
        <is>
          <t>PORT_CHARGES</t>
        </is>
      </c>
      <c r="F287" s="7" t="inlineStr">
        <is>
          <t>PNL</t>
        </is>
      </c>
      <c r="G287" s="7" t="inlineStr">
        <is>
          <t>INR</t>
        </is>
      </c>
      <c r="H287" s="11" t="n">
        <v>44631</v>
      </c>
      <c r="J287" s="11" t="n">
        <v>44671</v>
      </c>
      <c r="K287" s="11" t="n">
        <v>44671</v>
      </c>
      <c r="L287" s="7" t="inlineStr">
        <is>
          <t>roll following on the LME panel calendar</t>
        </is>
      </c>
      <c r="N287" s="7" t="inlineStr">
        <is>
          <t>ASSUMPTION</t>
        </is>
      </c>
      <c r="O287" s="9" t="n">
        <v>-960000</v>
      </c>
      <c r="P287" s="9" t="n">
        <v>-960000</v>
      </c>
      <c r="U287" s="7" t="inlineStr">
        <is>
          <t>PYTHON_LIFECYCLE</t>
        </is>
      </c>
      <c r="V287" s="8">
        <f>$O287</f>
        <v/>
      </c>
      <c r="W287" s="8">
        <f>IF($G287="INR",1,INDEX(Market_Daily!$F$6:$F$256,MATCH($K287,Market_Daily!$A$6:$A$256,0)))</f>
        <v/>
      </c>
      <c r="X287" s="8">
        <f>$V287*$W287</f>
        <v/>
      </c>
      <c r="Y287" s="18">
        <f>$X287-$P287</f>
        <v/>
      </c>
      <c r="Z287" s="8">
        <f>IF(ABS($Y287)&lt;=tol_cashflow_inr,"PASS","FAIL")</f>
        <v/>
      </c>
      <c r="AA287" s="7" t="inlineStr">
        <is>
          <t>-port_cf_charges_inr_t x base_payload x cleared boxes</t>
        </is>
      </c>
    </row>
    <row r="288">
      <c r="A288" s="7" t="inlineStr">
        <is>
          <t>T02</t>
        </is>
      </c>
      <c r="B288" s="7" t="inlineStr">
        <is>
          <t>MCX:T02-MCX-3</t>
        </is>
      </c>
      <c r="C288" s="7" t="inlineStr">
        <is>
          <t>T02-MCX-3</t>
        </is>
      </c>
      <c r="D288" s="7" t="inlineStr">
        <is>
          <t>MCX_INITIAL_MARGIN</t>
        </is>
      </c>
      <c r="E288" s="7" t="inlineStr">
        <is>
          <t>MCX_INITIAL_MARGIN</t>
        </is>
      </c>
      <c r="F288" s="7" t="inlineStr">
        <is>
          <t>BS</t>
        </is>
      </c>
      <c r="G288" s="7" t="inlineStr">
        <is>
          <t>INR</t>
        </is>
      </c>
      <c r="H288" s="11" t="n">
        <v>44671</v>
      </c>
      <c r="I288" s="11" t="n">
        <v>44672</v>
      </c>
      <c r="J288" s="11" t="n">
        <v>44672</v>
      </c>
      <c r="K288" s="11" t="n">
        <v>44672</v>
      </c>
      <c r="L288" s="7" t="inlineStr">
        <is>
          <t>roll following on the LME panel calendar</t>
        </is>
      </c>
      <c r="N288" s="7" t="inlineStr">
        <is>
          <t>PROXY</t>
        </is>
      </c>
      <c r="O288" s="9" t="n">
        <v>-53835.32</v>
      </c>
      <c r="P288" s="9" t="n">
        <v>-53835.32</v>
      </c>
      <c r="U288" s="7" t="inlineStr">
        <is>
          <t>DERIVED_IN_WORKBOOK</t>
        </is>
      </c>
      <c r="V288" s="8">
        <f>-SUMIFS(Cashflows!$W$1043:$W$1393,Cashflows!$B$1043:$B$1393,$C288,Cashflows!$C$1043:$C$1393,$K288)</f>
        <v/>
      </c>
      <c r="W288" s="8">
        <f>IF($G288="INR",1,INDEX(Market_Daily!$F$6:$F$256,MATCH($K288,Market_Daily!$A$6:$A$256,0)))</f>
        <v/>
      </c>
      <c r="X288" s="8">
        <f>$V288*$W288</f>
        <v/>
      </c>
      <c r="Y288" s="18">
        <f>$X288-$P288</f>
        <v/>
      </c>
      <c r="Z288" s="8">
        <f>IF(ABS($Y288)&lt;=tol_cashflow_inr,"PASS","FAIL")</f>
        <v/>
      </c>
      <c r="AA288" s="7" t="inlineStr">
        <is>
          <t>-d(lots x lot_kg x F(s) x mcx_al_margin_used_frac)</t>
        </is>
      </c>
    </row>
    <row r="289">
      <c r="A289" s="7" t="inlineStr">
        <is>
          <t>T02</t>
        </is>
      </c>
      <c r="B289" s="7" t="inlineStr">
        <is>
          <t>MCX:T02-MCX-3</t>
        </is>
      </c>
      <c r="C289" s="7" t="inlineStr">
        <is>
          <t>T02-MCX-3</t>
        </is>
      </c>
      <c r="D289" s="7" t="inlineStr">
        <is>
          <t>MCX_VARIATION_MARGIN</t>
        </is>
      </c>
      <c r="E289" s="7" t="inlineStr">
        <is>
          <t>MCX_VARIATION_MARGIN</t>
        </is>
      </c>
      <c r="F289" s="7" t="inlineStr">
        <is>
          <t>PNL</t>
        </is>
      </c>
      <c r="G289" s="7" t="inlineStr">
        <is>
          <t>INR</t>
        </is>
      </c>
      <c r="H289" s="11" t="n">
        <v>44671</v>
      </c>
      <c r="I289" s="11" t="n">
        <v>44672</v>
      </c>
      <c r="J289" s="11" t="n">
        <v>44672</v>
      </c>
      <c r="K289" s="11" t="n">
        <v>44672</v>
      </c>
      <c r="L289" s="7" t="inlineStr">
        <is>
          <t>roll following on the LME panel calendar</t>
        </is>
      </c>
      <c r="N289" s="7" t="inlineStr">
        <is>
          <t>PROXY</t>
        </is>
      </c>
      <c r="O289" s="9" t="n">
        <v>-538353.2</v>
      </c>
      <c r="P289" s="9" t="n">
        <v>-538353.2</v>
      </c>
      <c r="U289" s="7" t="inlineStr">
        <is>
          <t>DERIVED_IN_WORKBOOK</t>
        </is>
      </c>
      <c r="V289" s="8">
        <f>SUMIFS(Cashflows!$R$1043:$R$1393,Cashflows!$B$1043:$B$1393,$C289,Cashflows!$C$1043:$C$1393,$K289)</f>
        <v/>
      </c>
      <c r="W289" s="8">
        <f>IF($G289="INR",1,INDEX(Market_Daily!$F$6:$F$256,MATCH($K289,Market_Daily!$A$6:$A$256,0)))</f>
        <v/>
      </c>
      <c r="X289" s="8">
        <f>$V289*$W289</f>
        <v/>
      </c>
      <c r="Y289" s="18">
        <f>$X289-$P289</f>
        <v/>
      </c>
      <c r="Z289" s="8">
        <f>IF(ABS($Y289)&lt;=tol_cashflow_inr,"PASS","FAIL")</f>
        <v/>
      </c>
      <c r="AA289" s="7" t="inlineStr">
        <is>
          <t>direction x lots x lot_kg x (F(s) - F(s-1))</t>
        </is>
      </c>
    </row>
    <row r="290">
      <c r="A290" s="7" t="inlineStr">
        <is>
          <t>T02</t>
        </is>
      </c>
      <c r="B290" s="7" t="inlineStr">
        <is>
          <t>MCX:T02-MCX-3</t>
        </is>
      </c>
      <c r="C290" s="7" t="inlineStr">
        <is>
          <t>T02-MCX-3</t>
        </is>
      </c>
      <c r="D290" s="7" t="inlineStr">
        <is>
          <t>MCX_INITIAL_MARGIN</t>
        </is>
      </c>
      <c r="E290" s="7" t="inlineStr">
        <is>
          <t>MCX_INITIAL_MARGIN</t>
        </is>
      </c>
      <c r="F290" s="7" t="inlineStr">
        <is>
          <t>BS</t>
        </is>
      </c>
      <c r="G290" s="7" t="inlineStr">
        <is>
          <t>INR</t>
        </is>
      </c>
      <c r="H290" s="11" t="n">
        <v>44671</v>
      </c>
      <c r="I290" s="11" t="n">
        <v>44673</v>
      </c>
      <c r="J290" s="11" t="n">
        <v>44673</v>
      </c>
      <c r="K290" s="11" t="n">
        <v>44673</v>
      </c>
      <c r="L290" s="7" t="inlineStr">
        <is>
          <t>roll following on the LME panel calendar</t>
        </is>
      </c>
      <c r="N290" s="7" t="inlineStr">
        <is>
          <t>PROXY</t>
        </is>
      </c>
      <c r="O290" s="9" t="n">
        <v>24548.82</v>
      </c>
      <c r="P290" s="9" t="n">
        <v>24548.82</v>
      </c>
      <c r="U290" s="7" t="inlineStr">
        <is>
          <t>DERIVED_IN_WORKBOOK</t>
        </is>
      </c>
      <c r="V290" s="8">
        <f>-SUMIFS(Cashflows!$W$1043:$W$1393,Cashflows!$B$1043:$B$1393,$C290,Cashflows!$C$1043:$C$1393,$K290)</f>
        <v/>
      </c>
      <c r="W290" s="8">
        <f>IF($G290="INR",1,INDEX(Market_Daily!$F$6:$F$256,MATCH($K290,Market_Daily!$A$6:$A$256,0)))</f>
        <v/>
      </c>
      <c r="X290" s="8">
        <f>$V290*$W290</f>
        <v/>
      </c>
      <c r="Y290" s="18">
        <f>$X290-$P290</f>
        <v/>
      </c>
      <c r="Z290" s="8">
        <f>IF(ABS($Y290)&lt;=tol_cashflow_inr,"PASS","FAIL")</f>
        <v/>
      </c>
      <c r="AA290" s="7" t="inlineStr">
        <is>
          <t>-d(lots x lot_kg x F(s) x mcx_al_margin_used_frac)</t>
        </is>
      </c>
    </row>
    <row r="291">
      <c r="A291" s="7" t="inlineStr">
        <is>
          <t>T02</t>
        </is>
      </c>
      <c r="B291" s="7" t="inlineStr">
        <is>
          <t>MCX:T02-MCX-3</t>
        </is>
      </c>
      <c r="C291" s="7" t="inlineStr">
        <is>
          <t>T02-MCX-3</t>
        </is>
      </c>
      <c r="D291" s="7" t="inlineStr">
        <is>
          <t>MCX_VARIATION_MARGIN</t>
        </is>
      </c>
      <c r="E291" s="7" t="inlineStr">
        <is>
          <t>MCX_VARIATION_MARGIN</t>
        </is>
      </c>
      <c r="F291" s="7" t="inlineStr">
        <is>
          <t>PNL</t>
        </is>
      </c>
      <c r="G291" s="7" t="inlineStr">
        <is>
          <t>INR</t>
        </is>
      </c>
      <c r="H291" s="11" t="n">
        <v>44671</v>
      </c>
      <c r="I291" s="11" t="n">
        <v>44673</v>
      </c>
      <c r="J291" s="11" t="n">
        <v>44673</v>
      </c>
      <c r="K291" s="11" t="n">
        <v>44673</v>
      </c>
      <c r="L291" s="7" t="inlineStr">
        <is>
          <t>roll following on the LME panel calendar</t>
        </is>
      </c>
      <c r="N291" s="7" t="inlineStr">
        <is>
          <t>PROXY</t>
        </is>
      </c>
      <c r="O291" s="9" t="n">
        <v>245488.24</v>
      </c>
      <c r="P291" s="9" t="n">
        <v>245488.24</v>
      </c>
      <c r="U291" s="7" t="inlineStr">
        <is>
          <t>DERIVED_IN_WORKBOOK</t>
        </is>
      </c>
      <c r="V291" s="8">
        <f>SUMIFS(Cashflows!$R$1043:$R$1393,Cashflows!$B$1043:$B$1393,$C291,Cashflows!$C$1043:$C$1393,$K291)</f>
        <v/>
      </c>
      <c r="W291" s="8">
        <f>IF($G291="INR",1,INDEX(Market_Daily!$F$6:$F$256,MATCH($K291,Market_Daily!$A$6:$A$256,0)))</f>
        <v/>
      </c>
      <c r="X291" s="8">
        <f>$V291*$W291</f>
        <v/>
      </c>
      <c r="Y291" s="18">
        <f>$X291-$P291</f>
        <v/>
      </c>
      <c r="Z291" s="8">
        <f>IF(ABS($Y291)&lt;=tol_cashflow_inr,"PASS","FAIL")</f>
        <v/>
      </c>
      <c r="AA291" s="7" t="inlineStr">
        <is>
          <t>direction x lots x lot_kg x (F(s) - F(s-1))</t>
        </is>
      </c>
    </row>
    <row r="292">
      <c r="A292" s="7" t="inlineStr">
        <is>
          <t>T02</t>
        </is>
      </c>
      <c r="B292" s="7" t="inlineStr">
        <is>
          <t>MCX:T02-MCX-3</t>
        </is>
      </c>
      <c r="C292" s="7" t="inlineStr">
        <is>
          <t>T02-MCX-3</t>
        </is>
      </c>
      <c r="D292" s="7" t="inlineStr">
        <is>
          <t>MCX_INITIAL_MARGIN</t>
        </is>
      </c>
      <c r="E292" s="7" t="inlineStr">
        <is>
          <t>MCX_INITIAL_MARGIN</t>
        </is>
      </c>
      <c r="F292" s="7" t="inlineStr">
        <is>
          <t>BS</t>
        </is>
      </c>
      <c r="G292" s="7" t="inlineStr">
        <is>
          <t>INR</t>
        </is>
      </c>
      <c r="H292" s="11" t="n">
        <v>44671</v>
      </c>
      <c r="I292" s="11" t="n">
        <v>44676</v>
      </c>
      <c r="J292" s="11" t="n">
        <v>44676</v>
      </c>
      <c r="K292" s="11" t="n">
        <v>44676</v>
      </c>
      <c r="L292" s="7" t="inlineStr">
        <is>
          <t>roll following on the LME panel calendar</t>
        </is>
      </c>
      <c r="N292" s="7" t="inlineStr">
        <is>
          <t>PROXY</t>
        </is>
      </c>
      <c r="O292" s="9" t="n">
        <v>9974639.880000001</v>
      </c>
      <c r="P292" s="9" t="n">
        <v>9974639.880000001</v>
      </c>
      <c r="U292" s="7" t="inlineStr">
        <is>
          <t>DERIVED_IN_WORKBOOK</t>
        </is>
      </c>
      <c r="V292" s="8">
        <f>-SUMIFS(Cashflows!$W$1043:$W$1393,Cashflows!$B$1043:$B$1393,$C292,Cashflows!$C$1043:$C$1393,$K292)</f>
        <v/>
      </c>
      <c r="W292" s="8">
        <f>IF($G292="INR",1,INDEX(Market_Daily!$F$6:$F$256,MATCH($K292,Market_Daily!$A$6:$A$256,0)))</f>
        <v/>
      </c>
      <c r="X292" s="8">
        <f>$V292*$W292</f>
        <v/>
      </c>
      <c r="Y292" s="18">
        <f>$X292-$P292</f>
        <v/>
      </c>
      <c r="Z292" s="8">
        <f>IF(ABS($Y292)&lt;=tol_cashflow_inr,"PASS","FAIL")</f>
        <v/>
      </c>
      <c r="AA292" s="7" t="inlineStr">
        <is>
          <t>-d(lots x lot_kg x F(s) x mcx_al_margin_used_frac)</t>
        </is>
      </c>
    </row>
    <row r="293">
      <c r="A293" s="7" t="inlineStr">
        <is>
          <t>T02</t>
        </is>
      </c>
      <c r="B293" s="7" t="inlineStr">
        <is>
          <t>MCX:T02-MCX-3</t>
        </is>
      </c>
      <c r="C293" s="7" t="inlineStr">
        <is>
          <t>T02-MCX-3</t>
        </is>
      </c>
      <c r="D293" s="7" t="inlineStr">
        <is>
          <t>MCX_SLIPPAGE</t>
        </is>
      </c>
      <c r="E293" s="7" t="inlineStr">
        <is>
          <t>MCX_SLIPPAGE</t>
        </is>
      </c>
      <c r="F293" s="7" t="inlineStr">
        <is>
          <t>PNL</t>
        </is>
      </c>
      <c r="G293" s="7" t="inlineStr">
        <is>
          <t>INR</t>
        </is>
      </c>
      <c r="H293" s="11" t="n">
        <v>44676</v>
      </c>
      <c r="J293" s="11" t="n">
        <v>44676</v>
      </c>
      <c r="K293" s="11" t="n">
        <v>44676</v>
      </c>
      <c r="L293" s="7" t="inlineStr">
        <is>
          <t>roll following on the LME panel calendar</t>
        </is>
      </c>
      <c r="N293" s="7" t="inlineStr">
        <is>
          <t>ASSUMPTION</t>
        </is>
      </c>
      <c r="O293" s="9" t="n">
        <v>-37000</v>
      </c>
      <c r="P293" s="9" t="n">
        <v>-37000</v>
      </c>
      <c r="U293" s="7" t="inlineStr">
        <is>
          <t>DERIVED_IN_WORKBOOK</t>
        </is>
      </c>
      <c r="V293" s="8">
        <f>SUMIFS(Cashflows!$Z$1043:$Z$1393,Cashflows!$B$1043:$B$1393,$C293,Cashflows!$C$1043:$C$1393,$K293)</f>
        <v/>
      </c>
      <c r="W293" s="8">
        <f>IF($G293="INR",1,INDEX(Market_Daily!$F$6:$F$256,MATCH($K293,Market_Daily!$A$6:$A$256,0)))</f>
        <v/>
      </c>
      <c r="X293" s="8">
        <f>$V293*$W293</f>
        <v/>
      </c>
      <c r="Y293" s="18">
        <f>$X293-$P293</f>
        <v/>
      </c>
      <c r="Z293" s="8">
        <f>IF(ABS($Y293)&lt;=tol_cashflow_inr,"PASS","FAIL")</f>
        <v/>
      </c>
      <c r="AA293" s="7" t="inlineStr">
        <is>
          <t>-lots x lot_kg x mcx_slippage_ticks x tick</t>
        </is>
      </c>
    </row>
    <row r="294">
      <c r="A294" s="7" t="inlineStr">
        <is>
          <t>T02</t>
        </is>
      </c>
      <c r="B294" s="7" t="inlineStr">
        <is>
          <t>MCX:T02-MCX-3</t>
        </is>
      </c>
      <c r="C294" s="7" t="inlineStr">
        <is>
          <t>T02-MCX-3</t>
        </is>
      </c>
      <c r="D294" s="7" t="inlineStr">
        <is>
          <t>MCX_TRANSACTION_COST</t>
        </is>
      </c>
      <c r="E294" s="7" t="inlineStr">
        <is>
          <t>MCX_TRANSACTION_COST</t>
        </is>
      </c>
      <c r="F294" s="7" t="inlineStr">
        <is>
          <t>PNL</t>
        </is>
      </c>
      <c r="G294" s="7" t="inlineStr">
        <is>
          <t>INR</t>
        </is>
      </c>
      <c r="H294" s="11" t="n">
        <v>44676</v>
      </c>
      <c r="I294" s="11" t="n">
        <v>44676</v>
      </c>
      <c r="J294" s="11" t="n">
        <v>44676</v>
      </c>
      <c r="K294" s="11" t="n">
        <v>44676</v>
      </c>
      <c r="L294" s="7" t="inlineStr">
        <is>
          <t>roll following on the LME panel calendar</t>
        </is>
      </c>
      <c r="N294" s="7" t="inlineStr">
        <is>
          <t>ASSUMPTION</t>
        </is>
      </c>
      <c r="O294" s="9" t="n">
        <v>-28564.08</v>
      </c>
      <c r="P294" s="9" t="n">
        <v>-28564.08</v>
      </c>
      <c r="U294" s="7" t="inlineStr">
        <is>
          <t>DERIVED_IN_WORKBOOK</t>
        </is>
      </c>
      <c r="V294" s="8">
        <f>SUMIFS(Cashflows!$AA$1043:$AA$1393,Cashflows!$B$1043:$B$1393,$C294,Cashflows!$C$1043:$C$1393,$K294)</f>
        <v/>
      </c>
      <c r="W294" s="8">
        <f>IF($G294="INR",1,INDEX(Market_Daily!$F$6:$F$256,MATCH($K294,Market_Daily!$A$6:$A$256,0)))</f>
        <v/>
      </c>
      <c r="X294" s="8">
        <f>$V294*$W294</f>
        <v/>
      </c>
      <c r="Y294" s="18">
        <f>$X294-$P294</f>
        <v/>
      </c>
      <c r="Z294" s="8">
        <f>IF(ABS($Y294)&lt;=tol_cashflow_inr,"PASS","FAIL")</f>
        <v/>
      </c>
      <c r="AA294" s="7" t="inlineStr">
        <is>
          <t>-lots x lot_kg x fill x mcx_txn_cost_frac</t>
        </is>
      </c>
    </row>
    <row r="295">
      <c r="A295" s="7" t="inlineStr">
        <is>
          <t>T02</t>
        </is>
      </c>
      <c r="B295" s="7" t="inlineStr">
        <is>
          <t>MCX:T02-MCX-3</t>
        </is>
      </c>
      <c r="C295" s="7" t="inlineStr">
        <is>
          <t>T02-MCX-3</t>
        </is>
      </c>
      <c r="D295" s="7" t="inlineStr">
        <is>
          <t>MCX_VARIATION_MARGIN</t>
        </is>
      </c>
      <c r="E295" s="7" t="inlineStr">
        <is>
          <t>MCX_VARIATION_MARGIN</t>
        </is>
      </c>
      <c r="F295" s="7" t="inlineStr">
        <is>
          <t>PNL</t>
        </is>
      </c>
      <c r="G295" s="7" t="inlineStr">
        <is>
          <t>INR</t>
        </is>
      </c>
      <c r="H295" s="11" t="n">
        <v>44671</v>
      </c>
      <c r="I295" s="11" t="n">
        <v>44676</v>
      </c>
      <c r="J295" s="11" t="n">
        <v>44676</v>
      </c>
      <c r="K295" s="11" t="n">
        <v>44676</v>
      </c>
      <c r="L295" s="7" t="inlineStr">
        <is>
          <t>roll following on the LME panel calendar</t>
        </is>
      </c>
      <c r="N295" s="7" t="inlineStr">
        <is>
          <t>PROXY</t>
        </is>
      </c>
      <c r="O295" s="9" t="n">
        <v>4569784.68</v>
      </c>
      <c r="P295" s="9" t="n">
        <v>4569784.68</v>
      </c>
      <c r="U295" s="7" t="inlineStr">
        <is>
          <t>DERIVED_IN_WORKBOOK</t>
        </is>
      </c>
      <c r="V295" s="8">
        <f>SUMIFS(Cashflows!$R$1043:$R$1393,Cashflows!$B$1043:$B$1393,$C295,Cashflows!$C$1043:$C$1393,$K295)</f>
        <v/>
      </c>
      <c r="W295" s="8">
        <f>IF($G295="INR",1,INDEX(Market_Daily!$F$6:$F$256,MATCH($K295,Market_Daily!$A$6:$A$256,0)))</f>
        <v/>
      </c>
      <c r="X295" s="8">
        <f>$V295*$W295</f>
        <v/>
      </c>
      <c r="Y295" s="18">
        <f>$X295-$P295</f>
        <v/>
      </c>
      <c r="Z295" s="8">
        <f>IF(ABS($Y295)&lt;=tol_cashflow_inr,"PASS","FAIL")</f>
        <v/>
      </c>
      <c r="AA295" s="7" t="inlineStr">
        <is>
          <t>direction x lots x lot_kg x (F(s) - F(s-1))</t>
        </is>
      </c>
    </row>
    <row r="296">
      <c r="A296" s="7" t="inlineStr">
        <is>
          <t>T02</t>
        </is>
      </c>
      <c r="B296" s="7" t="inlineStr">
        <is>
          <t>MCX:T02-MCX-4</t>
        </is>
      </c>
      <c r="C296" s="7" t="inlineStr">
        <is>
          <t>T02-MCX-4</t>
        </is>
      </c>
      <c r="D296" s="7" t="inlineStr">
        <is>
          <t>MCX_INITIAL_MARGIN</t>
        </is>
      </c>
      <c r="E296" s="7" t="inlineStr">
        <is>
          <t>MCX_INITIAL_MARGIN</t>
        </is>
      </c>
      <c r="F296" s="7" t="inlineStr">
        <is>
          <t>BS</t>
        </is>
      </c>
      <c r="G296" s="7" t="inlineStr">
        <is>
          <t>INR</t>
        </is>
      </c>
      <c r="H296" s="11" t="n">
        <v>44676</v>
      </c>
      <c r="I296" s="11" t="n">
        <v>44676</v>
      </c>
      <c r="J296" s="11" t="n">
        <v>44676</v>
      </c>
      <c r="K296" s="11" t="n">
        <v>44676</v>
      </c>
      <c r="L296" s="7" t="inlineStr">
        <is>
          <t>roll following on the LME panel calendar</t>
        </is>
      </c>
      <c r="N296" s="7" t="inlineStr">
        <is>
          <t>PROXY</t>
        </is>
      </c>
      <c r="O296" s="9" t="n">
        <v>-18649471.69</v>
      </c>
      <c r="P296" s="9" t="n">
        <v>-18649471.69</v>
      </c>
      <c r="U296" s="7" t="inlineStr">
        <is>
          <t>DERIVED_IN_WORKBOOK</t>
        </is>
      </c>
      <c r="V296" s="8">
        <f>-SUMIFS(Cashflows!$W$1043:$W$1393,Cashflows!$B$1043:$B$1393,$C296,Cashflows!$C$1043:$C$1393,$K296)</f>
        <v/>
      </c>
      <c r="W296" s="8">
        <f>IF($G296="INR",1,INDEX(Market_Daily!$F$6:$F$256,MATCH($K296,Market_Daily!$A$6:$A$256,0)))</f>
        <v/>
      </c>
      <c r="X296" s="8">
        <f>$V296*$W296</f>
        <v/>
      </c>
      <c r="Y296" s="18">
        <f>$X296-$P296</f>
        <v/>
      </c>
      <c r="Z296" s="8">
        <f>IF(ABS($Y296)&lt;=tol_cashflow_inr,"PASS","FAIL")</f>
        <v/>
      </c>
      <c r="AA296" s="7" t="inlineStr">
        <is>
          <t>-d(lots x lot_kg x F(s) x mcx_al_margin_used_frac)</t>
        </is>
      </c>
    </row>
    <row r="297">
      <c r="A297" s="7" t="inlineStr">
        <is>
          <t>T02</t>
        </is>
      </c>
      <c r="B297" s="7" t="inlineStr">
        <is>
          <t>MCX:T02-MCX-4</t>
        </is>
      </c>
      <c r="C297" s="7" t="inlineStr">
        <is>
          <t>T02-MCX-4</t>
        </is>
      </c>
      <c r="D297" s="7" t="inlineStr">
        <is>
          <t>MCX_SLIPPAGE</t>
        </is>
      </c>
      <c r="E297" s="7" t="inlineStr">
        <is>
          <t>MCX_SLIPPAGE</t>
        </is>
      </c>
      <c r="F297" s="7" t="inlineStr">
        <is>
          <t>PNL</t>
        </is>
      </c>
      <c r="G297" s="7" t="inlineStr">
        <is>
          <t>INR</t>
        </is>
      </c>
      <c r="H297" s="11" t="n">
        <v>44676</v>
      </c>
      <c r="J297" s="11" t="n">
        <v>44676</v>
      </c>
      <c r="K297" s="11" t="n">
        <v>44676</v>
      </c>
      <c r="L297" s="7" t="inlineStr">
        <is>
          <t>roll following on the LME panel calendar</t>
        </is>
      </c>
      <c r="N297" s="7" t="inlineStr">
        <is>
          <t>ASSUMPTION</t>
        </is>
      </c>
      <c r="O297" s="9" t="n">
        <v>-72500</v>
      </c>
      <c r="P297" s="9" t="n">
        <v>-72500</v>
      </c>
      <c r="U297" s="7" t="inlineStr">
        <is>
          <t>DERIVED_IN_WORKBOOK</t>
        </is>
      </c>
      <c r="V297" s="8">
        <f>SUMIFS(Cashflows!$Z$1043:$Z$1393,Cashflows!$B$1043:$B$1393,$C297,Cashflows!$C$1043:$C$1393,$K297)</f>
        <v/>
      </c>
      <c r="W297" s="8">
        <f>IF($G297="INR",1,INDEX(Market_Daily!$F$6:$F$256,MATCH($K297,Market_Daily!$A$6:$A$256,0)))</f>
        <v/>
      </c>
      <c r="X297" s="8">
        <f>$V297*$W297</f>
        <v/>
      </c>
      <c r="Y297" s="18">
        <f>$X297-$P297</f>
        <v/>
      </c>
      <c r="Z297" s="8">
        <f>IF(ABS($Y297)&lt;=tol_cashflow_inr,"PASS","FAIL")</f>
        <v/>
      </c>
      <c r="AA297" s="7" t="inlineStr">
        <is>
          <t>-lots x lot_kg x mcx_slippage_ticks x tick</t>
        </is>
      </c>
    </row>
    <row r="298">
      <c r="A298" s="7" t="inlineStr">
        <is>
          <t>T02</t>
        </is>
      </c>
      <c r="B298" s="7" t="inlineStr">
        <is>
          <t>MCX:T02-MCX-4</t>
        </is>
      </c>
      <c r="C298" s="7" t="inlineStr">
        <is>
          <t>T02-MCX-4</t>
        </is>
      </c>
      <c r="D298" s="7" t="inlineStr">
        <is>
          <t>MCX_TRANSACTION_COST</t>
        </is>
      </c>
      <c r="E298" s="7" t="inlineStr">
        <is>
          <t>MCX_TRANSACTION_COST</t>
        </is>
      </c>
      <c r="F298" s="7" t="inlineStr">
        <is>
          <t>PNL</t>
        </is>
      </c>
      <c r="G298" s="7" t="inlineStr">
        <is>
          <t>INR</t>
        </is>
      </c>
      <c r="H298" s="11" t="n">
        <v>44676</v>
      </c>
      <c r="I298" s="11" t="n">
        <v>44676</v>
      </c>
      <c r="J298" s="11" t="n">
        <v>44676</v>
      </c>
      <c r="K298" s="11" t="n">
        <v>44676</v>
      </c>
      <c r="L298" s="7" t="inlineStr">
        <is>
          <t>roll following on the LME panel calendar</t>
        </is>
      </c>
      <c r="N298" s="7" t="inlineStr">
        <is>
          <t>ASSUMPTION</t>
        </is>
      </c>
      <c r="O298" s="9" t="n">
        <v>-55970.17</v>
      </c>
      <c r="P298" s="9" t="n">
        <v>-55970.17</v>
      </c>
      <c r="U298" s="7" t="inlineStr">
        <is>
          <t>DERIVED_IN_WORKBOOK</t>
        </is>
      </c>
      <c r="V298" s="8">
        <f>SUMIFS(Cashflows!$AA$1043:$AA$1393,Cashflows!$B$1043:$B$1393,$C298,Cashflows!$C$1043:$C$1393,$K298)</f>
        <v/>
      </c>
      <c r="W298" s="8">
        <f>IF($G298="INR",1,INDEX(Market_Daily!$F$6:$F$256,MATCH($K298,Market_Daily!$A$6:$A$256,0)))</f>
        <v/>
      </c>
      <c r="X298" s="8">
        <f>$V298*$W298</f>
        <v/>
      </c>
      <c r="Y298" s="18">
        <f>$X298-$P298</f>
        <v/>
      </c>
      <c r="Z298" s="8">
        <f>IF(ABS($Y298)&lt;=tol_cashflow_inr,"PASS","FAIL")</f>
        <v/>
      </c>
      <c r="AA298" s="7" t="inlineStr">
        <is>
          <t>-lots x lot_kg x fill x mcx_txn_cost_frac</t>
        </is>
      </c>
    </row>
    <row r="299">
      <c r="A299" s="7" t="inlineStr">
        <is>
          <t>T02</t>
        </is>
      </c>
      <c r="B299" s="7" t="inlineStr">
        <is>
          <t>MCX:T02-MCX-4</t>
        </is>
      </c>
      <c r="C299" s="7" t="inlineStr">
        <is>
          <t>T02-MCX-4</t>
        </is>
      </c>
      <c r="D299" s="7" t="inlineStr">
        <is>
          <t>MCX_VARIATION_MARGIN</t>
        </is>
      </c>
      <c r="E299" s="7" t="inlineStr">
        <is>
          <t>MCX_VARIATION_MARGIN</t>
        </is>
      </c>
      <c r="F299" s="7" t="inlineStr">
        <is>
          <t>PNL</t>
        </is>
      </c>
      <c r="G299" s="7" t="inlineStr">
        <is>
          <t>INR</t>
        </is>
      </c>
      <c r="H299" s="11" t="n">
        <v>44676</v>
      </c>
      <c r="I299" s="11" t="n">
        <v>44676</v>
      </c>
      <c r="J299" s="11" t="n">
        <v>44676</v>
      </c>
      <c r="K299" s="11" t="n">
        <v>44676</v>
      </c>
      <c r="L299" s="7" t="inlineStr">
        <is>
          <t>roll following on the LME panel calendar</t>
        </is>
      </c>
      <c r="N299" s="7" t="inlineStr">
        <is>
          <t>PROXY</t>
        </is>
      </c>
      <c r="O299" s="9" t="n">
        <v>0</v>
      </c>
      <c r="P299" s="9" t="n">
        <v>0</v>
      </c>
      <c r="U299" s="7" t="inlineStr">
        <is>
          <t>DERIVED_IN_WORKBOOK</t>
        </is>
      </c>
      <c r="V299" s="8">
        <f>SUMIFS(Cashflows!$R$1043:$R$1393,Cashflows!$B$1043:$B$1393,$C299,Cashflows!$C$1043:$C$1393,$K299)</f>
        <v/>
      </c>
      <c r="W299" s="8">
        <f>IF($G299="INR",1,INDEX(Market_Daily!$F$6:$F$256,MATCH($K299,Market_Daily!$A$6:$A$256,0)))</f>
        <v/>
      </c>
      <c r="X299" s="8">
        <f>$V299*$W299</f>
        <v/>
      </c>
      <c r="Y299" s="18">
        <f>$X299-$P299</f>
        <v/>
      </c>
      <c r="Z299" s="8">
        <f>IF(ABS($Y299)&lt;=tol_cashflow_inr,"PASS","FAIL")</f>
        <v/>
      </c>
      <c r="AA299" s="7" t="inlineStr">
        <is>
          <t>direction x lots x lot_kg x (F(entry) - entry settle) = 0 by construction</t>
        </is>
      </c>
    </row>
    <row r="300">
      <c r="A300" s="7" t="inlineStr">
        <is>
          <t>T02</t>
        </is>
      </c>
      <c r="B300" s="7" t="inlineStr">
        <is>
          <t>MCX:T02-MCX-4</t>
        </is>
      </c>
      <c r="C300" s="7" t="inlineStr">
        <is>
          <t>T02-MCX-4</t>
        </is>
      </c>
      <c r="D300" s="7" t="inlineStr">
        <is>
          <t>MCX_INITIAL_MARGIN</t>
        </is>
      </c>
      <c r="E300" s="7" t="inlineStr">
        <is>
          <t>MCX_INITIAL_MARGIN</t>
        </is>
      </c>
      <c r="F300" s="7" t="inlineStr">
        <is>
          <t>BS</t>
        </is>
      </c>
      <c r="G300" s="7" t="inlineStr">
        <is>
          <t>INR</t>
        </is>
      </c>
      <c r="H300" s="11" t="n">
        <v>44676</v>
      </c>
      <c r="I300" s="11" t="n">
        <v>44677</v>
      </c>
      <c r="J300" s="11" t="n">
        <v>44677</v>
      </c>
      <c r="K300" s="11" t="n">
        <v>44677</v>
      </c>
      <c r="L300" s="7" t="inlineStr">
        <is>
          <t>roll following on the LME panel calendar</t>
        </is>
      </c>
      <c r="N300" s="7" t="inlineStr">
        <is>
          <t>PROXY</t>
        </is>
      </c>
      <c r="O300" s="9" t="n">
        <v>-63611.72</v>
      </c>
      <c r="P300" s="9" t="n">
        <v>-63611.72</v>
      </c>
      <c r="U300" s="7" t="inlineStr">
        <is>
          <t>DERIVED_IN_WORKBOOK</t>
        </is>
      </c>
      <c r="V300" s="8">
        <f>-SUMIFS(Cashflows!$W$1043:$W$1393,Cashflows!$B$1043:$B$1393,$C300,Cashflows!$C$1043:$C$1393,$K300)</f>
        <v/>
      </c>
      <c r="W300" s="8">
        <f>IF($G300="INR",1,INDEX(Market_Daily!$F$6:$F$256,MATCH($K300,Market_Daily!$A$6:$A$256,0)))</f>
        <v/>
      </c>
      <c r="X300" s="8">
        <f>$V300*$W300</f>
        <v/>
      </c>
      <c r="Y300" s="18">
        <f>$X300-$P300</f>
        <v/>
      </c>
      <c r="Z300" s="8">
        <f>IF(ABS($Y300)&lt;=tol_cashflow_inr,"PASS","FAIL")</f>
        <v/>
      </c>
      <c r="AA300" s="7" t="inlineStr">
        <is>
          <t>-d(lots x lot_kg x F(s) x mcx_al_margin_used_frac)</t>
        </is>
      </c>
    </row>
    <row r="301">
      <c r="A301" s="7" t="inlineStr">
        <is>
          <t>T02</t>
        </is>
      </c>
      <c r="B301" s="7" t="inlineStr">
        <is>
          <t>MCX:T02-MCX-4</t>
        </is>
      </c>
      <c r="C301" s="7" t="inlineStr">
        <is>
          <t>T02-MCX-4</t>
        </is>
      </c>
      <c r="D301" s="7" t="inlineStr">
        <is>
          <t>MCX_VARIATION_MARGIN</t>
        </is>
      </c>
      <c r="E301" s="7" t="inlineStr">
        <is>
          <t>MCX_VARIATION_MARGIN</t>
        </is>
      </c>
      <c r="F301" s="7" t="inlineStr">
        <is>
          <t>PNL</t>
        </is>
      </c>
      <c r="G301" s="7" t="inlineStr">
        <is>
          <t>INR</t>
        </is>
      </c>
      <c r="H301" s="11" t="n">
        <v>44676</v>
      </c>
      <c r="I301" s="11" t="n">
        <v>44677</v>
      </c>
      <c r="J301" s="11" t="n">
        <v>44677</v>
      </c>
      <c r="K301" s="11" t="n">
        <v>44677</v>
      </c>
      <c r="L301" s="7" t="inlineStr">
        <is>
          <t>roll following on the LME panel calendar</t>
        </is>
      </c>
      <c r="N301" s="7" t="inlineStr">
        <is>
          <t>PROXY</t>
        </is>
      </c>
      <c r="O301" s="9" t="n">
        <v>636117.22</v>
      </c>
      <c r="P301" s="9" t="n">
        <v>636117.22</v>
      </c>
      <c r="U301" s="7" t="inlineStr">
        <is>
          <t>DERIVED_IN_WORKBOOK</t>
        </is>
      </c>
      <c r="V301" s="8">
        <f>SUMIFS(Cashflows!$R$1043:$R$1393,Cashflows!$B$1043:$B$1393,$C301,Cashflows!$C$1043:$C$1393,$K301)</f>
        <v/>
      </c>
      <c r="W301" s="8">
        <f>IF($G301="INR",1,INDEX(Market_Daily!$F$6:$F$256,MATCH($K301,Market_Daily!$A$6:$A$256,0)))</f>
        <v/>
      </c>
      <c r="X301" s="8">
        <f>$V301*$W301</f>
        <v/>
      </c>
      <c r="Y301" s="18">
        <f>$X301-$P301</f>
        <v/>
      </c>
      <c r="Z301" s="8">
        <f>IF(ABS($Y301)&lt;=tol_cashflow_inr,"PASS","FAIL")</f>
        <v/>
      </c>
      <c r="AA301" s="7" t="inlineStr">
        <is>
          <t>direction x lots x lot_kg x (F(s) - F(s-1))</t>
        </is>
      </c>
    </row>
    <row r="302">
      <c r="A302" s="7" t="inlineStr">
        <is>
          <t>T02</t>
        </is>
      </c>
      <c r="B302" s="7" t="inlineStr">
        <is>
          <t>MCX:T02-MCX-4</t>
        </is>
      </c>
      <c r="C302" s="7" t="inlineStr">
        <is>
          <t>T02-MCX-4</t>
        </is>
      </c>
      <c r="D302" s="7" t="inlineStr">
        <is>
          <t>MCX_INITIAL_MARGIN</t>
        </is>
      </c>
      <c r="E302" s="7" t="inlineStr">
        <is>
          <t>MCX_INITIAL_MARGIN</t>
        </is>
      </c>
      <c r="F302" s="7" t="inlineStr">
        <is>
          <t>BS</t>
        </is>
      </c>
      <c r="G302" s="7" t="inlineStr">
        <is>
          <t>INR</t>
        </is>
      </c>
      <c r="H302" s="11" t="n">
        <v>44676</v>
      </c>
      <c r="I302" s="11" t="n">
        <v>44678</v>
      </c>
      <c r="J302" s="11" t="n">
        <v>44678</v>
      </c>
      <c r="K302" s="11" t="n">
        <v>44678</v>
      </c>
      <c r="L302" s="7" t="inlineStr">
        <is>
          <t>roll following on the LME panel calendar</t>
        </is>
      </c>
      <c r="N302" s="7" t="inlineStr">
        <is>
          <t>PROXY</t>
        </is>
      </c>
      <c r="O302" s="9" t="n">
        <v>7681.44</v>
      </c>
      <c r="P302" s="9" t="n">
        <v>7681.44</v>
      </c>
      <c r="U302" s="7" t="inlineStr">
        <is>
          <t>DERIVED_IN_WORKBOOK</t>
        </is>
      </c>
      <c r="V302" s="8">
        <f>-SUMIFS(Cashflows!$W$1043:$W$1393,Cashflows!$B$1043:$B$1393,$C302,Cashflows!$C$1043:$C$1393,$K302)</f>
        <v/>
      </c>
      <c r="W302" s="8">
        <f>IF($G302="INR",1,INDEX(Market_Daily!$F$6:$F$256,MATCH($K302,Market_Daily!$A$6:$A$256,0)))</f>
        <v/>
      </c>
      <c r="X302" s="8">
        <f>$V302*$W302</f>
        <v/>
      </c>
      <c r="Y302" s="18">
        <f>$X302-$P302</f>
        <v/>
      </c>
      <c r="Z302" s="8">
        <f>IF(ABS($Y302)&lt;=tol_cashflow_inr,"PASS","FAIL")</f>
        <v/>
      </c>
      <c r="AA302" s="7" t="inlineStr">
        <is>
          <t>-d(lots x lot_kg x F(s) x mcx_al_margin_used_frac)</t>
        </is>
      </c>
    </row>
    <row r="303">
      <c r="A303" s="7" t="inlineStr">
        <is>
          <t>T02</t>
        </is>
      </c>
      <c r="B303" s="7" t="inlineStr">
        <is>
          <t>MCX:T02-MCX-4</t>
        </is>
      </c>
      <c r="C303" s="7" t="inlineStr">
        <is>
          <t>T02-MCX-4</t>
        </is>
      </c>
      <c r="D303" s="7" t="inlineStr">
        <is>
          <t>MCX_VARIATION_MARGIN</t>
        </is>
      </c>
      <c r="E303" s="7" t="inlineStr">
        <is>
          <t>MCX_VARIATION_MARGIN</t>
        </is>
      </c>
      <c r="F303" s="7" t="inlineStr">
        <is>
          <t>PNL</t>
        </is>
      </c>
      <c r="G303" s="7" t="inlineStr">
        <is>
          <t>INR</t>
        </is>
      </c>
      <c r="H303" s="11" t="n">
        <v>44676</v>
      </c>
      <c r="I303" s="11" t="n">
        <v>44678</v>
      </c>
      <c r="J303" s="11" t="n">
        <v>44678</v>
      </c>
      <c r="K303" s="11" t="n">
        <v>44678</v>
      </c>
      <c r="L303" s="7" t="inlineStr">
        <is>
          <t>roll following on the LME panel calendar</t>
        </is>
      </c>
      <c r="N303" s="7" t="inlineStr">
        <is>
          <t>PROXY</t>
        </is>
      </c>
      <c r="O303" s="9" t="n">
        <v>-76814.39</v>
      </c>
      <c r="P303" s="9" t="n">
        <v>-76814.39</v>
      </c>
      <c r="U303" s="7" t="inlineStr">
        <is>
          <t>DERIVED_IN_WORKBOOK</t>
        </is>
      </c>
      <c r="V303" s="8">
        <f>SUMIFS(Cashflows!$R$1043:$R$1393,Cashflows!$B$1043:$B$1393,$C303,Cashflows!$C$1043:$C$1393,$K303)</f>
        <v/>
      </c>
      <c r="W303" s="8">
        <f>IF($G303="INR",1,INDEX(Market_Daily!$F$6:$F$256,MATCH($K303,Market_Daily!$A$6:$A$256,0)))</f>
        <v/>
      </c>
      <c r="X303" s="8">
        <f>$V303*$W303</f>
        <v/>
      </c>
      <c r="Y303" s="18">
        <f>$X303-$P303</f>
        <v/>
      </c>
      <c r="Z303" s="8">
        <f>IF(ABS($Y303)&lt;=tol_cashflow_inr,"PASS","FAIL")</f>
        <v/>
      </c>
      <c r="AA303" s="7" t="inlineStr">
        <is>
          <t>direction x lots x lot_kg x (F(s) - F(s-1))</t>
        </is>
      </c>
    </row>
    <row r="304">
      <c r="A304" s="7" t="inlineStr">
        <is>
          <t>T02</t>
        </is>
      </c>
      <c r="B304" s="7" t="inlineStr">
        <is>
          <t>MCX:T02-MCX-4</t>
        </is>
      </c>
      <c r="C304" s="7" t="inlineStr">
        <is>
          <t>T02-MCX-4</t>
        </is>
      </c>
      <c r="D304" s="7" t="inlineStr">
        <is>
          <t>MCX_INITIAL_MARGIN</t>
        </is>
      </c>
      <c r="E304" s="7" t="inlineStr">
        <is>
          <t>MCX_INITIAL_MARGIN</t>
        </is>
      </c>
      <c r="F304" s="7" t="inlineStr">
        <is>
          <t>BS</t>
        </is>
      </c>
      <c r="G304" s="7" t="inlineStr">
        <is>
          <t>INR</t>
        </is>
      </c>
      <c r="H304" s="11" t="n">
        <v>44676</v>
      </c>
      <c r="I304" s="11" t="n">
        <v>44679</v>
      </c>
      <c r="J304" s="11" t="n">
        <v>44679</v>
      </c>
      <c r="K304" s="11" t="n">
        <v>44679</v>
      </c>
      <c r="L304" s="7" t="inlineStr">
        <is>
          <t>roll following on the LME panel calendar</t>
        </is>
      </c>
      <c r="N304" s="7" t="inlineStr">
        <is>
          <t>PROXY</t>
        </is>
      </c>
      <c r="O304" s="9" t="n">
        <v>199290.4</v>
      </c>
      <c r="P304" s="9" t="n">
        <v>199290.4</v>
      </c>
      <c r="U304" s="7" t="inlineStr">
        <is>
          <t>DERIVED_IN_WORKBOOK</t>
        </is>
      </c>
      <c r="V304" s="8">
        <f>-SUMIFS(Cashflows!$W$1043:$W$1393,Cashflows!$B$1043:$B$1393,$C304,Cashflows!$C$1043:$C$1393,$K304)</f>
        <v/>
      </c>
      <c r="W304" s="8">
        <f>IF($G304="INR",1,INDEX(Market_Daily!$F$6:$F$256,MATCH($K304,Market_Daily!$A$6:$A$256,0)))</f>
        <v/>
      </c>
      <c r="X304" s="8">
        <f>$V304*$W304</f>
        <v/>
      </c>
      <c r="Y304" s="18">
        <f>$X304-$P304</f>
        <v/>
      </c>
      <c r="Z304" s="8">
        <f>IF(ABS($Y304)&lt;=tol_cashflow_inr,"PASS","FAIL")</f>
        <v/>
      </c>
      <c r="AA304" s="7" t="inlineStr">
        <is>
          <t>-d(lots x lot_kg x F(s) x mcx_al_margin_used_frac)</t>
        </is>
      </c>
    </row>
    <row r="305">
      <c r="A305" s="7" t="inlineStr">
        <is>
          <t>T02</t>
        </is>
      </c>
      <c r="B305" s="7" t="inlineStr">
        <is>
          <t>MCX:T02-MCX-4</t>
        </is>
      </c>
      <c r="C305" s="7" t="inlineStr">
        <is>
          <t>T02-MCX-4</t>
        </is>
      </c>
      <c r="D305" s="7" t="inlineStr">
        <is>
          <t>MCX_VARIATION_MARGIN</t>
        </is>
      </c>
      <c r="E305" s="7" t="inlineStr">
        <is>
          <t>MCX_VARIATION_MARGIN</t>
        </is>
      </c>
      <c r="F305" s="7" t="inlineStr">
        <is>
          <t>PNL</t>
        </is>
      </c>
      <c r="G305" s="7" t="inlineStr">
        <is>
          <t>INR</t>
        </is>
      </c>
      <c r="H305" s="11" t="n">
        <v>44676</v>
      </c>
      <c r="I305" s="11" t="n">
        <v>44679</v>
      </c>
      <c r="J305" s="11" t="n">
        <v>44679</v>
      </c>
      <c r="K305" s="11" t="n">
        <v>44679</v>
      </c>
      <c r="L305" s="7" t="inlineStr">
        <is>
          <t>roll following on the LME panel calendar</t>
        </is>
      </c>
      <c r="N305" s="7" t="inlineStr">
        <is>
          <t>PROXY</t>
        </is>
      </c>
      <c r="O305" s="9" t="n">
        <v>-1992903.98</v>
      </c>
      <c r="P305" s="9" t="n">
        <v>-1992903.98</v>
      </c>
      <c r="U305" s="7" t="inlineStr">
        <is>
          <t>DERIVED_IN_WORKBOOK</t>
        </is>
      </c>
      <c r="V305" s="8">
        <f>SUMIFS(Cashflows!$R$1043:$R$1393,Cashflows!$B$1043:$B$1393,$C305,Cashflows!$C$1043:$C$1393,$K305)</f>
        <v/>
      </c>
      <c r="W305" s="8">
        <f>IF($G305="INR",1,INDEX(Market_Daily!$F$6:$F$256,MATCH($K305,Market_Daily!$A$6:$A$256,0)))</f>
        <v/>
      </c>
      <c r="X305" s="8">
        <f>$V305*$W305</f>
        <v/>
      </c>
      <c r="Y305" s="18">
        <f>$X305-$P305</f>
        <v/>
      </c>
      <c r="Z305" s="8">
        <f>IF(ABS($Y305)&lt;=tol_cashflow_inr,"PASS","FAIL")</f>
        <v/>
      </c>
      <c r="AA305" s="7" t="inlineStr">
        <is>
          <t>direction x lots x lot_kg x (F(s) - F(s-1))</t>
        </is>
      </c>
    </row>
    <row r="306">
      <c r="A306" s="7" t="inlineStr">
        <is>
          <t>T02</t>
        </is>
      </c>
      <c r="B306" s="7" t="inlineStr">
        <is>
          <t>PORT:L2</t>
        </is>
      </c>
      <c r="C306" s="7" t="inlineStr">
        <is>
          <t>L2</t>
        </is>
      </c>
      <c r="D306" s="7" t="inlineStr">
        <is>
          <t>PORT_CHARGES</t>
        </is>
      </c>
      <c r="E306" s="7" t="inlineStr">
        <is>
          <t>PORT_CHARGES</t>
        </is>
      </c>
      <c r="F306" s="7" t="inlineStr">
        <is>
          <t>PNL</t>
        </is>
      </c>
      <c r="G306" s="7" t="inlineStr">
        <is>
          <t>INR</t>
        </is>
      </c>
      <c r="H306" s="11" t="n">
        <v>44631</v>
      </c>
      <c r="J306" s="11" t="n">
        <v>44679</v>
      </c>
      <c r="K306" s="11" t="n">
        <v>44679</v>
      </c>
      <c r="L306" s="7" t="inlineStr">
        <is>
          <t>roll following on the LME panel calendar</t>
        </is>
      </c>
      <c r="N306" s="7" t="inlineStr">
        <is>
          <t>ASSUMPTION</t>
        </is>
      </c>
      <c r="O306" s="9" t="n">
        <v>-960000</v>
      </c>
      <c r="P306" s="9" t="n">
        <v>-960000</v>
      </c>
      <c r="U306" s="7" t="inlineStr">
        <is>
          <t>PYTHON_LIFECYCLE</t>
        </is>
      </c>
      <c r="V306" s="8">
        <f>$O306</f>
        <v/>
      </c>
      <c r="W306" s="8">
        <f>IF($G306="INR",1,INDEX(Market_Daily!$F$6:$F$256,MATCH($K306,Market_Daily!$A$6:$A$256,0)))</f>
        <v/>
      </c>
      <c r="X306" s="8">
        <f>$V306*$W306</f>
        <v/>
      </c>
      <c r="Y306" s="18">
        <f>$X306-$P306</f>
        <v/>
      </c>
      <c r="Z306" s="8">
        <f>IF(ABS($Y306)&lt;=tol_cashflow_inr,"PASS","FAIL")</f>
        <v/>
      </c>
      <c r="AA306" s="7" t="inlineStr">
        <is>
          <t>-port_cf_charges_inr_t x base_payload x cleared boxes</t>
        </is>
      </c>
    </row>
    <row r="307">
      <c r="A307" s="7" t="inlineStr">
        <is>
          <t>T02</t>
        </is>
      </c>
      <c r="B307" s="7" t="inlineStr">
        <is>
          <t>MCX:T02-MCX-4</t>
        </is>
      </c>
      <c r="C307" s="7" t="inlineStr">
        <is>
          <t>T02-MCX-4</t>
        </is>
      </c>
      <c r="D307" s="7" t="inlineStr">
        <is>
          <t>MCX_INITIAL_MARGIN</t>
        </is>
      </c>
      <c r="E307" s="7" t="inlineStr">
        <is>
          <t>MCX_INITIAL_MARGIN</t>
        </is>
      </c>
      <c r="F307" s="7" t="inlineStr">
        <is>
          <t>BS</t>
        </is>
      </c>
      <c r="G307" s="7" t="inlineStr">
        <is>
          <t>INR</t>
        </is>
      </c>
      <c r="H307" s="11" t="n">
        <v>44676</v>
      </c>
      <c r="I307" s="11" t="n">
        <v>44680</v>
      </c>
      <c r="J307" s="11" t="n">
        <v>44680</v>
      </c>
      <c r="K307" s="11" t="n">
        <v>44680</v>
      </c>
      <c r="L307" s="7" t="inlineStr">
        <is>
          <t>roll following on the LME panel calendar</t>
        </is>
      </c>
      <c r="N307" s="7" t="inlineStr">
        <is>
          <t>PROXY</t>
        </is>
      </c>
      <c r="O307" s="9" t="n">
        <v>196143.51</v>
      </c>
      <c r="P307" s="9" t="n">
        <v>196143.51</v>
      </c>
      <c r="U307" s="7" t="inlineStr">
        <is>
          <t>DERIVED_IN_WORKBOOK</t>
        </is>
      </c>
      <c r="V307" s="8">
        <f>-SUMIFS(Cashflows!$W$1043:$W$1393,Cashflows!$B$1043:$B$1393,$C307,Cashflows!$C$1043:$C$1393,$K307)</f>
        <v/>
      </c>
      <c r="W307" s="8">
        <f>IF($G307="INR",1,INDEX(Market_Daily!$F$6:$F$256,MATCH($K307,Market_Daily!$A$6:$A$256,0)))</f>
        <v/>
      </c>
      <c r="X307" s="8">
        <f>$V307*$W307</f>
        <v/>
      </c>
      <c r="Y307" s="18">
        <f>$X307-$P307</f>
        <v/>
      </c>
      <c r="Z307" s="8">
        <f>IF(ABS($Y307)&lt;=tol_cashflow_inr,"PASS","FAIL")</f>
        <v/>
      </c>
      <c r="AA307" s="7" t="inlineStr">
        <is>
          <t>-d(lots x lot_kg x F(s) x mcx_al_margin_used_frac)</t>
        </is>
      </c>
    </row>
    <row r="308">
      <c r="A308" s="7" t="inlineStr">
        <is>
          <t>T02</t>
        </is>
      </c>
      <c r="B308" s="7" t="inlineStr">
        <is>
          <t>MCX:T02-MCX-4</t>
        </is>
      </c>
      <c r="C308" s="7" t="inlineStr">
        <is>
          <t>T02-MCX-4</t>
        </is>
      </c>
      <c r="D308" s="7" t="inlineStr">
        <is>
          <t>MCX_VARIATION_MARGIN</t>
        </is>
      </c>
      <c r="E308" s="7" t="inlineStr">
        <is>
          <t>MCX_VARIATION_MARGIN</t>
        </is>
      </c>
      <c r="F308" s="7" t="inlineStr">
        <is>
          <t>PNL</t>
        </is>
      </c>
      <c r="G308" s="7" t="inlineStr">
        <is>
          <t>INR</t>
        </is>
      </c>
      <c r="H308" s="11" t="n">
        <v>44676</v>
      </c>
      <c r="I308" s="11" t="n">
        <v>44680</v>
      </c>
      <c r="J308" s="11" t="n">
        <v>44680</v>
      </c>
      <c r="K308" s="11" t="n">
        <v>44680</v>
      </c>
      <c r="L308" s="7" t="inlineStr">
        <is>
          <t>roll following on the LME panel calendar</t>
        </is>
      </c>
      <c r="N308" s="7" t="inlineStr">
        <is>
          <t>PROXY</t>
        </is>
      </c>
      <c r="O308" s="9" t="n">
        <v>-1961435.06</v>
      </c>
      <c r="P308" s="9" t="n">
        <v>-1961435.06</v>
      </c>
      <c r="U308" s="7" t="inlineStr">
        <is>
          <t>DERIVED_IN_WORKBOOK</t>
        </is>
      </c>
      <c r="V308" s="8">
        <f>SUMIFS(Cashflows!$R$1043:$R$1393,Cashflows!$B$1043:$B$1393,$C308,Cashflows!$C$1043:$C$1393,$K308)</f>
        <v/>
      </c>
      <c r="W308" s="8">
        <f>IF($G308="INR",1,INDEX(Market_Daily!$F$6:$F$256,MATCH($K308,Market_Daily!$A$6:$A$256,0)))</f>
        <v/>
      </c>
      <c r="X308" s="8">
        <f>$V308*$W308</f>
        <v/>
      </c>
      <c r="Y308" s="18">
        <f>$X308-$P308</f>
        <v/>
      </c>
      <c r="Z308" s="8">
        <f>IF(ABS($Y308)&lt;=tol_cashflow_inr,"PASS","FAIL")</f>
        <v/>
      </c>
      <c r="AA308" s="7" t="inlineStr">
        <is>
          <t>direction x lots x lot_kg x (F(s) - F(s-1))</t>
        </is>
      </c>
    </row>
    <row r="309">
      <c r="A309" s="7" t="inlineStr">
        <is>
          <t>T02</t>
        </is>
      </c>
      <c r="B309" s="7" t="inlineStr">
        <is>
          <t>MCX:T02-MCX-4</t>
        </is>
      </c>
      <c r="C309" s="7" t="inlineStr">
        <is>
          <t>T02-MCX-4</t>
        </is>
      </c>
      <c r="D309" s="7" t="inlineStr">
        <is>
          <t>MCX_INITIAL_MARGIN</t>
        </is>
      </c>
      <c r="E309" s="7" t="inlineStr">
        <is>
          <t>MCX_INITIAL_MARGIN</t>
        </is>
      </c>
      <c r="F309" s="7" t="inlineStr">
        <is>
          <t>BS</t>
        </is>
      </c>
      <c r="G309" s="7" t="inlineStr">
        <is>
          <t>INR</t>
        </is>
      </c>
      <c r="H309" s="11" t="n">
        <v>44676</v>
      </c>
      <c r="I309" s="11" t="n">
        <v>44684</v>
      </c>
      <c r="J309" s="11" t="n">
        <v>44684</v>
      </c>
      <c r="K309" s="11" t="n">
        <v>44684</v>
      </c>
      <c r="L309" s="7" t="inlineStr">
        <is>
          <t>roll following on the LME panel calendar</t>
        </is>
      </c>
      <c r="N309" s="7" t="inlineStr">
        <is>
          <t>PROXY</t>
        </is>
      </c>
      <c r="O309" s="9" t="n">
        <v>752503.79</v>
      </c>
      <c r="P309" s="9" t="n">
        <v>752503.79</v>
      </c>
      <c r="U309" s="7" t="inlineStr">
        <is>
          <t>DERIVED_IN_WORKBOOK</t>
        </is>
      </c>
      <c r="V309" s="8">
        <f>-SUMIFS(Cashflows!$W$1043:$W$1393,Cashflows!$B$1043:$B$1393,$C309,Cashflows!$C$1043:$C$1393,$K309)</f>
        <v/>
      </c>
      <c r="W309" s="8">
        <f>IF($G309="INR",1,INDEX(Market_Daily!$F$6:$F$256,MATCH($K309,Market_Daily!$A$6:$A$256,0)))</f>
        <v/>
      </c>
      <c r="X309" s="8">
        <f>$V309*$W309</f>
        <v/>
      </c>
      <c r="Y309" s="18">
        <f>$X309-$P309</f>
        <v/>
      </c>
      <c r="Z309" s="8">
        <f>IF(ABS($Y309)&lt;=tol_cashflow_inr,"PASS","FAIL")</f>
        <v/>
      </c>
      <c r="AA309" s="7" t="inlineStr">
        <is>
          <t>-d(lots x lot_kg x F(s) x mcx_al_margin_used_frac)</t>
        </is>
      </c>
    </row>
    <row r="310">
      <c r="A310" s="7" t="inlineStr">
        <is>
          <t>T02</t>
        </is>
      </c>
      <c r="B310" s="7" t="inlineStr">
        <is>
          <t>MCX:T02-MCX-4</t>
        </is>
      </c>
      <c r="C310" s="7" t="inlineStr">
        <is>
          <t>T02-MCX-4</t>
        </is>
      </c>
      <c r="D310" s="7" t="inlineStr">
        <is>
          <t>MCX_VARIATION_MARGIN</t>
        </is>
      </c>
      <c r="E310" s="7" t="inlineStr">
        <is>
          <t>MCX_VARIATION_MARGIN</t>
        </is>
      </c>
      <c r="F310" s="7" t="inlineStr">
        <is>
          <t>PNL</t>
        </is>
      </c>
      <c r="G310" s="7" t="inlineStr">
        <is>
          <t>INR</t>
        </is>
      </c>
      <c r="H310" s="11" t="n">
        <v>44676</v>
      </c>
      <c r="I310" s="11" t="n">
        <v>44684</v>
      </c>
      <c r="J310" s="11" t="n">
        <v>44684</v>
      </c>
      <c r="K310" s="11" t="n">
        <v>44684</v>
      </c>
      <c r="L310" s="7" t="inlineStr">
        <is>
          <t>roll following on the LME panel calendar</t>
        </is>
      </c>
      <c r="N310" s="7" t="inlineStr">
        <is>
          <t>PROXY</t>
        </is>
      </c>
      <c r="O310" s="9" t="n">
        <v>-7525037.86</v>
      </c>
      <c r="P310" s="9" t="n">
        <v>-7525037.86</v>
      </c>
      <c r="U310" s="7" t="inlineStr">
        <is>
          <t>DERIVED_IN_WORKBOOK</t>
        </is>
      </c>
      <c r="V310" s="8">
        <f>SUMIFS(Cashflows!$R$1043:$R$1393,Cashflows!$B$1043:$B$1393,$C310,Cashflows!$C$1043:$C$1393,$K310)</f>
        <v/>
      </c>
      <c r="W310" s="8">
        <f>IF($G310="INR",1,INDEX(Market_Daily!$F$6:$F$256,MATCH($K310,Market_Daily!$A$6:$A$256,0)))</f>
        <v/>
      </c>
      <c r="X310" s="8">
        <f>$V310*$W310</f>
        <v/>
      </c>
      <c r="Y310" s="18">
        <f>$X310-$P310</f>
        <v/>
      </c>
      <c r="Z310" s="8">
        <f>IF(ABS($Y310)&lt;=tol_cashflow_inr,"PASS","FAIL")</f>
        <v/>
      </c>
      <c r="AA310" s="7" t="inlineStr">
        <is>
          <t>direction x lots x lot_kg x (F(s) - F(s-1))</t>
        </is>
      </c>
    </row>
    <row r="311">
      <c r="A311" s="7" t="inlineStr">
        <is>
          <t>T02</t>
        </is>
      </c>
      <c r="B311" s="7" t="inlineStr">
        <is>
          <t>MCX:T02-MCX-4</t>
        </is>
      </c>
      <c r="C311" s="7" t="inlineStr">
        <is>
          <t>T02-MCX-4</t>
        </is>
      </c>
      <c r="D311" s="7" t="inlineStr">
        <is>
          <t>MCX_INITIAL_MARGIN</t>
        </is>
      </c>
      <c r="E311" s="7" t="inlineStr">
        <is>
          <t>MCX_INITIAL_MARGIN</t>
        </is>
      </c>
      <c r="F311" s="7" t="inlineStr">
        <is>
          <t>BS</t>
        </is>
      </c>
      <c r="G311" s="7" t="inlineStr">
        <is>
          <t>INR</t>
        </is>
      </c>
      <c r="H311" s="11" t="n">
        <v>44676</v>
      </c>
      <c r="I311" s="11" t="n">
        <v>44685</v>
      </c>
      <c r="J311" s="11" t="n">
        <v>44685</v>
      </c>
      <c r="K311" s="11" t="n">
        <v>44685</v>
      </c>
      <c r="L311" s="7" t="inlineStr">
        <is>
          <t>roll following on the LME panel calendar</t>
        </is>
      </c>
      <c r="N311" s="7" t="inlineStr">
        <is>
          <t>PROXY</t>
        </is>
      </c>
      <c r="O311" s="9" t="n">
        <v>-54533.49</v>
      </c>
      <c r="P311" s="9" t="n">
        <v>-54533.49</v>
      </c>
      <c r="U311" s="7" t="inlineStr">
        <is>
          <t>DERIVED_IN_WORKBOOK</t>
        </is>
      </c>
      <c r="V311" s="8">
        <f>-SUMIFS(Cashflows!$W$1043:$W$1393,Cashflows!$B$1043:$B$1393,$C311,Cashflows!$C$1043:$C$1393,$K311)</f>
        <v/>
      </c>
      <c r="W311" s="8">
        <f>IF($G311="INR",1,INDEX(Market_Daily!$F$6:$F$256,MATCH($K311,Market_Daily!$A$6:$A$256,0)))</f>
        <v/>
      </c>
      <c r="X311" s="8">
        <f>$V311*$W311</f>
        <v/>
      </c>
      <c r="Y311" s="18">
        <f>$X311-$P311</f>
        <v/>
      </c>
      <c r="Z311" s="8">
        <f>IF(ABS($Y311)&lt;=tol_cashflow_inr,"PASS","FAIL")</f>
        <v/>
      </c>
      <c r="AA311" s="7" t="inlineStr">
        <is>
          <t>-d(lots x lot_kg x F(s) x mcx_al_margin_used_frac)</t>
        </is>
      </c>
    </row>
    <row r="312">
      <c r="A312" s="7" t="inlineStr">
        <is>
          <t>T02</t>
        </is>
      </c>
      <c r="B312" s="7" t="inlineStr">
        <is>
          <t>MCX:T02-MCX-4</t>
        </is>
      </c>
      <c r="C312" s="7" t="inlineStr">
        <is>
          <t>T02-MCX-4</t>
        </is>
      </c>
      <c r="D312" s="7" t="inlineStr">
        <is>
          <t>MCX_VARIATION_MARGIN</t>
        </is>
      </c>
      <c r="E312" s="7" t="inlineStr">
        <is>
          <t>MCX_VARIATION_MARGIN</t>
        </is>
      </c>
      <c r="F312" s="7" t="inlineStr">
        <is>
          <t>PNL</t>
        </is>
      </c>
      <c r="G312" s="7" t="inlineStr">
        <is>
          <t>INR</t>
        </is>
      </c>
      <c r="H312" s="11" t="n">
        <v>44676</v>
      </c>
      <c r="I312" s="11" t="n">
        <v>44685</v>
      </c>
      <c r="J312" s="11" t="n">
        <v>44685</v>
      </c>
      <c r="K312" s="11" t="n">
        <v>44685</v>
      </c>
      <c r="L312" s="7" t="inlineStr">
        <is>
          <t>roll following on the LME panel calendar</t>
        </is>
      </c>
      <c r="N312" s="7" t="inlineStr">
        <is>
          <t>PROXY</t>
        </is>
      </c>
      <c r="O312" s="9" t="n">
        <v>545334.9300000001</v>
      </c>
      <c r="P312" s="9" t="n">
        <v>545334.9300000001</v>
      </c>
      <c r="U312" s="7" t="inlineStr">
        <is>
          <t>DERIVED_IN_WORKBOOK</t>
        </is>
      </c>
      <c r="V312" s="8">
        <f>SUMIFS(Cashflows!$R$1043:$R$1393,Cashflows!$B$1043:$B$1393,$C312,Cashflows!$C$1043:$C$1393,$K312)</f>
        <v/>
      </c>
      <c r="W312" s="8">
        <f>IF($G312="INR",1,INDEX(Market_Daily!$F$6:$F$256,MATCH($K312,Market_Daily!$A$6:$A$256,0)))</f>
        <v/>
      </c>
      <c r="X312" s="8">
        <f>$V312*$W312</f>
        <v/>
      </c>
      <c r="Y312" s="18">
        <f>$X312-$P312</f>
        <v/>
      </c>
      <c r="Z312" s="8">
        <f>IF(ABS($Y312)&lt;=tol_cashflow_inr,"PASS","FAIL")</f>
        <v/>
      </c>
      <c r="AA312" s="7" t="inlineStr">
        <is>
          <t>direction x lots x lot_kg x (F(s) - F(s-1))</t>
        </is>
      </c>
    </row>
    <row r="313">
      <c r="A313" s="7" t="inlineStr">
        <is>
          <t>T02</t>
        </is>
      </c>
      <c r="B313" s="7" t="inlineStr">
        <is>
          <t>MCX:T02-MCX-4</t>
        </is>
      </c>
      <c r="C313" s="7" t="inlineStr">
        <is>
          <t>T02-MCX-4</t>
        </is>
      </c>
      <c r="D313" s="7" t="inlineStr">
        <is>
          <t>MCX_INITIAL_MARGIN</t>
        </is>
      </c>
      <c r="E313" s="7" t="inlineStr">
        <is>
          <t>MCX_INITIAL_MARGIN</t>
        </is>
      </c>
      <c r="F313" s="7" t="inlineStr">
        <is>
          <t>BS</t>
        </is>
      </c>
      <c r="G313" s="7" t="inlineStr">
        <is>
          <t>INR</t>
        </is>
      </c>
      <c r="H313" s="11" t="n">
        <v>44676</v>
      </c>
      <c r="I313" s="11" t="n">
        <v>44686</v>
      </c>
      <c r="J313" s="11" t="n">
        <v>44686</v>
      </c>
      <c r="K313" s="11" t="n">
        <v>44686</v>
      </c>
      <c r="L313" s="7" t="inlineStr">
        <is>
          <t>roll following on the LME panel calendar</t>
        </is>
      </c>
      <c r="N313" s="7" t="inlineStr">
        <is>
          <t>PROXY</t>
        </is>
      </c>
      <c r="O313" s="9" t="n">
        <v>89077.75</v>
      </c>
      <c r="P313" s="9" t="n">
        <v>89077.75</v>
      </c>
      <c r="U313" s="7" t="inlineStr">
        <is>
          <t>DERIVED_IN_WORKBOOK</t>
        </is>
      </c>
      <c r="V313" s="8">
        <f>-SUMIFS(Cashflows!$W$1043:$W$1393,Cashflows!$B$1043:$B$1393,$C313,Cashflows!$C$1043:$C$1393,$K313)</f>
        <v/>
      </c>
      <c r="W313" s="8">
        <f>IF($G313="INR",1,INDEX(Market_Daily!$F$6:$F$256,MATCH($K313,Market_Daily!$A$6:$A$256,0)))</f>
        <v/>
      </c>
      <c r="X313" s="8">
        <f>$V313*$W313</f>
        <v/>
      </c>
      <c r="Y313" s="18">
        <f>$X313-$P313</f>
        <v/>
      </c>
      <c r="Z313" s="8">
        <f>IF(ABS($Y313)&lt;=tol_cashflow_inr,"PASS","FAIL")</f>
        <v/>
      </c>
      <c r="AA313" s="7" t="inlineStr">
        <is>
          <t>-d(lots x lot_kg x F(s) x mcx_al_margin_used_frac)</t>
        </is>
      </c>
    </row>
    <row r="314">
      <c r="A314" s="7" t="inlineStr">
        <is>
          <t>T02</t>
        </is>
      </c>
      <c r="B314" s="7" t="inlineStr">
        <is>
          <t>MCX:T02-MCX-4</t>
        </is>
      </c>
      <c r="C314" s="7" t="inlineStr">
        <is>
          <t>T02-MCX-4</t>
        </is>
      </c>
      <c r="D314" s="7" t="inlineStr">
        <is>
          <t>MCX_VARIATION_MARGIN</t>
        </is>
      </c>
      <c r="E314" s="7" t="inlineStr">
        <is>
          <t>MCX_VARIATION_MARGIN</t>
        </is>
      </c>
      <c r="F314" s="7" t="inlineStr">
        <is>
          <t>PNL</t>
        </is>
      </c>
      <c r="G314" s="7" t="inlineStr">
        <is>
          <t>INR</t>
        </is>
      </c>
      <c r="H314" s="11" t="n">
        <v>44676</v>
      </c>
      <c r="I314" s="11" t="n">
        <v>44686</v>
      </c>
      <c r="J314" s="11" t="n">
        <v>44686</v>
      </c>
      <c r="K314" s="11" t="n">
        <v>44686</v>
      </c>
      <c r="L314" s="7" t="inlineStr">
        <is>
          <t>roll following on the LME panel calendar</t>
        </is>
      </c>
      <c r="N314" s="7" t="inlineStr">
        <is>
          <t>PROXY</t>
        </is>
      </c>
      <c r="O314" s="9" t="n">
        <v>-890777.51</v>
      </c>
      <c r="P314" s="9" t="n">
        <v>-890777.51</v>
      </c>
      <c r="U314" s="7" t="inlineStr">
        <is>
          <t>DERIVED_IN_WORKBOOK</t>
        </is>
      </c>
      <c r="V314" s="8">
        <f>SUMIFS(Cashflows!$R$1043:$R$1393,Cashflows!$B$1043:$B$1393,$C314,Cashflows!$C$1043:$C$1393,$K314)</f>
        <v/>
      </c>
      <c r="W314" s="8">
        <f>IF($G314="INR",1,INDEX(Market_Daily!$F$6:$F$256,MATCH($K314,Market_Daily!$A$6:$A$256,0)))</f>
        <v/>
      </c>
      <c r="X314" s="8">
        <f>$V314*$W314</f>
        <v/>
      </c>
      <c r="Y314" s="18">
        <f>$X314-$P314</f>
        <v/>
      </c>
      <c r="Z314" s="8">
        <f>IF(ABS($Y314)&lt;=tol_cashflow_inr,"PASS","FAIL")</f>
        <v/>
      </c>
      <c r="AA314" s="7" t="inlineStr">
        <is>
          <t>direction x lots x lot_kg x (F(s) - F(s-1))</t>
        </is>
      </c>
    </row>
    <row r="315">
      <c r="A315" s="7" t="inlineStr">
        <is>
          <t>T02</t>
        </is>
      </c>
      <c r="B315" s="7" t="inlineStr">
        <is>
          <t>MCX:T02-MCX-4</t>
        </is>
      </c>
      <c r="C315" s="7" t="inlineStr">
        <is>
          <t>T02-MCX-4</t>
        </is>
      </c>
      <c r="D315" s="7" t="inlineStr">
        <is>
          <t>MCX_INITIAL_MARGIN</t>
        </is>
      </c>
      <c r="E315" s="7" t="inlineStr">
        <is>
          <t>MCX_INITIAL_MARGIN</t>
        </is>
      </c>
      <c r="F315" s="7" t="inlineStr">
        <is>
          <t>BS</t>
        </is>
      </c>
      <c r="G315" s="7" t="inlineStr">
        <is>
          <t>INR</t>
        </is>
      </c>
      <c r="H315" s="11" t="n">
        <v>44676</v>
      </c>
      <c r="I315" s="11" t="n">
        <v>44687</v>
      </c>
      <c r="J315" s="11" t="n">
        <v>44687</v>
      </c>
      <c r="K315" s="11" t="n">
        <v>44687</v>
      </c>
      <c r="L315" s="7" t="inlineStr">
        <is>
          <t>roll following on the LME panel calendar</t>
        </is>
      </c>
      <c r="N315" s="7" t="inlineStr">
        <is>
          <t>PROXY</t>
        </is>
      </c>
      <c r="O315" s="9" t="n">
        <v>369660.47</v>
      </c>
      <c r="P315" s="9" t="n">
        <v>369660.47</v>
      </c>
      <c r="U315" s="7" t="inlineStr">
        <is>
          <t>DERIVED_IN_WORKBOOK</t>
        </is>
      </c>
      <c r="V315" s="8">
        <f>-SUMIFS(Cashflows!$W$1043:$W$1393,Cashflows!$B$1043:$B$1393,$C315,Cashflows!$C$1043:$C$1393,$K315)</f>
        <v/>
      </c>
      <c r="W315" s="8">
        <f>IF($G315="INR",1,INDEX(Market_Daily!$F$6:$F$256,MATCH($K315,Market_Daily!$A$6:$A$256,0)))</f>
        <v/>
      </c>
      <c r="X315" s="8">
        <f>$V315*$W315</f>
        <v/>
      </c>
      <c r="Y315" s="18">
        <f>$X315-$P315</f>
        <v/>
      </c>
      <c r="Z315" s="8">
        <f>IF(ABS($Y315)&lt;=tol_cashflow_inr,"PASS","FAIL")</f>
        <v/>
      </c>
      <c r="AA315" s="7" t="inlineStr">
        <is>
          <t>-d(lots x lot_kg x F(s) x mcx_al_margin_used_frac)</t>
        </is>
      </c>
    </row>
    <row r="316">
      <c r="A316" s="7" t="inlineStr">
        <is>
          <t>T02</t>
        </is>
      </c>
      <c r="B316" s="7" t="inlineStr">
        <is>
          <t>MCX:T02-MCX-4</t>
        </is>
      </c>
      <c r="C316" s="7" t="inlineStr">
        <is>
          <t>T02-MCX-4</t>
        </is>
      </c>
      <c r="D316" s="7" t="inlineStr">
        <is>
          <t>MCX_VARIATION_MARGIN</t>
        </is>
      </c>
      <c r="E316" s="7" t="inlineStr">
        <is>
          <t>MCX_VARIATION_MARGIN</t>
        </is>
      </c>
      <c r="F316" s="7" t="inlineStr">
        <is>
          <t>PNL</t>
        </is>
      </c>
      <c r="G316" s="7" t="inlineStr">
        <is>
          <t>INR</t>
        </is>
      </c>
      <c r="H316" s="11" t="n">
        <v>44676</v>
      </c>
      <c r="I316" s="11" t="n">
        <v>44687</v>
      </c>
      <c r="J316" s="11" t="n">
        <v>44687</v>
      </c>
      <c r="K316" s="11" t="n">
        <v>44687</v>
      </c>
      <c r="L316" s="7" t="inlineStr">
        <is>
          <t>roll following on the LME panel calendar</t>
        </is>
      </c>
      <c r="N316" s="7" t="inlineStr">
        <is>
          <t>PROXY</t>
        </is>
      </c>
      <c r="O316" s="9" t="n">
        <v>-3696604.72</v>
      </c>
      <c r="P316" s="9" t="n">
        <v>-3696604.72</v>
      </c>
      <c r="U316" s="7" t="inlineStr">
        <is>
          <t>DERIVED_IN_WORKBOOK</t>
        </is>
      </c>
      <c r="V316" s="8">
        <f>SUMIFS(Cashflows!$R$1043:$R$1393,Cashflows!$B$1043:$B$1393,$C316,Cashflows!$C$1043:$C$1393,$K316)</f>
        <v/>
      </c>
      <c r="W316" s="8">
        <f>IF($G316="INR",1,INDEX(Market_Daily!$F$6:$F$256,MATCH($K316,Market_Daily!$A$6:$A$256,0)))</f>
        <v/>
      </c>
      <c r="X316" s="8">
        <f>$V316*$W316</f>
        <v/>
      </c>
      <c r="Y316" s="18">
        <f>$X316-$P316</f>
        <v/>
      </c>
      <c r="Z316" s="8">
        <f>IF(ABS($Y316)&lt;=tol_cashflow_inr,"PASS","FAIL")</f>
        <v/>
      </c>
      <c r="AA316" s="7" t="inlineStr">
        <is>
          <t>direction x lots x lot_kg x (F(s) - F(s-1))</t>
        </is>
      </c>
    </row>
    <row r="317">
      <c r="A317" s="7" t="inlineStr">
        <is>
          <t>T02</t>
        </is>
      </c>
      <c r="B317" s="7" t="inlineStr">
        <is>
          <t>MCX:T02-MCX-4</t>
        </is>
      </c>
      <c r="C317" s="7" t="inlineStr">
        <is>
          <t>T02-MCX-4</t>
        </is>
      </c>
      <c r="D317" s="7" t="inlineStr">
        <is>
          <t>MCX_INITIAL_MARGIN</t>
        </is>
      </c>
      <c r="E317" s="7" t="inlineStr">
        <is>
          <t>MCX_INITIAL_MARGIN</t>
        </is>
      </c>
      <c r="F317" s="7" t="inlineStr">
        <is>
          <t>BS</t>
        </is>
      </c>
      <c r="G317" s="7" t="inlineStr">
        <is>
          <t>INR</t>
        </is>
      </c>
      <c r="H317" s="11" t="n">
        <v>44676</v>
      </c>
      <c r="I317" s="11" t="n">
        <v>44690</v>
      </c>
      <c r="J317" s="11" t="n">
        <v>44690</v>
      </c>
      <c r="K317" s="11" t="n">
        <v>44690</v>
      </c>
      <c r="L317" s="7" t="inlineStr">
        <is>
          <t>roll following on the LME panel calendar</t>
        </is>
      </c>
      <c r="N317" s="7" t="inlineStr">
        <is>
          <t>PROXY</t>
        </is>
      </c>
      <c r="O317" s="9" t="n">
        <v>653707.37</v>
      </c>
      <c r="P317" s="9" t="n">
        <v>653707.37</v>
      </c>
      <c r="U317" s="7" t="inlineStr">
        <is>
          <t>DERIVED_IN_WORKBOOK</t>
        </is>
      </c>
      <c r="V317" s="8">
        <f>-SUMIFS(Cashflows!$W$1043:$W$1393,Cashflows!$B$1043:$B$1393,$C317,Cashflows!$C$1043:$C$1393,$K317)</f>
        <v/>
      </c>
      <c r="W317" s="8">
        <f>IF($G317="INR",1,INDEX(Market_Daily!$F$6:$F$256,MATCH($K317,Market_Daily!$A$6:$A$256,0)))</f>
        <v/>
      </c>
      <c r="X317" s="8">
        <f>$V317*$W317</f>
        <v/>
      </c>
      <c r="Y317" s="18">
        <f>$X317-$P317</f>
        <v/>
      </c>
      <c r="Z317" s="8">
        <f>IF(ABS($Y317)&lt;=tol_cashflow_inr,"PASS","FAIL")</f>
        <v/>
      </c>
      <c r="AA317" s="7" t="inlineStr">
        <is>
          <t>-d(lots x lot_kg x F(s) x mcx_al_margin_used_frac)</t>
        </is>
      </c>
    </row>
    <row r="318">
      <c r="A318" s="7" t="inlineStr">
        <is>
          <t>T02</t>
        </is>
      </c>
      <c r="B318" s="7" t="inlineStr">
        <is>
          <t>MCX:T02-MCX-4</t>
        </is>
      </c>
      <c r="C318" s="7" t="inlineStr">
        <is>
          <t>T02-MCX-4</t>
        </is>
      </c>
      <c r="D318" s="7" t="inlineStr">
        <is>
          <t>MCX_VARIATION_MARGIN</t>
        </is>
      </c>
      <c r="E318" s="7" t="inlineStr">
        <is>
          <t>MCX_VARIATION_MARGIN</t>
        </is>
      </c>
      <c r="F318" s="7" t="inlineStr">
        <is>
          <t>PNL</t>
        </is>
      </c>
      <c r="G318" s="7" t="inlineStr">
        <is>
          <t>INR</t>
        </is>
      </c>
      <c r="H318" s="11" t="n">
        <v>44676</v>
      </c>
      <c r="I318" s="11" t="n">
        <v>44690</v>
      </c>
      <c r="J318" s="11" t="n">
        <v>44690</v>
      </c>
      <c r="K318" s="11" t="n">
        <v>44690</v>
      </c>
      <c r="L318" s="7" t="inlineStr">
        <is>
          <t>roll following on the LME panel calendar</t>
        </is>
      </c>
      <c r="N318" s="7" t="inlineStr">
        <is>
          <t>PROXY</t>
        </is>
      </c>
      <c r="O318" s="9" t="n">
        <v>-6537073.7</v>
      </c>
      <c r="P318" s="9" t="n">
        <v>-6537073.7</v>
      </c>
      <c r="U318" s="7" t="inlineStr">
        <is>
          <t>DERIVED_IN_WORKBOOK</t>
        </is>
      </c>
      <c r="V318" s="8">
        <f>SUMIFS(Cashflows!$R$1043:$R$1393,Cashflows!$B$1043:$B$1393,$C318,Cashflows!$C$1043:$C$1393,$K318)</f>
        <v/>
      </c>
      <c r="W318" s="8">
        <f>IF($G318="INR",1,INDEX(Market_Daily!$F$6:$F$256,MATCH($K318,Market_Daily!$A$6:$A$256,0)))</f>
        <v/>
      </c>
      <c r="X318" s="8">
        <f>$V318*$W318</f>
        <v/>
      </c>
      <c r="Y318" s="18">
        <f>$X318-$P318</f>
        <v/>
      </c>
      <c r="Z318" s="8">
        <f>IF(ABS($Y318)&lt;=tol_cashflow_inr,"PASS","FAIL")</f>
        <v/>
      </c>
      <c r="AA318" s="7" t="inlineStr">
        <is>
          <t>direction x lots x lot_kg x (F(s) - F(s-1))</t>
        </is>
      </c>
    </row>
    <row r="319">
      <c r="A319" s="7" t="inlineStr">
        <is>
          <t>T02</t>
        </is>
      </c>
      <c r="B319" s="7" t="inlineStr">
        <is>
          <t>MCX:T02-MCX-4</t>
        </is>
      </c>
      <c r="C319" s="7" t="inlineStr">
        <is>
          <t>T02-MCX-4</t>
        </is>
      </c>
      <c r="D319" s="7" t="inlineStr">
        <is>
          <t>MCX_INITIAL_MARGIN</t>
        </is>
      </c>
      <c r="E319" s="7" t="inlineStr">
        <is>
          <t>MCX_INITIAL_MARGIN</t>
        </is>
      </c>
      <c r="F319" s="7" t="inlineStr">
        <is>
          <t>BS</t>
        </is>
      </c>
      <c r="G319" s="7" t="inlineStr">
        <is>
          <t>INR</t>
        </is>
      </c>
      <c r="H319" s="11" t="n">
        <v>44676</v>
      </c>
      <c r="I319" s="11" t="n">
        <v>44691</v>
      </c>
      <c r="J319" s="11" t="n">
        <v>44691</v>
      </c>
      <c r="K319" s="11" t="n">
        <v>44691</v>
      </c>
      <c r="L319" s="7" t="inlineStr">
        <is>
          <t>roll following on the LME panel calendar</t>
        </is>
      </c>
      <c r="N319" s="7" t="inlineStr">
        <is>
          <t>PROXY</t>
        </is>
      </c>
      <c r="O319" s="9" t="n">
        <v>222989.5</v>
      </c>
      <c r="P319" s="9" t="n">
        <v>222989.5</v>
      </c>
      <c r="U319" s="7" t="inlineStr">
        <is>
          <t>DERIVED_IN_WORKBOOK</t>
        </is>
      </c>
      <c r="V319" s="8">
        <f>-SUMIFS(Cashflows!$W$1043:$W$1393,Cashflows!$B$1043:$B$1393,$C319,Cashflows!$C$1043:$C$1393,$K319)</f>
        <v/>
      </c>
      <c r="W319" s="8">
        <f>IF($G319="INR",1,INDEX(Market_Daily!$F$6:$F$256,MATCH($K319,Market_Daily!$A$6:$A$256,0)))</f>
        <v/>
      </c>
      <c r="X319" s="8">
        <f>$V319*$W319</f>
        <v/>
      </c>
      <c r="Y319" s="18">
        <f>$X319-$P319</f>
        <v/>
      </c>
      <c r="Z319" s="8">
        <f>IF(ABS($Y319)&lt;=tol_cashflow_inr,"PASS","FAIL")</f>
        <v/>
      </c>
      <c r="AA319" s="7" t="inlineStr">
        <is>
          <t>-d(lots x lot_kg x F(s) x mcx_al_margin_used_frac)</t>
        </is>
      </c>
    </row>
    <row r="320">
      <c r="A320" s="7" t="inlineStr">
        <is>
          <t>T02</t>
        </is>
      </c>
      <c r="B320" s="7" t="inlineStr">
        <is>
          <t>MCX:T02-MCX-4</t>
        </is>
      </c>
      <c r="C320" s="7" t="inlineStr">
        <is>
          <t>T02-MCX-4</t>
        </is>
      </c>
      <c r="D320" s="7" t="inlineStr">
        <is>
          <t>MCX_VARIATION_MARGIN</t>
        </is>
      </c>
      <c r="E320" s="7" t="inlineStr">
        <is>
          <t>MCX_VARIATION_MARGIN</t>
        </is>
      </c>
      <c r="F320" s="7" t="inlineStr">
        <is>
          <t>PNL</t>
        </is>
      </c>
      <c r="G320" s="7" t="inlineStr">
        <is>
          <t>INR</t>
        </is>
      </c>
      <c r="H320" s="11" t="n">
        <v>44676</v>
      </c>
      <c r="I320" s="11" t="n">
        <v>44691</v>
      </c>
      <c r="J320" s="11" t="n">
        <v>44691</v>
      </c>
      <c r="K320" s="11" t="n">
        <v>44691</v>
      </c>
      <c r="L320" s="7" t="inlineStr">
        <is>
          <t>roll following on the LME panel calendar</t>
        </is>
      </c>
      <c r="N320" s="7" t="inlineStr">
        <is>
          <t>PROXY</t>
        </is>
      </c>
      <c r="O320" s="9" t="n">
        <v>-2229894.98</v>
      </c>
      <c r="P320" s="9" t="n">
        <v>-2229894.98</v>
      </c>
      <c r="U320" s="7" t="inlineStr">
        <is>
          <t>DERIVED_IN_WORKBOOK</t>
        </is>
      </c>
      <c r="V320" s="8">
        <f>SUMIFS(Cashflows!$R$1043:$R$1393,Cashflows!$B$1043:$B$1393,$C320,Cashflows!$C$1043:$C$1393,$K320)</f>
        <v/>
      </c>
      <c r="W320" s="8">
        <f>IF($G320="INR",1,INDEX(Market_Daily!$F$6:$F$256,MATCH($K320,Market_Daily!$A$6:$A$256,0)))</f>
        <v/>
      </c>
      <c r="X320" s="8">
        <f>$V320*$W320</f>
        <v/>
      </c>
      <c r="Y320" s="18">
        <f>$X320-$P320</f>
        <v/>
      </c>
      <c r="Z320" s="8">
        <f>IF(ABS($Y320)&lt;=tol_cashflow_inr,"PASS","FAIL")</f>
        <v/>
      </c>
      <c r="AA320" s="7" t="inlineStr">
        <is>
          <t>direction x lots x lot_kg x (F(s) - F(s-1))</t>
        </is>
      </c>
    </row>
    <row r="321">
      <c r="A321" s="7" t="inlineStr">
        <is>
          <t>T02</t>
        </is>
      </c>
      <c r="B321" s="7" t="inlineStr">
        <is>
          <t>MCX:T02-MCX-4</t>
        </is>
      </c>
      <c r="C321" s="7" t="inlineStr">
        <is>
          <t>T02-MCX-4</t>
        </is>
      </c>
      <c r="D321" s="7" t="inlineStr">
        <is>
          <t>MCX_INITIAL_MARGIN</t>
        </is>
      </c>
      <c r="E321" s="7" t="inlineStr">
        <is>
          <t>MCX_INITIAL_MARGIN</t>
        </is>
      </c>
      <c r="F321" s="7" t="inlineStr">
        <is>
          <t>BS</t>
        </is>
      </c>
      <c r="G321" s="7" t="inlineStr">
        <is>
          <t>INR</t>
        </is>
      </c>
      <c r="H321" s="11" t="n">
        <v>44676</v>
      </c>
      <c r="I321" s="11" t="n">
        <v>44692</v>
      </c>
      <c r="J321" s="11" t="n">
        <v>44692</v>
      </c>
      <c r="K321" s="11" t="n">
        <v>44692</v>
      </c>
      <c r="L321" s="7" t="inlineStr">
        <is>
          <t>roll following on the LME panel calendar</t>
        </is>
      </c>
      <c r="N321" s="7" t="inlineStr">
        <is>
          <t>PROXY</t>
        </is>
      </c>
      <c r="O321" s="9" t="n">
        <v>-354235.8</v>
      </c>
      <c r="P321" s="9" t="n">
        <v>-354235.8</v>
      </c>
      <c r="U321" s="7" t="inlineStr">
        <is>
          <t>DERIVED_IN_WORKBOOK</t>
        </is>
      </c>
      <c r="V321" s="8">
        <f>-SUMIFS(Cashflows!$W$1043:$W$1393,Cashflows!$B$1043:$B$1393,$C321,Cashflows!$C$1043:$C$1393,$K321)</f>
        <v/>
      </c>
      <c r="W321" s="8">
        <f>IF($G321="INR",1,INDEX(Market_Daily!$F$6:$F$256,MATCH($K321,Market_Daily!$A$6:$A$256,0)))</f>
        <v/>
      </c>
      <c r="X321" s="8">
        <f>$V321*$W321</f>
        <v/>
      </c>
      <c r="Y321" s="18">
        <f>$X321-$P321</f>
        <v/>
      </c>
      <c r="Z321" s="8">
        <f>IF(ABS($Y321)&lt;=tol_cashflow_inr,"PASS","FAIL")</f>
        <v/>
      </c>
      <c r="AA321" s="7" t="inlineStr">
        <is>
          <t>-d(lots x lot_kg x F(s) x mcx_al_margin_used_frac)</t>
        </is>
      </c>
    </row>
    <row r="322">
      <c r="A322" s="7" t="inlineStr">
        <is>
          <t>T02</t>
        </is>
      </c>
      <c r="B322" s="7" t="inlineStr">
        <is>
          <t>MCX:T02-MCX-4</t>
        </is>
      </c>
      <c r="C322" s="7" t="inlineStr">
        <is>
          <t>T02-MCX-4</t>
        </is>
      </c>
      <c r="D322" s="7" t="inlineStr">
        <is>
          <t>MCX_VARIATION_MARGIN</t>
        </is>
      </c>
      <c r="E322" s="7" t="inlineStr">
        <is>
          <t>MCX_VARIATION_MARGIN</t>
        </is>
      </c>
      <c r="F322" s="7" t="inlineStr">
        <is>
          <t>PNL</t>
        </is>
      </c>
      <c r="G322" s="7" t="inlineStr">
        <is>
          <t>INR</t>
        </is>
      </c>
      <c r="H322" s="11" t="n">
        <v>44676</v>
      </c>
      <c r="I322" s="11" t="n">
        <v>44692</v>
      </c>
      <c r="J322" s="11" t="n">
        <v>44692</v>
      </c>
      <c r="K322" s="11" t="n">
        <v>44692</v>
      </c>
      <c r="L322" s="7" t="inlineStr">
        <is>
          <t>roll following on the LME panel calendar</t>
        </is>
      </c>
      <c r="N322" s="7" t="inlineStr">
        <is>
          <t>PROXY</t>
        </is>
      </c>
      <c r="O322" s="9" t="n">
        <v>3542357.97</v>
      </c>
      <c r="P322" s="9" t="n">
        <v>3542357.97</v>
      </c>
      <c r="U322" s="7" t="inlineStr">
        <is>
          <t>DERIVED_IN_WORKBOOK</t>
        </is>
      </c>
      <c r="V322" s="8">
        <f>SUMIFS(Cashflows!$R$1043:$R$1393,Cashflows!$B$1043:$B$1393,$C322,Cashflows!$C$1043:$C$1393,$K322)</f>
        <v/>
      </c>
      <c r="W322" s="8">
        <f>IF($G322="INR",1,INDEX(Market_Daily!$F$6:$F$256,MATCH($K322,Market_Daily!$A$6:$A$256,0)))</f>
        <v/>
      </c>
      <c r="X322" s="8">
        <f>$V322*$W322</f>
        <v/>
      </c>
      <c r="Y322" s="18">
        <f>$X322-$P322</f>
        <v/>
      </c>
      <c r="Z322" s="8">
        <f>IF(ABS($Y322)&lt;=tol_cashflow_inr,"PASS","FAIL")</f>
        <v/>
      </c>
      <c r="AA322" s="7" t="inlineStr">
        <is>
          <t>direction x lots x lot_kg x (F(s) - F(s-1))</t>
        </is>
      </c>
    </row>
    <row r="323">
      <c r="A323" s="7" t="inlineStr">
        <is>
          <t>T02</t>
        </is>
      </c>
      <c r="B323" s="7" t="inlineStr">
        <is>
          <t>MCX:T02-MCX-4</t>
        </is>
      </c>
      <c r="C323" s="7" t="inlineStr">
        <is>
          <t>T02-MCX-4</t>
        </is>
      </c>
      <c r="D323" s="7" t="inlineStr">
        <is>
          <t>MCX_INITIAL_MARGIN</t>
        </is>
      </c>
      <c r="E323" s="7" t="inlineStr">
        <is>
          <t>MCX_INITIAL_MARGIN</t>
        </is>
      </c>
      <c r="F323" s="7" t="inlineStr">
        <is>
          <t>BS</t>
        </is>
      </c>
      <c r="G323" s="7" t="inlineStr">
        <is>
          <t>INR</t>
        </is>
      </c>
      <c r="H323" s="11" t="n">
        <v>44676</v>
      </c>
      <c r="I323" s="11" t="n">
        <v>44693</v>
      </c>
      <c r="J323" s="11" t="n">
        <v>44693</v>
      </c>
      <c r="K323" s="11" t="n">
        <v>44693</v>
      </c>
      <c r="L323" s="7" t="inlineStr">
        <is>
          <t>roll following on the LME panel calendar</t>
        </is>
      </c>
      <c r="N323" s="7" t="inlineStr">
        <is>
          <t>PROXY</t>
        </is>
      </c>
      <c r="O323" s="9" t="n">
        <v>240277.9</v>
      </c>
      <c r="P323" s="9" t="n">
        <v>240277.9</v>
      </c>
      <c r="U323" s="7" t="inlineStr">
        <is>
          <t>DERIVED_IN_WORKBOOK</t>
        </is>
      </c>
      <c r="V323" s="8">
        <f>-SUMIFS(Cashflows!$W$1043:$W$1393,Cashflows!$B$1043:$B$1393,$C323,Cashflows!$C$1043:$C$1393,$K323)</f>
        <v/>
      </c>
      <c r="W323" s="8">
        <f>IF($G323="INR",1,INDEX(Market_Daily!$F$6:$F$256,MATCH($K323,Market_Daily!$A$6:$A$256,0)))</f>
        <v/>
      </c>
      <c r="X323" s="8">
        <f>$V323*$W323</f>
        <v/>
      </c>
      <c r="Y323" s="18">
        <f>$X323-$P323</f>
        <v/>
      </c>
      <c r="Z323" s="8">
        <f>IF(ABS($Y323)&lt;=tol_cashflow_inr,"PASS","FAIL")</f>
        <v/>
      </c>
      <c r="AA323" s="7" t="inlineStr">
        <is>
          <t>-d(lots x lot_kg x F(s) x mcx_al_margin_used_frac)</t>
        </is>
      </c>
    </row>
    <row r="324">
      <c r="A324" s="7" t="inlineStr">
        <is>
          <t>T02</t>
        </is>
      </c>
      <c r="B324" s="7" t="inlineStr">
        <is>
          <t>MCX:T02-MCX-4</t>
        </is>
      </c>
      <c r="C324" s="7" t="inlineStr">
        <is>
          <t>T02-MCX-4</t>
        </is>
      </c>
      <c r="D324" s="7" t="inlineStr">
        <is>
          <t>MCX_VARIATION_MARGIN</t>
        </is>
      </c>
      <c r="E324" s="7" t="inlineStr">
        <is>
          <t>MCX_VARIATION_MARGIN</t>
        </is>
      </c>
      <c r="F324" s="7" t="inlineStr">
        <is>
          <t>PNL</t>
        </is>
      </c>
      <c r="G324" s="7" t="inlineStr">
        <is>
          <t>INR</t>
        </is>
      </c>
      <c r="H324" s="11" t="n">
        <v>44676</v>
      </c>
      <c r="I324" s="11" t="n">
        <v>44693</v>
      </c>
      <c r="J324" s="11" t="n">
        <v>44693</v>
      </c>
      <c r="K324" s="11" t="n">
        <v>44693</v>
      </c>
      <c r="L324" s="7" t="inlineStr">
        <is>
          <t>roll following on the LME panel calendar</t>
        </is>
      </c>
      <c r="N324" s="7" t="inlineStr">
        <is>
          <t>PROXY</t>
        </is>
      </c>
      <c r="O324" s="9" t="n">
        <v>-2402779</v>
      </c>
      <c r="P324" s="9" t="n">
        <v>-2402779</v>
      </c>
      <c r="U324" s="7" t="inlineStr">
        <is>
          <t>DERIVED_IN_WORKBOOK</t>
        </is>
      </c>
      <c r="V324" s="8">
        <f>SUMIFS(Cashflows!$R$1043:$R$1393,Cashflows!$B$1043:$B$1393,$C324,Cashflows!$C$1043:$C$1393,$K324)</f>
        <v/>
      </c>
      <c r="W324" s="8">
        <f>IF($G324="INR",1,INDEX(Market_Daily!$F$6:$F$256,MATCH($K324,Market_Daily!$A$6:$A$256,0)))</f>
        <v/>
      </c>
      <c r="X324" s="8">
        <f>$V324*$W324</f>
        <v/>
      </c>
      <c r="Y324" s="18">
        <f>$X324-$P324</f>
        <v/>
      </c>
      <c r="Z324" s="8">
        <f>IF(ABS($Y324)&lt;=tol_cashflow_inr,"PASS","FAIL")</f>
        <v/>
      </c>
      <c r="AA324" s="7" t="inlineStr">
        <is>
          <t>direction x lots x lot_kg x (F(s) - F(s-1))</t>
        </is>
      </c>
    </row>
    <row r="325">
      <c r="A325" s="7" t="inlineStr">
        <is>
          <t>T02</t>
        </is>
      </c>
      <c r="B325" s="7" t="inlineStr">
        <is>
          <t>MCX:T02-MCX-4</t>
        </is>
      </c>
      <c r="C325" s="7" t="inlineStr">
        <is>
          <t>T02-MCX-4</t>
        </is>
      </c>
      <c r="D325" s="7" t="inlineStr">
        <is>
          <t>MCX_INITIAL_MARGIN</t>
        </is>
      </c>
      <c r="E325" s="7" t="inlineStr">
        <is>
          <t>MCX_INITIAL_MARGIN</t>
        </is>
      </c>
      <c r="F325" s="7" t="inlineStr">
        <is>
          <t>BS</t>
        </is>
      </c>
      <c r="G325" s="7" t="inlineStr">
        <is>
          <t>INR</t>
        </is>
      </c>
      <c r="H325" s="11" t="n">
        <v>44676</v>
      </c>
      <c r="I325" s="11" t="n">
        <v>44694</v>
      </c>
      <c r="J325" s="11" t="n">
        <v>44694</v>
      </c>
      <c r="K325" s="11" t="n">
        <v>44694</v>
      </c>
      <c r="L325" s="7" t="inlineStr">
        <is>
          <t>roll following on the LME panel calendar</t>
        </is>
      </c>
      <c r="N325" s="7" t="inlineStr">
        <is>
          <t>PROXY</t>
        </is>
      </c>
      <c r="O325" s="9" t="n">
        <v>-199467.28</v>
      </c>
      <c r="P325" s="9" t="n">
        <v>-199467.28</v>
      </c>
      <c r="U325" s="7" t="inlineStr">
        <is>
          <t>DERIVED_IN_WORKBOOK</t>
        </is>
      </c>
      <c r="V325" s="8">
        <f>-SUMIFS(Cashflows!$W$1043:$W$1393,Cashflows!$B$1043:$B$1393,$C325,Cashflows!$C$1043:$C$1393,$K325)</f>
        <v/>
      </c>
      <c r="W325" s="8">
        <f>IF($G325="INR",1,INDEX(Market_Daily!$F$6:$F$256,MATCH($K325,Market_Daily!$A$6:$A$256,0)))</f>
        <v/>
      </c>
      <c r="X325" s="8">
        <f>$V325*$W325</f>
        <v/>
      </c>
      <c r="Y325" s="18">
        <f>$X325-$P325</f>
        <v/>
      </c>
      <c r="Z325" s="8">
        <f>IF(ABS($Y325)&lt;=tol_cashflow_inr,"PASS","FAIL")</f>
        <v/>
      </c>
      <c r="AA325" s="7" t="inlineStr">
        <is>
          <t>-d(lots x lot_kg x F(s) x mcx_al_margin_used_frac)</t>
        </is>
      </c>
    </row>
    <row r="326">
      <c r="A326" s="7" t="inlineStr">
        <is>
          <t>T02</t>
        </is>
      </c>
      <c r="B326" s="7" t="inlineStr">
        <is>
          <t>MCX:T02-MCX-4</t>
        </is>
      </c>
      <c r="C326" s="7" t="inlineStr">
        <is>
          <t>T02-MCX-4</t>
        </is>
      </c>
      <c r="D326" s="7" t="inlineStr">
        <is>
          <t>MCX_VARIATION_MARGIN</t>
        </is>
      </c>
      <c r="E326" s="7" t="inlineStr">
        <is>
          <t>MCX_VARIATION_MARGIN</t>
        </is>
      </c>
      <c r="F326" s="7" t="inlineStr">
        <is>
          <t>PNL</t>
        </is>
      </c>
      <c r="G326" s="7" t="inlineStr">
        <is>
          <t>INR</t>
        </is>
      </c>
      <c r="H326" s="11" t="n">
        <v>44676</v>
      </c>
      <c r="I326" s="11" t="n">
        <v>44694</v>
      </c>
      <c r="J326" s="11" t="n">
        <v>44694</v>
      </c>
      <c r="K326" s="11" t="n">
        <v>44694</v>
      </c>
      <c r="L326" s="7" t="inlineStr">
        <is>
          <t>roll following on the LME panel calendar</t>
        </is>
      </c>
      <c r="N326" s="7" t="inlineStr">
        <is>
          <t>PROXY</t>
        </is>
      </c>
      <c r="O326" s="9" t="n">
        <v>1994672.8</v>
      </c>
      <c r="P326" s="9" t="n">
        <v>1994672.8</v>
      </c>
      <c r="U326" s="7" t="inlineStr">
        <is>
          <t>DERIVED_IN_WORKBOOK</t>
        </is>
      </c>
      <c r="V326" s="8">
        <f>SUMIFS(Cashflows!$R$1043:$R$1393,Cashflows!$B$1043:$B$1393,$C326,Cashflows!$C$1043:$C$1393,$K326)</f>
        <v/>
      </c>
      <c r="W326" s="8">
        <f>IF($G326="INR",1,INDEX(Market_Daily!$F$6:$F$256,MATCH($K326,Market_Daily!$A$6:$A$256,0)))</f>
        <v/>
      </c>
      <c r="X326" s="8">
        <f>$V326*$W326</f>
        <v/>
      </c>
      <c r="Y326" s="18">
        <f>$X326-$P326</f>
        <v/>
      </c>
      <c r="Z326" s="8">
        <f>IF(ABS($Y326)&lt;=tol_cashflow_inr,"PASS","FAIL")</f>
        <v/>
      </c>
      <c r="AA326" s="7" t="inlineStr">
        <is>
          <t>direction x lots x lot_kg x (F(s) - F(s-1))</t>
        </is>
      </c>
    </row>
    <row r="327">
      <c r="A327" s="7" t="inlineStr">
        <is>
          <t>T02</t>
        </is>
      </c>
      <c r="B327" s="7" t="inlineStr">
        <is>
          <t>MCX:T02-MCX-4</t>
        </is>
      </c>
      <c r="C327" s="7" t="inlineStr">
        <is>
          <t>T02-MCX-4</t>
        </is>
      </c>
      <c r="D327" s="7" t="inlineStr">
        <is>
          <t>MCX_INITIAL_MARGIN</t>
        </is>
      </c>
      <c r="E327" s="7" t="inlineStr">
        <is>
          <t>MCX_INITIAL_MARGIN</t>
        </is>
      </c>
      <c r="F327" s="7" t="inlineStr">
        <is>
          <t>BS</t>
        </is>
      </c>
      <c r="G327" s="7" t="inlineStr">
        <is>
          <t>INR</t>
        </is>
      </c>
      <c r="H327" s="11" t="n">
        <v>44676</v>
      </c>
      <c r="I327" s="11" t="n">
        <v>44697</v>
      </c>
      <c r="J327" s="11" t="n">
        <v>44697</v>
      </c>
      <c r="K327" s="11" t="n">
        <v>44697</v>
      </c>
      <c r="L327" s="7" t="inlineStr">
        <is>
          <t>roll following on the LME panel calendar</t>
        </is>
      </c>
      <c r="N327" s="7" t="inlineStr">
        <is>
          <t>PROXY</t>
        </is>
      </c>
      <c r="O327" s="9" t="n">
        <v>-484109.98</v>
      </c>
      <c r="P327" s="9" t="n">
        <v>-484109.98</v>
      </c>
      <c r="U327" s="7" t="inlineStr">
        <is>
          <t>DERIVED_IN_WORKBOOK</t>
        </is>
      </c>
      <c r="V327" s="8">
        <f>-SUMIFS(Cashflows!$W$1043:$W$1393,Cashflows!$B$1043:$B$1393,$C327,Cashflows!$C$1043:$C$1393,$K327)</f>
        <v/>
      </c>
      <c r="W327" s="8">
        <f>IF($G327="INR",1,INDEX(Market_Daily!$F$6:$F$256,MATCH($K327,Market_Daily!$A$6:$A$256,0)))</f>
        <v/>
      </c>
      <c r="X327" s="8">
        <f>$V327*$W327</f>
        <v/>
      </c>
      <c r="Y327" s="18">
        <f>$X327-$P327</f>
        <v/>
      </c>
      <c r="Z327" s="8">
        <f>IF(ABS($Y327)&lt;=tol_cashflow_inr,"PASS","FAIL")</f>
        <v/>
      </c>
      <c r="AA327" s="7" t="inlineStr">
        <is>
          <t>-d(lots x lot_kg x F(s) x mcx_al_margin_used_frac)</t>
        </is>
      </c>
    </row>
    <row r="328">
      <c r="A328" s="7" t="inlineStr">
        <is>
          <t>T02</t>
        </is>
      </c>
      <c r="B328" s="7" t="inlineStr">
        <is>
          <t>MCX:T02-MCX-4</t>
        </is>
      </c>
      <c r="C328" s="7" t="inlineStr">
        <is>
          <t>T02-MCX-4</t>
        </is>
      </c>
      <c r="D328" s="7" t="inlineStr">
        <is>
          <t>MCX_VARIATION_MARGIN</t>
        </is>
      </c>
      <c r="E328" s="7" t="inlineStr">
        <is>
          <t>MCX_VARIATION_MARGIN</t>
        </is>
      </c>
      <c r="F328" s="7" t="inlineStr">
        <is>
          <t>PNL</t>
        </is>
      </c>
      <c r="G328" s="7" t="inlineStr">
        <is>
          <t>INR</t>
        </is>
      </c>
      <c r="H328" s="11" t="n">
        <v>44676</v>
      </c>
      <c r="I328" s="11" t="n">
        <v>44697</v>
      </c>
      <c r="J328" s="11" t="n">
        <v>44697</v>
      </c>
      <c r="K328" s="11" t="n">
        <v>44697</v>
      </c>
      <c r="L328" s="7" t="inlineStr">
        <is>
          <t>roll following on the LME panel calendar</t>
        </is>
      </c>
      <c r="N328" s="7" t="inlineStr">
        <is>
          <t>PROXY</t>
        </is>
      </c>
      <c r="O328" s="9" t="n">
        <v>4841099.8</v>
      </c>
      <c r="P328" s="9" t="n">
        <v>4841099.8</v>
      </c>
      <c r="U328" s="7" t="inlineStr">
        <is>
          <t>DERIVED_IN_WORKBOOK</t>
        </is>
      </c>
      <c r="V328" s="8">
        <f>SUMIFS(Cashflows!$R$1043:$R$1393,Cashflows!$B$1043:$B$1393,$C328,Cashflows!$C$1043:$C$1393,$K328)</f>
        <v/>
      </c>
      <c r="W328" s="8">
        <f>IF($G328="INR",1,INDEX(Market_Daily!$F$6:$F$256,MATCH($K328,Market_Daily!$A$6:$A$256,0)))</f>
        <v/>
      </c>
      <c r="X328" s="8">
        <f>$V328*$W328</f>
        <v/>
      </c>
      <c r="Y328" s="18">
        <f>$X328-$P328</f>
        <v/>
      </c>
      <c r="Z328" s="8">
        <f>IF(ABS($Y328)&lt;=tol_cashflow_inr,"PASS","FAIL")</f>
        <v/>
      </c>
      <c r="AA328" s="7" t="inlineStr">
        <is>
          <t>direction x lots x lot_kg x (F(s) - F(s-1))</t>
        </is>
      </c>
    </row>
    <row r="329">
      <c r="A329" s="7" t="inlineStr">
        <is>
          <t>T02</t>
        </is>
      </c>
      <c r="B329" s="7" t="inlineStr">
        <is>
          <t>MCX:T02-MCX-4</t>
        </is>
      </c>
      <c r="C329" s="7" t="inlineStr">
        <is>
          <t>T02-MCX-4</t>
        </is>
      </c>
      <c r="D329" s="7" t="inlineStr">
        <is>
          <t>MCX_INITIAL_MARGIN</t>
        </is>
      </c>
      <c r="E329" s="7" t="inlineStr">
        <is>
          <t>MCX_INITIAL_MARGIN</t>
        </is>
      </c>
      <c r="F329" s="7" t="inlineStr">
        <is>
          <t>BS</t>
        </is>
      </c>
      <c r="G329" s="7" t="inlineStr">
        <is>
          <t>INR</t>
        </is>
      </c>
      <c r="H329" s="11" t="n">
        <v>44676</v>
      </c>
      <c r="I329" s="11" t="n">
        <v>44698</v>
      </c>
      <c r="J329" s="11" t="n">
        <v>44698</v>
      </c>
      <c r="K329" s="11" t="n">
        <v>44698</v>
      </c>
      <c r="L329" s="7" t="inlineStr">
        <is>
          <t>roll following on the LME panel calendar</t>
        </is>
      </c>
      <c r="N329" s="7" t="inlineStr">
        <is>
          <t>PROXY</t>
        </is>
      </c>
      <c r="O329" s="9" t="n">
        <v>17074097.85</v>
      </c>
      <c r="P329" s="9" t="n">
        <v>17074097.85</v>
      </c>
      <c r="U329" s="7" t="inlineStr">
        <is>
          <t>DERIVED_IN_WORKBOOK</t>
        </is>
      </c>
      <c r="V329" s="8">
        <f>-SUMIFS(Cashflows!$W$1043:$W$1393,Cashflows!$B$1043:$B$1393,$C329,Cashflows!$C$1043:$C$1393,$K329)</f>
        <v/>
      </c>
      <c r="W329" s="8">
        <f>IF($G329="INR",1,INDEX(Market_Daily!$F$6:$F$256,MATCH($K329,Market_Daily!$A$6:$A$256,0)))</f>
        <v/>
      </c>
      <c r="X329" s="8">
        <f>$V329*$W329</f>
        <v/>
      </c>
      <c r="Y329" s="18">
        <f>$X329-$P329</f>
        <v/>
      </c>
      <c r="Z329" s="8">
        <f>IF(ABS($Y329)&lt;=tol_cashflow_inr,"PASS","FAIL")</f>
        <v/>
      </c>
      <c r="AA329" s="7" t="inlineStr">
        <is>
          <t>-d(lots x lot_kg x F(s) x mcx_al_margin_used_frac)</t>
        </is>
      </c>
    </row>
    <row r="330">
      <c r="A330" s="7" t="inlineStr">
        <is>
          <t>T02</t>
        </is>
      </c>
      <c r="B330" s="7" t="inlineStr">
        <is>
          <t>MCX:T02-MCX-4</t>
        </is>
      </c>
      <c r="C330" s="7" t="inlineStr">
        <is>
          <t>T02-MCX-4</t>
        </is>
      </c>
      <c r="D330" s="7" t="inlineStr">
        <is>
          <t>MCX_SLIPPAGE</t>
        </is>
      </c>
      <c r="E330" s="7" t="inlineStr">
        <is>
          <t>MCX_SLIPPAGE</t>
        </is>
      </c>
      <c r="F330" s="7" t="inlineStr">
        <is>
          <t>PNL</t>
        </is>
      </c>
      <c r="G330" s="7" t="inlineStr">
        <is>
          <t>INR</t>
        </is>
      </c>
      <c r="H330" s="11" t="n">
        <v>44698</v>
      </c>
      <c r="J330" s="11" t="n">
        <v>44698</v>
      </c>
      <c r="K330" s="11" t="n">
        <v>44698</v>
      </c>
      <c r="L330" s="7" t="inlineStr">
        <is>
          <t>roll following on the LME panel calendar</t>
        </is>
      </c>
      <c r="N330" s="7" t="inlineStr">
        <is>
          <t>ASSUMPTION</t>
        </is>
      </c>
      <c r="O330" s="9" t="n">
        <v>-72500</v>
      </c>
      <c r="P330" s="9" t="n">
        <v>-72500</v>
      </c>
      <c r="U330" s="7" t="inlineStr">
        <is>
          <t>DERIVED_IN_WORKBOOK</t>
        </is>
      </c>
      <c r="V330" s="8">
        <f>SUMIFS(Cashflows!$Z$1043:$Z$1393,Cashflows!$B$1043:$B$1393,$C330,Cashflows!$C$1043:$C$1393,$K330)</f>
        <v/>
      </c>
      <c r="W330" s="8">
        <f>IF($G330="INR",1,INDEX(Market_Daily!$F$6:$F$256,MATCH($K330,Market_Daily!$A$6:$A$256,0)))</f>
        <v/>
      </c>
      <c r="X330" s="8">
        <f>$V330*$W330</f>
        <v/>
      </c>
      <c r="Y330" s="18">
        <f>$X330-$P330</f>
        <v/>
      </c>
      <c r="Z330" s="8">
        <f>IF(ABS($Y330)&lt;=tol_cashflow_inr,"PASS","FAIL")</f>
        <v/>
      </c>
      <c r="AA330" s="7" t="inlineStr">
        <is>
          <t>-lots x lot_kg x mcx_slippage_ticks x tick</t>
        </is>
      </c>
    </row>
    <row r="331">
      <c r="A331" s="7" t="inlineStr">
        <is>
          <t>T02</t>
        </is>
      </c>
      <c r="B331" s="7" t="inlineStr">
        <is>
          <t>MCX:T02-MCX-4</t>
        </is>
      </c>
      <c r="C331" s="7" t="inlineStr">
        <is>
          <t>T02-MCX-4</t>
        </is>
      </c>
      <c r="D331" s="7" t="inlineStr">
        <is>
          <t>MCX_TRANSACTION_COST</t>
        </is>
      </c>
      <c r="E331" s="7" t="inlineStr">
        <is>
          <t>MCX_TRANSACTION_COST</t>
        </is>
      </c>
      <c r="F331" s="7" t="inlineStr">
        <is>
          <t>PNL</t>
        </is>
      </c>
      <c r="G331" s="7" t="inlineStr">
        <is>
          <t>INR</t>
        </is>
      </c>
      <c r="H331" s="11" t="n">
        <v>44698</v>
      </c>
      <c r="I331" s="11" t="n">
        <v>44698</v>
      </c>
      <c r="J331" s="11" t="n">
        <v>44698</v>
      </c>
      <c r="K331" s="11" t="n">
        <v>44698</v>
      </c>
      <c r="L331" s="7" t="inlineStr">
        <is>
          <t>roll following on the LME panel calendar</t>
        </is>
      </c>
      <c r="N331" s="7" t="inlineStr">
        <is>
          <t>ASSUMPTION</t>
        </is>
      </c>
      <c r="O331" s="9" t="n">
        <v>-51794.25</v>
      </c>
      <c r="P331" s="9" t="n">
        <v>-51794.25</v>
      </c>
      <c r="U331" s="7" t="inlineStr">
        <is>
          <t>DERIVED_IN_WORKBOOK</t>
        </is>
      </c>
      <c r="V331" s="8">
        <f>SUMIFS(Cashflows!$AA$1043:$AA$1393,Cashflows!$B$1043:$B$1393,$C331,Cashflows!$C$1043:$C$1393,$K331)</f>
        <v/>
      </c>
      <c r="W331" s="8">
        <f>IF($G331="INR",1,INDEX(Market_Daily!$F$6:$F$256,MATCH($K331,Market_Daily!$A$6:$A$256,0)))</f>
        <v/>
      </c>
      <c r="X331" s="8">
        <f>$V331*$W331</f>
        <v/>
      </c>
      <c r="Y331" s="18">
        <f>$X331-$P331</f>
        <v/>
      </c>
      <c r="Z331" s="8">
        <f>IF(ABS($Y331)&lt;=tol_cashflow_inr,"PASS","FAIL")</f>
        <v/>
      </c>
      <c r="AA331" s="7" t="inlineStr">
        <is>
          <t>-lots x lot_kg x fill x mcx_txn_cost_frac</t>
        </is>
      </c>
    </row>
    <row r="332">
      <c r="A332" s="7" t="inlineStr">
        <is>
          <t>T02</t>
        </is>
      </c>
      <c r="B332" s="7" t="inlineStr">
        <is>
          <t>MCX:T02-MCX-4</t>
        </is>
      </c>
      <c r="C332" s="7" t="inlineStr">
        <is>
          <t>T02-MCX-4</t>
        </is>
      </c>
      <c r="D332" s="7" t="inlineStr">
        <is>
          <t>MCX_VARIATION_MARGIN</t>
        </is>
      </c>
      <c r="E332" s="7" t="inlineStr">
        <is>
          <t>MCX_VARIATION_MARGIN</t>
        </is>
      </c>
      <c r="F332" s="7" t="inlineStr">
        <is>
          <t>PNL</t>
        </is>
      </c>
      <c r="G332" s="7" t="inlineStr">
        <is>
          <t>INR</t>
        </is>
      </c>
      <c r="H332" s="11" t="n">
        <v>44676</v>
      </c>
      <c r="I332" s="11" t="n">
        <v>44698</v>
      </c>
      <c r="J332" s="11" t="n">
        <v>44698</v>
      </c>
      <c r="K332" s="11" t="n">
        <v>44698</v>
      </c>
      <c r="L332" s="7" t="inlineStr">
        <is>
          <t>roll following on the LME panel calendar</t>
        </is>
      </c>
      <c r="N332" s="7" t="inlineStr">
        <is>
          <t>PROXY</t>
        </is>
      </c>
      <c r="O332" s="9" t="n">
        <v>1979007.93</v>
      </c>
      <c r="P332" s="9" t="n">
        <v>1979007.93</v>
      </c>
      <c r="U332" s="7" t="inlineStr">
        <is>
          <t>DERIVED_IN_WORKBOOK</t>
        </is>
      </c>
      <c r="V332" s="8">
        <f>SUMIFS(Cashflows!$R$1043:$R$1393,Cashflows!$B$1043:$B$1393,$C332,Cashflows!$C$1043:$C$1393,$K332)</f>
        <v/>
      </c>
      <c r="W332" s="8">
        <f>IF($G332="INR",1,INDEX(Market_Daily!$F$6:$F$256,MATCH($K332,Market_Daily!$A$6:$A$256,0)))</f>
        <v/>
      </c>
      <c r="X332" s="8">
        <f>$V332*$W332</f>
        <v/>
      </c>
      <c r="Y332" s="18">
        <f>$X332-$P332</f>
        <v/>
      </c>
      <c r="Z332" s="8">
        <f>IF(ABS($Y332)&lt;=tol_cashflow_inr,"PASS","FAIL")</f>
        <v/>
      </c>
      <c r="AA332" s="7" t="inlineStr">
        <is>
          <t>direction x lots x lot_kg x (F(s) - F(s-1))</t>
        </is>
      </c>
    </row>
    <row r="333">
      <c r="A333" s="7" t="inlineStr">
        <is>
          <t>T02</t>
        </is>
      </c>
      <c r="B333" s="7" t="inlineStr">
        <is>
          <t>IGST:L1</t>
        </is>
      </c>
      <c r="C333" s="7" t="inlineStr">
        <is>
          <t>L1</t>
        </is>
      </c>
      <c r="D333" s="7" t="inlineStr">
        <is>
          <t>IGST_CREDIT</t>
        </is>
      </c>
      <c r="E333" s="7" t="inlineStr">
        <is>
          <t>IGST_CREDIT</t>
        </is>
      </c>
      <c r="F333" s="7" t="inlineStr">
        <is>
          <t>BS</t>
        </is>
      </c>
      <c r="G333" s="7" t="inlineStr">
        <is>
          <t>INR</t>
        </is>
      </c>
      <c r="H333" s="11" t="n">
        <v>44631</v>
      </c>
      <c r="I333" s="11" t="n">
        <v>44662</v>
      </c>
      <c r="J333" s="11" t="n">
        <v>44707</v>
      </c>
      <c r="K333" s="11" t="n">
        <v>44707</v>
      </c>
      <c r="L333" s="7" t="inlineStr">
        <is>
          <t>roll following on the LME panel calendar</t>
        </is>
      </c>
      <c r="N333" s="7" t="inlineStr">
        <is>
          <t>DIRECT</t>
        </is>
      </c>
      <c r="O333" s="9" t="n">
        <v>18588984.02</v>
      </c>
      <c r="P333" s="9" t="n">
        <v>18588984.02</v>
      </c>
      <c r="U333" s="7" t="inlineStr">
        <is>
          <t>PYTHON_LIFECYCLE</t>
        </is>
      </c>
      <c r="V333" s="8">
        <f>$O333</f>
        <v/>
      </c>
      <c r="W333" s="8">
        <f>IF($G333="INR",1,INDEX(Market_Daily!$F$6:$F$256,MATCH($K333,Market_Daily!$A$6:$A$256,0)))</f>
        <v/>
      </c>
      <c r="X333" s="8">
        <f>$V333*$W333</f>
        <v/>
      </c>
      <c r="Y333" s="18">
        <f>$X333-$P333</f>
        <v/>
      </c>
      <c r="Z333" s="8">
        <f>IF(ABS($Y333)&lt;=tol_cashflow_inr,"PASS","FAIL")</f>
        <v/>
      </c>
      <c r="AA333" s="7" t="inlineStr">
        <is>
          <t>+(assessable + duty) x igst_rate at igst_credit_lag_days</t>
        </is>
      </c>
    </row>
    <row r="334">
      <c r="A334" s="7" t="inlineStr">
        <is>
          <t>T02</t>
        </is>
      </c>
      <c r="B334" s="7" t="inlineStr">
        <is>
          <t>SALE:S1</t>
        </is>
      </c>
      <c r="C334" s="7" t="inlineStr">
        <is>
          <t>S1</t>
        </is>
      </c>
      <c r="D334" s="7" t="inlineStr">
        <is>
          <t>SALE_BALANCE</t>
        </is>
      </c>
      <c r="E334" s="7" t="inlineStr">
        <is>
          <t>SALE_BALANCE</t>
        </is>
      </c>
      <c r="F334" s="7" t="inlineStr">
        <is>
          <t>PNL</t>
        </is>
      </c>
      <c r="G334" s="7" t="inlineStr">
        <is>
          <t>INR</t>
        </is>
      </c>
      <c r="H334" s="11" t="n">
        <v>44631</v>
      </c>
      <c r="I334" s="11" t="n">
        <v>44680</v>
      </c>
      <c r="J334" s="11" t="n">
        <v>44711</v>
      </c>
      <c r="K334" s="11" t="n">
        <v>44711</v>
      </c>
      <c r="L334" s="7" t="inlineStr">
        <is>
          <t>roll following on the LME panel calendar</t>
        </is>
      </c>
      <c r="N334" s="7" t="inlineStr">
        <is>
          <t>SIM</t>
        </is>
      </c>
      <c r="O334" s="9" t="n">
        <v>225595288.67</v>
      </c>
      <c r="P334" s="9" t="n">
        <v>225595288.67</v>
      </c>
      <c r="U334" s="7" t="inlineStr">
        <is>
          <t>PYTHON_LIFECYCLE</t>
        </is>
      </c>
      <c r="V334" s="8">
        <f>$O334</f>
        <v/>
      </c>
      <c r="W334" s="8">
        <f>IF($G334="INR",1,INDEX(Market_Daily!$F$6:$F$256,MATCH($K334,Market_Daily!$A$6:$A$256,0)))</f>
        <v/>
      </c>
      <c r="X334" s="8">
        <f>$V334*$W334</f>
        <v/>
      </c>
      <c r="Y334" s="18">
        <f>$X334-$P334</f>
        <v/>
      </c>
      <c r="Z334" s="8">
        <f>IF(ABS($Y334)&lt;=tol_cashflow_inr,"PASS","FAIL")</f>
        <v/>
      </c>
      <c r="AA334" s="7" t="inlineStr">
        <is>
          <t>+q_acc x P_sale x (1 - disc passthrough) - advance</t>
        </is>
      </c>
    </row>
    <row r="335">
      <c r="A335" s="7" t="inlineStr">
        <is>
          <t>T02</t>
        </is>
      </c>
      <c r="B335" s="7" t="inlineStr">
        <is>
          <t>IGST:L2</t>
        </is>
      </c>
      <c r="C335" s="7" t="inlineStr">
        <is>
          <t>L2</t>
        </is>
      </c>
      <c r="D335" s="7" t="inlineStr">
        <is>
          <t>IGST_CREDIT</t>
        </is>
      </c>
      <c r="E335" s="7" t="inlineStr">
        <is>
          <t>IGST_CREDIT</t>
        </is>
      </c>
      <c r="F335" s="7" t="inlineStr">
        <is>
          <t>BS</t>
        </is>
      </c>
      <c r="G335" s="7" t="inlineStr">
        <is>
          <t>INR</t>
        </is>
      </c>
      <c r="H335" s="11" t="n">
        <v>44631</v>
      </c>
      <c r="I335" s="11" t="n">
        <v>44670</v>
      </c>
      <c r="J335" s="11" t="n">
        <v>44718</v>
      </c>
      <c r="K335" s="11" t="n">
        <v>44718</v>
      </c>
      <c r="L335" s="7" t="inlineStr">
        <is>
          <t>roll following on the LME panel calendar</t>
        </is>
      </c>
      <c r="N335" s="7" t="inlineStr">
        <is>
          <t>DIRECT</t>
        </is>
      </c>
      <c r="O335" s="9" t="n">
        <v>17456770.65</v>
      </c>
      <c r="P335" s="9" t="n">
        <v>17456770.65</v>
      </c>
      <c r="U335" s="7" t="inlineStr">
        <is>
          <t>PYTHON_LIFECYCLE</t>
        </is>
      </c>
      <c r="V335" s="8">
        <f>$O335</f>
        <v/>
      </c>
      <c r="W335" s="8">
        <f>IF($G335="INR",1,INDEX(Market_Daily!$F$6:$F$256,MATCH($K335,Market_Daily!$A$6:$A$256,0)))</f>
        <v/>
      </c>
      <c r="X335" s="8">
        <f>$V335*$W335</f>
        <v/>
      </c>
      <c r="Y335" s="18">
        <f>$X335-$P335</f>
        <v/>
      </c>
      <c r="Z335" s="8">
        <f>IF(ABS($Y335)&lt;=tol_cashflow_inr,"PASS","FAIL")</f>
        <v/>
      </c>
      <c r="AA335" s="7" t="inlineStr">
        <is>
          <t>+(assessable + duty) x igst_rate at igst_credit_lag_days</t>
        </is>
      </c>
    </row>
    <row r="336">
      <c r="A336" s="7" t="inlineStr">
        <is>
          <t>T02</t>
        </is>
      </c>
      <c r="B336" s="7" t="inlineStr">
        <is>
          <t>DUTY:L1</t>
        </is>
      </c>
      <c r="C336" s="7" t="inlineStr">
        <is>
          <t>L1</t>
        </is>
      </c>
      <c r="D336" s="7" t="inlineStr">
        <is>
          <t>CUSTOMS_DUTY_DIFFERENTIAL</t>
        </is>
      </c>
      <c r="E336" s="7" t="inlineStr">
        <is>
          <t>CUSTOMS_DUTY_DIFFERENTIAL</t>
        </is>
      </c>
      <c r="F336" s="7" t="inlineStr">
        <is>
          <t>PNL</t>
        </is>
      </c>
      <c r="G336" s="7" t="inlineStr">
        <is>
          <t>INR</t>
        </is>
      </c>
      <c r="H336" s="11" t="n">
        <v>44631</v>
      </c>
      <c r="I336" s="11" t="n">
        <v>44721</v>
      </c>
      <c r="J336" s="11" t="n">
        <v>44721</v>
      </c>
      <c r="K336" s="11" t="n">
        <v>44721</v>
      </c>
      <c r="L336" s="7" t="inlineStr">
        <is>
          <t>roll following on the LME panel calendar</t>
        </is>
      </c>
      <c r="N336" s="7" t="inlineStr">
        <is>
          <t>DIRECT</t>
        </is>
      </c>
      <c r="O336" s="9" t="n">
        <v>476425.7</v>
      </c>
      <c r="P336" s="9" t="n">
        <v>476425.7</v>
      </c>
      <c r="U336" s="7" t="inlineStr">
        <is>
          <t>PYTHON_LIFECYCLE</t>
        </is>
      </c>
      <c r="V336" s="8">
        <f>$O336</f>
        <v/>
      </c>
      <c r="W336" s="8">
        <f>IF($G336="INR",1,INDEX(Market_Daily!$F$6:$F$256,MATCH($K336,Market_Daily!$A$6:$A$256,0)))</f>
        <v/>
      </c>
      <c r="X336" s="8">
        <f>$V336*$W336</f>
        <v/>
      </c>
      <c r="Y336" s="18">
        <f>$X336-$P336</f>
        <v/>
      </c>
      <c r="Z336" s="8">
        <f>IF(ABS($Y336)&lt;=tol_cashflow_inr,"PASS","FAIL")</f>
        <v/>
      </c>
      <c r="AA336" s="7" t="inlineStr">
        <is>
          <t>-dAV x bcd x (1 + sws) on (P_final - P_provisional)</t>
        </is>
      </c>
    </row>
    <row r="337">
      <c r="A337" s="7" t="inlineStr">
        <is>
          <t>T02</t>
        </is>
      </c>
      <c r="B337" s="7" t="inlineStr">
        <is>
          <t>DUTY:L2</t>
        </is>
      </c>
      <c r="C337" s="7" t="inlineStr">
        <is>
          <t>L2</t>
        </is>
      </c>
      <c r="D337" s="7" t="inlineStr">
        <is>
          <t>CUSTOMS_DUTY_DIFFERENTIAL</t>
        </is>
      </c>
      <c r="E337" s="7" t="inlineStr">
        <is>
          <t>CUSTOMS_DUTY_DIFFERENTIAL</t>
        </is>
      </c>
      <c r="F337" s="7" t="inlineStr">
        <is>
          <t>PNL</t>
        </is>
      </c>
      <c r="G337" s="7" t="inlineStr">
        <is>
          <t>INR</t>
        </is>
      </c>
      <c r="H337" s="11" t="n">
        <v>44631</v>
      </c>
      <c r="I337" s="11" t="n">
        <v>44721</v>
      </c>
      <c r="J337" s="11" t="n">
        <v>44721</v>
      </c>
      <c r="K337" s="11" t="n">
        <v>44721</v>
      </c>
      <c r="L337" s="7" t="inlineStr">
        <is>
          <t>roll following on the LME panel calendar</t>
        </is>
      </c>
      <c r="N337" s="7" t="inlineStr">
        <is>
          <t>DIRECT</t>
        </is>
      </c>
      <c r="O337" s="9" t="n">
        <v>308078.21</v>
      </c>
      <c r="P337" s="9" t="n">
        <v>308078.21</v>
      </c>
      <c r="U337" s="7" t="inlineStr">
        <is>
          <t>PYTHON_LIFECYCLE</t>
        </is>
      </c>
      <c r="V337" s="8">
        <f>$O337</f>
        <v/>
      </c>
      <c r="W337" s="8">
        <f>IF($G337="INR",1,INDEX(Market_Daily!$F$6:$F$256,MATCH($K337,Market_Daily!$A$6:$A$256,0)))</f>
        <v/>
      </c>
      <c r="X337" s="8">
        <f>$V337*$W337</f>
        <v/>
      </c>
      <c r="Y337" s="18">
        <f>$X337-$P337</f>
        <v/>
      </c>
      <c r="Z337" s="8">
        <f>IF(ABS($Y337)&lt;=tol_cashflow_inr,"PASS","FAIL")</f>
        <v/>
      </c>
      <c r="AA337" s="7" t="inlineStr">
        <is>
          <t>-dAV x bcd x (1 + sws) on (P_final - P_provisional)</t>
        </is>
      </c>
    </row>
    <row r="338">
      <c r="A338" s="7" t="inlineStr">
        <is>
          <t>T02</t>
        </is>
      </c>
      <c r="B338" s="7" t="inlineStr">
        <is>
          <t>PURCHASE:L1</t>
        </is>
      </c>
      <c r="C338" s="7" t="inlineStr">
        <is>
          <t>L1</t>
        </is>
      </c>
      <c r="D338" s="7" t="inlineStr">
        <is>
          <t>PURCHASE_FINAL</t>
        </is>
      </c>
      <c r="E338" s="7" t="inlineStr">
        <is>
          <t>PURCHASE_FINAL</t>
        </is>
      </c>
      <c r="F338" s="7" t="inlineStr">
        <is>
          <t>PNL</t>
        </is>
      </c>
      <c r="G338" s="7" t="inlineStr">
        <is>
          <t>USD</t>
        </is>
      </c>
      <c r="H338" s="11" t="n">
        <v>44631</v>
      </c>
      <c r="I338" s="11" t="n">
        <v>44712</v>
      </c>
      <c r="J338" s="11" t="n">
        <v>44721</v>
      </c>
      <c r="K338" s="11" t="n">
        <v>44721</v>
      </c>
      <c r="L338" s="7" t="inlineStr">
        <is>
          <t>roll following on the LME panel calendar</t>
        </is>
      </c>
      <c r="N338" s="7" t="inlineStr">
        <is>
          <t>DIRECT</t>
        </is>
      </c>
      <c r="O338" s="9" t="n">
        <v>159969.39</v>
      </c>
      <c r="P338" s="9" t="n">
        <v>12437491.76</v>
      </c>
      <c r="U338" s="7" t="inlineStr">
        <is>
          <t>PYTHON_LIFECYCLE</t>
        </is>
      </c>
      <c r="V338" s="8">
        <f>$O338</f>
        <v/>
      </c>
      <c r="W338" s="8">
        <f>IF($G338="INR",1,INDEX(Market_Daily!$F$6:$F$256,MATCH($K338,Market_Daily!$A$6:$A$256,0)))</f>
        <v/>
      </c>
      <c r="X338" s="8">
        <f>$V338*$W338</f>
        <v/>
      </c>
      <c r="Y338" s="18">
        <f>$X338-$P338</f>
        <v/>
      </c>
      <c r="Z338" s="8">
        <f>IF(ABS($Y338)&lt;=tol_cashflow_inr,"PASS","FAIL")</f>
        <v/>
      </c>
      <c r="AA338" s="7" t="inlineStr">
        <is>
          <t>-(q_acc x (factor x A_P + premium) x (1 - disc) - provisional)</t>
        </is>
      </c>
    </row>
    <row r="339">
      <c r="A339" s="7" t="inlineStr">
        <is>
          <t>T02</t>
        </is>
      </c>
      <c r="B339" s="7" t="inlineStr">
        <is>
          <t>PURCHASE:L2</t>
        </is>
      </c>
      <c r="C339" s="7" t="inlineStr">
        <is>
          <t>L2</t>
        </is>
      </c>
      <c r="D339" s="7" t="inlineStr">
        <is>
          <t>PURCHASE_FINAL</t>
        </is>
      </c>
      <c r="E339" s="7" t="inlineStr">
        <is>
          <t>PURCHASE_FINAL</t>
        </is>
      </c>
      <c r="F339" s="7" t="inlineStr">
        <is>
          <t>PNL</t>
        </is>
      </c>
      <c r="G339" s="7" t="inlineStr">
        <is>
          <t>USD</t>
        </is>
      </c>
      <c r="H339" s="11" t="n">
        <v>44631</v>
      </c>
      <c r="I339" s="11" t="n">
        <v>44712</v>
      </c>
      <c r="J339" s="11" t="n">
        <v>44721</v>
      </c>
      <c r="K339" s="11" t="n">
        <v>44721</v>
      </c>
      <c r="L339" s="7" t="inlineStr">
        <is>
          <t>roll following on the LME panel calendar</t>
        </is>
      </c>
      <c r="N339" s="7" t="inlineStr">
        <is>
          <t>DIRECT</t>
        </is>
      </c>
      <c r="O339" s="9" t="n">
        <v>84328.11</v>
      </c>
      <c r="P339" s="9" t="n">
        <v>6556442.76</v>
      </c>
      <c r="U339" s="7" t="inlineStr">
        <is>
          <t>PYTHON_LIFECYCLE</t>
        </is>
      </c>
      <c r="V339" s="8">
        <f>$O339</f>
        <v/>
      </c>
      <c r="W339" s="8">
        <f>IF($G339="INR",1,INDEX(Market_Daily!$F$6:$F$256,MATCH($K339,Market_Daily!$A$6:$A$256,0)))</f>
        <v/>
      </c>
      <c r="X339" s="8">
        <f>$V339*$W339</f>
        <v/>
      </c>
      <c r="Y339" s="18">
        <f>$X339-$P339</f>
        <v/>
      </c>
      <c r="Z339" s="8">
        <f>IF(ABS($Y339)&lt;=tol_cashflow_inr,"PASS","FAIL")</f>
        <v/>
      </c>
      <c r="AA339" s="7" t="inlineStr">
        <is>
          <t>-(q_acc x (factor x A_P + premium) x (1 - disc) - provisional)</t>
        </is>
      </c>
    </row>
    <row r="340">
      <c r="A340" s="7" t="inlineStr">
        <is>
          <t>T02</t>
        </is>
      </c>
      <c r="B340" s="7" t="inlineStr">
        <is>
          <t>BILL_COMMISSION:L1</t>
        </is>
      </c>
      <c r="C340" s="7" t="inlineStr">
        <is>
          <t>L1</t>
        </is>
      </c>
      <c r="D340" s="7" t="inlineStr">
        <is>
          <t>IMPORT_BILL_COMMISSION</t>
        </is>
      </c>
      <c r="E340" s="7" t="inlineStr">
        <is>
          <t>IMPORT_BILL_COMMISSION</t>
        </is>
      </c>
      <c r="F340" s="7" t="inlineStr">
        <is>
          <t>PNL</t>
        </is>
      </c>
      <c r="G340" s="7" t="inlineStr">
        <is>
          <t>USD</t>
        </is>
      </c>
      <c r="H340" s="11" t="n">
        <v>44631</v>
      </c>
      <c r="I340" s="11" t="n">
        <v>44746</v>
      </c>
      <c r="J340" s="11" t="n">
        <v>44746</v>
      </c>
      <c r="K340" s="11" t="n">
        <v>44746</v>
      </c>
      <c r="L340" s="7" t="inlineStr">
        <is>
          <t>roll following on the LME panel calendar</t>
        </is>
      </c>
      <c r="N340" s="7" t="inlineStr">
        <is>
          <t>DIRECT</t>
        </is>
      </c>
      <c r="O340" s="9" t="n">
        <v>-1490.28</v>
      </c>
      <c r="P340" s="9" t="n">
        <v>-117606.83</v>
      </c>
      <c r="U340" s="7" t="inlineStr">
        <is>
          <t>PYTHON_LIFECYCLE</t>
        </is>
      </c>
      <c r="V340" s="8">
        <f>$O340</f>
        <v/>
      </c>
      <c r="W340" s="8">
        <f>IF($G340="INR",1,INDEX(Market_Daily!$F$6:$F$256,MATCH($K340,Market_Daily!$A$6:$A$256,0)))</f>
        <v/>
      </c>
      <c r="X340" s="8">
        <f>$V340*$W340</f>
        <v/>
      </c>
      <c r="Y340" s="18">
        <f>$X340-$P340</f>
        <v/>
      </c>
      <c r="Z340" s="8">
        <f>IF(ABS($Y340)&lt;=tol_cashflow_inr,"PASS","FAIL")</f>
        <v/>
      </c>
      <c r="AA340" s="7" t="inlineStr">
        <is>
          <t>-import_bill_commission_frac x bill_usd</t>
        </is>
      </c>
    </row>
    <row r="341">
      <c r="A341" s="7" t="inlineStr">
        <is>
          <t>T02</t>
        </is>
      </c>
      <c r="B341" s="7" t="inlineStr">
        <is>
          <t>FX:T02-FX-1</t>
        </is>
      </c>
      <c r="C341" s="7" t="inlineStr">
        <is>
          <t>T02-FX-1</t>
        </is>
      </c>
      <c r="D341" s="7" t="inlineStr">
        <is>
          <t>FX_FORWARD</t>
        </is>
      </c>
      <c r="E341" s="7" t="inlineStr">
        <is>
          <t>FX_FORWARD</t>
        </is>
      </c>
      <c r="F341" s="7" t="inlineStr">
        <is>
          <t>PNL</t>
        </is>
      </c>
      <c r="G341" s="7" t="inlineStr">
        <is>
          <t>INR</t>
        </is>
      </c>
      <c r="H341" s="11" t="n">
        <v>44656</v>
      </c>
      <c r="I341" s="11" t="n">
        <v>44746</v>
      </c>
      <c r="J341" s="11" t="n">
        <v>44746</v>
      </c>
      <c r="K341" s="11" t="n">
        <v>44746</v>
      </c>
      <c r="L341" s="7" t="inlineStr">
        <is>
          <t>roll following on the LME panel calendar</t>
        </is>
      </c>
      <c r="N341" s="7" t="inlineStr">
        <is>
          <t>PROXY</t>
        </is>
      </c>
      <c r="O341" s="9" t="n">
        <v>3570961.9</v>
      </c>
      <c r="P341" s="9" t="n">
        <v>3570961.9</v>
      </c>
      <c r="Q341" s="6" t="n">
        <v>1</v>
      </c>
      <c r="R341" s="13" t="n">
        <v>1241900</v>
      </c>
      <c r="S341" s="12" t="n">
        <v>44746</v>
      </c>
      <c r="T341" s="21" t="n">
        <v>76.040598</v>
      </c>
      <c r="U341" s="7" t="inlineStr">
        <is>
          <t>DERIVED_IN_WORKBOOK</t>
        </is>
      </c>
      <c r="V341" s="8">
        <f>$Q341*$R341*(IF($S341&lt;$K341,INDEX(Market_Daily!$F$6:$F$256,MATCH($S341,Market_Daily!$A$6:$A$256,1)),IF($S341=$K341,INDEX(Market_Daily!$F$6:$F$256,MATCH($K341,Market_Daily!$A$6:$A$256,0)),(INDEX(Market_Daily!$F$6:$F$256,MATCH($K341,Market_Daily!$A$6:$A$256,0))*(1+INDEX(Market_Daily!$I$6:$I$256,MATCH($K341,Market_Daily!$A$6:$A$256,0))*($S341-$K341)/day_count_inr)/(1+INDEX(Market_Daily!$J$6:$J$256,MATCH($K341,Market_Daily!$A$6:$A$256,0))*($S341-$K341)/day_count_usd))))-$T341)</f>
        <v/>
      </c>
      <c r="W341" s="8">
        <f>IF($G341="INR",1,INDEX(Market_Daily!$F$6:$F$256,MATCH($K341,Market_Daily!$A$6:$A$256,0)))</f>
        <v/>
      </c>
      <c r="X341" s="8">
        <f>$V341*$W341</f>
        <v/>
      </c>
      <c r="Y341" s="18">
        <f>$X341-$P341</f>
        <v/>
      </c>
      <c r="Z341" s="8">
        <f>IF(ABS($Y341)&lt;=tol_cashflow_inr,"PASS","FAIL")</f>
        <v/>
      </c>
      <c r="AA341" s="7" t="inlineStr">
        <is>
          <t>sign x notional x (X(tau, value_date) - K)</t>
        </is>
      </c>
    </row>
    <row r="342">
      <c r="A342" s="7" t="inlineStr">
        <is>
          <t>T02</t>
        </is>
      </c>
      <c r="B342" s="7" t="inlineStr">
        <is>
          <t>FX:T02-FX-3</t>
        </is>
      </c>
      <c r="C342" s="7" t="inlineStr">
        <is>
          <t>T02-FX-3</t>
        </is>
      </c>
      <c r="D342" s="7" t="inlineStr">
        <is>
          <t>FX_FORWARD</t>
        </is>
      </c>
      <c r="E342" s="7" t="inlineStr">
        <is>
          <t>FX_FORWARD</t>
        </is>
      </c>
      <c r="F342" s="7" t="inlineStr">
        <is>
          <t>PNL</t>
        </is>
      </c>
      <c r="G342" s="7" t="inlineStr">
        <is>
          <t>INR</t>
        </is>
      </c>
      <c r="H342" s="11" t="n">
        <v>44713</v>
      </c>
      <c r="I342" s="11" t="n">
        <v>44746</v>
      </c>
      <c r="J342" s="11" t="n">
        <v>44746</v>
      </c>
      <c r="K342" s="11" t="n">
        <v>44746</v>
      </c>
      <c r="L342" s="7" t="inlineStr">
        <is>
          <t>roll following on the LME panel calendar</t>
        </is>
      </c>
      <c r="N342" s="7" t="inlineStr">
        <is>
          <t>PROXY</t>
        </is>
      </c>
      <c r="O342" s="9" t="n">
        <v>-297612.86</v>
      </c>
      <c r="P342" s="9" t="n">
        <v>-297612.86</v>
      </c>
      <c r="Q342" s="6" t="n">
        <v>-1</v>
      </c>
      <c r="R342" s="13" t="n">
        <v>240000</v>
      </c>
      <c r="S342" s="12" t="n">
        <v>44746</v>
      </c>
      <c r="T342" s="21" t="n">
        <v>77.675946</v>
      </c>
      <c r="U342" s="7" t="inlineStr">
        <is>
          <t>DERIVED_IN_WORKBOOK</t>
        </is>
      </c>
      <c r="V342" s="8">
        <f>$Q342*$R342*(IF($S342&lt;$K342,INDEX(Market_Daily!$F$6:$F$256,MATCH($S342,Market_Daily!$A$6:$A$256,1)),IF($S342=$K342,INDEX(Market_Daily!$F$6:$F$256,MATCH($K342,Market_Daily!$A$6:$A$256,0)),(INDEX(Market_Daily!$F$6:$F$256,MATCH($K342,Market_Daily!$A$6:$A$256,0))*(1+INDEX(Market_Daily!$I$6:$I$256,MATCH($K342,Market_Daily!$A$6:$A$256,0))*($S342-$K342)/day_count_inr)/(1+INDEX(Market_Daily!$J$6:$J$256,MATCH($K342,Market_Daily!$A$6:$A$256,0))*($S342-$K342)/day_count_usd))))-$T342)</f>
        <v/>
      </c>
      <c r="W342" s="8">
        <f>IF($G342="INR",1,INDEX(Market_Daily!$F$6:$F$256,MATCH($K342,Market_Daily!$A$6:$A$256,0)))</f>
        <v/>
      </c>
      <c r="X342" s="8">
        <f>$V342*$W342</f>
        <v/>
      </c>
      <c r="Y342" s="18">
        <f>$X342-$P342</f>
        <v/>
      </c>
      <c r="Z342" s="8">
        <f>IF(ABS($Y342)&lt;=tol_cashflow_inr,"PASS","FAIL")</f>
        <v/>
      </c>
      <c r="AA342" s="7" t="inlineStr">
        <is>
          <t>sign x notional x (X(tau, value_date) - K)</t>
        </is>
      </c>
    </row>
    <row r="343">
      <c r="A343" s="7" t="inlineStr">
        <is>
          <t>T02</t>
        </is>
      </c>
      <c r="B343" s="7" t="inlineStr">
        <is>
          <t>PURCHASE:L1</t>
        </is>
      </c>
      <c r="C343" s="7" t="inlineStr">
        <is>
          <t>L1</t>
        </is>
      </c>
      <c r="D343" s="7" t="inlineStr">
        <is>
          <t>PURCHASE_PROVISIONAL</t>
        </is>
      </c>
      <c r="E343" s="7" t="inlineStr">
        <is>
          <t>PURCHASE_PROVISIONAL</t>
        </is>
      </c>
      <c r="F343" s="7" t="inlineStr">
        <is>
          <t>PNL</t>
        </is>
      </c>
      <c r="G343" s="7" t="inlineStr">
        <is>
          <t>USD</t>
        </is>
      </c>
      <c r="H343" s="11" t="n">
        <v>44631</v>
      </c>
      <c r="I343" s="11" t="n">
        <v>44656</v>
      </c>
      <c r="J343" s="11" t="n">
        <v>44746</v>
      </c>
      <c r="K343" s="11" t="n">
        <v>44746</v>
      </c>
      <c r="L343" s="7" t="inlineStr">
        <is>
          <t>roll following on the LME panel calendar</t>
        </is>
      </c>
      <c r="N343" s="7" t="inlineStr">
        <is>
          <t>DIRECT</t>
        </is>
      </c>
      <c r="O343" s="9" t="n">
        <v>-1241898.9</v>
      </c>
      <c r="P343" s="9" t="n">
        <v>-98005693.59</v>
      </c>
      <c r="U343" s="7" t="inlineStr">
        <is>
          <t>PYTHON_LIFECYCLE</t>
        </is>
      </c>
      <c r="V343" s="8">
        <f>$O343</f>
        <v/>
      </c>
      <c r="W343" s="8">
        <f>IF($G343="INR",1,INDEX(Market_Daily!$F$6:$F$256,MATCH($K343,Market_Daily!$A$6:$A$256,0)))</f>
        <v/>
      </c>
      <c r="X343" s="8">
        <f>$V343*$W343</f>
        <v/>
      </c>
      <c r="Y343" s="18">
        <f>$X343-$P343</f>
        <v/>
      </c>
      <c r="Z343" s="8">
        <f>IF(ABS($Y343)&lt;=tol_cashflow_inr,"PASS","FAIL")</f>
        <v/>
      </c>
      <c r="AA343" s="7" t="inlineStr">
        <is>
          <t>-provisional_frac x q_bl x (factor x cash(bl) + premium)</t>
        </is>
      </c>
    </row>
    <row r="344">
      <c r="A344" s="7" t="inlineStr">
        <is>
          <t>T02</t>
        </is>
      </c>
      <c r="B344" s="7" t="inlineStr">
        <is>
          <t>USANCE_INTEREST:L1</t>
        </is>
      </c>
      <c r="C344" s="7" t="inlineStr">
        <is>
          <t>L1</t>
        </is>
      </c>
      <c r="D344" s="7" t="inlineStr">
        <is>
          <t>USANCE_INTEREST</t>
        </is>
      </c>
      <c r="E344" s="7" t="inlineStr">
        <is>
          <t>USANCE_INTEREST</t>
        </is>
      </c>
      <c r="F344" s="7" t="inlineStr">
        <is>
          <t>PNL</t>
        </is>
      </c>
      <c r="G344" s="7" t="inlineStr">
        <is>
          <t>USD</t>
        </is>
      </c>
      <c r="H344" s="11" t="n">
        <v>44631</v>
      </c>
      <c r="I344" s="11" t="n">
        <v>44663</v>
      </c>
      <c r="J344" s="11" t="n">
        <v>44746</v>
      </c>
      <c r="K344" s="11" t="n">
        <v>44746</v>
      </c>
      <c r="L344" s="7" t="inlineStr">
        <is>
          <t>roll following on the LME panel calendar</t>
        </is>
      </c>
      <c r="N344" s="7" t="inlineStr">
        <is>
          <t>PROXY</t>
        </is>
      </c>
      <c r="O344" s="9" t="n">
        <v>-6953.7</v>
      </c>
      <c r="P344" s="9" t="n">
        <v>-548758.38</v>
      </c>
      <c r="U344" s="7" t="inlineStr">
        <is>
          <t>PYTHON_LIFECYCLE</t>
        </is>
      </c>
      <c r="V344" s="8">
        <f>$O344</f>
        <v/>
      </c>
      <c r="W344" s="8">
        <f>IF($G344="INR",1,INDEX(Market_Daily!$F$6:$F$256,MATCH($K344,Market_Daily!$A$6:$A$256,0)))</f>
        <v/>
      </c>
      <c r="X344" s="8">
        <f>$V344*$W344</f>
        <v/>
      </c>
      <c r="Y344" s="18">
        <f>$X344-$P344</f>
        <v/>
      </c>
      <c r="Z344" s="8">
        <f>IF(ABS($Y344)&lt;=tol_cashflow_inr,"PASS","FAIL")</f>
        <v/>
      </c>
      <c r="AA344" s="7" t="inlineStr">
        <is>
          <t>-bill_usd x (usd_rate_3m_pa@acceptance + usance_interest_spread_pa) x days/360</t>
        </is>
      </c>
    </row>
    <row r="345">
      <c r="A345" s="7" t="inlineStr">
        <is>
          <t>T02</t>
        </is>
      </c>
      <c r="B345" s="7" t="inlineStr">
        <is>
          <t>BILL_COMMISSION:L2</t>
        </is>
      </c>
      <c r="C345" s="7" t="inlineStr">
        <is>
          <t>L2</t>
        </is>
      </c>
      <c r="D345" s="7" t="inlineStr">
        <is>
          <t>IMPORT_BILL_COMMISSION</t>
        </is>
      </c>
      <c r="E345" s="7" t="inlineStr">
        <is>
          <t>IMPORT_BILL_COMMISSION</t>
        </is>
      </c>
      <c r="F345" s="7" t="inlineStr">
        <is>
          <t>PNL</t>
        </is>
      </c>
      <c r="G345" s="7" t="inlineStr">
        <is>
          <t>USD</t>
        </is>
      </c>
      <c r="H345" s="11" t="n">
        <v>44631</v>
      </c>
      <c r="I345" s="11" t="n">
        <v>44754</v>
      </c>
      <c r="J345" s="11" t="n">
        <v>44754</v>
      </c>
      <c r="K345" s="11" t="n">
        <v>44754</v>
      </c>
      <c r="L345" s="7" t="inlineStr">
        <is>
          <t>roll following on the LME panel calendar</t>
        </is>
      </c>
      <c r="N345" s="7" t="inlineStr">
        <is>
          <t>DIRECT</t>
        </is>
      </c>
      <c r="O345" s="9" t="n">
        <v>-1399.51</v>
      </c>
      <c r="P345" s="9" t="n">
        <v>-111348.17</v>
      </c>
      <c r="U345" s="7" t="inlineStr">
        <is>
          <t>PYTHON_LIFECYCLE</t>
        </is>
      </c>
      <c r="V345" s="8">
        <f>$O345</f>
        <v/>
      </c>
      <c r="W345" s="8">
        <f>IF($G345="INR",1,INDEX(Market_Daily!$F$6:$F$256,MATCH($K345,Market_Daily!$A$6:$A$256,0)))</f>
        <v/>
      </c>
      <c r="X345" s="8">
        <f>$V345*$W345</f>
        <v/>
      </c>
      <c r="Y345" s="18">
        <f>$X345-$P345</f>
        <v/>
      </c>
      <c r="Z345" s="8">
        <f>IF(ABS($Y345)&lt;=tol_cashflow_inr,"PASS","FAIL")</f>
        <v/>
      </c>
      <c r="AA345" s="7" t="inlineStr">
        <is>
          <t>-import_bill_commission_frac x bill_usd</t>
        </is>
      </c>
    </row>
    <row r="346">
      <c r="A346" s="7" t="inlineStr">
        <is>
          <t>T02</t>
        </is>
      </c>
      <c r="B346" s="7" t="inlineStr">
        <is>
          <t>FX:T02-FX-2</t>
        </is>
      </c>
      <c r="C346" s="7" t="inlineStr">
        <is>
          <t>T02-FX-2</t>
        </is>
      </c>
      <c r="D346" s="7" t="inlineStr">
        <is>
          <t>FX_FORWARD</t>
        </is>
      </c>
      <c r="E346" s="7" t="inlineStr">
        <is>
          <t>FX_FORWARD</t>
        </is>
      </c>
      <c r="F346" s="7" t="inlineStr">
        <is>
          <t>PNL</t>
        </is>
      </c>
      <c r="G346" s="7" t="inlineStr">
        <is>
          <t>INR</t>
        </is>
      </c>
      <c r="H346" s="11" t="n">
        <v>44664</v>
      </c>
      <c r="I346" s="11" t="n">
        <v>44754</v>
      </c>
      <c r="J346" s="11" t="n">
        <v>44754</v>
      </c>
      <c r="K346" s="11" t="n">
        <v>44754</v>
      </c>
      <c r="L346" s="7" t="inlineStr">
        <is>
          <t>roll following on the LME panel calendar</t>
        </is>
      </c>
      <c r="N346" s="7" t="inlineStr">
        <is>
          <t>PROXY</t>
        </is>
      </c>
      <c r="O346" s="9" t="n">
        <v>3129151.73</v>
      </c>
      <c r="P346" s="9" t="n">
        <v>3129151.73</v>
      </c>
      <c r="Q346" s="6" t="n">
        <v>1</v>
      </c>
      <c r="R346" s="13" t="n">
        <v>1166000</v>
      </c>
      <c r="S346" s="12" t="n">
        <v>44754</v>
      </c>
      <c r="T346" s="21" t="n">
        <v>76.878636</v>
      </c>
      <c r="U346" s="7" t="inlineStr">
        <is>
          <t>DERIVED_IN_WORKBOOK</t>
        </is>
      </c>
      <c r="V346" s="8">
        <f>$Q346*$R346*(IF($S346&lt;$K346,INDEX(Market_Daily!$F$6:$F$256,MATCH($S346,Market_Daily!$A$6:$A$256,1)),IF($S346=$K346,INDEX(Market_Daily!$F$6:$F$256,MATCH($K346,Market_Daily!$A$6:$A$256,0)),(INDEX(Market_Daily!$F$6:$F$256,MATCH($K346,Market_Daily!$A$6:$A$256,0))*(1+INDEX(Market_Daily!$I$6:$I$256,MATCH($K346,Market_Daily!$A$6:$A$256,0))*($S346-$K346)/day_count_inr)/(1+INDEX(Market_Daily!$J$6:$J$256,MATCH($K346,Market_Daily!$A$6:$A$256,0))*($S346-$K346)/day_count_usd))))-$T346)</f>
        <v/>
      </c>
      <c r="W346" s="8">
        <f>IF($G346="INR",1,INDEX(Market_Daily!$F$6:$F$256,MATCH($K346,Market_Daily!$A$6:$A$256,0)))</f>
        <v/>
      </c>
      <c r="X346" s="8">
        <f>$V346*$W346</f>
        <v/>
      </c>
      <c r="Y346" s="18">
        <f>$X346-$P346</f>
        <v/>
      </c>
      <c r="Z346" s="8">
        <f>IF(ABS($Y346)&lt;=tol_cashflow_inr,"PASS","FAIL")</f>
        <v/>
      </c>
      <c r="AA346" s="7" t="inlineStr">
        <is>
          <t>sign x notional x (X(tau, value_date) - K)</t>
        </is>
      </c>
    </row>
    <row r="347">
      <c r="A347" s="7" t="inlineStr">
        <is>
          <t>T02</t>
        </is>
      </c>
      <c r="B347" s="7" t="inlineStr">
        <is>
          <t>PURCHASE:L2</t>
        </is>
      </c>
      <c r="C347" s="7" t="inlineStr">
        <is>
          <t>L2</t>
        </is>
      </c>
      <c r="D347" s="7" t="inlineStr">
        <is>
          <t>PURCHASE_PROVISIONAL</t>
        </is>
      </c>
      <c r="E347" s="7" t="inlineStr">
        <is>
          <t>PURCHASE_PROVISIONAL</t>
        </is>
      </c>
      <c r="F347" s="7" t="inlineStr">
        <is>
          <t>PNL</t>
        </is>
      </c>
      <c r="G347" s="7" t="inlineStr">
        <is>
          <t>USD</t>
        </is>
      </c>
      <c r="H347" s="11" t="n">
        <v>44631</v>
      </c>
      <c r="I347" s="11" t="n">
        <v>44664</v>
      </c>
      <c r="J347" s="11" t="n">
        <v>44754</v>
      </c>
      <c r="K347" s="11" t="n">
        <v>44754</v>
      </c>
      <c r="L347" s="7" t="inlineStr">
        <is>
          <t>roll following on the LME panel calendar</t>
        </is>
      </c>
      <c r="N347" s="7" t="inlineStr">
        <is>
          <t>DIRECT</t>
        </is>
      </c>
      <c r="O347" s="9" t="n">
        <v>-1166257.62</v>
      </c>
      <c r="P347" s="9" t="n">
        <v>-92790138.64</v>
      </c>
      <c r="U347" s="7" t="inlineStr">
        <is>
          <t>PYTHON_LIFECYCLE</t>
        </is>
      </c>
      <c r="V347" s="8">
        <f>$O347</f>
        <v/>
      </c>
      <c r="W347" s="8">
        <f>IF($G347="INR",1,INDEX(Market_Daily!$F$6:$F$256,MATCH($K347,Market_Daily!$A$6:$A$256,0)))</f>
        <v/>
      </c>
      <c r="X347" s="8">
        <f>$V347*$W347</f>
        <v/>
      </c>
      <c r="Y347" s="18">
        <f>$X347-$P347</f>
        <v/>
      </c>
      <c r="Z347" s="8">
        <f>IF(ABS($Y347)&lt;=tol_cashflow_inr,"PASS","FAIL")</f>
        <v/>
      </c>
      <c r="AA347" s="7" t="inlineStr">
        <is>
          <t>-provisional_frac x q_bl x (factor x cash(bl) + premium)</t>
        </is>
      </c>
    </row>
    <row r="348">
      <c r="A348" s="7" t="inlineStr">
        <is>
          <t>T02</t>
        </is>
      </c>
      <c r="B348" s="7" t="inlineStr">
        <is>
          <t>USANCE_INTEREST:L2</t>
        </is>
      </c>
      <c r="C348" s="7" t="inlineStr">
        <is>
          <t>L2</t>
        </is>
      </c>
      <c r="D348" s="7" t="inlineStr">
        <is>
          <t>USANCE_INTEREST</t>
        </is>
      </c>
      <c r="E348" s="7" t="inlineStr">
        <is>
          <t>USANCE_INTEREST</t>
        </is>
      </c>
      <c r="F348" s="7" t="inlineStr">
        <is>
          <t>PNL</t>
        </is>
      </c>
      <c r="G348" s="7" t="inlineStr">
        <is>
          <t>USD</t>
        </is>
      </c>
      <c r="H348" s="11" t="n">
        <v>44631</v>
      </c>
      <c r="I348" s="11" t="n">
        <v>44671</v>
      </c>
      <c r="J348" s="11" t="n">
        <v>44754</v>
      </c>
      <c r="K348" s="11" t="n">
        <v>44754</v>
      </c>
      <c r="L348" s="7" t="inlineStr">
        <is>
          <t>roll following on the LME panel calendar</t>
        </is>
      </c>
      <c r="N348" s="7" t="inlineStr">
        <is>
          <t>PROXY</t>
        </is>
      </c>
      <c r="O348" s="9" t="n">
        <v>-6760.21</v>
      </c>
      <c r="P348" s="9" t="n">
        <v>-537858.04</v>
      </c>
      <c r="U348" s="7" t="inlineStr">
        <is>
          <t>PYTHON_LIFECYCLE</t>
        </is>
      </c>
      <c r="V348" s="8">
        <f>$O348</f>
        <v/>
      </c>
      <c r="W348" s="8">
        <f>IF($G348="INR",1,INDEX(Market_Daily!$F$6:$F$256,MATCH($K348,Market_Daily!$A$6:$A$256,0)))</f>
        <v/>
      </c>
      <c r="X348" s="8">
        <f>$V348*$W348</f>
        <v/>
      </c>
      <c r="Y348" s="18">
        <f>$X348-$P348</f>
        <v/>
      </c>
      <c r="Z348" s="8">
        <f>IF(ABS($Y348)&lt;=tol_cashflow_inr,"PASS","FAIL")</f>
        <v/>
      </c>
      <c r="AA348" s="7" t="inlineStr">
        <is>
          <t>-bill_usd x (usd_rate_3m_pa@acceptance + usance_interest_spread_pa) x days/360</t>
        </is>
      </c>
    </row>
    <row r="349">
      <c r="A349" s="7" t="inlineStr">
        <is>
          <t>T03</t>
        </is>
      </c>
      <c r="B349" s="7" t="inlineStr">
        <is>
          <t>MCX:T03-MCX-1</t>
        </is>
      </c>
      <c r="C349" s="7" t="inlineStr">
        <is>
          <t>T03-MCX-1</t>
        </is>
      </c>
      <c r="D349" s="7" t="inlineStr">
        <is>
          <t>MCX_INITIAL_MARGIN</t>
        </is>
      </c>
      <c r="E349" s="7" t="inlineStr">
        <is>
          <t>MCX_INITIAL_MARGIN</t>
        </is>
      </c>
      <c r="F349" s="7" t="inlineStr">
        <is>
          <t>BS</t>
        </is>
      </c>
      <c r="G349" s="7" t="inlineStr">
        <is>
          <t>INR</t>
        </is>
      </c>
      <c r="H349" s="11" t="n">
        <v>44643</v>
      </c>
      <c r="I349" s="11" t="n">
        <v>44643</v>
      </c>
      <c r="J349" s="11" t="n">
        <v>44643</v>
      </c>
      <c r="K349" s="11" t="n">
        <v>44643</v>
      </c>
      <c r="L349" s="7" t="inlineStr">
        <is>
          <t>roll following on the LME panel calendar</t>
        </is>
      </c>
      <c r="N349" s="7" t="inlineStr">
        <is>
          <t>PROXY</t>
        </is>
      </c>
      <c r="O349" s="9" t="n">
        <v>-21142474.62</v>
      </c>
      <c r="P349" s="9" t="n">
        <v>-21142474.62</v>
      </c>
      <c r="U349" s="7" t="inlineStr">
        <is>
          <t>DERIVED_IN_WORKBOOK</t>
        </is>
      </c>
      <c r="V349" s="8">
        <f>-SUMIFS(Cashflows!$W$1043:$W$1393,Cashflows!$B$1043:$B$1393,$C349,Cashflows!$C$1043:$C$1393,$K349)</f>
        <v/>
      </c>
      <c r="W349" s="8">
        <f>IF($G349="INR",1,INDEX(Market_Daily!$F$6:$F$256,MATCH($K349,Market_Daily!$A$6:$A$256,0)))</f>
        <v/>
      </c>
      <c r="X349" s="8">
        <f>$V349*$W349</f>
        <v/>
      </c>
      <c r="Y349" s="18">
        <f>$X349-$P349</f>
        <v/>
      </c>
      <c r="Z349" s="8">
        <f>IF(ABS($Y349)&lt;=tol_cashflow_inr,"PASS","FAIL")</f>
        <v/>
      </c>
      <c r="AA349" s="7" t="inlineStr">
        <is>
          <t>-d(lots x lot_kg x F(s) x mcx_al_margin_used_frac)</t>
        </is>
      </c>
    </row>
    <row r="350">
      <c r="A350" s="7" t="inlineStr">
        <is>
          <t>T03</t>
        </is>
      </c>
      <c r="B350" s="7" t="inlineStr">
        <is>
          <t>MCX:T03-MCX-1</t>
        </is>
      </c>
      <c r="C350" s="7" t="inlineStr">
        <is>
          <t>T03-MCX-1</t>
        </is>
      </c>
      <c r="D350" s="7" t="inlineStr">
        <is>
          <t>MCX_SLIPPAGE</t>
        </is>
      </c>
      <c r="E350" s="7" t="inlineStr">
        <is>
          <t>MCX_SLIPPAGE</t>
        </is>
      </c>
      <c r="F350" s="7" t="inlineStr">
        <is>
          <t>PNL</t>
        </is>
      </c>
      <c r="G350" s="7" t="inlineStr">
        <is>
          <t>INR</t>
        </is>
      </c>
      <c r="H350" s="11" t="n">
        <v>44643</v>
      </c>
      <c r="J350" s="11" t="n">
        <v>44643</v>
      </c>
      <c r="K350" s="11" t="n">
        <v>44643</v>
      </c>
      <c r="L350" s="7" t="inlineStr">
        <is>
          <t>roll following on the LME panel calendar</t>
        </is>
      </c>
      <c r="N350" s="7" t="inlineStr">
        <is>
          <t>ASSUMPTION</t>
        </is>
      </c>
      <c r="O350" s="9" t="n">
        <v>-71500</v>
      </c>
      <c r="P350" s="9" t="n">
        <v>-71500</v>
      </c>
      <c r="U350" s="7" t="inlineStr">
        <is>
          <t>DERIVED_IN_WORKBOOK</t>
        </is>
      </c>
      <c r="V350" s="8">
        <f>SUMIFS(Cashflows!$Z$1043:$Z$1393,Cashflows!$B$1043:$B$1393,$C350,Cashflows!$C$1043:$C$1393,$K350)</f>
        <v/>
      </c>
      <c r="W350" s="8">
        <f>IF($G350="INR",1,INDEX(Market_Daily!$F$6:$F$256,MATCH($K350,Market_Daily!$A$6:$A$256,0)))</f>
        <v/>
      </c>
      <c r="X350" s="8">
        <f>$V350*$W350</f>
        <v/>
      </c>
      <c r="Y350" s="18">
        <f>$X350-$P350</f>
        <v/>
      </c>
      <c r="Z350" s="8">
        <f>IF(ABS($Y350)&lt;=tol_cashflow_inr,"PASS","FAIL")</f>
        <v/>
      </c>
      <c r="AA350" s="7" t="inlineStr">
        <is>
          <t>-lots x lot_kg x mcx_slippage_ticks x tick</t>
        </is>
      </c>
    </row>
    <row r="351">
      <c r="A351" s="7" t="inlineStr">
        <is>
          <t>T03</t>
        </is>
      </c>
      <c r="B351" s="7" t="inlineStr">
        <is>
          <t>MCX:T03-MCX-1</t>
        </is>
      </c>
      <c r="C351" s="7" t="inlineStr">
        <is>
          <t>T03-MCX-1</t>
        </is>
      </c>
      <c r="D351" s="7" t="inlineStr">
        <is>
          <t>MCX_TRANSACTION_COST</t>
        </is>
      </c>
      <c r="E351" s="7" t="inlineStr">
        <is>
          <t>MCX_TRANSACTION_COST</t>
        </is>
      </c>
      <c r="F351" s="7" t="inlineStr">
        <is>
          <t>PNL</t>
        </is>
      </c>
      <c r="G351" s="7" t="inlineStr">
        <is>
          <t>INR</t>
        </is>
      </c>
      <c r="H351" s="11" t="n">
        <v>44643</v>
      </c>
      <c r="I351" s="11" t="n">
        <v>44643</v>
      </c>
      <c r="J351" s="11" t="n">
        <v>44643</v>
      </c>
      <c r="K351" s="11" t="n">
        <v>44643</v>
      </c>
      <c r="L351" s="7" t="inlineStr">
        <is>
          <t>roll following on the LME panel calendar</t>
        </is>
      </c>
      <c r="N351" s="7" t="inlineStr">
        <is>
          <t>ASSUMPTION</t>
        </is>
      </c>
      <c r="O351" s="9" t="n">
        <v>-63405.97</v>
      </c>
      <c r="P351" s="9" t="n">
        <v>-63405.97</v>
      </c>
      <c r="U351" s="7" t="inlineStr">
        <is>
          <t>DERIVED_IN_WORKBOOK</t>
        </is>
      </c>
      <c r="V351" s="8">
        <f>SUMIFS(Cashflows!$AA$1043:$AA$1393,Cashflows!$B$1043:$B$1393,$C351,Cashflows!$C$1043:$C$1393,$K351)</f>
        <v/>
      </c>
      <c r="W351" s="8">
        <f>IF($G351="INR",1,INDEX(Market_Daily!$F$6:$F$256,MATCH($K351,Market_Daily!$A$6:$A$256,0)))</f>
        <v/>
      </c>
      <c r="X351" s="8">
        <f>$V351*$W351</f>
        <v/>
      </c>
      <c r="Y351" s="18">
        <f>$X351-$P351</f>
        <v/>
      </c>
      <c r="Z351" s="8">
        <f>IF(ABS($Y351)&lt;=tol_cashflow_inr,"PASS","FAIL")</f>
        <v/>
      </c>
      <c r="AA351" s="7" t="inlineStr">
        <is>
          <t>-lots x lot_kg x fill x mcx_txn_cost_frac</t>
        </is>
      </c>
    </row>
    <row r="352">
      <c r="A352" s="7" t="inlineStr">
        <is>
          <t>T03</t>
        </is>
      </c>
      <c r="B352" s="7" t="inlineStr">
        <is>
          <t>MCX:T03-MCX-1</t>
        </is>
      </c>
      <c r="C352" s="7" t="inlineStr">
        <is>
          <t>T03-MCX-1</t>
        </is>
      </c>
      <c r="D352" s="7" t="inlineStr">
        <is>
          <t>MCX_VARIATION_MARGIN</t>
        </is>
      </c>
      <c r="E352" s="7" t="inlineStr">
        <is>
          <t>MCX_VARIATION_MARGIN</t>
        </is>
      </c>
      <c r="F352" s="7" t="inlineStr">
        <is>
          <t>PNL</t>
        </is>
      </c>
      <c r="G352" s="7" t="inlineStr">
        <is>
          <t>INR</t>
        </is>
      </c>
      <c r="H352" s="11" t="n">
        <v>44643</v>
      </c>
      <c r="I352" s="11" t="n">
        <v>44643</v>
      </c>
      <c r="J352" s="11" t="n">
        <v>44643</v>
      </c>
      <c r="K352" s="11" t="n">
        <v>44643</v>
      </c>
      <c r="L352" s="7" t="inlineStr">
        <is>
          <t>roll following on the LME panel calendar</t>
        </is>
      </c>
      <c r="N352" s="7" t="inlineStr">
        <is>
          <t>PROXY</t>
        </is>
      </c>
      <c r="O352" s="9" t="n">
        <v>-0</v>
      </c>
      <c r="P352" s="9" t="n">
        <v>-0</v>
      </c>
      <c r="U352" s="7" t="inlineStr">
        <is>
          <t>DERIVED_IN_WORKBOOK</t>
        </is>
      </c>
      <c r="V352" s="8">
        <f>SUMIFS(Cashflows!$R$1043:$R$1393,Cashflows!$B$1043:$B$1393,$C352,Cashflows!$C$1043:$C$1393,$K352)</f>
        <v/>
      </c>
      <c r="W352" s="8">
        <f>IF($G352="INR",1,INDEX(Market_Daily!$F$6:$F$256,MATCH($K352,Market_Daily!$A$6:$A$256,0)))</f>
        <v/>
      </c>
      <c r="X352" s="8">
        <f>$V352*$W352</f>
        <v/>
      </c>
      <c r="Y352" s="18">
        <f>$X352-$P352</f>
        <v/>
      </c>
      <c r="Z352" s="8">
        <f>IF(ABS($Y352)&lt;=tol_cashflow_inr,"PASS","FAIL")</f>
        <v/>
      </c>
      <c r="AA352" s="7" t="inlineStr">
        <is>
          <t>direction x lots x lot_kg x (F(entry) - entry settle) = 0 by construction</t>
        </is>
      </c>
    </row>
    <row r="353">
      <c r="A353" s="7" t="inlineStr">
        <is>
          <t>T03</t>
        </is>
      </c>
      <c r="B353" s="7" t="inlineStr">
        <is>
          <t>MCX:T03-MCX-1</t>
        </is>
      </c>
      <c r="C353" s="7" t="inlineStr">
        <is>
          <t>T03-MCX-1</t>
        </is>
      </c>
      <c r="D353" s="7" t="inlineStr">
        <is>
          <t>MCX_INITIAL_MARGIN</t>
        </is>
      </c>
      <c r="E353" s="7" t="inlineStr">
        <is>
          <t>MCX_INITIAL_MARGIN</t>
        </is>
      </c>
      <c r="F353" s="7" t="inlineStr">
        <is>
          <t>BS</t>
        </is>
      </c>
      <c r="G353" s="7" t="inlineStr">
        <is>
          <t>INR</t>
        </is>
      </c>
      <c r="H353" s="11" t="n">
        <v>44643</v>
      </c>
      <c r="I353" s="11" t="n">
        <v>44644</v>
      </c>
      <c r="J353" s="11" t="n">
        <v>44644</v>
      </c>
      <c r="K353" s="11" t="n">
        <v>44644</v>
      </c>
      <c r="L353" s="7" t="inlineStr">
        <is>
          <t>roll following on the LME panel calendar</t>
        </is>
      </c>
      <c r="N353" s="7" t="inlineStr">
        <is>
          <t>PROXY</t>
        </is>
      </c>
      <c r="O353" s="9" t="n">
        <v>-606320.3199999999</v>
      </c>
      <c r="P353" s="9" t="n">
        <v>-606320.3199999999</v>
      </c>
      <c r="U353" s="7" t="inlineStr">
        <is>
          <t>DERIVED_IN_WORKBOOK</t>
        </is>
      </c>
      <c r="V353" s="8">
        <f>-SUMIFS(Cashflows!$W$1043:$W$1393,Cashflows!$B$1043:$B$1393,$C353,Cashflows!$C$1043:$C$1393,$K353)</f>
        <v/>
      </c>
      <c r="W353" s="8">
        <f>IF($G353="INR",1,INDEX(Market_Daily!$F$6:$F$256,MATCH($K353,Market_Daily!$A$6:$A$256,0)))</f>
        <v/>
      </c>
      <c r="X353" s="8">
        <f>$V353*$W353</f>
        <v/>
      </c>
      <c r="Y353" s="18">
        <f>$X353-$P353</f>
        <v/>
      </c>
      <c r="Z353" s="8">
        <f>IF(ABS($Y353)&lt;=tol_cashflow_inr,"PASS","FAIL")</f>
        <v/>
      </c>
      <c r="AA353" s="7" t="inlineStr">
        <is>
          <t>-d(lots x lot_kg x F(s) x mcx_al_margin_used_frac)</t>
        </is>
      </c>
    </row>
    <row r="354">
      <c r="A354" s="7" t="inlineStr">
        <is>
          <t>T03</t>
        </is>
      </c>
      <c r="B354" s="7" t="inlineStr">
        <is>
          <t>MCX:T03-MCX-1</t>
        </is>
      </c>
      <c r="C354" s="7" t="inlineStr">
        <is>
          <t>T03-MCX-1</t>
        </is>
      </c>
      <c r="D354" s="7" t="inlineStr">
        <is>
          <t>MCX_VARIATION_MARGIN</t>
        </is>
      </c>
      <c r="E354" s="7" t="inlineStr">
        <is>
          <t>MCX_VARIATION_MARGIN</t>
        </is>
      </c>
      <c r="F354" s="7" t="inlineStr">
        <is>
          <t>PNL</t>
        </is>
      </c>
      <c r="G354" s="7" t="inlineStr">
        <is>
          <t>INR</t>
        </is>
      </c>
      <c r="H354" s="11" t="n">
        <v>44643</v>
      </c>
      <c r="I354" s="11" t="n">
        <v>44644</v>
      </c>
      <c r="J354" s="11" t="n">
        <v>44644</v>
      </c>
      <c r="K354" s="11" t="n">
        <v>44644</v>
      </c>
      <c r="L354" s="7" t="inlineStr">
        <is>
          <t>roll following on the LME panel calendar</t>
        </is>
      </c>
      <c r="N354" s="7" t="inlineStr">
        <is>
          <t>PROXY</t>
        </is>
      </c>
      <c r="O354" s="9" t="n">
        <v>-6063203.17</v>
      </c>
      <c r="P354" s="9" t="n">
        <v>-6063203.17</v>
      </c>
      <c r="U354" s="7" t="inlineStr">
        <is>
          <t>DERIVED_IN_WORKBOOK</t>
        </is>
      </c>
      <c r="V354" s="8">
        <f>SUMIFS(Cashflows!$R$1043:$R$1393,Cashflows!$B$1043:$B$1393,$C354,Cashflows!$C$1043:$C$1393,$K354)</f>
        <v/>
      </c>
      <c r="W354" s="8">
        <f>IF($G354="INR",1,INDEX(Market_Daily!$F$6:$F$256,MATCH($K354,Market_Daily!$A$6:$A$256,0)))</f>
        <v/>
      </c>
      <c r="X354" s="8">
        <f>$V354*$W354</f>
        <v/>
      </c>
      <c r="Y354" s="18">
        <f>$X354-$P354</f>
        <v/>
      </c>
      <c r="Z354" s="8">
        <f>IF(ABS($Y354)&lt;=tol_cashflow_inr,"PASS","FAIL")</f>
        <v/>
      </c>
      <c r="AA354" s="7" t="inlineStr">
        <is>
          <t>direction x lots x lot_kg x (F(s) - F(s-1))</t>
        </is>
      </c>
    </row>
    <row r="355">
      <c r="A355" s="7" t="inlineStr">
        <is>
          <t>T03</t>
        </is>
      </c>
      <c r="B355" s="7" t="inlineStr">
        <is>
          <t>MCX:T03-MCX-1</t>
        </is>
      </c>
      <c r="C355" s="7" t="inlineStr">
        <is>
          <t>T03-MCX-1</t>
        </is>
      </c>
      <c r="D355" s="7" t="inlineStr">
        <is>
          <t>MCX_INITIAL_MARGIN</t>
        </is>
      </c>
      <c r="E355" s="7" t="inlineStr">
        <is>
          <t>MCX_INITIAL_MARGIN</t>
        </is>
      </c>
      <c r="F355" s="7" t="inlineStr">
        <is>
          <t>BS</t>
        </is>
      </c>
      <c r="G355" s="7" t="inlineStr">
        <is>
          <t>INR</t>
        </is>
      </c>
      <c r="H355" s="11" t="n">
        <v>44643</v>
      </c>
      <c r="I355" s="11" t="n">
        <v>44645</v>
      </c>
      <c r="J355" s="11" t="n">
        <v>44645</v>
      </c>
      <c r="K355" s="11" t="n">
        <v>44645</v>
      </c>
      <c r="L355" s="7" t="inlineStr">
        <is>
          <t>roll following on the LME panel calendar</t>
        </is>
      </c>
      <c r="N355" s="7" t="inlineStr">
        <is>
          <t>PROXY</t>
        </is>
      </c>
      <c r="O355" s="9" t="n">
        <v>543418.9</v>
      </c>
      <c r="P355" s="9" t="n">
        <v>543418.9</v>
      </c>
      <c r="U355" s="7" t="inlineStr">
        <is>
          <t>DERIVED_IN_WORKBOOK</t>
        </is>
      </c>
      <c r="V355" s="8">
        <f>-SUMIFS(Cashflows!$W$1043:$W$1393,Cashflows!$B$1043:$B$1393,$C355,Cashflows!$C$1043:$C$1393,$K355)</f>
        <v/>
      </c>
      <c r="W355" s="8">
        <f>IF($G355="INR",1,INDEX(Market_Daily!$F$6:$F$256,MATCH($K355,Market_Daily!$A$6:$A$256,0)))</f>
        <v/>
      </c>
      <c r="X355" s="8">
        <f>$V355*$W355</f>
        <v/>
      </c>
      <c r="Y355" s="18">
        <f>$X355-$P355</f>
        <v/>
      </c>
      <c r="Z355" s="8">
        <f>IF(ABS($Y355)&lt;=tol_cashflow_inr,"PASS","FAIL")</f>
        <v/>
      </c>
      <c r="AA355" s="7" t="inlineStr">
        <is>
          <t>-d(lots x lot_kg x F(s) x mcx_al_margin_used_frac)</t>
        </is>
      </c>
    </row>
    <row r="356">
      <c r="A356" s="7" t="inlineStr">
        <is>
          <t>T03</t>
        </is>
      </c>
      <c r="B356" s="7" t="inlineStr">
        <is>
          <t>MCX:T03-MCX-1</t>
        </is>
      </c>
      <c r="C356" s="7" t="inlineStr">
        <is>
          <t>T03-MCX-1</t>
        </is>
      </c>
      <c r="D356" s="7" t="inlineStr">
        <is>
          <t>MCX_VARIATION_MARGIN</t>
        </is>
      </c>
      <c r="E356" s="7" t="inlineStr">
        <is>
          <t>MCX_VARIATION_MARGIN</t>
        </is>
      </c>
      <c r="F356" s="7" t="inlineStr">
        <is>
          <t>PNL</t>
        </is>
      </c>
      <c r="G356" s="7" t="inlineStr">
        <is>
          <t>INR</t>
        </is>
      </c>
      <c r="H356" s="11" t="n">
        <v>44643</v>
      </c>
      <c r="I356" s="11" t="n">
        <v>44645</v>
      </c>
      <c r="J356" s="11" t="n">
        <v>44645</v>
      </c>
      <c r="K356" s="11" t="n">
        <v>44645</v>
      </c>
      <c r="L356" s="7" t="inlineStr">
        <is>
          <t>roll following on the LME panel calendar</t>
        </is>
      </c>
      <c r="N356" s="7" t="inlineStr">
        <is>
          <t>PROXY</t>
        </is>
      </c>
      <c r="O356" s="9" t="n">
        <v>5434189.03</v>
      </c>
      <c r="P356" s="9" t="n">
        <v>5434189.03</v>
      </c>
      <c r="U356" s="7" t="inlineStr">
        <is>
          <t>DERIVED_IN_WORKBOOK</t>
        </is>
      </c>
      <c r="V356" s="8">
        <f>SUMIFS(Cashflows!$R$1043:$R$1393,Cashflows!$B$1043:$B$1393,$C356,Cashflows!$C$1043:$C$1393,$K356)</f>
        <v/>
      </c>
      <c r="W356" s="8">
        <f>IF($G356="INR",1,INDEX(Market_Daily!$F$6:$F$256,MATCH($K356,Market_Daily!$A$6:$A$256,0)))</f>
        <v/>
      </c>
      <c r="X356" s="8">
        <f>$V356*$W356</f>
        <v/>
      </c>
      <c r="Y356" s="18">
        <f>$X356-$P356</f>
        <v/>
      </c>
      <c r="Z356" s="8">
        <f>IF(ABS($Y356)&lt;=tol_cashflow_inr,"PASS","FAIL")</f>
        <v/>
      </c>
      <c r="AA356" s="7" t="inlineStr">
        <is>
          <t>direction x lots x lot_kg x (F(s) - F(s-1))</t>
        </is>
      </c>
    </row>
    <row r="357">
      <c r="A357" s="7" t="inlineStr">
        <is>
          <t>T03</t>
        </is>
      </c>
      <c r="B357" s="7" t="inlineStr">
        <is>
          <t>MCX:T03-MCX-1</t>
        </is>
      </c>
      <c r="C357" s="7" t="inlineStr">
        <is>
          <t>T03-MCX-1</t>
        </is>
      </c>
      <c r="D357" s="7" t="inlineStr">
        <is>
          <t>MCX_INITIAL_MARGIN</t>
        </is>
      </c>
      <c r="E357" s="7" t="inlineStr">
        <is>
          <t>MCX_INITIAL_MARGIN</t>
        </is>
      </c>
      <c r="F357" s="7" t="inlineStr">
        <is>
          <t>BS</t>
        </is>
      </c>
      <c r="G357" s="7" t="inlineStr">
        <is>
          <t>INR</t>
        </is>
      </c>
      <c r="H357" s="11" t="n">
        <v>44643</v>
      </c>
      <c r="I357" s="11" t="n">
        <v>44648</v>
      </c>
      <c r="J357" s="11" t="n">
        <v>44648</v>
      </c>
      <c r="K357" s="11" t="n">
        <v>44648</v>
      </c>
      <c r="L357" s="7" t="inlineStr">
        <is>
          <t>roll following on the LME panel calendar</t>
        </is>
      </c>
      <c r="N357" s="7" t="inlineStr">
        <is>
          <t>PROXY</t>
        </is>
      </c>
      <c r="O357" s="9" t="n">
        <v>-112489.89</v>
      </c>
      <c r="P357" s="9" t="n">
        <v>-112489.89</v>
      </c>
      <c r="U357" s="7" t="inlineStr">
        <is>
          <t>DERIVED_IN_WORKBOOK</t>
        </is>
      </c>
      <c r="V357" s="8">
        <f>-SUMIFS(Cashflows!$W$1043:$W$1393,Cashflows!$B$1043:$B$1393,$C357,Cashflows!$C$1043:$C$1393,$K357)</f>
        <v/>
      </c>
      <c r="W357" s="8">
        <f>IF($G357="INR",1,INDEX(Market_Daily!$F$6:$F$256,MATCH($K357,Market_Daily!$A$6:$A$256,0)))</f>
        <v/>
      </c>
      <c r="X357" s="8">
        <f>$V357*$W357</f>
        <v/>
      </c>
      <c r="Y357" s="18">
        <f>$X357-$P357</f>
        <v/>
      </c>
      <c r="Z357" s="8">
        <f>IF(ABS($Y357)&lt;=tol_cashflow_inr,"PASS","FAIL")</f>
        <v/>
      </c>
      <c r="AA357" s="7" t="inlineStr">
        <is>
          <t>-d(lots x lot_kg x F(s) x mcx_al_margin_used_frac)</t>
        </is>
      </c>
    </row>
    <row r="358">
      <c r="A358" s="7" t="inlineStr">
        <is>
          <t>T03</t>
        </is>
      </c>
      <c r="B358" s="7" t="inlineStr">
        <is>
          <t>MCX:T03-MCX-1</t>
        </is>
      </c>
      <c r="C358" s="7" t="inlineStr">
        <is>
          <t>T03-MCX-1</t>
        </is>
      </c>
      <c r="D358" s="7" t="inlineStr">
        <is>
          <t>MCX_VARIATION_MARGIN</t>
        </is>
      </c>
      <c r="E358" s="7" t="inlineStr">
        <is>
          <t>MCX_VARIATION_MARGIN</t>
        </is>
      </c>
      <c r="F358" s="7" t="inlineStr">
        <is>
          <t>PNL</t>
        </is>
      </c>
      <c r="G358" s="7" t="inlineStr">
        <is>
          <t>INR</t>
        </is>
      </c>
      <c r="H358" s="11" t="n">
        <v>44643</v>
      </c>
      <c r="I358" s="11" t="n">
        <v>44648</v>
      </c>
      <c r="J358" s="11" t="n">
        <v>44648</v>
      </c>
      <c r="K358" s="11" t="n">
        <v>44648</v>
      </c>
      <c r="L358" s="7" t="inlineStr">
        <is>
          <t>roll following on the LME panel calendar</t>
        </is>
      </c>
      <c r="N358" s="7" t="inlineStr">
        <is>
          <t>PROXY</t>
        </is>
      </c>
      <c r="O358" s="9" t="n">
        <v>-1124898.95</v>
      </c>
      <c r="P358" s="9" t="n">
        <v>-1124898.95</v>
      </c>
      <c r="U358" s="7" t="inlineStr">
        <is>
          <t>DERIVED_IN_WORKBOOK</t>
        </is>
      </c>
      <c r="V358" s="8">
        <f>SUMIFS(Cashflows!$R$1043:$R$1393,Cashflows!$B$1043:$B$1393,$C358,Cashflows!$C$1043:$C$1393,$K358)</f>
        <v/>
      </c>
      <c r="W358" s="8">
        <f>IF($G358="INR",1,INDEX(Market_Daily!$F$6:$F$256,MATCH($K358,Market_Daily!$A$6:$A$256,0)))</f>
        <v/>
      </c>
      <c r="X358" s="8">
        <f>$V358*$W358</f>
        <v/>
      </c>
      <c r="Y358" s="18">
        <f>$X358-$P358</f>
        <v/>
      </c>
      <c r="Z358" s="8">
        <f>IF(ABS($Y358)&lt;=tol_cashflow_inr,"PASS","FAIL")</f>
        <v/>
      </c>
      <c r="AA358" s="7" t="inlineStr">
        <is>
          <t>direction x lots x lot_kg x (F(s) - F(s-1))</t>
        </is>
      </c>
    </row>
    <row r="359">
      <c r="A359" s="7" t="inlineStr">
        <is>
          <t>T03</t>
        </is>
      </c>
      <c r="B359" s="7" t="inlineStr">
        <is>
          <t>MCX:T03-MCX-1</t>
        </is>
      </c>
      <c r="C359" s="7" t="inlineStr">
        <is>
          <t>T03-MCX-1</t>
        </is>
      </c>
      <c r="D359" s="7" t="inlineStr">
        <is>
          <t>MCX_INITIAL_MARGIN</t>
        </is>
      </c>
      <c r="E359" s="7" t="inlineStr">
        <is>
          <t>MCX_INITIAL_MARGIN</t>
        </is>
      </c>
      <c r="F359" s="7" t="inlineStr">
        <is>
          <t>BS</t>
        </is>
      </c>
      <c r="G359" s="7" t="inlineStr">
        <is>
          <t>INR</t>
        </is>
      </c>
      <c r="H359" s="11" t="n">
        <v>44643</v>
      </c>
      <c r="I359" s="11" t="n">
        <v>44649</v>
      </c>
      <c r="J359" s="11" t="n">
        <v>44649</v>
      </c>
      <c r="K359" s="11" t="n">
        <v>44649</v>
      </c>
      <c r="L359" s="7" t="inlineStr">
        <is>
          <t>roll following on the LME panel calendar</t>
        </is>
      </c>
      <c r="N359" s="7" t="inlineStr">
        <is>
          <t>PROXY</t>
        </is>
      </c>
      <c r="O359" s="9" t="n">
        <v>243543.07</v>
      </c>
      <c r="P359" s="9" t="n">
        <v>243543.07</v>
      </c>
      <c r="U359" s="7" t="inlineStr">
        <is>
          <t>DERIVED_IN_WORKBOOK</t>
        </is>
      </c>
      <c r="V359" s="8">
        <f>-SUMIFS(Cashflows!$W$1043:$W$1393,Cashflows!$B$1043:$B$1393,$C359,Cashflows!$C$1043:$C$1393,$K359)</f>
        <v/>
      </c>
      <c r="W359" s="8">
        <f>IF($G359="INR",1,INDEX(Market_Daily!$F$6:$F$256,MATCH($K359,Market_Daily!$A$6:$A$256,0)))</f>
        <v/>
      </c>
      <c r="X359" s="8">
        <f>$V359*$W359</f>
        <v/>
      </c>
      <c r="Y359" s="18">
        <f>$X359-$P359</f>
        <v/>
      </c>
      <c r="Z359" s="8">
        <f>IF(ABS($Y359)&lt;=tol_cashflow_inr,"PASS","FAIL")</f>
        <v/>
      </c>
      <c r="AA359" s="7" t="inlineStr">
        <is>
          <t>-d(lots x lot_kg x F(s) x mcx_al_margin_used_frac)</t>
        </is>
      </c>
    </row>
    <row r="360">
      <c r="A360" s="7" t="inlineStr">
        <is>
          <t>T03</t>
        </is>
      </c>
      <c r="B360" s="7" t="inlineStr">
        <is>
          <t>MCX:T03-MCX-1</t>
        </is>
      </c>
      <c r="C360" s="7" t="inlineStr">
        <is>
          <t>T03-MCX-1</t>
        </is>
      </c>
      <c r="D360" s="7" t="inlineStr">
        <is>
          <t>MCX_VARIATION_MARGIN</t>
        </is>
      </c>
      <c r="E360" s="7" t="inlineStr">
        <is>
          <t>MCX_VARIATION_MARGIN</t>
        </is>
      </c>
      <c r="F360" s="7" t="inlineStr">
        <is>
          <t>PNL</t>
        </is>
      </c>
      <c r="G360" s="7" t="inlineStr">
        <is>
          <t>INR</t>
        </is>
      </c>
      <c r="H360" s="11" t="n">
        <v>44643</v>
      </c>
      <c r="I360" s="11" t="n">
        <v>44649</v>
      </c>
      <c r="J360" s="11" t="n">
        <v>44649</v>
      </c>
      <c r="K360" s="11" t="n">
        <v>44649</v>
      </c>
      <c r="L360" s="7" t="inlineStr">
        <is>
          <t>roll following on the LME panel calendar</t>
        </is>
      </c>
      <c r="N360" s="7" t="inlineStr">
        <is>
          <t>PROXY</t>
        </is>
      </c>
      <c r="O360" s="9" t="n">
        <v>2435430.72</v>
      </c>
      <c r="P360" s="9" t="n">
        <v>2435430.72</v>
      </c>
      <c r="U360" s="7" t="inlineStr">
        <is>
          <t>DERIVED_IN_WORKBOOK</t>
        </is>
      </c>
      <c r="V360" s="8">
        <f>SUMIFS(Cashflows!$R$1043:$R$1393,Cashflows!$B$1043:$B$1393,$C360,Cashflows!$C$1043:$C$1393,$K360)</f>
        <v/>
      </c>
      <c r="W360" s="8">
        <f>IF($G360="INR",1,INDEX(Market_Daily!$F$6:$F$256,MATCH($K360,Market_Daily!$A$6:$A$256,0)))</f>
        <v/>
      </c>
      <c r="X360" s="8">
        <f>$V360*$W360</f>
        <v/>
      </c>
      <c r="Y360" s="18">
        <f>$X360-$P360</f>
        <v/>
      </c>
      <c r="Z360" s="8">
        <f>IF(ABS($Y360)&lt;=tol_cashflow_inr,"PASS","FAIL")</f>
        <v/>
      </c>
      <c r="AA360" s="7" t="inlineStr">
        <is>
          <t>direction x lots x lot_kg x (F(s) - F(s-1))</t>
        </is>
      </c>
    </row>
    <row r="361">
      <c r="A361" s="7" t="inlineStr">
        <is>
          <t>T03</t>
        </is>
      </c>
      <c r="B361" s="7" t="inlineStr">
        <is>
          <t>LC_FEES</t>
        </is>
      </c>
      <c r="D361" s="7" t="inlineStr">
        <is>
          <t>LC_OPENING_FEE</t>
        </is>
      </c>
      <c r="E361" s="7" t="inlineStr">
        <is>
          <t>LC_OPENING_FEE</t>
        </is>
      </c>
      <c r="F361" s="7" t="inlineStr">
        <is>
          <t>PNL</t>
        </is>
      </c>
      <c r="G361" s="7" t="inlineStr">
        <is>
          <t>USD</t>
        </is>
      </c>
      <c r="H361" s="11" t="n">
        <v>44643</v>
      </c>
      <c r="I361" s="11" t="n">
        <v>44650</v>
      </c>
      <c r="J361" s="11" t="n">
        <v>44650</v>
      </c>
      <c r="K361" s="11" t="n">
        <v>44650</v>
      </c>
      <c r="L361" s="7" t="inlineStr">
        <is>
          <t>roll following on the LME panel calendar</t>
        </is>
      </c>
      <c r="N361" s="7" t="inlineStr">
        <is>
          <t>DIRECT</t>
        </is>
      </c>
      <c r="O361" s="9" t="n">
        <v>-4979.52</v>
      </c>
      <c r="P361" s="9" t="n">
        <v>-377648.79</v>
      </c>
      <c r="U361" s="7" t="inlineStr">
        <is>
          <t>PYTHON_LIFECYCLE</t>
        </is>
      </c>
      <c r="V361" s="8">
        <f>$O361</f>
        <v/>
      </c>
      <c r="W361" s="8">
        <f>IF($G361="INR",1,INDEX(Market_Daily!$F$6:$F$256,MATCH($K361,Market_Daily!$A$6:$A$256,0)))</f>
        <v/>
      </c>
      <c r="X361" s="8">
        <f>$V361*$W361</f>
        <v/>
      </c>
      <c r="Y361" s="18">
        <f>$X361-$P361</f>
        <v/>
      </c>
      <c r="Z361" s="8">
        <f>IF(ABS($Y361)&lt;=tol_cashflow_inr,"PASS","FAIL")</f>
        <v/>
      </c>
      <c r="AA361" s="7" t="inlineStr">
        <is>
          <t>-lc_opening_fee_frac_per_month x ceil(validity/30) x lc_value_usd</t>
        </is>
      </c>
    </row>
    <row r="362">
      <c r="A362" s="7" t="inlineStr">
        <is>
          <t>T03</t>
        </is>
      </c>
      <c r="B362" s="7" t="inlineStr">
        <is>
          <t>MCX:T03-MCX-1</t>
        </is>
      </c>
      <c r="C362" s="7" t="inlineStr">
        <is>
          <t>T03-MCX-1</t>
        </is>
      </c>
      <c r="D362" s="7" t="inlineStr">
        <is>
          <t>MCX_INITIAL_MARGIN</t>
        </is>
      </c>
      <c r="E362" s="7" t="inlineStr">
        <is>
          <t>MCX_INITIAL_MARGIN</t>
        </is>
      </c>
      <c r="F362" s="7" t="inlineStr">
        <is>
          <t>BS</t>
        </is>
      </c>
      <c r="G362" s="7" t="inlineStr">
        <is>
          <t>INR</t>
        </is>
      </c>
      <c r="H362" s="11" t="n">
        <v>44643</v>
      </c>
      <c r="I362" s="11" t="n">
        <v>44650</v>
      </c>
      <c r="J362" s="11" t="n">
        <v>44650</v>
      </c>
      <c r="K362" s="11" t="n">
        <v>44650</v>
      </c>
      <c r="L362" s="7" t="inlineStr">
        <is>
          <t>roll following on the LME panel calendar</t>
        </is>
      </c>
      <c r="N362" s="7" t="inlineStr">
        <is>
          <t>PROXY</t>
        </is>
      </c>
      <c r="O362" s="9" t="n">
        <v>418558.47</v>
      </c>
      <c r="P362" s="9" t="n">
        <v>418558.47</v>
      </c>
      <c r="U362" s="7" t="inlineStr">
        <is>
          <t>DERIVED_IN_WORKBOOK</t>
        </is>
      </c>
      <c r="V362" s="8">
        <f>-SUMIFS(Cashflows!$W$1043:$W$1393,Cashflows!$B$1043:$B$1393,$C362,Cashflows!$C$1043:$C$1393,$K362)</f>
        <v/>
      </c>
      <c r="W362" s="8">
        <f>IF($G362="INR",1,INDEX(Market_Daily!$F$6:$F$256,MATCH($K362,Market_Daily!$A$6:$A$256,0)))</f>
        <v/>
      </c>
      <c r="X362" s="8">
        <f>$V362*$W362</f>
        <v/>
      </c>
      <c r="Y362" s="18">
        <f>$X362-$P362</f>
        <v/>
      </c>
      <c r="Z362" s="8">
        <f>IF(ABS($Y362)&lt;=tol_cashflow_inr,"PASS","FAIL")</f>
        <v/>
      </c>
      <c r="AA362" s="7" t="inlineStr">
        <is>
          <t>-d(lots x lot_kg x F(s) x mcx_al_margin_used_frac)</t>
        </is>
      </c>
    </row>
    <row r="363">
      <c r="A363" s="7" t="inlineStr">
        <is>
          <t>T03</t>
        </is>
      </c>
      <c r="B363" s="7" t="inlineStr">
        <is>
          <t>MCX:T03-MCX-1</t>
        </is>
      </c>
      <c r="C363" s="7" t="inlineStr">
        <is>
          <t>T03-MCX-1</t>
        </is>
      </c>
      <c r="D363" s="7" t="inlineStr">
        <is>
          <t>MCX_VARIATION_MARGIN</t>
        </is>
      </c>
      <c r="E363" s="7" t="inlineStr">
        <is>
          <t>MCX_VARIATION_MARGIN</t>
        </is>
      </c>
      <c r="F363" s="7" t="inlineStr">
        <is>
          <t>PNL</t>
        </is>
      </c>
      <c r="G363" s="7" t="inlineStr">
        <is>
          <t>INR</t>
        </is>
      </c>
      <c r="H363" s="11" t="n">
        <v>44643</v>
      </c>
      <c r="I363" s="11" t="n">
        <v>44650</v>
      </c>
      <c r="J363" s="11" t="n">
        <v>44650</v>
      </c>
      <c r="K363" s="11" t="n">
        <v>44650</v>
      </c>
      <c r="L363" s="7" t="inlineStr">
        <is>
          <t>roll following on the LME panel calendar</t>
        </is>
      </c>
      <c r="N363" s="7" t="inlineStr">
        <is>
          <t>PROXY</t>
        </is>
      </c>
      <c r="O363" s="9" t="n">
        <v>4185584.71</v>
      </c>
      <c r="P363" s="9" t="n">
        <v>4185584.71</v>
      </c>
      <c r="U363" s="7" t="inlineStr">
        <is>
          <t>DERIVED_IN_WORKBOOK</t>
        </is>
      </c>
      <c r="V363" s="8">
        <f>SUMIFS(Cashflows!$R$1043:$R$1393,Cashflows!$B$1043:$B$1393,$C363,Cashflows!$C$1043:$C$1393,$K363)</f>
        <v/>
      </c>
      <c r="W363" s="8">
        <f>IF($G363="INR",1,INDEX(Market_Daily!$F$6:$F$256,MATCH($K363,Market_Daily!$A$6:$A$256,0)))</f>
        <v/>
      </c>
      <c r="X363" s="8">
        <f>$V363*$W363</f>
        <v/>
      </c>
      <c r="Y363" s="18">
        <f>$X363-$P363</f>
        <v/>
      </c>
      <c r="Z363" s="8">
        <f>IF(ABS($Y363)&lt;=tol_cashflow_inr,"PASS","FAIL")</f>
        <v/>
      </c>
      <c r="AA363" s="7" t="inlineStr">
        <is>
          <t>direction x lots x lot_kg x (F(s) - F(s-1))</t>
        </is>
      </c>
    </row>
    <row r="364">
      <c r="A364" s="7" t="inlineStr">
        <is>
          <t>T03</t>
        </is>
      </c>
      <c r="B364" s="7" t="inlineStr">
        <is>
          <t>MCX:T03-MCX-1</t>
        </is>
      </c>
      <c r="C364" s="7" t="inlineStr">
        <is>
          <t>T03-MCX-1</t>
        </is>
      </c>
      <c r="D364" s="7" t="inlineStr">
        <is>
          <t>MCX_INITIAL_MARGIN</t>
        </is>
      </c>
      <c r="E364" s="7" t="inlineStr">
        <is>
          <t>MCX_INITIAL_MARGIN</t>
        </is>
      </c>
      <c r="F364" s="7" t="inlineStr">
        <is>
          <t>BS</t>
        </is>
      </c>
      <c r="G364" s="7" t="inlineStr">
        <is>
          <t>INR</t>
        </is>
      </c>
      <c r="H364" s="11" t="n">
        <v>44643</v>
      </c>
      <c r="I364" s="11" t="n">
        <v>44651</v>
      </c>
      <c r="J364" s="11" t="n">
        <v>44651</v>
      </c>
      <c r="K364" s="11" t="n">
        <v>44651</v>
      </c>
      <c r="L364" s="7" t="inlineStr">
        <is>
          <t>roll following on the LME panel calendar</t>
        </is>
      </c>
      <c r="N364" s="7" t="inlineStr">
        <is>
          <t>PROXY</t>
        </is>
      </c>
      <c r="O364" s="9" t="n">
        <v>45384.97</v>
      </c>
      <c r="P364" s="9" t="n">
        <v>45384.97</v>
      </c>
      <c r="U364" s="7" t="inlineStr">
        <is>
          <t>DERIVED_IN_WORKBOOK</t>
        </is>
      </c>
      <c r="V364" s="8">
        <f>-SUMIFS(Cashflows!$W$1043:$W$1393,Cashflows!$B$1043:$B$1393,$C364,Cashflows!$C$1043:$C$1393,$K364)</f>
        <v/>
      </c>
      <c r="W364" s="8">
        <f>IF($G364="INR",1,INDEX(Market_Daily!$F$6:$F$256,MATCH($K364,Market_Daily!$A$6:$A$256,0)))</f>
        <v/>
      </c>
      <c r="X364" s="8">
        <f>$V364*$W364</f>
        <v/>
      </c>
      <c r="Y364" s="18">
        <f>$X364-$P364</f>
        <v/>
      </c>
      <c r="Z364" s="8">
        <f>IF(ABS($Y364)&lt;=tol_cashflow_inr,"PASS","FAIL")</f>
        <v/>
      </c>
      <c r="AA364" s="7" t="inlineStr">
        <is>
          <t>-d(lots x lot_kg x F(s) x mcx_al_margin_used_frac)</t>
        </is>
      </c>
    </row>
    <row r="365">
      <c r="A365" s="7" t="inlineStr">
        <is>
          <t>T03</t>
        </is>
      </c>
      <c r="B365" s="7" t="inlineStr">
        <is>
          <t>MCX:T03-MCX-1</t>
        </is>
      </c>
      <c r="C365" s="7" t="inlineStr">
        <is>
          <t>T03-MCX-1</t>
        </is>
      </c>
      <c r="D365" s="7" t="inlineStr">
        <is>
          <t>MCX_VARIATION_MARGIN</t>
        </is>
      </c>
      <c r="E365" s="7" t="inlineStr">
        <is>
          <t>MCX_VARIATION_MARGIN</t>
        </is>
      </c>
      <c r="F365" s="7" t="inlineStr">
        <is>
          <t>PNL</t>
        </is>
      </c>
      <c r="G365" s="7" t="inlineStr">
        <is>
          <t>INR</t>
        </is>
      </c>
      <c r="H365" s="11" t="n">
        <v>44643</v>
      </c>
      <c r="I365" s="11" t="n">
        <v>44651</v>
      </c>
      <c r="J365" s="11" t="n">
        <v>44651</v>
      </c>
      <c r="K365" s="11" t="n">
        <v>44651</v>
      </c>
      <c r="L365" s="7" t="inlineStr">
        <is>
          <t>roll following on the LME panel calendar</t>
        </is>
      </c>
      <c r="N365" s="7" t="inlineStr">
        <is>
          <t>PROXY</t>
        </is>
      </c>
      <c r="O365" s="9" t="n">
        <v>453849.65</v>
      </c>
      <c r="P365" s="9" t="n">
        <v>453849.65</v>
      </c>
      <c r="U365" s="7" t="inlineStr">
        <is>
          <t>DERIVED_IN_WORKBOOK</t>
        </is>
      </c>
      <c r="V365" s="8">
        <f>SUMIFS(Cashflows!$R$1043:$R$1393,Cashflows!$B$1043:$B$1393,$C365,Cashflows!$C$1043:$C$1393,$K365)</f>
        <v/>
      </c>
      <c r="W365" s="8">
        <f>IF($G365="INR",1,INDEX(Market_Daily!$F$6:$F$256,MATCH($K365,Market_Daily!$A$6:$A$256,0)))</f>
        <v/>
      </c>
      <c r="X365" s="8">
        <f>$V365*$W365</f>
        <v/>
      </c>
      <c r="Y365" s="18">
        <f>$X365-$P365</f>
        <v/>
      </c>
      <c r="Z365" s="8">
        <f>IF(ABS($Y365)&lt;=tol_cashflow_inr,"PASS","FAIL")</f>
        <v/>
      </c>
      <c r="AA365" s="7" t="inlineStr">
        <is>
          <t>direction x lots x lot_kg x (F(s) - F(s-1))</t>
        </is>
      </c>
    </row>
    <row r="366">
      <c r="A366" s="7" t="inlineStr">
        <is>
          <t>T03</t>
        </is>
      </c>
      <c r="B366" s="7" t="inlineStr">
        <is>
          <t>MCX:T03-MCX-1</t>
        </is>
      </c>
      <c r="C366" s="7" t="inlineStr">
        <is>
          <t>T03-MCX-1</t>
        </is>
      </c>
      <c r="D366" s="7" t="inlineStr">
        <is>
          <t>MCX_INITIAL_MARGIN</t>
        </is>
      </c>
      <c r="E366" s="7" t="inlineStr">
        <is>
          <t>MCX_INITIAL_MARGIN</t>
        </is>
      </c>
      <c r="F366" s="7" t="inlineStr">
        <is>
          <t>BS</t>
        </is>
      </c>
      <c r="G366" s="7" t="inlineStr">
        <is>
          <t>INR</t>
        </is>
      </c>
      <c r="H366" s="11" t="n">
        <v>44643</v>
      </c>
      <c r="I366" s="11" t="n">
        <v>44652</v>
      </c>
      <c r="J366" s="11" t="n">
        <v>44652</v>
      </c>
      <c r="K366" s="11" t="n">
        <v>44652</v>
      </c>
      <c r="L366" s="7" t="inlineStr">
        <is>
          <t>roll following on the LME panel calendar</t>
        </is>
      </c>
      <c r="N366" s="7" t="inlineStr">
        <is>
          <t>PROXY</t>
        </is>
      </c>
      <c r="O366" s="9" t="n">
        <v>63183.24</v>
      </c>
      <c r="P366" s="9" t="n">
        <v>63183.24</v>
      </c>
      <c r="U366" s="7" t="inlineStr">
        <is>
          <t>DERIVED_IN_WORKBOOK</t>
        </is>
      </c>
      <c r="V366" s="8">
        <f>-SUMIFS(Cashflows!$W$1043:$W$1393,Cashflows!$B$1043:$B$1393,$C366,Cashflows!$C$1043:$C$1393,$K366)</f>
        <v/>
      </c>
      <c r="W366" s="8">
        <f>IF($G366="INR",1,INDEX(Market_Daily!$F$6:$F$256,MATCH($K366,Market_Daily!$A$6:$A$256,0)))</f>
        <v/>
      </c>
      <c r="X366" s="8">
        <f>$V366*$W366</f>
        <v/>
      </c>
      <c r="Y366" s="18">
        <f>$X366-$P366</f>
        <v/>
      </c>
      <c r="Z366" s="8">
        <f>IF(ABS($Y366)&lt;=tol_cashflow_inr,"PASS","FAIL")</f>
        <v/>
      </c>
      <c r="AA366" s="7" t="inlineStr">
        <is>
          <t>-d(lots x lot_kg x F(s) x mcx_al_margin_used_frac)</t>
        </is>
      </c>
    </row>
    <row r="367">
      <c r="A367" s="7" t="inlineStr">
        <is>
          <t>T03</t>
        </is>
      </c>
      <c r="B367" s="7" t="inlineStr">
        <is>
          <t>MCX:T03-MCX-1</t>
        </is>
      </c>
      <c r="C367" s="7" t="inlineStr">
        <is>
          <t>T03-MCX-1</t>
        </is>
      </c>
      <c r="D367" s="7" t="inlineStr">
        <is>
          <t>MCX_VARIATION_MARGIN</t>
        </is>
      </c>
      <c r="E367" s="7" t="inlineStr">
        <is>
          <t>MCX_VARIATION_MARGIN</t>
        </is>
      </c>
      <c r="F367" s="7" t="inlineStr">
        <is>
          <t>PNL</t>
        </is>
      </c>
      <c r="G367" s="7" t="inlineStr">
        <is>
          <t>INR</t>
        </is>
      </c>
      <c r="H367" s="11" t="n">
        <v>44643</v>
      </c>
      <c r="I367" s="11" t="n">
        <v>44652</v>
      </c>
      <c r="J367" s="11" t="n">
        <v>44652</v>
      </c>
      <c r="K367" s="11" t="n">
        <v>44652</v>
      </c>
      <c r="L367" s="7" t="inlineStr">
        <is>
          <t>roll following on the LME panel calendar</t>
        </is>
      </c>
      <c r="N367" s="7" t="inlineStr">
        <is>
          <t>PROXY</t>
        </is>
      </c>
      <c r="O367" s="9" t="n">
        <v>631832.36</v>
      </c>
      <c r="P367" s="9" t="n">
        <v>631832.36</v>
      </c>
      <c r="U367" s="7" t="inlineStr">
        <is>
          <t>DERIVED_IN_WORKBOOK</t>
        </is>
      </c>
      <c r="V367" s="8">
        <f>SUMIFS(Cashflows!$R$1043:$R$1393,Cashflows!$B$1043:$B$1393,$C367,Cashflows!$C$1043:$C$1393,$K367)</f>
        <v/>
      </c>
      <c r="W367" s="8">
        <f>IF($G367="INR",1,INDEX(Market_Daily!$F$6:$F$256,MATCH($K367,Market_Daily!$A$6:$A$256,0)))</f>
        <v/>
      </c>
      <c r="X367" s="8">
        <f>$V367*$W367</f>
        <v/>
      </c>
      <c r="Y367" s="18">
        <f>$X367-$P367</f>
        <v/>
      </c>
      <c r="Z367" s="8">
        <f>IF(ABS($Y367)&lt;=tol_cashflow_inr,"PASS","FAIL")</f>
        <v/>
      </c>
      <c r="AA367" s="7" t="inlineStr">
        <is>
          <t>direction x lots x lot_kg x (F(s) - F(s-1))</t>
        </is>
      </c>
    </row>
    <row r="368">
      <c r="A368" s="7" t="inlineStr">
        <is>
          <t>T03</t>
        </is>
      </c>
      <c r="B368" s="7" t="inlineStr">
        <is>
          <t>MCX:T03-MCX-1</t>
        </is>
      </c>
      <c r="C368" s="7" t="inlineStr">
        <is>
          <t>T03-MCX-1</t>
        </is>
      </c>
      <c r="D368" s="7" t="inlineStr">
        <is>
          <t>MCX_INITIAL_MARGIN</t>
        </is>
      </c>
      <c r="E368" s="7" t="inlineStr">
        <is>
          <t>MCX_INITIAL_MARGIN</t>
        </is>
      </c>
      <c r="F368" s="7" t="inlineStr">
        <is>
          <t>BS</t>
        </is>
      </c>
      <c r="G368" s="7" t="inlineStr">
        <is>
          <t>INR</t>
        </is>
      </c>
      <c r="H368" s="11" t="n">
        <v>44643</v>
      </c>
      <c r="I368" s="11" t="n">
        <v>44655</v>
      </c>
      <c r="J368" s="11" t="n">
        <v>44655</v>
      </c>
      <c r="K368" s="11" t="n">
        <v>44655</v>
      </c>
      <c r="L368" s="7" t="inlineStr">
        <is>
          <t>roll following on the LME panel calendar</t>
        </is>
      </c>
      <c r="N368" s="7" t="inlineStr">
        <is>
          <t>PROXY</t>
        </is>
      </c>
      <c r="O368" s="9" t="n">
        <v>360357.19</v>
      </c>
      <c r="P368" s="9" t="n">
        <v>360357.19</v>
      </c>
      <c r="U368" s="7" t="inlineStr">
        <is>
          <t>DERIVED_IN_WORKBOOK</t>
        </is>
      </c>
      <c r="V368" s="8">
        <f>-SUMIFS(Cashflows!$W$1043:$W$1393,Cashflows!$B$1043:$B$1393,$C368,Cashflows!$C$1043:$C$1393,$K368)</f>
        <v/>
      </c>
      <c r="W368" s="8">
        <f>IF($G368="INR",1,INDEX(Market_Daily!$F$6:$F$256,MATCH($K368,Market_Daily!$A$6:$A$256,0)))</f>
        <v/>
      </c>
      <c r="X368" s="8">
        <f>$V368*$W368</f>
        <v/>
      </c>
      <c r="Y368" s="18">
        <f>$X368-$P368</f>
        <v/>
      </c>
      <c r="Z368" s="8">
        <f>IF(ABS($Y368)&lt;=tol_cashflow_inr,"PASS","FAIL")</f>
        <v/>
      </c>
      <c r="AA368" s="7" t="inlineStr">
        <is>
          <t>-d(lots x lot_kg x F(s) x mcx_al_margin_used_frac)</t>
        </is>
      </c>
    </row>
    <row r="369">
      <c r="A369" s="7" t="inlineStr">
        <is>
          <t>T03</t>
        </is>
      </c>
      <c r="B369" s="7" t="inlineStr">
        <is>
          <t>MCX:T03-MCX-1</t>
        </is>
      </c>
      <c r="C369" s="7" t="inlineStr">
        <is>
          <t>T03-MCX-1</t>
        </is>
      </c>
      <c r="D369" s="7" t="inlineStr">
        <is>
          <t>MCX_VARIATION_MARGIN</t>
        </is>
      </c>
      <c r="E369" s="7" t="inlineStr">
        <is>
          <t>MCX_VARIATION_MARGIN</t>
        </is>
      </c>
      <c r="F369" s="7" t="inlineStr">
        <is>
          <t>PNL</t>
        </is>
      </c>
      <c r="G369" s="7" t="inlineStr">
        <is>
          <t>INR</t>
        </is>
      </c>
      <c r="H369" s="11" t="n">
        <v>44643</v>
      </c>
      <c r="I369" s="11" t="n">
        <v>44655</v>
      </c>
      <c r="J369" s="11" t="n">
        <v>44655</v>
      </c>
      <c r="K369" s="11" t="n">
        <v>44655</v>
      </c>
      <c r="L369" s="7" t="inlineStr">
        <is>
          <t>roll following on the LME panel calendar</t>
        </is>
      </c>
      <c r="N369" s="7" t="inlineStr">
        <is>
          <t>PROXY</t>
        </is>
      </c>
      <c r="O369" s="9" t="n">
        <v>3603571.91</v>
      </c>
      <c r="P369" s="9" t="n">
        <v>3603571.91</v>
      </c>
      <c r="U369" s="7" t="inlineStr">
        <is>
          <t>DERIVED_IN_WORKBOOK</t>
        </is>
      </c>
      <c r="V369" s="8">
        <f>SUMIFS(Cashflows!$R$1043:$R$1393,Cashflows!$B$1043:$B$1393,$C369,Cashflows!$C$1043:$C$1393,$K369)</f>
        <v/>
      </c>
      <c r="W369" s="8">
        <f>IF($G369="INR",1,INDEX(Market_Daily!$F$6:$F$256,MATCH($K369,Market_Daily!$A$6:$A$256,0)))</f>
        <v/>
      </c>
      <c r="X369" s="8">
        <f>$V369*$W369</f>
        <v/>
      </c>
      <c r="Y369" s="18">
        <f>$X369-$P369</f>
        <v/>
      </c>
      <c r="Z369" s="8">
        <f>IF(ABS($Y369)&lt;=tol_cashflow_inr,"PASS","FAIL")</f>
        <v/>
      </c>
      <c r="AA369" s="7" t="inlineStr">
        <is>
          <t>direction x lots x lot_kg x (F(s) - F(s-1))</t>
        </is>
      </c>
    </row>
    <row r="370">
      <c r="A370" s="7" t="inlineStr">
        <is>
          <t>T03</t>
        </is>
      </c>
      <c r="B370" s="7" t="inlineStr">
        <is>
          <t>MCX:T03-MCX-1</t>
        </is>
      </c>
      <c r="C370" s="7" t="inlineStr">
        <is>
          <t>T03-MCX-1</t>
        </is>
      </c>
      <c r="D370" s="7" t="inlineStr">
        <is>
          <t>MCX_INITIAL_MARGIN</t>
        </is>
      </c>
      <c r="E370" s="7" t="inlineStr">
        <is>
          <t>MCX_INITIAL_MARGIN</t>
        </is>
      </c>
      <c r="F370" s="7" t="inlineStr">
        <is>
          <t>BS</t>
        </is>
      </c>
      <c r="G370" s="7" t="inlineStr">
        <is>
          <t>INR</t>
        </is>
      </c>
      <c r="H370" s="11" t="n">
        <v>44643</v>
      </c>
      <c r="I370" s="11" t="n">
        <v>44656</v>
      </c>
      <c r="J370" s="11" t="n">
        <v>44656</v>
      </c>
      <c r="K370" s="11" t="n">
        <v>44656</v>
      </c>
      <c r="L370" s="7" t="inlineStr">
        <is>
          <t>roll following on the LME panel calendar</t>
        </is>
      </c>
      <c r="N370" s="7" t="inlineStr">
        <is>
          <t>PROXY</t>
        </is>
      </c>
      <c r="O370" s="9" t="n">
        <v>223141.4</v>
      </c>
      <c r="P370" s="9" t="n">
        <v>223141.4</v>
      </c>
      <c r="U370" s="7" t="inlineStr">
        <is>
          <t>DERIVED_IN_WORKBOOK</t>
        </is>
      </c>
      <c r="V370" s="8">
        <f>-SUMIFS(Cashflows!$W$1043:$W$1393,Cashflows!$B$1043:$B$1393,$C370,Cashflows!$C$1043:$C$1393,$K370)</f>
        <v/>
      </c>
      <c r="W370" s="8">
        <f>IF($G370="INR",1,INDEX(Market_Daily!$F$6:$F$256,MATCH($K370,Market_Daily!$A$6:$A$256,0)))</f>
        <v/>
      </c>
      <c r="X370" s="8">
        <f>$V370*$W370</f>
        <v/>
      </c>
      <c r="Y370" s="18">
        <f>$X370-$P370</f>
        <v/>
      </c>
      <c r="Z370" s="8">
        <f>IF(ABS($Y370)&lt;=tol_cashflow_inr,"PASS","FAIL")</f>
        <v/>
      </c>
      <c r="AA370" s="7" t="inlineStr">
        <is>
          <t>-d(lots x lot_kg x F(s) x mcx_al_margin_used_frac)</t>
        </is>
      </c>
    </row>
    <row r="371">
      <c r="A371" s="7" t="inlineStr">
        <is>
          <t>T03</t>
        </is>
      </c>
      <c r="B371" s="7" t="inlineStr">
        <is>
          <t>MCX:T03-MCX-1</t>
        </is>
      </c>
      <c r="C371" s="7" t="inlineStr">
        <is>
          <t>T03-MCX-1</t>
        </is>
      </c>
      <c r="D371" s="7" t="inlineStr">
        <is>
          <t>MCX_VARIATION_MARGIN</t>
        </is>
      </c>
      <c r="E371" s="7" t="inlineStr">
        <is>
          <t>MCX_VARIATION_MARGIN</t>
        </is>
      </c>
      <c r="F371" s="7" t="inlineStr">
        <is>
          <t>PNL</t>
        </is>
      </c>
      <c r="G371" s="7" t="inlineStr">
        <is>
          <t>INR</t>
        </is>
      </c>
      <c r="H371" s="11" t="n">
        <v>44643</v>
      </c>
      <c r="I371" s="11" t="n">
        <v>44656</v>
      </c>
      <c r="J371" s="11" t="n">
        <v>44656</v>
      </c>
      <c r="K371" s="11" t="n">
        <v>44656</v>
      </c>
      <c r="L371" s="7" t="inlineStr">
        <is>
          <t>roll following on the LME panel calendar</t>
        </is>
      </c>
      <c r="N371" s="7" t="inlineStr">
        <is>
          <t>PROXY</t>
        </is>
      </c>
      <c r="O371" s="9" t="n">
        <v>2231413.95</v>
      </c>
      <c r="P371" s="9" t="n">
        <v>2231413.95</v>
      </c>
      <c r="U371" s="7" t="inlineStr">
        <is>
          <t>DERIVED_IN_WORKBOOK</t>
        </is>
      </c>
      <c r="V371" s="8">
        <f>SUMIFS(Cashflows!$R$1043:$R$1393,Cashflows!$B$1043:$B$1393,$C371,Cashflows!$C$1043:$C$1393,$K371)</f>
        <v/>
      </c>
      <c r="W371" s="8">
        <f>IF($G371="INR",1,INDEX(Market_Daily!$F$6:$F$256,MATCH($K371,Market_Daily!$A$6:$A$256,0)))</f>
        <v/>
      </c>
      <c r="X371" s="8">
        <f>$V371*$W371</f>
        <v/>
      </c>
      <c r="Y371" s="18">
        <f>$X371-$P371</f>
        <v/>
      </c>
      <c r="Z371" s="8">
        <f>IF(ABS($Y371)&lt;=tol_cashflow_inr,"PASS","FAIL")</f>
        <v/>
      </c>
      <c r="AA371" s="7" t="inlineStr">
        <is>
          <t>direction x lots x lot_kg x (F(s) - F(s-1))</t>
        </is>
      </c>
    </row>
    <row r="372">
      <c r="A372" s="7" t="inlineStr">
        <is>
          <t>T03</t>
        </is>
      </c>
      <c r="B372" s="7" t="inlineStr">
        <is>
          <t>MCX:T03-MCX-1</t>
        </is>
      </c>
      <c r="C372" s="7" t="inlineStr">
        <is>
          <t>T03-MCX-1</t>
        </is>
      </c>
      <c r="D372" s="7" t="inlineStr">
        <is>
          <t>MCX_INITIAL_MARGIN</t>
        </is>
      </c>
      <c r="E372" s="7" t="inlineStr">
        <is>
          <t>MCX_INITIAL_MARGIN</t>
        </is>
      </c>
      <c r="F372" s="7" t="inlineStr">
        <is>
          <t>BS</t>
        </is>
      </c>
      <c r="G372" s="7" t="inlineStr">
        <is>
          <t>INR</t>
        </is>
      </c>
      <c r="H372" s="11" t="n">
        <v>44643</v>
      </c>
      <c r="I372" s="11" t="n">
        <v>44657</v>
      </c>
      <c r="J372" s="11" t="n">
        <v>44657</v>
      </c>
      <c r="K372" s="11" t="n">
        <v>44657</v>
      </c>
      <c r="L372" s="7" t="inlineStr">
        <is>
          <t>roll following on the LME panel calendar</t>
        </is>
      </c>
      <c r="N372" s="7" t="inlineStr">
        <is>
          <t>PROXY</t>
        </is>
      </c>
      <c r="O372" s="9" t="n">
        <v>-297985.82</v>
      </c>
      <c r="P372" s="9" t="n">
        <v>-297985.82</v>
      </c>
      <c r="U372" s="7" t="inlineStr">
        <is>
          <t>DERIVED_IN_WORKBOOK</t>
        </is>
      </c>
      <c r="V372" s="8">
        <f>-SUMIFS(Cashflows!$W$1043:$W$1393,Cashflows!$B$1043:$B$1393,$C372,Cashflows!$C$1043:$C$1393,$K372)</f>
        <v/>
      </c>
      <c r="W372" s="8">
        <f>IF($G372="INR",1,INDEX(Market_Daily!$F$6:$F$256,MATCH($K372,Market_Daily!$A$6:$A$256,0)))</f>
        <v/>
      </c>
      <c r="X372" s="8">
        <f>$V372*$W372</f>
        <v/>
      </c>
      <c r="Y372" s="18">
        <f>$X372-$P372</f>
        <v/>
      </c>
      <c r="Z372" s="8">
        <f>IF(ABS($Y372)&lt;=tol_cashflow_inr,"PASS","FAIL")</f>
        <v/>
      </c>
      <c r="AA372" s="7" t="inlineStr">
        <is>
          <t>-d(lots x lot_kg x F(s) x mcx_al_margin_used_frac)</t>
        </is>
      </c>
    </row>
    <row r="373">
      <c r="A373" s="7" t="inlineStr">
        <is>
          <t>T03</t>
        </is>
      </c>
      <c r="B373" s="7" t="inlineStr">
        <is>
          <t>MCX:T03-MCX-1</t>
        </is>
      </c>
      <c r="C373" s="7" t="inlineStr">
        <is>
          <t>T03-MCX-1</t>
        </is>
      </c>
      <c r="D373" s="7" t="inlineStr">
        <is>
          <t>MCX_VARIATION_MARGIN</t>
        </is>
      </c>
      <c r="E373" s="7" t="inlineStr">
        <is>
          <t>MCX_VARIATION_MARGIN</t>
        </is>
      </c>
      <c r="F373" s="7" t="inlineStr">
        <is>
          <t>PNL</t>
        </is>
      </c>
      <c r="G373" s="7" t="inlineStr">
        <is>
          <t>INR</t>
        </is>
      </c>
      <c r="H373" s="11" t="n">
        <v>44643</v>
      </c>
      <c r="I373" s="11" t="n">
        <v>44657</v>
      </c>
      <c r="J373" s="11" t="n">
        <v>44657</v>
      </c>
      <c r="K373" s="11" t="n">
        <v>44657</v>
      </c>
      <c r="L373" s="7" t="inlineStr">
        <is>
          <t>roll following on the LME panel calendar</t>
        </is>
      </c>
      <c r="N373" s="7" t="inlineStr">
        <is>
          <t>PROXY</t>
        </is>
      </c>
      <c r="O373" s="9" t="n">
        <v>-2979858.23</v>
      </c>
      <c r="P373" s="9" t="n">
        <v>-2979858.23</v>
      </c>
      <c r="U373" s="7" t="inlineStr">
        <is>
          <t>DERIVED_IN_WORKBOOK</t>
        </is>
      </c>
      <c r="V373" s="8">
        <f>SUMIFS(Cashflows!$R$1043:$R$1393,Cashflows!$B$1043:$B$1393,$C373,Cashflows!$C$1043:$C$1393,$K373)</f>
        <v/>
      </c>
      <c r="W373" s="8">
        <f>IF($G373="INR",1,INDEX(Market_Daily!$F$6:$F$256,MATCH($K373,Market_Daily!$A$6:$A$256,0)))</f>
        <v/>
      </c>
      <c r="X373" s="8">
        <f>$V373*$W373</f>
        <v/>
      </c>
      <c r="Y373" s="18">
        <f>$X373-$P373</f>
        <v/>
      </c>
      <c r="Z373" s="8">
        <f>IF(ABS($Y373)&lt;=tol_cashflow_inr,"PASS","FAIL")</f>
        <v/>
      </c>
      <c r="AA373" s="7" t="inlineStr">
        <is>
          <t>direction x lots x lot_kg x (F(s) - F(s-1))</t>
        </is>
      </c>
    </row>
    <row r="374">
      <c r="A374" s="7" t="inlineStr">
        <is>
          <t>T03</t>
        </is>
      </c>
      <c r="B374" s="7" t="inlineStr">
        <is>
          <t>MCX:T03-MCX-1</t>
        </is>
      </c>
      <c r="C374" s="7" t="inlineStr">
        <is>
          <t>T03-MCX-1</t>
        </is>
      </c>
      <c r="D374" s="7" t="inlineStr">
        <is>
          <t>MCX_INITIAL_MARGIN</t>
        </is>
      </c>
      <c r="E374" s="7" t="inlineStr">
        <is>
          <t>MCX_INITIAL_MARGIN</t>
        </is>
      </c>
      <c r="F374" s="7" t="inlineStr">
        <is>
          <t>BS</t>
        </is>
      </c>
      <c r="G374" s="7" t="inlineStr">
        <is>
          <t>INR</t>
        </is>
      </c>
      <c r="H374" s="11" t="n">
        <v>44643</v>
      </c>
      <c r="I374" s="11" t="n">
        <v>44658</v>
      </c>
      <c r="J374" s="11" t="n">
        <v>44658</v>
      </c>
      <c r="K374" s="11" t="n">
        <v>44658</v>
      </c>
      <c r="L374" s="7" t="inlineStr">
        <is>
          <t>roll following on the LME panel calendar</t>
        </is>
      </c>
      <c r="N374" s="7" t="inlineStr">
        <is>
          <t>PROXY</t>
        </is>
      </c>
      <c r="O374" s="9" t="n">
        <v>535439.76</v>
      </c>
      <c r="P374" s="9" t="n">
        <v>535439.76</v>
      </c>
      <c r="U374" s="7" t="inlineStr">
        <is>
          <t>DERIVED_IN_WORKBOOK</t>
        </is>
      </c>
      <c r="V374" s="8">
        <f>-SUMIFS(Cashflows!$W$1043:$W$1393,Cashflows!$B$1043:$B$1393,$C374,Cashflows!$C$1043:$C$1393,$K374)</f>
        <v/>
      </c>
      <c r="W374" s="8">
        <f>IF($G374="INR",1,INDEX(Market_Daily!$F$6:$F$256,MATCH($K374,Market_Daily!$A$6:$A$256,0)))</f>
        <v/>
      </c>
      <c r="X374" s="8">
        <f>$V374*$W374</f>
        <v/>
      </c>
      <c r="Y374" s="18">
        <f>$X374-$P374</f>
        <v/>
      </c>
      <c r="Z374" s="8">
        <f>IF(ABS($Y374)&lt;=tol_cashflow_inr,"PASS","FAIL")</f>
        <v/>
      </c>
      <c r="AA374" s="7" t="inlineStr">
        <is>
          <t>-d(lots x lot_kg x F(s) x mcx_al_margin_used_frac)</t>
        </is>
      </c>
    </row>
    <row r="375">
      <c r="A375" s="7" t="inlineStr">
        <is>
          <t>T03</t>
        </is>
      </c>
      <c r="B375" s="7" t="inlineStr">
        <is>
          <t>MCX:T03-MCX-1</t>
        </is>
      </c>
      <c r="C375" s="7" t="inlineStr">
        <is>
          <t>T03-MCX-1</t>
        </is>
      </c>
      <c r="D375" s="7" t="inlineStr">
        <is>
          <t>MCX_VARIATION_MARGIN</t>
        </is>
      </c>
      <c r="E375" s="7" t="inlineStr">
        <is>
          <t>MCX_VARIATION_MARGIN</t>
        </is>
      </c>
      <c r="F375" s="7" t="inlineStr">
        <is>
          <t>PNL</t>
        </is>
      </c>
      <c r="G375" s="7" t="inlineStr">
        <is>
          <t>INR</t>
        </is>
      </c>
      <c r="H375" s="11" t="n">
        <v>44643</v>
      </c>
      <c r="I375" s="11" t="n">
        <v>44658</v>
      </c>
      <c r="J375" s="11" t="n">
        <v>44658</v>
      </c>
      <c r="K375" s="11" t="n">
        <v>44658</v>
      </c>
      <c r="L375" s="7" t="inlineStr">
        <is>
          <t>roll following on the LME panel calendar</t>
        </is>
      </c>
      <c r="N375" s="7" t="inlineStr">
        <is>
          <t>PROXY</t>
        </is>
      </c>
      <c r="O375" s="9" t="n">
        <v>5354397.58</v>
      </c>
      <c r="P375" s="9" t="n">
        <v>5354397.58</v>
      </c>
      <c r="U375" s="7" t="inlineStr">
        <is>
          <t>DERIVED_IN_WORKBOOK</t>
        </is>
      </c>
      <c r="V375" s="8">
        <f>SUMIFS(Cashflows!$R$1043:$R$1393,Cashflows!$B$1043:$B$1393,$C375,Cashflows!$C$1043:$C$1393,$K375)</f>
        <v/>
      </c>
      <c r="W375" s="8">
        <f>IF($G375="INR",1,INDEX(Market_Daily!$F$6:$F$256,MATCH($K375,Market_Daily!$A$6:$A$256,0)))</f>
        <v/>
      </c>
      <c r="X375" s="8">
        <f>$V375*$W375</f>
        <v/>
      </c>
      <c r="Y375" s="18">
        <f>$X375-$P375</f>
        <v/>
      </c>
      <c r="Z375" s="8">
        <f>IF(ABS($Y375)&lt;=tol_cashflow_inr,"PASS","FAIL")</f>
        <v/>
      </c>
      <c r="AA375" s="7" t="inlineStr">
        <is>
          <t>direction x lots x lot_kg x (F(s) - F(s-1))</t>
        </is>
      </c>
    </row>
    <row r="376">
      <c r="A376" s="7" t="inlineStr">
        <is>
          <t>T03</t>
        </is>
      </c>
      <c r="B376" s="7" t="inlineStr">
        <is>
          <t>MCX:T03-MCX-1</t>
        </is>
      </c>
      <c r="C376" s="7" t="inlineStr">
        <is>
          <t>T03-MCX-1</t>
        </is>
      </c>
      <c r="D376" s="7" t="inlineStr">
        <is>
          <t>MCX_INITIAL_MARGIN</t>
        </is>
      </c>
      <c r="E376" s="7" t="inlineStr">
        <is>
          <t>MCX_INITIAL_MARGIN</t>
        </is>
      </c>
      <c r="F376" s="7" t="inlineStr">
        <is>
          <t>BS</t>
        </is>
      </c>
      <c r="G376" s="7" t="inlineStr">
        <is>
          <t>INR</t>
        </is>
      </c>
      <c r="H376" s="11" t="n">
        <v>44643</v>
      </c>
      <c r="I376" s="11" t="n">
        <v>44659</v>
      </c>
      <c r="J376" s="11" t="n">
        <v>44659</v>
      </c>
      <c r="K376" s="11" t="n">
        <v>44659</v>
      </c>
      <c r="L376" s="7" t="inlineStr">
        <is>
          <t>roll following on the LME panel calendar</t>
        </is>
      </c>
      <c r="N376" s="7" t="inlineStr">
        <is>
          <t>PROXY</t>
        </is>
      </c>
      <c r="O376" s="9" t="n">
        <v>-251808.71</v>
      </c>
      <c r="P376" s="9" t="n">
        <v>-251808.71</v>
      </c>
      <c r="U376" s="7" t="inlineStr">
        <is>
          <t>DERIVED_IN_WORKBOOK</t>
        </is>
      </c>
      <c r="V376" s="8">
        <f>-SUMIFS(Cashflows!$W$1043:$W$1393,Cashflows!$B$1043:$B$1393,$C376,Cashflows!$C$1043:$C$1393,$K376)</f>
        <v/>
      </c>
      <c r="W376" s="8">
        <f>IF($G376="INR",1,INDEX(Market_Daily!$F$6:$F$256,MATCH($K376,Market_Daily!$A$6:$A$256,0)))</f>
        <v/>
      </c>
      <c r="X376" s="8">
        <f>$V376*$W376</f>
        <v/>
      </c>
      <c r="Y376" s="18">
        <f>$X376-$P376</f>
        <v/>
      </c>
      <c r="Z376" s="8">
        <f>IF(ABS($Y376)&lt;=tol_cashflow_inr,"PASS","FAIL")</f>
        <v/>
      </c>
      <c r="AA376" s="7" t="inlineStr">
        <is>
          <t>-d(lots x lot_kg x F(s) x mcx_al_margin_used_frac)</t>
        </is>
      </c>
    </row>
    <row r="377">
      <c r="A377" s="7" t="inlineStr">
        <is>
          <t>T03</t>
        </is>
      </c>
      <c r="B377" s="7" t="inlineStr">
        <is>
          <t>MCX:T03-MCX-1</t>
        </is>
      </c>
      <c r="C377" s="7" t="inlineStr">
        <is>
          <t>T03-MCX-1</t>
        </is>
      </c>
      <c r="D377" s="7" t="inlineStr">
        <is>
          <t>MCX_VARIATION_MARGIN</t>
        </is>
      </c>
      <c r="E377" s="7" t="inlineStr">
        <is>
          <t>MCX_VARIATION_MARGIN</t>
        </is>
      </c>
      <c r="F377" s="7" t="inlineStr">
        <is>
          <t>PNL</t>
        </is>
      </c>
      <c r="G377" s="7" t="inlineStr">
        <is>
          <t>INR</t>
        </is>
      </c>
      <c r="H377" s="11" t="n">
        <v>44643</v>
      </c>
      <c r="I377" s="11" t="n">
        <v>44659</v>
      </c>
      <c r="J377" s="11" t="n">
        <v>44659</v>
      </c>
      <c r="K377" s="11" t="n">
        <v>44659</v>
      </c>
      <c r="L377" s="7" t="inlineStr">
        <is>
          <t>roll following on the LME panel calendar</t>
        </is>
      </c>
      <c r="N377" s="7" t="inlineStr">
        <is>
          <t>PROXY</t>
        </is>
      </c>
      <c r="O377" s="9" t="n">
        <v>-2518087.11</v>
      </c>
      <c r="P377" s="9" t="n">
        <v>-2518087.11</v>
      </c>
      <c r="U377" s="7" t="inlineStr">
        <is>
          <t>DERIVED_IN_WORKBOOK</t>
        </is>
      </c>
      <c r="V377" s="8">
        <f>SUMIFS(Cashflows!$R$1043:$R$1393,Cashflows!$B$1043:$B$1393,$C377,Cashflows!$C$1043:$C$1393,$K377)</f>
        <v/>
      </c>
      <c r="W377" s="8">
        <f>IF($G377="INR",1,INDEX(Market_Daily!$F$6:$F$256,MATCH($K377,Market_Daily!$A$6:$A$256,0)))</f>
        <v/>
      </c>
      <c r="X377" s="8">
        <f>$V377*$W377</f>
        <v/>
      </c>
      <c r="Y377" s="18">
        <f>$X377-$P377</f>
        <v/>
      </c>
      <c r="Z377" s="8">
        <f>IF(ABS($Y377)&lt;=tol_cashflow_inr,"PASS","FAIL")</f>
        <v/>
      </c>
      <c r="AA377" s="7" t="inlineStr">
        <is>
          <t>direction x lots x lot_kg x (F(s) - F(s-1))</t>
        </is>
      </c>
    </row>
    <row r="378">
      <c r="A378" s="7" t="inlineStr">
        <is>
          <t>T03</t>
        </is>
      </c>
      <c r="B378" s="7" t="inlineStr">
        <is>
          <t>MCX:T03-MCX-1</t>
        </is>
      </c>
      <c r="C378" s="7" t="inlineStr">
        <is>
          <t>T03-MCX-1</t>
        </is>
      </c>
      <c r="D378" s="7" t="inlineStr">
        <is>
          <t>MCX_INITIAL_MARGIN</t>
        </is>
      </c>
      <c r="E378" s="7" t="inlineStr">
        <is>
          <t>MCX_INITIAL_MARGIN</t>
        </is>
      </c>
      <c r="F378" s="7" t="inlineStr">
        <is>
          <t>BS</t>
        </is>
      </c>
      <c r="G378" s="7" t="inlineStr">
        <is>
          <t>INR</t>
        </is>
      </c>
      <c r="H378" s="11" t="n">
        <v>44643</v>
      </c>
      <c r="I378" s="11" t="n">
        <v>44662</v>
      </c>
      <c r="J378" s="11" t="n">
        <v>44662</v>
      </c>
      <c r="K378" s="11" t="n">
        <v>44662</v>
      </c>
      <c r="L378" s="7" t="inlineStr">
        <is>
          <t>roll following on the LME panel calendar</t>
        </is>
      </c>
      <c r="N378" s="7" t="inlineStr">
        <is>
          <t>PROXY</t>
        </is>
      </c>
      <c r="O378" s="9" t="n">
        <v>945154.72</v>
      </c>
      <c r="P378" s="9" t="n">
        <v>945154.72</v>
      </c>
      <c r="U378" s="7" t="inlineStr">
        <is>
          <t>DERIVED_IN_WORKBOOK</t>
        </is>
      </c>
      <c r="V378" s="8">
        <f>-SUMIFS(Cashflows!$W$1043:$W$1393,Cashflows!$B$1043:$B$1393,$C378,Cashflows!$C$1043:$C$1393,$K378)</f>
        <v/>
      </c>
      <c r="W378" s="8">
        <f>IF($G378="INR",1,INDEX(Market_Daily!$F$6:$F$256,MATCH($K378,Market_Daily!$A$6:$A$256,0)))</f>
        <v/>
      </c>
      <c r="X378" s="8">
        <f>$V378*$W378</f>
        <v/>
      </c>
      <c r="Y378" s="18">
        <f>$X378-$P378</f>
        <v/>
      </c>
      <c r="Z378" s="8">
        <f>IF(ABS($Y378)&lt;=tol_cashflow_inr,"PASS","FAIL")</f>
        <v/>
      </c>
      <c r="AA378" s="7" t="inlineStr">
        <is>
          <t>-d(lots x lot_kg x F(s) x mcx_al_margin_used_frac)</t>
        </is>
      </c>
    </row>
    <row r="379">
      <c r="A379" s="7" t="inlineStr">
        <is>
          <t>T03</t>
        </is>
      </c>
      <c r="B379" s="7" t="inlineStr">
        <is>
          <t>MCX:T03-MCX-1</t>
        </is>
      </c>
      <c r="C379" s="7" t="inlineStr">
        <is>
          <t>T03-MCX-1</t>
        </is>
      </c>
      <c r="D379" s="7" t="inlineStr">
        <is>
          <t>MCX_VARIATION_MARGIN</t>
        </is>
      </c>
      <c r="E379" s="7" t="inlineStr">
        <is>
          <t>MCX_VARIATION_MARGIN</t>
        </is>
      </c>
      <c r="F379" s="7" t="inlineStr">
        <is>
          <t>PNL</t>
        </is>
      </c>
      <c r="G379" s="7" t="inlineStr">
        <is>
          <t>INR</t>
        </is>
      </c>
      <c r="H379" s="11" t="n">
        <v>44643</v>
      </c>
      <c r="I379" s="11" t="n">
        <v>44662</v>
      </c>
      <c r="J379" s="11" t="n">
        <v>44662</v>
      </c>
      <c r="K379" s="11" t="n">
        <v>44662</v>
      </c>
      <c r="L379" s="7" t="inlineStr">
        <is>
          <t>roll following on the LME panel calendar</t>
        </is>
      </c>
      <c r="N379" s="7" t="inlineStr">
        <is>
          <t>PROXY</t>
        </is>
      </c>
      <c r="O379" s="9" t="n">
        <v>9451547.16</v>
      </c>
      <c r="P379" s="9" t="n">
        <v>9451547.16</v>
      </c>
      <c r="U379" s="7" t="inlineStr">
        <is>
          <t>DERIVED_IN_WORKBOOK</t>
        </is>
      </c>
      <c r="V379" s="8">
        <f>SUMIFS(Cashflows!$R$1043:$R$1393,Cashflows!$B$1043:$B$1393,$C379,Cashflows!$C$1043:$C$1393,$K379)</f>
        <v/>
      </c>
      <c r="W379" s="8">
        <f>IF($G379="INR",1,INDEX(Market_Daily!$F$6:$F$256,MATCH($K379,Market_Daily!$A$6:$A$256,0)))</f>
        <v/>
      </c>
      <c r="X379" s="8">
        <f>$V379*$W379</f>
        <v/>
      </c>
      <c r="Y379" s="18">
        <f>$X379-$P379</f>
        <v/>
      </c>
      <c r="Z379" s="8">
        <f>IF(ABS($Y379)&lt;=tol_cashflow_inr,"PASS","FAIL")</f>
        <v/>
      </c>
      <c r="AA379" s="7" t="inlineStr">
        <is>
          <t>direction x lots x lot_kg x (F(s) - F(s-1))</t>
        </is>
      </c>
    </row>
    <row r="380">
      <c r="A380" s="7" t="inlineStr">
        <is>
          <t>T03</t>
        </is>
      </c>
      <c r="B380" s="7" t="inlineStr">
        <is>
          <t>MCX:T03-MCX-1</t>
        </is>
      </c>
      <c r="C380" s="7" t="inlineStr">
        <is>
          <t>T03-MCX-1</t>
        </is>
      </c>
      <c r="D380" s="7" t="inlineStr">
        <is>
          <t>MCX_INITIAL_MARGIN</t>
        </is>
      </c>
      <c r="E380" s="7" t="inlineStr">
        <is>
          <t>MCX_INITIAL_MARGIN</t>
        </is>
      </c>
      <c r="F380" s="7" t="inlineStr">
        <is>
          <t>BS</t>
        </is>
      </c>
      <c r="G380" s="7" t="inlineStr">
        <is>
          <t>INR</t>
        </is>
      </c>
      <c r="H380" s="11" t="n">
        <v>44643</v>
      </c>
      <c r="I380" s="11" t="n">
        <v>44663</v>
      </c>
      <c r="J380" s="11" t="n">
        <v>44663</v>
      </c>
      <c r="K380" s="11" t="n">
        <v>44663</v>
      </c>
      <c r="L380" s="7" t="inlineStr">
        <is>
          <t>roll following on the LME panel calendar</t>
        </is>
      </c>
      <c r="N380" s="7" t="inlineStr">
        <is>
          <t>PROXY</t>
        </is>
      </c>
      <c r="O380" s="9" t="n">
        <v>47234.34</v>
      </c>
      <c r="P380" s="9" t="n">
        <v>47234.34</v>
      </c>
      <c r="U380" s="7" t="inlineStr">
        <is>
          <t>DERIVED_IN_WORKBOOK</t>
        </is>
      </c>
      <c r="V380" s="8">
        <f>-SUMIFS(Cashflows!$W$1043:$W$1393,Cashflows!$B$1043:$B$1393,$C380,Cashflows!$C$1043:$C$1393,$K380)</f>
        <v/>
      </c>
      <c r="W380" s="8">
        <f>IF($G380="INR",1,INDEX(Market_Daily!$F$6:$F$256,MATCH($K380,Market_Daily!$A$6:$A$256,0)))</f>
        <v/>
      </c>
      <c r="X380" s="8">
        <f>$V380*$W380</f>
        <v/>
      </c>
      <c r="Y380" s="18">
        <f>$X380-$P380</f>
        <v/>
      </c>
      <c r="Z380" s="8">
        <f>IF(ABS($Y380)&lt;=tol_cashflow_inr,"PASS","FAIL")</f>
        <v/>
      </c>
      <c r="AA380" s="7" t="inlineStr">
        <is>
          <t>-d(lots x lot_kg x F(s) x mcx_al_margin_used_frac)</t>
        </is>
      </c>
    </row>
    <row r="381">
      <c r="A381" s="7" t="inlineStr">
        <is>
          <t>T03</t>
        </is>
      </c>
      <c r="B381" s="7" t="inlineStr">
        <is>
          <t>MCX:T03-MCX-1</t>
        </is>
      </c>
      <c r="C381" s="7" t="inlineStr">
        <is>
          <t>T03-MCX-1</t>
        </is>
      </c>
      <c r="D381" s="7" t="inlineStr">
        <is>
          <t>MCX_VARIATION_MARGIN</t>
        </is>
      </c>
      <c r="E381" s="7" t="inlineStr">
        <is>
          <t>MCX_VARIATION_MARGIN</t>
        </is>
      </c>
      <c r="F381" s="7" t="inlineStr">
        <is>
          <t>PNL</t>
        </is>
      </c>
      <c r="G381" s="7" t="inlineStr">
        <is>
          <t>INR</t>
        </is>
      </c>
      <c r="H381" s="11" t="n">
        <v>44643</v>
      </c>
      <c r="I381" s="11" t="n">
        <v>44663</v>
      </c>
      <c r="J381" s="11" t="n">
        <v>44663</v>
      </c>
      <c r="K381" s="11" t="n">
        <v>44663</v>
      </c>
      <c r="L381" s="7" t="inlineStr">
        <is>
          <t>roll following on the LME panel calendar</t>
        </is>
      </c>
      <c r="N381" s="7" t="inlineStr">
        <is>
          <t>PROXY</t>
        </is>
      </c>
      <c r="O381" s="9" t="n">
        <v>472343.41</v>
      </c>
      <c r="P381" s="9" t="n">
        <v>472343.41</v>
      </c>
      <c r="U381" s="7" t="inlineStr">
        <is>
          <t>DERIVED_IN_WORKBOOK</t>
        </is>
      </c>
      <c r="V381" s="8">
        <f>SUMIFS(Cashflows!$R$1043:$R$1393,Cashflows!$B$1043:$B$1393,$C381,Cashflows!$C$1043:$C$1393,$K381)</f>
        <v/>
      </c>
      <c r="W381" s="8">
        <f>IF($G381="INR",1,INDEX(Market_Daily!$F$6:$F$256,MATCH($K381,Market_Daily!$A$6:$A$256,0)))</f>
        <v/>
      </c>
      <c r="X381" s="8">
        <f>$V381*$W381</f>
        <v/>
      </c>
      <c r="Y381" s="18">
        <f>$X381-$P381</f>
        <v/>
      </c>
      <c r="Z381" s="8">
        <f>IF(ABS($Y381)&lt;=tol_cashflow_inr,"PASS","FAIL")</f>
        <v/>
      </c>
      <c r="AA381" s="7" t="inlineStr">
        <is>
          <t>direction x lots x lot_kg x (F(s) - F(s-1))</t>
        </is>
      </c>
    </row>
    <row r="382">
      <c r="A382" s="7" t="inlineStr">
        <is>
          <t>T03</t>
        </is>
      </c>
      <c r="B382" s="7" t="inlineStr">
        <is>
          <t>INSURANCE:L1</t>
        </is>
      </c>
      <c r="C382" s="7" t="inlineStr">
        <is>
          <t>L1</t>
        </is>
      </c>
      <c r="D382" s="7" t="inlineStr">
        <is>
          <t>INSURANCE</t>
        </is>
      </c>
      <c r="E382" s="7" t="inlineStr">
        <is>
          <t>INSURANCE</t>
        </is>
      </c>
      <c r="F382" s="7" t="inlineStr">
        <is>
          <t>PNL</t>
        </is>
      </c>
      <c r="G382" s="7" t="inlineStr">
        <is>
          <t>USD</t>
        </is>
      </c>
      <c r="H382" s="11" t="n">
        <v>44643</v>
      </c>
      <c r="I382" s="11" t="n">
        <v>44664</v>
      </c>
      <c r="J382" s="11" t="n">
        <v>44664</v>
      </c>
      <c r="K382" s="11" t="n">
        <v>44664</v>
      </c>
      <c r="L382" s="7" t="inlineStr">
        <is>
          <t>roll following on the LME panel calendar</t>
        </is>
      </c>
      <c r="N382" s="7" t="inlineStr">
        <is>
          <t>ASSUMPTION</t>
        </is>
      </c>
      <c r="O382" s="9" t="n">
        <v>-1630.2</v>
      </c>
      <c r="P382" s="9" t="n">
        <v>-124196.95</v>
      </c>
      <c r="U382" s="7" t="inlineStr">
        <is>
          <t>PYTHON_LIFECYCLE</t>
        </is>
      </c>
      <c r="V382" s="8">
        <f>$O382</f>
        <v/>
      </c>
      <c r="W382" s="8">
        <f>IF($G382="INR",1,INDEX(Market_Daily!$F$6:$F$256,MATCH($K382,Market_Daily!$A$6:$A$256,0)))</f>
        <v/>
      </c>
      <c r="X382" s="8">
        <f>$V382*$W382</f>
        <v/>
      </c>
      <c r="Y382" s="18">
        <f>$X382-$P382</f>
        <v/>
      </c>
      <c r="Z382" s="8">
        <f>IF(ABS($Y382)&lt;=tol_cashflow_inr,"PASS","FAIL")</f>
        <v/>
      </c>
      <c r="AA382" s="7" t="inlineStr">
        <is>
          <t>-insurance_rate x insured_value_uplift x cfr_value_usd</t>
        </is>
      </c>
    </row>
    <row r="383">
      <c r="A383" s="7" t="inlineStr">
        <is>
          <t>T03</t>
        </is>
      </c>
      <c r="B383" s="7" t="inlineStr">
        <is>
          <t>MCX:T03-MCX-1</t>
        </is>
      </c>
      <c r="C383" s="7" t="inlineStr">
        <is>
          <t>T03-MCX-1</t>
        </is>
      </c>
      <c r="D383" s="7" t="inlineStr">
        <is>
          <t>MCX_INITIAL_MARGIN</t>
        </is>
      </c>
      <c r="E383" s="7" t="inlineStr">
        <is>
          <t>MCX_INITIAL_MARGIN</t>
        </is>
      </c>
      <c r="F383" s="7" t="inlineStr">
        <is>
          <t>BS</t>
        </is>
      </c>
      <c r="G383" s="7" t="inlineStr">
        <is>
          <t>INR</t>
        </is>
      </c>
      <c r="H383" s="11" t="n">
        <v>44643</v>
      </c>
      <c r="I383" s="11" t="n">
        <v>44664</v>
      </c>
      <c r="J383" s="11" t="n">
        <v>44664</v>
      </c>
      <c r="K383" s="11" t="n">
        <v>44664</v>
      </c>
      <c r="L383" s="7" t="inlineStr">
        <is>
          <t>roll following on the LME panel calendar</t>
        </is>
      </c>
      <c r="N383" s="7" t="inlineStr">
        <is>
          <t>PROXY</t>
        </is>
      </c>
      <c r="O383" s="9" t="n">
        <v>42625.51</v>
      </c>
      <c r="P383" s="9" t="n">
        <v>42625.51</v>
      </c>
      <c r="U383" s="7" t="inlineStr">
        <is>
          <t>DERIVED_IN_WORKBOOK</t>
        </is>
      </c>
      <c r="V383" s="8">
        <f>-SUMIFS(Cashflows!$W$1043:$W$1393,Cashflows!$B$1043:$B$1393,$C383,Cashflows!$C$1043:$C$1393,$K383)</f>
        <v/>
      </c>
      <c r="W383" s="8">
        <f>IF($G383="INR",1,INDEX(Market_Daily!$F$6:$F$256,MATCH($K383,Market_Daily!$A$6:$A$256,0)))</f>
        <v/>
      </c>
      <c r="X383" s="8">
        <f>$V383*$W383</f>
        <v/>
      </c>
      <c r="Y383" s="18">
        <f>$X383-$P383</f>
        <v/>
      </c>
      <c r="Z383" s="8">
        <f>IF(ABS($Y383)&lt;=tol_cashflow_inr,"PASS","FAIL")</f>
        <v/>
      </c>
      <c r="AA383" s="7" t="inlineStr">
        <is>
          <t>-d(lots x lot_kg x F(s) x mcx_al_margin_used_frac)</t>
        </is>
      </c>
    </row>
    <row r="384">
      <c r="A384" s="7" t="inlineStr">
        <is>
          <t>T03</t>
        </is>
      </c>
      <c r="B384" s="7" t="inlineStr">
        <is>
          <t>MCX:T03-MCX-1</t>
        </is>
      </c>
      <c r="C384" s="7" t="inlineStr">
        <is>
          <t>T03-MCX-1</t>
        </is>
      </c>
      <c r="D384" s="7" t="inlineStr">
        <is>
          <t>MCX_VARIATION_MARGIN</t>
        </is>
      </c>
      <c r="E384" s="7" t="inlineStr">
        <is>
          <t>MCX_VARIATION_MARGIN</t>
        </is>
      </c>
      <c r="F384" s="7" t="inlineStr">
        <is>
          <t>PNL</t>
        </is>
      </c>
      <c r="G384" s="7" t="inlineStr">
        <is>
          <t>INR</t>
        </is>
      </c>
      <c r="H384" s="11" t="n">
        <v>44643</v>
      </c>
      <c r="I384" s="11" t="n">
        <v>44664</v>
      </c>
      <c r="J384" s="11" t="n">
        <v>44664</v>
      </c>
      <c r="K384" s="11" t="n">
        <v>44664</v>
      </c>
      <c r="L384" s="7" t="inlineStr">
        <is>
          <t>roll following on the LME panel calendar</t>
        </is>
      </c>
      <c r="N384" s="7" t="inlineStr">
        <is>
          <t>PROXY</t>
        </is>
      </c>
      <c r="O384" s="9" t="n">
        <v>426255.06</v>
      </c>
      <c r="P384" s="9" t="n">
        <v>426255.06</v>
      </c>
      <c r="U384" s="7" t="inlineStr">
        <is>
          <t>DERIVED_IN_WORKBOOK</t>
        </is>
      </c>
      <c r="V384" s="8">
        <f>SUMIFS(Cashflows!$R$1043:$R$1393,Cashflows!$B$1043:$B$1393,$C384,Cashflows!$C$1043:$C$1393,$K384)</f>
        <v/>
      </c>
      <c r="W384" s="8">
        <f>IF($G384="INR",1,INDEX(Market_Daily!$F$6:$F$256,MATCH($K384,Market_Daily!$A$6:$A$256,0)))</f>
        <v/>
      </c>
      <c r="X384" s="8">
        <f>$V384*$W384</f>
        <v/>
      </c>
      <c r="Y384" s="18">
        <f>$X384-$P384</f>
        <v/>
      </c>
      <c r="Z384" s="8">
        <f>IF(ABS($Y384)&lt;=tol_cashflow_inr,"PASS","FAIL")</f>
        <v/>
      </c>
      <c r="AA384" s="7" t="inlineStr">
        <is>
          <t>direction x lots x lot_kg x (F(s) - F(s-1))</t>
        </is>
      </c>
    </row>
    <row r="385">
      <c r="A385" s="7" t="inlineStr">
        <is>
          <t>T03</t>
        </is>
      </c>
      <c r="B385" s="7" t="inlineStr">
        <is>
          <t>PSIC:L1</t>
        </is>
      </c>
      <c r="C385" s="7" t="inlineStr">
        <is>
          <t>L1</t>
        </is>
      </c>
      <c r="D385" s="7" t="inlineStr">
        <is>
          <t>PSIC</t>
        </is>
      </c>
      <c r="E385" s="7" t="inlineStr">
        <is>
          <t>PSIC</t>
        </is>
      </c>
      <c r="F385" s="7" t="inlineStr">
        <is>
          <t>PNL</t>
        </is>
      </c>
      <c r="G385" s="7" t="inlineStr">
        <is>
          <t>USD</t>
        </is>
      </c>
      <c r="H385" s="11" t="n">
        <v>44643</v>
      </c>
      <c r="I385" s="11" t="n">
        <v>44664</v>
      </c>
      <c r="J385" s="11" t="n">
        <v>44664</v>
      </c>
      <c r="K385" s="11" t="n">
        <v>44664</v>
      </c>
      <c r="L385" s="7" t="inlineStr">
        <is>
          <t>roll following on the LME panel calendar</t>
        </is>
      </c>
      <c r="N385" s="7" t="inlineStr">
        <is>
          <t>ASSUMPTION</t>
        </is>
      </c>
      <c r="O385" s="9" t="n">
        <v>-1200</v>
      </c>
      <c r="P385" s="9" t="n">
        <v>-91422.12</v>
      </c>
      <c r="U385" s="7" t="inlineStr">
        <is>
          <t>PYTHON_LIFECYCLE</t>
        </is>
      </c>
      <c r="V385" s="8">
        <f>$O385</f>
        <v/>
      </c>
      <c r="W385" s="8">
        <f>IF($G385="INR",1,INDEX(Market_Daily!$F$6:$F$256,MATCH($K385,Market_Daily!$A$6:$A$256,0)))</f>
        <v/>
      </c>
      <c r="X385" s="8">
        <f>$V385*$W385</f>
        <v/>
      </c>
      <c r="Y385" s="18">
        <f>$X385-$P385</f>
        <v/>
      </c>
      <c r="Z385" s="8">
        <f>IF(ABS($Y385)&lt;=tol_cashflow_inr,"PASS","FAIL")</f>
        <v/>
      </c>
      <c r="AA385" s="7" t="inlineStr">
        <is>
          <t>-psic_cost_usd_per_box x boxes</t>
        </is>
      </c>
    </row>
    <row r="386">
      <c r="A386" s="7" t="inlineStr">
        <is>
          <t>T03</t>
        </is>
      </c>
      <c r="B386" s="7" t="inlineStr">
        <is>
          <t>MCX:T03-MCX-1</t>
        </is>
      </c>
      <c r="C386" s="7" t="inlineStr">
        <is>
          <t>T03-MCX-1</t>
        </is>
      </c>
      <c r="D386" s="7" t="inlineStr">
        <is>
          <t>MCX_INITIAL_MARGIN</t>
        </is>
      </c>
      <c r="E386" s="7" t="inlineStr">
        <is>
          <t>MCX_INITIAL_MARGIN</t>
        </is>
      </c>
      <c r="F386" s="7" t="inlineStr">
        <is>
          <t>BS</t>
        </is>
      </c>
      <c r="G386" s="7" t="inlineStr">
        <is>
          <t>INR</t>
        </is>
      </c>
      <c r="H386" s="11" t="n">
        <v>44643</v>
      </c>
      <c r="I386" s="11" t="n">
        <v>44665</v>
      </c>
      <c r="J386" s="11" t="n">
        <v>44665</v>
      </c>
      <c r="K386" s="11" t="n">
        <v>44665</v>
      </c>
      <c r="L386" s="7" t="inlineStr">
        <is>
          <t>roll following on the LME panel calendar</t>
        </is>
      </c>
      <c r="N386" s="7" t="inlineStr">
        <is>
          <t>PROXY</t>
        </is>
      </c>
      <c r="O386" s="9" t="n">
        <v>-164224.27</v>
      </c>
      <c r="P386" s="9" t="n">
        <v>-164224.27</v>
      </c>
      <c r="U386" s="7" t="inlineStr">
        <is>
          <t>DERIVED_IN_WORKBOOK</t>
        </is>
      </c>
      <c r="V386" s="8">
        <f>-SUMIFS(Cashflows!$W$1043:$W$1393,Cashflows!$B$1043:$B$1393,$C386,Cashflows!$C$1043:$C$1393,$K386)</f>
        <v/>
      </c>
      <c r="W386" s="8">
        <f>IF($G386="INR",1,INDEX(Market_Daily!$F$6:$F$256,MATCH($K386,Market_Daily!$A$6:$A$256,0)))</f>
        <v/>
      </c>
      <c r="X386" s="8">
        <f>$V386*$W386</f>
        <v/>
      </c>
      <c r="Y386" s="18">
        <f>$X386-$P386</f>
        <v/>
      </c>
      <c r="Z386" s="8">
        <f>IF(ABS($Y386)&lt;=tol_cashflow_inr,"PASS","FAIL")</f>
        <v/>
      </c>
      <c r="AA386" s="7" t="inlineStr">
        <is>
          <t>-d(lots x lot_kg x F(s) x mcx_al_margin_used_frac)</t>
        </is>
      </c>
    </row>
    <row r="387">
      <c r="A387" s="7" t="inlineStr">
        <is>
          <t>T03</t>
        </is>
      </c>
      <c r="B387" s="7" t="inlineStr">
        <is>
          <t>MCX:T03-MCX-1</t>
        </is>
      </c>
      <c r="C387" s="7" t="inlineStr">
        <is>
          <t>T03-MCX-1</t>
        </is>
      </c>
      <c r="D387" s="7" t="inlineStr">
        <is>
          <t>MCX_VARIATION_MARGIN</t>
        </is>
      </c>
      <c r="E387" s="7" t="inlineStr">
        <is>
          <t>MCX_VARIATION_MARGIN</t>
        </is>
      </c>
      <c r="F387" s="7" t="inlineStr">
        <is>
          <t>PNL</t>
        </is>
      </c>
      <c r="G387" s="7" t="inlineStr">
        <is>
          <t>INR</t>
        </is>
      </c>
      <c r="H387" s="11" t="n">
        <v>44643</v>
      </c>
      <c r="I387" s="11" t="n">
        <v>44665</v>
      </c>
      <c r="J387" s="11" t="n">
        <v>44665</v>
      </c>
      <c r="K387" s="11" t="n">
        <v>44665</v>
      </c>
      <c r="L387" s="7" t="inlineStr">
        <is>
          <t>roll following on the LME panel calendar</t>
        </is>
      </c>
      <c r="N387" s="7" t="inlineStr">
        <is>
          <t>PROXY</t>
        </is>
      </c>
      <c r="O387" s="9" t="n">
        <v>-1642242.66</v>
      </c>
      <c r="P387" s="9" t="n">
        <v>-1642242.66</v>
      </c>
      <c r="U387" s="7" t="inlineStr">
        <is>
          <t>DERIVED_IN_WORKBOOK</t>
        </is>
      </c>
      <c r="V387" s="8">
        <f>SUMIFS(Cashflows!$R$1043:$R$1393,Cashflows!$B$1043:$B$1393,$C387,Cashflows!$C$1043:$C$1393,$K387)</f>
        <v/>
      </c>
      <c r="W387" s="8">
        <f>IF($G387="INR",1,INDEX(Market_Daily!$F$6:$F$256,MATCH($K387,Market_Daily!$A$6:$A$256,0)))</f>
        <v/>
      </c>
      <c r="X387" s="8">
        <f>$V387*$W387</f>
        <v/>
      </c>
      <c r="Y387" s="18">
        <f>$X387-$P387</f>
        <v/>
      </c>
      <c r="Z387" s="8">
        <f>IF(ABS($Y387)&lt;=tol_cashflow_inr,"PASS","FAIL")</f>
        <v/>
      </c>
      <c r="AA387" s="7" t="inlineStr">
        <is>
          <t>direction x lots x lot_kg x (F(s) - F(s-1))</t>
        </is>
      </c>
    </row>
    <row r="388">
      <c r="A388" s="7" t="inlineStr">
        <is>
          <t>T03</t>
        </is>
      </c>
      <c r="B388" s="7" t="inlineStr">
        <is>
          <t>DUTY:L1</t>
        </is>
      </c>
      <c r="C388" s="7" t="inlineStr">
        <is>
          <t>L1</t>
        </is>
      </c>
      <c r="D388" s="7" t="inlineStr">
        <is>
          <t>CUSTOMS_DUTY</t>
        </is>
      </c>
      <c r="E388" s="7" t="inlineStr">
        <is>
          <t>CUSTOMS_DUTY</t>
        </is>
      </c>
      <c r="F388" s="7" t="inlineStr">
        <is>
          <t>PNL</t>
        </is>
      </c>
      <c r="G388" s="7" t="inlineStr">
        <is>
          <t>INR</t>
        </is>
      </c>
      <c r="H388" s="11" t="n">
        <v>44643</v>
      </c>
      <c r="I388" s="11" t="n">
        <v>44670</v>
      </c>
      <c r="J388" s="11" t="n">
        <v>44670</v>
      </c>
      <c r="K388" s="11" t="n">
        <v>44670</v>
      </c>
      <c r="L388" s="7" t="inlineStr">
        <is>
          <t>roll following on the LME panel calendar</t>
        </is>
      </c>
      <c r="N388" s="7" t="inlineStr">
        <is>
          <t>DIRECT</t>
        </is>
      </c>
      <c r="O388" s="9" t="n">
        <v>-3133426.98</v>
      </c>
      <c r="P388" s="9" t="n">
        <v>-3133426.98</v>
      </c>
      <c r="U388" s="7" t="inlineStr">
        <is>
          <t>PYTHON_LIFECYCLE</t>
        </is>
      </c>
      <c r="V388" s="8">
        <f>$O388</f>
        <v/>
      </c>
      <c r="W388" s="8">
        <f>IF($G388="INR",1,INDEX(Market_Daily!$F$6:$F$256,MATCH($K388,Market_Daily!$A$6:$A$256,0)))</f>
        <v/>
      </c>
      <c r="X388" s="8">
        <f>$V388*$W388</f>
        <v/>
      </c>
      <c r="Y388" s="18">
        <f>$X388-$P388</f>
        <v/>
      </c>
      <c r="Z388" s="8">
        <f>IF(ABS($Y388)&lt;=tol_cashflow_inr,"PASS","FAIL")</f>
        <v/>
      </c>
      <c r="AA388" s="7" t="inlineStr">
        <is>
          <t>-assessable_inr x bcd_scrap_hs7602 x (1 + sws_rate_on_bcd)</t>
        </is>
      </c>
    </row>
    <row r="389">
      <c r="A389" s="7" t="inlineStr">
        <is>
          <t>T03</t>
        </is>
      </c>
      <c r="B389" s="7" t="inlineStr">
        <is>
          <t>IGST:L1</t>
        </is>
      </c>
      <c r="C389" s="7" t="inlineStr">
        <is>
          <t>L1</t>
        </is>
      </c>
      <c r="D389" s="7" t="inlineStr">
        <is>
          <t>IGST_IMPORT</t>
        </is>
      </c>
      <c r="E389" s="7" t="inlineStr">
        <is>
          <t>IGST_IMPORT</t>
        </is>
      </c>
      <c r="F389" s="7" t="inlineStr">
        <is>
          <t>BS</t>
        </is>
      </c>
      <c r="G389" s="7" t="inlineStr">
        <is>
          <t>INR</t>
        </is>
      </c>
      <c r="H389" s="11" t="n">
        <v>44643</v>
      </c>
      <c r="I389" s="11" t="n">
        <v>44670</v>
      </c>
      <c r="J389" s="11" t="n">
        <v>44670</v>
      </c>
      <c r="K389" s="11" t="n">
        <v>44670</v>
      </c>
      <c r="L389" s="7" t="inlineStr">
        <is>
          <t>roll following on the LME panel calendar</t>
        </is>
      </c>
      <c r="N389" s="7" t="inlineStr">
        <is>
          <t>DIRECT</t>
        </is>
      </c>
      <c r="O389" s="9" t="n">
        <v>-21073720.74</v>
      </c>
      <c r="P389" s="9" t="n">
        <v>-21073720.74</v>
      </c>
      <c r="U389" s="7" t="inlineStr">
        <is>
          <t>PYTHON_LIFECYCLE</t>
        </is>
      </c>
      <c r="V389" s="8">
        <f>$O389</f>
        <v/>
      </c>
      <c r="W389" s="8">
        <f>IF($G389="INR",1,INDEX(Market_Daily!$F$6:$F$256,MATCH($K389,Market_Daily!$A$6:$A$256,0)))</f>
        <v/>
      </c>
      <c r="X389" s="8">
        <f>$V389*$W389</f>
        <v/>
      </c>
      <c r="Y389" s="18">
        <f>$X389-$P389</f>
        <v/>
      </c>
      <c r="Z389" s="8">
        <f>IF(ABS($Y389)&lt;=tol_cashflow_inr,"PASS","FAIL")</f>
        <v/>
      </c>
      <c r="AA389" s="7" t="inlineStr">
        <is>
          <t>-(assessable + duty) x igst_rate_hs7602</t>
        </is>
      </c>
    </row>
    <row r="390">
      <c r="A390" s="7" t="inlineStr">
        <is>
          <t>T03</t>
        </is>
      </c>
      <c r="B390" s="7" t="inlineStr">
        <is>
          <t>MCX:T03-MCX-1</t>
        </is>
      </c>
      <c r="C390" s="7" t="inlineStr">
        <is>
          <t>T03-MCX-1</t>
        </is>
      </c>
      <c r="D390" s="7" t="inlineStr">
        <is>
          <t>MCX_INITIAL_MARGIN</t>
        </is>
      </c>
      <c r="E390" s="7" t="inlineStr">
        <is>
          <t>MCX_INITIAL_MARGIN</t>
        </is>
      </c>
      <c r="F390" s="7" t="inlineStr">
        <is>
          <t>BS</t>
        </is>
      </c>
      <c r="G390" s="7" t="inlineStr">
        <is>
          <t>INR</t>
        </is>
      </c>
      <c r="H390" s="11" t="n">
        <v>44643</v>
      </c>
      <c r="I390" s="11" t="n">
        <v>44670</v>
      </c>
      <c r="J390" s="11" t="n">
        <v>44670</v>
      </c>
      <c r="K390" s="11" t="n">
        <v>44670</v>
      </c>
      <c r="L390" s="7" t="inlineStr">
        <is>
          <t>roll following on the LME panel calendar</t>
        </is>
      </c>
      <c r="N390" s="7" t="inlineStr">
        <is>
          <t>PROXY</t>
        </is>
      </c>
      <c r="O390" s="9" t="n">
        <v>-514905.3</v>
      </c>
      <c r="P390" s="9" t="n">
        <v>-514905.3</v>
      </c>
      <c r="U390" s="7" t="inlineStr">
        <is>
          <t>DERIVED_IN_WORKBOOK</t>
        </is>
      </c>
      <c r="V390" s="8">
        <f>-SUMIFS(Cashflows!$W$1043:$W$1393,Cashflows!$B$1043:$B$1393,$C390,Cashflows!$C$1043:$C$1393,$K390)</f>
        <v/>
      </c>
      <c r="W390" s="8">
        <f>IF($G390="INR",1,INDEX(Market_Daily!$F$6:$F$256,MATCH($K390,Market_Daily!$A$6:$A$256,0)))</f>
        <v/>
      </c>
      <c r="X390" s="8">
        <f>$V390*$W390</f>
        <v/>
      </c>
      <c r="Y390" s="18">
        <f>$X390-$P390</f>
        <v/>
      </c>
      <c r="Z390" s="8">
        <f>IF(ABS($Y390)&lt;=tol_cashflow_inr,"PASS","FAIL")</f>
        <v/>
      </c>
      <c r="AA390" s="7" t="inlineStr">
        <is>
          <t>-d(lots x lot_kg x F(s) x mcx_al_margin_used_frac)</t>
        </is>
      </c>
    </row>
    <row r="391">
      <c r="A391" s="7" t="inlineStr">
        <is>
          <t>T03</t>
        </is>
      </c>
      <c r="B391" s="7" t="inlineStr">
        <is>
          <t>MCX:T03-MCX-1</t>
        </is>
      </c>
      <c r="C391" s="7" t="inlineStr">
        <is>
          <t>T03-MCX-1</t>
        </is>
      </c>
      <c r="D391" s="7" t="inlineStr">
        <is>
          <t>MCX_VARIATION_MARGIN</t>
        </is>
      </c>
      <c r="E391" s="7" t="inlineStr">
        <is>
          <t>MCX_VARIATION_MARGIN</t>
        </is>
      </c>
      <c r="F391" s="7" t="inlineStr">
        <is>
          <t>PNL</t>
        </is>
      </c>
      <c r="G391" s="7" t="inlineStr">
        <is>
          <t>INR</t>
        </is>
      </c>
      <c r="H391" s="11" t="n">
        <v>44643</v>
      </c>
      <c r="I391" s="11" t="n">
        <v>44670</v>
      </c>
      <c r="J391" s="11" t="n">
        <v>44670</v>
      </c>
      <c r="K391" s="11" t="n">
        <v>44670</v>
      </c>
      <c r="L391" s="7" t="inlineStr">
        <is>
          <t>roll following on the LME panel calendar</t>
        </is>
      </c>
      <c r="N391" s="7" t="inlineStr">
        <is>
          <t>PROXY</t>
        </is>
      </c>
      <c r="O391" s="9" t="n">
        <v>-5149053.03</v>
      </c>
      <c r="P391" s="9" t="n">
        <v>-5149053.03</v>
      </c>
      <c r="U391" s="7" t="inlineStr">
        <is>
          <t>DERIVED_IN_WORKBOOK</t>
        </is>
      </c>
      <c r="V391" s="8">
        <f>SUMIFS(Cashflows!$R$1043:$R$1393,Cashflows!$B$1043:$B$1393,$C391,Cashflows!$C$1043:$C$1393,$K391)</f>
        <v/>
      </c>
      <c r="W391" s="8">
        <f>IF($G391="INR",1,INDEX(Market_Daily!$F$6:$F$256,MATCH($K391,Market_Daily!$A$6:$A$256,0)))</f>
        <v/>
      </c>
      <c r="X391" s="8">
        <f>$V391*$W391</f>
        <v/>
      </c>
      <c r="Y391" s="18">
        <f>$X391-$P391</f>
        <v/>
      </c>
      <c r="Z391" s="8">
        <f>IF(ABS($Y391)&lt;=tol_cashflow_inr,"PASS","FAIL")</f>
        <v/>
      </c>
      <c r="AA391" s="7" t="inlineStr">
        <is>
          <t>direction x lots x lot_kg x (F(s) - F(s-1))</t>
        </is>
      </c>
    </row>
    <row r="392">
      <c r="A392" s="7" t="inlineStr">
        <is>
          <t>T03</t>
        </is>
      </c>
      <c r="B392" s="7" t="inlineStr">
        <is>
          <t>BILL_COMMISSION:L1</t>
        </is>
      </c>
      <c r="C392" s="7" t="inlineStr">
        <is>
          <t>L1</t>
        </is>
      </c>
      <c r="D392" s="7" t="inlineStr">
        <is>
          <t>IMPORT_BILL_COMMISSION</t>
        </is>
      </c>
      <c r="E392" s="7" t="inlineStr">
        <is>
          <t>IMPORT_BILL_COMMISSION</t>
        </is>
      </c>
      <c r="F392" s="7" t="inlineStr">
        <is>
          <t>PNL</t>
        </is>
      </c>
      <c r="G392" s="7" t="inlineStr">
        <is>
          <t>USD</t>
        </is>
      </c>
      <c r="H392" s="11" t="n">
        <v>44643</v>
      </c>
      <c r="I392" s="11" t="n">
        <v>44671</v>
      </c>
      <c r="J392" s="11" t="n">
        <v>44671</v>
      </c>
      <c r="K392" s="11" t="n">
        <v>44671</v>
      </c>
      <c r="L392" s="7" t="inlineStr">
        <is>
          <t>roll following on the LME panel calendar</t>
        </is>
      </c>
      <c r="N392" s="7" t="inlineStr">
        <is>
          <t>DIRECT</t>
        </is>
      </c>
      <c r="O392" s="9" t="n">
        <v>-1778.4</v>
      </c>
      <c r="P392" s="9" t="n">
        <v>-135695.12</v>
      </c>
      <c r="U392" s="7" t="inlineStr">
        <is>
          <t>PYTHON_LIFECYCLE</t>
        </is>
      </c>
      <c r="V392" s="8">
        <f>$O392</f>
        <v/>
      </c>
      <c r="W392" s="8">
        <f>IF($G392="INR",1,INDEX(Market_Daily!$F$6:$F$256,MATCH($K392,Market_Daily!$A$6:$A$256,0)))</f>
        <v/>
      </c>
      <c r="X392" s="8">
        <f>$V392*$W392</f>
        <v/>
      </c>
      <c r="Y392" s="18">
        <f>$X392-$P392</f>
        <v/>
      </c>
      <c r="Z392" s="8">
        <f>IF(ABS($Y392)&lt;=tol_cashflow_inr,"PASS","FAIL")</f>
        <v/>
      </c>
      <c r="AA392" s="7" t="inlineStr">
        <is>
          <t>-import_bill_commission_frac x bill_usd</t>
        </is>
      </c>
    </row>
    <row r="393">
      <c r="A393" s="7" t="inlineStr">
        <is>
          <t>T03</t>
        </is>
      </c>
      <c r="B393" s="7" t="inlineStr">
        <is>
          <t>FX:T03-FX-1</t>
        </is>
      </c>
      <c r="C393" s="7" t="inlineStr">
        <is>
          <t>T03-FX-1</t>
        </is>
      </c>
      <c r="D393" s="7" t="inlineStr">
        <is>
          <t>FX_FORWARD</t>
        </is>
      </c>
      <c r="E393" s="7" t="inlineStr">
        <is>
          <t>FX_FORWARD</t>
        </is>
      </c>
      <c r="F393" s="7" t="inlineStr">
        <is>
          <t>PNL</t>
        </is>
      </c>
      <c r="G393" s="7" t="inlineStr">
        <is>
          <t>INR</t>
        </is>
      </c>
      <c r="H393" s="11" t="n">
        <v>44664</v>
      </c>
      <c r="I393" s="11" t="n">
        <v>44671</v>
      </c>
      <c r="J393" s="11" t="n">
        <v>44671</v>
      </c>
      <c r="K393" s="11" t="n">
        <v>44671</v>
      </c>
      <c r="L393" s="7" t="inlineStr">
        <is>
          <t>roll following on the LME panel calendar</t>
        </is>
      </c>
      <c r="N393" s="7" t="inlineStr">
        <is>
          <t>PROXY</t>
        </is>
      </c>
      <c r="O393" s="9" t="n">
        <v>-43783.79</v>
      </c>
      <c r="P393" s="9" t="n">
        <v>-43783.79</v>
      </c>
      <c r="Q393" s="6" t="n">
        <v>1</v>
      </c>
      <c r="R393" s="13" t="n">
        <v>1482000</v>
      </c>
      <c r="S393" s="12" t="n">
        <v>44671</v>
      </c>
      <c r="T393" s="21" t="n">
        <v>76.331344</v>
      </c>
      <c r="U393" s="7" t="inlineStr">
        <is>
          <t>DERIVED_IN_WORKBOOK</t>
        </is>
      </c>
      <c r="V393" s="8">
        <f>$Q393*$R393*(IF($S393&lt;$K393,INDEX(Market_Daily!$F$6:$F$256,MATCH($S393,Market_Daily!$A$6:$A$256,1)),IF($S393=$K393,INDEX(Market_Daily!$F$6:$F$256,MATCH($K393,Market_Daily!$A$6:$A$256,0)),(INDEX(Market_Daily!$F$6:$F$256,MATCH($K393,Market_Daily!$A$6:$A$256,0))*(1+INDEX(Market_Daily!$I$6:$I$256,MATCH($K393,Market_Daily!$A$6:$A$256,0))*($S393-$K393)/day_count_inr)/(1+INDEX(Market_Daily!$J$6:$J$256,MATCH($K393,Market_Daily!$A$6:$A$256,0))*($S393-$K393)/day_count_usd))))-$T393)</f>
        <v/>
      </c>
      <c r="W393" s="8">
        <f>IF($G393="INR",1,INDEX(Market_Daily!$F$6:$F$256,MATCH($K393,Market_Daily!$A$6:$A$256,0)))</f>
        <v/>
      </c>
      <c r="X393" s="8">
        <f>$V393*$W393</f>
        <v/>
      </c>
      <c r="Y393" s="18">
        <f>$X393-$P393</f>
        <v/>
      </c>
      <c r="Z393" s="8">
        <f>IF(ABS($Y393)&lt;=tol_cashflow_inr,"PASS","FAIL")</f>
        <v/>
      </c>
      <c r="AA393" s="7" t="inlineStr">
        <is>
          <t>sign x notional x (X(tau, value_date) - K)</t>
        </is>
      </c>
    </row>
    <row r="394">
      <c r="A394" s="7" t="inlineStr">
        <is>
          <t>T03</t>
        </is>
      </c>
      <c r="B394" s="7" t="inlineStr">
        <is>
          <t>MCX:T03-MCX-1</t>
        </is>
      </c>
      <c r="C394" s="7" t="inlineStr">
        <is>
          <t>T03-MCX-1</t>
        </is>
      </c>
      <c r="D394" s="7" t="inlineStr">
        <is>
          <t>MCX_INITIAL_MARGIN</t>
        </is>
      </c>
      <c r="E394" s="7" t="inlineStr">
        <is>
          <t>MCX_INITIAL_MARGIN</t>
        </is>
      </c>
      <c r="F394" s="7" t="inlineStr">
        <is>
          <t>BS</t>
        </is>
      </c>
      <c r="G394" s="7" t="inlineStr">
        <is>
          <t>INR</t>
        </is>
      </c>
      <c r="H394" s="11" t="n">
        <v>44643</v>
      </c>
      <c r="I394" s="11" t="n">
        <v>44671</v>
      </c>
      <c r="J394" s="11" t="n">
        <v>44671</v>
      </c>
      <c r="K394" s="11" t="n">
        <v>44671</v>
      </c>
      <c r="L394" s="7" t="inlineStr">
        <is>
          <t>roll following on the LME panel calendar</t>
        </is>
      </c>
      <c r="N394" s="7" t="inlineStr">
        <is>
          <t>PROXY</t>
        </is>
      </c>
      <c r="O394" s="9" t="n">
        <v>19622167.38</v>
      </c>
      <c r="P394" s="9" t="n">
        <v>19622167.38</v>
      </c>
      <c r="U394" s="7" t="inlineStr">
        <is>
          <t>DERIVED_IN_WORKBOOK</t>
        </is>
      </c>
      <c r="V394" s="8">
        <f>-SUMIFS(Cashflows!$W$1043:$W$1393,Cashflows!$B$1043:$B$1393,$C394,Cashflows!$C$1043:$C$1393,$K394)</f>
        <v/>
      </c>
      <c r="W394" s="8">
        <f>IF($G394="INR",1,INDEX(Market_Daily!$F$6:$F$256,MATCH($K394,Market_Daily!$A$6:$A$256,0)))</f>
        <v/>
      </c>
      <c r="X394" s="8">
        <f>$V394*$W394</f>
        <v/>
      </c>
      <c r="Y394" s="18">
        <f>$X394-$P394</f>
        <v/>
      </c>
      <c r="Z394" s="8">
        <f>IF(ABS($Y394)&lt;=tol_cashflow_inr,"PASS","FAIL")</f>
        <v/>
      </c>
      <c r="AA394" s="7" t="inlineStr">
        <is>
          <t>-d(lots x lot_kg x F(s) x mcx_al_margin_used_frac)</t>
        </is>
      </c>
    </row>
    <row r="395">
      <c r="A395" s="7" t="inlineStr">
        <is>
          <t>T03</t>
        </is>
      </c>
      <c r="B395" s="7" t="inlineStr">
        <is>
          <t>MCX:T03-MCX-1</t>
        </is>
      </c>
      <c r="C395" s="7" t="inlineStr">
        <is>
          <t>T03-MCX-1</t>
        </is>
      </c>
      <c r="D395" s="7" t="inlineStr">
        <is>
          <t>MCX_SLIPPAGE</t>
        </is>
      </c>
      <c r="E395" s="7" t="inlineStr">
        <is>
          <t>MCX_SLIPPAGE</t>
        </is>
      </c>
      <c r="F395" s="7" t="inlineStr">
        <is>
          <t>PNL</t>
        </is>
      </c>
      <c r="G395" s="7" t="inlineStr">
        <is>
          <t>INR</t>
        </is>
      </c>
      <c r="H395" s="11" t="n">
        <v>44671</v>
      </c>
      <c r="J395" s="11" t="n">
        <v>44671</v>
      </c>
      <c r="K395" s="11" t="n">
        <v>44671</v>
      </c>
      <c r="L395" s="7" t="inlineStr">
        <is>
          <t>roll following on the LME panel calendar</t>
        </is>
      </c>
      <c r="N395" s="7" t="inlineStr">
        <is>
          <t>ASSUMPTION</t>
        </is>
      </c>
      <c r="O395" s="9" t="n">
        <v>-71500</v>
      </c>
      <c r="P395" s="9" t="n">
        <v>-71500</v>
      </c>
      <c r="U395" s="7" t="inlineStr">
        <is>
          <t>DERIVED_IN_WORKBOOK</t>
        </is>
      </c>
      <c r="V395" s="8">
        <f>SUMIFS(Cashflows!$Z$1043:$Z$1393,Cashflows!$B$1043:$B$1393,$C395,Cashflows!$C$1043:$C$1393,$K395)</f>
        <v/>
      </c>
      <c r="W395" s="8">
        <f>IF($G395="INR",1,INDEX(Market_Daily!$F$6:$F$256,MATCH($K395,Market_Daily!$A$6:$A$256,0)))</f>
        <v/>
      </c>
      <c r="X395" s="8">
        <f>$V395*$W395</f>
        <v/>
      </c>
      <c r="Y395" s="18">
        <f>$X395-$P395</f>
        <v/>
      </c>
      <c r="Z395" s="8">
        <f>IF(ABS($Y395)&lt;=tol_cashflow_inr,"PASS","FAIL")</f>
        <v/>
      </c>
      <c r="AA395" s="7" t="inlineStr">
        <is>
          <t>-lots x lot_kg x mcx_slippage_ticks x tick</t>
        </is>
      </c>
    </row>
    <row r="396">
      <c r="A396" s="7" t="inlineStr">
        <is>
          <t>T03</t>
        </is>
      </c>
      <c r="B396" s="7" t="inlineStr">
        <is>
          <t>MCX:T03-MCX-1</t>
        </is>
      </c>
      <c r="C396" s="7" t="inlineStr">
        <is>
          <t>T03-MCX-1</t>
        </is>
      </c>
      <c r="D396" s="7" t="inlineStr">
        <is>
          <t>MCX_TRANSACTION_COST</t>
        </is>
      </c>
      <c r="E396" s="7" t="inlineStr">
        <is>
          <t>MCX_TRANSACTION_COST</t>
        </is>
      </c>
      <c r="F396" s="7" t="inlineStr">
        <is>
          <t>PNL</t>
        </is>
      </c>
      <c r="G396" s="7" t="inlineStr">
        <is>
          <t>INR</t>
        </is>
      </c>
      <c r="H396" s="11" t="n">
        <v>44671</v>
      </c>
      <c r="I396" s="11" t="n">
        <v>44671</v>
      </c>
      <c r="J396" s="11" t="n">
        <v>44671</v>
      </c>
      <c r="K396" s="11" t="n">
        <v>44671</v>
      </c>
      <c r="L396" s="7" t="inlineStr">
        <is>
          <t>roll following on the LME panel calendar</t>
        </is>
      </c>
      <c r="N396" s="7" t="inlineStr">
        <is>
          <t>ASSUMPTION</t>
        </is>
      </c>
      <c r="O396" s="9" t="n">
        <v>-57480.07</v>
      </c>
      <c r="P396" s="9" t="n">
        <v>-57480.07</v>
      </c>
      <c r="U396" s="7" t="inlineStr">
        <is>
          <t>DERIVED_IN_WORKBOOK</t>
        </is>
      </c>
      <c r="V396" s="8">
        <f>SUMIFS(Cashflows!$AA$1043:$AA$1393,Cashflows!$B$1043:$B$1393,$C396,Cashflows!$C$1043:$C$1393,$K396)</f>
        <v/>
      </c>
      <c r="W396" s="8">
        <f>IF($G396="INR",1,INDEX(Market_Daily!$F$6:$F$256,MATCH($K396,Market_Daily!$A$6:$A$256,0)))</f>
        <v/>
      </c>
      <c r="X396" s="8">
        <f>$V396*$W396</f>
        <v/>
      </c>
      <c r="Y396" s="18">
        <f>$X396-$P396</f>
        <v/>
      </c>
      <c r="Z396" s="8">
        <f>IF(ABS($Y396)&lt;=tol_cashflow_inr,"PASS","FAIL")</f>
        <v/>
      </c>
      <c r="AA396" s="7" t="inlineStr">
        <is>
          <t>-lots x lot_kg x fill x mcx_txn_cost_frac</t>
        </is>
      </c>
    </row>
    <row r="397">
      <c r="A397" s="7" t="inlineStr">
        <is>
          <t>T03</t>
        </is>
      </c>
      <c r="B397" s="7" t="inlineStr">
        <is>
          <t>MCX:T03-MCX-1</t>
        </is>
      </c>
      <c r="C397" s="7" t="inlineStr">
        <is>
          <t>T03-MCX-1</t>
        </is>
      </c>
      <c r="D397" s="7" t="inlineStr">
        <is>
          <t>MCX_VARIATION_MARGIN</t>
        </is>
      </c>
      <c r="E397" s="7" t="inlineStr">
        <is>
          <t>MCX_VARIATION_MARGIN</t>
        </is>
      </c>
      <c r="F397" s="7" t="inlineStr">
        <is>
          <t>PNL</t>
        </is>
      </c>
      <c r="G397" s="7" t="inlineStr">
        <is>
          <t>INR</t>
        </is>
      </c>
      <c r="H397" s="11" t="n">
        <v>44643</v>
      </c>
      <c r="I397" s="11" t="n">
        <v>44671</v>
      </c>
      <c r="J397" s="11" t="n">
        <v>44671</v>
      </c>
      <c r="K397" s="11" t="n">
        <v>44671</v>
      </c>
      <c r="L397" s="7" t="inlineStr">
        <is>
          <t>roll following on the LME panel calendar</t>
        </is>
      </c>
      <c r="N397" s="7" t="inlineStr">
        <is>
          <t>PROXY</t>
        </is>
      </c>
      <c r="O397" s="9" t="n">
        <v>4692954.64</v>
      </c>
      <c r="P397" s="9" t="n">
        <v>4692954.64</v>
      </c>
      <c r="U397" s="7" t="inlineStr">
        <is>
          <t>DERIVED_IN_WORKBOOK</t>
        </is>
      </c>
      <c r="V397" s="8">
        <f>SUMIFS(Cashflows!$R$1043:$R$1393,Cashflows!$B$1043:$B$1393,$C397,Cashflows!$C$1043:$C$1393,$K397)</f>
        <v/>
      </c>
      <c r="W397" s="8">
        <f>IF($G397="INR",1,INDEX(Market_Daily!$F$6:$F$256,MATCH($K397,Market_Daily!$A$6:$A$256,0)))</f>
        <v/>
      </c>
      <c r="X397" s="8">
        <f>$V397*$W397</f>
        <v/>
      </c>
      <c r="Y397" s="18">
        <f>$X397-$P397</f>
        <v/>
      </c>
      <c r="Z397" s="8">
        <f>IF(ABS($Y397)&lt;=tol_cashflow_inr,"PASS","FAIL")</f>
        <v/>
      </c>
      <c r="AA397" s="7" t="inlineStr">
        <is>
          <t>direction x lots x lot_kg x (F(s) - F(s-1))</t>
        </is>
      </c>
    </row>
    <row r="398">
      <c r="A398" s="7" t="inlineStr">
        <is>
          <t>T03</t>
        </is>
      </c>
      <c r="B398" s="7" t="inlineStr">
        <is>
          <t>MCX:T03-MCX-2</t>
        </is>
      </c>
      <c r="C398" s="7" t="inlineStr">
        <is>
          <t>T03-MCX-2</t>
        </is>
      </c>
      <c r="D398" s="7" t="inlineStr">
        <is>
          <t>MCX_INITIAL_MARGIN</t>
        </is>
      </c>
      <c r="E398" s="7" t="inlineStr">
        <is>
          <t>MCX_INITIAL_MARGIN</t>
        </is>
      </c>
      <c r="F398" s="7" t="inlineStr">
        <is>
          <t>BS</t>
        </is>
      </c>
      <c r="G398" s="7" t="inlineStr">
        <is>
          <t>INR</t>
        </is>
      </c>
      <c r="H398" s="11" t="n">
        <v>44671</v>
      </c>
      <c r="I398" s="11" t="n">
        <v>44671</v>
      </c>
      <c r="J398" s="11" t="n">
        <v>44671</v>
      </c>
      <c r="K398" s="11" t="n">
        <v>44671</v>
      </c>
      <c r="L398" s="7" t="inlineStr">
        <is>
          <t>roll following on the LME panel calendar</t>
        </is>
      </c>
      <c r="N398" s="7" t="inlineStr">
        <is>
          <t>PROXY</t>
        </is>
      </c>
      <c r="O398" s="9" t="n">
        <v>-19218723.44</v>
      </c>
      <c r="P398" s="9" t="n">
        <v>-19218723.44</v>
      </c>
      <c r="U398" s="7" t="inlineStr">
        <is>
          <t>DERIVED_IN_WORKBOOK</t>
        </is>
      </c>
      <c r="V398" s="8">
        <f>-SUMIFS(Cashflows!$W$1043:$W$1393,Cashflows!$B$1043:$B$1393,$C398,Cashflows!$C$1043:$C$1393,$K398)</f>
        <v/>
      </c>
      <c r="W398" s="8">
        <f>IF($G398="INR",1,INDEX(Market_Daily!$F$6:$F$256,MATCH($K398,Market_Daily!$A$6:$A$256,0)))</f>
        <v/>
      </c>
      <c r="X398" s="8">
        <f>$V398*$W398</f>
        <v/>
      </c>
      <c r="Y398" s="18">
        <f>$X398-$P398</f>
        <v/>
      </c>
      <c r="Z398" s="8">
        <f>IF(ABS($Y398)&lt;=tol_cashflow_inr,"PASS","FAIL")</f>
        <v/>
      </c>
      <c r="AA398" s="7" t="inlineStr">
        <is>
          <t>-d(lots x lot_kg x F(s) x mcx_al_margin_used_frac)</t>
        </is>
      </c>
    </row>
    <row r="399">
      <c r="A399" s="7" t="inlineStr">
        <is>
          <t>T03</t>
        </is>
      </c>
      <c r="B399" s="7" t="inlineStr">
        <is>
          <t>MCX:T03-MCX-2</t>
        </is>
      </c>
      <c r="C399" s="7" t="inlineStr">
        <is>
          <t>T03-MCX-2</t>
        </is>
      </c>
      <c r="D399" s="7" t="inlineStr">
        <is>
          <t>MCX_SLIPPAGE</t>
        </is>
      </c>
      <c r="E399" s="7" t="inlineStr">
        <is>
          <t>MCX_SLIPPAGE</t>
        </is>
      </c>
      <c r="F399" s="7" t="inlineStr">
        <is>
          <t>PNL</t>
        </is>
      </c>
      <c r="G399" s="7" t="inlineStr">
        <is>
          <t>INR</t>
        </is>
      </c>
      <c r="H399" s="11" t="n">
        <v>44671</v>
      </c>
      <c r="J399" s="11" t="n">
        <v>44671</v>
      </c>
      <c r="K399" s="11" t="n">
        <v>44671</v>
      </c>
      <c r="L399" s="7" t="inlineStr">
        <is>
          <t>roll following on the LME panel calendar</t>
        </is>
      </c>
      <c r="N399" s="7" t="inlineStr">
        <is>
          <t>ASSUMPTION</t>
        </is>
      </c>
      <c r="O399" s="9" t="n">
        <v>-71500</v>
      </c>
      <c r="P399" s="9" t="n">
        <v>-71500</v>
      </c>
      <c r="U399" s="7" t="inlineStr">
        <is>
          <t>DERIVED_IN_WORKBOOK</t>
        </is>
      </c>
      <c r="V399" s="8">
        <f>SUMIFS(Cashflows!$Z$1043:$Z$1393,Cashflows!$B$1043:$B$1393,$C399,Cashflows!$C$1043:$C$1393,$K399)</f>
        <v/>
      </c>
      <c r="W399" s="8">
        <f>IF($G399="INR",1,INDEX(Market_Daily!$F$6:$F$256,MATCH($K399,Market_Daily!$A$6:$A$256,0)))</f>
        <v/>
      </c>
      <c r="X399" s="8">
        <f>$V399*$W399</f>
        <v/>
      </c>
      <c r="Y399" s="18">
        <f>$X399-$P399</f>
        <v/>
      </c>
      <c r="Z399" s="8">
        <f>IF(ABS($Y399)&lt;=tol_cashflow_inr,"PASS","FAIL")</f>
        <v/>
      </c>
      <c r="AA399" s="7" t="inlineStr">
        <is>
          <t>-lots x lot_kg x mcx_slippage_ticks x tick</t>
        </is>
      </c>
    </row>
    <row r="400">
      <c r="A400" s="7" t="inlineStr">
        <is>
          <t>T03</t>
        </is>
      </c>
      <c r="B400" s="7" t="inlineStr">
        <is>
          <t>MCX:T03-MCX-2</t>
        </is>
      </c>
      <c r="C400" s="7" t="inlineStr">
        <is>
          <t>T03-MCX-2</t>
        </is>
      </c>
      <c r="D400" s="7" t="inlineStr">
        <is>
          <t>MCX_TRANSACTION_COST</t>
        </is>
      </c>
      <c r="E400" s="7" t="inlineStr">
        <is>
          <t>MCX_TRANSACTION_COST</t>
        </is>
      </c>
      <c r="F400" s="7" t="inlineStr">
        <is>
          <t>PNL</t>
        </is>
      </c>
      <c r="G400" s="7" t="inlineStr">
        <is>
          <t>INR</t>
        </is>
      </c>
      <c r="H400" s="11" t="n">
        <v>44671</v>
      </c>
      <c r="I400" s="11" t="n">
        <v>44671</v>
      </c>
      <c r="J400" s="11" t="n">
        <v>44671</v>
      </c>
      <c r="K400" s="11" t="n">
        <v>44671</v>
      </c>
      <c r="L400" s="7" t="inlineStr">
        <is>
          <t>roll following on the LME panel calendar</t>
        </is>
      </c>
      <c r="N400" s="7" t="inlineStr">
        <is>
          <t>ASSUMPTION</t>
        </is>
      </c>
      <c r="O400" s="9" t="n">
        <v>-57634.72</v>
      </c>
      <c r="P400" s="9" t="n">
        <v>-57634.72</v>
      </c>
      <c r="U400" s="7" t="inlineStr">
        <is>
          <t>DERIVED_IN_WORKBOOK</t>
        </is>
      </c>
      <c r="V400" s="8">
        <f>SUMIFS(Cashflows!$AA$1043:$AA$1393,Cashflows!$B$1043:$B$1393,$C400,Cashflows!$C$1043:$C$1393,$K400)</f>
        <v/>
      </c>
      <c r="W400" s="8">
        <f>IF($G400="INR",1,INDEX(Market_Daily!$F$6:$F$256,MATCH($K400,Market_Daily!$A$6:$A$256,0)))</f>
        <v/>
      </c>
      <c r="X400" s="8">
        <f>$V400*$W400</f>
        <v/>
      </c>
      <c r="Y400" s="18">
        <f>$X400-$P400</f>
        <v/>
      </c>
      <c r="Z400" s="8">
        <f>IF(ABS($Y400)&lt;=tol_cashflow_inr,"PASS","FAIL")</f>
        <v/>
      </c>
      <c r="AA400" s="7" t="inlineStr">
        <is>
          <t>-lots x lot_kg x fill x mcx_txn_cost_frac</t>
        </is>
      </c>
    </row>
    <row r="401">
      <c r="A401" s="7" t="inlineStr">
        <is>
          <t>T03</t>
        </is>
      </c>
      <c r="B401" s="7" t="inlineStr">
        <is>
          <t>MCX:T03-MCX-2</t>
        </is>
      </c>
      <c r="C401" s="7" t="inlineStr">
        <is>
          <t>T03-MCX-2</t>
        </is>
      </c>
      <c r="D401" s="7" t="inlineStr">
        <is>
          <t>MCX_VARIATION_MARGIN</t>
        </is>
      </c>
      <c r="E401" s="7" t="inlineStr">
        <is>
          <t>MCX_VARIATION_MARGIN</t>
        </is>
      </c>
      <c r="F401" s="7" t="inlineStr">
        <is>
          <t>PNL</t>
        </is>
      </c>
      <c r="G401" s="7" t="inlineStr">
        <is>
          <t>INR</t>
        </is>
      </c>
      <c r="H401" s="11" t="n">
        <v>44671</v>
      </c>
      <c r="I401" s="11" t="n">
        <v>44671</v>
      </c>
      <c r="J401" s="11" t="n">
        <v>44671</v>
      </c>
      <c r="K401" s="11" t="n">
        <v>44671</v>
      </c>
      <c r="L401" s="7" t="inlineStr">
        <is>
          <t>roll following on the LME panel calendar</t>
        </is>
      </c>
      <c r="N401" s="7" t="inlineStr">
        <is>
          <t>PROXY</t>
        </is>
      </c>
      <c r="O401" s="9" t="n">
        <v>-0</v>
      </c>
      <c r="P401" s="9" t="n">
        <v>-0</v>
      </c>
      <c r="U401" s="7" t="inlineStr">
        <is>
          <t>DERIVED_IN_WORKBOOK</t>
        </is>
      </c>
      <c r="V401" s="8">
        <f>SUMIFS(Cashflows!$R$1043:$R$1393,Cashflows!$B$1043:$B$1393,$C401,Cashflows!$C$1043:$C$1393,$K401)</f>
        <v/>
      </c>
      <c r="W401" s="8">
        <f>IF($G401="INR",1,INDEX(Market_Daily!$F$6:$F$256,MATCH($K401,Market_Daily!$A$6:$A$256,0)))</f>
        <v/>
      </c>
      <c r="X401" s="8">
        <f>$V401*$W401</f>
        <v/>
      </c>
      <c r="Y401" s="18">
        <f>$X401-$P401</f>
        <v/>
      </c>
      <c r="Z401" s="8">
        <f>IF(ABS($Y401)&lt;=tol_cashflow_inr,"PASS","FAIL")</f>
        <v/>
      </c>
      <c r="AA401" s="7" t="inlineStr">
        <is>
          <t>direction x lots x lot_kg x (F(entry) - entry settle) = 0 by construction</t>
        </is>
      </c>
    </row>
    <row r="402">
      <c r="A402" s="7" t="inlineStr">
        <is>
          <t>T03</t>
        </is>
      </c>
      <c r="B402" s="7" t="inlineStr">
        <is>
          <t>PURCHASE:L1</t>
        </is>
      </c>
      <c r="C402" s="7" t="inlineStr">
        <is>
          <t>L1</t>
        </is>
      </c>
      <c r="D402" s="7" t="inlineStr">
        <is>
          <t>PURCHASE_INVOICE</t>
        </is>
      </c>
      <c r="E402" s="7" t="inlineStr">
        <is>
          <t>PURCHASE_INVOICE</t>
        </is>
      </c>
      <c r="F402" s="7" t="inlineStr">
        <is>
          <t>PNL</t>
        </is>
      </c>
      <c r="G402" s="7" t="inlineStr">
        <is>
          <t>USD</t>
        </is>
      </c>
      <c r="H402" s="11" t="n">
        <v>44643</v>
      </c>
      <c r="J402" s="11" t="n">
        <v>44671</v>
      </c>
      <c r="K402" s="11" t="n">
        <v>44671</v>
      </c>
      <c r="L402" s="7" t="inlineStr">
        <is>
          <t>roll following on the LME panel calendar</t>
        </is>
      </c>
      <c r="N402" s="7" t="inlineStr">
        <is>
          <t>SIM</t>
        </is>
      </c>
      <c r="O402" s="9" t="n">
        <v>-1482000</v>
      </c>
      <c r="P402" s="9" t="n">
        <v>-113079267.6</v>
      </c>
      <c r="U402" s="7" t="inlineStr">
        <is>
          <t>PYTHON_LIFECYCLE</t>
        </is>
      </c>
      <c r="V402" s="8">
        <f>$O402</f>
        <v/>
      </c>
      <c r="W402" s="8">
        <f>IF($G402="INR",1,INDEX(Market_Daily!$F$6:$F$256,MATCH($K402,Market_Daily!$A$6:$A$256,0)))</f>
        <v/>
      </c>
      <c r="X402" s="8">
        <f>$V402*$W402</f>
        <v/>
      </c>
      <c r="Y402" s="18">
        <f>$X402-$P402</f>
        <v/>
      </c>
      <c r="Z402" s="8">
        <f>IF(ABS($Y402)&lt;=tol_cashflow_inr,"PASS","FAIL")</f>
        <v/>
      </c>
      <c r="AA402" s="7" t="inlineStr">
        <is>
          <t>-q_bl x price_usd_t</t>
        </is>
      </c>
    </row>
    <row r="403">
      <c r="A403" s="7" t="inlineStr">
        <is>
          <t>T03</t>
        </is>
      </c>
      <c r="B403" s="7" t="inlineStr">
        <is>
          <t>MCX:T03-MCX-2</t>
        </is>
      </c>
      <c r="C403" s="7" t="inlineStr">
        <is>
          <t>T03-MCX-2</t>
        </is>
      </c>
      <c r="D403" s="7" t="inlineStr">
        <is>
          <t>MCX_INITIAL_MARGIN</t>
        </is>
      </c>
      <c r="E403" s="7" t="inlineStr">
        <is>
          <t>MCX_INITIAL_MARGIN</t>
        </is>
      </c>
      <c r="F403" s="7" t="inlineStr">
        <is>
          <t>BS</t>
        </is>
      </c>
      <c r="G403" s="7" t="inlineStr">
        <is>
          <t>INR</t>
        </is>
      </c>
      <c r="H403" s="11" t="n">
        <v>44671</v>
      </c>
      <c r="I403" s="11" t="n">
        <v>44672</v>
      </c>
      <c r="J403" s="11" t="n">
        <v>44672</v>
      </c>
      <c r="K403" s="11" t="n">
        <v>44672</v>
      </c>
      <c r="L403" s="7" t="inlineStr">
        <is>
          <t>roll following on the LME panel calendar</t>
        </is>
      </c>
      <c r="N403" s="7" t="inlineStr">
        <is>
          <t>PROXY</t>
        </is>
      </c>
      <c r="O403" s="9" t="n">
        <v>-104033.12</v>
      </c>
      <c r="P403" s="9" t="n">
        <v>-104033.12</v>
      </c>
      <c r="U403" s="7" t="inlineStr">
        <is>
          <t>DERIVED_IN_WORKBOOK</t>
        </is>
      </c>
      <c r="V403" s="8">
        <f>-SUMIFS(Cashflows!$W$1043:$W$1393,Cashflows!$B$1043:$B$1393,$C403,Cashflows!$C$1043:$C$1393,$K403)</f>
        <v/>
      </c>
      <c r="W403" s="8">
        <f>IF($G403="INR",1,INDEX(Market_Daily!$F$6:$F$256,MATCH($K403,Market_Daily!$A$6:$A$256,0)))</f>
        <v/>
      </c>
      <c r="X403" s="8">
        <f>$V403*$W403</f>
        <v/>
      </c>
      <c r="Y403" s="18">
        <f>$X403-$P403</f>
        <v/>
      </c>
      <c r="Z403" s="8">
        <f>IF(ABS($Y403)&lt;=tol_cashflow_inr,"PASS","FAIL")</f>
        <v/>
      </c>
      <c r="AA403" s="7" t="inlineStr">
        <is>
          <t>-d(lots x lot_kg x F(s) x mcx_al_margin_used_frac)</t>
        </is>
      </c>
    </row>
    <row r="404">
      <c r="A404" s="7" t="inlineStr">
        <is>
          <t>T03</t>
        </is>
      </c>
      <c r="B404" s="7" t="inlineStr">
        <is>
          <t>MCX:T03-MCX-2</t>
        </is>
      </c>
      <c r="C404" s="7" t="inlineStr">
        <is>
          <t>T03-MCX-2</t>
        </is>
      </c>
      <c r="D404" s="7" t="inlineStr">
        <is>
          <t>MCX_VARIATION_MARGIN</t>
        </is>
      </c>
      <c r="E404" s="7" t="inlineStr">
        <is>
          <t>MCX_VARIATION_MARGIN</t>
        </is>
      </c>
      <c r="F404" s="7" t="inlineStr">
        <is>
          <t>PNL</t>
        </is>
      </c>
      <c r="G404" s="7" t="inlineStr">
        <is>
          <t>INR</t>
        </is>
      </c>
      <c r="H404" s="11" t="n">
        <v>44671</v>
      </c>
      <c r="I404" s="11" t="n">
        <v>44672</v>
      </c>
      <c r="J404" s="11" t="n">
        <v>44672</v>
      </c>
      <c r="K404" s="11" t="n">
        <v>44672</v>
      </c>
      <c r="L404" s="7" t="inlineStr">
        <is>
          <t>roll following on the LME panel calendar</t>
        </is>
      </c>
      <c r="N404" s="7" t="inlineStr">
        <is>
          <t>PROXY</t>
        </is>
      </c>
      <c r="O404" s="9" t="n">
        <v>-1040331.18</v>
      </c>
      <c r="P404" s="9" t="n">
        <v>-1040331.18</v>
      </c>
      <c r="U404" s="7" t="inlineStr">
        <is>
          <t>DERIVED_IN_WORKBOOK</t>
        </is>
      </c>
      <c r="V404" s="8">
        <f>SUMIFS(Cashflows!$R$1043:$R$1393,Cashflows!$B$1043:$B$1393,$C404,Cashflows!$C$1043:$C$1393,$K404)</f>
        <v/>
      </c>
      <c r="W404" s="8">
        <f>IF($G404="INR",1,INDEX(Market_Daily!$F$6:$F$256,MATCH($K404,Market_Daily!$A$6:$A$256,0)))</f>
        <v/>
      </c>
      <c r="X404" s="8">
        <f>$V404*$W404</f>
        <v/>
      </c>
      <c r="Y404" s="18">
        <f>$X404-$P404</f>
        <v/>
      </c>
      <c r="Z404" s="8">
        <f>IF(ABS($Y404)&lt;=tol_cashflow_inr,"PASS","FAIL")</f>
        <v/>
      </c>
      <c r="AA404" s="7" t="inlineStr">
        <is>
          <t>direction x lots x lot_kg x (F(s) - F(s-1))</t>
        </is>
      </c>
    </row>
    <row r="405">
      <c r="A405" s="7" t="inlineStr">
        <is>
          <t>T03</t>
        </is>
      </c>
      <c r="B405" s="7" t="inlineStr">
        <is>
          <t>INSURANCE:L2</t>
        </is>
      </c>
      <c r="C405" s="7" t="inlineStr">
        <is>
          <t>L2</t>
        </is>
      </c>
      <c r="D405" s="7" t="inlineStr">
        <is>
          <t>INSURANCE</t>
        </is>
      </c>
      <c r="E405" s="7" t="inlineStr">
        <is>
          <t>INSURANCE</t>
        </is>
      </c>
      <c r="F405" s="7" t="inlineStr">
        <is>
          <t>PNL</t>
        </is>
      </c>
      <c r="G405" s="7" t="inlineStr">
        <is>
          <t>USD</t>
        </is>
      </c>
      <c r="H405" s="11" t="n">
        <v>44643</v>
      </c>
      <c r="I405" s="11" t="n">
        <v>44673</v>
      </c>
      <c r="J405" s="11" t="n">
        <v>44673</v>
      </c>
      <c r="K405" s="11" t="n">
        <v>44673</v>
      </c>
      <c r="L405" s="7" t="inlineStr">
        <is>
          <t>roll following on the LME panel calendar</t>
        </is>
      </c>
      <c r="N405" s="7" t="inlineStr">
        <is>
          <t>ASSUMPTION</t>
        </is>
      </c>
      <c r="O405" s="9" t="n">
        <v>-1630.2</v>
      </c>
      <c r="P405" s="9" t="n">
        <v>-124626.34</v>
      </c>
      <c r="U405" s="7" t="inlineStr">
        <is>
          <t>PYTHON_LIFECYCLE</t>
        </is>
      </c>
      <c r="V405" s="8">
        <f>$O405</f>
        <v/>
      </c>
      <c r="W405" s="8">
        <f>IF($G405="INR",1,INDEX(Market_Daily!$F$6:$F$256,MATCH($K405,Market_Daily!$A$6:$A$256,0)))</f>
        <v/>
      </c>
      <c r="X405" s="8">
        <f>$V405*$W405</f>
        <v/>
      </c>
      <c r="Y405" s="18">
        <f>$X405-$P405</f>
        <v/>
      </c>
      <c r="Z405" s="8">
        <f>IF(ABS($Y405)&lt;=tol_cashflow_inr,"PASS","FAIL")</f>
        <v/>
      </c>
      <c r="AA405" s="7" t="inlineStr">
        <is>
          <t>-insurance_rate x insured_value_uplift x cfr_value_usd</t>
        </is>
      </c>
    </row>
    <row r="406">
      <c r="A406" s="7" t="inlineStr">
        <is>
          <t>T03</t>
        </is>
      </c>
      <c r="B406" s="7" t="inlineStr">
        <is>
          <t>MCX:T03-MCX-2</t>
        </is>
      </c>
      <c r="C406" s="7" t="inlineStr">
        <is>
          <t>T03-MCX-2</t>
        </is>
      </c>
      <c r="D406" s="7" t="inlineStr">
        <is>
          <t>MCX_INITIAL_MARGIN</t>
        </is>
      </c>
      <c r="E406" s="7" t="inlineStr">
        <is>
          <t>MCX_INITIAL_MARGIN</t>
        </is>
      </c>
      <c r="F406" s="7" t="inlineStr">
        <is>
          <t>BS</t>
        </is>
      </c>
      <c r="G406" s="7" t="inlineStr">
        <is>
          <t>INR</t>
        </is>
      </c>
      <c r="H406" s="11" t="n">
        <v>44671</v>
      </c>
      <c r="I406" s="11" t="n">
        <v>44673</v>
      </c>
      <c r="J406" s="11" t="n">
        <v>44673</v>
      </c>
      <c r="K406" s="11" t="n">
        <v>44673</v>
      </c>
      <c r="L406" s="7" t="inlineStr">
        <is>
          <t>roll following on the LME panel calendar</t>
        </is>
      </c>
      <c r="N406" s="7" t="inlineStr">
        <is>
          <t>PROXY</t>
        </is>
      </c>
      <c r="O406" s="9" t="n">
        <v>47438.94</v>
      </c>
      <c r="P406" s="9" t="n">
        <v>47438.94</v>
      </c>
      <c r="U406" s="7" t="inlineStr">
        <is>
          <t>DERIVED_IN_WORKBOOK</t>
        </is>
      </c>
      <c r="V406" s="8">
        <f>-SUMIFS(Cashflows!$W$1043:$W$1393,Cashflows!$B$1043:$B$1393,$C406,Cashflows!$C$1043:$C$1393,$K406)</f>
        <v/>
      </c>
      <c r="W406" s="8">
        <f>IF($G406="INR",1,INDEX(Market_Daily!$F$6:$F$256,MATCH($K406,Market_Daily!$A$6:$A$256,0)))</f>
        <v/>
      </c>
      <c r="X406" s="8">
        <f>$V406*$W406</f>
        <v/>
      </c>
      <c r="Y406" s="18">
        <f>$X406-$P406</f>
        <v/>
      </c>
      <c r="Z406" s="8">
        <f>IF(ABS($Y406)&lt;=tol_cashflow_inr,"PASS","FAIL")</f>
        <v/>
      </c>
      <c r="AA406" s="7" t="inlineStr">
        <is>
          <t>-d(lots x lot_kg x F(s) x mcx_al_margin_used_frac)</t>
        </is>
      </c>
    </row>
    <row r="407">
      <c r="A407" s="7" t="inlineStr">
        <is>
          <t>T03</t>
        </is>
      </c>
      <c r="B407" s="7" t="inlineStr">
        <is>
          <t>MCX:T03-MCX-2</t>
        </is>
      </c>
      <c r="C407" s="7" t="inlineStr">
        <is>
          <t>T03-MCX-2</t>
        </is>
      </c>
      <c r="D407" s="7" t="inlineStr">
        <is>
          <t>MCX_VARIATION_MARGIN</t>
        </is>
      </c>
      <c r="E407" s="7" t="inlineStr">
        <is>
          <t>MCX_VARIATION_MARGIN</t>
        </is>
      </c>
      <c r="F407" s="7" t="inlineStr">
        <is>
          <t>PNL</t>
        </is>
      </c>
      <c r="G407" s="7" t="inlineStr">
        <is>
          <t>INR</t>
        </is>
      </c>
      <c r="H407" s="11" t="n">
        <v>44671</v>
      </c>
      <c r="I407" s="11" t="n">
        <v>44673</v>
      </c>
      <c r="J407" s="11" t="n">
        <v>44673</v>
      </c>
      <c r="K407" s="11" t="n">
        <v>44673</v>
      </c>
      <c r="L407" s="7" t="inlineStr">
        <is>
          <t>roll following on the LME panel calendar</t>
        </is>
      </c>
      <c r="N407" s="7" t="inlineStr">
        <is>
          <t>PROXY</t>
        </is>
      </c>
      <c r="O407" s="9" t="n">
        <v>474389.44</v>
      </c>
      <c r="P407" s="9" t="n">
        <v>474389.44</v>
      </c>
      <c r="U407" s="7" t="inlineStr">
        <is>
          <t>DERIVED_IN_WORKBOOK</t>
        </is>
      </c>
      <c r="V407" s="8">
        <f>SUMIFS(Cashflows!$R$1043:$R$1393,Cashflows!$B$1043:$B$1393,$C407,Cashflows!$C$1043:$C$1393,$K407)</f>
        <v/>
      </c>
      <c r="W407" s="8">
        <f>IF($G407="INR",1,INDEX(Market_Daily!$F$6:$F$256,MATCH($K407,Market_Daily!$A$6:$A$256,0)))</f>
        <v/>
      </c>
      <c r="X407" s="8">
        <f>$V407*$W407</f>
        <v/>
      </c>
      <c r="Y407" s="18">
        <f>$X407-$P407</f>
        <v/>
      </c>
      <c r="Z407" s="8">
        <f>IF(ABS($Y407)&lt;=tol_cashflow_inr,"PASS","FAIL")</f>
        <v/>
      </c>
      <c r="AA407" s="7" t="inlineStr">
        <is>
          <t>direction x lots x lot_kg x (F(s) - F(s-1))</t>
        </is>
      </c>
    </row>
    <row r="408">
      <c r="A408" s="7" t="inlineStr">
        <is>
          <t>T03</t>
        </is>
      </c>
      <c r="B408" s="7" t="inlineStr">
        <is>
          <t>PSIC:L2</t>
        </is>
      </c>
      <c r="C408" s="7" t="inlineStr">
        <is>
          <t>L2</t>
        </is>
      </c>
      <c r="D408" s="7" t="inlineStr">
        <is>
          <t>PSIC</t>
        </is>
      </c>
      <c r="E408" s="7" t="inlineStr">
        <is>
          <t>PSIC</t>
        </is>
      </c>
      <c r="F408" s="7" t="inlineStr">
        <is>
          <t>PNL</t>
        </is>
      </c>
      <c r="G408" s="7" t="inlineStr">
        <is>
          <t>USD</t>
        </is>
      </c>
      <c r="H408" s="11" t="n">
        <v>44643</v>
      </c>
      <c r="I408" s="11" t="n">
        <v>44673</v>
      </c>
      <c r="J408" s="11" t="n">
        <v>44673</v>
      </c>
      <c r="K408" s="11" t="n">
        <v>44673</v>
      </c>
      <c r="L408" s="7" t="inlineStr">
        <is>
          <t>roll following on the LME panel calendar</t>
        </is>
      </c>
      <c r="N408" s="7" t="inlineStr">
        <is>
          <t>ASSUMPTION</t>
        </is>
      </c>
      <c r="O408" s="9" t="n">
        <v>-1200</v>
      </c>
      <c r="P408" s="9" t="n">
        <v>-91738.2</v>
      </c>
      <c r="U408" s="7" t="inlineStr">
        <is>
          <t>PYTHON_LIFECYCLE</t>
        </is>
      </c>
      <c r="V408" s="8">
        <f>$O408</f>
        <v/>
      </c>
      <c r="W408" s="8">
        <f>IF($G408="INR",1,INDEX(Market_Daily!$F$6:$F$256,MATCH($K408,Market_Daily!$A$6:$A$256,0)))</f>
        <v/>
      </c>
      <c r="X408" s="8">
        <f>$V408*$W408</f>
        <v/>
      </c>
      <c r="Y408" s="18">
        <f>$X408-$P408</f>
        <v/>
      </c>
      <c r="Z408" s="8">
        <f>IF(ABS($Y408)&lt;=tol_cashflow_inr,"PASS","FAIL")</f>
        <v/>
      </c>
      <c r="AA408" s="7" t="inlineStr">
        <is>
          <t>-psic_cost_usd_per_box x boxes</t>
        </is>
      </c>
    </row>
    <row r="409">
      <c r="A409" s="7" t="inlineStr">
        <is>
          <t>T03</t>
        </is>
      </c>
      <c r="B409" s="7" t="inlineStr">
        <is>
          <t>MCX:T03-MCX-2</t>
        </is>
      </c>
      <c r="C409" s="7" t="inlineStr">
        <is>
          <t>T03-MCX-2</t>
        </is>
      </c>
      <c r="D409" s="7" t="inlineStr">
        <is>
          <t>MCX_INITIAL_MARGIN</t>
        </is>
      </c>
      <c r="E409" s="7" t="inlineStr">
        <is>
          <t>MCX_INITIAL_MARGIN</t>
        </is>
      </c>
      <c r="F409" s="7" t="inlineStr">
        <is>
          <t>BS</t>
        </is>
      </c>
      <c r="G409" s="7" t="inlineStr">
        <is>
          <t>INR</t>
        </is>
      </c>
      <c r="H409" s="11" t="n">
        <v>44671</v>
      </c>
      <c r="I409" s="11" t="n">
        <v>44676</v>
      </c>
      <c r="J409" s="11" t="n">
        <v>44676</v>
      </c>
      <c r="K409" s="11" t="n">
        <v>44676</v>
      </c>
      <c r="L409" s="7" t="inlineStr">
        <is>
          <t>roll following on the LME panel calendar</t>
        </is>
      </c>
      <c r="N409" s="7" t="inlineStr">
        <is>
          <t>PROXY</t>
        </is>
      </c>
      <c r="O409" s="9" t="n">
        <v>883080.01</v>
      </c>
      <c r="P409" s="9" t="n">
        <v>883080.01</v>
      </c>
      <c r="U409" s="7" t="inlineStr">
        <is>
          <t>DERIVED_IN_WORKBOOK</t>
        </is>
      </c>
      <c r="V409" s="8">
        <f>-SUMIFS(Cashflows!$W$1043:$W$1393,Cashflows!$B$1043:$B$1393,$C409,Cashflows!$C$1043:$C$1393,$K409)</f>
        <v/>
      </c>
      <c r="W409" s="8">
        <f>IF($G409="INR",1,INDEX(Market_Daily!$F$6:$F$256,MATCH($K409,Market_Daily!$A$6:$A$256,0)))</f>
        <v/>
      </c>
      <c r="X409" s="8">
        <f>$V409*$W409</f>
        <v/>
      </c>
      <c r="Y409" s="18">
        <f>$X409-$P409</f>
        <v/>
      </c>
      <c r="Z409" s="8">
        <f>IF(ABS($Y409)&lt;=tol_cashflow_inr,"PASS","FAIL")</f>
        <v/>
      </c>
      <c r="AA409" s="7" t="inlineStr">
        <is>
          <t>-d(lots x lot_kg x F(s) x mcx_al_margin_used_frac)</t>
        </is>
      </c>
    </row>
    <row r="410">
      <c r="A410" s="7" t="inlineStr">
        <is>
          <t>T03</t>
        </is>
      </c>
      <c r="B410" s="7" t="inlineStr">
        <is>
          <t>MCX:T03-MCX-2</t>
        </is>
      </c>
      <c r="C410" s="7" t="inlineStr">
        <is>
          <t>T03-MCX-2</t>
        </is>
      </c>
      <c r="D410" s="7" t="inlineStr">
        <is>
          <t>MCX_VARIATION_MARGIN</t>
        </is>
      </c>
      <c r="E410" s="7" t="inlineStr">
        <is>
          <t>MCX_VARIATION_MARGIN</t>
        </is>
      </c>
      <c r="F410" s="7" t="inlineStr">
        <is>
          <t>PNL</t>
        </is>
      </c>
      <c r="G410" s="7" t="inlineStr">
        <is>
          <t>INR</t>
        </is>
      </c>
      <c r="H410" s="11" t="n">
        <v>44671</v>
      </c>
      <c r="I410" s="11" t="n">
        <v>44676</v>
      </c>
      <c r="J410" s="11" t="n">
        <v>44676</v>
      </c>
      <c r="K410" s="11" t="n">
        <v>44676</v>
      </c>
      <c r="L410" s="7" t="inlineStr">
        <is>
          <t>roll following on the LME panel calendar</t>
        </is>
      </c>
      <c r="N410" s="7" t="inlineStr">
        <is>
          <t>PROXY</t>
        </is>
      </c>
      <c r="O410" s="9" t="n">
        <v>8830800.130000001</v>
      </c>
      <c r="P410" s="9" t="n">
        <v>8830800.130000001</v>
      </c>
      <c r="U410" s="7" t="inlineStr">
        <is>
          <t>DERIVED_IN_WORKBOOK</t>
        </is>
      </c>
      <c r="V410" s="8">
        <f>SUMIFS(Cashflows!$R$1043:$R$1393,Cashflows!$B$1043:$B$1393,$C410,Cashflows!$C$1043:$C$1393,$K410)</f>
        <v/>
      </c>
      <c r="W410" s="8">
        <f>IF($G410="INR",1,INDEX(Market_Daily!$F$6:$F$256,MATCH($K410,Market_Daily!$A$6:$A$256,0)))</f>
        <v/>
      </c>
      <c r="X410" s="8">
        <f>$V410*$W410</f>
        <v/>
      </c>
      <c r="Y410" s="18">
        <f>$X410-$P410</f>
        <v/>
      </c>
      <c r="Z410" s="8">
        <f>IF(ABS($Y410)&lt;=tol_cashflow_inr,"PASS","FAIL")</f>
        <v/>
      </c>
      <c r="AA410" s="7" t="inlineStr">
        <is>
          <t>direction x lots x lot_kg x (F(s) - F(s-1))</t>
        </is>
      </c>
    </row>
    <row r="411">
      <c r="A411" s="7" t="inlineStr">
        <is>
          <t>T03</t>
        </is>
      </c>
      <c r="B411" s="7" t="inlineStr">
        <is>
          <t>MCX:T03-MCX-2</t>
        </is>
      </c>
      <c r="C411" s="7" t="inlineStr">
        <is>
          <t>T03-MCX-2</t>
        </is>
      </c>
      <c r="D411" s="7" t="inlineStr">
        <is>
          <t>MCX_INITIAL_MARGIN</t>
        </is>
      </c>
      <c r="E411" s="7" t="inlineStr">
        <is>
          <t>MCX_INITIAL_MARGIN</t>
        </is>
      </c>
      <c r="F411" s="7" t="inlineStr">
        <is>
          <t>BS</t>
        </is>
      </c>
      <c r="G411" s="7" t="inlineStr">
        <is>
          <t>INR</t>
        </is>
      </c>
      <c r="H411" s="11" t="n">
        <v>44671</v>
      </c>
      <c r="I411" s="11" t="n">
        <v>44677</v>
      </c>
      <c r="J411" s="11" t="n">
        <v>44677</v>
      </c>
      <c r="K411" s="11" t="n">
        <v>44677</v>
      </c>
      <c r="L411" s="7" t="inlineStr">
        <is>
          <t>roll following on the LME panel calendar</t>
        </is>
      </c>
      <c r="N411" s="7" t="inlineStr">
        <is>
          <t>PROXY</t>
        </is>
      </c>
      <c r="O411" s="9" t="n">
        <v>18392237.6</v>
      </c>
      <c r="P411" s="9" t="n">
        <v>18392237.6</v>
      </c>
      <c r="U411" s="7" t="inlineStr">
        <is>
          <t>DERIVED_IN_WORKBOOK</t>
        </is>
      </c>
      <c r="V411" s="8">
        <f>-SUMIFS(Cashflows!$W$1043:$W$1393,Cashflows!$B$1043:$B$1393,$C411,Cashflows!$C$1043:$C$1393,$K411)</f>
        <v/>
      </c>
      <c r="W411" s="8">
        <f>IF($G411="INR",1,INDEX(Market_Daily!$F$6:$F$256,MATCH($K411,Market_Daily!$A$6:$A$256,0)))</f>
        <v/>
      </c>
      <c r="X411" s="8">
        <f>$V411*$W411</f>
        <v/>
      </c>
      <c r="Y411" s="18">
        <f>$X411-$P411</f>
        <v/>
      </c>
      <c r="Z411" s="8">
        <f>IF(ABS($Y411)&lt;=tol_cashflow_inr,"PASS","FAIL")</f>
        <v/>
      </c>
      <c r="AA411" s="7" t="inlineStr">
        <is>
          <t>-d(lots x lot_kg x F(s) x mcx_al_margin_used_frac)</t>
        </is>
      </c>
    </row>
    <row r="412">
      <c r="A412" s="7" t="inlineStr">
        <is>
          <t>T03</t>
        </is>
      </c>
      <c r="B412" s="7" t="inlineStr">
        <is>
          <t>MCX:T03-MCX-2</t>
        </is>
      </c>
      <c r="C412" s="7" t="inlineStr">
        <is>
          <t>T03-MCX-2</t>
        </is>
      </c>
      <c r="D412" s="7" t="inlineStr">
        <is>
          <t>MCX_SLIPPAGE</t>
        </is>
      </c>
      <c r="E412" s="7" t="inlineStr">
        <is>
          <t>MCX_SLIPPAGE</t>
        </is>
      </c>
      <c r="F412" s="7" t="inlineStr">
        <is>
          <t>PNL</t>
        </is>
      </c>
      <c r="G412" s="7" t="inlineStr">
        <is>
          <t>INR</t>
        </is>
      </c>
      <c r="H412" s="11" t="n">
        <v>44677</v>
      </c>
      <c r="J412" s="11" t="n">
        <v>44677</v>
      </c>
      <c r="K412" s="11" t="n">
        <v>44677</v>
      </c>
      <c r="L412" s="7" t="inlineStr">
        <is>
          <t>roll following on the LME panel calendar</t>
        </is>
      </c>
      <c r="N412" s="7" t="inlineStr">
        <is>
          <t>ASSUMPTION</t>
        </is>
      </c>
      <c r="O412" s="9" t="n">
        <v>-71500</v>
      </c>
      <c r="P412" s="9" t="n">
        <v>-71500</v>
      </c>
      <c r="U412" s="7" t="inlineStr">
        <is>
          <t>DERIVED_IN_WORKBOOK</t>
        </is>
      </c>
      <c r="V412" s="8">
        <f>SUMIFS(Cashflows!$Z$1043:$Z$1393,Cashflows!$B$1043:$B$1393,$C412,Cashflows!$C$1043:$C$1393,$K412)</f>
        <v/>
      </c>
      <c r="W412" s="8">
        <f>IF($G412="INR",1,INDEX(Market_Daily!$F$6:$F$256,MATCH($K412,Market_Daily!$A$6:$A$256,0)))</f>
        <v/>
      </c>
      <c r="X412" s="8">
        <f>$V412*$W412</f>
        <v/>
      </c>
      <c r="Y412" s="18">
        <f>$X412-$P412</f>
        <v/>
      </c>
      <c r="Z412" s="8">
        <f>IF(ABS($Y412)&lt;=tol_cashflow_inr,"PASS","FAIL")</f>
        <v/>
      </c>
      <c r="AA412" s="7" t="inlineStr">
        <is>
          <t>-lots x lot_kg x mcx_slippage_ticks x tick</t>
        </is>
      </c>
    </row>
    <row r="413">
      <c r="A413" s="7" t="inlineStr">
        <is>
          <t>T03</t>
        </is>
      </c>
      <c r="B413" s="7" t="inlineStr">
        <is>
          <t>MCX:T03-MCX-2</t>
        </is>
      </c>
      <c r="C413" s="7" t="inlineStr">
        <is>
          <t>T03-MCX-2</t>
        </is>
      </c>
      <c r="D413" s="7" t="inlineStr">
        <is>
          <t>MCX_TRANSACTION_COST</t>
        </is>
      </c>
      <c r="E413" s="7" t="inlineStr">
        <is>
          <t>MCX_TRANSACTION_COST</t>
        </is>
      </c>
      <c r="F413" s="7" t="inlineStr">
        <is>
          <t>PNL</t>
        </is>
      </c>
      <c r="G413" s="7" t="inlineStr">
        <is>
          <t>INR</t>
        </is>
      </c>
      <c r="H413" s="11" t="n">
        <v>44677</v>
      </c>
      <c r="I413" s="11" t="n">
        <v>44677</v>
      </c>
      <c r="J413" s="11" t="n">
        <v>44677</v>
      </c>
      <c r="K413" s="11" t="n">
        <v>44677</v>
      </c>
      <c r="L413" s="7" t="inlineStr">
        <is>
          <t>roll following on the LME panel calendar</t>
        </is>
      </c>
      <c r="N413" s="7" t="inlineStr">
        <is>
          <t>ASSUMPTION</t>
        </is>
      </c>
      <c r="O413" s="9" t="n">
        <v>-55386.37</v>
      </c>
      <c r="P413" s="9" t="n">
        <v>-55386.37</v>
      </c>
      <c r="U413" s="7" t="inlineStr">
        <is>
          <t>DERIVED_IN_WORKBOOK</t>
        </is>
      </c>
      <c r="V413" s="8">
        <f>SUMIFS(Cashflows!$AA$1043:$AA$1393,Cashflows!$B$1043:$B$1393,$C413,Cashflows!$C$1043:$C$1393,$K413)</f>
        <v/>
      </c>
      <c r="W413" s="8">
        <f>IF($G413="INR",1,INDEX(Market_Daily!$F$6:$F$256,MATCH($K413,Market_Daily!$A$6:$A$256,0)))</f>
        <v/>
      </c>
      <c r="X413" s="8">
        <f>$V413*$W413</f>
        <v/>
      </c>
      <c r="Y413" s="18">
        <f>$X413-$P413</f>
        <v/>
      </c>
      <c r="Z413" s="8">
        <f>IF(ABS($Y413)&lt;=tol_cashflow_inr,"PASS","FAIL")</f>
        <v/>
      </c>
      <c r="AA413" s="7" t="inlineStr">
        <is>
          <t>-lots x lot_kg x fill x mcx_txn_cost_frac</t>
        </is>
      </c>
    </row>
    <row r="414">
      <c r="A414" s="7" t="inlineStr">
        <is>
          <t>T03</t>
        </is>
      </c>
      <c r="B414" s="7" t="inlineStr">
        <is>
          <t>MCX:T03-MCX-2</t>
        </is>
      </c>
      <c r="C414" s="7" t="inlineStr">
        <is>
          <t>T03-MCX-2</t>
        </is>
      </c>
      <c r="D414" s="7" t="inlineStr">
        <is>
          <t>MCX_VARIATION_MARGIN</t>
        </is>
      </c>
      <c r="E414" s="7" t="inlineStr">
        <is>
          <t>MCX_VARIATION_MARGIN</t>
        </is>
      </c>
      <c r="F414" s="7" t="inlineStr">
        <is>
          <t>PNL</t>
        </is>
      </c>
      <c r="G414" s="7" t="inlineStr">
        <is>
          <t>INR</t>
        </is>
      </c>
      <c r="H414" s="11" t="n">
        <v>44671</v>
      </c>
      <c r="I414" s="11" t="n">
        <v>44677</v>
      </c>
      <c r="J414" s="11" t="n">
        <v>44677</v>
      </c>
      <c r="K414" s="11" t="n">
        <v>44677</v>
      </c>
      <c r="L414" s="7" t="inlineStr">
        <is>
          <t>roll following on the LME panel calendar</t>
        </is>
      </c>
      <c r="N414" s="7" t="inlineStr">
        <is>
          <t>PROXY</t>
        </is>
      </c>
      <c r="O414" s="9" t="n">
        <v>-627343.1899999999</v>
      </c>
      <c r="P414" s="9" t="n">
        <v>-627343.1899999999</v>
      </c>
      <c r="U414" s="7" t="inlineStr">
        <is>
          <t>DERIVED_IN_WORKBOOK</t>
        </is>
      </c>
      <c r="V414" s="8">
        <f>SUMIFS(Cashflows!$R$1043:$R$1393,Cashflows!$B$1043:$B$1393,$C414,Cashflows!$C$1043:$C$1393,$K414)</f>
        <v/>
      </c>
      <c r="W414" s="8">
        <f>IF($G414="INR",1,INDEX(Market_Daily!$F$6:$F$256,MATCH($K414,Market_Daily!$A$6:$A$256,0)))</f>
        <v/>
      </c>
      <c r="X414" s="8">
        <f>$V414*$W414</f>
        <v/>
      </c>
      <c r="Y414" s="18">
        <f>$X414-$P414</f>
        <v/>
      </c>
      <c r="Z414" s="8">
        <f>IF(ABS($Y414)&lt;=tol_cashflow_inr,"PASS","FAIL")</f>
        <v/>
      </c>
      <c r="AA414" s="7" t="inlineStr">
        <is>
          <t>direction x lots x lot_kg x (F(s) - F(s-1))</t>
        </is>
      </c>
    </row>
    <row r="415">
      <c r="A415" s="7" t="inlineStr">
        <is>
          <t>T03</t>
        </is>
      </c>
      <c r="B415" s="7" t="inlineStr">
        <is>
          <t>DUTY:L2</t>
        </is>
      </c>
      <c r="C415" s="7" t="inlineStr">
        <is>
          <t>L2</t>
        </is>
      </c>
      <c r="D415" s="7" t="inlineStr">
        <is>
          <t>CUSTOMS_DUTY</t>
        </is>
      </c>
      <c r="E415" s="7" t="inlineStr">
        <is>
          <t>CUSTOMS_DUTY</t>
        </is>
      </c>
      <c r="F415" s="7" t="inlineStr">
        <is>
          <t>PNL</t>
        </is>
      </c>
      <c r="G415" s="7" t="inlineStr">
        <is>
          <t>INR</t>
        </is>
      </c>
      <c r="H415" s="11" t="n">
        <v>44643</v>
      </c>
      <c r="I415" s="11" t="n">
        <v>44679</v>
      </c>
      <c r="J415" s="11" t="n">
        <v>44679</v>
      </c>
      <c r="K415" s="11" t="n">
        <v>44679</v>
      </c>
      <c r="L415" s="7" t="inlineStr">
        <is>
          <t>roll following on the LME panel calendar</t>
        </is>
      </c>
      <c r="N415" s="7" t="inlineStr">
        <is>
          <t>DIRECT</t>
        </is>
      </c>
      <c r="O415" s="9" t="n">
        <v>-3147706.92</v>
      </c>
      <c r="P415" s="9" t="n">
        <v>-3147706.92</v>
      </c>
      <c r="U415" s="7" t="inlineStr">
        <is>
          <t>PYTHON_LIFECYCLE</t>
        </is>
      </c>
      <c r="V415" s="8">
        <f>$O415</f>
        <v/>
      </c>
      <c r="W415" s="8">
        <f>IF($G415="INR",1,INDEX(Market_Daily!$F$6:$F$256,MATCH($K415,Market_Daily!$A$6:$A$256,0)))</f>
        <v/>
      </c>
      <c r="X415" s="8">
        <f>$V415*$W415</f>
        <v/>
      </c>
      <c r="Y415" s="18">
        <f>$X415-$P415</f>
        <v/>
      </c>
      <c r="Z415" s="8">
        <f>IF(ABS($Y415)&lt;=tol_cashflow_inr,"PASS","FAIL")</f>
        <v/>
      </c>
      <c r="AA415" s="7" t="inlineStr">
        <is>
          <t>-assessable_inr x bcd_scrap_hs7602 x (1 + sws_rate_on_bcd)</t>
        </is>
      </c>
    </row>
    <row r="416">
      <c r="A416" s="7" t="inlineStr">
        <is>
          <t>T03</t>
        </is>
      </c>
      <c r="B416" s="7" t="inlineStr">
        <is>
          <t>IGST:L2</t>
        </is>
      </c>
      <c r="C416" s="7" t="inlineStr">
        <is>
          <t>L2</t>
        </is>
      </c>
      <c r="D416" s="7" t="inlineStr">
        <is>
          <t>IGST_IMPORT</t>
        </is>
      </c>
      <c r="E416" s="7" t="inlineStr">
        <is>
          <t>IGST_IMPORT</t>
        </is>
      </c>
      <c r="F416" s="7" t="inlineStr">
        <is>
          <t>BS</t>
        </is>
      </c>
      <c r="G416" s="7" t="inlineStr">
        <is>
          <t>INR</t>
        </is>
      </c>
      <c r="H416" s="11" t="n">
        <v>44643</v>
      </c>
      <c r="I416" s="11" t="n">
        <v>44679</v>
      </c>
      <c r="J416" s="11" t="n">
        <v>44679</v>
      </c>
      <c r="K416" s="11" t="n">
        <v>44679</v>
      </c>
      <c r="L416" s="7" t="inlineStr">
        <is>
          <t>roll following on the LME panel calendar</t>
        </is>
      </c>
      <c r="N416" s="7" t="inlineStr">
        <is>
          <t>DIRECT</t>
        </is>
      </c>
      <c r="O416" s="9" t="n">
        <v>-21169759.83</v>
      </c>
      <c r="P416" s="9" t="n">
        <v>-21169759.83</v>
      </c>
      <c r="U416" s="7" t="inlineStr">
        <is>
          <t>PYTHON_LIFECYCLE</t>
        </is>
      </c>
      <c r="V416" s="8">
        <f>$O416</f>
        <v/>
      </c>
      <c r="W416" s="8">
        <f>IF($G416="INR",1,INDEX(Market_Daily!$F$6:$F$256,MATCH($K416,Market_Daily!$A$6:$A$256,0)))</f>
        <v/>
      </c>
      <c r="X416" s="8">
        <f>$V416*$W416</f>
        <v/>
      </c>
      <c r="Y416" s="18">
        <f>$X416-$P416</f>
        <v/>
      </c>
      <c r="Z416" s="8">
        <f>IF(ABS($Y416)&lt;=tol_cashflow_inr,"PASS","FAIL")</f>
        <v/>
      </c>
      <c r="AA416" s="7" t="inlineStr">
        <is>
          <t>-(assessable + duty) x igst_rate_hs7602</t>
        </is>
      </c>
    </row>
    <row r="417">
      <c r="A417" s="7" t="inlineStr">
        <is>
          <t>T03</t>
        </is>
      </c>
      <c r="B417" s="7" t="inlineStr">
        <is>
          <t>PORT:L1</t>
        </is>
      </c>
      <c r="C417" s="7" t="inlineStr">
        <is>
          <t>L1</t>
        </is>
      </c>
      <c r="D417" s="7" t="inlineStr">
        <is>
          <t>PORT_CHARGES</t>
        </is>
      </c>
      <c r="E417" s="7" t="inlineStr">
        <is>
          <t>PORT_CHARGES</t>
        </is>
      </c>
      <c r="F417" s="7" t="inlineStr">
        <is>
          <t>PNL</t>
        </is>
      </c>
      <c r="G417" s="7" t="inlineStr">
        <is>
          <t>INR</t>
        </is>
      </c>
      <c r="H417" s="11" t="n">
        <v>44643</v>
      </c>
      <c r="J417" s="11" t="n">
        <v>44679</v>
      </c>
      <c r="K417" s="11" t="n">
        <v>44679</v>
      </c>
      <c r="L417" s="7" t="inlineStr">
        <is>
          <t>roll following on the LME panel calendar</t>
        </is>
      </c>
      <c r="N417" s="7" t="inlineStr">
        <is>
          <t>ASSUMPTION</t>
        </is>
      </c>
      <c r="O417" s="9" t="n">
        <v>-1200000</v>
      </c>
      <c r="P417" s="9" t="n">
        <v>-1200000</v>
      </c>
      <c r="U417" s="7" t="inlineStr">
        <is>
          <t>PYTHON_LIFECYCLE</t>
        </is>
      </c>
      <c r="V417" s="8">
        <f>$O417</f>
        <v/>
      </c>
      <c r="W417" s="8">
        <f>IF($G417="INR",1,INDEX(Market_Daily!$F$6:$F$256,MATCH($K417,Market_Daily!$A$6:$A$256,0)))</f>
        <v/>
      </c>
      <c r="X417" s="8">
        <f>$V417*$W417</f>
        <v/>
      </c>
      <c r="Y417" s="18">
        <f>$X417-$P417</f>
        <v/>
      </c>
      <c r="Z417" s="8">
        <f>IF(ABS($Y417)&lt;=tol_cashflow_inr,"PASS","FAIL")</f>
        <v/>
      </c>
      <c r="AA417" s="7" t="inlineStr">
        <is>
          <t>-port_cf_charges_inr_t x base_payload x cleared boxes</t>
        </is>
      </c>
    </row>
    <row r="418">
      <c r="A418" s="7" t="inlineStr">
        <is>
          <t>T03</t>
        </is>
      </c>
      <c r="B418" s="7" t="inlineStr">
        <is>
          <t>BILL_COMMISSION:L2</t>
        </is>
      </c>
      <c r="C418" s="7" t="inlineStr">
        <is>
          <t>L2</t>
        </is>
      </c>
      <c r="D418" s="7" t="inlineStr">
        <is>
          <t>IMPORT_BILL_COMMISSION</t>
        </is>
      </c>
      <c r="E418" s="7" t="inlineStr">
        <is>
          <t>IMPORT_BILL_COMMISSION</t>
        </is>
      </c>
      <c r="F418" s="7" t="inlineStr">
        <is>
          <t>PNL</t>
        </is>
      </c>
      <c r="G418" s="7" t="inlineStr">
        <is>
          <t>USD</t>
        </is>
      </c>
      <c r="H418" s="11" t="n">
        <v>44643</v>
      </c>
      <c r="I418" s="11" t="n">
        <v>44680</v>
      </c>
      <c r="J418" s="11" t="n">
        <v>44680</v>
      </c>
      <c r="K418" s="11" t="n">
        <v>44680</v>
      </c>
      <c r="L418" s="7" t="inlineStr">
        <is>
          <t>roll following on the LME panel calendar</t>
        </is>
      </c>
      <c r="N418" s="7" t="inlineStr">
        <is>
          <t>DIRECT</t>
        </is>
      </c>
      <c r="O418" s="9" t="n">
        <v>-1778.4</v>
      </c>
      <c r="P418" s="9" t="n">
        <v>-136059.34</v>
      </c>
      <c r="U418" s="7" t="inlineStr">
        <is>
          <t>PYTHON_LIFECYCLE</t>
        </is>
      </c>
      <c r="V418" s="8">
        <f>$O418</f>
        <v/>
      </c>
      <c r="W418" s="8">
        <f>IF($G418="INR",1,INDEX(Market_Daily!$F$6:$F$256,MATCH($K418,Market_Daily!$A$6:$A$256,0)))</f>
        <v/>
      </c>
      <c r="X418" s="8">
        <f>$V418*$W418</f>
        <v/>
      </c>
      <c r="Y418" s="18">
        <f>$X418-$P418</f>
        <v/>
      </c>
      <c r="Z418" s="8">
        <f>IF(ABS($Y418)&lt;=tol_cashflow_inr,"PASS","FAIL")</f>
        <v/>
      </c>
      <c r="AA418" s="7" t="inlineStr">
        <is>
          <t>-import_bill_commission_frac x bill_usd</t>
        </is>
      </c>
    </row>
    <row r="419">
      <c r="A419" s="7" t="inlineStr">
        <is>
          <t>T03</t>
        </is>
      </c>
      <c r="B419" s="7" t="inlineStr">
        <is>
          <t>FX:T03-FX-2</t>
        </is>
      </c>
      <c r="C419" s="7" t="inlineStr">
        <is>
          <t>T03-FX-2</t>
        </is>
      </c>
      <c r="D419" s="7" t="inlineStr">
        <is>
          <t>FX_FORWARD</t>
        </is>
      </c>
      <c r="E419" s="7" t="inlineStr">
        <is>
          <t>FX_FORWARD</t>
        </is>
      </c>
      <c r="F419" s="7" t="inlineStr">
        <is>
          <t>PNL</t>
        </is>
      </c>
      <c r="G419" s="7" t="inlineStr">
        <is>
          <t>INR</t>
        </is>
      </c>
      <c r="H419" s="11" t="n">
        <v>44673</v>
      </c>
      <c r="I419" s="11" t="n">
        <v>44680</v>
      </c>
      <c r="J419" s="11" t="n">
        <v>44680</v>
      </c>
      <c r="K419" s="11" t="n">
        <v>44680</v>
      </c>
      <c r="L419" s="7" t="inlineStr">
        <is>
          <t>roll following on the LME panel calendar</t>
        </is>
      </c>
      <c r="N419" s="7" t="inlineStr">
        <is>
          <t>PROXY</t>
        </is>
      </c>
      <c r="O419" s="9" t="n">
        <v>-129345.19</v>
      </c>
      <c r="P419" s="9" t="n">
        <v>-129345.19</v>
      </c>
      <c r="Q419" s="6" t="n">
        <v>1</v>
      </c>
      <c r="R419" s="13" t="n">
        <v>1482000</v>
      </c>
      <c r="S419" s="12" t="n">
        <v>44680</v>
      </c>
      <c r="T419" s="21" t="n">
        <v>76.59387700000001</v>
      </c>
      <c r="U419" s="7" t="inlineStr">
        <is>
          <t>DERIVED_IN_WORKBOOK</t>
        </is>
      </c>
      <c r="V419" s="8">
        <f>$Q419*$R419*(IF($S419&lt;$K419,INDEX(Market_Daily!$F$6:$F$256,MATCH($S419,Market_Daily!$A$6:$A$256,1)),IF($S419=$K419,INDEX(Market_Daily!$F$6:$F$256,MATCH($K419,Market_Daily!$A$6:$A$256,0)),(INDEX(Market_Daily!$F$6:$F$256,MATCH($K419,Market_Daily!$A$6:$A$256,0))*(1+INDEX(Market_Daily!$I$6:$I$256,MATCH($K419,Market_Daily!$A$6:$A$256,0))*($S419-$K419)/day_count_inr)/(1+INDEX(Market_Daily!$J$6:$J$256,MATCH($K419,Market_Daily!$A$6:$A$256,0))*($S419-$K419)/day_count_usd))))-$T419)</f>
        <v/>
      </c>
      <c r="W419" s="8">
        <f>IF($G419="INR",1,INDEX(Market_Daily!$F$6:$F$256,MATCH($K419,Market_Daily!$A$6:$A$256,0)))</f>
        <v/>
      </c>
      <c r="X419" s="8">
        <f>$V419*$W419</f>
        <v/>
      </c>
      <c r="Y419" s="18">
        <f>$X419-$P419</f>
        <v/>
      </c>
      <c r="Z419" s="8">
        <f>IF(ABS($Y419)&lt;=tol_cashflow_inr,"PASS","FAIL")</f>
        <v/>
      </c>
      <c r="AA419" s="7" t="inlineStr">
        <is>
          <t>sign x notional x (X(tau, value_date) - K)</t>
        </is>
      </c>
    </row>
    <row r="420">
      <c r="A420" s="7" t="inlineStr">
        <is>
          <t>T03</t>
        </is>
      </c>
      <c r="B420" s="7" t="inlineStr">
        <is>
          <t>PURCHASE:L2</t>
        </is>
      </c>
      <c r="C420" s="7" t="inlineStr">
        <is>
          <t>L2</t>
        </is>
      </c>
      <c r="D420" s="7" t="inlineStr">
        <is>
          <t>PURCHASE_INVOICE</t>
        </is>
      </c>
      <c r="E420" s="7" t="inlineStr">
        <is>
          <t>PURCHASE_INVOICE</t>
        </is>
      </c>
      <c r="F420" s="7" t="inlineStr">
        <is>
          <t>PNL</t>
        </is>
      </c>
      <c r="G420" s="7" t="inlineStr">
        <is>
          <t>USD</t>
        </is>
      </c>
      <c r="H420" s="11" t="n">
        <v>44643</v>
      </c>
      <c r="J420" s="11" t="n">
        <v>44680</v>
      </c>
      <c r="K420" s="11" t="n">
        <v>44680</v>
      </c>
      <c r="L420" s="7" t="inlineStr">
        <is>
          <t>roll following on the LME panel calendar</t>
        </is>
      </c>
      <c r="N420" s="7" t="inlineStr">
        <is>
          <t>SIM</t>
        </is>
      </c>
      <c r="O420" s="9" t="n">
        <v>-1482000</v>
      </c>
      <c r="P420" s="9" t="n">
        <v>-113382781.2</v>
      </c>
      <c r="U420" s="7" t="inlineStr">
        <is>
          <t>PYTHON_LIFECYCLE</t>
        </is>
      </c>
      <c r="V420" s="8">
        <f>$O420</f>
        <v/>
      </c>
      <c r="W420" s="8">
        <f>IF($G420="INR",1,INDEX(Market_Daily!$F$6:$F$256,MATCH($K420,Market_Daily!$A$6:$A$256,0)))</f>
        <v/>
      </c>
      <c r="X420" s="8">
        <f>$V420*$W420</f>
        <v/>
      </c>
      <c r="Y420" s="18">
        <f>$X420-$P420</f>
        <v/>
      </c>
      <c r="Z420" s="8">
        <f>IF(ABS($Y420)&lt;=tol_cashflow_inr,"PASS","FAIL")</f>
        <v/>
      </c>
      <c r="AA420" s="7" t="inlineStr">
        <is>
          <t>-q_bl x price_usd_t</t>
        </is>
      </c>
    </row>
    <row r="421">
      <c r="A421" s="7" t="inlineStr">
        <is>
          <t>T03</t>
        </is>
      </c>
      <c r="B421" s="7" t="inlineStr">
        <is>
          <t>PORT:L2</t>
        </is>
      </c>
      <c r="C421" s="7" t="inlineStr">
        <is>
          <t>L2</t>
        </is>
      </c>
      <c r="D421" s="7" t="inlineStr">
        <is>
          <t>PORT_CHARGES</t>
        </is>
      </c>
      <c r="E421" s="7" t="inlineStr">
        <is>
          <t>PORT_CHARGES</t>
        </is>
      </c>
      <c r="F421" s="7" t="inlineStr">
        <is>
          <t>PNL</t>
        </is>
      </c>
      <c r="G421" s="7" t="inlineStr">
        <is>
          <t>INR</t>
        </is>
      </c>
      <c r="H421" s="11" t="n">
        <v>44643</v>
      </c>
      <c r="J421" s="11" t="n">
        <v>44690</v>
      </c>
      <c r="K421" s="11" t="n">
        <v>44690</v>
      </c>
      <c r="L421" s="7" t="inlineStr">
        <is>
          <t>roll following on the LME panel calendar</t>
        </is>
      </c>
      <c r="N421" s="7" t="inlineStr">
        <is>
          <t>ASSUMPTION</t>
        </is>
      </c>
      <c r="O421" s="9" t="n">
        <v>-1200000</v>
      </c>
      <c r="P421" s="9" t="n">
        <v>-1200000</v>
      </c>
      <c r="U421" s="7" t="inlineStr">
        <is>
          <t>PYTHON_LIFECYCLE</t>
        </is>
      </c>
      <c r="V421" s="8">
        <f>$O421</f>
        <v/>
      </c>
      <c r="W421" s="8">
        <f>IF($G421="INR",1,INDEX(Market_Daily!$F$6:$F$256,MATCH($K421,Market_Daily!$A$6:$A$256,0)))</f>
        <v/>
      </c>
      <c r="X421" s="8">
        <f>$V421*$W421</f>
        <v/>
      </c>
      <c r="Y421" s="18">
        <f>$X421-$P421</f>
        <v/>
      </c>
      <c r="Z421" s="8">
        <f>IF(ABS($Y421)&lt;=tol_cashflow_inr,"PASS","FAIL")</f>
        <v/>
      </c>
      <c r="AA421" s="7" t="inlineStr">
        <is>
          <t>-port_cf_charges_inr_t x base_payload x cleared boxes</t>
        </is>
      </c>
    </row>
    <row r="422">
      <c r="A422" s="7" t="inlineStr">
        <is>
          <t>T03</t>
        </is>
      </c>
      <c r="B422" s="7" t="inlineStr">
        <is>
          <t>IGST:L1</t>
        </is>
      </c>
      <c r="C422" s="7" t="inlineStr">
        <is>
          <t>L1</t>
        </is>
      </c>
      <c r="D422" s="7" t="inlineStr">
        <is>
          <t>IGST_CREDIT</t>
        </is>
      </c>
      <c r="E422" s="7" t="inlineStr">
        <is>
          <t>IGST_CREDIT</t>
        </is>
      </c>
      <c r="F422" s="7" t="inlineStr">
        <is>
          <t>BS</t>
        </is>
      </c>
      <c r="G422" s="7" t="inlineStr">
        <is>
          <t>INR</t>
        </is>
      </c>
      <c r="H422" s="11" t="n">
        <v>44643</v>
      </c>
      <c r="I422" s="11" t="n">
        <v>44670</v>
      </c>
      <c r="J422" s="11" t="n">
        <v>44718</v>
      </c>
      <c r="K422" s="11" t="n">
        <v>44718</v>
      </c>
      <c r="L422" s="7" t="inlineStr">
        <is>
          <t>roll following on the LME panel calendar</t>
        </is>
      </c>
      <c r="N422" s="7" t="inlineStr">
        <is>
          <t>DIRECT</t>
        </is>
      </c>
      <c r="O422" s="9" t="n">
        <v>21073720.74</v>
      </c>
      <c r="P422" s="9" t="n">
        <v>21073720.74</v>
      </c>
      <c r="U422" s="7" t="inlineStr">
        <is>
          <t>PYTHON_LIFECYCLE</t>
        </is>
      </c>
      <c r="V422" s="8">
        <f>$O422</f>
        <v/>
      </c>
      <c r="W422" s="8">
        <f>IF($G422="INR",1,INDEX(Market_Daily!$F$6:$F$256,MATCH($K422,Market_Daily!$A$6:$A$256,0)))</f>
        <v/>
      </c>
      <c r="X422" s="8">
        <f>$V422*$W422</f>
        <v/>
      </c>
      <c r="Y422" s="18">
        <f>$X422-$P422</f>
        <v/>
      </c>
      <c r="Z422" s="8">
        <f>IF(ABS($Y422)&lt;=tol_cashflow_inr,"PASS","FAIL")</f>
        <v/>
      </c>
      <c r="AA422" s="7" t="inlineStr">
        <is>
          <t>+(assessable + duty) x igst_rate at igst_credit_lag_days</t>
        </is>
      </c>
    </row>
    <row r="423">
      <c r="A423" s="7" t="inlineStr">
        <is>
          <t>T03</t>
        </is>
      </c>
      <c r="B423" s="7" t="inlineStr">
        <is>
          <t>SALE:S1</t>
        </is>
      </c>
      <c r="C423" s="7" t="inlineStr">
        <is>
          <t>S1</t>
        </is>
      </c>
      <c r="D423" s="7" t="inlineStr">
        <is>
          <t>SALE_BALANCE</t>
        </is>
      </c>
      <c r="E423" s="7" t="inlineStr">
        <is>
          <t>SALE_BALANCE</t>
        </is>
      </c>
      <c r="F423" s="7" t="inlineStr">
        <is>
          <t>PNL</t>
        </is>
      </c>
      <c r="G423" s="7" t="inlineStr">
        <is>
          <t>INR</t>
        </is>
      </c>
      <c r="H423" s="11" t="n">
        <v>44677</v>
      </c>
      <c r="I423" s="11" t="n">
        <v>44679</v>
      </c>
      <c r="J423" s="11" t="n">
        <v>44720</v>
      </c>
      <c r="K423" s="11" t="n">
        <v>44720</v>
      </c>
      <c r="L423" s="7" t="inlineStr">
        <is>
          <t>roll following on the LME panel calendar</t>
        </is>
      </c>
      <c r="N423" s="7" t="inlineStr">
        <is>
          <t>SIM</t>
        </is>
      </c>
      <c r="O423" s="9" t="n">
        <v>241500000</v>
      </c>
      <c r="P423" s="9" t="n">
        <v>241500000</v>
      </c>
      <c r="U423" s="7" t="inlineStr">
        <is>
          <t>PYTHON_LIFECYCLE</t>
        </is>
      </c>
      <c r="V423" s="8">
        <f>$O423</f>
        <v/>
      </c>
      <c r="W423" s="8">
        <f>IF($G423="INR",1,INDEX(Market_Daily!$F$6:$F$256,MATCH($K423,Market_Daily!$A$6:$A$256,0)))</f>
        <v/>
      </c>
      <c r="X423" s="8">
        <f>$V423*$W423</f>
        <v/>
      </c>
      <c r="Y423" s="18">
        <f>$X423-$P423</f>
        <v/>
      </c>
      <c r="Z423" s="8">
        <f>IF(ABS($Y423)&lt;=tol_cashflow_inr,"PASS","FAIL")</f>
        <v/>
      </c>
      <c r="AA423" s="7" t="inlineStr">
        <is>
          <t>+q_acc x P_sale x (1 - disc passthrough) - advance</t>
        </is>
      </c>
    </row>
    <row r="424">
      <c r="A424" s="7" t="inlineStr">
        <is>
          <t>T03</t>
        </is>
      </c>
      <c r="B424" s="7" t="inlineStr">
        <is>
          <t>IGST:L2</t>
        </is>
      </c>
      <c r="C424" s="7" t="inlineStr">
        <is>
          <t>L2</t>
        </is>
      </c>
      <c r="D424" s="7" t="inlineStr">
        <is>
          <t>IGST_CREDIT</t>
        </is>
      </c>
      <c r="E424" s="7" t="inlineStr">
        <is>
          <t>IGST_CREDIT</t>
        </is>
      </c>
      <c r="F424" s="7" t="inlineStr">
        <is>
          <t>BS</t>
        </is>
      </c>
      <c r="G424" s="7" t="inlineStr">
        <is>
          <t>INR</t>
        </is>
      </c>
      <c r="H424" s="11" t="n">
        <v>44643</v>
      </c>
      <c r="I424" s="11" t="n">
        <v>44679</v>
      </c>
      <c r="J424" s="11" t="n">
        <v>44725</v>
      </c>
      <c r="K424" s="11" t="n">
        <v>44725</v>
      </c>
      <c r="L424" s="7" t="inlineStr">
        <is>
          <t>roll following on the LME panel calendar</t>
        </is>
      </c>
      <c r="N424" s="7" t="inlineStr">
        <is>
          <t>DIRECT</t>
        </is>
      </c>
      <c r="O424" s="9" t="n">
        <v>21169759.83</v>
      </c>
      <c r="P424" s="9" t="n">
        <v>21169759.83</v>
      </c>
      <c r="U424" s="7" t="inlineStr">
        <is>
          <t>PYTHON_LIFECYCLE</t>
        </is>
      </c>
      <c r="V424" s="8">
        <f>$O424</f>
        <v/>
      </c>
      <c r="W424" s="8">
        <f>IF($G424="INR",1,INDEX(Market_Daily!$F$6:$F$256,MATCH($K424,Market_Daily!$A$6:$A$256,0)))</f>
        <v/>
      </c>
      <c r="X424" s="8">
        <f>$V424*$W424</f>
        <v/>
      </c>
      <c r="Y424" s="18">
        <f>$X424-$P424</f>
        <v/>
      </c>
      <c r="Z424" s="8">
        <f>IF(ABS($Y424)&lt;=tol_cashflow_inr,"PASS","FAIL")</f>
        <v/>
      </c>
      <c r="AA424" s="7" t="inlineStr">
        <is>
          <t>+(assessable + duty) x igst_rate at igst_credit_lag_days</t>
        </is>
      </c>
    </row>
    <row r="425">
      <c r="A425" s="7" t="inlineStr">
        <is>
          <t>T04</t>
        </is>
      </c>
      <c r="B425" s="7" t="inlineStr">
        <is>
          <t>MCX:T04-MCX-1</t>
        </is>
      </c>
      <c r="C425" s="7" t="inlineStr">
        <is>
          <t>T04-MCX-1</t>
        </is>
      </c>
      <c r="D425" s="7" t="inlineStr">
        <is>
          <t>MCX_INITIAL_MARGIN</t>
        </is>
      </c>
      <c r="E425" s="7" t="inlineStr">
        <is>
          <t>MCX_INITIAL_MARGIN</t>
        </is>
      </c>
      <c r="F425" s="7" t="inlineStr">
        <is>
          <t>BS</t>
        </is>
      </c>
      <c r="G425" s="7" t="inlineStr">
        <is>
          <t>INR</t>
        </is>
      </c>
      <c r="H425" s="11" t="n">
        <v>44657</v>
      </c>
      <c r="I425" s="11" t="n">
        <v>44657</v>
      </c>
      <c r="J425" s="11" t="n">
        <v>44657</v>
      </c>
      <c r="K425" s="11" t="n">
        <v>44657</v>
      </c>
      <c r="L425" s="7" t="inlineStr">
        <is>
          <t>roll following on the LME panel calendar</t>
        </is>
      </c>
      <c r="N425" s="7" t="inlineStr">
        <is>
          <t>PROXY</t>
        </is>
      </c>
      <c r="O425" s="9" t="n">
        <v>-12327038.17</v>
      </c>
      <c r="P425" s="9" t="n">
        <v>-12327038.17</v>
      </c>
      <c r="U425" s="7" t="inlineStr">
        <is>
          <t>DERIVED_IN_WORKBOOK</t>
        </is>
      </c>
      <c r="V425" s="8">
        <f>-SUMIFS(Cashflows!$W$1043:$W$1393,Cashflows!$B$1043:$B$1393,$C425,Cashflows!$C$1043:$C$1393,$K425)</f>
        <v/>
      </c>
      <c r="W425" s="8">
        <f>IF($G425="INR",1,INDEX(Market_Daily!$F$6:$F$256,MATCH($K425,Market_Daily!$A$6:$A$256,0)))</f>
        <v/>
      </c>
      <c r="X425" s="8">
        <f>$V425*$W425</f>
        <v/>
      </c>
      <c r="Y425" s="18">
        <f>$X425-$P425</f>
        <v/>
      </c>
      <c r="Z425" s="8">
        <f>IF(ABS($Y425)&lt;=tol_cashflow_inr,"PASS","FAIL")</f>
        <v/>
      </c>
      <c r="AA425" s="7" t="inlineStr">
        <is>
          <t>-d(lots x lot_kg x F(s) x mcx_al_margin_used_frac)</t>
        </is>
      </c>
    </row>
    <row r="426">
      <c r="A426" s="7" t="inlineStr">
        <is>
          <t>T04</t>
        </is>
      </c>
      <c r="B426" s="7" t="inlineStr">
        <is>
          <t>MCX:T04-MCX-1</t>
        </is>
      </c>
      <c r="C426" s="7" t="inlineStr">
        <is>
          <t>T04-MCX-1</t>
        </is>
      </c>
      <c r="D426" s="7" t="inlineStr">
        <is>
          <t>MCX_SLIPPAGE</t>
        </is>
      </c>
      <c r="E426" s="7" t="inlineStr">
        <is>
          <t>MCX_SLIPPAGE</t>
        </is>
      </c>
      <c r="F426" s="7" t="inlineStr">
        <is>
          <t>PNL</t>
        </is>
      </c>
      <c r="G426" s="7" t="inlineStr">
        <is>
          <t>INR</t>
        </is>
      </c>
      <c r="H426" s="11" t="n">
        <v>44657</v>
      </c>
      <c r="J426" s="11" t="n">
        <v>44657</v>
      </c>
      <c r="K426" s="11" t="n">
        <v>44657</v>
      </c>
      <c r="L426" s="7" t="inlineStr">
        <is>
          <t>roll following on the LME panel calendar</t>
        </is>
      </c>
      <c r="N426" s="7" t="inlineStr">
        <is>
          <t>ASSUMPTION</t>
        </is>
      </c>
      <c r="O426" s="9" t="n">
        <v>-43500</v>
      </c>
      <c r="P426" s="9" t="n">
        <v>-43500</v>
      </c>
      <c r="U426" s="7" t="inlineStr">
        <is>
          <t>DERIVED_IN_WORKBOOK</t>
        </is>
      </c>
      <c r="V426" s="8">
        <f>SUMIFS(Cashflows!$Z$1043:$Z$1393,Cashflows!$B$1043:$B$1393,$C426,Cashflows!$C$1043:$C$1393,$K426)</f>
        <v/>
      </c>
      <c r="W426" s="8">
        <f>IF($G426="INR",1,INDEX(Market_Daily!$F$6:$F$256,MATCH($K426,Market_Daily!$A$6:$A$256,0)))</f>
        <v/>
      </c>
      <c r="X426" s="8">
        <f>$V426*$W426</f>
        <v/>
      </c>
      <c r="Y426" s="18">
        <f>$X426-$P426</f>
        <v/>
      </c>
      <c r="Z426" s="8">
        <f>IF(ABS($Y426)&lt;=tol_cashflow_inr,"PASS","FAIL")</f>
        <v/>
      </c>
      <c r="AA426" s="7" t="inlineStr">
        <is>
          <t>-lots x lot_kg x mcx_slippage_ticks x tick</t>
        </is>
      </c>
    </row>
    <row r="427">
      <c r="A427" s="7" t="inlineStr">
        <is>
          <t>T04</t>
        </is>
      </c>
      <c r="B427" s="7" t="inlineStr">
        <is>
          <t>MCX:T04-MCX-1</t>
        </is>
      </c>
      <c r="C427" s="7" t="inlineStr">
        <is>
          <t>T04-MCX-1</t>
        </is>
      </c>
      <c r="D427" s="7" t="inlineStr">
        <is>
          <t>MCX_TRANSACTION_COST</t>
        </is>
      </c>
      <c r="E427" s="7" t="inlineStr">
        <is>
          <t>MCX_TRANSACTION_COST</t>
        </is>
      </c>
      <c r="F427" s="7" t="inlineStr">
        <is>
          <t>PNL</t>
        </is>
      </c>
      <c r="G427" s="7" t="inlineStr">
        <is>
          <t>INR</t>
        </is>
      </c>
      <c r="H427" s="11" t="n">
        <v>44657</v>
      </c>
      <c r="I427" s="11" t="n">
        <v>44657</v>
      </c>
      <c r="J427" s="11" t="n">
        <v>44657</v>
      </c>
      <c r="K427" s="11" t="n">
        <v>44657</v>
      </c>
      <c r="L427" s="7" t="inlineStr">
        <is>
          <t>roll following on the LME panel calendar</t>
        </is>
      </c>
      <c r="N427" s="7" t="inlineStr">
        <is>
          <t>ASSUMPTION</t>
        </is>
      </c>
      <c r="O427" s="9" t="n">
        <v>-36968.06</v>
      </c>
      <c r="P427" s="9" t="n">
        <v>-36968.06</v>
      </c>
      <c r="U427" s="7" t="inlineStr">
        <is>
          <t>DERIVED_IN_WORKBOOK</t>
        </is>
      </c>
      <c r="V427" s="8">
        <f>SUMIFS(Cashflows!$AA$1043:$AA$1393,Cashflows!$B$1043:$B$1393,$C427,Cashflows!$C$1043:$C$1393,$K427)</f>
        <v/>
      </c>
      <c r="W427" s="8">
        <f>IF($G427="INR",1,INDEX(Market_Daily!$F$6:$F$256,MATCH($K427,Market_Daily!$A$6:$A$256,0)))</f>
        <v/>
      </c>
      <c r="X427" s="8">
        <f>$V427*$W427</f>
        <v/>
      </c>
      <c r="Y427" s="18">
        <f>$X427-$P427</f>
        <v/>
      </c>
      <c r="Z427" s="8">
        <f>IF(ABS($Y427)&lt;=tol_cashflow_inr,"PASS","FAIL")</f>
        <v/>
      </c>
      <c r="AA427" s="7" t="inlineStr">
        <is>
          <t>-lots x lot_kg x fill x mcx_txn_cost_frac</t>
        </is>
      </c>
    </row>
    <row r="428">
      <c r="A428" s="7" t="inlineStr">
        <is>
          <t>T04</t>
        </is>
      </c>
      <c r="B428" s="7" t="inlineStr">
        <is>
          <t>MCX:T04-MCX-1</t>
        </is>
      </c>
      <c r="C428" s="7" t="inlineStr">
        <is>
          <t>T04-MCX-1</t>
        </is>
      </c>
      <c r="D428" s="7" t="inlineStr">
        <is>
          <t>MCX_VARIATION_MARGIN</t>
        </is>
      </c>
      <c r="E428" s="7" t="inlineStr">
        <is>
          <t>MCX_VARIATION_MARGIN</t>
        </is>
      </c>
      <c r="F428" s="7" t="inlineStr">
        <is>
          <t>PNL</t>
        </is>
      </c>
      <c r="G428" s="7" t="inlineStr">
        <is>
          <t>INR</t>
        </is>
      </c>
      <c r="H428" s="11" t="n">
        <v>44657</v>
      </c>
      <c r="I428" s="11" t="n">
        <v>44657</v>
      </c>
      <c r="J428" s="11" t="n">
        <v>44657</v>
      </c>
      <c r="K428" s="11" t="n">
        <v>44657</v>
      </c>
      <c r="L428" s="7" t="inlineStr">
        <is>
          <t>roll following on the LME panel calendar</t>
        </is>
      </c>
      <c r="N428" s="7" t="inlineStr">
        <is>
          <t>PROXY</t>
        </is>
      </c>
      <c r="O428" s="9" t="n">
        <v>-0</v>
      </c>
      <c r="P428" s="9" t="n">
        <v>-0</v>
      </c>
      <c r="U428" s="7" t="inlineStr">
        <is>
          <t>DERIVED_IN_WORKBOOK</t>
        </is>
      </c>
      <c r="V428" s="8">
        <f>SUMIFS(Cashflows!$R$1043:$R$1393,Cashflows!$B$1043:$B$1393,$C428,Cashflows!$C$1043:$C$1393,$K428)</f>
        <v/>
      </c>
      <c r="W428" s="8">
        <f>IF($G428="INR",1,INDEX(Market_Daily!$F$6:$F$256,MATCH($K428,Market_Daily!$A$6:$A$256,0)))</f>
        <v/>
      </c>
      <c r="X428" s="8">
        <f>$V428*$W428</f>
        <v/>
      </c>
      <c r="Y428" s="18">
        <f>$X428-$P428</f>
        <v/>
      </c>
      <c r="Z428" s="8">
        <f>IF(ABS($Y428)&lt;=tol_cashflow_inr,"PASS","FAIL")</f>
        <v/>
      </c>
      <c r="AA428" s="7" t="inlineStr">
        <is>
          <t>direction x lots x lot_kg x (F(entry) - entry settle) = 0 by construction</t>
        </is>
      </c>
    </row>
    <row r="429">
      <c r="A429" s="7" t="inlineStr">
        <is>
          <t>T04</t>
        </is>
      </c>
      <c r="B429" s="7" t="inlineStr">
        <is>
          <t>MCX:T04-MCX-1</t>
        </is>
      </c>
      <c r="C429" s="7" t="inlineStr">
        <is>
          <t>T04-MCX-1</t>
        </is>
      </c>
      <c r="D429" s="7" t="inlineStr">
        <is>
          <t>MCX_INITIAL_MARGIN</t>
        </is>
      </c>
      <c r="E429" s="7" t="inlineStr">
        <is>
          <t>MCX_INITIAL_MARGIN</t>
        </is>
      </c>
      <c r="F429" s="7" t="inlineStr">
        <is>
          <t>BS</t>
        </is>
      </c>
      <c r="G429" s="7" t="inlineStr">
        <is>
          <t>INR</t>
        </is>
      </c>
      <c r="H429" s="11" t="n">
        <v>44657</v>
      </c>
      <c r="I429" s="11" t="n">
        <v>44658</v>
      </c>
      <c r="J429" s="11" t="n">
        <v>44658</v>
      </c>
      <c r="K429" s="11" t="n">
        <v>44658</v>
      </c>
      <c r="L429" s="7" t="inlineStr">
        <is>
          <t>roll following on the LME panel calendar</t>
        </is>
      </c>
      <c r="N429" s="7" t="inlineStr">
        <is>
          <t>PROXY</t>
        </is>
      </c>
      <c r="O429" s="9" t="n">
        <v>325757.06</v>
      </c>
      <c r="P429" s="9" t="n">
        <v>325757.06</v>
      </c>
      <c r="U429" s="7" t="inlineStr">
        <is>
          <t>DERIVED_IN_WORKBOOK</t>
        </is>
      </c>
      <c r="V429" s="8">
        <f>-SUMIFS(Cashflows!$W$1043:$W$1393,Cashflows!$B$1043:$B$1393,$C429,Cashflows!$C$1043:$C$1393,$K429)</f>
        <v/>
      </c>
      <c r="W429" s="8">
        <f>IF($G429="INR",1,INDEX(Market_Daily!$F$6:$F$256,MATCH($K429,Market_Daily!$A$6:$A$256,0)))</f>
        <v/>
      </c>
      <c r="X429" s="8">
        <f>$V429*$W429</f>
        <v/>
      </c>
      <c r="Y429" s="18">
        <f>$X429-$P429</f>
        <v/>
      </c>
      <c r="Z429" s="8">
        <f>IF(ABS($Y429)&lt;=tol_cashflow_inr,"PASS","FAIL")</f>
        <v/>
      </c>
      <c r="AA429" s="7" t="inlineStr">
        <is>
          <t>-d(lots x lot_kg x F(s) x mcx_al_margin_used_frac)</t>
        </is>
      </c>
    </row>
    <row r="430">
      <c r="A430" s="7" t="inlineStr">
        <is>
          <t>T04</t>
        </is>
      </c>
      <c r="B430" s="7" t="inlineStr">
        <is>
          <t>MCX:T04-MCX-1</t>
        </is>
      </c>
      <c r="C430" s="7" t="inlineStr">
        <is>
          <t>T04-MCX-1</t>
        </is>
      </c>
      <c r="D430" s="7" t="inlineStr">
        <is>
          <t>MCX_VARIATION_MARGIN</t>
        </is>
      </c>
      <c r="E430" s="7" t="inlineStr">
        <is>
          <t>MCX_VARIATION_MARGIN</t>
        </is>
      </c>
      <c r="F430" s="7" t="inlineStr">
        <is>
          <t>PNL</t>
        </is>
      </c>
      <c r="G430" s="7" t="inlineStr">
        <is>
          <t>INR</t>
        </is>
      </c>
      <c r="H430" s="11" t="n">
        <v>44657</v>
      </c>
      <c r="I430" s="11" t="n">
        <v>44658</v>
      </c>
      <c r="J430" s="11" t="n">
        <v>44658</v>
      </c>
      <c r="K430" s="11" t="n">
        <v>44658</v>
      </c>
      <c r="L430" s="7" t="inlineStr">
        <is>
          <t>roll following on the LME panel calendar</t>
        </is>
      </c>
      <c r="N430" s="7" t="inlineStr">
        <is>
          <t>PROXY</t>
        </is>
      </c>
      <c r="O430" s="9" t="n">
        <v>3257570.55</v>
      </c>
      <c r="P430" s="9" t="n">
        <v>3257570.55</v>
      </c>
      <c r="U430" s="7" t="inlineStr">
        <is>
          <t>DERIVED_IN_WORKBOOK</t>
        </is>
      </c>
      <c r="V430" s="8">
        <f>SUMIFS(Cashflows!$R$1043:$R$1393,Cashflows!$B$1043:$B$1393,$C430,Cashflows!$C$1043:$C$1393,$K430)</f>
        <v/>
      </c>
      <c r="W430" s="8">
        <f>IF($G430="INR",1,INDEX(Market_Daily!$F$6:$F$256,MATCH($K430,Market_Daily!$A$6:$A$256,0)))</f>
        <v/>
      </c>
      <c r="X430" s="8">
        <f>$V430*$W430</f>
        <v/>
      </c>
      <c r="Y430" s="18">
        <f>$X430-$P430</f>
        <v/>
      </c>
      <c r="Z430" s="8">
        <f>IF(ABS($Y430)&lt;=tol_cashflow_inr,"PASS","FAIL")</f>
        <v/>
      </c>
      <c r="AA430" s="7" t="inlineStr">
        <is>
          <t>direction x lots x lot_kg x (F(s) - F(s-1))</t>
        </is>
      </c>
    </row>
    <row r="431">
      <c r="A431" s="7" t="inlineStr">
        <is>
          <t>T04</t>
        </is>
      </c>
      <c r="B431" s="7" t="inlineStr">
        <is>
          <t>MCX:T04-MCX-1</t>
        </is>
      </c>
      <c r="C431" s="7" t="inlineStr">
        <is>
          <t>T04-MCX-1</t>
        </is>
      </c>
      <c r="D431" s="7" t="inlineStr">
        <is>
          <t>MCX_INITIAL_MARGIN</t>
        </is>
      </c>
      <c r="E431" s="7" t="inlineStr">
        <is>
          <t>MCX_INITIAL_MARGIN</t>
        </is>
      </c>
      <c r="F431" s="7" t="inlineStr">
        <is>
          <t>BS</t>
        </is>
      </c>
      <c r="G431" s="7" t="inlineStr">
        <is>
          <t>INR</t>
        </is>
      </c>
      <c r="H431" s="11" t="n">
        <v>44657</v>
      </c>
      <c r="I431" s="11" t="n">
        <v>44659</v>
      </c>
      <c r="J431" s="11" t="n">
        <v>44659</v>
      </c>
      <c r="K431" s="11" t="n">
        <v>44659</v>
      </c>
      <c r="L431" s="7" t="inlineStr">
        <is>
          <t>roll following on the LME panel calendar</t>
        </is>
      </c>
      <c r="N431" s="7" t="inlineStr">
        <is>
          <t>PROXY</t>
        </is>
      </c>
      <c r="O431" s="9" t="n">
        <v>-153198.31</v>
      </c>
      <c r="P431" s="9" t="n">
        <v>-153198.31</v>
      </c>
      <c r="U431" s="7" t="inlineStr">
        <is>
          <t>DERIVED_IN_WORKBOOK</t>
        </is>
      </c>
      <c r="V431" s="8">
        <f>-SUMIFS(Cashflows!$W$1043:$W$1393,Cashflows!$B$1043:$B$1393,$C431,Cashflows!$C$1043:$C$1393,$K431)</f>
        <v/>
      </c>
      <c r="W431" s="8">
        <f>IF($G431="INR",1,INDEX(Market_Daily!$F$6:$F$256,MATCH($K431,Market_Daily!$A$6:$A$256,0)))</f>
        <v/>
      </c>
      <c r="X431" s="8">
        <f>$V431*$W431</f>
        <v/>
      </c>
      <c r="Y431" s="18">
        <f>$X431-$P431</f>
        <v/>
      </c>
      <c r="Z431" s="8">
        <f>IF(ABS($Y431)&lt;=tol_cashflow_inr,"PASS","FAIL")</f>
        <v/>
      </c>
      <c r="AA431" s="7" t="inlineStr">
        <is>
          <t>-d(lots x lot_kg x F(s) x mcx_al_margin_used_frac)</t>
        </is>
      </c>
    </row>
    <row r="432">
      <c r="A432" s="7" t="inlineStr">
        <is>
          <t>T04</t>
        </is>
      </c>
      <c r="B432" s="7" t="inlineStr">
        <is>
          <t>MCX:T04-MCX-1</t>
        </is>
      </c>
      <c r="C432" s="7" t="inlineStr">
        <is>
          <t>T04-MCX-1</t>
        </is>
      </c>
      <c r="D432" s="7" t="inlineStr">
        <is>
          <t>MCX_VARIATION_MARGIN</t>
        </is>
      </c>
      <c r="E432" s="7" t="inlineStr">
        <is>
          <t>MCX_VARIATION_MARGIN</t>
        </is>
      </c>
      <c r="F432" s="7" t="inlineStr">
        <is>
          <t>PNL</t>
        </is>
      </c>
      <c r="G432" s="7" t="inlineStr">
        <is>
          <t>INR</t>
        </is>
      </c>
      <c r="H432" s="11" t="n">
        <v>44657</v>
      </c>
      <c r="I432" s="11" t="n">
        <v>44659</v>
      </c>
      <c r="J432" s="11" t="n">
        <v>44659</v>
      </c>
      <c r="K432" s="11" t="n">
        <v>44659</v>
      </c>
      <c r="L432" s="7" t="inlineStr">
        <is>
          <t>roll following on the LME panel calendar</t>
        </is>
      </c>
      <c r="N432" s="7" t="inlineStr">
        <is>
          <t>PROXY</t>
        </is>
      </c>
      <c r="O432" s="9" t="n">
        <v>-1531983.06</v>
      </c>
      <c r="P432" s="9" t="n">
        <v>-1531983.06</v>
      </c>
      <c r="U432" s="7" t="inlineStr">
        <is>
          <t>DERIVED_IN_WORKBOOK</t>
        </is>
      </c>
      <c r="V432" s="8">
        <f>SUMIFS(Cashflows!$R$1043:$R$1393,Cashflows!$B$1043:$B$1393,$C432,Cashflows!$C$1043:$C$1393,$K432)</f>
        <v/>
      </c>
      <c r="W432" s="8">
        <f>IF($G432="INR",1,INDEX(Market_Daily!$F$6:$F$256,MATCH($K432,Market_Daily!$A$6:$A$256,0)))</f>
        <v/>
      </c>
      <c r="X432" s="8">
        <f>$V432*$W432</f>
        <v/>
      </c>
      <c r="Y432" s="18">
        <f>$X432-$P432</f>
        <v/>
      </c>
      <c r="Z432" s="8">
        <f>IF(ABS($Y432)&lt;=tol_cashflow_inr,"PASS","FAIL")</f>
        <v/>
      </c>
      <c r="AA432" s="7" t="inlineStr">
        <is>
          <t>direction x lots x lot_kg x (F(s) - F(s-1))</t>
        </is>
      </c>
    </row>
    <row r="433">
      <c r="A433" s="7" t="inlineStr">
        <is>
          <t>T04</t>
        </is>
      </c>
      <c r="B433" s="7" t="inlineStr">
        <is>
          <t>MCX:T04-MCX-1</t>
        </is>
      </c>
      <c r="C433" s="7" t="inlineStr">
        <is>
          <t>T04-MCX-1</t>
        </is>
      </c>
      <c r="D433" s="7" t="inlineStr">
        <is>
          <t>MCX_INITIAL_MARGIN</t>
        </is>
      </c>
      <c r="E433" s="7" t="inlineStr">
        <is>
          <t>MCX_INITIAL_MARGIN</t>
        </is>
      </c>
      <c r="F433" s="7" t="inlineStr">
        <is>
          <t>BS</t>
        </is>
      </c>
      <c r="G433" s="7" t="inlineStr">
        <is>
          <t>INR</t>
        </is>
      </c>
      <c r="H433" s="11" t="n">
        <v>44657</v>
      </c>
      <c r="I433" s="11" t="n">
        <v>44662</v>
      </c>
      <c r="J433" s="11" t="n">
        <v>44662</v>
      </c>
      <c r="K433" s="11" t="n">
        <v>44662</v>
      </c>
      <c r="L433" s="7" t="inlineStr">
        <is>
          <t>roll following on the LME panel calendar</t>
        </is>
      </c>
      <c r="N433" s="7" t="inlineStr">
        <is>
          <t>PROXY</t>
        </is>
      </c>
      <c r="O433" s="9" t="n">
        <v>575024.2</v>
      </c>
      <c r="P433" s="9" t="n">
        <v>575024.2</v>
      </c>
      <c r="U433" s="7" t="inlineStr">
        <is>
          <t>DERIVED_IN_WORKBOOK</t>
        </is>
      </c>
      <c r="V433" s="8">
        <f>-SUMIFS(Cashflows!$W$1043:$W$1393,Cashflows!$B$1043:$B$1393,$C433,Cashflows!$C$1043:$C$1393,$K433)</f>
        <v/>
      </c>
      <c r="W433" s="8">
        <f>IF($G433="INR",1,INDEX(Market_Daily!$F$6:$F$256,MATCH($K433,Market_Daily!$A$6:$A$256,0)))</f>
        <v/>
      </c>
      <c r="X433" s="8">
        <f>$V433*$W433</f>
        <v/>
      </c>
      <c r="Y433" s="18">
        <f>$X433-$P433</f>
        <v/>
      </c>
      <c r="Z433" s="8">
        <f>IF(ABS($Y433)&lt;=tol_cashflow_inr,"PASS","FAIL")</f>
        <v/>
      </c>
      <c r="AA433" s="7" t="inlineStr">
        <is>
          <t>-d(lots x lot_kg x F(s) x mcx_al_margin_used_frac)</t>
        </is>
      </c>
    </row>
    <row r="434">
      <c r="A434" s="7" t="inlineStr">
        <is>
          <t>T04</t>
        </is>
      </c>
      <c r="B434" s="7" t="inlineStr">
        <is>
          <t>MCX:T04-MCX-1</t>
        </is>
      </c>
      <c r="C434" s="7" t="inlineStr">
        <is>
          <t>T04-MCX-1</t>
        </is>
      </c>
      <c r="D434" s="7" t="inlineStr">
        <is>
          <t>MCX_VARIATION_MARGIN</t>
        </is>
      </c>
      <c r="E434" s="7" t="inlineStr">
        <is>
          <t>MCX_VARIATION_MARGIN</t>
        </is>
      </c>
      <c r="F434" s="7" t="inlineStr">
        <is>
          <t>PNL</t>
        </is>
      </c>
      <c r="G434" s="7" t="inlineStr">
        <is>
          <t>INR</t>
        </is>
      </c>
      <c r="H434" s="11" t="n">
        <v>44657</v>
      </c>
      <c r="I434" s="11" t="n">
        <v>44662</v>
      </c>
      <c r="J434" s="11" t="n">
        <v>44662</v>
      </c>
      <c r="K434" s="11" t="n">
        <v>44662</v>
      </c>
      <c r="L434" s="7" t="inlineStr">
        <is>
          <t>roll following on the LME panel calendar</t>
        </is>
      </c>
      <c r="N434" s="7" t="inlineStr">
        <is>
          <t>PROXY</t>
        </is>
      </c>
      <c r="O434" s="9" t="n">
        <v>5750241.98</v>
      </c>
      <c r="P434" s="9" t="n">
        <v>5750241.98</v>
      </c>
      <c r="U434" s="7" t="inlineStr">
        <is>
          <t>DERIVED_IN_WORKBOOK</t>
        </is>
      </c>
      <c r="V434" s="8">
        <f>SUMIFS(Cashflows!$R$1043:$R$1393,Cashflows!$B$1043:$B$1393,$C434,Cashflows!$C$1043:$C$1393,$K434)</f>
        <v/>
      </c>
      <c r="W434" s="8">
        <f>IF($G434="INR",1,INDEX(Market_Daily!$F$6:$F$256,MATCH($K434,Market_Daily!$A$6:$A$256,0)))</f>
        <v/>
      </c>
      <c r="X434" s="8">
        <f>$V434*$W434</f>
        <v/>
      </c>
      <c r="Y434" s="18">
        <f>$X434-$P434</f>
        <v/>
      </c>
      <c r="Z434" s="8">
        <f>IF(ABS($Y434)&lt;=tol_cashflow_inr,"PASS","FAIL")</f>
        <v/>
      </c>
      <c r="AA434" s="7" t="inlineStr">
        <is>
          <t>direction x lots x lot_kg x (F(s) - F(s-1))</t>
        </is>
      </c>
    </row>
    <row r="435">
      <c r="A435" s="7" t="inlineStr">
        <is>
          <t>T04</t>
        </is>
      </c>
      <c r="B435" s="7" t="inlineStr">
        <is>
          <t>LC_FEES</t>
        </is>
      </c>
      <c r="D435" s="7" t="inlineStr">
        <is>
          <t>LC_OPENING_FEE</t>
        </is>
      </c>
      <c r="E435" s="7" t="inlineStr">
        <is>
          <t>LC_OPENING_FEE</t>
        </is>
      </c>
      <c r="F435" s="7" t="inlineStr">
        <is>
          <t>PNL</t>
        </is>
      </c>
      <c r="G435" s="7" t="inlineStr">
        <is>
          <t>USD</t>
        </is>
      </c>
      <c r="H435" s="11" t="n">
        <v>44657</v>
      </c>
      <c r="I435" s="11" t="n">
        <v>44663</v>
      </c>
      <c r="J435" s="11" t="n">
        <v>44663</v>
      </c>
      <c r="K435" s="11" t="n">
        <v>44663</v>
      </c>
      <c r="L435" s="7" t="inlineStr">
        <is>
          <t>roll following on the LME panel calendar</t>
        </is>
      </c>
      <c r="N435" s="7" t="inlineStr">
        <is>
          <t>DIRECT</t>
        </is>
      </c>
      <c r="O435" s="9" t="n">
        <v>-5344.42</v>
      </c>
      <c r="P435" s="9" t="n">
        <v>-407085.24</v>
      </c>
      <c r="U435" s="7" t="inlineStr">
        <is>
          <t>PYTHON_LIFECYCLE</t>
        </is>
      </c>
      <c r="V435" s="8">
        <f>$O435</f>
        <v/>
      </c>
      <c r="W435" s="8">
        <f>IF($G435="INR",1,INDEX(Market_Daily!$F$6:$F$256,MATCH($K435,Market_Daily!$A$6:$A$256,0)))</f>
        <v/>
      </c>
      <c r="X435" s="8">
        <f>$V435*$W435</f>
        <v/>
      </c>
      <c r="Y435" s="18">
        <f>$X435-$P435</f>
        <v/>
      </c>
      <c r="Z435" s="8">
        <f>IF(ABS($Y435)&lt;=tol_cashflow_inr,"PASS","FAIL")</f>
        <v/>
      </c>
      <c r="AA435" s="7" t="inlineStr">
        <is>
          <t>-lc_opening_fee_frac_per_month x ceil(validity/30) x lc_value_usd</t>
        </is>
      </c>
    </row>
    <row r="436">
      <c r="A436" s="7" t="inlineStr">
        <is>
          <t>T04</t>
        </is>
      </c>
      <c r="B436" s="7" t="inlineStr">
        <is>
          <t>MCX:T04-MCX-1</t>
        </is>
      </c>
      <c r="C436" s="7" t="inlineStr">
        <is>
          <t>T04-MCX-1</t>
        </is>
      </c>
      <c r="D436" s="7" t="inlineStr">
        <is>
          <t>MCX_INITIAL_MARGIN</t>
        </is>
      </c>
      <c r="E436" s="7" t="inlineStr">
        <is>
          <t>MCX_INITIAL_MARGIN</t>
        </is>
      </c>
      <c r="F436" s="7" t="inlineStr">
        <is>
          <t>BS</t>
        </is>
      </c>
      <c r="G436" s="7" t="inlineStr">
        <is>
          <t>INR</t>
        </is>
      </c>
      <c r="H436" s="11" t="n">
        <v>44657</v>
      </c>
      <c r="I436" s="11" t="n">
        <v>44663</v>
      </c>
      <c r="J436" s="11" t="n">
        <v>44663</v>
      </c>
      <c r="K436" s="11" t="n">
        <v>44663</v>
      </c>
      <c r="L436" s="7" t="inlineStr">
        <is>
          <t>roll following on the LME panel calendar</t>
        </is>
      </c>
      <c r="N436" s="7" t="inlineStr">
        <is>
          <t>PROXY</t>
        </is>
      </c>
      <c r="O436" s="9" t="n">
        <v>28736.98</v>
      </c>
      <c r="P436" s="9" t="n">
        <v>28736.98</v>
      </c>
      <c r="U436" s="7" t="inlineStr">
        <is>
          <t>DERIVED_IN_WORKBOOK</t>
        </is>
      </c>
      <c r="V436" s="8">
        <f>-SUMIFS(Cashflows!$W$1043:$W$1393,Cashflows!$B$1043:$B$1393,$C436,Cashflows!$C$1043:$C$1393,$K436)</f>
        <v/>
      </c>
      <c r="W436" s="8">
        <f>IF($G436="INR",1,INDEX(Market_Daily!$F$6:$F$256,MATCH($K436,Market_Daily!$A$6:$A$256,0)))</f>
        <v/>
      </c>
      <c r="X436" s="8">
        <f>$V436*$W436</f>
        <v/>
      </c>
      <c r="Y436" s="18">
        <f>$X436-$P436</f>
        <v/>
      </c>
      <c r="Z436" s="8">
        <f>IF(ABS($Y436)&lt;=tol_cashflow_inr,"PASS","FAIL")</f>
        <v/>
      </c>
      <c r="AA436" s="7" t="inlineStr">
        <is>
          <t>-d(lots x lot_kg x F(s) x mcx_al_margin_used_frac)</t>
        </is>
      </c>
    </row>
    <row r="437">
      <c r="A437" s="7" t="inlineStr">
        <is>
          <t>T04</t>
        </is>
      </c>
      <c r="B437" s="7" t="inlineStr">
        <is>
          <t>MCX:T04-MCX-1</t>
        </is>
      </c>
      <c r="C437" s="7" t="inlineStr">
        <is>
          <t>T04-MCX-1</t>
        </is>
      </c>
      <c r="D437" s="7" t="inlineStr">
        <is>
          <t>MCX_VARIATION_MARGIN</t>
        </is>
      </c>
      <c r="E437" s="7" t="inlineStr">
        <is>
          <t>MCX_VARIATION_MARGIN</t>
        </is>
      </c>
      <c r="F437" s="7" t="inlineStr">
        <is>
          <t>PNL</t>
        </is>
      </c>
      <c r="G437" s="7" t="inlineStr">
        <is>
          <t>INR</t>
        </is>
      </c>
      <c r="H437" s="11" t="n">
        <v>44657</v>
      </c>
      <c r="I437" s="11" t="n">
        <v>44663</v>
      </c>
      <c r="J437" s="11" t="n">
        <v>44663</v>
      </c>
      <c r="K437" s="11" t="n">
        <v>44663</v>
      </c>
      <c r="L437" s="7" t="inlineStr">
        <is>
          <t>roll following on the LME panel calendar</t>
        </is>
      </c>
      <c r="N437" s="7" t="inlineStr">
        <is>
          <t>PROXY</t>
        </is>
      </c>
      <c r="O437" s="9" t="n">
        <v>287369.77</v>
      </c>
      <c r="P437" s="9" t="n">
        <v>287369.77</v>
      </c>
      <c r="U437" s="7" t="inlineStr">
        <is>
          <t>DERIVED_IN_WORKBOOK</t>
        </is>
      </c>
      <c r="V437" s="8">
        <f>SUMIFS(Cashflows!$R$1043:$R$1393,Cashflows!$B$1043:$B$1393,$C437,Cashflows!$C$1043:$C$1393,$K437)</f>
        <v/>
      </c>
      <c r="W437" s="8">
        <f>IF($G437="INR",1,INDEX(Market_Daily!$F$6:$F$256,MATCH($K437,Market_Daily!$A$6:$A$256,0)))</f>
        <v/>
      </c>
      <c r="X437" s="8">
        <f>$V437*$W437</f>
        <v/>
      </c>
      <c r="Y437" s="18">
        <f>$X437-$P437</f>
        <v/>
      </c>
      <c r="Z437" s="8">
        <f>IF(ABS($Y437)&lt;=tol_cashflow_inr,"PASS","FAIL")</f>
        <v/>
      </c>
      <c r="AA437" s="7" t="inlineStr">
        <is>
          <t>direction x lots x lot_kg x (F(s) - F(s-1))</t>
        </is>
      </c>
    </row>
    <row r="438">
      <c r="A438" s="7" t="inlineStr">
        <is>
          <t>T04</t>
        </is>
      </c>
      <c r="B438" s="7" t="inlineStr">
        <is>
          <t>MCX:T04-MCX-1</t>
        </is>
      </c>
      <c r="C438" s="7" t="inlineStr">
        <is>
          <t>T04-MCX-1</t>
        </is>
      </c>
      <c r="D438" s="7" t="inlineStr">
        <is>
          <t>MCX_INITIAL_MARGIN</t>
        </is>
      </c>
      <c r="E438" s="7" t="inlineStr">
        <is>
          <t>MCX_INITIAL_MARGIN</t>
        </is>
      </c>
      <c r="F438" s="7" t="inlineStr">
        <is>
          <t>BS</t>
        </is>
      </c>
      <c r="G438" s="7" t="inlineStr">
        <is>
          <t>INR</t>
        </is>
      </c>
      <c r="H438" s="11" t="n">
        <v>44657</v>
      </c>
      <c r="I438" s="11" t="n">
        <v>44664</v>
      </c>
      <c r="J438" s="11" t="n">
        <v>44664</v>
      </c>
      <c r="K438" s="11" t="n">
        <v>44664</v>
      </c>
      <c r="L438" s="7" t="inlineStr">
        <is>
          <t>roll following on the LME panel calendar</t>
        </is>
      </c>
      <c r="N438" s="7" t="inlineStr">
        <is>
          <t>PROXY</t>
        </is>
      </c>
      <c r="O438" s="9" t="n">
        <v>25933</v>
      </c>
      <c r="P438" s="9" t="n">
        <v>25933</v>
      </c>
      <c r="U438" s="7" t="inlineStr">
        <is>
          <t>DERIVED_IN_WORKBOOK</t>
        </is>
      </c>
      <c r="V438" s="8">
        <f>-SUMIFS(Cashflows!$W$1043:$W$1393,Cashflows!$B$1043:$B$1393,$C438,Cashflows!$C$1043:$C$1393,$K438)</f>
        <v/>
      </c>
      <c r="W438" s="8">
        <f>IF($G438="INR",1,INDEX(Market_Daily!$F$6:$F$256,MATCH($K438,Market_Daily!$A$6:$A$256,0)))</f>
        <v/>
      </c>
      <c r="X438" s="8">
        <f>$V438*$W438</f>
        <v/>
      </c>
      <c r="Y438" s="18">
        <f>$X438-$P438</f>
        <v/>
      </c>
      <c r="Z438" s="8">
        <f>IF(ABS($Y438)&lt;=tol_cashflow_inr,"PASS","FAIL")</f>
        <v/>
      </c>
      <c r="AA438" s="7" t="inlineStr">
        <is>
          <t>-d(lots x lot_kg x F(s) x mcx_al_margin_used_frac)</t>
        </is>
      </c>
    </row>
    <row r="439">
      <c r="A439" s="7" t="inlineStr">
        <is>
          <t>T04</t>
        </is>
      </c>
      <c r="B439" s="7" t="inlineStr">
        <is>
          <t>MCX:T04-MCX-1</t>
        </is>
      </c>
      <c r="C439" s="7" t="inlineStr">
        <is>
          <t>T04-MCX-1</t>
        </is>
      </c>
      <c r="D439" s="7" t="inlineStr">
        <is>
          <t>MCX_VARIATION_MARGIN</t>
        </is>
      </c>
      <c r="E439" s="7" t="inlineStr">
        <is>
          <t>MCX_VARIATION_MARGIN</t>
        </is>
      </c>
      <c r="F439" s="7" t="inlineStr">
        <is>
          <t>PNL</t>
        </is>
      </c>
      <c r="G439" s="7" t="inlineStr">
        <is>
          <t>INR</t>
        </is>
      </c>
      <c r="H439" s="11" t="n">
        <v>44657</v>
      </c>
      <c r="I439" s="11" t="n">
        <v>44664</v>
      </c>
      <c r="J439" s="11" t="n">
        <v>44664</v>
      </c>
      <c r="K439" s="11" t="n">
        <v>44664</v>
      </c>
      <c r="L439" s="7" t="inlineStr">
        <is>
          <t>roll following on the LME panel calendar</t>
        </is>
      </c>
      <c r="N439" s="7" t="inlineStr">
        <is>
          <t>PROXY</t>
        </is>
      </c>
      <c r="O439" s="9" t="n">
        <v>259330</v>
      </c>
      <c r="P439" s="9" t="n">
        <v>259330</v>
      </c>
      <c r="U439" s="7" t="inlineStr">
        <is>
          <t>DERIVED_IN_WORKBOOK</t>
        </is>
      </c>
      <c r="V439" s="8">
        <f>SUMIFS(Cashflows!$R$1043:$R$1393,Cashflows!$B$1043:$B$1393,$C439,Cashflows!$C$1043:$C$1393,$K439)</f>
        <v/>
      </c>
      <c r="W439" s="8">
        <f>IF($G439="INR",1,INDEX(Market_Daily!$F$6:$F$256,MATCH($K439,Market_Daily!$A$6:$A$256,0)))</f>
        <v/>
      </c>
      <c r="X439" s="8">
        <f>$V439*$W439</f>
        <v/>
      </c>
      <c r="Y439" s="18">
        <f>$X439-$P439</f>
        <v/>
      </c>
      <c r="Z439" s="8">
        <f>IF(ABS($Y439)&lt;=tol_cashflow_inr,"PASS","FAIL")</f>
        <v/>
      </c>
      <c r="AA439" s="7" t="inlineStr">
        <is>
          <t>direction x lots x lot_kg x (F(s) - F(s-1))</t>
        </is>
      </c>
    </row>
    <row r="440">
      <c r="A440" s="7" t="inlineStr">
        <is>
          <t>T04</t>
        </is>
      </c>
      <c r="B440" s="7" t="inlineStr">
        <is>
          <t>MCX:T04-MCX-1</t>
        </is>
      </c>
      <c r="C440" s="7" t="inlineStr">
        <is>
          <t>T04-MCX-1</t>
        </is>
      </c>
      <c r="D440" s="7" t="inlineStr">
        <is>
          <t>MCX_INITIAL_MARGIN</t>
        </is>
      </c>
      <c r="E440" s="7" t="inlineStr">
        <is>
          <t>MCX_INITIAL_MARGIN</t>
        </is>
      </c>
      <c r="F440" s="7" t="inlineStr">
        <is>
          <t>BS</t>
        </is>
      </c>
      <c r="G440" s="7" t="inlineStr">
        <is>
          <t>INR</t>
        </is>
      </c>
      <c r="H440" s="11" t="n">
        <v>44657</v>
      </c>
      <c r="I440" s="11" t="n">
        <v>44665</v>
      </c>
      <c r="J440" s="11" t="n">
        <v>44665</v>
      </c>
      <c r="K440" s="11" t="n">
        <v>44665</v>
      </c>
      <c r="L440" s="7" t="inlineStr">
        <is>
          <t>roll following on the LME panel calendar</t>
        </is>
      </c>
      <c r="N440" s="7" t="inlineStr">
        <is>
          <t>PROXY</t>
        </is>
      </c>
      <c r="O440" s="9" t="n">
        <v>-99912.67</v>
      </c>
      <c r="P440" s="9" t="n">
        <v>-99912.67</v>
      </c>
      <c r="U440" s="7" t="inlineStr">
        <is>
          <t>DERIVED_IN_WORKBOOK</t>
        </is>
      </c>
      <c r="V440" s="8">
        <f>-SUMIFS(Cashflows!$W$1043:$W$1393,Cashflows!$B$1043:$B$1393,$C440,Cashflows!$C$1043:$C$1393,$K440)</f>
        <v/>
      </c>
      <c r="W440" s="8">
        <f>IF($G440="INR",1,INDEX(Market_Daily!$F$6:$F$256,MATCH($K440,Market_Daily!$A$6:$A$256,0)))</f>
        <v/>
      </c>
      <c r="X440" s="8">
        <f>$V440*$W440</f>
        <v/>
      </c>
      <c r="Y440" s="18">
        <f>$X440-$P440</f>
        <v/>
      </c>
      <c r="Z440" s="8">
        <f>IF(ABS($Y440)&lt;=tol_cashflow_inr,"PASS","FAIL")</f>
        <v/>
      </c>
      <c r="AA440" s="7" t="inlineStr">
        <is>
          <t>-d(lots x lot_kg x F(s) x mcx_al_margin_used_frac)</t>
        </is>
      </c>
    </row>
    <row r="441">
      <c r="A441" s="7" t="inlineStr">
        <is>
          <t>T04</t>
        </is>
      </c>
      <c r="B441" s="7" t="inlineStr">
        <is>
          <t>MCX:T04-MCX-1</t>
        </is>
      </c>
      <c r="C441" s="7" t="inlineStr">
        <is>
          <t>T04-MCX-1</t>
        </is>
      </c>
      <c r="D441" s="7" t="inlineStr">
        <is>
          <t>MCX_VARIATION_MARGIN</t>
        </is>
      </c>
      <c r="E441" s="7" t="inlineStr">
        <is>
          <t>MCX_VARIATION_MARGIN</t>
        </is>
      </c>
      <c r="F441" s="7" t="inlineStr">
        <is>
          <t>PNL</t>
        </is>
      </c>
      <c r="G441" s="7" t="inlineStr">
        <is>
          <t>INR</t>
        </is>
      </c>
      <c r="H441" s="11" t="n">
        <v>44657</v>
      </c>
      <c r="I441" s="11" t="n">
        <v>44665</v>
      </c>
      <c r="J441" s="11" t="n">
        <v>44665</v>
      </c>
      <c r="K441" s="11" t="n">
        <v>44665</v>
      </c>
      <c r="L441" s="7" t="inlineStr">
        <is>
          <t>roll following on the LME panel calendar</t>
        </is>
      </c>
      <c r="N441" s="7" t="inlineStr">
        <is>
          <t>PROXY</t>
        </is>
      </c>
      <c r="O441" s="9" t="n">
        <v>-999126.65</v>
      </c>
      <c r="P441" s="9" t="n">
        <v>-999126.65</v>
      </c>
      <c r="U441" s="7" t="inlineStr">
        <is>
          <t>DERIVED_IN_WORKBOOK</t>
        </is>
      </c>
      <c r="V441" s="8">
        <f>SUMIFS(Cashflows!$R$1043:$R$1393,Cashflows!$B$1043:$B$1393,$C441,Cashflows!$C$1043:$C$1393,$K441)</f>
        <v/>
      </c>
      <c r="W441" s="8">
        <f>IF($G441="INR",1,INDEX(Market_Daily!$F$6:$F$256,MATCH($K441,Market_Daily!$A$6:$A$256,0)))</f>
        <v/>
      </c>
      <c r="X441" s="8">
        <f>$V441*$W441</f>
        <v/>
      </c>
      <c r="Y441" s="18">
        <f>$X441-$P441</f>
        <v/>
      </c>
      <c r="Z441" s="8">
        <f>IF(ABS($Y441)&lt;=tol_cashflow_inr,"PASS","FAIL")</f>
        <v/>
      </c>
      <c r="AA441" s="7" t="inlineStr">
        <is>
          <t>direction x lots x lot_kg x (F(s) - F(s-1))</t>
        </is>
      </c>
    </row>
    <row r="442">
      <c r="A442" s="7" t="inlineStr">
        <is>
          <t>T04</t>
        </is>
      </c>
      <c r="B442" s="7" t="inlineStr">
        <is>
          <t>MCX:T04-MCX-1</t>
        </is>
      </c>
      <c r="C442" s="7" t="inlineStr">
        <is>
          <t>T04-MCX-1</t>
        </is>
      </c>
      <c r="D442" s="7" t="inlineStr">
        <is>
          <t>MCX_INITIAL_MARGIN</t>
        </is>
      </c>
      <c r="E442" s="7" t="inlineStr">
        <is>
          <t>MCX_INITIAL_MARGIN</t>
        </is>
      </c>
      <c r="F442" s="7" t="inlineStr">
        <is>
          <t>BS</t>
        </is>
      </c>
      <c r="G442" s="7" t="inlineStr">
        <is>
          <t>INR</t>
        </is>
      </c>
      <c r="H442" s="11" t="n">
        <v>44657</v>
      </c>
      <c r="I442" s="11" t="n">
        <v>44670</v>
      </c>
      <c r="J442" s="11" t="n">
        <v>44670</v>
      </c>
      <c r="K442" s="11" t="n">
        <v>44670</v>
      </c>
      <c r="L442" s="7" t="inlineStr">
        <is>
          <t>roll following on the LME panel calendar</t>
        </is>
      </c>
      <c r="N442" s="7" t="inlineStr">
        <is>
          <t>PROXY</t>
        </is>
      </c>
      <c r="O442" s="9" t="n">
        <v>-313264.07</v>
      </c>
      <c r="P442" s="9" t="n">
        <v>-313264.07</v>
      </c>
      <c r="U442" s="7" t="inlineStr">
        <is>
          <t>DERIVED_IN_WORKBOOK</t>
        </is>
      </c>
      <c r="V442" s="8">
        <f>-SUMIFS(Cashflows!$W$1043:$W$1393,Cashflows!$B$1043:$B$1393,$C442,Cashflows!$C$1043:$C$1393,$K442)</f>
        <v/>
      </c>
      <c r="W442" s="8">
        <f>IF($G442="INR",1,INDEX(Market_Daily!$F$6:$F$256,MATCH($K442,Market_Daily!$A$6:$A$256,0)))</f>
        <v/>
      </c>
      <c r="X442" s="8">
        <f>$V442*$W442</f>
        <v/>
      </c>
      <c r="Y442" s="18">
        <f>$X442-$P442</f>
        <v/>
      </c>
      <c r="Z442" s="8">
        <f>IF(ABS($Y442)&lt;=tol_cashflow_inr,"PASS","FAIL")</f>
        <v/>
      </c>
      <c r="AA442" s="7" t="inlineStr">
        <is>
          <t>-d(lots x lot_kg x F(s) x mcx_al_margin_used_frac)</t>
        </is>
      </c>
    </row>
    <row r="443">
      <c r="A443" s="7" t="inlineStr">
        <is>
          <t>T04</t>
        </is>
      </c>
      <c r="B443" s="7" t="inlineStr">
        <is>
          <t>MCX:T04-MCX-1</t>
        </is>
      </c>
      <c r="C443" s="7" t="inlineStr">
        <is>
          <t>T04-MCX-1</t>
        </is>
      </c>
      <c r="D443" s="7" t="inlineStr">
        <is>
          <t>MCX_VARIATION_MARGIN</t>
        </is>
      </c>
      <c r="E443" s="7" t="inlineStr">
        <is>
          <t>MCX_VARIATION_MARGIN</t>
        </is>
      </c>
      <c r="F443" s="7" t="inlineStr">
        <is>
          <t>PNL</t>
        </is>
      </c>
      <c r="G443" s="7" t="inlineStr">
        <is>
          <t>INR</t>
        </is>
      </c>
      <c r="H443" s="11" t="n">
        <v>44657</v>
      </c>
      <c r="I443" s="11" t="n">
        <v>44670</v>
      </c>
      <c r="J443" s="11" t="n">
        <v>44670</v>
      </c>
      <c r="K443" s="11" t="n">
        <v>44670</v>
      </c>
      <c r="L443" s="7" t="inlineStr">
        <is>
          <t>roll following on the LME panel calendar</t>
        </is>
      </c>
      <c r="N443" s="7" t="inlineStr">
        <is>
          <t>PROXY</t>
        </is>
      </c>
      <c r="O443" s="9" t="n">
        <v>-3132640.66</v>
      </c>
      <c r="P443" s="9" t="n">
        <v>-3132640.66</v>
      </c>
      <c r="U443" s="7" t="inlineStr">
        <is>
          <t>DERIVED_IN_WORKBOOK</t>
        </is>
      </c>
      <c r="V443" s="8">
        <f>SUMIFS(Cashflows!$R$1043:$R$1393,Cashflows!$B$1043:$B$1393,$C443,Cashflows!$C$1043:$C$1393,$K443)</f>
        <v/>
      </c>
      <c r="W443" s="8">
        <f>IF($G443="INR",1,INDEX(Market_Daily!$F$6:$F$256,MATCH($K443,Market_Daily!$A$6:$A$256,0)))</f>
        <v/>
      </c>
      <c r="X443" s="8">
        <f>$V443*$W443</f>
        <v/>
      </c>
      <c r="Y443" s="18">
        <f>$X443-$P443</f>
        <v/>
      </c>
      <c r="Z443" s="8">
        <f>IF(ABS($Y443)&lt;=tol_cashflow_inr,"PASS","FAIL")</f>
        <v/>
      </c>
      <c r="AA443" s="7" t="inlineStr">
        <is>
          <t>direction x lots x lot_kg x (F(s) - F(s-1))</t>
        </is>
      </c>
    </row>
    <row r="444">
      <c r="A444" s="7" t="inlineStr">
        <is>
          <t>T04</t>
        </is>
      </c>
      <c r="B444" s="7" t="inlineStr">
        <is>
          <t>MCX:T04-MCX-1</t>
        </is>
      </c>
      <c r="C444" s="7" t="inlineStr">
        <is>
          <t>T04-MCX-1</t>
        </is>
      </c>
      <c r="D444" s="7" t="inlineStr">
        <is>
          <t>MCX_INITIAL_MARGIN</t>
        </is>
      </c>
      <c r="E444" s="7" t="inlineStr">
        <is>
          <t>MCX_INITIAL_MARGIN</t>
        </is>
      </c>
      <c r="F444" s="7" t="inlineStr">
        <is>
          <t>BS</t>
        </is>
      </c>
      <c r="G444" s="7" t="inlineStr">
        <is>
          <t>INR</t>
        </is>
      </c>
      <c r="H444" s="11" t="n">
        <v>44657</v>
      </c>
      <c r="I444" s="11" t="n">
        <v>44671</v>
      </c>
      <c r="J444" s="11" t="n">
        <v>44671</v>
      </c>
      <c r="K444" s="11" t="n">
        <v>44671</v>
      </c>
      <c r="L444" s="7" t="inlineStr">
        <is>
          <t>roll following on the LME panel calendar</t>
        </is>
      </c>
      <c r="N444" s="7" t="inlineStr">
        <is>
          <t>PROXY</t>
        </is>
      </c>
      <c r="O444" s="9" t="n">
        <v>11937961.97</v>
      </c>
      <c r="P444" s="9" t="n">
        <v>11937961.97</v>
      </c>
      <c r="U444" s="7" t="inlineStr">
        <is>
          <t>DERIVED_IN_WORKBOOK</t>
        </is>
      </c>
      <c r="V444" s="8">
        <f>-SUMIFS(Cashflows!$W$1043:$W$1393,Cashflows!$B$1043:$B$1393,$C444,Cashflows!$C$1043:$C$1393,$K444)</f>
        <v/>
      </c>
      <c r="W444" s="8">
        <f>IF($G444="INR",1,INDEX(Market_Daily!$F$6:$F$256,MATCH($K444,Market_Daily!$A$6:$A$256,0)))</f>
        <v/>
      </c>
      <c r="X444" s="8">
        <f>$V444*$W444</f>
        <v/>
      </c>
      <c r="Y444" s="18">
        <f>$X444-$P444</f>
        <v/>
      </c>
      <c r="Z444" s="8">
        <f>IF(ABS($Y444)&lt;=tol_cashflow_inr,"PASS","FAIL")</f>
        <v/>
      </c>
      <c r="AA444" s="7" t="inlineStr">
        <is>
          <t>-d(lots x lot_kg x F(s) x mcx_al_margin_used_frac)</t>
        </is>
      </c>
    </row>
    <row r="445">
      <c r="A445" s="7" t="inlineStr">
        <is>
          <t>T04</t>
        </is>
      </c>
      <c r="B445" s="7" t="inlineStr">
        <is>
          <t>MCX:T04-MCX-1</t>
        </is>
      </c>
      <c r="C445" s="7" t="inlineStr">
        <is>
          <t>T04-MCX-1</t>
        </is>
      </c>
      <c r="D445" s="7" t="inlineStr">
        <is>
          <t>MCX_SLIPPAGE</t>
        </is>
      </c>
      <c r="E445" s="7" t="inlineStr">
        <is>
          <t>MCX_SLIPPAGE</t>
        </is>
      </c>
      <c r="F445" s="7" t="inlineStr">
        <is>
          <t>PNL</t>
        </is>
      </c>
      <c r="G445" s="7" t="inlineStr">
        <is>
          <t>INR</t>
        </is>
      </c>
      <c r="H445" s="11" t="n">
        <v>44671</v>
      </c>
      <c r="J445" s="11" t="n">
        <v>44671</v>
      </c>
      <c r="K445" s="11" t="n">
        <v>44671</v>
      </c>
      <c r="L445" s="7" t="inlineStr">
        <is>
          <t>roll following on the LME panel calendar</t>
        </is>
      </c>
      <c r="N445" s="7" t="inlineStr">
        <is>
          <t>ASSUMPTION</t>
        </is>
      </c>
      <c r="O445" s="9" t="n">
        <v>-43500</v>
      </c>
      <c r="P445" s="9" t="n">
        <v>-43500</v>
      </c>
      <c r="U445" s="7" t="inlineStr">
        <is>
          <t>DERIVED_IN_WORKBOOK</t>
        </is>
      </c>
      <c r="V445" s="8">
        <f>SUMIFS(Cashflows!$Z$1043:$Z$1393,Cashflows!$B$1043:$B$1393,$C445,Cashflows!$C$1043:$C$1393,$K445)</f>
        <v/>
      </c>
      <c r="W445" s="8">
        <f>IF($G445="INR",1,INDEX(Market_Daily!$F$6:$F$256,MATCH($K445,Market_Daily!$A$6:$A$256,0)))</f>
        <v/>
      </c>
      <c r="X445" s="8">
        <f>$V445*$W445</f>
        <v/>
      </c>
      <c r="Y445" s="18">
        <f>$X445-$P445</f>
        <v/>
      </c>
      <c r="Z445" s="8">
        <f>IF(ABS($Y445)&lt;=tol_cashflow_inr,"PASS","FAIL")</f>
        <v/>
      </c>
      <c r="AA445" s="7" t="inlineStr">
        <is>
          <t>-lots x lot_kg x mcx_slippage_ticks x tick</t>
        </is>
      </c>
    </row>
    <row r="446">
      <c r="A446" s="7" t="inlineStr">
        <is>
          <t>T04</t>
        </is>
      </c>
      <c r="B446" s="7" t="inlineStr">
        <is>
          <t>MCX:T04-MCX-1</t>
        </is>
      </c>
      <c r="C446" s="7" t="inlineStr">
        <is>
          <t>T04-MCX-1</t>
        </is>
      </c>
      <c r="D446" s="7" t="inlineStr">
        <is>
          <t>MCX_TRANSACTION_COST</t>
        </is>
      </c>
      <c r="E446" s="7" t="inlineStr">
        <is>
          <t>MCX_TRANSACTION_COST</t>
        </is>
      </c>
      <c r="F446" s="7" t="inlineStr">
        <is>
          <t>PNL</t>
        </is>
      </c>
      <c r="G446" s="7" t="inlineStr">
        <is>
          <t>INR</t>
        </is>
      </c>
      <c r="H446" s="11" t="n">
        <v>44671</v>
      </c>
      <c r="I446" s="11" t="n">
        <v>44671</v>
      </c>
      <c r="J446" s="11" t="n">
        <v>44671</v>
      </c>
      <c r="K446" s="11" t="n">
        <v>44671</v>
      </c>
      <c r="L446" s="7" t="inlineStr">
        <is>
          <t>roll following on the LME panel calendar</t>
        </is>
      </c>
      <c r="N446" s="7" t="inlineStr">
        <is>
          <t>ASSUMPTION</t>
        </is>
      </c>
      <c r="O446" s="9" t="n">
        <v>-34970.39</v>
      </c>
      <c r="P446" s="9" t="n">
        <v>-34970.39</v>
      </c>
      <c r="U446" s="7" t="inlineStr">
        <is>
          <t>DERIVED_IN_WORKBOOK</t>
        </is>
      </c>
      <c r="V446" s="8">
        <f>SUMIFS(Cashflows!$AA$1043:$AA$1393,Cashflows!$B$1043:$B$1393,$C446,Cashflows!$C$1043:$C$1393,$K446)</f>
        <v/>
      </c>
      <c r="W446" s="8">
        <f>IF($G446="INR",1,INDEX(Market_Daily!$F$6:$F$256,MATCH($K446,Market_Daily!$A$6:$A$256,0)))</f>
        <v/>
      </c>
      <c r="X446" s="8">
        <f>$V446*$W446</f>
        <v/>
      </c>
      <c r="Y446" s="18">
        <f>$X446-$P446</f>
        <v/>
      </c>
      <c r="Z446" s="8">
        <f>IF(ABS($Y446)&lt;=tol_cashflow_inr,"PASS","FAIL")</f>
        <v/>
      </c>
      <c r="AA446" s="7" t="inlineStr">
        <is>
          <t>-lots x lot_kg x fill x mcx_txn_cost_frac</t>
        </is>
      </c>
    </row>
    <row r="447">
      <c r="A447" s="7" t="inlineStr">
        <is>
          <t>T04</t>
        </is>
      </c>
      <c r="B447" s="7" t="inlineStr">
        <is>
          <t>MCX:T04-MCX-1</t>
        </is>
      </c>
      <c r="C447" s="7" t="inlineStr">
        <is>
          <t>T04-MCX-1</t>
        </is>
      </c>
      <c r="D447" s="7" t="inlineStr">
        <is>
          <t>MCX_VARIATION_MARGIN</t>
        </is>
      </c>
      <c r="E447" s="7" t="inlineStr">
        <is>
          <t>MCX_VARIATION_MARGIN</t>
        </is>
      </c>
      <c r="F447" s="7" t="inlineStr">
        <is>
          <t>PNL</t>
        </is>
      </c>
      <c r="G447" s="7" t="inlineStr">
        <is>
          <t>INR</t>
        </is>
      </c>
      <c r="H447" s="11" t="n">
        <v>44657</v>
      </c>
      <c r="I447" s="11" t="n">
        <v>44671</v>
      </c>
      <c r="J447" s="11" t="n">
        <v>44671</v>
      </c>
      <c r="K447" s="11" t="n">
        <v>44671</v>
      </c>
      <c r="L447" s="7" t="inlineStr">
        <is>
          <t>roll following on the LME panel calendar</t>
        </is>
      </c>
      <c r="N447" s="7" t="inlineStr">
        <is>
          <t>PROXY</t>
        </is>
      </c>
      <c r="O447" s="9" t="n">
        <v>2855154.22</v>
      </c>
      <c r="P447" s="9" t="n">
        <v>2855154.22</v>
      </c>
      <c r="U447" s="7" t="inlineStr">
        <is>
          <t>DERIVED_IN_WORKBOOK</t>
        </is>
      </c>
      <c r="V447" s="8">
        <f>SUMIFS(Cashflows!$R$1043:$R$1393,Cashflows!$B$1043:$B$1393,$C447,Cashflows!$C$1043:$C$1393,$K447)</f>
        <v/>
      </c>
      <c r="W447" s="8">
        <f>IF($G447="INR",1,INDEX(Market_Daily!$F$6:$F$256,MATCH($K447,Market_Daily!$A$6:$A$256,0)))</f>
        <v/>
      </c>
      <c r="X447" s="8">
        <f>$V447*$W447</f>
        <v/>
      </c>
      <c r="Y447" s="18">
        <f>$X447-$P447</f>
        <v/>
      </c>
      <c r="Z447" s="8">
        <f>IF(ABS($Y447)&lt;=tol_cashflow_inr,"PASS","FAIL")</f>
        <v/>
      </c>
      <c r="AA447" s="7" t="inlineStr">
        <is>
          <t>direction x lots x lot_kg x (F(s) - F(s-1))</t>
        </is>
      </c>
    </row>
    <row r="448">
      <c r="A448" s="7" t="inlineStr">
        <is>
          <t>T04</t>
        </is>
      </c>
      <c r="B448" s="7" t="inlineStr">
        <is>
          <t>MCX:T04-MCX-2</t>
        </is>
      </c>
      <c r="C448" s="7" t="inlineStr">
        <is>
          <t>T04-MCX-2</t>
        </is>
      </c>
      <c r="D448" s="7" t="inlineStr">
        <is>
          <t>MCX_INITIAL_MARGIN</t>
        </is>
      </c>
      <c r="E448" s="7" t="inlineStr">
        <is>
          <t>MCX_INITIAL_MARGIN</t>
        </is>
      </c>
      <c r="F448" s="7" t="inlineStr">
        <is>
          <t>BS</t>
        </is>
      </c>
      <c r="G448" s="7" t="inlineStr">
        <is>
          <t>INR</t>
        </is>
      </c>
      <c r="H448" s="11" t="n">
        <v>44671</v>
      </c>
      <c r="I448" s="11" t="n">
        <v>44671</v>
      </c>
      <c r="J448" s="11" t="n">
        <v>44671</v>
      </c>
      <c r="K448" s="11" t="n">
        <v>44671</v>
      </c>
      <c r="L448" s="7" t="inlineStr">
        <is>
          <t>roll following on the LME panel calendar</t>
        </is>
      </c>
      <c r="N448" s="7" t="inlineStr">
        <is>
          <t>PROXY</t>
        </is>
      </c>
      <c r="O448" s="9" t="n">
        <v>-11692510.07</v>
      </c>
      <c r="P448" s="9" t="n">
        <v>-11692510.07</v>
      </c>
      <c r="U448" s="7" t="inlineStr">
        <is>
          <t>DERIVED_IN_WORKBOOK</t>
        </is>
      </c>
      <c r="V448" s="8">
        <f>-SUMIFS(Cashflows!$W$1043:$W$1393,Cashflows!$B$1043:$B$1393,$C448,Cashflows!$C$1043:$C$1393,$K448)</f>
        <v/>
      </c>
      <c r="W448" s="8">
        <f>IF($G448="INR",1,INDEX(Market_Daily!$F$6:$F$256,MATCH($K448,Market_Daily!$A$6:$A$256,0)))</f>
        <v/>
      </c>
      <c r="X448" s="8">
        <f>$V448*$W448</f>
        <v/>
      </c>
      <c r="Y448" s="18">
        <f>$X448-$P448</f>
        <v/>
      </c>
      <c r="Z448" s="8">
        <f>IF(ABS($Y448)&lt;=tol_cashflow_inr,"PASS","FAIL")</f>
        <v/>
      </c>
      <c r="AA448" s="7" t="inlineStr">
        <is>
          <t>-d(lots x lot_kg x F(s) x mcx_al_margin_used_frac)</t>
        </is>
      </c>
    </row>
    <row r="449">
      <c r="A449" s="7" t="inlineStr">
        <is>
          <t>T04</t>
        </is>
      </c>
      <c r="B449" s="7" t="inlineStr">
        <is>
          <t>MCX:T04-MCX-2</t>
        </is>
      </c>
      <c r="C449" s="7" t="inlineStr">
        <is>
          <t>T04-MCX-2</t>
        </is>
      </c>
      <c r="D449" s="7" t="inlineStr">
        <is>
          <t>MCX_SLIPPAGE</t>
        </is>
      </c>
      <c r="E449" s="7" t="inlineStr">
        <is>
          <t>MCX_SLIPPAGE</t>
        </is>
      </c>
      <c r="F449" s="7" t="inlineStr">
        <is>
          <t>PNL</t>
        </is>
      </c>
      <c r="G449" s="7" t="inlineStr">
        <is>
          <t>INR</t>
        </is>
      </c>
      <c r="H449" s="11" t="n">
        <v>44671</v>
      </c>
      <c r="J449" s="11" t="n">
        <v>44671</v>
      </c>
      <c r="K449" s="11" t="n">
        <v>44671</v>
      </c>
      <c r="L449" s="7" t="inlineStr">
        <is>
          <t>roll following on the LME panel calendar</t>
        </is>
      </c>
      <c r="N449" s="7" t="inlineStr">
        <is>
          <t>ASSUMPTION</t>
        </is>
      </c>
      <c r="O449" s="9" t="n">
        <v>-43500</v>
      </c>
      <c r="P449" s="9" t="n">
        <v>-43500</v>
      </c>
      <c r="U449" s="7" t="inlineStr">
        <is>
          <t>DERIVED_IN_WORKBOOK</t>
        </is>
      </c>
      <c r="V449" s="8">
        <f>SUMIFS(Cashflows!$Z$1043:$Z$1393,Cashflows!$B$1043:$B$1393,$C449,Cashflows!$C$1043:$C$1393,$K449)</f>
        <v/>
      </c>
      <c r="W449" s="8">
        <f>IF($G449="INR",1,INDEX(Market_Daily!$F$6:$F$256,MATCH($K449,Market_Daily!$A$6:$A$256,0)))</f>
        <v/>
      </c>
      <c r="X449" s="8">
        <f>$V449*$W449</f>
        <v/>
      </c>
      <c r="Y449" s="18">
        <f>$X449-$P449</f>
        <v/>
      </c>
      <c r="Z449" s="8">
        <f>IF(ABS($Y449)&lt;=tol_cashflow_inr,"PASS","FAIL")</f>
        <v/>
      </c>
      <c r="AA449" s="7" t="inlineStr">
        <is>
          <t>-lots x lot_kg x mcx_slippage_ticks x tick</t>
        </is>
      </c>
    </row>
    <row r="450">
      <c r="A450" s="7" t="inlineStr">
        <is>
          <t>T04</t>
        </is>
      </c>
      <c r="B450" s="7" t="inlineStr">
        <is>
          <t>MCX:T04-MCX-2</t>
        </is>
      </c>
      <c r="C450" s="7" t="inlineStr">
        <is>
          <t>T04-MCX-2</t>
        </is>
      </c>
      <c r="D450" s="7" t="inlineStr">
        <is>
          <t>MCX_TRANSACTION_COST</t>
        </is>
      </c>
      <c r="E450" s="7" t="inlineStr">
        <is>
          <t>MCX_TRANSACTION_COST</t>
        </is>
      </c>
      <c r="F450" s="7" t="inlineStr">
        <is>
          <t>PNL</t>
        </is>
      </c>
      <c r="G450" s="7" t="inlineStr">
        <is>
          <t>INR</t>
        </is>
      </c>
      <c r="H450" s="11" t="n">
        <v>44671</v>
      </c>
      <c r="I450" s="11" t="n">
        <v>44671</v>
      </c>
      <c r="J450" s="11" t="n">
        <v>44671</v>
      </c>
      <c r="K450" s="11" t="n">
        <v>44671</v>
      </c>
      <c r="L450" s="7" t="inlineStr">
        <is>
          <t>roll following on the LME panel calendar</t>
        </is>
      </c>
      <c r="N450" s="7" t="inlineStr">
        <is>
          <t>ASSUMPTION</t>
        </is>
      </c>
      <c r="O450" s="9" t="n">
        <v>-35064.48</v>
      </c>
      <c r="P450" s="9" t="n">
        <v>-35064.48</v>
      </c>
      <c r="U450" s="7" t="inlineStr">
        <is>
          <t>DERIVED_IN_WORKBOOK</t>
        </is>
      </c>
      <c r="V450" s="8">
        <f>SUMIFS(Cashflows!$AA$1043:$AA$1393,Cashflows!$B$1043:$B$1393,$C450,Cashflows!$C$1043:$C$1393,$K450)</f>
        <v/>
      </c>
      <c r="W450" s="8">
        <f>IF($G450="INR",1,INDEX(Market_Daily!$F$6:$F$256,MATCH($K450,Market_Daily!$A$6:$A$256,0)))</f>
        <v/>
      </c>
      <c r="X450" s="8">
        <f>$V450*$W450</f>
        <v/>
      </c>
      <c r="Y450" s="18">
        <f>$X450-$P450</f>
        <v/>
      </c>
      <c r="Z450" s="8">
        <f>IF(ABS($Y450)&lt;=tol_cashflow_inr,"PASS","FAIL")</f>
        <v/>
      </c>
      <c r="AA450" s="7" t="inlineStr">
        <is>
          <t>-lots x lot_kg x fill x mcx_txn_cost_frac</t>
        </is>
      </c>
    </row>
    <row r="451">
      <c r="A451" s="7" t="inlineStr">
        <is>
          <t>T04</t>
        </is>
      </c>
      <c r="B451" s="7" t="inlineStr">
        <is>
          <t>MCX:T04-MCX-2</t>
        </is>
      </c>
      <c r="C451" s="7" t="inlineStr">
        <is>
          <t>T04-MCX-2</t>
        </is>
      </c>
      <c r="D451" s="7" t="inlineStr">
        <is>
          <t>MCX_VARIATION_MARGIN</t>
        </is>
      </c>
      <c r="E451" s="7" t="inlineStr">
        <is>
          <t>MCX_VARIATION_MARGIN</t>
        </is>
      </c>
      <c r="F451" s="7" t="inlineStr">
        <is>
          <t>PNL</t>
        </is>
      </c>
      <c r="G451" s="7" t="inlineStr">
        <is>
          <t>INR</t>
        </is>
      </c>
      <c r="H451" s="11" t="n">
        <v>44671</v>
      </c>
      <c r="I451" s="11" t="n">
        <v>44671</v>
      </c>
      <c r="J451" s="11" t="n">
        <v>44671</v>
      </c>
      <c r="K451" s="11" t="n">
        <v>44671</v>
      </c>
      <c r="L451" s="7" t="inlineStr">
        <is>
          <t>roll following on the LME panel calendar</t>
        </is>
      </c>
      <c r="N451" s="7" t="inlineStr">
        <is>
          <t>PROXY</t>
        </is>
      </c>
      <c r="O451" s="9" t="n">
        <v>-0</v>
      </c>
      <c r="P451" s="9" t="n">
        <v>-0</v>
      </c>
      <c r="U451" s="7" t="inlineStr">
        <is>
          <t>DERIVED_IN_WORKBOOK</t>
        </is>
      </c>
      <c r="V451" s="8">
        <f>SUMIFS(Cashflows!$R$1043:$R$1393,Cashflows!$B$1043:$B$1393,$C451,Cashflows!$C$1043:$C$1393,$K451)</f>
        <v/>
      </c>
      <c r="W451" s="8">
        <f>IF($G451="INR",1,INDEX(Market_Daily!$F$6:$F$256,MATCH($K451,Market_Daily!$A$6:$A$256,0)))</f>
        <v/>
      </c>
      <c r="X451" s="8">
        <f>$V451*$W451</f>
        <v/>
      </c>
      <c r="Y451" s="18">
        <f>$X451-$P451</f>
        <v/>
      </c>
      <c r="Z451" s="8">
        <f>IF(ABS($Y451)&lt;=tol_cashflow_inr,"PASS","FAIL")</f>
        <v/>
      </c>
      <c r="AA451" s="7" t="inlineStr">
        <is>
          <t>direction x lots x lot_kg x (F(entry) - entry settle) = 0 by construction</t>
        </is>
      </c>
    </row>
    <row r="452">
      <c r="A452" s="7" t="inlineStr">
        <is>
          <t>T04</t>
        </is>
      </c>
      <c r="B452" s="7" t="inlineStr">
        <is>
          <t>MCX:T04-MCX-2</t>
        </is>
      </c>
      <c r="C452" s="7" t="inlineStr">
        <is>
          <t>T04-MCX-2</t>
        </is>
      </c>
      <c r="D452" s="7" t="inlineStr">
        <is>
          <t>MCX_INITIAL_MARGIN</t>
        </is>
      </c>
      <c r="E452" s="7" t="inlineStr">
        <is>
          <t>MCX_INITIAL_MARGIN</t>
        </is>
      </c>
      <c r="F452" s="7" t="inlineStr">
        <is>
          <t>BS</t>
        </is>
      </c>
      <c r="G452" s="7" t="inlineStr">
        <is>
          <t>INR</t>
        </is>
      </c>
      <c r="H452" s="11" t="n">
        <v>44671</v>
      </c>
      <c r="I452" s="11" t="n">
        <v>44672</v>
      </c>
      <c r="J452" s="11" t="n">
        <v>44672</v>
      </c>
      <c r="K452" s="11" t="n">
        <v>44672</v>
      </c>
      <c r="L452" s="7" t="inlineStr">
        <is>
          <t>roll following on the LME panel calendar</t>
        </is>
      </c>
      <c r="N452" s="7" t="inlineStr">
        <is>
          <t>PROXY</t>
        </is>
      </c>
      <c r="O452" s="9" t="n">
        <v>-63292.88</v>
      </c>
      <c r="P452" s="9" t="n">
        <v>-63292.88</v>
      </c>
      <c r="U452" s="7" t="inlineStr">
        <is>
          <t>DERIVED_IN_WORKBOOK</t>
        </is>
      </c>
      <c r="V452" s="8">
        <f>-SUMIFS(Cashflows!$W$1043:$W$1393,Cashflows!$B$1043:$B$1393,$C452,Cashflows!$C$1043:$C$1393,$K452)</f>
        <v/>
      </c>
      <c r="W452" s="8">
        <f>IF($G452="INR",1,INDEX(Market_Daily!$F$6:$F$256,MATCH($K452,Market_Daily!$A$6:$A$256,0)))</f>
        <v/>
      </c>
      <c r="X452" s="8">
        <f>$V452*$W452</f>
        <v/>
      </c>
      <c r="Y452" s="18">
        <f>$X452-$P452</f>
        <v/>
      </c>
      <c r="Z452" s="8">
        <f>IF(ABS($Y452)&lt;=tol_cashflow_inr,"PASS","FAIL")</f>
        <v/>
      </c>
      <c r="AA452" s="7" t="inlineStr">
        <is>
          <t>-d(lots x lot_kg x F(s) x mcx_al_margin_used_frac)</t>
        </is>
      </c>
    </row>
    <row r="453">
      <c r="A453" s="7" t="inlineStr">
        <is>
          <t>T04</t>
        </is>
      </c>
      <c r="B453" s="7" t="inlineStr">
        <is>
          <t>MCX:T04-MCX-2</t>
        </is>
      </c>
      <c r="C453" s="7" t="inlineStr">
        <is>
          <t>T04-MCX-2</t>
        </is>
      </c>
      <c r="D453" s="7" t="inlineStr">
        <is>
          <t>MCX_VARIATION_MARGIN</t>
        </is>
      </c>
      <c r="E453" s="7" t="inlineStr">
        <is>
          <t>MCX_VARIATION_MARGIN</t>
        </is>
      </c>
      <c r="F453" s="7" t="inlineStr">
        <is>
          <t>PNL</t>
        </is>
      </c>
      <c r="G453" s="7" t="inlineStr">
        <is>
          <t>INR</t>
        </is>
      </c>
      <c r="H453" s="11" t="n">
        <v>44671</v>
      </c>
      <c r="I453" s="11" t="n">
        <v>44672</v>
      </c>
      <c r="J453" s="11" t="n">
        <v>44672</v>
      </c>
      <c r="K453" s="11" t="n">
        <v>44672</v>
      </c>
      <c r="L453" s="7" t="inlineStr">
        <is>
          <t>roll following on the LME panel calendar</t>
        </is>
      </c>
      <c r="N453" s="7" t="inlineStr">
        <is>
          <t>PROXY</t>
        </is>
      </c>
      <c r="O453" s="9" t="n">
        <v>-632928.76</v>
      </c>
      <c r="P453" s="9" t="n">
        <v>-632928.76</v>
      </c>
      <c r="U453" s="7" t="inlineStr">
        <is>
          <t>DERIVED_IN_WORKBOOK</t>
        </is>
      </c>
      <c r="V453" s="8">
        <f>SUMIFS(Cashflows!$R$1043:$R$1393,Cashflows!$B$1043:$B$1393,$C453,Cashflows!$C$1043:$C$1393,$K453)</f>
        <v/>
      </c>
      <c r="W453" s="8">
        <f>IF($G453="INR",1,INDEX(Market_Daily!$F$6:$F$256,MATCH($K453,Market_Daily!$A$6:$A$256,0)))</f>
        <v/>
      </c>
      <c r="X453" s="8">
        <f>$V453*$W453</f>
        <v/>
      </c>
      <c r="Y453" s="18">
        <f>$X453-$P453</f>
        <v/>
      </c>
      <c r="Z453" s="8">
        <f>IF(ABS($Y453)&lt;=tol_cashflow_inr,"PASS","FAIL")</f>
        <v/>
      </c>
      <c r="AA453" s="7" t="inlineStr">
        <is>
          <t>direction x lots x lot_kg x (F(s) - F(s-1))</t>
        </is>
      </c>
    </row>
    <row r="454">
      <c r="A454" s="7" t="inlineStr">
        <is>
          <t>T04</t>
        </is>
      </c>
      <c r="B454" s="7" t="inlineStr">
        <is>
          <t>MCX:T04-MCX-2</t>
        </is>
      </c>
      <c r="C454" s="7" t="inlineStr">
        <is>
          <t>T04-MCX-2</t>
        </is>
      </c>
      <c r="D454" s="7" t="inlineStr">
        <is>
          <t>MCX_INITIAL_MARGIN</t>
        </is>
      </c>
      <c r="E454" s="7" t="inlineStr">
        <is>
          <t>MCX_INITIAL_MARGIN</t>
        </is>
      </c>
      <c r="F454" s="7" t="inlineStr">
        <is>
          <t>BS</t>
        </is>
      </c>
      <c r="G454" s="7" t="inlineStr">
        <is>
          <t>INR</t>
        </is>
      </c>
      <c r="H454" s="11" t="n">
        <v>44671</v>
      </c>
      <c r="I454" s="11" t="n">
        <v>44673</v>
      </c>
      <c r="J454" s="11" t="n">
        <v>44673</v>
      </c>
      <c r="K454" s="11" t="n">
        <v>44673</v>
      </c>
      <c r="L454" s="7" t="inlineStr">
        <is>
          <t>roll following on the LME panel calendar</t>
        </is>
      </c>
      <c r="N454" s="7" t="inlineStr">
        <is>
          <t>PROXY</t>
        </is>
      </c>
      <c r="O454" s="9" t="n">
        <v>28861.46</v>
      </c>
      <c r="P454" s="9" t="n">
        <v>28861.46</v>
      </c>
      <c r="U454" s="7" t="inlineStr">
        <is>
          <t>DERIVED_IN_WORKBOOK</t>
        </is>
      </c>
      <c r="V454" s="8">
        <f>-SUMIFS(Cashflows!$W$1043:$W$1393,Cashflows!$B$1043:$B$1393,$C454,Cashflows!$C$1043:$C$1393,$K454)</f>
        <v/>
      </c>
      <c r="W454" s="8">
        <f>IF($G454="INR",1,INDEX(Market_Daily!$F$6:$F$256,MATCH($K454,Market_Daily!$A$6:$A$256,0)))</f>
        <v/>
      </c>
      <c r="X454" s="8">
        <f>$V454*$W454</f>
        <v/>
      </c>
      <c r="Y454" s="18">
        <f>$X454-$P454</f>
        <v/>
      </c>
      <c r="Z454" s="8">
        <f>IF(ABS($Y454)&lt;=tol_cashflow_inr,"PASS","FAIL")</f>
        <v/>
      </c>
      <c r="AA454" s="7" t="inlineStr">
        <is>
          <t>-d(lots x lot_kg x F(s) x mcx_al_margin_used_frac)</t>
        </is>
      </c>
    </row>
    <row r="455">
      <c r="A455" s="7" t="inlineStr">
        <is>
          <t>T04</t>
        </is>
      </c>
      <c r="B455" s="7" t="inlineStr">
        <is>
          <t>MCX:T04-MCX-2</t>
        </is>
      </c>
      <c r="C455" s="7" t="inlineStr">
        <is>
          <t>T04-MCX-2</t>
        </is>
      </c>
      <c r="D455" s="7" t="inlineStr">
        <is>
          <t>MCX_VARIATION_MARGIN</t>
        </is>
      </c>
      <c r="E455" s="7" t="inlineStr">
        <is>
          <t>MCX_VARIATION_MARGIN</t>
        </is>
      </c>
      <c r="F455" s="7" t="inlineStr">
        <is>
          <t>PNL</t>
        </is>
      </c>
      <c r="G455" s="7" t="inlineStr">
        <is>
          <t>INR</t>
        </is>
      </c>
      <c r="H455" s="11" t="n">
        <v>44671</v>
      </c>
      <c r="I455" s="11" t="n">
        <v>44673</v>
      </c>
      <c r="J455" s="11" t="n">
        <v>44673</v>
      </c>
      <c r="K455" s="11" t="n">
        <v>44673</v>
      </c>
      <c r="L455" s="7" t="inlineStr">
        <is>
          <t>roll following on the LME panel calendar</t>
        </is>
      </c>
      <c r="N455" s="7" t="inlineStr">
        <is>
          <t>PROXY</t>
        </is>
      </c>
      <c r="O455" s="9" t="n">
        <v>288614.55</v>
      </c>
      <c r="P455" s="9" t="n">
        <v>288614.55</v>
      </c>
      <c r="U455" s="7" t="inlineStr">
        <is>
          <t>DERIVED_IN_WORKBOOK</t>
        </is>
      </c>
      <c r="V455" s="8">
        <f>SUMIFS(Cashflows!$R$1043:$R$1393,Cashflows!$B$1043:$B$1393,$C455,Cashflows!$C$1043:$C$1393,$K455)</f>
        <v/>
      </c>
      <c r="W455" s="8">
        <f>IF($G455="INR",1,INDEX(Market_Daily!$F$6:$F$256,MATCH($K455,Market_Daily!$A$6:$A$256,0)))</f>
        <v/>
      </c>
      <c r="X455" s="8">
        <f>$V455*$W455</f>
        <v/>
      </c>
      <c r="Y455" s="18">
        <f>$X455-$P455</f>
        <v/>
      </c>
      <c r="Z455" s="8">
        <f>IF(ABS($Y455)&lt;=tol_cashflow_inr,"PASS","FAIL")</f>
        <v/>
      </c>
      <c r="AA455" s="7" t="inlineStr">
        <is>
          <t>direction x lots x lot_kg x (F(s) - F(s-1))</t>
        </is>
      </c>
    </row>
    <row r="456">
      <c r="A456" s="7" t="inlineStr">
        <is>
          <t>T04</t>
        </is>
      </c>
      <c r="B456" s="7" t="inlineStr">
        <is>
          <t>MCX:T04-MCX-2</t>
        </is>
      </c>
      <c r="C456" s="7" t="inlineStr">
        <is>
          <t>T04-MCX-2</t>
        </is>
      </c>
      <c r="D456" s="7" t="inlineStr">
        <is>
          <t>MCX_INITIAL_MARGIN</t>
        </is>
      </c>
      <c r="E456" s="7" t="inlineStr">
        <is>
          <t>MCX_INITIAL_MARGIN</t>
        </is>
      </c>
      <c r="F456" s="7" t="inlineStr">
        <is>
          <t>BS</t>
        </is>
      </c>
      <c r="G456" s="7" t="inlineStr">
        <is>
          <t>INR</t>
        </is>
      </c>
      <c r="H456" s="11" t="n">
        <v>44671</v>
      </c>
      <c r="I456" s="11" t="n">
        <v>44676</v>
      </c>
      <c r="J456" s="11" t="n">
        <v>44676</v>
      </c>
      <c r="K456" s="11" t="n">
        <v>44676</v>
      </c>
      <c r="L456" s="7" t="inlineStr">
        <is>
          <t>roll following on the LME panel calendar</t>
        </is>
      </c>
      <c r="N456" s="7" t="inlineStr">
        <is>
          <t>PROXY</t>
        </is>
      </c>
      <c r="O456" s="9" t="n">
        <v>537258.47</v>
      </c>
      <c r="P456" s="9" t="n">
        <v>537258.47</v>
      </c>
      <c r="U456" s="7" t="inlineStr">
        <is>
          <t>DERIVED_IN_WORKBOOK</t>
        </is>
      </c>
      <c r="V456" s="8">
        <f>-SUMIFS(Cashflows!$W$1043:$W$1393,Cashflows!$B$1043:$B$1393,$C456,Cashflows!$C$1043:$C$1393,$K456)</f>
        <v/>
      </c>
      <c r="W456" s="8">
        <f>IF($G456="INR",1,INDEX(Market_Daily!$F$6:$F$256,MATCH($K456,Market_Daily!$A$6:$A$256,0)))</f>
        <v/>
      </c>
      <c r="X456" s="8">
        <f>$V456*$W456</f>
        <v/>
      </c>
      <c r="Y456" s="18">
        <f>$X456-$P456</f>
        <v/>
      </c>
      <c r="Z456" s="8">
        <f>IF(ABS($Y456)&lt;=tol_cashflow_inr,"PASS","FAIL")</f>
        <v/>
      </c>
      <c r="AA456" s="7" t="inlineStr">
        <is>
          <t>-d(lots x lot_kg x F(s) x mcx_al_margin_used_frac)</t>
        </is>
      </c>
    </row>
    <row r="457">
      <c r="A457" s="7" t="inlineStr">
        <is>
          <t>T04</t>
        </is>
      </c>
      <c r="B457" s="7" t="inlineStr">
        <is>
          <t>MCX:T04-MCX-2</t>
        </is>
      </c>
      <c r="C457" s="7" t="inlineStr">
        <is>
          <t>T04-MCX-2</t>
        </is>
      </c>
      <c r="D457" s="7" t="inlineStr">
        <is>
          <t>MCX_VARIATION_MARGIN</t>
        </is>
      </c>
      <c r="E457" s="7" t="inlineStr">
        <is>
          <t>MCX_VARIATION_MARGIN</t>
        </is>
      </c>
      <c r="F457" s="7" t="inlineStr">
        <is>
          <t>PNL</t>
        </is>
      </c>
      <c r="G457" s="7" t="inlineStr">
        <is>
          <t>INR</t>
        </is>
      </c>
      <c r="H457" s="11" t="n">
        <v>44671</v>
      </c>
      <c r="I457" s="11" t="n">
        <v>44676</v>
      </c>
      <c r="J457" s="11" t="n">
        <v>44676</v>
      </c>
      <c r="K457" s="11" t="n">
        <v>44676</v>
      </c>
      <c r="L457" s="7" t="inlineStr">
        <is>
          <t>roll following on the LME panel calendar</t>
        </is>
      </c>
      <c r="N457" s="7" t="inlineStr">
        <is>
          <t>PROXY</t>
        </is>
      </c>
      <c r="O457" s="9" t="n">
        <v>5372584.7</v>
      </c>
      <c r="P457" s="9" t="n">
        <v>5372584.7</v>
      </c>
      <c r="U457" s="7" t="inlineStr">
        <is>
          <t>DERIVED_IN_WORKBOOK</t>
        </is>
      </c>
      <c r="V457" s="8">
        <f>SUMIFS(Cashflows!$R$1043:$R$1393,Cashflows!$B$1043:$B$1393,$C457,Cashflows!$C$1043:$C$1393,$K457)</f>
        <v/>
      </c>
      <c r="W457" s="8">
        <f>IF($G457="INR",1,INDEX(Market_Daily!$F$6:$F$256,MATCH($K457,Market_Daily!$A$6:$A$256,0)))</f>
        <v/>
      </c>
      <c r="X457" s="8">
        <f>$V457*$W457</f>
        <v/>
      </c>
      <c r="Y457" s="18">
        <f>$X457-$P457</f>
        <v/>
      </c>
      <c r="Z457" s="8">
        <f>IF(ABS($Y457)&lt;=tol_cashflow_inr,"PASS","FAIL")</f>
        <v/>
      </c>
      <c r="AA457" s="7" t="inlineStr">
        <is>
          <t>direction x lots x lot_kg x (F(s) - F(s-1))</t>
        </is>
      </c>
    </row>
    <row r="458">
      <c r="A458" s="7" t="inlineStr">
        <is>
          <t>T04</t>
        </is>
      </c>
      <c r="B458" s="7" t="inlineStr">
        <is>
          <t>MCX:T04-MCX-2</t>
        </is>
      </c>
      <c r="C458" s="7" t="inlineStr">
        <is>
          <t>T04-MCX-2</t>
        </is>
      </c>
      <c r="D458" s="7" t="inlineStr">
        <is>
          <t>MCX_INITIAL_MARGIN</t>
        </is>
      </c>
      <c r="E458" s="7" t="inlineStr">
        <is>
          <t>MCX_INITIAL_MARGIN</t>
        </is>
      </c>
      <c r="F458" s="7" t="inlineStr">
        <is>
          <t>BS</t>
        </is>
      </c>
      <c r="G458" s="7" t="inlineStr">
        <is>
          <t>INR</t>
        </is>
      </c>
      <c r="H458" s="11" t="n">
        <v>44671</v>
      </c>
      <c r="I458" s="11" t="n">
        <v>44677</v>
      </c>
      <c r="J458" s="11" t="n">
        <v>44677</v>
      </c>
      <c r="K458" s="11" t="n">
        <v>44677</v>
      </c>
      <c r="L458" s="7" t="inlineStr">
        <is>
          <t>roll following on the LME panel calendar</t>
        </is>
      </c>
      <c r="N458" s="7" t="inlineStr">
        <is>
          <t>PROXY</t>
        </is>
      </c>
      <c r="O458" s="9" t="n">
        <v>-38167.03</v>
      </c>
      <c r="P458" s="9" t="n">
        <v>-38167.03</v>
      </c>
      <c r="U458" s="7" t="inlineStr">
        <is>
          <t>DERIVED_IN_WORKBOOK</t>
        </is>
      </c>
      <c r="V458" s="8">
        <f>-SUMIFS(Cashflows!$W$1043:$W$1393,Cashflows!$B$1043:$B$1393,$C458,Cashflows!$C$1043:$C$1393,$K458)</f>
        <v/>
      </c>
      <c r="W458" s="8">
        <f>IF($G458="INR",1,INDEX(Market_Daily!$F$6:$F$256,MATCH($K458,Market_Daily!$A$6:$A$256,0)))</f>
        <v/>
      </c>
      <c r="X458" s="8">
        <f>$V458*$W458</f>
        <v/>
      </c>
      <c r="Y458" s="18">
        <f>$X458-$P458</f>
        <v/>
      </c>
      <c r="Z458" s="8">
        <f>IF(ABS($Y458)&lt;=tol_cashflow_inr,"PASS","FAIL")</f>
        <v/>
      </c>
      <c r="AA458" s="7" t="inlineStr">
        <is>
          <t>-d(lots x lot_kg x F(s) x mcx_al_margin_used_frac)</t>
        </is>
      </c>
    </row>
    <row r="459">
      <c r="A459" s="7" t="inlineStr">
        <is>
          <t>T04</t>
        </is>
      </c>
      <c r="B459" s="7" t="inlineStr">
        <is>
          <t>MCX:T04-MCX-2</t>
        </is>
      </c>
      <c r="C459" s="7" t="inlineStr">
        <is>
          <t>T04-MCX-2</t>
        </is>
      </c>
      <c r="D459" s="7" t="inlineStr">
        <is>
          <t>MCX_VARIATION_MARGIN</t>
        </is>
      </c>
      <c r="E459" s="7" t="inlineStr">
        <is>
          <t>MCX_VARIATION_MARGIN</t>
        </is>
      </c>
      <c r="F459" s="7" t="inlineStr">
        <is>
          <t>PNL</t>
        </is>
      </c>
      <c r="G459" s="7" t="inlineStr">
        <is>
          <t>INR</t>
        </is>
      </c>
      <c r="H459" s="11" t="n">
        <v>44671</v>
      </c>
      <c r="I459" s="11" t="n">
        <v>44677</v>
      </c>
      <c r="J459" s="11" t="n">
        <v>44677</v>
      </c>
      <c r="K459" s="11" t="n">
        <v>44677</v>
      </c>
      <c r="L459" s="7" t="inlineStr">
        <is>
          <t>roll following on the LME panel calendar</t>
        </is>
      </c>
      <c r="N459" s="7" t="inlineStr">
        <is>
          <t>PROXY</t>
        </is>
      </c>
      <c r="O459" s="9" t="n">
        <v>-381670.33</v>
      </c>
      <c r="P459" s="9" t="n">
        <v>-381670.33</v>
      </c>
      <c r="U459" s="7" t="inlineStr">
        <is>
          <t>DERIVED_IN_WORKBOOK</t>
        </is>
      </c>
      <c r="V459" s="8">
        <f>SUMIFS(Cashflows!$R$1043:$R$1393,Cashflows!$B$1043:$B$1393,$C459,Cashflows!$C$1043:$C$1393,$K459)</f>
        <v/>
      </c>
      <c r="W459" s="8">
        <f>IF($G459="INR",1,INDEX(Market_Daily!$F$6:$F$256,MATCH($K459,Market_Daily!$A$6:$A$256,0)))</f>
        <v/>
      </c>
      <c r="X459" s="8">
        <f>$V459*$W459</f>
        <v/>
      </c>
      <c r="Y459" s="18">
        <f>$X459-$P459</f>
        <v/>
      </c>
      <c r="Z459" s="8">
        <f>IF(ABS($Y459)&lt;=tol_cashflow_inr,"PASS","FAIL")</f>
        <v/>
      </c>
      <c r="AA459" s="7" t="inlineStr">
        <is>
          <t>direction x lots x lot_kg x (F(s) - F(s-1))</t>
        </is>
      </c>
    </row>
    <row r="460">
      <c r="A460" s="7" t="inlineStr">
        <is>
          <t>T04</t>
        </is>
      </c>
      <c r="B460" s="7" t="inlineStr">
        <is>
          <t>FREIGHT:L1</t>
        </is>
      </c>
      <c r="C460" s="7" t="inlineStr">
        <is>
          <t>L1</t>
        </is>
      </c>
      <c r="D460" s="7" t="inlineStr">
        <is>
          <t>FREIGHT</t>
        </is>
      </c>
      <c r="E460" s="7" t="inlineStr">
        <is>
          <t>FREIGHT</t>
        </is>
      </c>
      <c r="F460" s="7" t="inlineStr">
        <is>
          <t>PNL</t>
        </is>
      </c>
      <c r="G460" s="7" t="inlineStr">
        <is>
          <t>USD</t>
        </is>
      </c>
      <c r="H460" s="11" t="n">
        <v>44657</v>
      </c>
      <c r="I460" s="11" t="n">
        <v>44665</v>
      </c>
      <c r="J460" s="11" t="n">
        <v>44678</v>
      </c>
      <c r="K460" s="11" t="n">
        <v>44678</v>
      </c>
      <c r="L460" s="7" t="inlineStr">
        <is>
          <t>roll following on the LME panel calendar</t>
        </is>
      </c>
      <c r="N460" s="7" t="inlineStr">
        <is>
          <t>ASSUMPTION</t>
        </is>
      </c>
      <c r="O460" s="9" t="n">
        <v>-60150</v>
      </c>
      <c r="P460" s="9" t="n">
        <v>-4607760.68</v>
      </c>
      <c r="U460" s="7" t="inlineStr">
        <is>
          <t>PYTHON_LIFECYCLE</t>
        </is>
      </c>
      <c r="V460" s="8">
        <f>$O460</f>
        <v/>
      </c>
      <c r="W460" s="8">
        <f>IF($G460="INR",1,INDEX(Market_Daily!$F$6:$F$256,MATCH($K460,Market_Daily!$A$6:$A$256,0)))</f>
        <v/>
      </c>
      <c r="X460" s="8">
        <f>$V460*$W460</f>
        <v/>
      </c>
      <c r="Y460" s="18">
        <f>$X460-$P460</f>
        <v/>
      </c>
      <c r="Z460" s="8">
        <f>IF(ABS($Y460)&lt;=tol_cashflow_inr,"PASS","FAIL")</f>
        <v/>
      </c>
      <c r="AA460" s="7" t="inlineStr">
        <is>
          <t>-boxes x (fixture rate once booked, else market box rate)</t>
        </is>
      </c>
    </row>
    <row r="461">
      <c r="A461" s="7" t="inlineStr">
        <is>
          <t>T04</t>
        </is>
      </c>
      <c r="B461" s="7" t="inlineStr">
        <is>
          <t>INSURANCE:L1</t>
        </is>
      </c>
      <c r="C461" s="7" t="inlineStr">
        <is>
          <t>L1</t>
        </is>
      </c>
      <c r="D461" s="7" t="inlineStr">
        <is>
          <t>INSURANCE</t>
        </is>
      </c>
      <c r="E461" s="7" t="inlineStr">
        <is>
          <t>INSURANCE</t>
        </is>
      </c>
      <c r="F461" s="7" t="inlineStr">
        <is>
          <t>PNL</t>
        </is>
      </c>
      <c r="G461" s="7" t="inlineStr">
        <is>
          <t>USD</t>
        </is>
      </c>
      <c r="H461" s="11" t="n">
        <v>44657</v>
      </c>
      <c r="I461" s="11" t="n">
        <v>44678</v>
      </c>
      <c r="J461" s="11" t="n">
        <v>44678</v>
      </c>
      <c r="K461" s="11" t="n">
        <v>44678</v>
      </c>
      <c r="L461" s="7" t="inlineStr">
        <is>
          <t>roll following on the LME panel calendar</t>
        </is>
      </c>
      <c r="N461" s="7" t="inlineStr">
        <is>
          <t>ASSUMPTION</t>
        </is>
      </c>
      <c r="O461" s="9" t="n">
        <v>-1736.3</v>
      </c>
      <c r="P461" s="9" t="n">
        <v>-133008.01</v>
      </c>
      <c r="U461" s="7" t="inlineStr">
        <is>
          <t>PYTHON_LIFECYCLE</t>
        </is>
      </c>
      <c r="V461" s="8">
        <f>$O461</f>
        <v/>
      </c>
      <c r="W461" s="8">
        <f>IF($G461="INR",1,INDEX(Market_Daily!$F$6:$F$256,MATCH($K461,Market_Daily!$A$6:$A$256,0)))</f>
        <v/>
      </c>
      <c r="X461" s="8">
        <f>$V461*$W461</f>
        <v/>
      </c>
      <c r="Y461" s="18">
        <f>$X461-$P461</f>
        <v/>
      </c>
      <c r="Z461" s="8">
        <f>IF(ABS($Y461)&lt;=tol_cashflow_inr,"PASS","FAIL")</f>
        <v/>
      </c>
      <c r="AA461" s="7" t="inlineStr">
        <is>
          <t>-insurance_rate x insured_value_uplift x cfr_value_usd</t>
        </is>
      </c>
    </row>
    <row r="462">
      <c r="A462" s="7" t="inlineStr">
        <is>
          <t>T04</t>
        </is>
      </c>
      <c r="B462" s="7" t="inlineStr">
        <is>
          <t>MCX:T04-MCX-2</t>
        </is>
      </c>
      <c r="C462" s="7" t="inlineStr">
        <is>
          <t>T04-MCX-2</t>
        </is>
      </c>
      <c r="D462" s="7" t="inlineStr">
        <is>
          <t>MCX_INITIAL_MARGIN</t>
        </is>
      </c>
      <c r="E462" s="7" t="inlineStr">
        <is>
          <t>MCX_INITIAL_MARGIN</t>
        </is>
      </c>
      <c r="F462" s="7" t="inlineStr">
        <is>
          <t>BS</t>
        </is>
      </c>
      <c r="G462" s="7" t="inlineStr">
        <is>
          <t>INR</t>
        </is>
      </c>
      <c r="H462" s="11" t="n">
        <v>44671</v>
      </c>
      <c r="I462" s="11" t="n">
        <v>44678</v>
      </c>
      <c r="J462" s="11" t="n">
        <v>44678</v>
      </c>
      <c r="K462" s="11" t="n">
        <v>44678</v>
      </c>
      <c r="L462" s="7" t="inlineStr">
        <is>
          <t>roll following on the LME panel calendar</t>
        </is>
      </c>
      <c r="N462" s="7" t="inlineStr">
        <is>
          <t>PROXY</t>
        </is>
      </c>
      <c r="O462" s="9" t="n">
        <v>4608.86</v>
      </c>
      <c r="P462" s="9" t="n">
        <v>4608.86</v>
      </c>
      <c r="U462" s="7" t="inlineStr">
        <is>
          <t>DERIVED_IN_WORKBOOK</t>
        </is>
      </c>
      <c r="V462" s="8">
        <f>-SUMIFS(Cashflows!$W$1043:$W$1393,Cashflows!$B$1043:$B$1393,$C462,Cashflows!$C$1043:$C$1393,$K462)</f>
        <v/>
      </c>
      <c r="W462" s="8">
        <f>IF($G462="INR",1,INDEX(Market_Daily!$F$6:$F$256,MATCH($K462,Market_Daily!$A$6:$A$256,0)))</f>
        <v/>
      </c>
      <c r="X462" s="8">
        <f>$V462*$W462</f>
        <v/>
      </c>
      <c r="Y462" s="18">
        <f>$X462-$P462</f>
        <v/>
      </c>
      <c r="Z462" s="8">
        <f>IF(ABS($Y462)&lt;=tol_cashflow_inr,"PASS","FAIL")</f>
        <v/>
      </c>
      <c r="AA462" s="7" t="inlineStr">
        <is>
          <t>-d(lots x lot_kg x F(s) x mcx_al_margin_used_frac)</t>
        </is>
      </c>
    </row>
    <row r="463">
      <c r="A463" s="7" t="inlineStr">
        <is>
          <t>T04</t>
        </is>
      </c>
      <c r="B463" s="7" t="inlineStr">
        <is>
          <t>MCX:T04-MCX-2</t>
        </is>
      </c>
      <c r="C463" s="7" t="inlineStr">
        <is>
          <t>T04-MCX-2</t>
        </is>
      </c>
      <c r="D463" s="7" t="inlineStr">
        <is>
          <t>MCX_VARIATION_MARGIN</t>
        </is>
      </c>
      <c r="E463" s="7" t="inlineStr">
        <is>
          <t>MCX_VARIATION_MARGIN</t>
        </is>
      </c>
      <c r="F463" s="7" t="inlineStr">
        <is>
          <t>PNL</t>
        </is>
      </c>
      <c r="G463" s="7" t="inlineStr">
        <is>
          <t>INR</t>
        </is>
      </c>
      <c r="H463" s="11" t="n">
        <v>44671</v>
      </c>
      <c r="I463" s="11" t="n">
        <v>44678</v>
      </c>
      <c r="J463" s="11" t="n">
        <v>44678</v>
      </c>
      <c r="K463" s="11" t="n">
        <v>44678</v>
      </c>
      <c r="L463" s="7" t="inlineStr">
        <is>
          <t>roll following on the LME panel calendar</t>
        </is>
      </c>
      <c r="N463" s="7" t="inlineStr">
        <is>
          <t>PROXY</t>
        </is>
      </c>
      <c r="O463" s="9" t="n">
        <v>46088.63</v>
      </c>
      <c r="P463" s="9" t="n">
        <v>46088.63</v>
      </c>
      <c r="U463" s="7" t="inlineStr">
        <is>
          <t>DERIVED_IN_WORKBOOK</t>
        </is>
      </c>
      <c r="V463" s="8">
        <f>SUMIFS(Cashflows!$R$1043:$R$1393,Cashflows!$B$1043:$B$1393,$C463,Cashflows!$C$1043:$C$1393,$K463)</f>
        <v/>
      </c>
      <c r="W463" s="8">
        <f>IF($G463="INR",1,INDEX(Market_Daily!$F$6:$F$256,MATCH($K463,Market_Daily!$A$6:$A$256,0)))</f>
        <v/>
      </c>
      <c r="X463" s="8">
        <f>$V463*$W463</f>
        <v/>
      </c>
      <c r="Y463" s="18">
        <f>$X463-$P463</f>
        <v/>
      </c>
      <c r="Z463" s="8">
        <f>IF(ABS($Y463)&lt;=tol_cashflow_inr,"PASS","FAIL")</f>
        <v/>
      </c>
      <c r="AA463" s="7" t="inlineStr">
        <is>
          <t>direction x lots x lot_kg x (F(s) - F(s-1))</t>
        </is>
      </c>
    </row>
    <row r="464">
      <c r="A464" s="7" t="inlineStr">
        <is>
          <t>T04</t>
        </is>
      </c>
      <c r="B464" s="7" t="inlineStr">
        <is>
          <t>MCX:T04-MCX-2</t>
        </is>
      </c>
      <c r="C464" s="7" t="inlineStr">
        <is>
          <t>T04-MCX-2</t>
        </is>
      </c>
      <c r="D464" s="7" t="inlineStr">
        <is>
          <t>MCX_INITIAL_MARGIN</t>
        </is>
      </c>
      <c r="E464" s="7" t="inlineStr">
        <is>
          <t>MCX_INITIAL_MARGIN</t>
        </is>
      </c>
      <c r="F464" s="7" t="inlineStr">
        <is>
          <t>BS</t>
        </is>
      </c>
      <c r="G464" s="7" t="inlineStr">
        <is>
          <t>INR</t>
        </is>
      </c>
      <c r="H464" s="11" t="n">
        <v>44671</v>
      </c>
      <c r="I464" s="11" t="n">
        <v>44679</v>
      </c>
      <c r="J464" s="11" t="n">
        <v>44679</v>
      </c>
      <c r="K464" s="11" t="n">
        <v>44679</v>
      </c>
      <c r="L464" s="7" t="inlineStr">
        <is>
          <t>roll following on the LME panel calendar</t>
        </is>
      </c>
      <c r="N464" s="7" t="inlineStr">
        <is>
          <t>PROXY</t>
        </is>
      </c>
      <c r="O464" s="9" t="n">
        <v>119574.24</v>
      </c>
      <c r="P464" s="9" t="n">
        <v>119574.24</v>
      </c>
      <c r="U464" s="7" t="inlineStr">
        <is>
          <t>DERIVED_IN_WORKBOOK</t>
        </is>
      </c>
      <c r="V464" s="8">
        <f>-SUMIFS(Cashflows!$W$1043:$W$1393,Cashflows!$B$1043:$B$1393,$C464,Cashflows!$C$1043:$C$1393,$K464)</f>
        <v/>
      </c>
      <c r="W464" s="8">
        <f>IF($G464="INR",1,INDEX(Market_Daily!$F$6:$F$256,MATCH($K464,Market_Daily!$A$6:$A$256,0)))</f>
        <v/>
      </c>
      <c r="X464" s="8">
        <f>$V464*$W464</f>
        <v/>
      </c>
      <c r="Y464" s="18">
        <f>$X464-$P464</f>
        <v/>
      </c>
      <c r="Z464" s="8">
        <f>IF(ABS($Y464)&lt;=tol_cashflow_inr,"PASS","FAIL")</f>
        <v/>
      </c>
      <c r="AA464" s="7" t="inlineStr">
        <is>
          <t>-d(lots x lot_kg x F(s) x mcx_al_margin_used_frac)</t>
        </is>
      </c>
    </row>
    <row r="465">
      <c r="A465" s="7" t="inlineStr">
        <is>
          <t>T04</t>
        </is>
      </c>
      <c r="B465" s="7" t="inlineStr">
        <is>
          <t>MCX:T04-MCX-2</t>
        </is>
      </c>
      <c r="C465" s="7" t="inlineStr">
        <is>
          <t>T04-MCX-2</t>
        </is>
      </c>
      <c r="D465" s="7" t="inlineStr">
        <is>
          <t>MCX_VARIATION_MARGIN</t>
        </is>
      </c>
      <c r="E465" s="7" t="inlineStr">
        <is>
          <t>MCX_VARIATION_MARGIN</t>
        </is>
      </c>
      <c r="F465" s="7" t="inlineStr">
        <is>
          <t>PNL</t>
        </is>
      </c>
      <c r="G465" s="7" t="inlineStr">
        <is>
          <t>INR</t>
        </is>
      </c>
      <c r="H465" s="11" t="n">
        <v>44671</v>
      </c>
      <c r="I465" s="11" t="n">
        <v>44679</v>
      </c>
      <c r="J465" s="11" t="n">
        <v>44679</v>
      </c>
      <c r="K465" s="11" t="n">
        <v>44679</v>
      </c>
      <c r="L465" s="7" t="inlineStr">
        <is>
          <t>roll following on the LME panel calendar</t>
        </is>
      </c>
      <c r="N465" s="7" t="inlineStr">
        <is>
          <t>PROXY</t>
        </is>
      </c>
      <c r="O465" s="9" t="n">
        <v>1195742.39</v>
      </c>
      <c r="P465" s="9" t="n">
        <v>1195742.39</v>
      </c>
      <c r="U465" s="7" t="inlineStr">
        <is>
          <t>DERIVED_IN_WORKBOOK</t>
        </is>
      </c>
      <c r="V465" s="8">
        <f>SUMIFS(Cashflows!$R$1043:$R$1393,Cashflows!$B$1043:$B$1393,$C465,Cashflows!$C$1043:$C$1393,$K465)</f>
        <v/>
      </c>
      <c r="W465" s="8">
        <f>IF($G465="INR",1,INDEX(Market_Daily!$F$6:$F$256,MATCH($K465,Market_Daily!$A$6:$A$256,0)))</f>
        <v/>
      </c>
      <c r="X465" s="8">
        <f>$V465*$W465</f>
        <v/>
      </c>
      <c r="Y465" s="18">
        <f>$X465-$P465</f>
        <v/>
      </c>
      <c r="Z465" s="8">
        <f>IF(ABS($Y465)&lt;=tol_cashflow_inr,"PASS","FAIL")</f>
        <v/>
      </c>
      <c r="AA465" s="7" t="inlineStr">
        <is>
          <t>direction x lots x lot_kg x (F(s) - F(s-1))</t>
        </is>
      </c>
    </row>
    <row r="466">
      <c r="A466" s="7" t="inlineStr">
        <is>
          <t>T04</t>
        </is>
      </c>
      <c r="B466" s="7" t="inlineStr">
        <is>
          <t>MCX:T04-MCX-2</t>
        </is>
      </c>
      <c r="C466" s="7" t="inlineStr">
        <is>
          <t>T04-MCX-2</t>
        </is>
      </c>
      <c r="D466" s="7" t="inlineStr">
        <is>
          <t>MCX_INITIAL_MARGIN</t>
        </is>
      </c>
      <c r="E466" s="7" t="inlineStr">
        <is>
          <t>MCX_INITIAL_MARGIN</t>
        </is>
      </c>
      <c r="F466" s="7" t="inlineStr">
        <is>
          <t>BS</t>
        </is>
      </c>
      <c r="G466" s="7" t="inlineStr">
        <is>
          <t>INR</t>
        </is>
      </c>
      <c r="H466" s="11" t="n">
        <v>44671</v>
      </c>
      <c r="I466" s="11" t="n">
        <v>44680</v>
      </c>
      <c r="J466" s="11" t="n">
        <v>44680</v>
      </c>
      <c r="K466" s="11" t="n">
        <v>44680</v>
      </c>
      <c r="L466" s="7" t="inlineStr">
        <is>
          <t>roll following on the LME panel calendar</t>
        </is>
      </c>
      <c r="N466" s="7" t="inlineStr">
        <is>
          <t>PROXY</t>
        </is>
      </c>
      <c r="O466" s="9" t="n">
        <v>117686.1</v>
      </c>
      <c r="P466" s="9" t="n">
        <v>117686.1</v>
      </c>
      <c r="U466" s="7" t="inlineStr">
        <is>
          <t>DERIVED_IN_WORKBOOK</t>
        </is>
      </c>
      <c r="V466" s="8">
        <f>-SUMIFS(Cashflows!$W$1043:$W$1393,Cashflows!$B$1043:$B$1393,$C466,Cashflows!$C$1043:$C$1393,$K466)</f>
        <v/>
      </c>
      <c r="W466" s="8">
        <f>IF($G466="INR",1,INDEX(Market_Daily!$F$6:$F$256,MATCH($K466,Market_Daily!$A$6:$A$256,0)))</f>
        <v/>
      </c>
      <c r="X466" s="8">
        <f>$V466*$W466</f>
        <v/>
      </c>
      <c r="Y466" s="18">
        <f>$X466-$P466</f>
        <v/>
      </c>
      <c r="Z466" s="8">
        <f>IF(ABS($Y466)&lt;=tol_cashflow_inr,"PASS","FAIL")</f>
        <v/>
      </c>
      <c r="AA466" s="7" t="inlineStr">
        <is>
          <t>-d(lots x lot_kg x F(s) x mcx_al_margin_used_frac)</t>
        </is>
      </c>
    </row>
    <row r="467">
      <c r="A467" s="7" t="inlineStr">
        <is>
          <t>T04</t>
        </is>
      </c>
      <c r="B467" s="7" t="inlineStr">
        <is>
          <t>MCX:T04-MCX-2</t>
        </is>
      </c>
      <c r="C467" s="7" t="inlineStr">
        <is>
          <t>T04-MCX-2</t>
        </is>
      </c>
      <c r="D467" s="7" t="inlineStr">
        <is>
          <t>MCX_VARIATION_MARGIN</t>
        </is>
      </c>
      <c r="E467" s="7" t="inlineStr">
        <is>
          <t>MCX_VARIATION_MARGIN</t>
        </is>
      </c>
      <c r="F467" s="7" t="inlineStr">
        <is>
          <t>PNL</t>
        </is>
      </c>
      <c r="G467" s="7" t="inlineStr">
        <is>
          <t>INR</t>
        </is>
      </c>
      <c r="H467" s="11" t="n">
        <v>44671</v>
      </c>
      <c r="I467" s="11" t="n">
        <v>44680</v>
      </c>
      <c r="J467" s="11" t="n">
        <v>44680</v>
      </c>
      <c r="K467" s="11" t="n">
        <v>44680</v>
      </c>
      <c r="L467" s="7" t="inlineStr">
        <is>
          <t>roll following on the LME panel calendar</t>
        </is>
      </c>
      <c r="N467" s="7" t="inlineStr">
        <is>
          <t>PROXY</t>
        </is>
      </c>
      <c r="O467" s="9" t="n">
        <v>1176861.03</v>
      </c>
      <c r="P467" s="9" t="n">
        <v>1176861.03</v>
      </c>
      <c r="U467" s="7" t="inlineStr">
        <is>
          <t>DERIVED_IN_WORKBOOK</t>
        </is>
      </c>
      <c r="V467" s="8">
        <f>SUMIFS(Cashflows!$R$1043:$R$1393,Cashflows!$B$1043:$B$1393,$C467,Cashflows!$C$1043:$C$1393,$K467)</f>
        <v/>
      </c>
      <c r="W467" s="8">
        <f>IF($G467="INR",1,INDEX(Market_Daily!$F$6:$F$256,MATCH($K467,Market_Daily!$A$6:$A$256,0)))</f>
        <v/>
      </c>
      <c r="X467" s="8">
        <f>$V467*$W467</f>
        <v/>
      </c>
      <c r="Y467" s="18">
        <f>$X467-$P467</f>
        <v/>
      </c>
      <c r="Z467" s="8">
        <f>IF(ABS($Y467)&lt;=tol_cashflow_inr,"PASS","FAIL")</f>
        <v/>
      </c>
      <c r="AA467" s="7" t="inlineStr">
        <is>
          <t>direction x lots x lot_kg x (F(s) - F(s-1))</t>
        </is>
      </c>
    </row>
    <row r="468">
      <c r="A468" s="7" t="inlineStr">
        <is>
          <t>T04</t>
        </is>
      </c>
      <c r="B468" s="7" t="inlineStr">
        <is>
          <t>MCX:T04-MCX-2</t>
        </is>
      </c>
      <c r="C468" s="7" t="inlineStr">
        <is>
          <t>T04-MCX-2</t>
        </is>
      </c>
      <c r="D468" s="7" t="inlineStr">
        <is>
          <t>MCX_INITIAL_MARGIN</t>
        </is>
      </c>
      <c r="E468" s="7" t="inlineStr">
        <is>
          <t>MCX_INITIAL_MARGIN</t>
        </is>
      </c>
      <c r="F468" s="7" t="inlineStr">
        <is>
          <t>BS</t>
        </is>
      </c>
      <c r="G468" s="7" t="inlineStr">
        <is>
          <t>INR</t>
        </is>
      </c>
      <c r="H468" s="11" t="n">
        <v>44671</v>
      </c>
      <c r="I468" s="11" t="n">
        <v>44684</v>
      </c>
      <c r="J468" s="11" t="n">
        <v>44684</v>
      </c>
      <c r="K468" s="11" t="n">
        <v>44684</v>
      </c>
      <c r="L468" s="7" t="inlineStr">
        <is>
          <t>roll following on the LME panel calendar</t>
        </is>
      </c>
      <c r="N468" s="7" t="inlineStr">
        <is>
          <t>PROXY</t>
        </is>
      </c>
      <c r="O468" s="9" t="n">
        <v>451502.27</v>
      </c>
      <c r="P468" s="9" t="n">
        <v>451502.27</v>
      </c>
      <c r="U468" s="7" t="inlineStr">
        <is>
          <t>DERIVED_IN_WORKBOOK</t>
        </is>
      </c>
      <c r="V468" s="8">
        <f>-SUMIFS(Cashflows!$W$1043:$W$1393,Cashflows!$B$1043:$B$1393,$C468,Cashflows!$C$1043:$C$1393,$K468)</f>
        <v/>
      </c>
      <c r="W468" s="8">
        <f>IF($G468="INR",1,INDEX(Market_Daily!$F$6:$F$256,MATCH($K468,Market_Daily!$A$6:$A$256,0)))</f>
        <v/>
      </c>
      <c r="X468" s="8">
        <f>$V468*$W468</f>
        <v/>
      </c>
      <c r="Y468" s="18">
        <f>$X468-$P468</f>
        <v/>
      </c>
      <c r="Z468" s="8">
        <f>IF(ABS($Y468)&lt;=tol_cashflow_inr,"PASS","FAIL")</f>
        <v/>
      </c>
      <c r="AA468" s="7" t="inlineStr">
        <is>
          <t>-d(lots x lot_kg x F(s) x mcx_al_margin_used_frac)</t>
        </is>
      </c>
    </row>
    <row r="469">
      <c r="A469" s="7" t="inlineStr">
        <is>
          <t>T04</t>
        </is>
      </c>
      <c r="B469" s="7" t="inlineStr">
        <is>
          <t>MCX:T04-MCX-2</t>
        </is>
      </c>
      <c r="C469" s="7" t="inlineStr">
        <is>
          <t>T04-MCX-2</t>
        </is>
      </c>
      <c r="D469" s="7" t="inlineStr">
        <is>
          <t>MCX_VARIATION_MARGIN</t>
        </is>
      </c>
      <c r="E469" s="7" t="inlineStr">
        <is>
          <t>MCX_VARIATION_MARGIN</t>
        </is>
      </c>
      <c r="F469" s="7" t="inlineStr">
        <is>
          <t>PNL</t>
        </is>
      </c>
      <c r="G469" s="7" t="inlineStr">
        <is>
          <t>INR</t>
        </is>
      </c>
      <c r="H469" s="11" t="n">
        <v>44671</v>
      </c>
      <c r="I469" s="11" t="n">
        <v>44684</v>
      </c>
      <c r="J469" s="11" t="n">
        <v>44684</v>
      </c>
      <c r="K469" s="11" t="n">
        <v>44684</v>
      </c>
      <c r="L469" s="7" t="inlineStr">
        <is>
          <t>roll following on the LME panel calendar</t>
        </is>
      </c>
      <c r="N469" s="7" t="inlineStr">
        <is>
          <t>PROXY</t>
        </is>
      </c>
      <c r="O469" s="9" t="n">
        <v>4515022.72</v>
      </c>
      <c r="P469" s="9" t="n">
        <v>4515022.72</v>
      </c>
      <c r="U469" s="7" t="inlineStr">
        <is>
          <t>DERIVED_IN_WORKBOOK</t>
        </is>
      </c>
      <c r="V469" s="8">
        <f>SUMIFS(Cashflows!$R$1043:$R$1393,Cashflows!$B$1043:$B$1393,$C469,Cashflows!$C$1043:$C$1393,$K469)</f>
        <v/>
      </c>
      <c r="W469" s="8">
        <f>IF($G469="INR",1,INDEX(Market_Daily!$F$6:$F$256,MATCH($K469,Market_Daily!$A$6:$A$256,0)))</f>
        <v/>
      </c>
      <c r="X469" s="8">
        <f>$V469*$W469</f>
        <v/>
      </c>
      <c r="Y469" s="18">
        <f>$X469-$P469</f>
        <v/>
      </c>
      <c r="Z469" s="8">
        <f>IF(ABS($Y469)&lt;=tol_cashflow_inr,"PASS","FAIL")</f>
        <v/>
      </c>
      <c r="AA469" s="7" t="inlineStr">
        <is>
          <t>direction x lots x lot_kg x (F(s) - F(s-1))</t>
        </is>
      </c>
    </row>
    <row r="470">
      <c r="A470" s="7" t="inlineStr">
        <is>
          <t>T04</t>
        </is>
      </c>
      <c r="B470" s="7" t="inlineStr">
        <is>
          <t>BILL_COMMISSION:L1</t>
        </is>
      </c>
      <c r="C470" s="7" t="inlineStr">
        <is>
          <t>L1</t>
        </is>
      </c>
      <c r="D470" s="7" t="inlineStr">
        <is>
          <t>IMPORT_BILL_COMMISSION</t>
        </is>
      </c>
      <c r="E470" s="7" t="inlineStr">
        <is>
          <t>IMPORT_BILL_COMMISSION</t>
        </is>
      </c>
      <c r="F470" s="7" t="inlineStr">
        <is>
          <t>PNL</t>
        </is>
      </c>
      <c r="G470" s="7" t="inlineStr">
        <is>
          <t>USD</t>
        </is>
      </c>
      <c r="H470" s="11" t="n">
        <v>44657</v>
      </c>
      <c r="I470" s="11" t="n">
        <v>44685</v>
      </c>
      <c r="J470" s="11" t="n">
        <v>44685</v>
      </c>
      <c r="K470" s="11" t="n">
        <v>44685</v>
      </c>
      <c r="L470" s="7" t="inlineStr">
        <is>
          <t>roll following on the LME panel calendar</t>
        </is>
      </c>
      <c r="N470" s="7" t="inlineStr">
        <is>
          <t>DIRECT</t>
        </is>
      </c>
      <c r="O470" s="9" t="n">
        <v>-1821.96</v>
      </c>
      <c r="P470" s="9" t="n">
        <v>-139105.37</v>
      </c>
      <c r="U470" s="7" t="inlineStr">
        <is>
          <t>PYTHON_LIFECYCLE</t>
        </is>
      </c>
      <c r="V470" s="8">
        <f>$O470</f>
        <v/>
      </c>
      <c r="W470" s="8">
        <f>IF($G470="INR",1,INDEX(Market_Daily!$F$6:$F$256,MATCH($K470,Market_Daily!$A$6:$A$256,0)))</f>
        <v/>
      </c>
      <c r="X470" s="8">
        <f>$V470*$W470</f>
        <v/>
      </c>
      <c r="Y470" s="18">
        <f>$X470-$P470</f>
        <v/>
      </c>
      <c r="Z470" s="8">
        <f>IF(ABS($Y470)&lt;=tol_cashflow_inr,"PASS","FAIL")</f>
        <v/>
      </c>
      <c r="AA470" s="7" t="inlineStr">
        <is>
          <t>-import_bill_commission_frac x bill_usd</t>
        </is>
      </c>
    </row>
    <row r="471">
      <c r="A471" s="7" t="inlineStr">
        <is>
          <t>T04</t>
        </is>
      </c>
      <c r="B471" s="7" t="inlineStr">
        <is>
          <t>FREIGHT:L2</t>
        </is>
      </c>
      <c r="C471" s="7" t="inlineStr">
        <is>
          <t>L2</t>
        </is>
      </c>
      <c r="D471" s="7" t="inlineStr">
        <is>
          <t>FREIGHT</t>
        </is>
      </c>
      <c r="E471" s="7" t="inlineStr">
        <is>
          <t>FREIGHT</t>
        </is>
      </c>
      <c r="F471" s="7" t="inlineStr">
        <is>
          <t>PNL</t>
        </is>
      </c>
      <c r="G471" s="7" t="inlineStr">
        <is>
          <t>USD</t>
        </is>
      </c>
      <c r="H471" s="11" t="n">
        <v>44657</v>
      </c>
      <c r="I471" s="11" t="n">
        <v>44665</v>
      </c>
      <c r="J471" s="11" t="n">
        <v>44685</v>
      </c>
      <c r="K471" s="11" t="n">
        <v>44685</v>
      </c>
      <c r="L471" s="7" t="inlineStr">
        <is>
          <t>roll following on the LME panel calendar</t>
        </is>
      </c>
      <c r="N471" s="7" t="inlineStr">
        <is>
          <t>ASSUMPTION</t>
        </is>
      </c>
      <c r="O471" s="9" t="n">
        <v>-60150</v>
      </c>
      <c r="P471" s="9" t="n">
        <v>-4592410.39</v>
      </c>
      <c r="U471" s="7" t="inlineStr">
        <is>
          <t>PYTHON_LIFECYCLE</t>
        </is>
      </c>
      <c r="V471" s="8">
        <f>$O471</f>
        <v/>
      </c>
      <c r="W471" s="8">
        <f>IF($G471="INR",1,INDEX(Market_Daily!$F$6:$F$256,MATCH($K471,Market_Daily!$A$6:$A$256,0)))</f>
        <v/>
      </c>
      <c r="X471" s="8">
        <f>$V471*$W471</f>
        <v/>
      </c>
      <c r="Y471" s="18">
        <f>$X471-$P471</f>
        <v/>
      </c>
      <c r="Z471" s="8">
        <f>IF(ABS($Y471)&lt;=tol_cashflow_inr,"PASS","FAIL")</f>
        <v/>
      </c>
      <c r="AA471" s="7" t="inlineStr">
        <is>
          <t>-boxes x (fixture rate once booked, else market box rate)</t>
        </is>
      </c>
    </row>
    <row r="472">
      <c r="A472" s="7" t="inlineStr">
        <is>
          <t>T04</t>
        </is>
      </c>
      <c r="B472" s="7" t="inlineStr">
        <is>
          <t>FX:T04-FX-1</t>
        </is>
      </c>
      <c r="C472" s="7" t="inlineStr">
        <is>
          <t>T04-FX-1</t>
        </is>
      </c>
      <c r="D472" s="7" t="inlineStr">
        <is>
          <t>FX_FORWARD</t>
        </is>
      </c>
      <c r="E472" s="7" t="inlineStr">
        <is>
          <t>FX_FORWARD</t>
        </is>
      </c>
      <c r="F472" s="7" t="inlineStr">
        <is>
          <t>PNL</t>
        </is>
      </c>
      <c r="G472" s="7" t="inlineStr">
        <is>
          <t>INR</t>
        </is>
      </c>
      <c r="H472" s="11" t="n">
        <v>44678</v>
      </c>
      <c r="I472" s="11" t="n">
        <v>44685</v>
      </c>
      <c r="J472" s="11" t="n">
        <v>44685</v>
      </c>
      <c r="K472" s="11" t="n">
        <v>44685</v>
      </c>
      <c r="L472" s="7" t="inlineStr">
        <is>
          <t>roll following on the LME panel calendar</t>
        </is>
      </c>
      <c r="N472" s="7" t="inlineStr">
        <is>
          <t>PROXY</t>
        </is>
      </c>
      <c r="O472" s="9" t="n">
        <v>-608337.34</v>
      </c>
      <c r="P472" s="9" t="n">
        <v>-608337.34</v>
      </c>
      <c r="Q472" s="6" t="n">
        <v>1</v>
      </c>
      <c r="R472" s="13" t="n">
        <v>1518300</v>
      </c>
      <c r="S472" s="12" t="n">
        <v>44685</v>
      </c>
      <c r="T472" s="21" t="n">
        <v>76.74997</v>
      </c>
      <c r="U472" s="7" t="inlineStr">
        <is>
          <t>DERIVED_IN_WORKBOOK</t>
        </is>
      </c>
      <c r="V472" s="8">
        <f>$Q472*$R472*(IF($S472&lt;$K472,INDEX(Market_Daily!$F$6:$F$256,MATCH($S472,Market_Daily!$A$6:$A$256,1)),IF($S472=$K472,INDEX(Market_Daily!$F$6:$F$256,MATCH($K472,Market_Daily!$A$6:$A$256,0)),(INDEX(Market_Daily!$F$6:$F$256,MATCH($K472,Market_Daily!$A$6:$A$256,0))*(1+INDEX(Market_Daily!$I$6:$I$256,MATCH($K472,Market_Daily!$A$6:$A$256,0))*($S472-$K472)/day_count_inr)/(1+INDEX(Market_Daily!$J$6:$J$256,MATCH($K472,Market_Daily!$A$6:$A$256,0))*($S472-$K472)/day_count_usd))))-$T472)</f>
        <v/>
      </c>
      <c r="W472" s="8">
        <f>IF($G472="INR",1,INDEX(Market_Daily!$F$6:$F$256,MATCH($K472,Market_Daily!$A$6:$A$256,0)))</f>
        <v/>
      </c>
      <c r="X472" s="8">
        <f>$V472*$W472</f>
        <v/>
      </c>
      <c r="Y472" s="18">
        <f>$X472-$P472</f>
        <v/>
      </c>
      <c r="Z472" s="8">
        <f>IF(ABS($Y472)&lt;=tol_cashflow_inr,"PASS","FAIL")</f>
        <v/>
      </c>
      <c r="AA472" s="7" t="inlineStr">
        <is>
          <t>sign x notional x (X(tau, value_date) - K)</t>
        </is>
      </c>
    </row>
    <row r="473">
      <c r="A473" s="7" t="inlineStr">
        <is>
          <t>T04</t>
        </is>
      </c>
      <c r="B473" s="7" t="inlineStr">
        <is>
          <t>FX:T04-FX-3</t>
        </is>
      </c>
      <c r="C473" s="7" t="inlineStr">
        <is>
          <t>T04-FX-3</t>
        </is>
      </c>
      <c r="D473" s="7" t="inlineStr">
        <is>
          <t>FX_FORWARD</t>
        </is>
      </c>
      <c r="E473" s="7" t="inlineStr">
        <is>
          <t>FX_FORWARD</t>
        </is>
      </c>
      <c r="F473" s="7" t="inlineStr">
        <is>
          <t>PNL</t>
        </is>
      </c>
      <c r="G473" s="7" t="inlineStr">
        <is>
          <t>INR</t>
        </is>
      </c>
      <c r="H473" s="11" t="n">
        <v>44665</v>
      </c>
      <c r="I473" s="11" t="n">
        <v>44685</v>
      </c>
      <c r="J473" s="11" t="n">
        <v>44685</v>
      </c>
      <c r="K473" s="11" t="n">
        <v>44685</v>
      </c>
      <c r="L473" s="7" t="inlineStr">
        <is>
          <t>roll following on the LME panel calendar</t>
        </is>
      </c>
      <c r="N473" s="7" t="inlineStr">
        <is>
          <t>PROXY</t>
        </is>
      </c>
      <c r="O473" s="9" t="n">
        <v>-1352.14</v>
      </c>
      <c r="P473" s="9" t="n">
        <v>-1352.14</v>
      </c>
      <c r="Q473" s="6" t="n">
        <v>1</v>
      </c>
      <c r="R473" s="13" t="n">
        <v>120300</v>
      </c>
      <c r="S473" s="12" t="n">
        <v>44685</v>
      </c>
      <c r="T473" s="21" t="n">
        <v>76.36054</v>
      </c>
      <c r="U473" s="7" t="inlineStr">
        <is>
          <t>DERIVED_IN_WORKBOOK</t>
        </is>
      </c>
      <c r="V473" s="8">
        <f>$Q473*$R473*(IF($S473&lt;$K473,INDEX(Market_Daily!$F$6:$F$256,MATCH($S473,Market_Daily!$A$6:$A$256,1)),IF($S473=$K473,INDEX(Market_Daily!$F$6:$F$256,MATCH($K473,Market_Daily!$A$6:$A$256,0)),(INDEX(Market_Daily!$F$6:$F$256,MATCH($K473,Market_Daily!$A$6:$A$256,0))*(1+INDEX(Market_Daily!$I$6:$I$256,MATCH($K473,Market_Daily!$A$6:$A$256,0))*($S473-$K473)/day_count_inr)/(1+INDEX(Market_Daily!$J$6:$J$256,MATCH($K473,Market_Daily!$A$6:$A$256,0))*($S473-$K473)/day_count_usd))))-$T473)</f>
        <v/>
      </c>
      <c r="W473" s="8">
        <f>IF($G473="INR",1,INDEX(Market_Daily!$F$6:$F$256,MATCH($K473,Market_Daily!$A$6:$A$256,0)))</f>
        <v/>
      </c>
      <c r="X473" s="8">
        <f>$V473*$W473</f>
        <v/>
      </c>
      <c r="Y473" s="18">
        <f>$X473-$P473</f>
        <v/>
      </c>
      <c r="Z473" s="8">
        <f>IF(ABS($Y473)&lt;=tol_cashflow_inr,"PASS","FAIL")</f>
        <v/>
      </c>
      <c r="AA473" s="7" t="inlineStr">
        <is>
          <t>sign x notional x (X(tau, value_date) - K)</t>
        </is>
      </c>
    </row>
    <row r="474">
      <c r="A474" s="7" t="inlineStr">
        <is>
          <t>T04</t>
        </is>
      </c>
      <c r="B474" s="7" t="inlineStr">
        <is>
          <t>INSURANCE:L2</t>
        </is>
      </c>
      <c r="C474" s="7" t="inlineStr">
        <is>
          <t>L2</t>
        </is>
      </c>
      <c r="D474" s="7" t="inlineStr">
        <is>
          <t>INSURANCE</t>
        </is>
      </c>
      <c r="E474" s="7" t="inlineStr">
        <is>
          <t>INSURANCE</t>
        </is>
      </c>
      <c r="F474" s="7" t="inlineStr">
        <is>
          <t>PNL</t>
        </is>
      </c>
      <c r="G474" s="7" t="inlineStr">
        <is>
          <t>USD</t>
        </is>
      </c>
      <c r="H474" s="11" t="n">
        <v>44657</v>
      </c>
      <c r="I474" s="11" t="n">
        <v>44685</v>
      </c>
      <c r="J474" s="11" t="n">
        <v>44685</v>
      </c>
      <c r="K474" s="11" t="n">
        <v>44685</v>
      </c>
      <c r="L474" s="7" t="inlineStr">
        <is>
          <t>roll following on the LME panel calendar</t>
        </is>
      </c>
      <c r="N474" s="7" t="inlineStr">
        <is>
          <t>ASSUMPTION</t>
        </is>
      </c>
      <c r="O474" s="9" t="n">
        <v>-1736.3</v>
      </c>
      <c r="P474" s="9" t="n">
        <v>-132564.91</v>
      </c>
      <c r="U474" s="7" t="inlineStr">
        <is>
          <t>PYTHON_LIFECYCLE</t>
        </is>
      </c>
      <c r="V474" s="8">
        <f>$O474</f>
        <v/>
      </c>
      <c r="W474" s="8">
        <f>IF($G474="INR",1,INDEX(Market_Daily!$F$6:$F$256,MATCH($K474,Market_Daily!$A$6:$A$256,0)))</f>
        <v/>
      </c>
      <c r="X474" s="8">
        <f>$V474*$W474</f>
        <v/>
      </c>
      <c r="Y474" s="18">
        <f>$X474-$P474</f>
        <v/>
      </c>
      <c r="Z474" s="8">
        <f>IF(ABS($Y474)&lt;=tol_cashflow_inr,"PASS","FAIL")</f>
        <v/>
      </c>
      <c r="AA474" s="7" t="inlineStr">
        <is>
          <t>-insurance_rate x insured_value_uplift x cfr_value_usd</t>
        </is>
      </c>
    </row>
    <row r="475">
      <c r="A475" s="7" t="inlineStr">
        <is>
          <t>T04</t>
        </is>
      </c>
      <c r="B475" s="7" t="inlineStr">
        <is>
          <t>MCX:T04-MCX-2</t>
        </is>
      </c>
      <c r="C475" s="7" t="inlineStr">
        <is>
          <t>T04-MCX-2</t>
        </is>
      </c>
      <c r="D475" s="7" t="inlineStr">
        <is>
          <t>MCX_INITIAL_MARGIN</t>
        </is>
      </c>
      <c r="E475" s="7" t="inlineStr">
        <is>
          <t>MCX_INITIAL_MARGIN</t>
        </is>
      </c>
      <c r="F475" s="7" t="inlineStr">
        <is>
          <t>BS</t>
        </is>
      </c>
      <c r="G475" s="7" t="inlineStr">
        <is>
          <t>INR</t>
        </is>
      </c>
      <c r="H475" s="11" t="n">
        <v>44671</v>
      </c>
      <c r="I475" s="11" t="n">
        <v>44685</v>
      </c>
      <c r="J475" s="11" t="n">
        <v>44685</v>
      </c>
      <c r="K475" s="11" t="n">
        <v>44685</v>
      </c>
      <c r="L475" s="7" t="inlineStr">
        <is>
          <t>roll following on the LME panel calendar</t>
        </is>
      </c>
      <c r="N475" s="7" t="inlineStr">
        <is>
          <t>PROXY</t>
        </is>
      </c>
      <c r="O475" s="9" t="n">
        <v>-32720.1</v>
      </c>
      <c r="P475" s="9" t="n">
        <v>-32720.1</v>
      </c>
      <c r="U475" s="7" t="inlineStr">
        <is>
          <t>DERIVED_IN_WORKBOOK</t>
        </is>
      </c>
      <c r="V475" s="8">
        <f>-SUMIFS(Cashflows!$W$1043:$W$1393,Cashflows!$B$1043:$B$1393,$C475,Cashflows!$C$1043:$C$1393,$K475)</f>
        <v/>
      </c>
      <c r="W475" s="8">
        <f>IF($G475="INR",1,INDEX(Market_Daily!$F$6:$F$256,MATCH($K475,Market_Daily!$A$6:$A$256,0)))</f>
        <v/>
      </c>
      <c r="X475" s="8">
        <f>$V475*$W475</f>
        <v/>
      </c>
      <c r="Y475" s="18">
        <f>$X475-$P475</f>
        <v/>
      </c>
      <c r="Z475" s="8">
        <f>IF(ABS($Y475)&lt;=tol_cashflow_inr,"PASS","FAIL")</f>
        <v/>
      </c>
      <c r="AA475" s="7" t="inlineStr">
        <is>
          <t>-d(lots x lot_kg x F(s) x mcx_al_margin_used_frac)</t>
        </is>
      </c>
    </row>
    <row r="476">
      <c r="A476" s="7" t="inlineStr">
        <is>
          <t>T04</t>
        </is>
      </c>
      <c r="B476" s="7" t="inlineStr">
        <is>
          <t>MCX:T04-MCX-2</t>
        </is>
      </c>
      <c r="C476" s="7" t="inlineStr">
        <is>
          <t>T04-MCX-2</t>
        </is>
      </c>
      <c r="D476" s="7" t="inlineStr">
        <is>
          <t>MCX_VARIATION_MARGIN</t>
        </is>
      </c>
      <c r="E476" s="7" t="inlineStr">
        <is>
          <t>MCX_VARIATION_MARGIN</t>
        </is>
      </c>
      <c r="F476" s="7" t="inlineStr">
        <is>
          <t>PNL</t>
        </is>
      </c>
      <c r="G476" s="7" t="inlineStr">
        <is>
          <t>INR</t>
        </is>
      </c>
      <c r="H476" s="11" t="n">
        <v>44671</v>
      </c>
      <c r="I476" s="11" t="n">
        <v>44685</v>
      </c>
      <c r="J476" s="11" t="n">
        <v>44685</v>
      </c>
      <c r="K476" s="11" t="n">
        <v>44685</v>
      </c>
      <c r="L476" s="7" t="inlineStr">
        <is>
          <t>roll following on the LME panel calendar</t>
        </is>
      </c>
      <c r="N476" s="7" t="inlineStr">
        <is>
          <t>PROXY</t>
        </is>
      </c>
      <c r="O476" s="9" t="n">
        <v>-327200.96</v>
      </c>
      <c r="P476" s="9" t="n">
        <v>-327200.96</v>
      </c>
      <c r="U476" s="7" t="inlineStr">
        <is>
          <t>DERIVED_IN_WORKBOOK</t>
        </is>
      </c>
      <c r="V476" s="8">
        <f>SUMIFS(Cashflows!$R$1043:$R$1393,Cashflows!$B$1043:$B$1393,$C476,Cashflows!$C$1043:$C$1393,$K476)</f>
        <v/>
      </c>
      <c r="W476" s="8">
        <f>IF($G476="INR",1,INDEX(Market_Daily!$F$6:$F$256,MATCH($K476,Market_Daily!$A$6:$A$256,0)))</f>
        <v/>
      </c>
      <c r="X476" s="8">
        <f>$V476*$W476</f>
        <v/>
      </c>
      <c r="Y476" s="18">
        <f>$X476-$P476</f>
        <v/>
      </c>
      <c r="Z476" s="8">
        <f>IF(ABS($Y476)&lt;=tol_cashflow_inr,"PASS","FAIL")</f>
        <v/>
      </c>
      <c r="AA476" s="7" t="inlineStr">
        <is>
          <t>direction x lots x lot_kg x (F(s) - F(s-1))</t>
        </is>
      </c>
    </row>
    <row r="477">
      <c r="A477" s="7" t="inlineStr">
        <is>
          <t>T04</t>
        </is>
      </c>
      <c r="B477" s="7" t="inlineStr">
        <is>
          <t>PURCHASE:L1</t>
        </is>
      </c>
      <c r="C477" s="7" t="inlineStr">
        <is>
          <t>L1</t>
        </is>
      </c>
      <c r="D477" s="7" t="inlineStr">
        <is>
          <t>PURCHASE_INVOICE</t>
        </is>
      </c>
      <c r="E477" s="7" t="inlineStr">
        <is>
          <t>PURCHASE_INVOICE</t>
        </is>
      </c>
      <c r="F477" s="7" t="inlineStr">
        <is>
          <t>PNL</t>
        </is>
      </c>
      <c r="G477" s="7" t="inlineStr">
        <is>
          <t>USD</t>
        </is>
      </c>
      <c r="H477" s="11" t="n">
        <v>44657</v>
      </c>
      <c r="J477" s="11" t="n">
        <v>44685</v>
      </c>
      <c r="K477" s="11" t="n">
        <v>44685</v>
      </c>
      <c r="L477" s="7" t="inlineStr">
        <is>
          <t>roll following on the LME panel calendar</t>
        </is>
      </c>
      <c r="N477" s="7" t="inlineStr">
        <is>
          <t>SIM</t>
        </is>
      </c>
      <c r="O477" s="9" t="n">
        <v>-1518300</v>
      </c>
      <c r="P477" s="9" t="n">
        <v>-115921142.19</v>
      </c>
      <c r="U477" s="7" t="inlineStr">
        <is>
          <t>PYTHON_LIFECYCLE</t>
        </is>
      </c>
      <c r="V477" s="8">
        <f>$O477</f>
        <v/>
      </c>
      <c r="W477" s="8">
        <f>IF($G477="INR",1,INDEX(Market_Daily!$F$6:$F$256,MATCH($K477,Market_Daily!$A$6:$A$256,0)))</f>
        <v/>
      </c>
      <c r="X477" s="8">
        <f>$V477*$W477</f>
        <v/>
      </c>
      <c r="Y477" s="18">
        <f>$X477-$P477</f>
        <v/>
      </c>
      <c r="Z477" s="8">
        <f>IF(ABS($Y477)&lt;=tol_cashflow_inr,"PASS","FAIL")</f>
        <v/>
      </c>
      <c r="AA477" s="7" t="inlineStr">
        <is>
          <t>-q_bl x price_usd_t</t>
        </is>
      </c>
    </row>
    <row r="478">
      <c r="A478" s="7" t="inlineStr">
        <is>
          <t>T04</t>
        </is>
      </c>
      <c r="B478" s="7" t="inlineStr">
        <is>
          <t>MCX:T04-MCX-2</t>
        </is>
      </c>
      <c r="C478" s="7" t="inlineStr">
        <is>
          <t>T04-MCX-2</t>
        </is>
      </c>
      <c r="D478" s="7" t="inlineStr">
        <is>
          <t>MCX_INITIAL_MARGIN</t>
        </is>
      </c>
      <c r="E478" s="7" t="inlineStr">
        <is>
          <t>MCX_INITIAL_MARGIN</t>
        </is>
      </c>
      <c r="F478" s="7" t="inlineStr">
        <is>
          <t>BS</t>
        </is>
      </c>
      <c r="G478" s="7" t="inlineStr">
        <is>
          <t>INR</t>
        </is>
      </c>
      <c r="H478" s="11" t="n">
        <v>44671</v>
      </c>
      <c r="I478" s="11" t="n">
        <v>44686</v>
      </c>
      <c r="J478" s="11" t="n">
        <v>44686</v>
      </c>
      <c r="K478" s="11" t="n">
        <v>44686</v>
      </c>
      <c r="L478" s="7" t="inlineStr">
        <is>
          <t>roll following on the LME panel calendar</t>
        </is>
      </c>
      <c r="N478" s="7" t="inlineStr">
        <is>
          <t>PROXY</t>
        </is>
      </c>
      <c r="O478" s="9" t="n">
        <v>53446.65</v>
      </c>
      <c r="P478" s="9" t="n">
        <v>53446.65</v>
      </c>
      <c r="U478" s="7" t="inlineStr">
        <is>
          <t>DERIVED_IN_WORKBOOK</t>
        </is>
      </c>
      <c r="V478" s="8">
        <f>-SUMIFS(Cashflows!$W$1043:$W$1393,Cashflows!$B$1043:$B$1393,$C478,Cashflows!$C$1043:$C$1393,$K478)</f>
        <v/>
      </c>
      <c r="W478" s="8">
        <f>IF($G478="INR",1,INDEX(Market_Daily!$F$6:$F$256,MATCH($K478,Market_Daily!$A$6:$A$256,0)))</f>
        <v/>
      </c>
      <c r="X478" s="8">
        <f>$V478*$W478</f>
        <v/>
      </c>
      <c r="Y478" s="18">
        <f>$X478-$P478</f>
        <v/>
      </c>
      <c r="Z478" s="8">
        <f>IF(ABS($Y478)&lt;=tol_cashflow_inr,"PASS","FAIL")</f>
        <v/>
      </c>
      <c r="AA478" s="7" t="inlineStr">
        <is>
          <t>-d(lots x lot_kg x F(s) x mcx_al_margin_used_frac)</t>
        </is>
      </c>
    </row>
    <row r="479">
      <c r="A479" s="7" t="inlineStr">
        <is>
          <t>T04</t>
        </is>
      </c>
      <c r="B479" s="7" t="inlineStr">
        <is>
          <t>MCX:T04-MCX-2</t>
        </is>
      </c>
      <c r="C479" s="7" t="inlineStr">
        <is>
          <t>T04-MCX-2</t>
        </is>
      </c>
      <c r="D479" s="7" t="inlineStr">
        <is>
          <t>MCX_VARIATION_MARGIN</t>
        </is>
      </c>
      <c r="E479" s="7" t="inlineStr">
        <is>
          <t>MCX_VARIATION_MARGIN</t>
        </is>
      </c>
      <c r="F479" s="7" t="inlineStr">
        <is>
          <t>PNL</t>
        </is>
      </c>
      <c r="G479" s="7" t="inlineStr">
        <is>
          <t>INR</t>
        </is>
      </c>
      <c r="H479" s="11" t="n">
        <v>44671</v>
      </c>
      <c r="I479" s="11" t="n">
        <v>44686</v>
      </c>
      <c r="J479" s="11" t="n">
        <v>44686</v>
      </c>
      <c r="K479" s="11" t="n">
        <v>44686</v>
      </c>
      <c r="L479" s="7" t="inlineStr">
        <is>
          <t>roll following on the LME panel calendar</t>
        </is>
      </c>
      <c r="N479" s="7" t="inlineStr">
        <is>
          <t>PROXY</t>
        </is>
      </c>
      <c r="O479" s="9" t="n">
        <v>534466.51</v>
      </c>
      <c r="P479" s="9" t="n">
        <v>534466.51</v>
      </c>
      <c r="U479" s="7" t="inlineStr">
        <is>
          <t>DERIVED_IN_WORKBOOK</t>
        </is>
      </c>
      <c r="V479" s="8">
        <f>SUMIFS(Cashflows!$R$1043:$R$1393,Cashflows!$B$1043:$B$1393,$C479,Cashflows!$C$1043:$C$1393,$K479)</f>
        <v/>
      </c>
      <c r="W479" s="8">
        <f>IF($G479="INR",1,INDEX(Market_Daily!$F$6:$F$256,MATCH($K479,Market_Daily!$A$6:$A$256,0)))</f>
        <v/>
      </c>
      <c r="X479" s="8">
        <f>$V479*$W479</f>
        <v/>
      </c>
      <c r="Y479" s="18">
        <f>$X479-$P479</f>
        <v/>
      </c>
      <c r="Z479" s="8">
        <f>IF(ABS($Y479)&lt;=tol_cashflow_inr,"PASS","FAIL")</f>
        <v/>
      </c>
      <c r="AA479" s="7" t="inlineStr">
        <is>
          <t>direction x lots x lot_kg x (F(s) - F(s-1))</t>
        </is>
      </c>
    </row>
    <row r="480">
      <c r="A480" s="7" t="inlineStr">
        <is>
          <t>T04</t>
        </is>
      </c>
      <c r="B480" s="7" t="inlineStr">
        <is>
          <t>MCX:T04-MCX-2</t>
        </is>
      </c>
      <c r="C480" s="7" t="inlineStr">
        <is>
          <t>T04-MCX-2</t>
        </is>
      </c>
      <c r="D480" s="7" t="inlineStr">
        <is>
          <t>MCX_INITIAL_MARGIN</t>
        </is>
      </c>
      <c r="E480" s="7" t="inlineStr">
        <is>
          <t>MCX_INITIAL_MARGIN</t>
        </is>
      </c>
      <c r="F480" s="7" t="inlineStr">
        <is>
          <t>BS</t>
        </is>
      </c>
      <c r="G480" s="7" t="inlineStr">
        <is>
          <t>INR</t>
        </is>
      </c>
      <c r="H480" s="11" t="n">
        <v>44671</v>
      </c>
      <c r="I480" s="11" t="n">
        <v>44687</v>
      </c>
      <c r="J480" s="11" t="n">
        <v>44687</v>
      </c>
      <c r="K480" s="11" t="n">
        <v>44687</v>
      </c>
      <c r="L480" s="7" t="inlineStr">
        <is>
          <t>roll following on the LME panel calendar</t>
        </is>
      </c>
      <c r="N480" s="7" t="inlineStr">
        <is>
          <t>PROXY</t>
        </is>
      </c>
      <c r="O480" s="9" t="n">
        <v>221796.28</v>
      </c>
      <c r="P480" s="9" t="n">
        <v>221796.28</v>
      </c>
      <c r="U480" s="7" t="inlineStr">
        <is>
          <t>DERIVED_IN_WORKBOOK</t>
        </is>
      </c>
      <c r="V480" s="8">
        <f>-SUMIFS(Cashflows!$W$1043:$W$1393,Cashflows!$B$1043:$B$1393,$C480,Cashflows!$C$1043:$C$1393,$K480)</f>
        <v/>
      </c>
      <c r="W480" s="8">
        <f>IF($G480="INR",1,INDEX(Market_Daily!$F$6:$F$256,MATCH($K480,Market_Daily!$A$6:$A$256,0)))</f>
        <v/>
      </c>
      <c r="X480" s="8">
        <f>$V480*$W480</f>
        <v/>
      </c>
      <c r="Y480" s="18">
        <f>$X480-$P480</f>
        <v/>
      </c>
      <c r="Z480" s="8">
        <f>IF(ABS($Y480)&lt;=tol_cashflow_inr,"PASS","FAIL")</f>
        <v/>
      </c>
      <c r="AA480" s="7" t="inlineStr">
        <is>
          <t>-d(lots x lot_kg x F(s) x mcx_al_margin_used_frac)</t>
        </is>
      </c>
    </row>
    <row r="481">
      <c r="A481" s="7" t="inlineStr">
        <is>
          <t>T04</t>
        </is>
      </c>
      <c r="B481" s="7" t="inlineStr">
        <is>
          <t>MCX:T04-MCX-2</t>
        </is>
      </c>
      <c r="C481" s="7" t="inlineStr">
        <is>
          <t>T04-MCX-2</t>
        </is>
      </c>
      <c r="D481" s="7" t="inlineStr">
        <is>
          <t>MCX_VARIATION_MARGIN</t>
        </is>
      </c>
      <c r="E481" s="7" t="inlineStr">
        <is>
          <t>MCX_VARIATION_MARGIN</t>
        </is>
      </c>
      <c r="F481" s="7" t="inlineStr">
        <is>
          <t>PNL</t>
        </is>
      </c>
      <c r="G481" s="7" t="inlineStr">
        <is>
          <t>INR</t>
        </is>
      </c>
      <c r="H481" s="11" t="n">
        <v>44671</v>
      </c>
      <c r="I481" s="11" t="n">
        <v>44687</v>
      </c>
      <c r="J481" s="11" t="n">
        <v>44687</v>
      </c>
      <c r="K481" s="11" t="n">
        <v>44687</v>
      </c>
      <c r="L481" s="7" t="inlineStr">
        <is>
          <t>roll following on the LME panel calendar</t>
        </is>
      </c>
      <c r="N481" s="7" t="inlineStr">
        <is>
          <t>PROXY</t>
        </is>
      </c>
      <c r="O481" s="9" t="n">
        <v>2217962.83</v>
      </c>
      <c r="P481" s="9" t="n">
        <v>2217962.83</v>
      </c>
      <c r="U481" s="7" t="inlineStr">
        <is>
          <t>DERIVED_IN_WORKBOOK</t>
        </is>
      </c>
      <c r="V481" s="8">
        <f>SUMIFS(Cashflows!$R$1043:$R$1393,Cashflows!$B$1043:$B$1393,$C481,Cashflows!$C$1043:$C$1393,$K481)</f>
        <v/>
      </c>
      <c r="W481" s="8">
        <f>IF($G481="INR",1,INDEX(Market_Daily!$F$6:$F$256,MATCH($K481,Market_Daily!$A$6:$A$256,0)))</f>
        <v/>
      </c>
      <c r="X481" s="8">
        <f>$V481*$W481</f>
        <v/>
      </c>
      <c r="Y481" s="18">
        <f>$X481-$P481</f>
        <v/>
      </c>
      <c r="Z481" s="8">
        <f>IF(ABS($Y481)&lt;=tol_cashflow_inr,"PASS","FAIL")</f>
        <v/>
      </c>
      <c r="AA481" s="7" t="inlineStr">
        <is>
          <t>direction x lots x lot_kg x (F(s) - F(s-1))</t>
        </is>
      </c>
    </row>
    <row r="482">
      <c r="A482" s="7" t="inlineStr">
        <is>
          <t>T04</t>
        </is>
      </c>
      <c r="B482" s="7" t="inlineStr">
        <is>
          <t>MCX:T04-MCX-2</t>
        </is>
      </c>
      <c r="C482" s="7" t="inlineStr">
        <is>
          <t>T04-MCX-2</t>
        </is>
      </c>
      <c r="D482" s="7" t="inlineStr">
        <is>
          <t>MCX_INITIAL_MARGIN</t>
        </is>
      </c>
      <c r="E482" s="7" t="inlineStr">
        <is>
          <t>MCX_INITIAL_MARGIN</t>
        </is>
      </c>
      <c r="F482" s="7" t="inlineStr">
        <is>
          <t>BS</t>
        </is>
      </c>
      <c r="G482" s="7" t="inlineStr">
        <is>
          <t>INR</t>
        </is>
      </c>
      <c r="H482" s="11" t="n">
        <v>44671</v>
      </c>
      <c r="I482" s="11" t="n">
        <v>44690</v>
      </c>
      <c r="J482" s="11" t="n">
        <v>44690</v>
      </c>
      <c r="K482" s="11" t="n">
        <v>44690</v>
      </c>
      <c r="L482" s="7" t="inlineStr">
        <is>
          <t>roll following on the LME panel calendar</t>
        </is>
      </c>
      <c r="N482" s="7" t="inlineStr">
        <is>
          <t>PROXY</t>
        </is>
      </c>
      <c r="O482" s="9" t="n">
        <v>392224.42</v>
      </c>
      <c r="P482" s="9" t="n">
        <v>392224.42</v>
      </c>
      <c r="U482" s="7" t="inlineStr">
        <is>
          <t>DERIVED_IN_WORKBOOK</t>
        </is>
      </c>
      <c r="V482" s="8">
        <f>-SUMIFS(Cashflows!$W$1043:$W$1393,Cashflows!$B$1043:$B$1393,$C482,Cashflows!$C$1043:$C$1393,$K482)</f>
        <v/>
      </c>
      <c r="W482" s="8">
        <f>IF($G482="INR",1,INDEX(Market_Daily!$F$6:$F$256,MATCH($K482,Market_Daily!$A$6:$A$256,0)))</f>
        <v/>
      </c>
      <c r="X482" s="8">
        <f>$V482*$W482</f>
        <v/>
      </c>
      <c r="Y482" s="18">
        <f>$X482-$P482</f>
        <v/>
      </c>
      <c r="Z482" s="8">
        <f>IF(ABS($Y482)&lt;=tol_cashflow_inr,"PASS","FAIL")</f>
        <v/>
      </c>
      <c r="AA482" s="7" t="inlineStr">
        <is>
          <t>-d(lots x lot_kg x F(s) x mcx_al_margin_used_frac)</t>
        </is>
      </c>
    </row>
    <row r="483">
      <c r="A483" s="7" t="inlineStr">
        <is>
          <t>T04</t>
        </is>
      </c>
      <c r="B483" s="7" t="inlineStr">
        <is>
          <t>MCX:T04-MCX-2</t>
        </is>
      </c>
      <c r="C483" s="7" t="inlineStr">
        <is>
          <t>T04-MCX-2</t>
        </is>
      </c>
      <c r="D483" s="7" t="inlineStr">
        <is>
          <t>MCX_VARIATION_MARGIN</t>
        </is>
      </c>
      <c r="E483" s="7" t="inlineStr">
        <is>
          <t>MCX_VARIATION_MARGIN</t>
        </is>
      </c>
      <c r="F483" s="7" t="inlineStr">
        <is>
          <t>PNL</t>
        </is>
      </c>
      <c r="G483" s="7" t="inlineStr">
        <is>
          <t>INR</t>
        </is>
      </c>
      <c r="H483" s="11" t="n">
        <v>44671</v>
      </c>
      <c r="I483" s="11" t="n">
        <v>44690</v>
      </c>
      <c r="J483" s="11" t="n">
        <v>44690</v>
      </c>
      <c r="K483" s="11" t="n">
        <v>44690</v>
      </c>
      <c r="L483" s="7" t="inlineStr">
        <is>
          <t>roll following on the LME panel calendar</t>
        </is>
      </c>
      <c r="N483" s="7" t="inlineStr">
        <is>
          <t>PROXY</t>
        </is>
      </c>
      <c r="O483" s="9" t="n">
        <v>3922244.22</v>
      </c>
      <c r="P483" s="9" t="n">
        <v>3922244.22</v>
      </c>
      <c r="U483" s="7" t="inlineStr">
        <is>
          <t>DERIVED_IN_WORKBOOK</t>
        </is>
      </c>
      <c r="V483" s="8">
        <f>SUMIFS(Cashflows!$R$1043:$R$1393,Cashflows!$B$1043:$B$1393,$C483,Cashflows!$C$1043:$C$1393,$K483)</f>
        <v/>
      </c>
      <c r="W483" s="8">
        <f>IF($G483="INR",1,INDEX(Market_Daily!$F$6:$F$256,MATCH($K483,Market_Daily!$A$6:$A$256,0)))</f>
        <v/>
      </c>
      <c r="X483" s="8">
        <f>$V483*$W483</f>
        <v/>
      </c>
      <c r="Y483" s="18">
        <f>$X483-$P483</f>
        <v/>
      </c>
      <c r="Z483" s="8">
        <f>IF(ABS($Y483)&lt;=tol_cashflow_inr,"PASS","FAIL")</f>
        <v/>
      </c>
      <c r="AA483" s="7" t="inlineStr">
        <is>
          <t>direction x lots x lot_kg x (F(s) - F(s-1))</t>
        </is>
      </c>
    </row>
    <row r="484">
      <c r="A484" s="7" t="inlineStr">
        <is>
          <t>T04</t>
        </is>
      </c>
      <c r="B484" s="7" t="inlineStr">
        <is>
          <t>MCX:T04-MCX-2</t>
        </is>
      </c>
      <c r="C484" s="7" t="inlineStr">
        <is>
          <t>T04-MCX-2</t>
        </is>
      </c>
      <c r="D484" s="7" t="inlineStr">
        <is>
          <t>MCX_INITIAL_MARGIN</t>
        </is>
      </c>
      <c r="E484" s="7" t="inlineStr">
        <is>
          <t>MCX_INITIAL_MARGIN</t>
        </is>
      </c>
      <c r="F484" s="7" t="inlineStr">
        <is>
          <t>BS</t>
        </is>
      </c>
      <c r="G484" s="7" t="inlineStr">
        <is>
          <t>INR</t>
        </is>
      </c>
      <c r="H484" s="11" t="n">
        <v>44671</v>
      </c>
      <c r="I484" s="11" t="n">
        <v>44691</v>
      </c>
      <c r="J484" s="11" t="n">
        <v>44691</v>
      </c>
      <c r="K484" s="11" t="n">
        <v>44691</v>
      </c>
      <c r="L484" s="7" t="inlineStr">
        <is>
          <t>roll following on the LME panel calendar</t>
        </is>
      </c>
      <c r="N484" s="7" t="inlineStr">
        <is>
          <t>PROXY</t>
        </is>
      </c>
      <c r="O484" s="9" t="n">
        <v>133793.7</v>
      </c>
      <c r="P484" s="9" t="n">
        <v>133793.7</v>
      </c>
      <c r="U484" s="7" t="inlineStr">
        <is>
          <t>DERIVED_IN_WORKBOOK</t>
        </is>
      </c>
      <c r="V484" s="8">
        <f>-SUMIFS(Cashflows!$W$1043:$W$1393,Cashflows!$B$1043:$B$1393,$C484,Cashflows!$C$1043:$C$1393,$K484)</f>
        <v/>
      </c>
      <c r="W484" s="8">
        <f>IF($G484="INR",1,INDEX(Market_Daily!$F$6:$F$256,MATCH($K484,Market_Daily!$A$6:$A$256,0)))</f>
        <v/>
      </c>
      <c r="X484" s="8">
        <f>$V484*$W484</f>
        <v/>
      </c>
      <c r="Y484" s="18">
        <f>$X484-$P484</f>
        <v/>
      </c>
      <c r="Z484" s="8">
        <f>IF(ABS($Y484)&lt;=tol_cashflow_inr,"PASS","FAIL")</f>
        <v/>
      </c>
      <c r="AA484" s="7" t="inlineStr">
        <is>
          <t>-d(lots x lot_kg x F(s) x mcx_al_margin_used_frac)</t>
        </is>
      </c>
    </row>
    <row r="485">
      <c r="A485" s="7" t="inlineStr">
        <is>
          <t>T04</t>
        </is>
      </c>
      <c r="B485" s="7" t="inlineStr">
        <is>
          <t>MCX:T04-MCX-2</t>
        </is>
      </c>
      <c r="C485" s="7" t="inlineStr">
        <is>
          <t>T04-MCX-2</t>
        </is>
      </c>
      <c r="D485" s="7" t="inlineStr">
        <is>
          <t>MCX_VARIATION_MARGIN</t>
        </is>
      </c>
      <c r="E485" s="7" t="inlineStr">
        <is>
          <t>MCX_VARIATION_MARGIN</t>
        </is>
      </c>
      <c r="F485" s="7" t="inlineStr">
        <is>
          <t>PNL</t>
        </is>
      </c>
      <c r="G485" s="7" t="inlineStr">
        <is>
          <t>INR</t>
        </is>
      </c>
      <c r="H485" s="11" t="n">
        <v>44671</v>
      </c>
      <c r="I485" s="11" t="n">
        <v>44691</v>
      </c>
      <c r="J485" s="11" t="n">
        <v>44691</v>
      </c>
      <c r="K485" s="11" t="n">
        <v>44691</v>
      </c>
      <c r="L485" s="7" t="inlineStr">
        <is>
          <t>roll following on the LME panel calendar</t>
        </is>
      </c>
      <c r="N485" s="7" t="inlineStr">
        <is>
          <t>PROXY</t>
        </is>
      </c>
      <c r="O485" s="9" t="n">
        <v>1337936.99</v>
      </c>
      <c r="P485" s="9" t="n">
        <v>1337936.99</v>
      </c>
      <c r="U485" s="7" t="inlineStr">
        <is>
          <t>DERIVED_IN_WORKBOOK</t>
        </is>
      </c>
      <c r="V485" s="8">
        <f>SUMIFS(Cashflows!$R$1043:$R$1393,Cashflows!$B$1043:$B$1393,$C485,Cashflows!$C$1043:$C$1393,$K485)</f>
        <v/>
      </c>
      <c r="W485" s="8">
        <f>IF($G485="INR",1,INDEX(Market_Daily!$F$6:$F$256,MATCH($K485,Market_Daily!$A$6:$A$256,0)))</f>
        <v/>
      </c>
      <c r="X485" s="8">
        <f>$V485*$W485</f>
        <v/>
      </c>
      <c r="Y485" s="18">
        <f>$X485-$P485</f>
        <v/>
      </c>
      <c r="Z485" s="8">
        <f>IF(ABS($Y485)&lt;=tol_cashflow_inr,"PASS","FAIL")</f>
        <v/>
      </c>
      <c r="AA485" s="7" t="inlineStr">
        <is>
          <t>direction x lots x lot_kg x (F(s) - F(s-1))</t>
        </is>
      </c>
    </row>
    <row r="486">
      <c r="A486" s="7" t="inlineStr">
        <is>
          <t>T04</t>
        </is>
      </c>
      <c r="B486" s="7" t="inlineStr">
        <is>
          <t>BILL_COMMISSION:L2</t>
        </is>
      </c>
      <c r="C486" s="7" t="inlineStr">
        <is>
          <t>L2</t>
        </is>
      </c>
      <c r="D486" s="7" t="inlineStr">
        <is>
          <t>IMPORT_BILL_COMMISSION</t>
        </is>
      </c>
      <c r="E486" s="7" t="inlineStr">
        <is>
          <t>IMPORT_BILL_COMMISSION</t>
        </is>
      </c>
      <c r="F486" s="7" t="inlineStr">
        <is>
          <t>PNL</t>
        </is>
      </c>
      <c r="G486" s="7" t="inlineStr">
        <is>
          <t>USD</t>
        </is>
      </c>
      <c r="H486" s="11" t="n">
        <v>44657</v>
      </c>
      <c r="I486" s="11" t="n">
        <v>44692</v>
      </c>
      <c r="J486" s="11" t="n">
        <v>44692</v>
      </c>
      <c r="K486" s="11" t="n">
        <v>44692</v>
      </c>
      <c r="L486" s="7" t="inlineStr">
        <is>
          <t>roll following on the LME panel calendar</t>
        </is>
      </c>
      <c r="N486" s="7" t="inlineStr">
        <is>
          <t>DIRECT</t>
        </is>
      </c>
      <c r="O486" s="9" t="n">
        <v>-1821.96</v>
      </c>
      <c r="P486" s="9" t="n">
        <v>-140697.4</v>
      </c>
      <c r="U486" s="7" t="inlineStr">
        <is>
          <t>PYTHON_LIFECYCLE</t>
        </is>
      </c>
      <c r="V486" s="8">
        <f>$O486</f>
        <v/>
      </c>
      <c r="W486" s="8">
        <f>IF($G486="INR",1,INDEX(Market_Daily!$F$6:$F$256,MATCH($K486,Market_Daily!$A$6:$A$256,0)))</f>
        <v/>
      </c>
      <c r="X486" s="8">
        <f>$V486*$W486</f>
        <v/>
      </c>
      <c r="Y486" s="18">
        <f>$X486-$P486</f>
        <v/>
      </c>
      <c r="Z486" s="8">
        <f>IF(ABS($Y486)&lt;=tol_cashflow_inr,"PASS","FAIL")</f>
        <v/>
      </c>
      <c r="AA486" s="7" t="inlineStr">
        <is>
          <t>-import_bill_commission_frac x bill_usd</t>
        </is>
      </c>
    </row>
    <row r="487">
      <c r="A487" s="7" t="inlineStr">
        <is>
          <t>T04</t>
        </is>
      </c>
      <c r="B487" s="7" t="inlineStr">
        <is>
          <t>FX:T04-FX-2</t>
        </is>
      </c>
      <c r="C487" s="7" t="inlineStr">
        <is>
          <t>T04-FX-2</t>
        </is>
      </c>
      <c r="D487" s="7" t="inlineStr">
        <is>
          <t>FX_FORWARD</t>
        </is>
      </c>
      <c r="E487" s="7" t="inlineStr">
        <is>
          <t>FX_FORWARD</t>
        </is>
      </c>
      <c r="F487" s="7" t="inlineStr">
        <is>
          <t>PNL</t>
        </is>
      </c>
      <c r="G487" s="7" t="inlineStr">
        <is>
          <t>INR</t>
        </is>
      </c>
      <c r="H487" s="11" t="n">
        <v>44685</v>
      </c>
      <c r="I487" s="11" t="n">
        <v>44692</v>
      </c>
      <c r="J487" s="11" t="n">
        <v>44692</v>
      </c>
      <c r="K487" s="11" t="n">
        <v>44692</v>
      </c>
      <c r="L487" s="7" t="inlineStr">
        <is>
          <t>roll following on the LME panel calendar</t>
        </is>
      </c>
      <c r="N487" s="7" t="inlineStr">
        <is>
          <t>PROXY</t>
        </is>
      </c>
      <c r="O487" s="9" t="n">
        <v>1089410.57</v>
      </c>
      <c r="P487" s="9" t="n">
        <v>1089410.57</v>
      </c>
      <c r="Q487" s="6" t="n">
        <v>1</v>
      </c>
      <c r="R487" s="13" t="n">
        <v>1518300</v>
      </c>
      <c r="S487" s="12" t="n">
        <v>44692</v>
      </c>
      <c r="T487" s="21" t="n">
        <v>76.50557999999999</v>
      </c>
      <c r="U487" s="7" t="inlineStr">
        <is>
          <t>DERIVED_IN_WORKBOOK</t>
        </is>
      </c>
      <c r="V487" s="8">
        <f>$Q487*$R487*(IF($S487&lt;$K487,INDEX(Market_Daily!$F$6:$F$256,MATCH($S487,Market_Daily!$A$6:$A$256,1)),IF($S487=$K487,INDEX(Market_Daily!$F$6:$F$256,MATCH($K487,Market_Daily!$A$6:$A$256,0)),(INDEX(Market_Daily!$F$6:$F$256,MATCH($K487,Market_Daily!$A$6:$A$256,0))*(1+INDEX(Market_Daily!$I$6:$I$256,MATCH($K487,Market_Daily!$A$6:$A$256,0))*($S487-$K487)/day_count_inr)/(1+INDEX(Market_Daily!$J$6:$J$256,MATCH($K487,Market_Daily!$A$6:$A$256,0))*($S487-$K487)/day_count_usd))))-$T487)</f>
        <v/>
      </c>
      <c r="W487" s="8">
        <f>IF($G487="INR",1,INDEX(Market_Daily!$F$6:$F$256,MATCH($K487,Market_Daily!$A$6:$A$256,0)))</f>
        <v/>
      </c>
      <c r="X487" s="8">
        <f>$V487*$W487</f>
        <v/>
      </c>
      <c r="Y487" s="18">
        <f>$X487-$P487</f>
        <v/>
      </c>
      <c r="Z487" s="8">
        <f>IF(ABS($Y487)&lt;=tol_cashflow_inr,"PASS","FAIL")</f>
        <v/>
      </c>
      <c r="AA487" s="7" t="inlineStr">
        <is>
          <t>sign x notional x (X(tau, value_date) - K)</t>
        </is>
      </c>
    </row>
    <row r="488">
      <c r="A488" s="7" t="inlineStr">
        <is>
          <t>T04</t>
        </is>
      </c>
      <c r="B488" s="7" t="inlineStr">
        <is>
          <t>MCX:T04-MCX-2</t>
        </is>
      </c>
      <c r="C488" s="7" t="inlineStr">
        <is>
          <t>T04-MCX-2</t>
        </is>
      </c>
      <c r="D488" s="7" t="inlineStr">
        <is>
          <t>MCX_INITIAL_MARGIN</t>
        </is>
      </c>
      <c r="E488" s="7" t="inlineStr">
        <is>
          <t>MCX_INITIAL_MARGIN</t>
        </is>
      </c>
      <c r="F488" s="7" t="inlineStr">
        <is>
          <t>BS</t>
        </is>
      </c>
      <c r="G488" s="7" t="inlineStr">
        <is>
          <t>INR</t>
        </is>
      </c>
      <c r="H488" s="11" t="n">
        <v>44671</v>
      </c>
      <c r="I488" s="11" t="n">
        <v>44692</v>
      </c>
      <c r="J488" s="11" t="n">
        <v>44692</v>
      </c>
      <c r="K488" s="11" t="n">
        <v>44692</v>
      </c>
      <c r="L488" s="7" t="inlineStr">
        <is>
          <t>roll following on the LME panel calendar</t>
        </is>
      </c>
      <c r="N488" s="7" t="inlineStr">
        <is>
          <t>PROXY</t>
        </is>
      </c>
      <c r="O488" s="9" t="n">
        <v>-212541.48</v>
      </c>
      <c r="P488" s="9" t="n">
        <v>-212541.48</v>
      </c>
      <c r="U488" s="7" t="inlineStr">
        <is>
          <t>DERIVED_IN_WORKBOOK</t>
        </is>
      </c>
      <c r="V488" s="8">
        <f>-SUMIFS(Cashflows!$W$1043:$W$1393,Cashflows!$B$1043:$B$1393,$C488,Cashflows!$C$1043:$C$1393,$K488)</f>
        <v/>
      </c>
      <c r="W488" s="8">
        <f>IF($G488="INR",1,INDEX(Market_Daily!$F$6:$F$256,MATCH($K488,Market_Daily!$A$6:$A$256,0)))</f>
        <v/>
      </c>
      <c r="X488" s="8">
        <f>$V488*$W488</f>
        <v/>
      </c>
      <c r="Y488" s="18">
        <f>$X488-$P488</f>
        <v/>
      </c>
      <c r="Z488" s="8">
        <f>IF(ABS($Y488)&lt;=tol_cashflow_inr,"PASS","FAIL")</f>
        <v/>
      </c>
      <c r="AA488" s="7" t="inlineStr">
        <is>
          <t>-d(lots x lot_kg x F(s) x mcx_al_margin_used_frac)</t>
        </is>
      </c>
    </row>
    <row r="489">
      <c r="A489" s="7" t="inlineStr">
        <is>
          <t>T04</t>
        </is>
      </c>
      <c r="B489" s="7" t="inlineStr">
        <is>
          <t>MCX:T04-MCX-2</t>
        </is>
      </c>
      <c r="C489" s="7" t="inlineStr">
        <is>
          <t>T04-MCX-2</t>
        </is>
      </c>
      <c r="D489" s="7" t="inlineStr">
        <is>
          <t>MCX_VARIATION_MARGIN</t>
        </is>
      </c>
      <c r="E489" s="7" t="inlineStr">
        <is>
          <t>MCX_VARIATION_MARGIN</t>
        </is>
      </c>
      <c r="F489" s="7" t="inlineStr">
        <is>
          <t>PNL</t>
        </is>
      </c>
      <c r="G489" s="7" t="inlineStr">
        <is>
          <t>INR</t>
        </is>
      </c>
      <c r="H489" s="11" t="n">
        <v>44671</v>
      </c>
      <c r="I489" s="11" t="n">
        <v>44692</v>
      </c>
      <c r="J489" s="11" t="n">
        <v>44692</v>
      </c>
      <c r="K489" s="11" t="n">
        <v>44692</v>
      </c>
      <c r="L489" s="7" t="inlineStr">
        <is>
          <t>roll following on the LME panel calendar</t>
        </is>
      </c>
      <c r="N489" s="7" t="inlineStr">
        <is>
          <t>PROXY</t>
        </is>
      </c>
      <c r="O489" s="9" t="n">
        <v>-2125414.78</v>
      </c>
      <c r="P489" s="9" t="n">
        <v>-2125414.78</v>
      </c>
      <c r="U489" s="7" t="inlineStr">
        <is>
          <t>DERIVED_IN_WORKBOOK</t>
        </is>
      </c>
      <c r="V489" s="8">
        <f>SUMIFS(Cashflows!$R$1043:$R$1393,Cashflows!$B$1043:$B$1393,$C489,Cashflows!$C$1043:$C$1393,$K489)</f>
        <v/>
      </c>
      <c r="W489" s="8">
        <f>IF($G489="INR",1,INDEX(Market_Daily!$F$6:$F$256,MATCH($K489,Market_Daily!$A$6:$A$256,0)))</f>
        <v/>
      </c>
      <c r="X489" s="8">
        <f>$V489*$W489</f>
        <v/>
      </c>
      <c r="Y489" s="18">
        <f>$X489-$P489</f>
        <v/>
      </c>
      <c r="Z489" s="8">
        <f>IF(ABS($Y489)&lt;=tol_cashflow_inr,"PASS","FAIL")</f>
        <v/>
      </c>
      <c r="AA489" s="7" t="inlineStr">
        <is>
          <t>direction x lots x lot_kg x (F(s) - F(s-1))</t>
        </is>
      </c>
    </row>
    <row r="490">
      <c r="A490" s="7" t="inlineStr">
        <is>
          <t>T04</t>
        </is>
      </c>
      <c r="B490" s="7" t="inlineStr">
        <is>
          <t>PURCHASE:L2</t>
        </is>
      </c>
      <c r="C490" s="7" t="inlineStr">
        <is>
          <t>L2</t>
        </is>
      </c>
      <c r="D490" s="7" t="inlineStr">
        <is>
          <t>PURCHASE_INVOICE</t>
        </is>
      </c>
      <c r="E490" s="7" t="inlineStr">
        <is>
          <t>PURCHASE_INVOICE</t>
        </is>
      </c>
      <c r="F490" s="7" t="inlineStr">
        <is>
          <t>PNL</t>
        </is>
      </c>
      <c r="G490" s="7" t="inlineStr">
        <is>
          <t>USD</t>
        </is>
      </c>
      <c r="H490" s="11" t="n">
        <v>44657</v>
      </c>
      <c r="J490" s="11" t="n">
        <v>44692</v>
      </c>
      <c r="K490" s="11" t="n">
        <v>44692</v>
      </c>
      <c r="L490" s="7" t="inlineStr">
        <is>
          <t>roll following on the LME panel calendar</t>
        </is>
      </c>
      <c r="N490" s="7" t="inlineStr">
        <is>
          <t>SIM</t>
        </is>
      </c>
      <c r="O490" s="9" t="n">
        <v>-1518300</v>
      </c>
      <c r="P490" s="9" t="n">
        <v>-117247832.73</v>
      </c>
      <c r="U490" s="7" t="inlineStr">
        <is>
          <t>PYTHON_LIFECYCLE</t>
        </is>
      </c>
      <c r="V490" s="8">
        <f>$O490</f>
        <v/>
      </c>
      <c r="W490" s="8">
        <f>IF($G490="INR",1,INDEX(Market_Daily!$F$6:$F$256,MATCH($K490,Market_Daily!$A$6:$A$256,0)))</f>
        <v/>
      </c>
      <c r="X490" s="8">
        <f>$V490*$W490</f>
        <v/>
      </c>
      <c r="Y490" s="18">
        <f>$X490-$P490</f>
        <v/>
      </c>
      <c r="Z490" s="8">
        <f>IF(ABS($Y490)&lt;=tol_cashflow_inr,"PASS","FAIL")</f>
        <v/>
      </c>
      <c r="AA490" s="7" t="inlineStr">
        <is>
          <t>-q_bl x price_usd_t</t>
        </is>
      </c>
    </row>
    <row r="491">
      <c r="A491" s="7" t="inlineStr">
        <is>
          <t>T04</t>
        </is>
      </c>
      <c r="B491" s="7" t="inlineStr">
        <is>
          <t>MCX:T04-MCX-2</t>
        </is>
      </c>
      <c r="C491" s="7" t="inlineStr">
        <is>
          <t>T04-MCX-2</t>
        </is>
      </c>
      <c r="D491" s="7" t="inlineStr">
        <is>
          <t>MCX_INITIAL_MARGIN</t>
        </is>
      </c>
      <c r="E491" s="7" t="inlineStr">
        <is>
          <t>MCX_INITIAL_MARGIN</t>
        </is>
      </c>
      <c r="F491" s="7" t="inlineStr">
        <is>
          <t>BS</t>
        </is>
      </c>
      <c r="G491" s="7" t="inlineStr">
        <is>
          <t>INR</t>
        </is>
      </c>
      <c r="H491" s="11" t="n">
        <v>44671</v>
      </c>
      <c r="I491" s="11" t="n">
        <v>44693</v>
      </c>
      <c r="J491" s="11" t="n">
        <v>44693</v>
      </c>
      <c r="K491" s="11" t="n">
        <v>44693</v>
      </c>
      <c r="L491" s="7" t="inlineStr">
        <is>
          <t>roll following on the LME panel calendar</t>
        </is>
      </c>
      <c r="N491" s="7" t="inlineStr">
        <is>
          <t>PROXY</t>
        </is>
      </c>
      <c r="O491" s="9" t="n">
        <v>144166.74</v>
      </c>
      <c r="P491" s="9" t="n">
        <v>144166.74</v>
      </c>
      <c r="U491" s="7" t="inlineStr">
        <is>
          <t>DERIVED_IN_WORKBOOK</t>
        </is>
      </c>
      <c r="V491" s="8">
        <f>-SUMIFS(Cashflows!$W$1043:$W$1393,Cashflows!$B$1043:$B$1393,$C491,Cashflows!$C$1043:$C$1393,$K491)</f>
        <v/>
      </c>
      <c r="W491" s="8">
        <f>IF($G491="INR",1,INDEX(Market_Daily!$F$6:$F$256,MATCH($K491,Market_Daily!$A$6:$A$256,0)))</f>
        <v/>
      </c>
      <c r="X491" s="8">
        <f>$V491*$W491</f>
        <v/>
      </c>
      <c r="Y491" s="18">
        <f>$X491-$P491</f>
        <v/>
      </c>
      <c r="Z491" s="8">
        <f>IF(ABS($Y491)&lt;=tol_cashflow_inr,"PASS","FAIL")</f>
        <v/>
      </c>
      <c r="AA491" s="7" t="inlineStr">
        <is>
          <t>-d(lots x lot_kg x F(s) x mcx_al_margin_used_frac)</t>
        </is>
      </c>
    </row>
    <row r="492">
      <c r="A492" s="7" t="inlineStr">
        <is>
          <t>T04</t>
        </is>
      </c>
      <c r="B492" s="7" t="inlineStr">
        <is>
          <t>MCX:T04-MCX-2</t>
        </is>
      </c>
      <c r="C492" s="7" t="inlineStr">
        <is>
          <t>T04-MCX-2</t>
        </is>
      </c>
      <c r="D492" s="7" t="inlineStr">
        <is>
          <t>MCX_VARIATION_MARGIN</t>
        </is>
      </c>
      <c r="E492" s="7" t="inlineStr">
        <is>
          <t>MCX_VARIATION_MARGIN</t>
        </is>
      </c>
      <c r="F492" s="7" t="inlineStr">
        <is>
          <t>PNL</t>
        </is>
      </c>
      <c r="G492" s="7" t="inlineStr">
        <is>
          <t>INR</t>
        </is>
      </c>
      <c r="H492" s="11" t="n">
        <v>44671</v>
      </c>
      <c r="I492" s="11" t="n">
        <v>44693</v>
      </c>
      <c r="J492" s="11" t="n">
        <v>44693</v>
      </c>
      <c r="K492" s="11" t="n">
        <v>44693</v>
      </c>
      <c r="L492" s="7" t="inlineStr">
        <is>
          <t>roll following on the LME panel calendar</t>
        </is>
      </c>
      <c r="N492" s="7" t="inlineStr">
        <is>
          <t>PROXY</t>
        </is>
      </c>
      <c r="O492" s="9" t="n">
        <v>1441667.4</v>
      </c>
      <c r="P492" s="9" t="n">
        <v>1441667.4</v>
      </c>
      <c r="U492" s="7" t="inlineStr">
        <is>
          <t>DERIVED_IN_WORKBOOK</t>
        </is>
      </c>
      <c r="V492" s="8">
        <f>SUMIFS(Cashflows!$R$1043:$R$1393,Cashflows!$B$1043:$B$1393,$C492,Cashflows!$C$1043:$C$1393,$K492)</f>
        <v/>
      </c>
      <c r="W492" s="8">
        <f>IF($G492="INR",1,INDEX(Market_Daily!$F$6:$F$256,MATCH($K492,Market_Daily!$A$6:$A$256,0)))</f>
        <v/>
      </c>
      <c r="X492" s="8">
        <f>$V492*$W492</f>
        <v/>
      </c>
      <c r="Y492" s="18">
        <f>$X492-$P492</f>
        <v/>
      </c>
      <c r="Z492" s="8">
        <f>IF(ABS($Y492)&lt;=tol_cashflow_inr,"PASS","FAIL")</f>
        <v/>
      </c>
      <c r="AA492" s="7" t="inlineStr">
        <is>
          <t>direction x lots x lot_kg x (F(s) - F(s-1))</t>
        </is>
      </c>
    </row>
    <row r="493">
      <c r="A493" s="7" t="inlineStr">
        <is>
          <t>T04</t>
        </is>
      </c>
      <c r="B493" s="7" t="inlineStr">
        <is>
          <t>MCX:T04-MCX-2</t>
        </is>
      </c>
      <c r="C493" s="7" t="inlineStr">
        <is>
          <t>T04-MCX-2</t>
        </is>
      </c>
      <c r="D493" s="7" t="inlineStr">
        <is>
          <t>MCX_INITIAL_MARGIN</t>
        </is>
      </c>
      <c r="E493" s="7" t="inlineStr">
        <is>
          <t>MCX_INITIAL_MARGIN</t>
        </is>
      </c>
      <c r="F493" s="7" t="inlineStr">
        <is>
          <t>BS</t>
        </is>
      </c>
      <c r="G493" s="7" t="inlineStr">
        <is>
          <t>INR</t>
        </is>
      </c>
      <c r="H493" s="11" t="n">
        <v>44671</v>
      </c>
      <c r="I493" s="11" t="n">
        <v>44694</v>
      </c>
      <c r="J493" s="11" t="n">
        <v>44694</v>
      </c>
      <c r="K493" s="11" t="n">
        <v>44694</v>
      </c>
      <c r="L493" s="7" t="inlineStr">
        <is>
          <t>roll following on the LME panel calendar</t>
        </is>
      </c>
      <c r="N493" s="7" t="inlineStr">
        <is>
          <t>PROXY</t>
        </is>
      </c>
      <c r="O493" s="9" t="n">
        <v>-119680.37</v>
      </c>
      <c r="P493" s="9" t="n">
        <v>-119680.37</v>
      </c>
      <c r="U493" s="7" t="inlineStr">
        <is>
          <t>DERIVED_IN_WORKBOOK</t>
        </is>
      </c>
      <c r="V493" s="8">
        <f>-SUMIFS(Cashflows!$W$1043:$W$1393,Cashflows!$B$1043:$B$1393,$C493,Cashflows!$C$1043:$C$1393,$K493)</f>
        <v/>
      </c>
      <c r="W493" s="8">
        <f>IF($G493="INR",1,INDEX(Market_Daily!$F$6:$F$256,MATCH($K493,Market_Daily!$A$6:$A$256,0)))</f>
        <v/>
      </c>
      <c r="X493" s="8">
        <f>$V493*$W493</f>
        <v/>
      </c>
      <c r="Y493" s="18">
        <f>$X493-$P493</f>
        <v/>
      </c>
      <c r="Z493" s="8">
        <f>IF(ABS($Y493)&lt;=tol_cashflow_inr,"PASS","FAIL")</f>
        <v/>
      </c>
      <c r="AA493" s="7" t="inlineStr">
        <is>
          <t>-d(lots x lot_kg x F(s) x mcx_al_margin_used_frac)</t>
        </is>
      </c>
    </row>
    <row r="494">
      <c r="A494" s="7" t="inlineStr">
        <is>
          <t>T04</t>
        </is>
      </c>
      <c r="B494" s="7" t="inlineStr">
        <is>
          <t>MCX:T04-MCX-2</t>
        </is>
      </c>
      <c r="C494" s="7" t="inlineStr">
        <is>
          <t>T04-MCX-2</t>
        </is>
      </c>
      <c r="D494" s="7" t="inlineStr">
        <is>
          <t>MCX_VARIATION_MARGIN</t>
        </is>
      </c>
      <c r="E494" s="7" t="inlineStr">
        <is>
          <t>MCX_VARIATION_MARGIN</t>
        </is>
      </c>
      <c r="F494" s="7" t="inlineStr">
        <is>
          <t>PNL</t>
        </is>
      </c>
      <c r="G494" s="7" t="inlineStr">
        <is>
          <t>INR</t>
        </is>
      </c>
      <c r="H494" s="11" t="n">
        <v>44671</v>
      </c>
      <c r="I494" s="11" t="n">
        <v>44694</v>
      </c>
      <c r="J494" s="11" t="n">
        <v>44694</v>
      </c>
      <c r="K494" s="11" t="n">
        <v>44694</v>
      </c>
      <c r="L494" s="7" t="inlineStr">
        <is>
          <t>roll following on the LME panel calendar</t>
        </is>
      </c>
      <c r="N494" s="7" t="inlineStr">
        <is>
          <t>PROXY</t>
        </is>
      </c>
      <c r="O494" s="9" t="n">
        <v>-1196803.68</v>
      </c>
      <c r="P494" s="9" t="n">
        <v>-1196803.68</v>
      </c>
      <c r="U494" s="7" t="inlineStr">
        <is>
          <t>DERIVED_IN_WORKBOOK</t>
        </is>
      </c>
      <c r="V494" s="8">
        <f>SUMIFS(Cashflows!$R$1043:$R$1393,Cashflows!$B$1043:$B$1393,$C494,Cashflows!$C$1043:$C$1393,$K494)</f>
        <v/>
      </c>
      <c r="W494" s="8">
        <f>IF($G494="INR",1,INDEX(Market_Daily!$F$6:$F$256,MATCH($K494,Market_Daily!$A$6:$A$256,0)))</f>
        <v/>
      </c>
      <c r="X494" s="8">
        <f>$V494*$W494</f>
        <v/>
      </c>
      <c r="Y494" s="18">
        <f>$X494-$P494</f>
        <v/>
      </c>
      <c r="Z494" s="8">
        <f>IF(ABS($Y494)&lt;=tol_cashflow_inr,"PASS","FAIL")</f>
        <v/>
      </c>
      <c r="AA494" s="7" t="inlineStr">
        <is>
          <t>direction x lots x lot_kg x (F(s) - F(s-1))</t>
        </is>
      </c>
    </row>
    <row r="495">
      <c r="A495" s="7" t="inlineStr">
        <is>
          <t>T04</t>
        </is>
      </c>
      <c r="B495" s="7" t="inlineStr">
        <is>
          <t>MCX:T04-MCX-2</t>
        </is>
      </c>
      <c r="C495" s="7" t="inlineStr">
        <is>
          <t>T04-MCX-2</t>
        </is>
      </c>
      <c r="D495" s="7" t="inlineStr">
        <is>
          <t>MCX_INITIAL_MARGIN</t>
        </is>
      </c>
      <c r="E495" s="7" t="inlineStr">
        <is>
          <t>MCX_INITIAL_MARGIN</t>
        </is>
      </c>
      <c r="F495" s="7" t="inlineStr">
        <is>
          <t>BS</t>
        </is>
      </c>
      <c r="G495" s="7" t="inlineStr">
        <is>
          <t>INR</t>
        </is>
      </c>
      <c r="H495" s="11" t="n">
        <v>44671</v>
      </c>
      <c r="I495" s="11" t="n">
        <v>44697</v>
      </c>
      <c r="J495" s="11" t="n">
        <v>44697</v>
      </c>
      <c r="K495" s="11" t="n">
        <v>44697</v>
      </c>
      <c r="L495" s="7" t="inlineStr">
        <is>
          <t>roll following on the LME panel calendar</t>
        </is>
      </c>
      <c r="N495" s="7" t="inlineStr">
        <is>
          <t>PROXY</t>
        </is>
      </c>
      <c r="O495" s="9" t="n">
        <v>-290465.99</v>
      </c>
      <c r="P495" s="9" t="n">
        <v>-290465.99</v>
      </c>
      <c r="U495" s="7" t="inlineStr">
        <is>
          <t>DERIVED_IN_WORKBOOK</t>
        </is>
      </c>
      <c r="V495" s="8">
        <f>-SUMIFS(Cashflows!$W$1043:$W$1393,Cashflows!$B$1043:$B$1393,$C495,Cashflows!$C$1043:$C$1393,$K495)</f>
        <v/>
      </c>
      <c r="W495" s="8">
        <f>IF($G495="INR",1,INDEX(Market_Daily!$F$6:$F$256,MATCH($K495,Market_Daily!$A$6:$A$256,0)))</f>
        <v/>
      </c>
      <c r="X495" s="8">
        <f>$V495*$W495</f>
        <v/>
      </c>
      <c r="Y495" s="18">
        <f>$X495-$P495</f>
        <v/>
      </c>
      <c r="Z495" s="8">
        <f>IF(ABS($Y495)&lt;=tol_cashflow_inr,"PASS","FAIL")</f>
        <v/>
      </c>
      <c r="AA495" s="7" t="inlineStr">
        <is>
          <t>-d(lots x lot_kg x F(s) x mcx_al_margin_used_frac)</t>
        </is>
      </c>
    </row>
    <row r="496">
      <c r="A496" s="7" t="inlineStr">
        <is>
          <t>T04</t>
        </is>
      </c>
      <c r="B496" s="7" t="inlineStr">
        <is>
          <t>MCX:T04-MCX-2</t>
        </is>
      </c>
      <c r="C496" s="7" t="inlineStr">
        <is>
          <t>T04-MCX-2</t>
        </is>
      </c>
      <c r="D496" s="7" t="inlineStr">
        <is>
          <t>MCX_VARIATION_MARGIN</t>
        </is>
      </c>
      <c r="E496" s="7" t="inlineStr">
        <is>
          <t>MCX_VARIATION_MARGIN</t>
        </is>
      </c>
      <c r="F496" s="7" t="inlineStr">
        <is>
          <t>PNL</t>
        </is>
      </c>
      <c r="G496" s="7" t="inlineStr">
        <is>
          <t>INR</t>
        </is>
      </c>
      <c r="H496" s="11" t="n">
        <v>44671</v>
      </c>
      <c r="I496" s="11" t="n">
        <v>44697</v>
      </c>
      <c r="J496" s="11" t="n">
        <v>44697</v>
      </c>
      <c r="K496" s="11" t="n">
        <v>44697</v>
      </c>
      <c r="L496" s="7" t="inlineStr">
        <is>
          <t>roll following on the LME panel calendar</t>
        </is>
      </c>
      <c r="N496" s="7" t="inlineStr">
        <is>
          <t>PROXY</t>
        </is>
      </c>
      <c r="O496" s="9" t="n">
        <v>-2904659.88</v>
      </c>
      <c r="P496" s="9" t="n">
        <v>-2904659.88</v>
      </c>
      <c r="U496" s="7" t="inlineStr">
        <is>
          <t>DERIVED_IN_WORKBOOK</t>
        </is>
      </c>
      <c r="V496" s="8">
        <f>SUMIFS(Cashflows!$R$1043:$R$1393,Cashflows!$B$1043:$B$1393,$C496,Cashflows!$C$1043:$C$1393,$K496)</f>
        <v/>
      </c>
      <c r="W496" s="8">
        <f>IF($G496="INR",1,INDEX(Market_Daily!$F$6:$F$256,MATCH($K496,Market_Daily!$A$6:$A$256,0)))</f>
        <v/>
      </c>
      <c r="X496" s="8">
        <f>$V496*$W496</f>
        <v/>
      </c>
      <c r="Y496" s="18">
        <f>$X496-$P496</f>
        <v/>
      </c>
      <c r="Z496" s="8">
        <f>IF(ABS($Y496)&lt;=tol_cashflow_inr,"PASS","FAIL")</f>
        <v/>
      </c>
      <c r="AA496" s="7" t="inlineStr">
        <is>
          <t>direction x lots x lot_kg x (F(s) - F(s-1))</t>
        </is>
      </c>
    </row>
    <row r="497">
      <c r="A497" s="7" t="inlineStr">
        <is>
          <t>T04</t>
        </is>
      </c>
      <c r="B497" s="7" t="inlineStr">
        <is>
          <t>MCX:T04-MCX-2</t>
        </is>
      </c>
      <c r="C497" s="7" t="inlineStr">
        <is>
          <t>T04-MCX-2</t>
        </is>
      </c>
      <c r="D497" s="7" t="inlineStr">
        <is>
          <t>MCX_INITIAL_MARGIN</t>
        </is>
      </c>
      <c r="E497" s="7" t="inlineStr">
        <is>
          <t>MCX_INITIAL_MARGIN</t>
        </is>
      </c>
      <c r="F497" s="7" t="inlineStr">
        <is>
          <t>BS</t>
        </is>
      </c>
      <c r="G497" s="7" t="inlineStr">
        <is>
          <t>INR</t>
        </is>
      </c>
      <c r="H497" s="11" t="n">
        <v>44671</v>
      </c>
      <c r="I497" s="11" t="n">
        <v>44698</v>
      </c>
      <c r="J497" s="11" t="n">
        <v>44698</v>
      </c>
      <c r="K497" s="11" t="n">
        <v>44698</v>
      </c>
      <c r="L497" s="7" t="inlineStr">
        <is>
          <t>roll following on the LME panel calendar</t>
        </is>
      </c>
      <c r="N497" s="7" t="inlineStr">
        <is>
          <t>PROXY</t>
        </is>
      </c>
      <c r="O497" s="9" t="n">
        <v>-118740.48</v>
      </c>
      <c r="P497" s="9" t="n">
        <v>-118740.48</v>
      </c>
      <c r="U497" s="7" t="inlineStr">
        <is>
          <t>DERIVED_IN_WORKBOOK</t>
        </is>
      </c>
      <c r="V497" s="8">
        <f>-SUMIFS(Cashflows!$W$1043:$W$1393,Cashflows!$B$1043:$B$1393,$C497,Cashflows!$C$1043:$C$1393,$K497)</f>
        <v/>
      </c>
      <c r="W497" s="8">
        <f>IF($G497="INR",1,INDEX(Market_Daily!$F$6:$F$256,MATCH($K497,Market_Daily!$A$6:$A$256,0)))</f>
        <v/>
      </c>
      <c r="X497" s="8">
        <f>$V497*$W497</f>
        <v/>
      </c>
      <c r="Y497" s="18">
        <f>$X497-$P497</f>
        <v/>
      </c>
      <c r="Z497" s="8">
        <f>IF(ABS($Y497)&lt;=tol_cashflow_inr,"PASS","FAIL")</f>
        <v/>
      </c>
      <c r="AA497" s="7" t="inlineStr">
        <is>
          <t>-d(lots x lot_kg x F(s) x mcx_al_margin_used_frac)</t>
        </is>
      </c>
    </row>
    <row r="498">
      <c r="A498" s="7" t="inlineStr">
        <is>
          <t>T04</t>
        </is>
      </c>
      <c r="B498" s="7" t="inlineStr">
        <is>
          <t>MCX:T04-MCX-2</t>
        </is>
      </c>
      <c r="C498" s="7" t="inlineStr">
        <is>
          <t>T04-MCX-2</t>
        </is>
      </c>
      <c r="D498" s="7" t="inlineStr">
        <is>
          <t>MCX_VARIATION_MARGIN</t>
        </is>
      </c>
      <c r="E498" s="7" t="inlineStr">
        <is>
          <t>MCX_VARIATION_MARGIN</t>
        </is>
      </c>
      <c r="F498" s="7" t="inlineStr">
        <is>
          <t>PNL</t>
        </is>
      </c>
      <c r="G498" s="7" t="inlineStr">
        <is>
          <t>INR</t>
        </is>
      </c>
      <c r="H498" s="11" t="n">
        <v>44671</v>
      </c>
      <c r="I498" s="11" t="n">
        <v>44698</v>
      </c>
      <c r="J498" s="11" t="n">
        <v>44698</v>
      </c>
      <c r="K498" s="11" t="n">
        <v>44698</v>
      </c>
      <c r="L498" s="7" t="inlineStr">
        <is>
          <t>roll following on the LME panel calendar</t>
        </is>
      </c>
      <c r="N498" s="7" t="inlineStr">
        <is>
          <t>PROXY</t>
        </is>
      </c>
      <c r="O498" s="9" t="n">
        <v>-1187404.76</v>
      </c>
      <c r="P498" s="9" t="n">
        <v>-1187404.76</v>
      </c>
      <c r="U498" s="7" t="inlineStr">
        <is>
          <t>DERIVED_IN_WORKBOOK</t>
        </is>
      </c>
      <c r="V498" s="8">
        <f>SUMIFS(Cashflows!$R$1043:$R$1393,Cashflows!$B$1043:$B$1393,$C498,Cashflows!$C$1043:$C$1393,$K498)</f>
        <v/>
      </c>
      <c r="W498" s="8">
        <f>IF($G498="INR",1,INDEX(Market_Daily!$F$6:$F$256,MATCH($K498,Market_Daily!$A$6:$A$256,0)))</f>
        <v/>
      </c>
      <c r="X498" s="8">
        <f>$V498*$W498</f>
        <v/>
      </c>
      <c r="Y498" s="18">
        <f>$X498-$P498</f>
        <v/>
      </c>
      <c r="Z498" s="8">
        <f>IF(ABS($Y498)&lt;=tol_cashflow_inr,"PASS","FAIL")</f>
        <v/>
      </c>
      <c r="AA498" s="7" t="inlineStr">
        <is>
          <t>direction x lots x lot_kg x (F(s) - F(s-1))</t>
        </is>
      </c>
    </row>
    <row r="499">
      <c r="A499" s="7" t="inlineStr">
        <is>
          <t>T04</t>
        </is>
      </c>
      <c r="B499" s="7" t="inlineStr">
        <is>
          <t>MCX:T04-MCX-2</t>
        </is>
      </c>
      <c r="C499" s="7" t="inlineStr">
        <is>
          <t>T04-MCX-2</t>
        </is>
      </c>
      <c r="D499" s="7" t="inlineStr">
        <is>
          <t>MCX_INITIAL_MARGIN</t>
        </is>
      </c>
      <c r="E499" s="7" t="inlineStr">
        <is>
          <t>MCX_INITIAL_MARGIN</t>
        </is>
      </c>
      <c r="F499" s="7" t="inlineStr">
        <is>
          <t>BS</t>
        </is>
      </c>
      <c r="G499" s="7" t="inlineStr">
        <is>
          <t>INR</t>
        </is>
      </c>
      <c r="H499" s="11" t="n">
        <v>44671</v>
      </c>
      <c r="I499" s="11" t="n">
        <v>44699</v>
      </c>
      <c r="J499" s="11" t="n">
        <v>44699</v>
      </c>
      <c r="K499" s="11" t="n">
        <v>44699</v>
      </c>
      <c r="L499" s="7" t="inlineStr">
        <is>
          <t>roll following on the LME panel calendar</t>
        </is>
      </c>
      <c r="N499" s="7" t="inlineStr">
        <is>
          <t>PROXY</t>
        </is>
      </c>
      <c r="O499" s="9" t="n">
        <v>-48557.17</v>
      </c>
      <c r="P499" s="9" t="n">
        <v>-48557.17</v>
      </c>
      <c r="U499" s="7" t="inlineStr">
        <is>
          <t>DERIVED_IN_WORKBOOK</t>
        </is>
      </c>
      <c r="V499" s="8">
        <f>-SUMIFS(Cashflows!$W$1043:$W$1393,Cashflows!$B$1043:$B$1393,$C499,Cashflows!$C$1043:$C$1393,$K499)</f>
        <v/>
      </c>
      <c r="W499" s="8">
        <f>IF($G499="INR",1,INDEX(Market_Daily!$F$6:$F$256,MATCH($K499,Market_Daily!$A$6:$A$256,0)))</f>
        <v/>
      </c>
      <c r="X499" s="8">
        <f>$V499*$W499</f>
        <v/>
      </c>
      <c r="Y499" s="18">
        <f>$X499-$P499</f>
        <v/>
      </c>
      <c r="Z499" s="8">
        <f>IF(ABS($Y499)&lt;=tol_cashflow_inr,"PASS","FAIL")</f>
        <v/>
      </c>
      <c r="AA499" s="7" t="inlineStr">
        <is>
          <t>-d(lots x lot_kg x F(s) x mcx_al_margin_used_frac)</t>
        </is>
      </c>
    </row>
    <row r="500">
      <c r="A500" s="7" t="inlineStr">
        <is>
          <t>T04</t>
        </is>
      </c>
      <c r="B500" s="7" t="inlineStr">
        <is>
          <t>MCX:T04-MCX-2</t>
        </is>
      </c>
      <c r="C500" s="7" t="inlineStr">
        <is>
          <t>T04-MCX-2</t>
        </is>
      </c>
      <c r="D500" s="7" t="inlineStr">
        <is>
          <t>MCX_VARIATION_MARGIN</t>
        </is>
      </c>
      <c r="E500" s="7" t="inlineStr">
        <is>
          <t>MCX_VARIATION_MARGIN</t>
        </is>
      </c>
      <c r="F500" s="7" t="inlineStr">
        <is>
          <t>PNL</t>
        </is>
      </c>
      <c r="G500" s="7" t="inlineStr">
        <is>
          <t>INR</t>
        </is>
      </c>
      <c r="H500" s="11" t="n">
        <v>44671</v>
      </c>
      <c r="I500" s="11" t="n">
        <v>44699</v>
      </c>
      <c r="J500" s="11" t="n">
        <v>44699</v>
      </c>
      <c r="K500" s="11" t="n">
        <v>44699</v>
      </c>
      <c r="L500" s="7" t="inlineStr">
        <is>
          <t>roll following on the LME panel calendar</t>
        </is>
      </c>
      <c r="N500" s="7" t="inlineStr">
        <is>
          <t>PROXY</t>
        </is>
      </c>
      <c r="O500" s="9" t="n">
        <v>-485571.67</v>
      </c>
      <c r="P500" s="9" t="n">
        <v>-485571.67</v>
      </c>
      <c r="U500" s="7" t="inlineStr">
        <is>
          <t>DERIVED_IN_WORKBOOK</t>
        </is>
      </c>
      <c r="V500" s="8">
        <f>SUMIFS(Cashflows!$R$1043:$R$1393,Cashflows!$B$1043:$B$1393,$C500,Cashflows!$C$1043:$C$1393,$K500)</f>
        <v/>
      </c>
      <c r="W500" s="8">
        <f>IF($G500="INR",1,INDEX(Market_Daily!$F$6:$F$256,MATCH($K500,Market_Daily!$A$6:$A$256,0)))</f>
        <v/>
      </c>
      <c r="X500" s="8">
        <f>$V500*$W500</f>
        <v/>
      </c>
      <c r="Y500" s="18">
        <f>$X500-$P500</f>
        <v/>
      </c>
      <c r="Z500" s="8">
        <f>IF(ABS($Y500)&lt;=tol_cashflow_inr,"PASS","FAIL")</f>
        <v/>
      </c>
      <c r="AA500" s="7" t="inlineStr">
        <is>
          <t>direction x lots x lot_kg x (F(s) - F(s-1))</t>
        </is>
      </c>
    </row>
    <row r="501">
      <c r="A501" s="7" t="inlineStr">
        <is>
          <t>T04</t>
        </is>
      </c>
      <c r="B501" s="7" t="inlineStr">
        <is>
          <t>MCX:T04-MCX-2</t>
        </is>
      </c>
      <c r="C501" s="7" t="inlineStr">
        <is>
          <t>T04-MCX-2</t>
        </is>
      </c>
      <c r="D501" s="7" t="inlineStr">
        <is>
          <t>MCX_INITIAL_MARGIN</t>
        </is>
      </c>
      <c r="E501" s="7" t="inlineStr">
        <is>
          <t>MCX_INITIAL_MARGIN</t>
        </is>
      </c>
      <c r="F501" s="7" t="inlineStr">
        <is>
          <t>BS</t>
        </is>
      </c>
      <c r="G501" s="7" t="inlineStr">
        <is>
          <t>INR</t>
        </is>
      </c>
      <c r="H501" s="11" t="n">
        <v>44671</v>
      </c>
      <c r="I501" s="11" t="n">
        <v>44700</v>
      </c>
      <c r="J501" s="11" t="n">
        <v>44700</v>
      </c>
      <c r="K501" s="11" t="n">
        <v>44700</v>
      </c>
      <c r="L501" s="7" t="inlineStr">
        <is>
          <t>roll following on the LME panel calendar</t>
        </is>
      </c>
      <c r="N501" s="7" t="inlineStr">
        <is>
          <t>PROXY</t>
        </is>
      </c>
      <c r="O501" s="9" t="n">
        <v>64488.79</v>
      </c>
      <c r="P501" s="9" t="n">
        <v>64488.79</v>
      </c>
      <c r="U501" s="7" t="inlineStr">
        <is>
          <t>DERIVED_IN_WORKBOOK</t>
        </is>
      </c>
      <c r="V501" s="8">
        <f>-SUMIFS(Cashflows!$W$1043:$W$1393,Cashflows!$B$1043:$B$1393,$C501,Cashflows!$C$1043:$C$1393,$K501)</f>
        <v/>
      </c>
      <c r="W501" s="8">
        <f>IF($G501="INR",1,INDEX(Market_Daily!$F$6:$F$256,MATCH($K501,Market_Daily!$A$6:$A$256,0)))</f>
        <v/>
      </c>
      <c r="X501" s="8">
        <f>$V501*$W501</f>
        <v/>
      </c>
      <c r="Y501" s="18">
        <f>$X501-$P501</f>
        <v/>
      </c>
      <c r="Z501" s="8">
        <f>IF(ABS($Y501)&lt;=tol_cashflow_inr,"PASS","FAIL")</f>
        <v/>
      </c>
      <c r="AA501" s="7" t="inlineStr">
        <is>
          <t>-d(lots x lot_kg x F(s) x mcx_al_margin_used_frac)</t>
        </is>
      </c>
    </row>
    <row r="502">
      <c r="A502" s="7" t="inlineStr">
        <is>
          <t>T04</t>
        </is>
      </c>
      <c r="B502" s="7" t="inlineStr">
        <is>
          <t>MCX:T04-MCX-2</t>
        </is>
      </c>
      <c r="C502" s="7" t="inlineStr">
        <is>
          <t>T04-MCX-2</t>
        </is>
      </c>
      <c r="D502" s="7" t="inlineStr">
        <is>
          <t>MCX_VARIATION_MARGIN</t>
        </is>
      </c>
      <c r="E502" s="7" t="inlineStr">
        <is>
          <t>MCX_VARIATION_MARGIN</t>
        </is>
      </c>
      <c r="F502" s="7" t="inlineStr">
        <is>
          <t>PNL</t>
        </is>
      </c>
      <c r="G502" s="7" t="inlineStr">
        <is>
          <t>INR</t>
        </is>
      </c>
      <c r="H502" s="11" t="n">
        <v>44671</v>
      </c>
      <c r="I502" s="11" t="n">
        <v>44700</v>
      </c>
      <c r="J502" s="11" t="n">
        <v>44700</v>
      </c>
      <c r="K502" s="11" t="n">
        <v>44700</v>
      </c>
      <c r="L502" s="7" t="inlineStr">
        <is>
          <t>roll following on the LME panel calendar</t>
        </is>
      </c>
      <c r="N502" s="7" t="inlineStr">
        <is>
          <t>PROXY</t>
        </is>
      </c>
      <c r="O502" s="9" t="n">
        <v>644887.88</v>
      </c>
      <c r="P502" s="9" t="n">
        <v>644887.88</v>
      </c>
      <c r="U502" s="7" t="inlineStr">
        <is>
          <t>DERIVED_IN_WORKBOOK</t>
        </is>
      </c>
      <c r="V502" s="8">
        <f>SUMIFS(Cashflows!$R$1043:$R$1393,Cashflows!$B$1043:$B$1393,$C502,Cashflows!$C$1043:$C$1393,$K502)</f>
        <v/>
      </c>
      <c r="W502" s="8">
        <f>IF($G502="INR",1,INDEX(Market_Daily!$F$6:$F$256,MATCH($K502,Market_Daily!$A$6:$A$256,0)))</f>
        <v/>
      </c>
      <c r="X502" s="8">
        <f>$V502*$W502</f>
        <v/>
      </c>
      <c r="Y502" s="18">
        <f>$X502-$P502</f>
        <v/>
      </c>
      <c r="Z502" s="8">
        <f>IF(ABS($Y502)&lt;=tol_cashflow_inr,"PASS","FAIL")</f>
        <v/>
      </c>
      <c r="AA502" s="7" t="inlineStr">
        <is>
          <t>direction x lots x lot_kg x (F(s) - F(s-1))</t>
        </is>
      </c>
    </row>
    <row r="503">
      <c r="A503" s="7" t="inlineStr">
        <is>
          <t>T04</t>
        </is>
      </c>
      <c r="B503" s="7" t="inlineStr">
        <is>
          <t>MCX:T04-MCX-2</t>
        </is>
      </c>
      <c r="C503" s="7" t="inlineStr">
        <is>
          <t>T04-MCX-2</t>
        </is>
      </c>
      <c r="D503" s="7" t="inlineStr">
        <is>
          <t>MCX_INITIAL_MARGIN</t>
        </is>
      </c>
      <c r="E503" s="7" t="inlineStr">
        <is>
          <t>MCX_INITIAL_MARGIN</t>
        </is>
      </c>
      <c r="F503" s="7" t="inlineStr">
        <is>
          <t>BS</t>
        </is>
      </c>
      <c r="G503" s="7" t="inlineStr">
        <is>
          <t>INR</t>
        </is>
      </c>
      <c r="H503" s="11" t="n">
        <v>44671</v>
      </c>
      <c r="I503" s="11" t="n">
        <v>44701</v>
      </c>
      <c r="J503" s="11" t="n">
        <v>44701</v>
      </c>
      <c r="K503" s="11" t="n">
        <v>44701</v>
      </c>
      <c r="L503" s="7" t="inlineStr">
        <is>
          <t>roll following on the LME panel calendar</t>
        </is>
      </c>
      <c r="N503" s="7" t="inlineStr">
        <is>
          <t>PROXY</t>
        </is>
      </c>
      <c r="O503" s="9" t="n">
        <v>10347267.56</v>
      </c>
      <c r="P503" s="9" t="n">
        <v>10347267.56</v>
      </c>
      <c r="U503" s="7" t="inlineStr">
        <is>
          <t>DERIVED_IN_WORKBOOK</t>
        </is>
      </c>
      <c r="V503" s="8">
        <f>-SUMIFS(Cashflows!$W$1043:$W$1393,Cashflows!$B$1043:$B$1393,$C503,Cashflows!$C$1043:$C$1393,$K503)</f>
        <v/>
      </c>
      <c r="W503" s="8">
        <f>IF($G503="INR",1,INDEX(Market_Daily!$F$6:$F$256,MATCH($K503,Market_Daily!$A$6:$A$256,0)))</f>
        <v/>
      </c>
      <c r="X503" s="8">
        <f>$V503*$W503</f>
        <v/>
      </c>
      <c r="Y503" s="18">
        <f>$X503-$P503</f>
        <v/>
      </c>
      <c r="Z503" s="8">
        <f>IF(ABS($Y503)&lt;=tol_cashflow_inr,"PASS","FAIL")</f>
        <v/>
      </c>
      <c r="AA503" s="7" t="inlineStr">
        <is>
          <t>-d(lots x lot_kg x F(s) x mcx_al_margin_used_frac)</t>
        </is>
      </c>
    </row>
    <row r="504">
      <c r="A504" s="7" t="inlineStr">
        <is>
          <t>T04</t>
        </is>
      </c>
      <c r="B504" s="7" t="inlineStr">
        <is>
          <t>MCX:T04-MCX-2</t>
        </is>
      </c>
      <c r="C504" s="7" t="inlineStr">
        <is>
          <t>T04-MCX-2</t>
        </is>
      </c>
      <c r="D504" s="7" t="inlineStr">
        <is>
          <t>MCX_SLIPPAGE</t>
        </is>
      </c>
      <c r="E504" s="7" t="inlineStr">
        <is>
          <t>MCX_SLIPPAGE</t>
        </is>
      </c>
      <c r="F504" s="7" t="inlineStr">
        <is>
          <t>PNL</t>
        </is>
      </c>
      <c r="G504" s="7" t="inlineStr">
        <is>
          <t>INR</t>
        </is>
      </c>
      <c r="H504" s="11" t="n">
        <v>44701</v>
      </c>
      <c r="J504" s="11" t="n">
        <v>44701</v>
      </c>
      <c r="K504" s="11" t="n">
        <v>44701</v>
      </c>
      <c r="L504" s="7" t="inlineStr">
        <is>
          <t>roll following on the LME panel calendar</t>
        </is>
      </c>
      <c r="N504" s="7" t="inlineStr">
        <is>
          <t>ASSUMPTION</t>
        </is>
      </c>
      <c r="O504" s="9" t="n">
        <v>-43500</v>
      </c>
      <c r="P504" s="9" t="n">
        <v>-43500</v>
      </c>
      <c r="U504" s="7" t="inlineStr">
        <is>
          <t>DERIVED_IN_WORKBOOK</t>
        </is>
      </c>
      <c r="V504" s="8">
        <f>SUMIFS(Cashflows!$Z$1043:$Z$1393,Cashflows!$B$1043:$B$1393,$C504,Cashflows!$C$1043:$C$1393,$K504)</f>
        <v/>
      </c>
      <c r="W504" s="8">
        <f>IF($G504="INR",1,INDEX(Market_Daily!$F$6:$F$256,MATCH($K504,Market_Daily!$A$6:$A$256,0)))</f>
        <v/>
      </c>
      <c r="X504" s="8">
        <f>$V504*$W504</f>
        <v/>
      </c>
      <c r="Y504" s="18">
        <f>$X504-$P504</f>
        <v/>
      </c>
      <c r="Z504" s="8">
        <f>IF(ABS($Y504)&lt;=tol_cashflow_inr,"PASS","FAIL")</f>
        <v/>
      </c>
      <c r="AA504" s="7" t="inlineStr">
        <is>
          <t>-lots x lot_kg x mcx_slippage_ticks x tick</t>
        </is>
      </c>
    </row>
    <row r="505">
      <c r="A505" s="7" t="inlineStr">
        <is>
          <t>T04</t>
        </is>
      </c>
      <c r="B505" s="7" t="inlineStr">
        <is>
          <t>MCX:T04-MCX-2</t>
        </is>
      </c>
      <c r="C505" s="7" t="inlineStr">
        <is>
          <t>T04-MCX-2</t>
        </is>
      </c>
      <c r="D505" s="7" t="inlineStr">
        <is>
          <t>MCX_TRANSACTION_COST</t>
        </is>
      </c>
      <c r="E505" s="7" t="inlineStr">
        <is>
          <t>MCX_TRANSACTION_COST</t>
        </is>
      </c>
      <c r="F505" s="7" t="inlineStr">
        <is>
          <t>PNL</t>
        </is>
      </c>
      <c r="G505" s="7" t="inlineStr">
        <is>
          <t>INR</t>
        </is>
      </c>
      <c r="H505" s="11" t="n">
        <v>44701</v>
      </c>
      <c r="I505" s="11" t="n">
        <v>44701</v>
      </c>
      <c r="J505" s="11" t="n">
        <v>44701</v>
      </c>
      <c r="K505" s="11" t="n">
        <v>44701</v>
      </c>
      <c r="L505" s="7" t="inlineStr">
        <is>
          <t>roll following on the LME panel calendar</t>
        </is>
      </c>
      <c r="N505" s="7" t="inlineStr">
        <is>
          <t>ASSUMPTION</t>
        </is>
      </c>
      <c r="O505" s="9" t="n">
        <v>-32222.29</v>
      </c>
      <c r="P505" s="9" t="n">
        <v>-32222.29</v>
      </c>
      <c r="U505" s="7" t="inlineStr">
        <is>
          <t>DERIVED_IN_WORKBOOK</t>
        </is>
      </c>
      <c r="V505" s="8">
        <f>SUMIFS(Cashflows!$AA$1043:$AA$1393,Cashflows!$B$1043:$B$1393,$C505,Cashflows!$C$1043:$C$1393,$K505)</f>
        <v/>
      </c>
      <c r="W505" s="8">
        <f>IF($G505="INR",1,INDEX(Market_Daily!$F$6:$F$256,MATCH($K505,Market_Daily!$A$6:$A$256,0)))</f>
        <v/>
      </c>
      <c r="X505" s="8">
        <f>$V505*$W505</f>
        <v/>
      </c>
      <c r="Y505" s="18">
        <f>$X505-$P505</f>
        <v/>
      </c>
      <c r="Z505" s="8">
        <f>IF(ABS($Y505)&lt;=tol_cashflow_inr,"PASS","FAIL")</f>
        <v/>
      </c>
      <c r="AA505" s="7" t="inlineStr">
        <is>
          <t>-lots x lot_kg x fill x mcx_txn_cost_frac</t>
        </is>
      </c>
    </row>
    <row r="506">
      <c r="A506" s="7" t="inlineStr">
        <is>
          <t>T04</t>
        </is>
      </c>
      <c r="B506" s="7" t="inlineStr">
        <is>
          <t>MCX:T04-MCX-2</t>
        </is>
      </c>
      <c r="C506" s="7" t="inlineStr">
        <is>
          <t>T04-MCX-2</t>
        </is>
      </c>
      <c r="D506" s="7" t="inlineStr">
        <is>
          <t>MCX_VARIATION_MARGIN</t>
        </is>
      </c>
      <c r="E506" s="7" t="inlineStr">
        <is>
          <t>MCX_VARIATION_MARGIN</t>
        </is>
      </c>
      <c r="F506" s="7" t="inlineStr">
        <is>
          <t>PNL</t>
        </is>
      </c>
      <c r="G506" s="7" t="inlineStr">
        <is>
          <t>INR</t>
        </is>
      </c>
      <c r="H506" s="11" t="n">
        <v>44671</v>
      </c>
      <c r="I506" s="11" t="n">
        <v>44701</v>
      </c>
      <c r="J506" s="11" t="n">
        <v>44701</v>
      </c>
      <c r="K506" s="11" t="n">
        <v>44701</v>
      </c>
      <c r="L506" s="7" t="inlineStr">
        <is>
          <t>roll following on the LME panel calendar</t>
        </is>
      </c>
      <c r="N506" s="7" t="inlineStr">
        <is>
          <t>PROXY</t>
        </is>
      </c>
      <c r="O506" s="9" t="n">
        <v>-3891442.2</v>
      </c>
      <c r="P506" s="9" t="n">
        <v>-3891442.2</v>
      </c>
      <c r="U506" s="7" t="inlineStr">
        <is>
          <t>DERIVED_IN_WORKBOOK</t>
        </is>
      </c>
      <c r="V506" s="8">
        <f>SUMIFS(Cashflows!$R$1043:$R$1393,Cashflows!$B$1043:$B$1393,$C506,Cashflows!$C$1043:$C$1393,$K506)</f>
        <v/>
      </c>
      <c r="W506" s="8">
        <f>IF($G506="INR",1,INDEX(Market_Daily!$F$6:$F$256,MATCH($K506,Market_Daily!$A$6:$A$256,0)))</f>
        <v/>
      </c>
      <c r="X506" s="8">
        <f>$V506*$W506</f>
        <v/>
      </c>
      <c r="Y506" s="18">
        <f>$X506-$P506</f>
        <v/>
      </c>
      <c r="Z506" s="8">
        <f>IF(ABS($Y506)&lt;=tol_cashflow_inr,"PASS","FAIL")</f>
        <v/>
      </c>
      <c r="AA506" s="7" t="inlineStr">
        <is>
          <t>direction x lots x lot_kg x (F(s) - F(s-1))</t>
        </is>
      </c>
    </row>
    <row r="507">
      <c r="A507" s="7" t="inlineStr">
        <is>
          <t>T04</t>
        </is>
      </c>
      <c r="B507" s="7" t="inlineStr">
        <is>
          <t>MCX:T04-MCX-3</t>
        </is>
      </c>
      <c r="C507" s="7" t="inlineStr">
        <is>
          <t>T04-MCX-3</t>
        </is>
      </c>
      <c r="D507" s="7" t="inlineStr">
        <is>
          <t>MCX_INITIAL_MARGIN</t>
        </is>
      </c>
      <c r="E507" s="7" t="inlineStr">
        <is>
          <t>MCX_INITIAL_MARGIN</t>
        </is>
      </c>
      <c r="F507" s="7" t="inlineStr">
        <is>
          <t>BS</t>
        </is>
      </c>
      <c r="G507" s="7" t="inlineStr">
        <is>
          <t>INR</t>
        </is>
      </c>
      <c r="H507" s="11" t="n">
        <v>44701</v>
      </c>
      <c r="I507" s="11" t="n">
        <v>44701</v>
      </c>
      <c r="J507" s="11" t="n">
        <v>44701</v>
      </c>
      <c r="K507" s="11" t="n">
        <v>44701</v>
      </c>
      <c r="L507" s="7" t="inlineStr">
        <is>
          <t>roll following on the LME panel calendar</t>
        </is>
      </c>
      <c r="N507" s="7" t="inlineStr">
        <is>
          <t>PROXY</t>
        </is>
      </c>
      <c r="O507" s="9" t="n">
        <v>-10778129.85</v>
      </c>
      <c r="P507" s="9" t="n">
        <v>-10778129.85</v>
      </c>
      <c r="U507" s="7" t="inlineStr">
        <is>
          <t>DERIVED_IN_WORKBOOK</t>
        </is>
      </c>
      <c r="V507" s="8">
        <f>-SUMIFS(Cashflows!$W$1043:$W$1393,Cashflows!$B$1043:$B$1393,$C507,Cashflows!$C$1043:$C$1393,$K507)</f>
        <v/>
      </c>
      <c r="W507" s="8">
        <f>IF($G507="INR",1,INDEX(Market_Daily!$F$6:$F$256,MATCH($K507,Market_Daily!$A$6:$A$256,0)))</f>
        <v/>
      </c>
      <c r="X507" s="8">
        <f>$V507*$W507</f>
        <v/>
      </c>
      <c r="Y507" s="18">
        <f>$X507-$P507</f>
        <v/>
      </c>
      <c r="Z507" s="8">
        <f>IF(ABS($Y507)&lt;=tol_cashflow_inr,"PASS","FAIL")</f>
        <v/>
      </c>
      <c r="AA507" s="7" t="inlineStr">
        <is>
          <t>-d(lots x lot_kg x F(s) x mcx_al_margin_used_frac)</t>
        </is>
      </c>
    </row>
    <row r="508">
      <c r="A508" s="7" t="inlineStr">
        <is>
          <t>T04</t>
        </is>
      </c>
      <c r="B508" s="7" t="inlineStr">
        <is>
          <t>MCX:T04-MCX-3</t>
        </is>
      </c>
      <c r="C508" s="7" t="inlineStr">
        <is>
          <t>T04-MCX-3</t>
        </is>
      </c>
      <c r="D508" s="7" t="inlineStr">
        <is>
          <t>MCX_SLIPPAGE</t>
        </is>
      </c>
      <c r="E508" s="7" t="inlineStr">
        <is>
          <t>MCX_SLIPPAGE</t>
        </is>
      </c>
      <c r="F508" s="7" t="inlineStr">
        <is>
          <t>PNL</t>
        </is>
      </c>
      <c r="G508" s="7" t="inlineStr">
        <is>
          <t>INR</t>
        </is>
      </c>
      <c r="H508" s="11" t="n">
        <v>44701</v>
      </c>
      <c r="J508" s="11" t="n">
        <v>44701</v>
      </c>
      <c r="K508" s="11" t="n">
        <v>44701</v>
      </c>
      <c r="L508" s="7" t="inlineStr">
        <is>
          <t>roll following on the LME panel calendar</t>
        </is>
      </c>
      <c r="N508" s="7" t="inlineStr">
        <is>
          <t>ASSUMPTION</t>
        </is>
      </c>
      <c r="O508" s="9" t="n">
        <v>-43500</v>
      </c>
      <c r="P508" s="9" t="n">
        <v>-43500</v>
      </c>
      <c r="U508" s="7" t="inlineStr">
        <is>
          <t>DERIVED_IN_WORKBOOK</t>
        </is>
      </c>
      <c r="V508" s="8">
        <f>SUMIFS(Cashflows!$Z$1043:$Z$1393,Cashflows!$B$1043:$B$1393,$C508,Cashflows!$C$1043:$C$1393,$K508)</f>
        <v/>
      </c>
      <c r="W508" s="8">
        <f>IF($G508="INR",1,INDEX(Market_Daily!$F$6:$F$256,MATCH($K508,Market_Daily!$A$6:$A$256,0)))</f>
        <v/>
      </c>
      <c r="X508" s="8">
        <f>$V508*$W508</f>
        <v/>
      </c>
      <c r="Y508" s="18">
        <f>$X508-$P508</f>
        <v/>
      </c>
      <c r="Z508" s="8">
        <f>IF(ABS($Y508)&lt;=tol_cashflow_inr,"PASS","FAIL")</f>
        <v/>
      </c>
      <c r="AA508" s="7" t="inlineStr">
        <is>
          <t>-lots x lot_kg x mcx_slippage_ticks x tick</t>
        </is>
      </c>
    </row>
    <row r="509">
      <c r="A509" s="7" t="inlineStr">
        <is>
          <t>T04</t>
        </is>
      </c>
      <c r="B509" s="7" t="inlineStr">
        <is>
          <t>MCX:T04-MCX-3</t>
        </is>
      </c>
      <c r="C509" s="7" t="inlineStr">
        <is>
          <t>T04-MCX-3</t>
        </is>
      </c>
      <c r="D509" s="7" t="inlineStr">
        <is>
          <t>MCX_TRANSACTION_COST</t>
        </is>
      </c>
      <c r="E509" s="7" t="inlineStr">
        <is>
          <t>MCX_TRANSACTION_COST</t>
        </is>
      </c>
      <c r="F509" s="7" t="inlineStr">
        <is>
          <t>PNL</t>
        </is>
      </c>
      <c r="G509" s="7" t="inlineStr">
        <is>
          <t>INR</t>
        </is>
      </c>
      <c r="H509" s="11" t="n">
        <v>44701</v>
      </c>
      <c r="I509" s="11" t="n">
        <v>44701</v>
      </c>
      <c r="J509" s="11" t="n">
        <v>44701</v>
      </c>
      <c r="K509" s="11" t="n">
        <v>44701</v>
      </c>
      <c r="L509" s="7" t="inlineStr">
        <is>
          <t>roll following on the LME panel calendar</t>
        </is>
      </c>
      <c r="N509" s="7" t="inlineStr">
        <is>
          <t>ASSUMPTION</t>
        </is>
      </c>
      <c r="O509" s="9" t="n">
        <v>-32321.34</v>
      </c>
      <c r="P509" s="9" t="n">
        <v>-32321.34</v>
      </c>
      <c r="U509" s="7" t="inlineStr">
        <is>
          <t>DERIVED_IN_WORKBOOK</t>
        </is>
      </c>
      <c r="V509" s="8">
        <f>SUMIFS(Cashflows!$AA$1043:$AA$1393,Cashflows!$B$1043:$B$1393,$C509,Cashflows!$C$1043:$C$1393,$K509)</f>
        <v/>
      </c>
      <c r="W509" s="8">
        <f>IF($G509="INR",1,INDEX(Market_Daily!$F$6:$F$256,MATCH($K509,Market_Daily!$A$6:$A$256,0)))</f>
        <v/>
      </c>
      <c r="X509" s="8">
        <f>$V509*$W509</f>
        <v/>
      </c>
      <c r="Y509" s="18">
        <f>$X509-$P509</f>
        <v/>
      </c>
      <c r="Z509" s="8">
        <f>IF(ABS($Y509)&lt;=tol_cashflow_inr,"PASS","FAIL")</f>
        <v/>
      </c>
      <c r="AA509" s="7" t="inlineStr">
        <is>
          <t>-lots x lot_kg x fill x mcx_txn_cost_frac</t>
        </is>
      </c>
    </row>
    <row r="510">
      <c r="A510" s="7" t="inlineStr">
        <is>
          <t>T04</t>
        </is>
      </c>
      <c r="B510" s="7" t="inlineStr">
        <is>
          <t>MCX:T04-MCX-3</t>
        </is>
      </c>
      <c r="C510" s="7" t="inlineStr">
        <is>
          <t>T04-MCX-3</t>
        </is>
      </c>
      <c r="D510" s="7" t="inlineStr">
        <is>
          <t>MCX_VARIATION_MARGIN</t>
        </is>
      </c>
      <c r="E510" s="7" t="inlineStr">
        <is>
          <t>MCX_VARIATION_MARGIN</t>
        </is>
      </c>
      <c r="F510" s="7" t="inlineStr">
        <is>
          <t>PNL</t>
        </is>
      </c>
      <c r="G510" s="7" t="inlineStr">
        <is>
          <t>INR</t>
        </is>
      </c>
      <c r="H510" s="11" t="n">
        <v>44701</v>
      </c>
      <c r="I510" s="11" t="n">
        <v>44701</v>
      </c>
      <c r="J510" s="11" t="n">
        <v>44701</v>
      </c>
      <c r="K510" s="11" t="n">
        <v>44701</v>
      </c>
      <c r="L510" s="7" t="inlineStr">
        <is>
          <t>roll following on the LME panel calendar</t>
        </is>
      </c>
      <c r="N510" s="7" t="inlineStr">
        <is>
          <t>PROXY</t>
        </is>
      </c>
      <c r="O510" s="9" t="n">
        <v>-0</v>
      </c>
      <c r="P510" s="9" t="n">
        <v>-0</v>
      </c>
      <c r="U510" s="7" t="inlineStr">
        <is>
          <t>DERIVED_IN_WORKBOOK</t>
        </is>
      </c>
      <c r="V510" s="8">
        <f>SUMIFS(Cashflows!$R$1043:$R$1393,Cashflows!$B$1043:$B$1393,$C510,Cashflows!$C$1043:$C$1393,$K510)</f>
        <v/>
      </c>
      <c r="W510" s="8">
        <f>IF($G510="INR",1,INDEX(Market_Daily!$F$6:$F$256,MATCH($K510,Market_Daily!$A$6:$A$256,0)))</f>
        <v/>
      </c>
      <c r="X510" s="8">
        <f>$V510*$W510</f>
        <v/>
      </c>
      <c r="Y510" s="18">
        <f>$X510-$P510</f>
        <v/>
      </c>
      <c r="Z510" s="8">
        <f>IF(ABS($Y510)&lt;=tol_cashflow_inr,"PASS","FAIL")</f>
        <v/>
      </c>
      <c r="AA510" s="7" t="inlineStr">
        <is>
          <t>direction x lots x lot_kg x (F(entry) - entry settle) = 0 by construction</t>
        </is>
      </c>
    </row>
    <row r="511">
      <c r="A511" s="7" t="inlineStr">
        <is>
          <t>T04</t>
        </is>
      </c>
      <c r="B511" s="7" t="inlineStr">
        <is>
          <t>MCX:T04-MCX-3</t>
        </is>
      </c>
      <c r="C511" s="7" t="inlineStr">
        <is>
          <t>T04-MCX-3</t>
        </is>
      </c>
      <c r="D511" s="7" t="inlineStr">
        <is>
          <t>MCX_INITIAL_MARGIN</t>
        </is>
      </c>
      <c r="E511" s="7" t="inlineStr">
        <is>
          <t>MCX_INITIAL_MARGIN</t>
        </is>
      </c>
      <c r="F511" s="7" t="inlineStr">
        <is>
          <t>BS</t>
        </is>
      </c>
      <c r="G511" s="7" t="inlineStr">
        <is>
          <t>INR</t>
        </is>
      </c>
      <c r="H511" s="11" t="n">
        <v>44701</v>
      </c>
      <c r="I511" s="11" t="n">
        <v>44704</v>
      </c>
      <c r="J511" s="11" t="n">
        <v>44704</v>
      </c>
      <c r="K511" s="11" t="n">
        <v>44704</v>
      </c>
      <c r="L511" s="7" t="inlineStr">
        <is>
          <t>roll following on the LME panel calendar</t>
        </is>
      </c>
      <c r="N511" s="7" t="inlineStr">
        <is>
          <t>PROXY</t>
        </is>
      </c>
      <c r="O511" s="9" t="n">
        <v>-97780.19</v>
      </c>
      <c r="P511" s="9" t="n">
        <v>-97780.19</v>
      </c>
      <c r="U511" s="7" t="inlineStr">
        <is>
          <t>DERIVED_IN_WORKBOOK</t>
        </is>
      </c>
      <c r="V511" s="8">
        <f>-SUMIFS(Cashflows!$W$1043:$W$1393,Cashflows!$B$1043:$B$1393,$C511,Cashflows!$C$1043:$C$1393,$K511)</f>
        <v/>
      </c>
      <c r="W511" s="8">
        <f>IF($G511="INR",1,INDEX(Market_Daily!$F$6:$F$256,MATCH($K511,Market_Daily!$A$6:$A$256,0)))</f>
        <v/>
      </c>
      <c r="X511" s="8">
        <f>$V511*$W511</f>
        <v/>
      </c>
      <c r="Y511" s="18">
        <f>$X511-$P511</f>
        <v/>
      </c>
      <c r="Z511" s="8">
        <f>IF(ABS($Y511)&lt;=tol_cashflow_inr,"PASS","FAIL")</f>
        <v/>
      </c>
      <c r="AA511" s="7" t="inlineStr">
        <is>
          <t>-d(lots x lot_kg x F(s) x mcx_al_margin_used_frac)</t>
        </is>
      </c>
    </row>
    <row r="512">
      <c r="A512" s="7" t="inlineStr">
        <is>
          <t>T04</t>
        </is>
      </c>
      <c r="B512" s="7" t="inlineStr">
        <is>
          <t>MCX:T04-MCX-3</t>
        </is>
      </c>
      <c r="C512" s="7" t="inlineStr">
        <is>
          <t>T04-MCX-3</t>
        </is>
      </c>
      <c r="D512" s="7" t="inlineStr">
        <is>
          <t>MCX_VARIATION_MARGIN</t>
        </is>
      </c>
      <c r="E512" s="7" t="inlineStr">
        <is>
          <t>MCX_VARIATION_MARGIN</t>
        </is>
      </c>
      <c r="F512" s="7" t="inlineStr">
        <is>
          <t>PNL</t>
        </is>
      </c>
      <c r="G512" s="7" t="inlineStr">
        <is>
          <t>INR</t>
        </is>
      </c>
      <c r="H512" s="11" t="n">
        <v>44701</v>
      </c>
      <c r="I512" s="11" t="n">
        <v>44704</v>
      </c>
      <c r="J512" s="11" t="n">
        <v>44704</v>
      </c>
      <c r="K512" s="11" t="n">
        <v>44704</v>
      </c>
      <c r="L512" s="7" t="inlineStr">
        <is>
          <t>roll following on the LME panel calendar</t>
        </is>
      </c>
      <c r="N512" s="7" t="inlineStr">
        <is>
          <t>PROXY</t>
        </is>
      </c>
      <c r="O512" s="9" t="n">
        <v>-977801.85</v>
      </c>
      <c r="P512" s="9" t="n">
        <v>-977801.85</v>
      </c>
      <c r="U512" s="7" t="inlineStr">
        <is>
          <t>DERIVED_IN_WORKBOOK</t>
        </is>
      </c>
      <c r="V512" s="8">
        <f>SUMIFS(Cashflows!$R$1043:$R$1393,Cashflows!$B$1043:$B$1393,$C512,Cashflows!$C$1043:$C$1393,$K512)</f>
        <v/>
      </c>
      <c r="W512" s="8">
        <f>IF($G512="INR",1,INDEX(Market_Daily!$F$6:$F$256,MATCH($K512,Market_Daily!$A$6:$A$256,0)))</f>
        <v/>
      </c>
      <c r="X512" s="8">
        <f>$V512*$W512</f>
        <v/>
      </c>
      <c r="Y512" s="18">
        <f>$X512-$P512</f>
        <v/>
      </c>
      <c r="Z512" s="8">
        <f>IF(ABS($Y512)&lt;=tol_cashflow_inr,"PASS","FAIL")</f>
        <v/>
      </c>
      <c r="AA512" s="7" t="inlineStr">
        <is>
          <t>direction x lots x lot_kg x (F(s) - F(s-1))</t>
        </is>
      </c>
    </row>
    <row r="513">
      <c r="A513" s="7" t="inlineStr">
        <is>
          <t>T04</t>
        </is>
      </c>
      <c r="B513" s="7" t="inlineStr">
        <is>
          <t>MCX:T04-MCX-3</t>
        </is>
      </c>
      <c r="C513" s="7" t="inlineStr">
        <is>
          <t>T04-MCX-3</t>
        </is>
      </c>
      <c r="D513" s="7" t="inlineStr">
        <is>
          <t>MCX_INITIAL_MARGIN</t>
        </is>
      </c>
      <c r="E513" s="7" t="inlineStr">
        <is>
          <t>MCX_INITIAL_MARGIN</t>
        </is>
      </c>
      <c r="F513" s="7" t="inlineStr">
        <is>
          <t>BS</t>
        </is>
      </c>
      <c r="G513" s="7" t="inlineStr">
        <is>
          <t>INR</t>
        </is>
      </c>
      <c r="H513" s="11" t="n">
        <v>44701</v>
      </c>
      <c r="I513" s="11" t="n">
        <v>44705</v>
      </c>
      <c r="J513" s="11" t="n">
        <v>44705</v>
      </c>
      <c r="K513" s="11" t="n">
        <v>44705</v>
      </c>
      <c r="L513" s="7" t="inlineStr">
        <is>
          <t>roll following on the LME panel calendar</t>
        </is>
      </c>
      <c r="N513" s="7" t="inlineStr">
        <is>
          <t>PROXY</t>
        </is>
      </c>
      <c r="O513" s="9" t="n">
        <v>10875910.03</v>
      </c>
      <c r="P513" s="9" t="n">
        <v>10875910.03</v>
      </c>
      <c r="U513" s="7" t="inlineStr">
        <is>
          <t>DERIVED_IN_WORKBOOK</t>
        </is>
      </c>
      <c r="V513" s="8">
        <f>-SUMIFS(Cashflows!$W$1043:$W$1393,Cashflows!$B$1043:$B$1393,$C513,Cashflows!$C$1043:$C$1393,$K513)</f>
        <v/>
      </c>
      <c r="W513" s="8">
        <f>IF($G513="INR",1,INDEX(Market_Daily!$F$6:$F$256,MATCH($K513,Market_Daily!$A$6:$A$256,0)))</f>
        <v/>
      </c>
      <c r="X513" s="8">
        <f>$V513*$W513</f>
        <v/>
      </c>
      <c r="Y513" s="18">
        <f>$X513-$P513</f>
        <v/>
      </c>
      <c r="Z513" s="8">
        <f>IF(ABS($Y513)&lt;=tol_cashflow_inr,"PASS","FAIL")</f>
        <v/>
      </c>
      <c r="AA513" s="7" t="inlineStr">
        <is>
          <t>-d(lots x lot_kg x F(s) x mcx_al_margin_used_frac)</t>
        </is>
      </c>
    </row>
    <row r="514">
      <c r="A514" s="7" t="inlineStr">
        <is>
          <t>T04</t>
        </is>
      </c>
      <c r="B514" s="7" t="inlineStr">
        <is>
          <t>MCX:T04-MCX-3</t>
        </is>
      </c>
      <c r="C514" s="7" t="inlineStr">
        <is>
          <t>T04-MCX-3</t>
        </is>
      </c>
      <c r="D514" s="7" t="inlineStr">
        <is>
          <t>MCX_SLIPPAGE</t>
        </is>
      </c>
      <c r="E514" s="7" t="inlineStr">
        <is>
          <t>MCX_SLIPPAGE</t>
        </is>
      </c>
      <c r="F514" s="7" t="inlineStr">
        <is>
          <t>PNL</t>
        </is>
      </c>
      <c r="G514" s="7" t="inlineStr">
        <is>
          <t>INR</t>
        </is>
      </c>
      <c r="H514" s="11" t="n">
        <v>44705</v>
      </c>
      <c r="J514" s="11" t="n">
        <v>44705</v>
      </c>
      <c r="K514" s="11" t="n">
        <v>44705</v>
      </c>
      <c r="L514" s="7" t="inlineStr">
        <is>
          <t>roll following on the LME panel calendar</t>
        </is>
      </c>
      <c r="N514" s="7" t="inlineStr">
        <is>
          <t>ASSUMPTION</t>
        </is>
      </c>
      <c r="O514" s="9" t="n">
        <v>-43500</v>
      </c>
      <c r="P514" s="9" t="n">
        <v>-43500</v>
      </c>
      <c r="U514" s="7" t="inlineStr">
        <is>
          <t>DERIVED_IN_WORKBOOK</t>
        </is>
      </c>
      <c r="V514" s="8">
        <f>SUMIFS(Cashflows!$Z$1043:$Z$1393,Cashflows!$B$1043:$B$1393,$C514,Cashflows!$C$1043:$C$1393,$K514)</f>
        <v/>
      </c>
      <c r="W514" s="8">
        <f>IF($G514="INR",1,INDEX(Market_Daily!$F$6:$F$256,MATCH($K514,Market_Daily!$A$6:$A$256,0)))</f>
        <v/>
      </c>
      <c r="X514" s="8">
        <f>$V514*$W514</f>
        <v/>
      </c>
      <c r="Y514" s="18">
        <f>$X514-$P514</f>
        <v/>
      </c>
      <c r="Z514" s="8">
        <f>IF(ABS($Y514)&lt;=tol_cashflow_inr,"PASS","FAIL")</f>
        <v/>
      </c>
      <c r="AA514" s="7" t="inlineStr">
        <is>
          <t>-lots x lot_kg x mcx_slippage_ticks x tick</t>
        </is>
      </c>
    </row>
    <row r="515">
      <c r="A515" s="7" t="inlineStr">
        <is>
          <t>T04</t>
        </is>
      </c>
      <c r="B515" s="7" t="inlineStr">
        <is>
          <t>MCX:T04-MCX-3</t>
        </is>
      </c>
      <c r="C515" s="7" t="inlineStr">
        <is>
          <t>T04-MCX-3</t>
        </is>
      </c>
      <c r="D515" s="7" t="inlineStr">
        <is>
          <t>MCX_TRANSACTION_COST</t>
        </is>
      </c>
      <c r="E515" s="7" t="inlineStr">
        <is>
          <t>MCX_TRANSACTION_COST</t>
        </is>
      </c>
      <c r="F515" s="7" t="inlineStr">
        <is>
          <t>PNL</t>
        </is>
      </c>
      <c r="G515" s="7" t="inlineStr">
        <is>
          <t>INR</t>
        </is>
      </c>
      <c r="H515" s="11" t="n">
        <v>44705</v>
      </c>
      <c r="I515" s="11" t="n">
        <v>44705</v>
      </c>
      <c r="J515" s="11" t="n">
        <v>44705</v>
      </c>
      <c r="K515" s="11" t="n">
        <v>44705</v>
      </c>
      <c r="L515" s="7" t="inlineStr">
        <is>
          <t>roll following on the LME panel calendar</t>
        </is>
      </c>
      <c r="N515" s="7" t="inlineStr">
        <is>
          <t>ASSUMPTION</t>
        </is>
      </c>
      <c r="O515" s="9" t="n">
        <v>-31746.03</v>
      </c>
      <c r="P515" s="9" t="n">
        <v>-31746.03</v>
      </c>
      <c r="U515" s="7" t="inlineStr">
        <is>
          <t>DERIVED_IN_WORKBOOK</t>
        </is>
      </c>
      <c r="V515" s="8">
        <f>SUMIFS(Cashflows!$AA$1043:$AA$1393,Cashflows!$B$1043:$B$1393,$C515,Cashflows!$C$1043:$C$1393,$K515)</f>
        <v/>
      </c>
      <c r="W515" s="8">
        <f>IF($G515="INR",1,INDEX(Market_Daily!$F$6:$F$256,MATCH($K515,Market_Daily!$A$6:$A$256,0)))</f>
        <v/>
      </c>
      <c r="X515" s="8">
        <f>$V515*$W515</f>
        <v/>
      </c>
      <c r="Y515" s="18">
        <f>$X515-$P515</f>
        <v/>
      </c>
      <c r="Z515" s="8">
        <f>IF(ABS($Y515)&lt;=tol_cashflow_inr,"PASS","FAIL")</f>
        <v/>
      </c>
      <c r="AA515" s="7" t="inlineStr">
        <is>
          <t>-lots x lot_kg x fill x mcx_txn_cost_frac</t>
        </is>
      </c>
    </row>
    <row r="516">
      <c r="A516" s="7" t="inlineStr">
        <is>
          <t>T04</t>
        </is>
      </c>
      <c r="B516" s="7" t="inlineStr">
        <is>
          <t>MCX:T04-MCX-3</t>
        </is>
      </c>
      <c r="C516" s="7" t="inlineStr">
        <is>
          <t>T04-MCX-3</t>
        </is>
      </c>
      <c r="D516" s="7" t="inlineStr">
        <is>
          <t>MCX_VARIATION_MARGIN</t>
        </is>
      </c>
      <c r="E516" s="7" t="inlineStr">
        <is>
          <t>MCX_VARIATION_MARGIN</t>
        </is>
      </c>
      <c r="F516" s="7" t="inlineStr">
        <is>
          <t>PNL</t>
        </is>
      </c>
      <c r="G516" s="7" t="inlineStr">
        <is>
          <t>INR</t>
        </is>
      </c>
      <c r="H516" s="11" t="n">
        <v>44701</v>
      </c>
      <c r="I516" s="11" t="n">
        <v>44705</v>
      </c>
      <c r="J516" s="11" t="n">
        <v>44705</v>
      </c>
      <c r="K516" s="11" t="n">
        <v>44705</v>
      </c>
      <c r="L516" s="7" t="inlineStr">
        <is>
          <t>roll following on the LME panel calendar</t>
        </is>
      </c>
      <c r="N516" s="7" t="inlineStr">
        <is>
          <t>PROXY</t>
        </is>
      </c>
      <c r="O516" s="9" t="n">
        <v>2982489.16</v>
      </c>
      <c r="P516" s="9" t="n">
        <v>2982489.16</v>
      </c>
      <c r="U516" s="7" t="inlineStr">
        <is>
          <t>DERIVED_IN_WORKBOOK</t>
        </is>
      </c>
      <c r="V516" s="8">
        <f>SUMIFS(Cashflows!$R$1043:$R$1393,Cashflows!$B$1043:$B$1393,$C516,Cashflows!$C$1043:$C$1393,$K516)</f>
        <v/>
      </c>
      <c r="W516" s="8">
        <f>IF($G516="INR",1,INDEX(Market_Daily!$F$6:$F$256,MATCH($K516,Market_Daily!$A$6:$A$256,0)))</f>
        <v/>
      </c>
      <c r="X516" s="8">
        <f>$V516*$W516</f>
        <v/>
      </c>
      <c r="Y516" s="18">
        <f>$X516-$P516</f>
        <v/>
      </c>
      <c r="Z516" s="8">
        <f>IF(ABS($Y516)&lt;=tol_cashflow_inr,"PASS","FAIL")</f>
        <v/>
      </c>
      <c r="AA516" s="7" t="inlineStr">
        <is>
          <t>direction x lots x lot_kg x (F(s) - F(s-1))</t>
        </is>
      </c>
    </row>
    <row r="517">
      <c r="A517" s="7" t="inlineStr">
        <is>
          <t>T04</t>
        </is>
      </c>
      <c r="B517" s="7" t="inlineStr">
        <is>
          <t>DUTY:L1</t>
        </is>
      </c>
      <c r="C517" s="7" t="inlineStr">
        <is>
          <t>L1</t>
        </is>
      </c>
      <c r="D517" s="7" t="inlineStr">
        <is>
          <t>CUSTOMS_DUTY</t>
        </is>
      </c>
      <c r="E517" s="7" t="inlineStr">
        <is>
          <t>CUSTOMS_DUTY</t>
        </is>
      </c>
      <c r="F517" s="7" t="inlineStr">
        <is>
          <t>PNL</t>
        </is>
      </c>
      <c r="G517" s="7" t="inlineStr">
        <is>
          <t>INR</t>
        </is>
      </c>
      <c r="H517" s="11" t="n">
        <v>44657</v>
      </c>
      <c r="I517" s="11" t="n">
        <v>44719</v>
      </c>
      <c r="J517" s="11" t="n">
        <v>44719</v>
      </c>
      <c r="K517" s="11" t="n">
        <v>44719</v>
      </c>
      <c r="L517" s="7" t="inlineStr">
        <is>
          <t>roll following on the LME panel calendar</t>
        </is>
      </c>
      <c r="N517" s="7" t="inlineStr">
        <is>
          <t>DIRECT</t>
        </is>
      </c>
      <c r="O517" s="9" t="n">
        <v>-3411227.16</v>
      </c>
      <c r="P517" s="9" t="n">
        <v>-3411227.16</v>
      </c>
      <c r="U517" s="7" t="inlineStr">
        <is>
          <t>PYTHON_LIFECYCLE</t>
        </is>
      </c>
      <c r="V517" s="8">
        <f>$O517</f>
        <v/>
      </c>
      <c r="W517" s="8">
        <f>IF($G517="INR",1,INDEX(Market_Daily!$F$6:$F$256,MATCH($K517,Market_Daily!$A$6:$A$256,0)))</f>
        <v/>
      </c>
      <c r="X517" s="8">
        <f>$V517*$W517</f>
        <v/>
      </c>
      <c r="Y517" s="18">
        <f>$X517-$P517</f>
        <v/>
      </c>
      <c r="Z517" s="8">
        <f>IF(ABS($Y517)&lt;=tol_cashflow_inr,"PASS","FAIL")</f>
        <v/>
      </c>
      <c r="AA517" s="7" t="inlineStr">
        <is>
          <t>-assessable_inr x bcd_scrap_hs7602 x (1 + sws_rate_on_bcd)</t>
        </is>
      </c>
    </row>
    <row r="518">
      <c r="A518" s="7" t="inlineStr">
        <is>
          <t>T04</t>
        </is>
      </c>
      <c r="B518" s="7" t="inlineStr">
        <is>
          <t>IGST:L1</t>
        </is>
      </c>
      <c r="C518" s="7" t="inlineStr">
        <is>
          <t>L1</t>
        </is>
      </c>
      <c r="D518" s="7" t="inlineStr">
        <is>
          <t>IGST_IMPORT</t>
        </is>
      </c>
      <c r="E518" s="7" t="inlineStr">
        <is>
          <t>IGST_IMPORT</t>
        </is>
      </c>
      <c r="F518" s="7" t="inlineStr">
        <is>
          <t>BS</t>
        </is>
      </c>
      <c r="G518" s="7" t="inlineStr">
        <is>
          <t>INR</t>
        </is>
      </c>
      <c r="H518" s="11" t="n">
        <v>44657</v>
      </c>
      <c r="I518" s="11" t="n">
        <v>44719</v>
      </c>
      <c r="J518" s="11" t="n">
        <v>44719</v>
      </c>
      <c r="K518" s="11" t="n">
        <v>44719</v>
      </c>
      <c r="L518" s="7" t="inlineStr">
        <is>
          <t>roll following on the LME panel calendar</t>
        </is>
      </c>
      <c r="N518" s="7" t="inlineStr">
        <is>
          <t>DIRECT</t>
        </is>
      </c>
      <c r="O518" s="9" t="n">
        <v>-22942053.24</v>
      </c>
      <c r="P518" s="9" t="n">
        <v>-22942053.24</v>
      </c>
      <c r="U518" s="7" t="inlineStr">
        <is>
          <t>PYTHON_LIFECYCLE</t>
        </is>
      </c>
      <c r="V518" s="8">
        <f>$O518</f>
        <v/>
      </c>
      <c r="W518" s="8">
        <f>IF($G518="INR",1,INDEX(Market_Daily!$F$6:$F$256,MATCH($K518,Market_Daily!$A$6:$A$256,0)))</f>
        <v/>
      </c>
      <c r="X518" s="8">
        <f>$V518*$W518</f>
        <v/>
      </c>
      <c r="Y518" s="18">
        <f>$X518-$P518</f>
        <v/>
      </c>
      <c r="Z518" s="8">
        <f>IF(ABS($Y518)&lt;=tol_cashflow_inr,"PASS","FAIL")</f>
        <v/>
      </c>
      <c r="AA518" s="7" t="inlineStr">
        <is>
          <t>-(assessable + duty) x igst_rate_hs7602</t>
        </is>
      </c>
    </row>
    <row r="519">
      <c r="A519" s="7" t="inlineStr">
        <is>
          <t>T04</t>
        </is>
      </c>
      <c r="B519" s="7" t="inlineStr">
        <is>
          <t>DUTY:L2</t>
        </is>
      </c>
      <c r="C519" s="7" t="inlineStr">
        <is>
          <t>L2</t>
        </is>
      </c>
      <c r="D519" s="7" t="inlineStr">
        <is>
          <t>CUSTOMS_DUTY</t>
        </is>
      </c>
      <c r="E519" s="7" t="inlineStr">
        <is>
          <t>CUSTOMS_DUTY</t>
        </is>
      </c>
      <c r="F519" s="7" t="inlineStr">
        <is>
          <t>PNL</t>
        </is>
      </c>
      <c r="G519" s="7" t="inlineStr">
        <is>
          <t>INR</t>
        </is>
      </c>
      <c r="H519" s="11" t="n">
        <v>44657</v>
      </c>
      <c r="I519" s="11" t="n">
        <v>44726</v>
      </c>
      <c r="J519" s="11" t="n">
        <v>44726</v>
      </c>
      <c r="K519" s="11" t="n">
        <v>44726</v>
      </c>
      <c r="L519" s="7" t="inlineStr">
        <is>
          <t>roll following on the LME panel calendar</t>
        </is>
      </c>
      <c r="N519" s="7" t="inlineStr">
        <is>
          <t>DIRECT</t>
        </is>
      </c>
      <c r="O519" s="9" t="n">
        <v>-3411227.16</v>
      </c>
      <c r="P519" s="9" t="n">
        <v>-3411227.16</v>
      </c>
      <c r="U519" s="7" t="inlineStr">
        <is>
          <t>PYTHON_LIFECYCLE</t>
        </is>
      </c>
      <c r="V519" s="8">
        <f>$O519</f>
        <v/>
      </c>
      <c r="W519" s="8">
        <f>IF($G519="INR",1,INDEX(Market_Daily!$F$6:$F$256,MATCH($K519,Market_Daily!$A$6:$A$256,0)))</f>
        <v/>
      </c>
      <c r="X519" s="8">
        <f>$V519*$W519</f>
        <v/>
      </c>
      <c r="Y519" s="18">
        <f>$X519-$P519</f>
        <v/>
      </c>
      <c r="Z519" s="8">
        <f>IF(ABS($Y519)&lt;=tol_cashflow_inr,"PASS","FAIL")</f>
        <v/>
      </c>
      <c r="AA519" s="7" t="inlineStr">
        <is>
          <t>-assessable_inr x bcd_scrap_hs7602 x (1 + sws_rate_on_bcd)</t>
        </is>
      </c>
    </row>
    <row r="520">
      <c r="A520" s="7" t="inlineStr">
        <is>
          <t>T04</t>
        </is>
      </c>
      <c r="B520" s="7" t="inlineStr">
        <is>
          <t>IGST:L2</t>
        </is>
      </c>
      <c r="C520" s="7" t="inlineStr">
        <is>
          <t>L2</t>
        </is>
      </c>
      <c r="D520" s="7" t="inlineStr">
        <is>
          <t>IGST_IMPORT</t>
        </is>
      </c>
      <c r="E520" s="7" t="inlineStr">
        <is>
          <t>IGST_IMPORT</t>
        </is>
      </c>
      <c r="F520" s="7" t="inlineStr">
        <is>
          <t>BS</t>
        </is>
      </c>
      <c r="G520" s="7" t="inlineStr">
        <is>
          <t>INR</t>
        </is>
      </c>
      <c r="H520" s="11" t="n">
        <v>44657</v>
      </c>
      <c r="I520" s="11" t="n">
        <v>44726</v>
      </c>
      <c r="J520" s="11" t="n">
        <v>44726</v>
      </c>
      <c r="K520" s="11" t="n">
        <v>44726</v>
      </c>
      <c r="L520" s="7" t="inlineStr">
        <is>
          <t>roll following on the LME panel calendar</t>
        </is>
      </c>
      <c r="N520" s="7" t="inlineStr">
        <is>
          <t>DIRECT</t>
        </is>
      </c>
      <c r="O520" s="9" t="n">
        <v>-22942053.24</v>
      </c>
      <c r="P520" s="9" t="n">
        <v>-22942053.24</v>
      </c>
      <c r="U520" s="7" t="inlineStr">
        <is>
          <t>PYTHON_LIFECYCLE</t>
        </is>
      </c>
      <c r="V520" s="8">
        <f>$O520</f>
        <v/>
      </c>
      <c r="W520" s="8">
        <f>IF($G520="INR",1,INDEX(Market_Daily!$F$6:$F$256,MATCH($K520,Market_Daily!$A$6:$A$256,0)))</f>
        <v/>
      </c>
      <c r="X520" s="8">
        <f>$V520*$W520</f>
        <v/>
      </c>
      <c r="Y520" s="18">
        <f>$X520-$P520</f>
        <v/>
      </c>
      <c r="Z520" s="8">
        <f>IF(ABS($Y520)&lt;=tol_cashflow_inr,"PASS","FAIL")</f>
        <v/>
      </c>
      <c r="AA520" s="7" t="inlineStr">
        <is>
          <t>-(assessable + duty) x igst_rate_hs7602</t>
        </is>
      </c>
    </row>
    <row r="521">
      <c r="A521" s="7" t="inlineStr">
        <is>
          <t>T04</t>
        </is>
      </c>
      <c r="B521" s="7" t="inlineStr">
        <is>
          <t>SALE:S1</t>
        </is>
      </c>
      <c r="C521" s="7" t="inlineStr">
        <is>
          <t>S1</t>
        </is>
      </c>
      <c r="D521" s="7" t="inlineStr">
        <is>
          <t>SALE_ADVANCE</t>
        </is>
      </c>
      <c r="E521" s="7" t="inlineStr">
        <is>
          <t>SALE_ADVANCE</t>
        </is>
      </c>
      <c r="F521" s="7" t="inlineStr">
        <is>
          <t>PNL</t>
        </is>
      </c>
      <c r="G521" s="7" t="inlineStr">
        <is>
          <t>INR</t>
        </is>
      </c>
      <c r="H521" s="11" t="n">
        <v>44705</v>
      </c>
      <c r="I521" s="11" t="n">
        <v>44726</v>
      </c>
      <c r="J521" s="11" t="n">
        <v>44767</v>
      </c>
      <c r="K521" s="11" t="n">
        <v>44726</v>
      </c>
      <c r="L521" s="7" t="inlineStr">
        <is>
          <t>roll following on the LME panel calendar</t>
        </is>
      </c>
      <c r="N521" s="7" t="inlineStr">
        <is>
          <t>SIM</t>
        </is>
      </c>
      <c r="O521" s="9" t="n">
        <v>183802500</v>
      </c>
      <c r="P521" s="9" t="n">
        <v>183802500</v>
      </c>
      <c r="U521" s="7" t="inlineStr">
        <is>
          <t>PYTHON_LIFECYCLE</t>
        </is>
      </c>
      <c r="V521" s="8">
        <f>$O521</f>
        <v/>
      </c>
      <c r="W521" s="8">
        <f>IF($G521="INR",1,INDEX(Market_Daily!$F$6:$F$256,MATCH($K521,Market_Daily!$A$6:$A$256,0)))</f>
        <v/>
      </c>
      <c r="X521" s="8">
        <f>$V521*$W521</f>
        <v/>
      </c>
      <c r="Y521" s="18">
        <f>$X521-$P521</f>
        <v/>
      </c>
      <c r="Z521" s="8">
        <f>IF(ABS($Y521)&lt;=tol_cashflow_inr,"PASS","FAIL")</f>
        <v/>
      </c>
      <c r="AA521" s="7" t="inlineStr">
        <is>
          <t>+advance_frac x q_plan x P_sale</t>
        </is>
      </c>
    </row>
    <row r="522">
      <c r="A522" s="7" t="inlineStr">
        <is>
          <t>T04</t>
        </is>
      </c>
      <c r="B522" s="7" t="inlineStr">
        <is>
          <t>PORT:L1</t>
        </is>
      </c>
      <c r="C522" s="7" t="inlineStr">
        <is>
          <t>L1</t>
        </is>
      </c>
      <c r="D522" s="7" t="inlineStr">
        <is>
          <t>PORT_CHARGES</t>
        </is>
      </c>
      <c r="E522" s="7" t="inlineStr">
        <is>
          <t>PORT_CHARGES</t>
        </is>
      </c>
      <c r="F522" s="7" t="inlineStr">
        <is>
          <t>PNL</t>
        </is>
      </c>
      <c r="G522" s="7" t="inlineStr">
        <is>
          <t>INR</t>
        </is>
      </c>
      <c r="H522" s="11" t="n">
        <v>44657</v>
      </c>
      <c r="J522" s="11" t="n">
        <v>44728</v>
      </c>
      <c r="K522" s="11" t="n">
        <v>44728</v>
      </c>
      <c r="L522" s="7" t="inlineStr">
        <is>
          <t>roll following on the LME panel calendar</t>
        </is>
      </c>
      <c r="N522" s="7" t="inlineStr">
        <is>
          <t>ASSUMPTION</t>
        </is>
      </c>
      <c r="O522" s="9" t="n">
        <v>-1669500</v>
      </c>
      <c r="P522" s="9" t="n">
        <v>-1669500</v>
      </c>
      <c r="U522" s="7" t="inlineStr">
        <is>
          <t>PYTHON_LIFECYCLE</t>
        </is>
      </c>
      <c r="V522" s="8">
        <f>$O522</f>
        <v/>
      </c>
      <c r="W522" s="8">
        <f>IF($G522="INR",1,INDEX(Market_Daily!$F$6:$F$256,MATCH($K522,Market_Daily!$A$6:$A$256,0)))</f>
        <v/>
      </c>
      <c r="X522" s="8">
        <f>$V522*$W522</f>
        <v/>
      </c>
      <c r="Y522" s="18">
        <f>$X522-$P522</f>
        <v/>
      </c>
      <c r="Z522" s="8">
        <f>IF(ABS($Y522)&lt;=tol_cashflow_inr,"PASS","FAIL")</f>
        <v/>
      </c>
      <c r="AA522" s="7" t="inlineStr">
        <is>
          <t>-port_cf_charges_inr_t x base_payload x cleared boxes</t>
        </is>
      </c>
    </row>
    <row r="523">
      <c r="A523" s="7" t="inlineStr">
        <is>
          <t>T04</t>
        </is>
      </c>
      <c r="B523" s="7" t="inlineStr">
        <is>
          <t>PORT:L2</t>
        </is>
      </c>
      <c r="C523" s="7" t="inlineStr">
        <is>
          <t>L2</t>
        </is>
      </c>
      <c r="D523" s="7" t="inlineStr">
        <is>
          <t>PORT_CHARGES</t>
        </is>
      </c>
      <c r="E523" s="7" t="inlineStr">
        <is>
          <t>PORT_CHARGES</t>
        </is>
      </c>
      <c r="F523" s="7" t="inlineStr">
        <is>
          <t>PNL</t>
        </is>
      </c>
      <c r="G523" s="7" t="inlineStr">
        <is>
          <t>INR</t>
        </is>
      </c>
      <c r="H523" s="11" t="n">
        <v>44657</v>
      </c>
      <c r="J523" s="11" t="n">
        <v>44735</v>
      </c>
      <c r="K523" s="11" t="n">
        <v>44735</v>
      </c>
      <c r="L523" s="7" t="inlineStr">
        <is>
          <t>roll following on the LME panel calendar</t>
        </is>
      </c>
      <c r="N523" s="7" t="inlineStr">
        <is>
          <t>ASSUMPTION</t>
        </is>
      </c>
      <c r="O523" s="9" t="n">
        <v>-1669500</v>
      </c>
      <c r="P523" s="9" t="n">
        <v>-1669500</v>
      </c>
      <c r="U523" s="7" t="inlineStr">
        <is>
          <t>PYTHON_LIFECYCLE</t>
        </is>
      </c>
      <c r="V523" s="8">
        <f>$O523</f>
        <v/>
      </c>
      <c r="W523" s="8">
        <f>IF($G523="INR",1,INDEX(Market_Daily!$F$6:$F$256,MATCH($K523,Market_Daily!$A$6:$A$256,0)))</f>
        <v/>
      </c>
      <c r="X523" s="8">
        <f>$V523*$W523</f>
        <v/>
      </c>
      <c r="Y523" s="18">
        <f>$X523-$P523</f>
        <v/>
      </c>
      <c r="Z523" s="8">
        <f>IF(ABS($Y523)&lt;=tol_cashflow_inr,"PASS","FAIL")</f>
        <v/>
      </c>
      <c r="AA523" s="7" t="inlineStr">
        <is>
          <t>-port_cf_charges_inr_t x base_payload x cleared boxes</t>
        </is>
      </c>
    </row>
    <row r="524">
      <c r="A524" s="7" t="inlineStr">
        <is>
          <t>T04</t>
        </is>
      </c>
      <c r="B524" s="7" t="inlineStr">
        <is>
          <t>IGST:L1</t>
        </is>
      </c>
      <c r="C524" s="7" t="inlineStr">
        <is>
          <t>L1</t>
        </is>
      </c>
      <c r="D524" s="7" t="inlineStr">
        <is>
          <t>IGST_CREDIT</t>
        </is>
      </c>
      <c r="E524" s="7" t="inlineStr">
        <is>
          <t>IGST_CREDIT</t>
        </is>
      </c>
      <c r="F524" s="7" t="inlineStr">
        <is>
          <t>BS</t>
        </is>
      </c>
      <c r="G524" s="7" t="inlineStr">
        <is>
          <t>INR</t>
        </is>
      </c>
      <c r="H524" s="11" t="n">
        <v>44657</v>
      </c>
      <c r="I524" s="11" t="n">
        <v>44719</v>
      </c>
      <c r="J524" s="11" t="n">
        <v>44764</v>
      </c>
      <c r="K524" s="11" t="n">
        <v>44764</v>
      </c>
      <c r="L524" s="7" t="inlineStr">
        <is>
          <t>roll following on the LME panel calendar</t>
        </is>
      </c>
      <c r="N524" s="7" t="inlineStr">
        <is>
          <t>DIRECT</t>
        </is>
      </c>
      <c r="O524" s="9" t="n">
        <v>22942053.24</v>
      </c>
      <c r="P524" s="9" t="n">
        <v>22942053.24</v>
      </c>
      <c r="U524" s="7" t="inlineStr">
        <is>
          <t>PYTHON_LIFECYCLE</t>
        </is>
      </c>
      <c r="V524" s="8">
        <f>$O524</f>
        <v/>
      </c>
      <c r="W524" s="8">
        <f>IF($G524="INR",1,INDEX(Market_Daily!$F$6:$F$256,MATCH($K524,Market_Daily!$A$6:$A$256,0)))</f>
        <v/>
      </c>
      <c r="X524" s="8">
        <f>$V524*$W524</f>
        <v/>
      </c>
      <c r="Y524" s="18">
        <f>$X524-$P524</f>
        <v/>
      </c>
      <c r="Z524" s="8">
        <f>IF(ABS($Y524)&lt;=tol_cashflow_inr,"PASS","FAIL")</f>
        <v/>
      </c>
      <c r="AA524" s="7" t="inlineStr">
        <is>
          <t>+(assessable + duty) x igst_rate at igst_credit_lag_days</t>
        </is>
      </c>
    </row>
    <row r="525">
      <c r="A525" s="7" t="inlineStr">
        <is>
          <t>T04</t>
        </is>
      </c>
      <c r="B525" s="7" t="inlineStr">
        <is>
          <t>SALE:S1</t>
        </is>
      </c>
      <c r="C525" s="7" t="inlineStr">
        <is>
          <t>S1</t>
        </is>
      </c>
      <c r="D525" s="7" t="inlineStr">
        <is>
          <t>SALE_BALANCE</t>
        </is>
      </c>
      <c r="E525" s="7" t="inlineStr">
        <is>
          <t>SALE_BALANCE</t>
        </is>
      </c>
      <c r="F525" s="7" t="inlineStr">
        <is>
          <t>PNL</t>
        </is>
      </c>
      <c r="G525" s="7" t="inlineStr">
        <is>
          <t>INR</t>
        </is>
      </c>
      <c r="H525" s="11" t="n">
        <v>44705</v>
      </c>
      <c r="I525" s="11" t="n">
        <v>44726</v>
      </c>
      <c r="J525" s="11" t="n">
        <v>44767</v>
      </c>
      <c r="K525" s="11" t="n">
        <v>44767</v>
      </c>
      <c r="L525" s="7" t="inlineStr">
        <is>
          <t>roll following on the LME panel calendar</t>
        </is>
      </c>
      <c r="N525" s="7" t="inlineStr">
        <is>
          <t>SIM</t>
        </is>
      </c>
      <c r="O525" s="9" t="n">
        <v>61267500</v>
      </c>
      <c r="P525" s="9" t="n">
        <v>61267500</v>
      </c>
      <c r="U525" s="7" t="inlineStr">
        <is>
          <t>PYTHON_LIFECYCLE</t>
        </is>
      </c>
      <c r="V525" s="8">
        <f>$O525</f>
        <v/>
      </c>
      <c r="W525" s="8">
        <f>IF($G525="INR",1,INDEX(Market_Daily!$F$6:$F$256,MATCH($K525,Market_Daily!$A$6:$A$256,0)))</f>
        <v/>
      </c>
      <c r="X525" s="8">
        <f>$V525*$W525</f>
        <v/>
      </c>
      <c r="Y525" s="18">
        <f>$X525-$P525</f>
        <v/>
      </c>
      <c r="Z525" s="8">
        <f>IF(ABS($Y525)&lt;=tol_cashflow_inr,"PASS","FAIL")</f>
        <v/>
      </c>
      <c r="AA525" s="7" t="inlineStr">
        <is>
          <t>+q_acc x P_sale x (1 - disc passthrough) - advance</t>
        </is>
      </c>
    </row>
    <row r="526">
      <c r="A526" s="7" t="inlineStr">
        <is>
          <t>T04</t>
        </is>
      </c>
      <c r="B526" s="7" t="inlineStr">
        <is>
          <t>IGST:L2</t>
        </is>
      </c>
      <c r="C526" s="7" t="inlineStr">
        <is>
          <t>L2</t>
        </is>
      </c>
      <c r="D526" s="7" t="inlineStr">
        <is>
          <t>IGST_CREDIT</t>
        </is>
      </c>
      <c r="E526" s="7" t="inlineStr">
        <is>
          <t>IGST_CREDIT</t>
        </is>
      </c>
      <c r="F526" s="7" t="inlineStr">
        <is>
          <t>BS</t>
        </is>
      </c>
      <c r="G526" s="7" t="inlineStr">
        <is>
          <t>INR</t>
        </is>
      </c>
      <c r="H526" s="11" t="n">
        <v>44657</v>
      </c>
      <c r="I526" s="11" t="n">
        <v>44726</v>
      </c>
      <c r="J526" s="11" t="n">
        <v>44771</v>
      </c>
      <c r="K526" s="11" t="n">
        <v>44771</v>
      </c>
      <c r="L526" s="7" t="inlineStr">
        <is>
          <t>roll following on the LME panel calendar</t>
        </is>
      </c>
      <c r="N526" s="7" t="inlineStr">
        <is>
          <t>DIRECT</t>
        </is>
      </c>
      <c r="O526" s="9" t="n">
        <v>22942053.24</v>
      </c>
      <c r="P526" s="9" t="n">
        <v>22942053.24</v>
      </c>
      <c r="U526" s="7" t="inlineStr">
        <is>
          <t>PYTHON_LIFECYCLE</t>
        </is>
      </c>
      <c r="V526" s="8">
        <f>$O526</f>
        <v/>
      </c>
      <c r="W526" s="8">
        <f>IF($G526="INR",1,INDEX(Market_Daily!$F$6:$F$256,MATCH($K526,Market_Daily!$A$6:$A$256,0)))</f>
        <v/>
      </c>
      <c r="X526" s="8">
        <f>$V526*$W526</f>
        <v/>
      </c>
      <c r="Y526" s="18">
        <f>$X526-$P526</f>
        <v/>
      </c>
      <c r="Z526" s="8">
        <f>IF(ABS($Y526)&lt;=tol_cashflow_inr,"PASS","FAIL")</f>
        <v/>
      </c>
      <c r="AA526" s="7" t="inlineStr">
        <is>
          <t>+(assessable + duty) x igst_rate at igst_credit_lag_days</t>
        </is>
      </c>
    </row>
    <row r="527">
      <c r="A527" s="7" t="inlineStr">
        <is>
          <t>T05</t>
        </is>
      </c>
      <c r="B527" s="7" t="inlineStr">
        <is>
          <t>MCX:T05-MCX-1</t>
        </is>
      </c>
      <c r="C527" s="7" t="inlineStr">
        <is>
          <t>T05-MCX-1</t>
        </is>
      </c>
      <c r="D527" s="7" t="inlineStr">
        <is>
          <t>MCX_INITIAL_MARGIN</t>
        </is>
      </c>
      <c r="E527" s="7" t="inlineStr">
        <is>
          <t>MCX_INITIAL_MARGIN</t>
        </is>
      </c>
      <c r="F527" s="7" t="inlineStr">
        <is>
          <t>BS</t>
        </is>
      </c>
      <c r="G527" s="7" t="inlineStr">
        <is>
          <t>INR</t>
        </is>
      </c>
      <c r="H527" s="11" t="n">
        <v>44672</v>
      </c>
      <c r="I527" s="11" t="n">
        <v>44672</v>
      </c>
      <c r="J527" s="11" t="n">
        <v>44672</v>
      </c>
      <c r="K527" s="11" t="n">
        <v>44672</v>
      </c>
      <c r="L527" s="7" t="inlineStr">
        <is>
          <t>roll following on the LME panel calendar</t>
        </is>
      </c>
      <c r="N527" s="7" t="inlineStr">
        <is>
          <t>PROXY</t>
        </is>
      </c>
      <c r="O527" s="9" t="n">
        <v>-14188038.03</v>
      </c>
      <c r="P527" s="9" t="n">
        <v>-14188038.03</v>
      </c>
      <c r="U527" s="7" t="inlineStr">
        <is>
          <t>DERIVED_IN_WORKBOOK</t>
        </is>
      </c>
      <c r="V527" s="8">
        <f>-SUMIFS(Cashflows!$W$1043:$W$1393,Cashflows!$B$1043:$B$1393,$C527,Cashflows!$C$1043:$C$1393,$K527)</f>
        <v/>
      </c>
      <c r="W527" s="8">
        <f>IF($G527="INR",1,INDEX(Market_Daily!$F$6:$F$256,MATCH($K527,Market_Daily!$A$6:$A$256,0)))</f>
        <v/>
      </c>
      <c r="X527" s="8">
        <f>$V527*$W527</f>
        <v/>
      </c>
      <c r="Y527" s="18">
        <f>$X527-$P527</f>
        <v/>
      </c>
      <c r="Z527" s="8">
        <f>IF(ABS($Y527)&lt;=tol_cashflow_inr,"PASS","FAIL")</f>
        <v/>
      </c>
      <c r="AA527" s="7" t="inlineStr">
        <is>
          <t>-d(lots x lot_kg x F(s) x mcx_al_margin_used_frac)</t>
        </is>
      </c>
    </row>
    <row r="528">
      <c r="A528" s="7" t="inlineStr">
        <is>
          <t>T05</t>
        </is>
      </c>
      <c r="B528" s="7" t="inlineStr">
        <is>
          <t>MCX:T05-MCX-1</t>
        </is>
      </c>
      <c r="C528" s="7" t="inlineStr">
        <is>
          <t>T05-MCX-1</t>
        </is>
      </c>
      <c r="D528" s="7" t="inlineStr">
        <is>
          <t>MCX_SLIPPAGE</t>
        </is>
      </c>
      <c r="E528" s="7" t="inlineStr">
        <is>
          <t>MCX_SLIPPAGE</t>
        </is>
      </c>
      <c r="F528" s="7" t="inlineStr">
        <is>
          <t>PNL</t>
        </is>
      </c>
      <c r="G528" s="7" t="inlineStr">
        <is>
          <t>INR</t>
        </is>
      </c>
      <c r="H528" s="11" t="n">
        <v>44672</v>
      </c>
      <c r="J528" s="11" t="n">
        <v>44672</v>
      </c>
      <c r="K528" s="11" t="n">
        <v>44672</v>
      </c>
      <c r="L528" s="7" t="inlineStr">
        <is>
          <t>roll following on the LME panel calendar</t>
        </is>
      </c>
      <c r="N528" s="7" t="inlineStr">
        <is>
          <t>ASSUMPTION</t>
        </is>
      </c>
      <c r="O528" s="9" t="n">
        <v>-52500</v>
      </c>
      <c r="P528" s="9" t="n">
        <v>-52500</v>
      </c>
      <c r="U528" s="7" t="inlineStr">
        <is>
          <t>DERIVED_IN_WORKBOOK</t>
        </is>
      </c>
      <c r="V528" s="8">
        <f>SUMIFS(Cashflows!$Z$1043:$Z$1393,Cashflows!$B$1043:$B$1393,$C528,Cashflows!$C$1043:$C$1393,$K528)</f>
        <v/>
      </c>
      <c r="W528" s="8">
        <f>IF($G528="INR",1,INDEX(Market_Daily!$F$6:$F$256,MATCH($K528,Market_Daily!$A$6:$A$256,0)))</f>
        <v/>
      </c>
      <c r="X528" s="8">
        <f>$V528*$W528</f>
        <v/>
      </c>
      <c r="Y528" s="18">
        <f>$X528-$P528</f>
        <v/>
      </c>
      <c r="Z528" s="8">
        <f>IF(ABS($Y528)&lt;=tol_cashflow_inr,"PASS","FAIL")</f>
        <v/>
      </c>
      <c r="AA528" s="7" t="inlineStr">
        <is>
          <t>-lots x lot_kg x mcx_slippage_ticks x tick</t>
        </is>
      </c>
    </row>
    <row r="529">
      <c r="A529" s="7" t="inlineStr">
        <is>
          <t>T05</t>
        </is>
      </c>
      <c r="B529" s="7" t="inlineStr">
        <is>
          <t>MCX:T05-MCX-1</t>
        </is>
      </c>
      <c r="C529" s="7" t="inlineStr">
        <is>
          <t>T05-MCX-1</t>
        </is>
      </c>
      <c r="D529" s="7" t="inlineStr">
        <is>
          <t>MCX_TRANSACTION_COST</t>
        </is>
      </c>
      <c r="E529" s="7" t="inlineStr">
        <is>
          <t>MCX_TRANSACTION_COST</t>
        </is>
      </c>
      <c r="F529" s="7" t="inlineStr">
        <is>
          <t>PNL</t>
        </is>
      </c>
      <c r="G529" s="7" t="inlineStr">
        <is>
          <t>INR</t>
        </is>
      </c>
      <c r="H529" s="11" t="n">
        <v>44672</v>
      </c>
      <c r="I529" s="11" t="n">
        <v>44672</v>
      </c>
      <c r="J529" s="11" t="n">
        <v>44672</v>
      </c>
      <c r="K529" s="11" t="n">
        <v>44672</v>
      </c>
      <c r="L529" s="7" t="inlineStr">
        <is>
          <t>roll following on the LME panel calendar</t>
        </is>
      </c>
      <c r="N529" s="7" t="inlineStr">
        <is>
          <t>ASSUMPTION</t>
        </is>
      </c>
      <c r="O529" s="9" t="n">
        <v>-42548.36</v>
      </c>
      <c r="P529" s="9" t="n">
        <v>-42548.36</v>
      </c>
      <c r="U529" s="7" t="inlineStr">
        <is>
          <t>DERIVED_IN_WORKBOOK</t>
        </is>
      </c>
      <c r="V529" s="8">
        <f>SUMIFS(Cashflows!$AA$1043:$AA$1393,Cashflows!$B$1043:$B$1393,$C529,Cashflows!$C$1043:$C$1393,$K529)</f>
        <v/>
      </c>
      <c r="W529" s="8">
        <f>IF($G529="INR",1,INDEX(Market_Daily!$F$6:$F$256,MATCH($K529,Market_Daily!$A$6:$A$256,0)))</f>
        <v/>
      </c>
      <c r="X529" s="8">
        <f>$V529*$W529</f>
        <v/>
      </c>
      <c r="Y529" s="18">
        <f>$X529-$P529</f>
        <v/>
      </c>
      <c r="Z529" s="8">
        <f>IF(ABS($Y529)&lt;=tol_cashflow_inr,"PASS","FAIL")</f>
        <v/>
      </c>
      <c r="AA529" s="7" t="inlineStr">
        <is>
          <t>-lots x lot_kg x fill x mcx_txn_cost_frac</t>
        </is>
      </c>
    </row>
    <row r="530">
      <c r="A530" s="7" t="inlineStr">
        <is>
          <t>T05</t>
        </is>
      </c>
      <c r="B530" s="7" t="inlineStr">
        <is>
          <t>MCX:T05-MCX-1</t>
        </is>
      </c>
      <c r="C530" s="7" t="inlineStr">
        <is>
          <t>T05-MCX-1</t>
        </is>
      </c>
      <c r="D530" s="7" t="inlineStr">
        <is>
          <t>MCX_VARIATION_MARGIN</t>
        </is>
      </c>
      <c r="E530" s="7" t="inlineStr">
        <is>
          <t>MCX_VARIATION_MARGIN</t>
        </is>
      </c>
      <c r="F530" s="7" t="inlineStr">
        <is>
          <t>PNL</t>
        </is>
      </c>
      <c r="G530" s="7" t="inlineStr">
        <is>
          <t>INR</t>
        </is>
      </c>
      <c r="H530" s="11" t="n">
        <v>44672</v>
      </c>
      <c r="I530" s="11" t="n">
        <v>44672</v>
      </c>
      <c r="J530" s="11" t="n">
        <v>44672</v>
      </c>
      <c r="K530" s="11" t="n">
        <v>44672</v>
      </c>
      <c r="L530" s="7" t="inlineStr">
        <is>
          <t>roll following on the LME panel calendar</t>
        </is>
      </c>
      <c r="N530" s="7" t="inlineStr">
        <is>
          <t>PROXY</t>
        </is>
      </c>
      <c r="O530" s="9" t="n">
        <v>-0</v>
      </c>
      <c r="P530" s="9" t="n">
        <v>-0</v>
      </c>
      <c r="U530" s="7" t="inlineStr">
        <is>
          <t>DERIVED_IN_WORKBOOK</t>
        </is>
      </c>
      <c r="V530" s="8">
        <f>SUMIFS(Cashflows!$R$1043:$R$1393,Cashflows!$B$1043:$B$1393,$C530,Cashflows!$C$1043:$C$1393,$K530)</f>
        <v/>
      </c>
      <c r="W530" s="8">
        <f>IF($G530="INR",1,INDEX(Market_Daily!$F$6:$F$256,MATCH($K530,Market_Daily!$A$6:$A$256,0)))</f>
        <v/>
      </c>
      <c r="X530" s="8">
        <f>$V530*$W530</f>
        <v/>
      </c>
      <c r="Y530" s="18">
        <f>$X530-$P530</f>
        <v/>
      </c>
      <c r="Z530" s="8">
        <f>IF(ABS($Y530)&lt;=tol_cashflow_inr,"PASS","FAIL")</f>
        <v/>
      </c>
      <c r="AA530" s="7" t="inlineStr">
        <is>
          <t>direction x lots x lot_kg x (F(entry) - entry settle) = 0 by construction</t>
        </is>
      </c>
    </row>
    <row r="531">
      <c r="A531" s="7" t="inlineStr">
        <is>
          <t>T05</t>
        </is>
      </c>
      <c r="B531" s="7" t="inlineStr">
        <is>
          <t>MCX:T05-MCX-1</t>
        </is>
      </c>
      <c r="C531" s="7" t="inlineStr">
        <is>
          <t>T05-MCX-1</t>
        </is>
      </c>
      <c r="D531" s="7" t="inlineStr">
        <is>
          <t>MCX_INITIAL_MARGIN</t>
        </is>
      </c>
      <c r="E531" s="7" t="inlineStr">
        <is>
          <t>MCX_INITIAL_MARGIN</t>
        </is>
      </c>
      <c r="F531" s="7" t="inlineStr">
        <is>
          <t>BS</t>
        </is>
      </c>
      <c r="G531" s="7" t="inlineStr">
        <is>
          <t>INR</t>
        </is>
      </c>
      <c r="H531" s="11" t="n">
        <v>44672</v>
      </c>
      <c r="I531" s="11" t="n">
        <v>44673</v>
      </c>
      <c r="J531" s="11" t="n">
        <v>44673</v>
      </c>
      <c r="K531" s="11" t="n">
        <v>44673</v>
      </c>
      <c r="L531" s="7" t="inlineStr">
        <is>
          <t>roll following on the LME panel calendar</t>
        </is>
      </c>
      <c r="N531" s="7" t="inlineStr">
        <is>
          <t>PROXY</t>
        </is>
      </c>
      <c r="O531" s="9" t="n">
        <v>34832.79</v>
      </c>
      <c r="P531" s="9" t="n">
        <v>34832.79</v>
      </c>
      <c r="U531" s="7" t="inlineStr">
        <is>
          <t>DERIVED_IN_WORKBOOK</t>
        </is>
      </c>
      <c r="V531" s="8">
        <f>-SUMIFS(Cashflows!$W$1043:$W$1393,Cashflows!$B$1043:$B$1393,$C531,Cashflows!$C$1043:$C$1393,$K531)</f>
        <v/>
      </c>
      <c r="W531" s="8">
        <f>IF($G531="INR",1,INDEX(Market_Daily!$F$6:$F$256,MATCH($K531,Market_Daily!$A$6:$A$256,0)))</f>
        <v/>
      </c>
      <c r="X531" s="8">
        <f>$V531*$W531</f>
        <v/>
      </c>
      <c r="Y531" s="18">
        <f>$X531-$P531</f>
        <v/>
      </c>
      <c r="Z531" s="8">
        <f>IF(ABS($Y531)&lt;=tol_cashflow_inr,"PASS","FAIL")</f>
        <v/>
      </c>
      <c r="AA531" s="7" t="inlineStr">
        <is>
          <t>-d(lots x lot_kg x F(s) x mcx_al_margin_used_frac)</t>
        </is>
      </c>
    </row>
    <row r="532">
      <c r="A532" s="7" t="inlineStr">
        <is>
          <t>T05</t>
        </is>
      </c>
      <c r="B532" s="7" t="inlineStr">
        <is>
          <t>MCX:T05-MCX-1</t>
        </is>
      </c>
      <c r="C532" s="7" t="inlineStr">
        <is>
          <t>T05-MCX-1</t>
        </is>
      </c>
      <c r="D532" s="7" t="inlineStr">
        <is>
          <t>MCX_VARIATION_MARGIN</t>
        </is>
      </c>
      <c r="E532" s="7" t="inlineStr">
        <is>
          <t>MCX_VARIATION_MARGIN</t>
        </is>
      </c>
      <c r="F532" s="7" t="inlineStr">
        <is>
          <t>PNL</t>
        </is>
      </c>
      <c r="G532" s="7" t="inlineStr">
        <is>
          <t>INR</t>
        </is>
      </c>
      <c r="H532" s="11" t="n">
        <v>44672</v>
      </c>
      <c r="I532" s="11" t="n">
        <v>44673</v>
      </c>
      <c r="J532" s="11" t="n">
        <v>44673</v>
      </c>
      <c r="K532" s="11" t="n">
        <v>44673</v>
      </c>
      <c r="L532" s="7" t="inlineStr">
        <is>
          <t>roll following on the LME panel calendar</t>
        </is>
      </c>
      <c r="N532" s="7" t="inlineStr">
        <is>
          <t>PROXY</t>
        </is>
      </c>
      <c r="O532" s="9" t="n">
        <v>348327.91</v>
      </c>
      <c r="P532" s="9" t="n">
        <v>348327.91</v>
      </c>
      <c r="U532" s="7" t="inlineStr">
        <is>
          <t>DERIVED_IN_WORKBOOK</t>
        </is>
      </c>
      <c r="V532" s="8">
        <f>SUMIFS(Cashflows!$R$1043:$R$1393,Cashflows!$B$1043:$B$1393,$C532,Cashflows!$C$1043:$C$1393,$K532)</f>
        <v/>
      </c>
      <c r="W532" s="8">
        <f>IF($G532="INR",1,INDEX(Market_Daily!$F$6:$F$256,MATCH($K532,Market_Daily!$A$6:$A$256,0)))</f>
        <v/>
      </c>
      <c r="X532" s="8">
        <f>$V532*$W532</f>
        <v/>
      </c>
      <c r="Y532" s="18">
        <f>$X532-$P532</f>
        <v/>
      </c>
      <c r="Z532" s="8">
        <f>IF(ABS($Y532)&lt;=tol_cashflow_inr,"PASS","FAIL")</f>
        <v/>
      </c>
      <c r="AA532" s="7" t="inlineStr">
        <is>
          <t>direction x lots x lot_kg x (F(s) - F(s-1))</t>
        </is>
      </c>
    </row>
    <row r="533">
      <c r="A533" s="7" t="inlineStr">
        <is>
          <t>T05</t>
        </is>
      </c>
      <c r="B533" s="7" t="inlineStr">
        <is>
          <t>MCX:T05-MCX-1</t>
        </is>
      </c>
      <c r="C533" s="7" t="inlineStr">
        <is>
          <t>T05-MCX-1</t>
        </is>
      </c>
      <c r="D533" s="7" t="inlineStr">
        <is>
          <t>MCX_INITIAL_MARGIN</t>
        </is>
      </c>
      <c r="E533" s="7" t="inlineStr">
        <is>
          <t>MCX_INITIAL_MARGIN</t>
        </is>
      </c>
      <c r="F533" s="7" t="inlineStr">
        <is>
          <t>BS</t>
        </is>
      </c>
      <c r="G533" s="7" t="inlineStr">
        <is>
          <t>INR</t>
        </is>
      </c>
      <c r="H533" s="11" t="n">
        <v>44672</v>
      </c>
      <c r="I533" s="11" t="n">
        <v>44676</v>
      </c>
      <c r="J533" s="11" t="n">
        <v>44676</v>
      </c>
      <c r="K533" s="11" t="n">
        <v>44676</v>
      </c>
      <c r="L533" s="7" t="inlineStr">
        <is>
          <t>roll following on the LME panel calendar</t>
        </is>
      </c>
      <c r="N533" s="7" t="inlineStr">
        <is>
          <t>PROXY</t>
        </is>
      </c>
      <c r="O533" s="9" t="n">
        <v>648415.39</v>
      </c>
      <c r="P533" s="9" t="n">
        <v>648415.39</v>
      </c>
      <c r="U533" s="7" t="inlineStr">
        <is>
          <t>DERIVED_IN_WORKBOOK</t>
        </is>
      </c>
      <c r="V533" s="8">
        <f>-SUMIFS(Cashflows!$W$1043:$W$1393,Cashflows!$B$1043:$B$1393,$C533,Cashflows!$C$1043:$C$1393,$K533)</f>
        <v/>
      </c>
      <c r="W533" s="8">
        <f>IF($G533="INR",1,INDEX(Market_Daily!$F$6:$F$256,MATCH($K533,Market_Daily!$A$6:$A$256,0)))</f>
        <v/>
      </c>
      <c r="X533" s="8">
        <f>$V533*$W533</f>
        <v/>
      </c>
      <c r="Y533" s="18">
        <f>$X533-$P533</f>
        <v/>
      </c>
      <c r="Z533" s="8">
        <f>IF(ABS($Y533)&lt;=tol_cashflow_inr,"PASS","FAIL")</f>
        <v/>
      </c>
      <c r="AA533" s="7" t="inlineStr">
        <is>
          <t>-d(lots x lot_kg x F(s) x mcx_al_margin_used_frac)</t>
        </is>
      </c>
    </row>
    <row r="534">
      <c r="A534" s="7" t="inlineStr">
        <is>
          <t>T05</t>
        </is>
      </c>
      <c r="B534" s="7" t="inlineStr">
        <is>
          <t>MCX:T05-MCX-1</t>
        </is>
      </c>
      <c r="C534" s="7" t="inlineStr">
        <is>
          <t>T05-MCX-1</t>
        </is>
      </c>
      <c r="D534" s="7" t="inlineStr">
        <is>
          <t>MCX_VARIATION_MARGIN</t>
        </is>
      </c>
      <c r="E534" s="7" t="inlineStr">
        <is>
          <t>MCX_VARIATION_MARGIN</t>
        </is>
      </c>
      <c r="F534" s="7" t="inlineStr">
        <is>
          <t>PNL</t>
        </is>
      </c>
      <c r="G534" s="7" t="inlineStr">
        <is>
          <t>INR</t>
        </is>
      </c>
      <c r="H534" s="11" t="n">
        <v>44672</v>
      </c>
      <c r="I534" s="11" t="n">
        <v>44676</v>
      </c>
      <c r="J534" s="11" t="n">
        <v>44676</v>
      </c>
      <c r="K534" s="11" t="n">
        <v>44676</v>
      </c>
      <c r="L534" s="7" t="inlineStr">
        <is>
          <t>roll following on the LME panel calendar</t>
        </is>
      </c>
      <c r="N534" s="7" t="inlineStr">
        <is>
          <t>PROXY</t>
        </is>
      </c>
      <c r="O534" s="9" t="n">
        <v>6484153.94</v>
      </c>
      <c r="P534" s="9" t="n">
        <v>6484153.94</v>
      </c>
      <c r="U534" s="7" t="inlineStr">
        <is>
          <t>DERIVED_IN_WORKBOOK</t>
        </is>
      </c>
      <c r="V534" s="8">
        <f>SUMIFS(Cashflows!$R$1043:$R$1393,Cashflows!$B$1043:$B$1393,$C534,Cashflows!$C$1043:$C$1393,$K534)</f>
        <v/>
      </c>
      <c r="W534" s="8">
        <f>IF($G534="INR",1,INDEX(Market_Daily!$F$6:$F$256,MATCH($K534,Market_Daily!$A$6:$A$256,0)))</f>
        <v/>
      </c>
      <c r="X534" s="8">
        <f>$V534*$W534</f>
        <v/>
      </c>
      <c r="Y534" s="18">
        <f>$X534-$P534</f>
        <v/>
      </c>
      <c r="Z534" s="8">
        <f>IF(ABS($Y534)&lt;=tol_cashflow_inr,"PASS","FAIL")</f>
        <v/>
      </c>
      <c r="AA534" s="7" t="inlineStr">
        <is>
          <t>direction x lots x lot_kg x (F(s) - F(s-1))</t>
        </is>
      </c>
    </row>
    <row r="535">
      <c r="A535" s="7" t="inlineStr">
        <is>
          <t>T05</t>
        </is>
      </c>
      <c r="B535" s="7" t="inlineStr">
        <is>
          <t>MCX:T05-MCX-1</t>
        </is>
      </c>
      <c r="C535" s="7" t="inlineStr">
        <is>
          <t>T05-MCX-1</t>
        </is>
      </c>
      <c r="D535" s="7" t="inlineStr">
        <is>
          <t>MCX_INITIAL_MARGIN</t>
        </is>
      </c>
      <c r="E535" s="7" t="inlineStr">
        <is>
          <t>MCX_INITIAL_MARGIN</t>
        </is>
      </c>
      <c r="F535" s="7" t="inlineStr">
        <is>
          <t>BS</t>
        </is>
      </c>
      <c r="G535" s="7" t="inlineStr">
        <is>
          <t>INR</t>
        </is>
      </c>
      <c r="H535" s="11" t="n">
        <v>44672</v>
      </c>
      <c r="I535" s="11" t="n">
        <v>44677</v>
      </c>
      <c r="J535" s="11" t="n">
        <v>44677</v>
      </c>
      <c r="K535" s="11" t="n">
        <v>44677</v>
      </c>
      <c r="L535" s="7" t="inlineStr">
        <is>
          <t>roll following on the LME panel calendar</t>
        </is>
      </c>
      <c r="N535" s="7" t="inlineStr">
        <is>
          <t>PROXY</t>
        </is>
      </c>
      <c r="O535" s="9" t="n">
        <v>-46063.66</v>
      </c>
      <c r="P535" s="9" t="n">
        <v>-46063.66</v>
      </c>
      <c r="U535" s="7" t="inlineStr">
        <is>
          <t>DERIVED_IN_WORKBOOK</t>
        </is>
      </c>
      <c r="V535" s="8">
        <f>-SUMIFS(Cashflows!$W$1043:$W$1393,Cashflows!$B$1043:$B$1393,$C535,Cashflows!$C$1043:$C$1393,$K535)</f>
        <v/>
      </c>
      <c r="W535" s="8">
        <f>IF($G535="INR",1,INDEX(Market_Daily!$F$6:$F$256,MATCH($K535,Market_Daily!$A$6:$A$256,0)))</f>
        <v/>
      </c>
      <c r="X535" s="8">
        <f>$V535*$W535</f>
        <v/>
      </c>
      <c r="Y535" s="18">
        <f>$X535-$P535</f>
        <v/>
      </c>
      <c r="Z535" s="8">
        <f>IF(ABS($Y535)&lt;=tol_cashflow_inr,"PASS","FAIL")</f>
        <v/>
      </c>
      <c r="AA535" s="7" t="inlineStr">
        <is>
          <t>-d(lots x lot_kg x F(s) x mcx_al_margin_used_frac)</t>
        </is>
      </c>
    </row>
    <row r="536">
      <c r="A536" s="7" t="inlineStr">
        <is>
          <t>T05</t>
        </is>
      </c>
      <c r="B536" s="7" t="inlineStr">
        <is>
          <t>MCX:T05-MCX-1</t>
        </is>
      </c>
      <c r="C536" s="7" t="inlineStr">
        <is>
          <t>T05-MCX-1</t>
        </is>
      </c>
      <c r="D536" s="7" t="inlineStr">
        <is>
          <t>MCX_VARIATION_MARGIN</t>
        </is>
      </c>
      <c r="E536" s="7" t="inlineStr">
        <is>
          <t>MCX_VARIATION_MARGIN</t>
        </is>
      </c>
      <c r="F536" s="7" t="inlineStr">
        <is>
          <t>PNL</t>
        </is>
      </c>
      <c r="G536" s="7" t="inlineStr">
        <is>
          <t>INR</t>
        </is>
      </c>
      <c r="H536" s="11" t="n">
        <v>44672</v>
      </c>
      <c r="I536" s="11" t="n">
        <v>44677</v>
      </c>
      <c r="J536" s="11" t="n">
        <v>44677</v>
      </c>
      <c r="K536" s="11" t="n">
        <v>44677</v>
      </c>
      <c r="L536" s="7" t="inlineStr">
        <is>
          <t>roll following on the LME panel calendar</t>
        </is>
      </c>
      <c r="N536" s="7" t="inlineStr">
        <is>
          <t>PROXY</t>
        </is>
      </c>
      <c r="O536" s="9" t="n">
        <v>-460636.61</v>
      </c>
      <c r="P536" s="9" t="n">
        <v>-460636.61</v>
      </c>
      <c r="U536" s="7" t="inlineStr">
        <is>
          <t>DERIVED_IN_WORKBOOK</t>
        </is>
      </c>
      <c r="V536" s="8">
        <f>SUMIFS(Cashflows!$R$1043:$R$1393,Cashflows!$B$1043:$B$1393,$C536,Cashflows!$C$1043:$C$1393,$K536)</f>
        <v/>
      </c>
      <c r="W536" s="8">
        <f>IF($G536="INR",1,INDEX(Market_Daily!$F$6:$F$256,MATCH($K536,Market_Daily!$A$6:$A$256,0)))</f>
        <v/>
      </c>
      <c r="X536" s="8">
        <f>$V536*$W536</f>
        <v/>
      </c>
      <c r="Y536" s="18">
        <f>$X536-$P536</f>
        <v/>
      </c>
      <c r="Z536" s="8">
        <f>IF(ABS($Y536)&lt;=tol_cashflow_inr,"PASS","FAIL")</f>
        <v/>
      </c>
      <c r="AA536" s="7" t="inlineStr">
        <is>
          <t>direction x lots x lot_kg x (F(s) - F(s-1))</t>
        </is>
      </c>
    </row>
    <row r="537">
      <c r="A537" s="7" t="inlineStr">
        <is>
          <t>T05</t>
        </is>
      </c>
      <c r="B537" s="7" t="inlineStr">
        <is>
          <t>MCX:T05-MCX-1</t>
        </is>
      </c>
      <c r="C537" s="7" t="inlineStr">
        <is>
          <t>T05-MCX-1</t>
        </is>
      </c>
      <c r="D537" s="7" t="inlineStr">
        <is>
          <t>MCX_INITIAL_MARGIN</t>
        </is>
      </c>
      <c r="E537" s="7" t="inlineStr">
        <is>
          <t>MCX_INITIAL_MARGIN</t>
        </is>
      </c>
      <c r="F537" s="7" t="inlineStr">
        <is>
          <t>BS</t>
        </is>
      </c>
      <c r="G537" s="7" t="inlineStr">
        <is>
          <t>INR</t>
        </is>
      </c>
      <c r="H537" s="11" t="n">
        <v>44672</v>
      </c>
      <c r="I537" s="11" t="n">
        <v>44678</v>
      </c>
      <c r="J537" s="11" t="n">
        <v>44678</v>
      </c>
      <c r="K537" s="11" t="n">
        <v>44678</v>
      </c>
      <c r="L537" s="7" t="inlineStr">
        <is>
          <t>roll following on the LME panel calendar</t>
        </is>
      </c>
      <c r="N537" s="7" t="inlineStr">
        <is>
          <t>PROXY</t>
        </is>
      </c>
      <c r="O537" s="9" t="n">
        <v>5562.42</v>
      </c>
      <c r="P537" s="9" t="n">
        <v>5562.42</v>
      </c>
      <c r="U537" s="7" t="inlineStr">
        <is>
          <t>DERIVED_IN_WORKBOOK</t>
        </is>
      </c>
      <c r="V537" s="8">
        <f>-SUMIFS(Cashflows!$W$1043:$W$1393,Cashflows!$B$1043:$B$1393,$C537,Cashflows!$C$1043:$C$1393,$K537)</f>
        <v/>
      </c>
      <c r="W537" s="8">
        <f>IF($G537="INR",1,INDEX(Market_Daily!$F$6:$F$256,MATCH($K537,Market_Daily!$A$6:$A$256,0)))</f>
        <v/>
      </c>
      <c r="X537" s="8">
        <f>$V537*$W537</f>
        <v/>
      </c>
      <c r="Y537" s="18">
        <f>$X537-$P537</f>
        <v/>
      </c>
      <c r="Z537" s="8">
        <f>IF(ABS($Y537)&lt;=tol_cashflow_inr,"PASS","FAIL")</f>
        <v/>
      </c>
      <c r="AA537" s="7" t="inlineStr">
        <is>
          <t>-d(lots x lot_kg x F(s) x mcx_al_margin_used_frac)</t>
        </is>
      </c>
    </row>
    <row r="538">
      <c r="A538" s="7" t="inlineStr">
        <is>
          <t>T05</t>
        </is>
      </c>
      <c r="B538" s="7" t="inlineStr">
        <is>
          <t>MCX:T05-MCX-1</t>
        </is>
      </c>
      <c r="C538" s="7" t="inlineStr">
        <is>
          <t>T05-MCX-1</t>
        </is>
      </c>
      <c r="D538" s="7" t="inlineStr">
        <is>
          <t>MCX_VARIATION_MARGIN</t>
        </is>
      </c>
      <c r="E538" s="7" t="inlineStr">
        <is>
          <t>MCX_VARIATION_MARGIN</t>
        </is>
      </c>
      <c r="F538" s="7" t="inlineStr">
        <is>
          <t>PNL</t>
        </is>
      </c>
      <c r="G538" s="7" t="inlineStr">
        <is>
          <t>INR</t>
        </is>
      </c>
      <c r="H538" s="11" t="n">
        <v>44672</v>
      </c>
      <c r="I538" s="11" t="n">
        <v>44678</v>
      </c>
      <c r="J538" s="11" t="n">
        <v>44678</v>
      </c>
      <c r="K538" s="11" t="n">
        <v>44678</v>
      </c>
      <c r="L538" s="7" t="inlineStr">
        <is>
          <t>roll following on the LME panel calendar</t>
        </is>
      </c>
      <c r="N538" s="7" t="inlineStr">
        <is>
          <t>PROXY</t>
        </is>
      </c>
      <c r="O538" s="9" t="n">
        <v>55624.21</v>
      </c>
      <c r="P538" s="9" t="n">
        <v>55624.21</v>
      </c>
      <c r="U538" s="7" t="inlineStr">
        <is>
          <t>DERIVED_IN_WORKBOOK</t>
        </is>
      </c>
      <c r="V538" s="8">
        <f>SUMIFS(Cashflows!$R$1043:$R$1393,Cashflows!$B$1043:$B$1393,$C538,Cashflows!$C$1043:$C$1393,$K538)</f>
        <v/>
      </c>
      <c r="W538" s="8">
        <f>IF($G538="INR",1,INDEX(Market_Daily!$F$6:$F$256,MATCH($K538,Market_Daily!$A$6:$A$256,0)))</f>
        <v/>
      </c>
      <c r="X538" s="8">
        <f>$V538*$W538</f>
        <v/>
      </c>
      <c r="Y538" s="18">
        <f>$X538-$P538</f>
        <v/>
      </c>
      <c r="Z538" s="8">
        <f>IF(ABS($Y538)&lt;=tol_cashflow_inr,"PASS","FAIL")</f>
        <v/>
      </c>
      <c r="AA538" s="7" t="inlineStr">
        <is>
          <t>direction x lots x lot_kg x (F(s) - F(s-1))</t>
        </is>
      </c>
    </row>
    <row r="539">
      <c r="A539" s="7" t="inlineStr">
        <is>
          <t>T05</t>
        </is>
      </c>
      <c r="B539" s="7" t="inlineStr">
        <is>
          <t>LC_FEES</t>
        </is>
      </c>
      <c r="D539" s="7" t="inlineStr">
        <is>
          <t>LC_CONFIRMATION_FEE</t>
        </is>
      </c>
      <c r="E539" s="7" t="inlineStr">
        <is>
          <t>LC_CONFIRMATION_FEE</t>
        </is>
      </c>
      <c r="F539" s="7" t="inlineStr">
        <is>
          <t>PNL</t>
        </is>
      </c>
      <c r="G539" s="7" t="inlineStr">
        <is>
          <t>USD</t>
        </is>
      </c>
      <c r="H539" s="11" t="n">
        <v>44672</v>
      </c>
      <c r="I539" s="11" t="n">
        <v>44679</v>
      </c>
      <c r="J539" s="11" t="n">
        <v>44679</v>
      </c>
      <c r="K539" s="11" t="n">
        <v>44679</v>
      </c>
      <c r="L539" s="7" t="inlineStr">
        <is>
          <t>roll following on the LME panel calendar</t>
        </is>
      </c>
      <c r="N539" s="7" t="inlineStr">
        <is>
          <t>PROXY</t>
        </is>
      </c>
      <c r="O539" s="9" t="n">
        <v>-7600.58</v>
      </c>
      <c r="P539" s="9" t="n">
        <v>-582580.67</v>
      </c>
      <c r="U539" s="7" t="inlineStr">
        <is>
          <t>PYTHON_LIFECYCLE</t>
        </is>
      </c>
      <c r="V539" s="8">
        <f>$O539</f>
        <v/>
      </c>
      <c r="W539" s="8">
        <f>IF($G539="INR",1,INDEX(Market_Daily!$F$6:$F$256,MATCH($K539,Market_Daily!$A$6:$A$256,0)))</f>
        <v/>
      </c>
      <c r="X539" s="8">
        <f>$V539*$W539</f>
        <v/>
      </c>
      <c r="Y539" s="18">
        <f>$X539-$P539</f>
        <v/>
      </c>
      <c r="Z539" s="8">
        <f>IF(ABS($Y539)&lt;=tol_cashflow_inr,"PASS","FAIL")</f>
        <v/>
      </c>
      <c r="AA539" s="7" t="inlineStr">
        <is>
          <t>-lc_confirmation_fee_pa x lc_value_usd x (validity + usance)/360</t>
        </is>
      </c>
    </row>
    <row r="540">
      <c r="A540" s="7" t="inlineStr">
        <is>
          <t>T05</t>
        </is>
      </c>
      <c r="B540" s="7" t="inlineStr">
        <is>
          <t>LC_FEES</t>
        </is>
      </c>
      <c r="D540" s="7" t="inlineStr">
        <is>
          <t>LC_OPENING_FEE</t>
        </is>
      </c>
      <c r="E540" s="7" t="inlineStr">
        <is>
          <t>LC_OPENING_FEE</t>
        </is>
      </c>
      <c r="F540" s="7" t="inlineStr">
        <is>
          <t>PNL</t>
        </is>
      </c>
      <c r="G540" s="7" t="inlineStr">
        <is>
          <t>USD</t>
        </is>
      </c>
      <c r="H540" s="11" t="n">
        <v>44672</v>
      </c>
      <c r="I540" s="11" t="n">
        <v>44679</v>
      </c>
      <c r="J540" s="11" t="n">
        <v>44679</v>
      </c>
      <c r="K540" s="11" t="n">
        <v>44679</v>
      </c>
      <c r="L540" s="7" t="inlineStr">
        <is>
          <t>roll following on the LME panel calendar</t>
        </is>
      </c>
      <c r="N540" s="7" t="inlineStr">
        <is>
          <t>DIRECT</t>
        </is>
      </c>
      <c r="O540" s="9" t="n">
        <v>-7959.88</v>
      </c>
      <c r="P540" s="9" t="n">
        <v>-610120.85</v>
      </c>
      <c r="U540" s="7" t="inlineStr">
        <is>
          <t>PYTHON_LIFECYCLE</t>
        </is>
      </c>
      <c r="V540" s="8">
        <f>$O540</f>
        <v/>
      </c>
      <c r="W540" s="8">
        <f>IF($G540="INR",1,INDEX(Market_Daily!$F$6:$F$256,MATCH($K540,Market_Daily!$A$6:$A$256,0)))</f>
        <v/>
      </c>
      <c r="X540" s="8">
        <f>$V540*$W540</f>
        <v/>
      </c>
      <c r="Y540" s="18">
        <f>$X540-$P540</f>
        <v/>
      </c>
      <c r="Z540" s="8">
        <f>IF(ABS($Y540)&lt;=tol_cashflow_inr,"PASS","FAIL")</f>
        <v/>
      </c>
      <c r="AA540" s="7" t="inlineStr">
        <is>
          <t>-lc_opening_fee_frac_per_month x ceil(validity/30) x lc_value_usd</t>
        </is>
      </c>
    </row>
    <row r="541">
      <c r="A541" s="7" t="inlineStr">
        <is>
          <t>T05</t>
        </is>
      </c>
      <c r="B541" s="7" t="inlineStr">
        <is>
          <t>MCX:T05-MCX-1</t>
        </is>
      </c>
      <c r="C541" s="7" t="inlineStr">
        <is>
          <t>T05-MCX-1</t>
        </is>
      </c>
      <c r="D541" s="7" t="inlineStr">
        <is>
          <t>MCX_INITIAL_MARGIN</t>
        </is>
      </c>
      <c r="E541" s="7" t="inlineStr">
        <is>
          <t>MCX_INITIAL_MARGIN</t>
        </is>
      </c>
      <c r="F541" s="7" t="inlineStr">
        <is>
          <t>BS</t>
        </is>
      </c>
      <c r="G541" s="7" t="inlineStr">
        <is>
          <t>INR</t>
        </is>
      </c>
      <c r="H541" s="11" t="n">
        <v>44672</v>
      </c>
      <c r="I541" s="11" t="n">
        <v>44679</v>
      </c>
      <c r="J541" s="11" t="n">
        <v>44679</v>
      </c>
      <c r="K541" s="11" t="n">
        <v>44679</v>
      </c>
      <c r="L541" s="7" t="inlineStr">
        <is>
          <t>roll following on the LME panel calendar</t>
        </is>
      </c>
      <c r="N541" s="7" t="inlineStr">
        <is>
          <t>PROXY</t>
        </is>
      </c>
      <c r="O541" s="9" t="n">
        <v>144313.74</v>
      </c>
      <c r="P541" s="9" t="n">
        <v>144313.74</v>
      </c>
      <c r="U541" s="7" t="inlineStr">
        <is>
          <t>DERIVED_IN_WORKBOOK</t>
        </is>
      </c>
      <c r="V541" s="8">
        <f>-SUMIFS(Cashflows!$W$1043:$W$1393,Cashflows!$B$1043:$B$1393,$C541,Cashflows!$C$1043:$C$1393,$K541)</f>
        <v/>
      </c>
      <c r="W541" s="8">
        <f>IF($G541="INR",1,INDEX(Market_Daily!$F$6:$F$256,MATCH($K541,Market_Daily!$A$6:$A$256,0)))</f>
        <v/>
      </c>
      <c r="X541" s="8">
        <f>$V541*$W541</f>
        <v/>
      </c>
      <c r="Y541" s="18">
        <f>$X541-$P541</f>
        <v/>
      </c>
      <c r="Z541" s="8">
        <f>IF(ABS($Y541)&lt;=tol_cashflow_inr,"PASS","FAIL")</f>
        <v/>
      </c>
      <c r="AA541" s="7" t="inlineStr">
        <is>
          <t>-d(lots x lot_kg x F(s) x mcx_al_margin_used_frac)</t>
        </is>
      </c>
    </row>
    <row r="542">
      <c r="A542" s="7" t="inlineStr">
        <is>
          <t>T05</t>
        </is>
      </c>
      <c r="B542" s="7" t="inlineStr">
        <is>
          <t>MCX:T05-MCX-1</t>
        </is>
      </c>
      <c r="C542" s="7" t="inlineStr">
        <is>
          <t>T05-MCX-1</t>
        </is>
      </c>
      <c r="D542" s="7" t="inlineStr">
        <is>
          <t>MCX_VARIATION_MARGIN</t>
        </is>
      </c>
      <c r="E542" s="7" t="inlineStr">
        <is>
          <t>MCX_VARIATION_MARGIN</t>
        </is>
      </c>
      <c r="F542" s="7" t="inlineStr">
        <is>
          <t>PNL</t>
        </is>
      </c>
      <c r="G542" s="7" t="inlineStr">
        <is>
          <t>INR</t>
        </is>
      </c>
      <c r="H542" s="11" t="n">
        <v>44672</v>
      </c>
      <c r="I542" s="11" t="n">
        <v>44679</v>
      </c>
      <c r="J542" s="11" t="n">
        <v>44679</v>
      </c>
      <c r="K542" s="11" t="n">
        <v>44679</v>
      </c>
      <c r="L542" s="7" t="inlineStr">
        <is>
          <t>roll following on the LME panel calendar</t>
        </is>
      </c>
      <c r="N542" s="7" t="inlineStr">
        <is>
          <t>PROXY</t>
        </is>
      </c>
      <c r="O542" s="9" t="n">
        <v>1443137.36</v>
      </c>
      <c r="P542" s="9" t="n">
        <v>1443137.36</v>
      </c>
      <c r="U542" s="7" t="inlineStr">
        <is>
          <t>DERIVED_IN_WORKBOOK</t>
        </is>
      </c>
      <c r="V542" s="8">
        <f>SUMIFS(Cashflows!$R$1043:$R$1393,Cashflows!$B$1043:$B$1393,$C542,Cashflows!$C$1043:$C$1393,$K542)</f>
        <v/>
      </c>
      <c r="W542" s="8">
        <f>IF($G542="INR",1,INDEX(Market_Daily!$F$6:$F$256,MATCH($K542,Market_Daily!$A$6:$A$256,0)))</f>
        <v/>
      </c>
      <c r="X542" s="8">
        <f>$V542*$W542</f>
        <v/>
      </c>
      <c r="Y542" s="18">
        <f>$X542-$P542</f>
        <v/>
      </c>
      <c r="Z542" s="8">
        <f>IF(ABS($Y542)&lt;=tol_cashflow_inr,"PASS","FAIL")</f>
        <v/>
      </c>
      <c r="AA542" s="7" t="inlineStr">
        <is>
          <t>direction x lots x lot_kg x (F(s) - F(s-1))</t>
        </is>
      </c>
    </row>
    <row r="543">
      <c r="A543" s="7" t="inlineStr">
        <is>
          <t>T05</t>
        </is>
      </c>
      <c r="B543" s="7" t="inlineStr">
        <is>
          <t>MCX:T05-MCX-1</t>
        </is>
      </c>
      <c r="C543" s="7" t="inlineStr">
        <is>
          <t>T05-MCX-1</t>
        </is>
      </c>
      <c r="D543" s="7" t="inlineStr">
        <is>
          <t>MCX_INITIAL_MARGIN</t>
        </is>
      </c>
      <c r="E543" s="7" t="inlineStr">
        <is>
          <t>MCX_INITIAL_MARGIN</t>
        </is>
      </c>
      <c r="F543" s="7" t="inlineStr">
        <is>
          <t>BS</t>
        </is>
      </c>
      <c r="G543" s="7" t="inlineStr">
        <is>
          <t>INR</t>
        </is>
      </c>
      <c r="H543" s="11" t="n">
        <v>44672</v>
      </c>
      <c r="I543" s="11" t="n">
        <v>44680</v>
      </c>
      <c r="J543" s="11" t="n">
        <v>44680</v>
      </c>
      <c r="K543" s="11" t="n">
        <v>44680</v>
      </c>
      <c r="L543" s="7" t="inlineStr">
        <is>
          <t>roll following on the LME panel calendar</t>
        </is>
      </c>
      <c r="N543" s="7" t="inlineStr">
        <is>
          <t>PROXY</t>
        </is>
      </c>
      <c r="O543" s="9" t="n">
        <v>142034.95</v>
      </c>
      <c r="P543" s="9" t="n">
        <v>142034.95</v>
      </c>
      <c r="U543" s="7" t="inlineStr">
        <is>
          <t>DERIVED_IN_WORKBOOK</t>
        </is>
      </c>
      <c r="V543" s="8">
        <f>-SUMIFS(Cashflows!$W$1043:$W$1393,Cashflows!$B$1043:$B$1393,$C543,Cashflows!$C$1043:$C$1393,$K543)</f>
        <v/>
      </c>
      <c r="W543" s="8">
        <f>IF($G543="INR",1,INDEX(Market_Daily!$F$6:$F$256,MATCH($K543,Market_Daily!$A$6:$A$256,0)))</f>
        <v/>
      </c>
      <c r="X543" s="8">
        <f>$V543*$W543</f>
        <v/>
      </c>
      <c r="Y543" s="18">
        <f>$X543-$P543</f>
        <v/>
      </c>
      <c r="Z543" s="8">
        <f>IF(ABS($Y543)&lt;=tol_cashflow_inr,"PASS","FAIL")</f>
        <v/>
      </c>
      <c r="AA543" s="7" t="inlineStr">
        <is>
          <t>-d(lots x lot_kg x F(s) x mcx_al_margin_used_frac)</t>
        </is>
      </c>
    </row>
    <row r="544">
      <c r="A544" s="7" t="inlineStr">
        <is>
          <t>T05</t>
        </is>
      </c>
      <c r="B544" s="7" t="inlineStr">
        <is>
          <t>MCX:T05-MCX-1</t>
        </is>
      </c>
      <c r="C544" s="7" t="inlineStr">
        <is>
          <t>T05-MCX-1</t>
        </is>
      </c>
      <c r="D544" s="7" t="inlineStr">
        <is>
          <t>MCX_VARIATION_MARGIN</t>
        </is>
      </c>
      <c r="E544" s="7" t="inlineStr">
        <is>
          <t>MCX_VARIATION_MARGIN</t>
        </is>
      </c>
      <c r="F544" s="7" t="inlineStr">
        <is>
          <t>PNL</t>
        </is>
      </c>
      <c r="G544" s="7" t="inlineStr">
        <is>
          <t>INR</t>
        </is>
      </c>
      <c r="H544" s="11" t="n">
        <v>44672</v>
      </c>
      <c r="I544" s="11" t="n">
        <v>44680</v>
      </c>
      <c r="J544" s="11" t="n">
        <v>44680</v>
      </c>
      <c r="K544" s="11" t="n">
        <v>44680</v>
      </c>
      <c r="L544" s="7" t="inlineStr">
        <is>
          <t>roll following on the LME panel calendar</t>
        </is>
      </c>
      <c r="N544" s="7" t="inlineStr">
        <is>
          <t>PROXY</t>
        </is>
      </c>
      <c r="O544" s="9" t="n">
        <v>1420349.52</v>
      </c>
      <c r="P544" s="9" t="n">
        <v>1420349.52</v>
      </c>
      <c r="U544" s="7" t="inlineStr">
        <is>
          <t>DERIVED_IN_WORKBOOK</t>
        </is>
      </c>
      <c r="V544" s="8">
        <f>SUMIFS(Cashflows!$R$1043:$R$1393,Cashflows!$B$1043:$B$1393,$C544,Cashflows!$C$1043:$C$1393,$K544)</f>
        <v/>
      </c>
      <c r="W544" s="8">
        <f>IF($G544="INR",1,INDEX(Market_Daily!$F$6:$F$256,MATCH($K544,Market_Daily!$A$6:$A$256,0)))</f>
        <v/>
      </c>
      <c r="X544" s="8">
        <f>$V544*$W544</f>
        <v/>
      </c>
      <c r="Y544" s="18">
        <f>$X544-$P544</f>
        <v/>
      </c>
      <c r="Z544" s="8">
        <f>IF(ABS($Y544)&lt;=tol_cashflow_inr,"PASS","FAIL")</f>
        <v/>
      </c>
      <c r="AA544" s="7" t="inlineStr">
        <is>
          <t>direction x lots x lot_kg x (F(s) - F(s-1))</t>
        </is>
      </c>
    </row>
    <row r="545">
      <c r="A545" s="7" t="inlineStr">
        <is>
          <t>T05</t>
        </is>
      </c>
      <c r="B545" s="7" t="inlineStr">
        <is>
          <t>MCX:T05-MCX-1</t>
        </is>
      </c>
      <c r="C545" s="7" t="inlineStr">
        <is>
          <t>T05-MCX-1</t>
        </is>
      </c>
      <c r="D545" s="7" t="inlineStr">
        <is>
          <t>MCX_INITIAL_MARGIN</t>
        </is>
      </c>
      <c r="E545" s="7" t="inlineStr">
        <is>
          <t>MCX_INITIAL_MARGIN</t>
        </is>
      </c>
      <c r="F545" s="7" t="inlineStr">
        <is>
          <t>BS</t>
        </is>
      </c>
      <c r="G545" s="7" t="inlineStr">
        <is>
          <t>INR</t>
        </is>
      </c>
      <c r="H545" s="11" t="n">
        <v>44672</v>
      </c>
      <c r="I545" s="11" t="n">
        <v>44684</v>
      </c>
      <c r="J545" s="11" t="n">
        <v>44684</v>
      </c>
      <c r="K545" s="11" t="n">
        <v>44684</v>
      </c>
      <c r="L545" s="7" t="inlineStr">
        <is>
          <t>roll following on the LME panel calendar</t>
        </is>
      </c>
      <c r="N545" s="7" t="inlineStr">
        <is>
          <t>PROXY</t>
        </is>
      </c>
      <c r="O545" s="9" t="n">
        <v>544916.54</v>
      </c>
      <c r="P545" s="9" t="n">
        <v>544916.54</v>
      </c>
      <c r="U545" s="7" t="inlineStr">
        <is>
          <t>DERIVED_IN_WORKBOOK</t>
        </is>
      </c>
      <c r="V545" s="8">
        <f>-SUMIFS(Cashflows!$W$1043:$W$1393,Cashflows!$B$1043:$B$1393,$C545,Cashflows!$C$1043:$C$1393,$K545)</f>
        <v/>
      </c>
      <c r="W545" s="8">
        <f>IF($G545="INR",1,INDEX(Market_Daily!$F$6:$F$256,MATCH($K545,Market_Daily!$A$6:$A$256,0)))</f>
        <v/>
      </c>
      <c r="X545" s="8">
        <f>$V545*$W545</f>
        <v/>
      </c>
      <c r="Y545" s="18">
        <f>$X545-$P545</f>
        <v/>
      </c>
      <c r="Z545" s="8">
        <f>IF(ABS($Y545)&lt;=tol_cashflow_inr,"PASS","FAIL")</f>
        <v/>
      </c>
      <c r="AA545" s="7" t="inlineStr">
        <is>
          <t>-d(lots x lot_kg x F(s) x mcx_al_margin_used_frac)</t>
        </is>
      </c>
    </row>
    <row r="546">
      <c r="A546" s="7" t="inlineStr">
        <is>
          <t>T05</t>
        </is>
      </c>
      <c r="B546" s="7" t="inlineStr">
        <is>
          <t>MCX:T05-MCX-1</t>
        </is>
      </c>
      <c r="C546" s="7" t="inlineStr">
        <is>
          <t>T05-MCX-1</t>
        </is>
      </c>
      <c r="D546" s="7" t="inlineStr">
        <is>
          <t>MCX_VARIATION_MARGIN</t>
        </is>
      </c>
      <c r="E546" s="7" t="inlineStr">
        <is>
          <t>MCX_VARIATION_MARGIN</t>
        </is>
      </c>
      <c r="F546" s="7" t="inlineStr">
        <is>
          <t>PNL</t>
        </is>
      </c>
      <c r="G546" s="7" t="inlineStr">
        <is>
          <t>INR</t>
        </is>
      </c>
      <c r="H546" s="11" t="n">
        <v>44672</v>
      </c>
      <c r="I546" s="11" t="n">
        <v>44684</v>
      </c>
      <c r="J546" s="11" t="n">
        <v>44684</v>
      </c>
      <c r="K546" s="11" t="n">
        <v>44684</v>
      </c>
      <c r="L546" s="7" t="inlineStr">
        <is>
          <t>roll following on the LME panel calendar</t>
        </is>
      </c>
      <c r="N546" s="7" t="inlineStr">
        <is>
          <t>PROXY</t>
        </is>
      </c>
      <c r="O546" s="9" t="n">
        <v>5449165.35</v>
      </c>
      <c r="P546" s="9" t="n">
        <v>5449165.35</v>
      </c>
      <c r="U546" s="7" t="inlineStr">
        <is>
          <t>DERIVED_IN_WORKBOOK</t>
        </is>
      </c>
      <c r="V546" s="8">
        <f>SUMIFS(Cashflows!$R$1043:$R$1393,Cashflows!$B$1043:$B$1393,$C546,Cashflows!$C$1043:$C$1393,$K546)</f>
        <v/>
      </c>
      <c r="W546" s="8">
        <f>IF($G546="INR",1,INDEX(Market_Daily!$F$6:$F$256,MATCH($K546,Market_Daily!$A$6:$A$256,0)))</f>
        <v/>
      </c>
      <c r="X546" s="8">
        <f>$V546*$W546</f>
        <v/>
      </c>
      <c r="Y546" s="18">
        <f>$X546-$P546</f>
        <v/>
      </c>
      <c r="Z546" s="8">
        <f>IF(ABS($Y546)&lt;=tol_cashflow_inr,"PASS","FAIL")</f>
        <v/>
      </c>
      <c r="AA546" s="7" t="inlineStr">
        <is>
          <t>direction x lots x lot_kg x (F(s) - F(s-1))</t>
        </is>
      </c>
    </row>
    <row r="547">
      <c r="A547" s="7" t="inlineStr">
        <is>
          <t>T05</t>
        </is>
      </c>
      <c r="B547" s="7" t="inlineStr">
        <is>
          <t>MCX:T05-MCX-1</t>
        </is>
      </c>
      <c r="C547" s="7" t="inlineStr">
        <is>
          <t>T05-MCX-1</t>
        </is>
      </c>
      <c r="D547" s="7" t="inlineStr">
        <is>
          <t>MCX_INITIAL_MARGIN</t>
        </is>
      </c>
      <c r="E547" s="7" t="inlineStr">
        <is>
          <t>MCX_INITIAL_MARGIN</t>
        </is>
      </c>
      <c r="F547" s="7" t="inlineStr">
        <is>
          <t>BS</t>
        </is>
      </c>
      <c r="G547" s="7" t="inlineStr">
        <is>
          <t>INR</t>
        </is>
      </c>
      <c r="H547" s="11" t="n">
        <v>44672</v>
      </c>
      <c r="I547" s="11" t="n">
        <v>44685</v>
      </c>
      <c r="J547" s="11" t="n">
        <v>44685</v>
      </c>
      <c r="K547" s="11" t="n">
        <v>44685</v>
      </c>
      <c r="L547" s="7" t="inlineStr">
        <is>
          <t>roll following on the LME panel calendar</t>
        </is>
      </c>
      <c r="N547" s="7" t="inlineStr">
        <is>
          <t>PROXY</t>
        </is>
      </c>
      <c r="O547" s="9" t="n">
        <v>-39489.77</v>
      </c>
      <c r="P547" s="9" t="n">
        <v>-39489.77</v>
      </c>
      <c r="U547" s="7" t="inlineStr">
        <is>
          <t>DERIVED_IN_WORKBOOK</t>
        </is>
      </c>
      <c r="V547" s="8">
        <f>-SUMIFS(Cashflows!$W$1043:$W$1393,Cashflows!$B$1043:$B$1393,$C547,Cashflows!$C$1043:$C$1393,$K547)</f>
        <v/>
      </c>
      <c r="W547" s="8">
        <f>IF($G547="INR",1,INDEX(Market_Daily!$F$6:$F$256,MATCH($K547,Market_Daily!$A$6:$A$256,0)))</f>
        <v/>
      </c>
      <c r="X547" s="8">
        <f>$V547*$W547</f>
        <v/>
      </c>
      <c r="Y547" s="18">
        <f>$X547-$P547</f>
        <v/>
      </c>
      <c r="Z547" s="8">
        <f>IF(ABS($Y547)&lt;=tol_cashflow_inr,"PASS","FAIL")</f>
        <v/>
      </c>
      <c r="AA547" s="7" t="inlineStr">
        <is>
          <t>-d(lots x lot_kg x F(s) x mcx_al_margin_used_frac)</t>
        </is>
      </c>
    </row>
    <row r="548">
      <c r="A548" s="7" t="inlineStr">
        <is>
          <t>T05</t>
        </is>
      </c>
      <c r="B548" s="7" t="inlineStr">
        <is>
          <t>MCX:T05-MCX-1</t>
        </is>
      </c>
      <c r="C548" s="7" t="inlineStr">
        <is>
          <t>T05-MCX-1</t>
        </is>
      </c>
      <c r="D548" s="7" t="inlineStr">
        <is>
          <t>MCX_VARIATION_MARGIN</t>
        </is>
      </c>
      <c r="E548" s="7" t="inlineStr">
        <is>
          <t>MCX_VARIATION_MARGIN</t>
        </is>
      </c>
      <c r="F548" s="7" t="inlineStr">
        <is>
          <t>PNL</t>
        </is>
      </c>
      <c r="G548" s="7" t="inlineStr">
        <is>
          <t>INR</t>
        </is>
      </c>
      <c r="H548" s="11" t="n">
        <v>44672</v>
      </c>
      <c r="I548" s="11" t="n">
        <v>44685</v>
      </c>
      <c r="J548" s="11" t="n">
        <v>44685</v>
      </c>
      <c r="K548" s="11" t="n">
        <v>44685</v>
      </c>
      <c r="L548" s="7" t="inlineStr">
        <is>
          <t>roll following on the LME panel calendar</t>
        </is>
      </c>
      <c r="N548" s="7" t="inlineStr">
        <is>
          <t>PROXY</t>
        </is>
      </c>
      <c r="O548" s="9" t="n">
        <v>-394897.7</v>
      </c>
      <c r="P548" s="9" t="n">
        <v>-394897.7</v>
      </c>
      <c r="U548" s="7" t="inlineStr">
        <is>
          <t>DERIVED_IN_WORKBOOK</t>
        </is>
      </c>
      <c r="V548" s="8">
        <f>SUMIFS(Cashflows!$R$1043:$R$1393,Cashflows!$B$1043:$B$1393,$C548,Cashflows!$C$1043:$C$1393,$K548)</f>
        <v/>
      </c>
      <c r="W548" s="8">
        <f>IF($G548="INR",1,INDEX(Market_Daily!$F$6:$F$256,MATCH($K548,Market_Daily!$A$6:$A$256,0)))</f>
        <v/>
      </c>
      <c r="X548" s="8">
        <f>$V548*$W548</f>
        <v/>
      </c>
      <c r="Y548" s="18">
        <f>$X548-$P548</f>
        <v/>
      </c>
      <c r="Z548" s="8">
        <f>IF(ABS($Y548)&lt;=tol_cashflow_inr,"PASS","FAIL")</f>
        <v/>
      </c>
      <c r="AA548" s="7" t="inlineStr">
        <is>
          <t>direction x lots x lot_kg x (F(s) - F(s-1))</t>
        </is>
      </c>
    </row>
    <row r="549">
      <c r="A549" s="7" t="inlineStr">
        <is>
          <t>T05</t>
        </is>
      </c>
      <c r="B549" s="7" t="inlineStr">
        <is>
          <t>MCX:T05-MCX-1</t>
        </is>
      </c>
      <c r="C549" s="7" t="inlineStr">
        <is>
          <t>T05-MCX-1</t>
        </is>
      </c>
      <c r="D549" s="7" t="inlineStr">
        <is>
          <t>MCX_INITIAL_MARGIN</t>
        </is>
      </c>
      <c r="E549" s="7" t="inlineStr">
        <is>
          <t>MCX_INITIAL_MARGIN</t>
        </is>
      </c>
      <c r="F549" s="7" t="inlineStr">
        <is>
          <t>BS</t>
        </is>
      </c>
      <c r="G549" s="7" t="inlineStr">
        <is>
          <t>INR</t>
        </is>
      </c>
      <c r="H549" s="11" t="n">
        <v>44672</v>
      </c>
      <c r="I549" s="11" t="n">
        <v>44686</v>
      </c>
      <c r="J549" s="11" t="n">
        <v>44686</v>
      </c>
      <c r="K549" s="11" t="n">
        <v>44686</v>
      </c>
      <c r="L549" s="7" t="inlineStr">
        <is>
          <t>roll following on the LME panel calendar</t>
        </is>
      </c>
      <c r="N549" s="7" t="inlineStr">
        <is>
          <t>PROXY</t>
        </is>
      </c>
      <c r="O549" s="9" t="n">
        <v>64504.58</v>
      </c>
      <c r="P549" s="9" t="n">
        <v>64504.58</v>
      </c>
      <c r="U549" s="7" t="inlineStr">
        <is>
          <t>DERIVED_IN_WORKBOOK</t>
        </is>
      </c>
      <c r="V549" s="8">
        <f>-SUMIFS(Cashflows!$W$1043:$W$1393,Cashflows!$B$1043:$B$1393,$C549,Cashflows!$C$1043:$C$1393,$K549)</f>
        <v/>
      </c>
      <c r="W549" s="8">
        <f>IF($G549="INR",1,INDEX(Market_Daily!$F$6:$F$256,MATCH($K549,Market_Daily!$A$6:$A$256,0)))</f>
        <v/>
      </c>
      <c r="X549" s="8">
        <f>$V549*$W549</f>
        <v/>
      </c>
      <c r="Y549" s="18">
        <f>$X549-$P549</f>
        <v/>
      </c>
      <c r="Z549" s="8">
        <f>IF(ABS($Y549)&lt;=tol_cashflow_inr,"PASS","FAIL")</f>
        <v/>
      </c>
      <c r="AA549" s="7" t="inlineStr">
        <is>
          <t>-d(lots x lot_kg x F(s) x mcx_al_margin_used_frac)</t>
        </is>
      </c>
    </row>
    <row r="550">
      <c r="A550" s="7" t="inlineStr">
        <is>
          <t>T05</t>
        </is>
      </c>
      <c r="B550" s="7" t="inlineStr">
        <is>
          <t>MCX:T05-MCX-1</t>
        </is>
      </c>
      <c r="C550" s="7" t="inlineStr">
        <is>
          <t>T05-MCX-1</t>
        </is>
      </c>
      <c r="D550" s="7" t="inlineStr">
        <is>
          <t>MCX_VARIATION_MARGIN</t>
        </is>
      </c>
      <c r="E550" s="7" t="inlineStr">
        <is>
          <t>MCX_VARIATION_MARGIN</t>
        </is>
      </c>
      <c r="F550" s="7" t="inlineStr">
        <is>
          <t>PNL</t>
        </is>
      </c>
      <c r="G550" s="7" t="inlineStr">
        <is>
          <t>INR</t>
        </is>
      </c>
      <c r="H550" s="11" t="n">
        <v>44672</v>
      </c>
      <c r="I550" s="11" t="n">
        <v>44686</v>
      </c>
      <c r="J550" s="11" t="n">
        <v>44686</v>
      </c>
      <c r="K550" s="11" t="n">
        <v>44686</v>
      </c>
      <c r="L550" s="7" t="inlineStr">
        <is>
          <t>roll following on the LME panel calendar</t>
        </is>
      </c>
      <c r="N550" s="7" t="inlineStr">
        <is>
          <t>PROXY</t>
        </is>
      </c>
      <c r="O550" s="9" t="n">
        <v>645045.78</v>
      </c>
      <c r="P550" s="9" t="n">
        <v>645045.78</v>
      </c>
      <c r="U550" s="7" t="inlineStr">
        <is>
          <t>DERIVED_IN_WORKBOOK</t>
        </is>
      </c>
      <c r="V550" s="8">
        <f>SUMIFS(Cashflows!$R$1043:$R$1393,Cashflows!$B$1043:$B$1393,$C550,Cashflows!$C$1043:$C$1393,$K550)</f>
        <v/>
      </c>
      <c r="W550" s="8">
        <f>IF($G550="INR",1,INDEX(Market_Daily!$F$6:$F$256,MATCH($K550,Market_Daily!$A$6:$A$256,0)))</f>
        <v/>
      </c>
      <c r="X550" s="8">
        <f>$V550*$W550</f>
        <v/>
      </c>
      <c r="Y550" s="18">
        <f>$X550-$P550</f>
        <v/>
      </c>
      <c r="Z550" s="8">
        <f>IF(ABS($Y550)&lt;=tol_cashflow_inr,"PASS","FAIL")</f>
        <v/>
      </c>
      <c r="AA550" s="7" t="inlineStr">
        <is>
          <t>direction x lots x lot_kg x (F(s) - F(s-1))</t>
        </is>
      </c>
    </row>
    <row r="551">
      <c r="A551" s="7" t="inlineStr">
        <is>
          <t>T05</t>
        </is>
      </c>
      <c r="B551" s="7" t="inlineStr">
        <is>
          <t>MCX:T05-MCX-1</t>
        </is>
      </c>
      <c r="C551" s="7" t="inlineStr">
        <is>
          <t>T05-MCX-1</t>
        </is>
      </c>
      <c r="D551" s="7" t="inlineStr">
        <is>
          <t>MCX_INITIAL_MARGIN</t>
        </is>
      </c>
      <c r="E551" s="7" t="inlineStr">
        <is>
          <t>MCX_INITIAL_MARGIN</t>
        </is>
      </c>
      <c r="F551" s="7" t="inlineStr">
        <is>
          <t>BS</t>
        </is>
      </c>
      <c r="G551" s="7" t="inlineStr">
        <is>
          <t>INR</t>
        </is>
      </c>
      <c r="H551" s="11" t="n">
        <v>44672</v>
      </c>
      <c r="I551" s="11" t="n">
        <v>44687</v>
      </c>
      <c r="J551" s="11" t="n">
        <v>44687</v>
      </c>
      <c r="K551" s="11" t="n">
        <v>44687</v>
      </c>
      <c r="L551" s="7" t="inlineStr">
        <is>
          <t>roll following on the LME panel calendar</t>
        </is>
      </c>
      <c r="N551" s="7" t="inlineStr">
        <is>
          <t>PROXY</t>
        </is>
      </c>
      <c r="O551" s="9" t="n">
        <v>267685.17</v>
      </c>
      <c r="P551" s="9" t="n">
        <v>267685.17</v>
      </c>
      <c r="U551" s="7" t="inlineStr">
        <is>
          <t>DERIVED_IN_WORKBOOK</t>
        </is>
      </c>
      <c r="V551" s="8">
        <f>-SUMIFS(Cashflows!$W$1043:$W$1393,Cashflows!$B$1043:$B$1393,$C551,Cashflows!$C$1043:$C$1393,$K551)</f>
        <v/>
      </c>
      <c r="W551" s="8">
        <f>IF($G551="INR",1,INDEX(Market_Daily!$F$6:$F$256,MATCH($K551,Market_Daily!$A$6:$A$256,0)))</f>
        <v/>
      </c>
      <c r="X551" s="8">
        <f>$V551*$W551</f>
        <v/>
      </c>
      <c r="Y551" s="18">
        <f>$X551-$P551</f>
        <v/>
      </c>
      <c r="Z551" s="8">
        <f>IF(ABS($Y551)&lt;=tol_cashflow_inr,"PASS","FAIL")</f>
        <v/>
      </c>
      <c r="AA551" s="7" t="inlineStr">
        <is>
          <t>-d(lots x lot_kg x F(s) x mcx_al_margin_used_frac)</t>
        </is>
      </c>
    </row>
    <row r="552">
      <c r="A552" s="7" t="inlineStr">
        <is>
          <t>T05</t>
        </is>
      </c>
      <c r="B552" s="7" t="inlineStr">
        <is>
          <t>MCX:T05-MCX-1</t>
        </is>
      </c>
      <c r="C552" s="7" t="inlineStr">
        <is>
          <t>T05-MCX-1</t>
        </is>
      </c>
      <c r="D552" s="7" t="inlineStr">
        <is>
          <t>MCX_VARIATION_MARGIN</t>
        </is>
      </c>
      <c r="E552" s="7" t="inlineStr">
        <is>
          <t>MCX_VARIATION_MARGIN</t>
        </is>
      </c>
      <c r="F552" s="7" t="inlineStr">
        <is>
          <t>PNL</t>
        </is>
      </c>
      <c r="G552" s="7" t="inlineStr">
        <is>
          <t>INR</t>
        </is>
      </c>
      <c r="H552" s="11" t="n">
        <v>44672</v>
      </c>
      <c r="I552" s="11" t="n">
        <v>44687</v>
      </c>
      <c r="J552" s="11" t="n">
        <v>44687</v>
      </c>
      <c r="K552" s="11" t="n">
        <v>44687</v>
      </c>
      <c r="L552" s="7" t="inlineStr">
        <is>
          <t>roll following on the LME panel calendar</t>
        </is>
      </c>
      <c r="N552" s="7" t="inlineStr">
        <is>
          <t>PROXY</t>
        </is>
      </c>
      <c r="O552" s="9" t="n">
        <v>2676851.69</v>
      </c>
      <c r="P552" s="9" t="n">
        <v>2676851.69</v>
      </c>
      <c r="U552" s="7" t="inlineStr">
        <is>
          <t>DERIVED_IN_WORKBOOK</t>
        </is>
      </c>
      <c r="V552" s="8">
        <f>SUMIFS(Cashflows!$R$1043:$R$1393,Cashflows!$B$1043:$B$1393,$C552,Cashflows!$C$1043:$C$1393,$K552)</f>
        <v/>
      </c>
      <c r="W552" s="8">
        <f>IF($G552="INR",1,INDEX(Market_Daily!$F$6:$F$256,MATCH($K552,Market_Daily!$A$6:$A$256,0)))</f>
        <v/>
      </c>
      <c r="X552" s="8">
        <f>$V552*$W552</f>
        <v/>
      </c>
      <c r="Y552" s="18">
        <f>$X552-$P552</f>
        <v/>
      </c>
      <c r="Z552" s="8">
        <f>IF(ABS($Y552)&lt;=tol_cashflow_inr,"PASS","FAIL")</f>
        <v/>
      </c>
      <c r="AA552" s="7" t="inlineStr">
        <is>
          <t>direction x lots x lot_kg x (F(s) - F(s-1))</t>
        </is>
      </c>
    </row>
    <row r="553">
      <c r="A553" s="7" t="inlineStr">
        <is>
          <t>T05</t>
        </is>
      </c>
      <c r="B553" s="7" t="inlineStr">
        <is>
          <t>MCX:T05-MCX-1</t>
        </is>
      </c>
      <c r="C553" s="7" t="inlineStr">
        <is>
          <t>T05-MCX-1</t>
        </is>
      </c>
      <c r="D553" s="7" t="inlineStr">
        <is>
          <t>MCX_INITIAL_MARGIN</t>
        </is>
      </c>
      <c r="E553" s="7" t="inlineStr">
        <is>
          <t>MCX_INITIAL_MARGIN</t>
        </is>
      </c>
      <c r="F553" s="7" t="inlineStr">
        <is>
          <t>BS</t>
        </is>
      </c>
      <c r="G553" s="7" t="inlineStr">
        <is>
          <t>INR</t>
        </is>
      </c>
      <c r="H553" s="11" t="n">
        <v>44672</v>
      </c>
      <c r="I553" s="11" t="n">
        <v>44690</v>
      </c>
      <c r="J553" s="11" t="n">
        <v>44690</v>
      </c>
      <c r="K553" s="11" t="n">
        <v>44690</v>
      </c>
      <c r="L553" s="7" t="inlineStr">
        <is>
          <t>roll following on the LME panel calendar</t>
        </is>
      </c>
      <c r="N553" s="7" t="inlineStr">
        <is>
          <t>PROXY</t>
        </is>
      </c>
      <c r="O553" s="9" t="n">
        <v>473374.3</v>
      </c>
      <c r="P553" s="9" t="n">
        <v>473374.3</v>
      </c>
      <c r="U553" s="7" t="inlineStr">
        <is>
          <t>DERIVED_IN_WORKBOOK</t>
        </is>
      </c>
      <c r="V553" s="8">
        <f>-SUMIFS(Cashflows!$W$1043:$W$1393,Cashflows!$B$1043:$B$1393,$C553,Cashflows!$C$1043:$C$1393,$K553)</f>
        <v/>
      </c>
      <c r="W553" s="8">
        <f>IF($G553="INR",1,INDEX(Market_Daily!$F$6:$F$256,MATCH($K553,Market_Daily!$A$6:$A$256,0)))</f>
        <v/>
      </c>
      <c r="X553" s="8">
        <f>$V553*$W553</f>
        <v/>
      </c>
      <c r="Y553" s="18">
        <f>$X553-$P553</f>
        <v/>
      </c>
      <c r="Z553" s="8">
        <f>IF(ABS($Y553)&lt;=tol_cashflow_inr,"PASS","FAIL")</f>
        <v/>
      </c>
      <c r="AA553" s="7" t="inlineStr">
        <is>
          <t>-d(lots x lot_kg x F(s) x mcx_al_margin_used_frac)</t>
        </is>
      </c>
    </row>
    <row r="554">
      <c r="A554" s="7" t="inlineStr">
        <is>
          <t>T05</t>
        </is>
      </c>
      <c r="B554" s="7" t="inlineStr">
        <is>
          <t>MCX:T05-MCX-1</t>
        </is>
      </c>
      <c r="C554" s="7" t="inlineStr">
        <is>
          <t>T05-MCX-1</t>
        </is>
      </c>
      <c r="D554" s="7" t="inlineStr">
        <is>
          <t>MCX_VARIATION_MARGIN</t>
        </is>
      </c>
      <c r="E554" s="7" t="inlineStr">
        <is>
          <t>MCX_VARIATION_MARGIN</t>
        </is>
      </c>
      <c r="F554" s="7" t="inlineStr">
        <is>
          <t>PNL</t>
        </is>
      </c>
      <c r="G554" s="7" t="inlineStr">
        <is>
          <t>INR</t>
        </is>
      </c>
      <c r="H554" s="11" t="n">
        <v>44672</v>
      </c>
      <c r="I554" s="11" t="n">
        <v>44690</v>
      </c>
      <c r="J554" s="11" t="n">
        <v>44690</v>
      </c>
      <c r="K554" s="11" t="n">
        <v>44690</v>
      </c>
      <c r="L554" s="7" t="inlineStr">
        <is>
          <t>roll following on the LME panel calendar</t>
        </is>
      </c>
      <c r="N554" s="7" t="inlineStr">
        <is>
          <t>PROXY</t>
        </is>
      </c>
      <c r="O554" s="9" t="n">
        <v>4733743.02</v>
      </c>
      <c r="P554" s="9" t="n">
        <v>4733743.02</v>
      </c>
      <c r="U554" s="7" t="inlineStr">
        <is>
          <t>DERIVED_IN_WORKBOOK</t>
        </is>
      </c>
      <c r="V554" s="8">
        <f>SUMIFS(Cashflows!$R$1043:$R$1393,Cashflows!$B$1043:$B$1393,$C554,Cashflows!$C$1043:$C$1393,$K554)</f>
        <v/>
      </c>
      <c r="W554" s="8">
        <f>IF($G554="INR",1,INDEX(Market_Daily!$F$6:$F$256,MATCH($K554,Market_Daily!$A$6:$A$256,0)))</f>
        <v/>
      </c>
      <c r="X554" s="8">
        <f>$V554*$W554</f>
        <v/>
      </c>
      <c r="Y554" s="18">
        <f>$X554-$P554</f>
        <v/>
      </c>
      <c r="Z554" s="8">
        <f>IF(ABS($Y554)&lt;=tol_cashflow_inr,"PASS","FAIL")</f>
        <v/>
      </c>
      <c r="AA554" s="7" t="inlineStr">
        <is>
          <t>direction x lots x lot_kg x (F(s) - F(s-1))</t>
        </is>
      </c>
    </row>
    <row r="555">
      <c r="A555" s="7" t="inlineStr">
        <is>
          <t>T05</t>
        </is>
      </c>
      <c r="B555" s="7" t="inlineStr">
        <is>
          <t>INSURANCE:L1</t>
        </is>
      </c>
      <c r="C555" s="7" t="inlineStr">
        <is>
          <t>L1</t>
        </is>
      </c>
      <c r="D555" s="7" t="inlineStr">
        <is>
          <t>INSURANCE</t>
        </is>
      </c>
      <c r="E555" s="7" t="inlineStr">
        <is>
          <t>INSURANCE</t>
        </is>
      </c>
      <c r="F555" s="7" t="inlineStr">
        <is>
          <t>PNL</t>
        </is>
      </c>
      <c r="G555" s="7" t="inlineStr">
        <is>
          <t>USD</t>
        </is>
      </c>
      <c r="H555" s="11" t="n">
        <v>44672</v>
      </c>
      <c r="I555" s="11" t="n">
        <v>44691</v>
      </c>
      <c r="J555" s="11" t="n">
        <v>44691</v>
      </c>
      <c r="K555" s="11" t="n">
        <v>44691</v>
      </c>
      <c r="L555" s="7" t="inlineStr">
        <is>
          <t>roll following on the LME panel calendar</t>
        </is>
      </c>
      <c r="N555" s="7" t="inlineStr">
        <is>
          <t>ASSUMPTION</t>
        </is>
      </c>
      <c r="O555" s="9" t="n">
        <v>-2170.54</v>
      </c>
      <c r="P555" s="9" t="n">
        <v>-167700.57</v>
      </c>
      <c r="U555" s="7" t="inlineStr">
        <is>
          <t>PYTHON_LIFECYCLE</t>
        </is>
      </c>
      <c r="V555" s="8">
        <f>$O555</f>
        <v/>
      </c>
      <c r="W555" s="8">
        <f>IF($G555="INR",1,INDEX(Market_Daily!$F$6:$F$256,MATCH($K555,Market_Daily!$A$6:$A$256,0)))</f>
        <v/>
      </c>
      <c r="X555" s="8">
        <f>$V555*$W555</f>
        <v/>
      </c>
      <c r="Y555" s="18">
        <f>$X555-$P555</f>
        <v/>
      </c>
      <c r="Z555" s="8">
        <f>IF(ABS($Y555)&lt;=tol_cashflow_inr,"PASS","FAIL")</f>
        <v/>
      </c>
      <c r="AA555" s="7" t="inlineStr">
        <is>
          <t>-insurance_rate x insured_value_uplift x cfr_value_usd</t>
        </is>
      </c>
    </row>
    <row r="556">
      <c r="A556" s="7" t="inlineStr">
        <is>
          <t>T05</t>
        </is>
      </c>
      <c r="B556" s="7" t="inlineStr">
        <is>
          <t>MCX:T05-MCX-1</t>
        </is>
      </c>
      <c r="C556" s="7" t="inlineStr">
        <is>
          <t>T05-MCX-1</t>
        </is>
      </c>
      <c r="D556" s="7" t="inlineStr">
        <is>
          <t>MCX_INITIAL_MARGIN</t>
        </is>
      </c>
      <c r="E556" s="7" t="inlineStr">
        <is>
          <t>MCX_INITIAL_MARGIN</t>
        </is>
      </c>
      <c r="F556" s="7" t="inlineStr">
        <is>
          <t>BS</t>
        </is>
      </c>
      <c r="G556" s="7" t="inlineStr">
        <is>
          <t>INR</t>
        </is>
      </c>
      <c r="H556" s="11" t="n">
        <v>44672</v>
      </c>
      <c r="I556" s="11" t="n">
        <v>44691</v>
      </c>
      <c r="J556" s="11" t="n">
        <v>44691</v>
      </c>
      <c r="K556" s="11" t="n">
        <v>44691</v>
      </c>
      <c r="L556" s="7" t="inlineStr">
        <is>
          <t>roll following on the LME panel calendar</t>
        </is>
      </c>
      <c r="N556" s="7" t="inlineStr">
        <is>
          <t>PROXY</t>
        </is>
      </c>
      <c r="O556" s="9" t="n">
        <v>161475.15</v>
      </c>
      <c r="P556" s="9" t="n">
        <v>161475.15</v>
      </c>
      <c r="U556" s="7" t="inlineStr">
        <is>
          <t>DERIVED_IN_WORKBOOK</t>
        </is>
      </c>
      <c r="V556" s="8">
        <f>-SUMIFS(Cashflows!$W$1043:$W$1393,Cashflows!$B$1043:$B$1393,$C556,Cashflows!$C$1043:$C$1393,$K556)</f>
        <v/>
      </c>
      <c r="W556" s="8">
        <f>IF($G556="INR",1,INDEX(Market_Daily!$F$6:$F$256,MATCH($K556,Market_Daily!$A$6:$A$256,0)))</f>
        <v/>
      </c>
      <c r="X556" s="8">
        <f>$V556*$W556</f>
        <v/>
      </c>
      <c r="Y556" s="18">
        <f>$X556-$P556</f>
        <v/>
      </c>
      <c r="Z556" s="8">
        <f>IF(ABS($Y556)&lt;=tol_cashflow_inr,"PASS","FAIL")</f>
        <v/>
      </c>
      <c r="AA556" s="7" t="inlineStr">
        <is>
          <t>-d(lots x lot_kg x F(s) x mcx_al_margin_used_frac)</t>
        </is>
      </c>
    </row>
    <row r="557">
      <c r="A557" s="7" t="inlineStr">
        <is>
          <t>T05</t>
        </is>
      </c>
      <c r="B557" s="7" t="inlineStr">
        <is>
          <t>MCX:T05-MCX-1</t>
        </is>
      </c>
      <c r="C557" s="7" t="inlineStr">
        <is>
          <t>T05-MCX-1</t>
        </is>
      </c>
      <c r="D557" s="7" t="inlineStr">
        <is>
          <t>MCX_VARIATION_MARGIN</t>
        </is>
      </c>
      <c r="E557" s="7" t="inlineStr">
        <is>
          <t>MCX_VARIATION_MARGIN</t>
        </is>
      </c>
      <c r="F557" s="7" t="inlineStr">
        <is>
          <t>PNL</t>
        </is>
      </c>
      <c r="G557" s="7" t="inlineStr">
        <is>
          <t>INR</t>
        </is>
      </c>
      <c r="H557" s="11" t="n">
        <v>44672</v>
      </c>
      <c r="I557" s="11" t="n">
        <v>44691</v>
      </c>
      <c r="J557" s="11" t="n">
        <v>44691</v>
      </c>
      <c r="K557" s="11" t="n">
        <v>44691</v>
      </c>
      <c r="L557" s="7" t="inlineStr">
        <is>
          <t>roll following on the LME panel calendar</t>
        </is>
      </c>
      <c r="N557" s="7" t="inlineStr">
        <is>
          <t>PROXY</t>
        </is>
      </c>
      <c r="O557" s="9" t="n">
        <v>1614751.53</v>
      </c>
      <c r="P557" s="9" t="n">
        <v>1614751.53</v>
      </c>
      <c r="U557" s="7" t="inlineStr">
        <is>
          <t>DERIVED_IN_WORKBOOK</t>
        </is>
      </c>
      <c r="V557" s="8">
        <f>SUMIFS(Cashflows!$R$1043:$R$1393,Cashflows!$B$1043:$B$1393,$C557,Cashflows!$C$1043:$C$1393,$K557)</f>
        <v/>
      </c>
      <c r="W557" s="8">
        <f>IF($G557="INR",1,INDEX(Market_Daily!$F$6:$F$256,MATCH($K557,Market_Daily!$A$6:$A$256,0)))</f>
        <v/>
      </c>
      <c r="X557" s="8">
        <f>$V557*$W557</f>
        <v/>
      </c>
      <c r="Y557" s="18">
        <f>$X557-$P557</f>
        <v/>
      </c>
      <c r="Z557" s="8">
        <f>IF(ABS($Y557)&lt;=tol_cashflow_inr,"PASS","FAIL")</f>
        <v/>
      </c>
      <c r="AA557" s="7" t="inlineStr">
        <is>
          <t>direction x lots x lot_kg x (F(s) - F(s-1))</t>
        </is>
      </c>
    </row>
    <row r="558">
      <c r="A558" s="7" t="inlineStr">
        <is>
          <t>T05</t>
        </is>
      </c>
      <c r="B558" s="7" t="inlineStr">
        <is>
          <t>MCX:T05-MCX-1</t>
        </is>
      </c>
      <c r="C558" s="7" t="inlineStr">
        <is>
          <t>T05-MCX-1</t>
        </is>
      </c>
      <c r="D558" s="7" t="inlineStr">
        <is>
          <t>MCX_INITIAL_MARGIN</t>
        </is>
      </c>
      <c r="E558" s="7" t="inlineStr">
        <is>
          <t>MCX_INITIAL_MARGIN</t>
        </is>
      </c>
      <c r="F558" s="7" t="inlineStr">
        <is>
          <t>BS</t>
        </is>
      </c>
      <c r="G558" s="7" t="inlineStr">
        <is>
          <t>INR</t>
        </is>
      </c>
      <c r="H558" s="11" t="n">
        <v>44672</v>
      </c>
      <c r="I558" s="11" t="n">
        <v>44692</v>
      </c>
      <c r="J558" s="11" t="n">
        <v>44692</v>
      </c>
      <c r="K558" s="11" t="n">
        <v>44692</v>
      </c>
      <c r="L558" s="7" t="inlineStr">
        <is>
          <t>roll following on the LME panel calendar</t>
        </is>
      </c>
      <c r="N558" s="7" t="inlineStr">
        <is>
          <t>PROXY</t>
        </is>
      </c>
      <c r="O558" s="9" t="n">
        <v>-256515.58</v>
      </c>
      <c r="P558" s="9" t="n">
        <v>-256515.58</v>
      </c>
      <c r="U558" s="7" t="inlineStr">
        <is>
          <t>DERIVED_IN_WORKBOOK</t>
        </is>
      </c>
      <c r="V558" s="8">
        <f>-SUMIFS(Cashflows!$W$1043:$W$1393,Cashflows!$B$1043:$B$1393,$C558,Cashflows!$C$1043:$C$1393,$K558)</f>
        <v/>
      </c>
      <c r="W558" s="8">
        <f>IF($G558="INR",1,INDEX(Market_Daily!$F$6:$F$256,MATCH($K558,Market_Daily!$A$6:$A$256,0)))</f>
        <v/>
      </c>
      <c r="X558" s="8">
        <f>$V558*$W558</f>
        <v/>
      </c>
      <c r="Y558" s="18">
        <f>$X558-$P558</f>
        <v/>
      </c>
      <c r="Z558" s="8">
        <f>IF(ABS($Y558)&lt;=tol_cashflow_inr,"PASS","FAIL")</f>
        <v/>
      </c>
      <c r="AA558" s="7" t="inlineStr">
        <is>
          <t>-d(lots x lot_kg x F(s) x mcx_al_margin_used_frac)</t>
        </is>
      </c>
    </row>
    <row r="559">
      <c r="A559" s="7" t="inlineStr">
        <is>
          <t>T05</t>
        </is>
      </c>
      <c r="B559" s="7" t="inlineStr">
        <is>
          <t>MCX:T05-MCX-1</t>
        </is>
      </c>
      <c r="C559" s="7" t="inlineStr">
        <is>
          <t>T05-MCX-1</t>
        </is>
      </c>
      <c r="D559" s="7" t="inlineStr">
        <is>
          <t>MCX_VARIATION_MARGIN</t>
        </is>
      </c>
      <c r="E559" s="7" t="inlineStr">
        <is>
          <t>MCX_VARIATION_MARGIN</t>
        </is>
      </c>
      <c r="F559" s="7" t="inlineStr">
        <is>
          <t>PNL</t>
        </is>
      </c>
      <c r="G559" s="7" t="inlineStr">
        <is>
          <t>INR</t>
        </is>
      </c>
      <c r="H559" s="11" t="n">
        <v>44672</v>
      </c>
      <c r="I559" s="11" t="n">
        <v>44692</v>
      </c>
      <c r="J559" s="11" t="n">
        <v>44692</v>
      </c>
      <c r="K559" s="11" t="n">
        <v>44692</v>
      </c>
      <c r="L559" s="7" t="inlineStr">
        <is>
          <t>roll following on the LME panel calendar</t>
        </is>
      </c>
      <c r="N559" s="7" t="inlineStr">
        <is>
          <t>PROXY</t>
        </is>
      </c>
      <c r="O559" s="9" t="n">
        <v>-2565155.77</v>
      </c>
      <c r="P559" s="9" t="n">
        <v>-2565155.77</v>
      </c>
      <c r="U559" s="7" t="inlineStr">
        <is>
          <t>DERIVED_IN_WORKBOOK</t>
        </is>
      </c>
      <c r="V559" s="8">
        <f>SUMIFS(Cashflows!$R$1043:$R$1393,Cashflows!$B$1043:$B$1393,$C559,Cashflows!$C$1043:$C$1393,$K559)</f>
        <v/>
      </c>
      <c r="W559" s="8">
        <f>IF($G559="INR",1,INDEX(Market_Daily!$F$6:$F$256,MATCH($K559,Market_Daily!$A$6:$A$256,0)))</f>
        <v/>
      </c>
      <c r="X559" s="8">
        <f>$V559*$W559</f>
        <v/>
      </c>
      <c r="Y559" s="18">
        <f>$X559-$P559</f>
        <v/>
      </c>
      <c r="Z559" s="8">
        <f>IF(ABS($Y559)&lt;=tol_cashflow_inr,"PASS","FAIL")</f>
        <v/>
      </c>
      <c r="AA559" s="7" t="inlineStr">
        <is>
          <t>direction x lots x lot_kg x (F(s) - F(s-1))</t>
        </is>
      </c>
    </row>
    <row r="560">
      <c r="A560" s="7" t="inlineStr">
        <is>
          <t>T05</t>
        </is>
      </c>
      <c r="B560" s="7" t="inlineStr">
        <is>
          <t>MCX:T05-MCX-1</t>
        </is>
      </c>
      <c r="C560" s="7" t="inlineStr">
        <is>
          <t>T05-MCX-1</t>
        </is>
      </c>
      <c r="D560" s="7" t="inlineStr">
        <is>
          <t>MCX_INITIAL_MARGIN</t>
        </is>
      </c>
      <c r="E560" s="7" t="inlineStr">
        <is>
          <t>MCX_INITIAL_MARGIN</t>
        </is>
      </c>
      <c r="F560" s="7" t="inlineStr">
        <is>
          <t>BS</t>
        </is>
      </c>
      <c r="G560" s="7" t="inlineStr">
        <is>
          <t>INR</t>
        </is>
      </c>
      <c r="H560" s="11" t="n">
        <v>44672</v>
      </c>
      <c r="I560" s="11" t="n">
        <v>44693</v>
      </c>
      <c r="J560" s="11" t="n">
        <v>44693</v>
      </c>
      <c r="K560" s="11" t="n">
        <v>44693</v>
      </c>
      <c r="L560" s="7" t="inlineStr">
        <is>
          <t>roll following on the LME panel calendar</t>
        </is>
      </c>
      <c r="N560" s="7" t="inlineStr">
        <is>
          <t>PROXY</t>
        </is>
      </c>
      <c r="O560" s="9" t="n">
        <v>173994.34</v>
      </c>
      <c r="P560" s="9" t="n">
        <v>173994.34</v>
      </c>
      <c r="U560" s="7" t="inlineStr">
        <is>
          <t>DERIVED_IN_WORKBOOK</t>
        </is>
      </c>
      <c r="V560" s="8">
        <f>-SUMIFS(Cashflows!$W$1043:$W$1393,Cashflows!$B$1043:$B$1393,$C560,Cashflows!$C$1043:$C$1393,$K560)</f>
        <v/>
      </c>
      <c r="W560" s="8">
        <f>IF($G560="INR",1,INDEX(Market_Daily!$F$6:$F$256,MATCH($K560,Market_Daily!$A$6:$A$256,0)))</f>
        <v/>
      </c>
      <c r="X560" s="8">
        <f>$V560*$W560</f>
        <v/>
      </c>
      <c r="Y560" s="18">
        <f>$X560-$P560</f>
        <v/>
      </c>
      <c r="Z560" s="8">
        <f>IF(ABS($Y560)&lt;=tol_cashflow_inr,"PASS","FAIL")</f>
        <v/>
      </c>
      <c r="AA560" s="7" t="inlineStr">
        <is>
          <t>-d(lots x lot_kg x F(s) x mcx_al_margin_used_frac)</t>
        </is>
      </c>
    </row>
    <row r="561">
      <c r="A561" s="7" t="inlineStr">
        <is>
          <t>T05</t>
        </is>
      </c>
      <c r="B561" s="7" t="inlineStr">
        <is>
          <t>MCX:T05-MCX-1</t>
        </is>
      </c>
      <c r="C561" s="7" t="inlineStr">
        <is>
          <t>T05-MCX-1</t>
        </is>
      </c>
      <c r="D561" s="7" t="inlineStr">
        <is>
          <t>MCX_VARIATION_MARGIN</t>
        </is>
      </c>
      <c r="E561" s="7" t="inlineStr">
        <is>
          <t>MCX_VARIATION_MARGIN</t>
        </is>
      </c>
      <c r="F561" s="7" t="inlineStr">
        <is>
          <t>PNL</t>
        </is>
      </c>
      <c r="G561" s="7" t="inlineStr">
        <is>
          <t>INR</t>
        </is>
      </c>
      <c r="H561" s="11" t="n">
        <v>44672</v>
      </c>
      <c r="I561" s="11" t="n">
        <v>44693</v>
      </c>
      <c r="J561" s="11" t="n">
        <v>44693</v>
      </c>
      <c r="K561" s="11" t="n">
        <v>44693</v>
      </c>
      <c r="L561" s="7" t="inlineStr">
        <is>
          <t>roll following on the LME panel calendar</t>
        </is>
      </c>
      <c r="N561" s="7" t="inlineStr">
        <is>
          <t>PROXY</t>
        </is>
      </c>
      <c r="O561" s="9" t="n">
        <v>1739943.41</v>
      </c>
      <c r="P561" s="9" t="n">
        <v>1739943.41</v>
      </c>
      <c r="U561" s="7" t="inlineStr">
        <is>
          <t>DERIVED_IN_WORKBOOK</t>
        </is>
      </c>
      <c r="V561" s="8">
        <f>SUMIFS(Cashflows!$R$1043:$R$1393,Cashflows!$B$1043:$B$1393,$C561,Cashflows!$C$1043:$C$1393,$K561)</f>
        <v/>
      </c>
      <c r="W561" s="8">
        <f>IF($G561="INR",1,INDEX(Market_Daily!$F$6:$F$256,MATCH($K561,Market_Daily!$A$6:$A$256,0)))</f>
        <v/>
      </c>
      <c r="X561" s="8">
        <f>$V561*$W561</f>
        <v/>
      </c>
      <c r="Y561" s="18">
        <f>$X561-$P561</f>
        <v/>
      </c>
      <c r="Z561" s="8">
        <f>IF(ABS($Y561)&lt;=tol_cashflow_inr,"PASS","FAIL")</f>
        <v/>
      </c>
      <c r="AA561" s="7" t="inlineStr">
        <is>
          <t>direction x lots x lot_kg x (F(s) - F(s-1))</t>
        </is>
      </c>
    </row>
    <row r="562">
      <c r="A562" s="7" t="inlineStr">
        <is>
          <t>T05</t>
        </is>
      </c>
      <c r="B562" s="7" t="inlineStr">
        <is>
          <t>MCX:T05-MCX-1</t>
        </is>
      </c>
      <c r="C562" s="7" t="inlineStr">
        <is>
          <t>T05-MCX-1</t>
        </is>
      </c>
      <c r="D562" s="7" t="inlineStr">
        <is>
          <t>MCX_INITIAL_MARGIN</t>
        </is>
      </c>
      <c r="E562" s="7" t="inlineStr">
        <is>
          <t>MCX_INITIAL_MARGIN</t>
        </is>
      </c>
      <c r="F562" s="7" t="inlineStr">
        <is>
          <t>BS</t>
        </is>
      </c>
      <c r="G562" s="7" t="inlineStr">
        <is>
          <t>INR</t>
        </is>
      </c>
      <c r="H562" s="11" t="n">
        <v>44672</v>
      </c>
      <c r="I562" s="11" t="n">
        <v>44694</v>
      </c>
      <c r="J562" s="11" t="n">
        <v>44694</v>
      </c>
      <c r="K562" s="11" t="n">
        <v>44694</v>
      </c>
      <c r="L562" s="7" t="inlineStr">
        <is>
          <t>roll following on the LME panel calendar</t>
        </is>
      </c>
      <c r="N562" s="7" t="inlineStr">
        <is>
          <t>PROXY</t>
        </is>
      </c>
      <c r="O562" s="9" t="n">
        <v>-144441.82</v>
      </c>
      <c r="P562" s="9" t="n">
        <v>-144441.82</v>
      </c>
      <c r="U562" s="7" t="inlineStr">
        <is>
          <t>DERIVED_IN_WORKBOOK</t>
        </is>
      </c>
      <c r="V562" s="8">
        <f>-SUMIFS(Cashflows!$W$1043:$W$1393,Cashflows!$B$1043:$B$1393,$C562,Cashflows!$C$1043:$C$1393,$K562)</f>
        <v/>
      </c>
      <c r="W562" s="8">
        <f>IF($G562="INR",1,INDEX(Market_Daily!$F$6:$F$256,MATCH($K562,Market_Daily!$A$6:$A$256,0)))</f>
        <v/>
      </c>
      <c r="X562" s="8">
        <f>$V562*$W562</f>
        <v/>
      </c>
      <c r="Y562" s="18">
        <f>$X562-$P562</f>
        <v/>
      </c>
      <c r="Z562" s="8">
        <f>IF(ABS($Y562)&lt;=tol_cashflow_inr,"PASS","FAIL")</f>
        <v/>
      </c>
      <c r="AA562" s="7" t="inlineStr">
        <is>
          <t>-d(lots x lot_kg x F(s) x mcx_al_margin_used_frac)</t>
        </is>
      </c>
    </row>
    <row r="563">
      <c r="A563" s="7" t="inlineStr">
        <is>
          <t>T05</t>
        </is>
      </c>
      <c r="B563" s="7" t="inlineStr">
        <is>
          <t>MCX:T05-MCX-1</t>
        </is>
      </c>
      <c r="C563" s="7" t="inlineStr">
        <is>
          <t>T05-MCX-1</t>
        </is>
      </c>
      <c r="D563" s="7" t="inlineStr">
        <is>
          <t>MCX_VARIATION_MARGIN</t>
        </is>
      </c>
      <c r="E563" s="7" t="inlineStr">
        <is>
          <t>MCX_VARIATION_MARGIN</t>
        </is>
      </c>
      <c r="F563" s="7" t="inlineStr">
        <is>
          <t>PNL</t>
        </is>
      </c>
      <c r="G563" s="7" t="inlineStr">
        <is>
          <t>INR</t>
        </is>
      </c>
      <c r="H563" s="11" t="n">
        <v>44672</v>
      </c>
      <c r="I563" s="11" t="n">
        <v>44694</v>
      </c>
      <c r="J563" s="11" t="n">
        <v>44694</v>
      </c>
      <c r="K563" s="11" t="n">
        <v>44694</v>
      </c>
      <c r="L563" s="7" t="inlineStr">
        <is>
          <t>roll following on the LME panel calendar</t>
        </is>
      </c>
      <c r="N563" s="7" t="inlineStr">
        <is>
          <t>PROXY</t>
        </is>
      </c>
      <c r="O563" s="9" t="n">
        <v>-1444418.24</v>
      </c>
      <c r="P563" s="9" t="n">
        <v>-1444418.24</v>
      </c>
      <c r="U563" s="7" t="inlineStr">
        <is>
          <t>DERIVED_IN_WORKBOOK</t>
        </is>
      </c>
      <c r="V563" s="8">
        <f>SUMIFS(Cashflows!$R$1043:$R$1393,Cashflows!$B$1043:$B$1393,$C563,Cashflows!$C$1043:$C$1393,$K563)</f>
        <v/>
      </c>
      <c r="W563" s="8">
        <f>IF($G563="INR",1,INDEX(Market_Daily!$F$6:$F$256,MATCH($K563,Market_Daily!$A$6:$A$256,0)))</f>
        <v/>
      </c>
      <c r="X563" s="8">
        <f>$V563*$W563</f>
        <v/>
      </c>
      <c r="Y563" s="18">
        <f>$X563-$P563</f>
        <v/>
      </c>
      <c r="Z563" s="8">
        <f>IF(ABS($Y563)&lt;=tol_cashflow_inr,"PASS","FAIL")</f>
        <v/>
      </c>
      <c r="AA563" s="7" t="inlineStr">
        <is>
          <t>direction x lots x lot_kg x (F(s) - F(s-1))</t>
        </is>
      </c>
    </row>
    <row r="564">
      <c r="A564" s="7" t="inlineStr">
        <is>
          <t>T05</t>
        </is>
      </c>
      <c r="B564" s="7" t="inlineStr">
        <is>
          <t>MCX:T05-MCX-1</t>
        </is>
      </c>
      <c r="C564" s="7" t="inlineStr">
        <is>
          <t>T05-MCX-1</t>
        </is>
      </c>
      <c r="D564" s="7" t="inlineStr">
        <is>
          <t>MCX_INITIAL_MARGIN</t>
        </is>
      </c>
      <c r="E564" s="7" t="inlineStr">
        <is>
          <t>MCX_INITIAL_MARGIN</t>
        </is>
      </c>
      <c r="F564" s="7" t="inlineStr">
        <is>
          <t>BS</t>
        </is>
      </c>
      <c r="G564" s="7" t="inlineStr">
        <is>
          <t>INR</t>
        </is>
      </c>
      <c r="H564" s="11" t="n">
        <v>44672</v>
      </c>
      <c r="I564" s="11" t="n">
        <v>44697</v>
      </c>
      <c r="J564" s="11" t="n">
        <v>44697</v>
      </c>
      <c r="K564" s="11" t="n">
        <v>44697</v>
      </c>
      <c r="L564" s="7" t="inlineStr">
        <is>
          <t>roll following on the LME panel calendar</t>
        </is>
      </c>
      <c r="N564" s="7" t="inlineStr">
        <is>
          <t>PROXY</t>
        </is>
      </c>
      <c r="O564" s="9" t="n">
        <v>-350562.4</v>
      </c>
      <c r="P564" s="9" t="n">
        <v>-350562.4</v>
      </c>
      <c r="U564" s="7" t="inlineStr">
        <is>
          <t>DERIVED_IN_WORKBOOK</t>
        </is>
      </c>
      <c r="V564" s="8">
        <f>-SUMIFS(Cashflows!$W$1043:$W$1393,Cashflows!$B$1043:$B$1393,$C564,Cashflows!$C$1043:$C$1393,$K564)</f>
        <v/>
      </c>
      <c r="W564" s="8">
        <f>IF($G564="INR",1,INDEX(Market_Daily!$F$6:$F$256,MATCH($K564,Market_Daily!$A$6:$A$256,0)))</f>
        <v/>
      </c>
      <c r="X564" s="8">
        <f>$V564*$W564</f>
        <v/>
      </c>
      <c r="Y564" s="18">
        <f>$X564-$P564</f>
        <v/>
      </c>
      <c r="Z564" s="8">
        <f>IF(ABS($Y564)&lt;=tol_cashflow_inr,"PASS","FAIL")</f>
        <v/>
      </c>
      <c r="AA564" s="7" t="inlineStr">
        <is>
          <t>-d(lots x lot_kg x F(s) x mcx_al_margin_used_frac)</t>
        </is>
      </c>
    </row>
    <row r="565">
      <c r="A565" s="7" t="inlineStr">
        <is>
          <t>T05</t>
        </is>
      </c>
      <c r="B565" s="7" t="inlineStr">
        <is>
          <t>MCX:T05-MCX-1</t>
        </is>
      </c>
      <c r="C565" s="7" t="inlineStr">
        <is>
          <t>T05-MCX-1</t>
        </is>
      </c>
      <c r="D565" s="7" t="inlineStr">
        <is>
          <t>MCX_VARIATION_MARGIN</t>
        </is>
      </c>
      <c r="E565" s="7" t="inlineStr">
        <is>
          <t>MCX_VARIATION_MARGIN</t>
        </is>
      </c>
      <c r="F565" s="7" t="inlineStr">
        <is>
          <t>PNL</t>
        </is>
      </c>
      <c r="G565" s="7" t="inlineStr">
        <is>
          <t>INR</t>
        </is>
      </c>
      <c r="H565" s="11" t="n">
        <v>44672</v>
      </c>
      <c r="I565" s="11" t="n">
        <v>44697</v>
      </c>
      <c r="J565" s="11" t="n">
        <v>44697</v>
      </c>
      <c r="K565" s="11" t="n">
        <v>44697</v>
      </c>
      <c r="L565" s="7" t="inlineStr">
        <is>
          <t>roll following on the LME panel calendar</t>
        </is>
      </c>
      <c r="N565" s="7" t="inlineStr">
        <is>
          <t>PROXY</t>
        </is>
      </c>
      <c r="O565" s="9" t="n">
        <v>-3505623.99</v>
      </c>
      <c r="P565" s="9" t="n">
        <v>-3505623.99</v>
      </c>
      <c r="U565" s="7" t="inlineStr">
        <is>
          <t>DERIVED_IN_WORKBOOK</t>
        </is>
      </c>
      <c r="V565" s="8">
        <f>SUMIFS(Cashflows!$R$1043:$R$1393,Cashflows!$B$1043:$B$1393,$C565,Cashflows!$C$1043:$C$1393,$K565)</f>
        <v/>
      </c>
      <c r="W565" s="8">
        <f>IF($G565="INR",1,INDEX(Market_Daily!$F$6:$F$256,MATCH($K565,Market_Daily!$A$6:$A$256,0)))</f>
        <v/>
      </c>
      <c r="X565" s="8">
        <f>$V565*$W565</f>
        <v/>
      </c>
      <c r="Y565" s="18">
        <f>$X565-$P565</f>
        <v/>
      </c>
      <c r="Z565" s="8">
        <f>IF(ABS($Y565)&lt;=tol_cashflow_inr,"PASS","FAIL")</f>
        <v/>
      </c>
      <c r="AA565" s="7" t="inlineStr">
        <is>
          <t>direction x lots x lot_kg x (F(s) - F(s-1))</t>
        </is>
      </c>
    </row>
    <row r="566">
      <c r="A566" s="7" t="inlineStr">
        <is>
          <t>T05</t>
        </is>
      </c>
      <c r="B566" s="7" t="inlineStr">
        <is>
          <t>LC_USANCE_FEE:L1</t>
        </is>
      </c>
      <c r="C566" s="7" t="inlineStr">
        <is>
          <t>L1</t>
        </is>
      </c>
      <c r="D566" s="7" t="inlineStr">
        <is>
          <t>LC_USANCE_FEE</t>
        </is>
      </c>
      <c r="E566" s="7" t="inlineStr">
        <is>
          <t>LC_USANCE_FEE</t>
        </is>
      </c>
      <c r="F566" s="7" t="inlineStr">
        <is>
          <t>PNL</t>
        </is>
      </c>
      <c r="G566" s="7" t="inlineStr">
        <is>
          <t>USD</t>
        </is>
      </c>
      <c r="H566" s="11" t="n">
        <v>44672</v>
      </c>
      <c r="I566" s="11" t="n">
        <v>44698</v>
      </c>
      <c r="J566" s="11" t="n">
        <v>44698</v>
      </c>
      <c r="K566" s="11" t="n">
        <v>44698</v>
      </c>
      <c r="L566" s="7" t="inlineStr">
        <is>
          <t>roll following on the LME panel calendar</t>
        </is>
      </c>
      <c r="N566" s="7" t="inlineStr">
        <is>
          <t>DIRECT</t>
        </is>
      </c>
      <c r="O566" s="9" t="n">
        <v>-2624.38</v>
      </c>
      <c r="P566" s="9" t="n">
        <v>-203286.7</v>
      </c>
      <c r="U566" s="7" t="inlineStr">
        <is>
          <t>PYTHON_LIFECYCLE</t>
        </is>
      </c>
      <c r="V566" s="8">
        <f>$O566</f>
        <v/>
      </c>
      <c r="W566" s="8">
        <f>IF($G566="INR",1,INDEX(Market_Daily!$F$6:$F$256,MATCH($K566,Market_Daily!$A$6:$A$256,0)))</f>
        <v/>
      </c>
      <c r="X566" s="8">
        <f>$V566*$W566</f>
        <v/>
      </c>
      <c r="Y566" s="18">
        <f>$X566-$P566</f>
        <v/>
      </c>
      <c r="Z566" s="8">
        <f>IF(ABS($Y566)&lt;=tol_cashflow_inr,"PASS","FAIL")</f>
        <v/>
      </c>
      <c r="AA566" s="7" t="inlineStr">
        <is>
          <t>-lc_usance_fee_frac_per_month x ceil(usance/30) x bill_usd</t>
        </is>
      </c>
    </row>
    <row r="567">
      <c r="A567" s="7" t="inlineStr">
        <is>
          <t>T05</t>
        </is>
      </c>
      <c r="B567" s="7" t="inlineStr">
        <is>
          <t>MCX:T05-MCX-1</t>
        </is>
      </c>
      <c r="C567" s="7" t="inlineStr">
        <is>
          <t>T05-MCX-1</t>
        </is>
      </c>
      <c r="D567" s="7" t="inlineStr">
        <is>
          <t>MCX_INITIAL_MARGIN</t>
        </is>
      </c>
      <c r="E567" s="7" t="inlineStr">
        <is>
          <t>MCX_INITIAL_MARGIN</t>
        </is>
      </c>
      <c r="F567" s="7" t="inlineStr">
        <is>
          <t>BS</t>
        </is>
      </c>
      <c r="G567" s="7" t="inlineStr">
        <is>
          <t>INR</t>
        </is>
      </c>
      <c r="H567" s="11" t="n">
        <v>44672</v>
      </c>
      <c r="I567" s="11" t="n">
        <v>44698</v>
      </c>
      <c r="J567" s="11" t="n">
        <v>44698</v>
      </c>
      <c r="K567" s="11" t="n">
        <v>44698</v>
      </c>
      <c r="L567" s="7" t="inlineStr">
        <is>
          <t>roll following on the LME panel calendar</t>
        </is>
      </c>
      <c r="N567" s="7" t="inlineStr">
        <is>
          <t>PROXY</t>
        </is>
      </c>
      <c r="O567" s="9" t="n">
        <v>-143307.47</v>
      </c>
      <c r="P567" s="9" t="n">
        <v>-143307.47</v>
      </c>
      <c r="U567" s="7" t="inlineStr">
        <is>
          <t>DERIVED_IN_WORKBOOK</t>
        </is>
      </c>
      <c r="V567" s="8">
        <f>-SUMIFS(Cashflows!$W$1043:$W$1393,Cashflows!$B$1043:$B$1393,$C567,Cashflows!$C$1043:$C$1393,$K567)</f>
        <v/>
      </c>
      <c r="W567" s="8">
        <f>IF($G567="INR",1,INDEX(Market_Daily!$F$6:$F$256,MATCH($K567,Market_Daily!$A$6:$A$256,0)))</f>
        <v/>
      </c>
      <c r="X567" s="8">
        <f>$V567*$W567</f>
        <v/>
      </c>
      <c r="Y567" s="18">
        <f>$X567-$P567</f>
        <v/>
      </c>
      <c r="Z567" s="8">
        <f>IF(ABS($Y567)&lt;=tol_cashflow_inr,"PASS","FAIL")</f>
        <v/>
      </c>
      <c r="AA567" s="7" t="inlineStr">
        <is>
          <t>-d(lots x lot_kg x F(s) x mcx_al_margin_used_frac)</t>
        </is>
      </c>
    </row>
    <row r="568">
      <c r="A568" s="7" t="inlineStr">
        <is>
          <t>T05</t>
        </is>
      </c>
      <c r="B568" s="7" t="inlineStr">
        <is>
          <t>MCX:T05-MCX-1</t>
        </is>
      </c>
      <c r="C568" s="7" t="inlineStr">
        <is>
          <t>T05-MCX-1</t>
        </is>
      </c>
      <c r="D568" s="7" t="inlineStr">
        <is>
          <t>MCX_VARIATION_MARGIN</t>
        </is>
      </c>
      <c r="E568" s="7" t="inlineStr">
        <is>
          <t>MCX_VARIATION_MARGIN</t>
        </is>
      </c>
      <c r="F568" s="7" t="inlineStr">
        <is>
          <t>PNL</t>
        </is>
      </c>
      <c r="G568" s="7" t="inlineStr">
        <is>
          <t>INR</t>
        </is>
      </c>
      <c r="H568" s="11" t="n">
        <v>44672</v>
      </c>
      <c r="I568" s="11" t="n">
        <v>44698</v>
      </c>
      <c r="J568" s="11" t="n">
        <v>44698</v>
      </c>
      <c r="K568" s="11" t="n">
        <v>44698</v>
      </c>
      <c r="L568" s="7" t="inlineStr">
        <is>
          <t>roll following on the LME panel calendar</t>
        </is>
      </c>
      <c r="N568" s="7" t="inlineStr">
        <is>
          <t>PROXY</t>
        </is>
      </c>
      <c r="O568" s="9" t="n">
        <v>-1433074.71</v>
      </c>
      <c r="P568" s="9" t="n">
        <v>-1433074.71</v>
      </c>
      <c r="U568" s="7" t="inlineStr">
        <is>
          <t>DERIVED_IN_WORKBOOK</t>
        </is>
      </c>
      <c r="V568" s="8">
        <f>SUMIFS(Cashflows!$R$1043:$R$1393,Cashflows!$B$1043:$B$1393,$C568,Cashflows!$C$1043:$C$1393,$K568)</f>
        <v/>
      </c>
      <c r="W568" s="8">
        <f>IF($G568="INR",1,INDEX(Market_Daily!$F$6:$F$256,MATCH($K568,Market_Daily!$A$6:$A$256,0)))</f>
        <v/>
      </c>
      <c r="X568" s="8">
        <f>$V568*$W568</f>
        <v/>
      </c>
      <c r="Y568" s="18">
        <f>$X568-$P568</f>
        <v/>
      </c>
      <c r="Z568" s="8">
        <f>IF(ABS($Y568)&lt;=tol_cashflow_inr,"PASS","FAIL")</f>
        <v/>
      </c>
      <c r="AA568" s="7" t="inlineStr">
        <is>
          <t>direction x lots x lot_kg x (F(s) - F(s-1))</t>
        </is>
      </c>
    </row>
    <row r="569">
      <c r="A569" s="7" t="inlineStr">
        <is>
          <t>T05</t>
        </is>
      </c>
      <c r="B569" s="7" t="inlineStr">
        <is>
          <t>INSURANCE:L2</t>
        </is>
      </c>
      <c r="C569" s="7" t="inlineStr">
        <is>
          <t>L2</t>
        </is>
      </c>
      <c r="D569" s="7" t="inlineStr">
        <is>
          <t>INSURANCE</t>
        </is>
      </c>
      <c r="E569" s="7" t="inlineStr">
        <is>
          <t>INSURANCE</t>
        </is>
      </c>
      <c r="F569" s="7" t="inlineStr">
        <is>
          <t>PNL</t>
        </is>
      </c>
      <c r="G569" s="7" t="inlineStr">
        <is>
          <t>USD</t>
        </is>
      </c>
      <c r="H569" s="11" t="n">
        <v>44672</v>
      </c>
      <c r="I569" s="11" t="n">
        <v>44699</v>
      </c>
      <c r="J569" s="11" t="n">
        <v>44699</v>
      </c>
      <c r="K569" s="11" t="n">
        <v>44699</v>
      </c>
      <c r="L569" s="7" t="inlineStr">
        <is>
          <t>roll following on the LME panel calendar</t>
        </is>
      </c>
      <c r="N569" s="7" t="inlineStr">
        <is>
          <t>ASSUMPTION</t>
        </is>
      </c>
      <c r="O569" s="9" t="n">
        <v>-2306.75</v>
      </c>
      <c r="P569" s="9" t="n">
        <v>-178975.77</v>
      </c>
      <c r="U569" s="7" t="inlineStr">
        <is>
          <t>PYTHON_LIFECYCLE</t>
        </is>
      </c>
      <c r="V569" s="8">
        <f>$O569</f>
        <v/>
      </c>
      <c r="W569" s="8">
        <f>IF($G569="INR",1,INDEX(Market_Daily!$F$6:$F$256,MATCH($K569,Market_Daily!$A$6:$A$256,0)))</f>
        <v/>
      </c>
      <c r="X569" s="8">
        <f>$V569*$W569</f>
        <v/>
      </c>
      <c r="Y569" s="18">
        <f>$X569-$P569</f>
        <v/>
      </c>
      <c r="Z569" s="8">
        <f>IF(ABS($Y569)&lt;=tol_cashflow_inr,"PASS","FAIL")</f>
        <v/>
      </c>
      <c r="AA569" s="7" t="inlineStr">
        <is>
          <t>-insurance_rate x insured_value_uplift x cfr_value_usd</t>
        </is>
      </c>
    </row>
    <row r="570">
      <c r="A570" s="7" t="inlineStr">
        <is>
          <t>T05</t>
        </is>
      </c>
      <c r="B570" s="7" t="inlineStr">
        <is>
          <t>MCX:T05-MCX-1</t>
        </is>
      </c>
      <c r="C570" s="7" t="inlineStr">
        <is>
          <t>T05-MCX-1</t>
        </is>
      </c>
      <c r="D570" s="7" t="inlineStr">
        <is>
          <t>MCX_INITIAL_MARGIN</t>
        </is>
      </c>
      <c r="E570" s="7" t="inlineStr">
        <is>
          <t>MCX_INITIAL_MARGIN</t>
        </is>
      </c>
      <c r="F570" s="7" t="inlineStr">
        <is>
          <t>BS</t>
        </is>
      </c>
      <c r="G570" s="7" t="inlineStr">
        <is>
          <t>INR</t>
        </is>
      </c>
      <c r="H570" s="11" t="n">
        <v>44672</v>
      </c>
      <c r="I570" s="11" t="n">
        <v>44699</v>
      </c>
      <c r="J570" s="11" t="n">
        <v>44699</v>
      </c>
      <c r="K570" s="11" t="n">
        <v>44699</v>
      </c>
      <c r="L570" s="7" t="inlineStr">
        <is>
          <t>roll following on the LME panel calendar</t>
        </is>
      </c>
      <c r="N570" s="7" t="inlineStr">
        <is>
          <t>PROXY</t>
        </is>
      </c>
      <c r="O570" s="9" t="n">
        <v>-58603.48</v>
      </c>
      <c r="P570" s="9" t="n">
        <v>-58603.48</v>
      </c>
      <c r="U570" s="7" t="inlineStr">
        <is>
          <t>DERIVED_IN_WORKBOOK</t>
        </is>
      </c>
      <c r="V570" s="8">
        <f>-SUMIFS(Cashflows!$W$1043:$W$1393,Cashflows!$B$1043:$B$1393,$C570,Cashflows!$C$1043:$C$1393,$K570)</f>
        <v/>
      </c>
      <c r="W570" s="8">
        <f>IF($G570="INR",1,INDEX(Market_Daily!$F$6:$F$256,MATCH($K570,Market_Daily!$A$6:$A$256,0)))</f>
        <v/>
      </c>
      <c r="X570" s="8">
        <f>$V570*$W570</f>
        <v/>
      </c>
      <c r="Y570" s="18">
        <f>$X570-$P570</f>
        <v/>
      </c>
      <c r="Z570" s="8">
        <f>IF(ABS($Y570)&lt;=tol_cashflow_inr,"PASS","FAIL")</f>
        <v/>
      </c>
      <c r="AA570" s="7" t="inlineStr">
        <is>
          <t>-d(lots x lot_kg x F(s) x mcx_al_margin_used_frac)</t>
        </is>
      </c>
    </row>
    <row r="571">
      <c r="A571" s="7" t="inlineStr">
        <is>
          <t>T05</t>
        </is>
      </c>
      <c r="B571" s="7" t="inlineStr">
        <is>
          <t>MCX:T05-MCX-1</t>
        </is>
      </c>
      <c r="C571" s="7" t="inlineStr">
        <is>
          <t>T05-MCX-1</t>
        </is>
      </c>
      <c r="D571" s="7" t="inlineStr">
        <is>
          <t>MCX_VARIATION_MARGIN</t>
        </is>
      </c>
      <c r="E571" s="7" t="inlineStr">
        <is>
          <t>MCX_VARIATION_MARGIN</t>
        </is>
      </c>
      <c r="F571" s="7" t="inlineStr">
        <is>
          <t>PNL</t>
        </is>
      </c>
      <c r="G571" s="7" t="inlineStr">
        <is>
          <t>INR</t>
        </is>
      </c>
      <c r="H571" s="11" t="n">
        <v>44672</v>
      </c>
      <c r="I571" s="11" t="n">
        <v>44699</v>
      </c>
      <c r="J571" s="11" t="n">
        <v>44699</v>
      </c>
      <c r="K571" s="11" t="n">
        <v>44699</v>
      </c>
      <c r="L571" s="7" t="inlineStr">
        <is>
          <t>roll following on the LME panel calendar</t>
        </is>
      </c>
      <c r="N571" s="7" t="inlineStr">
        <is>
          <t>PROXY</t>
        </is>
      </c>
      <c r="O571" s="9" t="n">
        <v>-586034.77</v>
      </c>
      <c r="P571" s="9" t="n">
        <v>-586034.77</v>
      </c>
      <c r="U571" s="7" t="inlineStr">
        <is>
          <t>DERIVED_IN_WORKBOOK</t>
        </is>
      </c>
      <c r="V571" s="8">
        <f>SUMIFS(Cashflows!$R$1043:$R$1393,Cashflows!$B$1043:$B$1393,$C571,Cashflows!$C$1043:$C$1393,$K571)</f>
        <v/>
      </c>
      <c r="W571" s="8">
        <f>IF($G571="INR",1,INDEX(Market_Daily!$F$6:$F$256,MATCH($K571,Market_Daily!$A$6:$A$256,0)))</f>
        <v/>
      </c>
      <c r="X571" s="8">
        <f>$V571*$W571</f>
        <v/>
      </c>
      <c r="Y571" s="18">
        <f>$X571-$P571</f>
        <v/>
      </c>
      <c r="Z571" s="8">
        <f>IF(ABS($Y571)&lt;=tol_cashflow_inr,"PASS","FAIL")</f>
        <v/>
      </c>
      <c r="AA571" s="7" t="inlineStr">
        <is>
          <t>direction x lots x lot_kg x (F(s) - F(s-1))</t>
        </is>
      </c>
    </row>
    <row r="572">
      <c r="A572" s="7" t="inlineStr">
        <is>
          <t>T05</t>
        </is>
      </c>
      <c r="B572" s="7" t="inlineStr">
        <is>
          <t>MCX:T05-MCX-1</t>
        </is>
      </c>
      <c r="C572" s="7" t="inlineStr">
        <is>
          <t>T05-MCX-1</t>
        </is>
      </c>
      <c r="D572" s="7" t="inlineStr">
        <is>
          <t>MCX_INITIAL_MARGIN</t>
        </is>
      </c>
      <c r="E572" s="7" t="inlineStr">
        <is>
          <t>MCX_INITIAL_MARGIN</t>
        </is>
      </c>
      <c r="F572" s="7" t="inlineStr">
        <is>
          <t>BS</t>
        </is>
      </c>
      <c r="G572" s="7" t="inlineStr">
        <is>
          <t>INR</t>
        </is>
      </c>
      <c r="H572" s="11" t="n">
        <v>44672</v>
      </c>
      <c r="I572" s="11" t="n">
        <v>44700</v>
      </c>
      <c r="J572" s="11" t="n">
        <v>44700</v>
      </c>
      <c r="K572" s="11" t="n">
        <v>44700</v>
      </c>
      <c r="L572" s="7" t="inlineStr">
        <is>
          <t>roll following on the LME panel calendar</t>
        </is>
      </c>
      <c r="N572" s="7" t="inlineStr">
        <is>
          <t>PROXY</t>
        </is>
      </c>
      <c r="O572" s="9" t="n">
        <v>77831.3</v>
      </c>
      <c r="P572" s="9" t="n">
        <v>77831.3</v>
      </c>
      <c r="U572" s="7" t="inlineStr">
        <is>
          <t>DERIVED_IN_WORKBOOK</t>
        </is>
      </c>
      <c r="V572" s="8">
        <f>-SUMIFS(Cashflows!$W$1043:$W$1393,Cashflows!$B$1043:$B$1393,$C572,Cashflows!$C$1043:$C$1393,$K572)</f>
        <v/>
      </c>
      <c r="W572" s="8">
        <f>IF($G572="INR",1,INDEX(Market_Daily!$F$6:$F$256,MATCH($K572,Market_Daily!$A$6:$A$256,0)))</f>
        <v/>
      </c>
      <c r="X572" s="8">
        <f>$V572*$W572</f>
        <v/>
      </c>
      <c r="Y572" s="18">
        <f>$X572-$P572</f>
        <v/>
      </c>
      <c r="Z572" s="8">
        <f>IF(ABS($Y572)&lt;=tol_cashflow_inr,"PASS","FAIL")</f>
        <v/>
      </c>
      <c r="AA572" s="7" t="inlineStr">
        <is>
          <t>-d(lots x lot_kg x F(s) x mcx_al_margin_used_frac)</t>
        </is>
      </c>
    </row>
    <row r="573">
      <c r="A573" s="7" t="inlineStr">
        <is>
          <t>T05</t>
        </is>
      </c>
      <c r="B573" s="7" t="inlineStr">
        <is>
          <t>MCX:T05-MCX-1</t>
        </is>
      </c>
      <c r="C573" s="7" t="inlineStr">
        <is>
          <t>T05-MCX-1</t>
        </is>
      </c>
      <c r="D573" s="7" t="inlineStr">
        <is>
          <t>MCX_VARIATION_MARGIN</t>
        </is>
      </c>
      <c r="E573" s="7" t="inlineStr">
        <is>
          <t>MCX_VARIATION_MARGIN</t>
        </is>
      </c>
      <c r="F573" s="7" t="inlineStr">
        <is>
          <t>PNL</t>
        </is>
      </c>
      <c r="G573" s="7" t="inlineStr">
        <is>
          <t>INR</t>
        </is>
      </c>
      <c r="H573" s="11" t="n">
        <v>44672</v>
      </c>
      <c r="I573" s="11" t="n">
        <v>44700</v>
      </c>
      <c r="J573" s="11" t="n">
        <v>44700</v>
      </c>
      <c r="K573" s="11" t="n">
        <v>44700</v>
      </c>
      <c r="L573" s="7" t="inlineStr">
        <is>
          <t>roll following on the LME panel calendar</t>
        </is>
      </c>
      <c r="N573" s="7" t="inlineStr">
        <is>
          <t>PROXY</t>
        </is>
      </c>
      <c r="O573" s="9" t="n">
        <v>778312.96</v>
      </c>
      <c r="P573" s="9" t="n">
        <v>778312.96</v>
      </c>
      <c r="U573" s="7" t="inlineStr">
        <is>
          <t>DERIVED_IN_WORKBOOK</t>
        </is>
      </c>
      <c r="V573" s="8">
        <f>SUMIFS(Cashflows!$R$1043:$R$1393,Cashflows!$B$1043:$B$1393,$C573,Cashflows!$C$1043:$C$1393,$K573)</f>
        <v/>
      </c>
      <c r="W573" s="8">
        <f>IF($G573="INR",1,INDEX(Market_Daily!$F$6:$F$256,MATCH($K573,Market_Daily!$A$6:$A$256,0)))</f>
        <v/>
      </c>
      <c r="X573" s="8">
        <f>$V573*$W573</f>
        <v/>
      </c>
      <c r="Y573" s="18">
        <f>$X573-$P573</f>
        <v/>
      </c>
      <c r="Z573" s="8">
        <f>IF(ABS($Y573)&lt;=tol_cashflow_inr,"PASS","FAIL")</f>
        <v/>
      </c>
      <c r="AA573" s="7" t="inlineStr">
        <is>
          <t>direction x lots x lot_kg x (F(s) - F(s-1))</t>
        </is>
      </c>
    </row>
    <row r="574">
      <c r="A574" s="7" t="inlineStr">
        <is>
          <t>T05</t>
        </is>
      </c>
      <c r="B574" s="7" t="inlineStr">
        <is>
          <t>MCX:T05-MCX-1</t>
        </is>
      </c>
      <c r="C574" s="7" t="inlineStr">
        <is>
          <t>T05-MCX-1</t>
        </is>
      </c>
      <c r="D574" s="7" t="inlineStr">
        <is>
          <t>MCX_INITIAL_MARGIN</t>
        </is>
      </c>
      <c r="E574" s="7" t="inlineStr">
        <is>
          <t>MCX_INITIAL_MARGIN</t>
        </is>
      </c>
      <c r="F574" s="7" t="inlineStr">
        <is>
          <t>BS</t>
        </is>
      </c>
      <c r="G574" s="7" t="inlineStr">
        <is>
          <t>INR</t>
        </is>
      </c>
      <c r="H574" s="11" t="n">
        <v>44672</v>
      </c>
      <c r="I574" s="11" t="n">
        <v>44701</v>
      </c>
      <c r="J574" s="11" t="n">
        <v>44701</v>
      </c>
      <c r="K574" s="11" t="n">
        <v>44701</v>
      </c>
      <c r="L574" s="7" t="inlineStr">
        <is>
          <t>roll following on the LME panel calendar</t>
        </is>
      </c>
      <c r="N574" s="7" t="inlineStr">
        <is>
          <t>PROXY</t>
        </is>
      </c>
      <c r="O574" s="9" t="n">
        <v>12488081.54</v>
      </c>
      <c r="P574" s="9" t="n">
        <v>12488081.54</v>
      </c>
      <c r="U574" s="7" t="inlineStr">
        <is>
          <t>DERIVED_IN_WORKBOOK</t>
        </is>
      </c>
      <c r="V574" s="8">
        <f>-SUMIFS(Cashflows!$W$1043:$W$1393,Cashflows!$B$1043:$B$1393,$C574,Cashflows!$C$1043:$C$1393,$K574)</f>
        <v/>
      </c>
      <c r="W574" s="8">
        <f>IF($G574="INR",1,INDEX(Market_Daily!$F$6:$F$256,MATCH($K574,Market_Daily!$A$6:$A$256,0)))</f>
        <v/>
      </c>
      <c r="X574" s="8">
        <f>$V574*$W574</f>
        <v/>
      </c>
      <c r="Y574" s="18">
        <f>$X574-$P574</f>
        <v/>
      </c>
      <c r="Z574" s="8">
        <f>IF(ABS($Y574)&lt;=tol_cashflow_inr,"PASS","FAIL")</f>
        <v/>
      </c>
      <c r="AA574" s="7" t="inlineStr">
        <is>
          <t>-d(lots x lot_kg x F(s) x mcx_al_margin_used_frac)</t>
        </is>
      </c>
    </row>
    <row r="575">
      <c r="A575" s="7" t="inlineStr">
        <is>
          <t>T05</t>
        </is>
      </c>
      <c r="B575" s="7" t="inlineStr">
        <is>
          <t>MCX:T05-MCX-1</t>
        </is>
      </c>
      <c r="C575" s="7" t="inlineStr">
        <is>
          <t>T05-MCX-1</t>
        </is>
      </c>
      <c r="D575" s="7" t="inlineStr">
        <is>
          <t>MCX_SLIPPAGE</t>
        </is>
      </c>
      <c r="E575" s="7" t="inlineStr">
        <is>
          <t>MCX_SLIPPAGE</t>
        </is>
      </c>
      <c r="F575" s="7" t="inlineStr">
        <is>
          <t>PNL</t>
        </is>
      </c>
      <c r="G575" s="7" t="inlineStr">
        <is>
          <t>INR</t>
        </is>
      </c>
      <c r="H575" s="11" t="n">
        <v>44701</v>
      </c>
      <c r="J575" s="11" t="n">
        <v>44701</v>
      </c>
      <c r="K575" s="11" t="n">
        <v>44701</v>
      </c>
      <c r="L575" s="7" t="inlineStr">
        <is>
          <t>roll following on the LME panel calendar</t>
        </is>
      </c>
      <c r="N575" s="7" t="inlineStr">
        <is>
          <t>ASSUMPTION</t>
        </is>
      </c>
      <c r="O575" s="9" t="n">
        <v>-52500</v>
      </c>
      <c r="P575" s="9" t="n">
        <v>-52500</v>
      </c>
      <c r="U575" s="7" t="inlineStr">
        <is>
          <t>DERIVED_IN_WORKBOOK</t>
        </is>
      </c>
      <c r="V575" s="8">
        <f>SUMIFS(Cashflows!$Z$1043:$Z$1393,Cashflows!$B$1043:$B$1393,$C575,Cashflows!$C$1043:$C$1393,$K575)</f>
        <v/>
      </c>
      <c r="W575" s="8">
        <f>IF($G575="INR",1,INDEX(Market_Daily!$F$6:$F$256,MATCH($K575,Market_Daily!$A$6:$A$256,0)))</f>
        <v/>
      </c>
      <c r="X575" s="8">
        <f>$V575*$W575</f>
        <v/>
      </c>
      <c r="Y575" s="18">
        <f>$X575-$P575</f>
        <v/>
      </c>
      <c r="Z575" s="8">
        <f>IF(ABS($Y575)&lt;=tol_cashflow_inr,"PASS","FAIL")</f>
        <v/>
      </c>
      <c r="AA575" s="7" t="inlineStr">
        <is>
          <t>-lots x lot_kg x mcx_slippage_ticks x tick</t>
        </is>
      </c>
    </row>
    <row r="576">
      <c r="A576" s="7" t="inlineStr">
        <is>
          <t>T05</t>
        </is>
      </c>
      <c r="B576" s="7" t="inlineStr">
        <is>
          <t>MCX:T05-MCX-1</t>
        </is>
      </c>
      <c r="C576" s="7" t="inlineStr">
        <is>
          <t>T05-MCX-1</t>
        </is>
      </c>
      <c r="D576" s="7" t="inlineStr">
        <is>
          <t>MCX_TRANSACTION_COST</t>
        </is>
      </c>
      <c r="E576" s="7" t="inlineStr">
        <is>
          <t>MCX_TRANSACTION_COST</t>
        </is>
      </c>
      <c r="F576" s="7" t="inlineStr">
        <is>
          <t>PNL</t>
        </is>
      </c>
      <c r="G576" s="7" t="inlineStr">
        <is>
          <t>INR</t>
        </is>
      </c>
      <c r="H576" s="11" t="n">
        <v>44701</v>
      </c>
      <c r="I576" s="11" t="n">
        <v>44701</v>
      </c>
      <c r="J576" s="11" t="n">
        <v>44701</v>
      </c>
      <c r="K576" s="11" t="n">
        <v>44701</v>
      </c>
      <c r="L576" s="7" t="inlineStr">
        <is>
          <t>roll following on the LME panel calendar</t>
        </is>
      </c>
      <c r="N576" s="7" t="inlineStr">
        <is>
          <t>ASSUMPTION</t>
        </is>
      </c>
      <c r="O576" s="9" t="n">
        <v>-38888.97</v>
      </c>
      <c r="P576" s="9" t="n">
        <v>-38888.97</v>
      </c>
      <c r="U576" s="7" t="inlineStr">
        <is>
          <t>DERIVED_IN_WORKBOOK</t>
        </is>
      </c>
      <c r="V576" s="8">
        <f>SUMIFS(Cashflows!$AA$1043:$AA$1393,Cashflows!$B$1043:$B$1393,$C576,Cashflows!$C$1043:$C$1393,$K576)</f>
        <v/>
      </c>
      <c r="W576" s="8">
        <f>IF($G576="INR",1,INDEX(Market_Daily!$F$6:$F$256,MATCH($K576,Market_Daily!$A$6:$A$256,0)))</f>
        <v/>
      </c>
      <c r="X576" s="8">
        <f>$V576*$W576</f>
        <v/>
      </c>
      <c r="Y576" s="18">
        <f>$X576-$P576</f>
        <v/>
      </c>
      <c r="Z576" s="8">
        <f>IF(ABS($Y576)&lt;=tol_cashflow_inr,"PASS","FAIL")</f>
        <v/>
      </c>
      <c r="AA576" s="7" t="inlineStr">
        <is>
          <t>-lots x lot_kg x fill x mcx_txn_cost_frac</t>
        </is>
      </c>
    </row>
    <row r="577">
      <c r="A577" s="7" t="inlineStr">
        <is>
          <t>T05</t>
        </is>
      </c>
      <c r="B577" s="7" t="inlineStr">
        <is>
          <t>MCX:T05-MCX-1</t>
        </is>
      </c>
      <c r="C577" s="7" t="inlineStr">
        <is>
          <t>T05-MCX-1</t>
        </is>
      </c>
      <c r="D577" s="7" t="inlineStr">
        <is>
          <t>MCX_VARIATION_MARGIN</t>
        </is>
      </c>
      <c r="E577" s="7" t="inlineStr">
        <is>
          <t>MCX_VARIATION_MARGIN</t>
        </is>
      </c>
      <c r="F577" s="7" t="inlineStr">
        <is>
          <t>PNL</t>
        </is>
      </c>
      <c r="G577" s="7" t="inlineStr">
        <is>
          <t>INR</t>
        </is>
      </c>
      <c r="H577" s="11" t="n">
        <v>44672</v>
      </c>
      <c r="I577" s="11" t="n">
        <v>44701</v>
      </c>
      <c r="J577" s="11" t="n">
        <v>44701</v>
      </c>
      <c r="K577" s="11" t="n">
        <v>44701</v>
      </c>
      <c r="L577" s="7" t="inlineStr">
        <is>
          <t>roll following on the LME panel calendar</t>
        </is>
      </c>
      <c r="N577" s="7" t="inlineStr">
        <is>
          <t>PROXY</t>
        </is>
      </c>
      <c r="O577" s="9" t="n">
        <v>-4696568.17</v>
      </c>
      <c r="P577" s="9" t="n">
        <v>-4696568.17</v>
      </c>
      <c r="U577" s="7" t="inlineStr">
        <is>
          <t>DERIVED_IN_WORKBOOK</t>
        </is>
      </c>
      <c r="V577" s="8">
        <f>SUMIFS(Cashflows!$R$1043:$R$1393,Cashflows!$B$1043:$B$1393,$C577,Cashflows!$C$1043:$C$1393,$K577)</f>
        <v/>
      </c>
      <c r="W577" s="8">
        <f>IF($G577="INR",1,INDEX(Market_Daily!$F$6:$F$256,MATCH($K577,Market_Daily!$A$6:$A$256,0)))</f>
        <v/>
      </c>
      <c r="X577" s="8">
        <f>$V577*$W577</f>
        <v/>
      </c>
      <c r="Y577" s="18">
        <f>$X577-$P577</f>
        <v/>
      </c>
      <c r="Z577" s="8">
        <f>IF(ABS($Y577)&lt;=tol_cashflow_inr,"PASS","FAIL")</f>
        <v/>
      </c>
      <c r="AA577" s="7" t="inlineStr">
        <is>
          <t>direction x lots x lot_kg x (F(s) - F(s-1))</t>
        </is>
      </c>
    </row>
    <row r="578">
      <c r="A578" s="7" t="inlineStr">
        <is>
          <t>T05</t>
        </is>
      </c>
      <c r="B578" s="7" t="inlineStr">
        <is>
          <t>MCX:T05-MCX-2</t>
        </is>
      </c>
      <c r="C578" s="7" t="inlineStr">
        <is>
          <t>T05-MCX-2</t>
        </is>
      </c>
      <c r="D578" s="7" t="inlineStr">
        <is>
          <t>MCX_INITIAL_MARGIN</t>
        </is>
      </c>
      <c r="E578" s="7" t="inlineStr">
        <is>
          <t>MCX_INITIAL_MARGIN</t>
        </is>
      </c>
      <c r="F578" s="7" t="inlineStr">
        <is>
          <t>BS</t>
        </is>
      </c>
      <c r="G578" s="7" t="inlineStr">
        <is>
          <t>INR</t>
        </is>
      </c>
      <c r="H578" s="11" t="n">
        <v>44701</v>
      </c>
      <c r="I578" s="11" t="n">
        <v>44701</v>
      </c>
      <c r="J578" s="11" t="n">
        <v>44701</v>
      </c>
      <c r="K578" s="11" t="n">
        <v>44701</v>
      </c>
      <c r="L578" s="7" t="inlineStr">
        <is>
          <t>roll following on the LME panel calendar</t>
        </is>
      </c>
      <c r="N578" s="7" t="inlineStr">
        <is>
          <t>PROXY</t>
        </is>
      </c>
      <c r="O578" s="9" t="n">
        <v>-13008087.74</v>
      </c>
      <c r="P578" s="9" t="n">
        <v>-13008087.74</v>
      </c>
      <c r="U578" s="7" t="inlineStr">
        <is>
          <t>DERIVED_IN_WORKBOOK</t>
        </is>
      </c>
      <c r="V578" s="8">
        <f>-SUMIFS(Cashflows!$W$1043:$W$1393,Cashflows!$B$1043:$B$1393,$C578,Cashflows!$C$1043:$C$1393,$K578)</f>
        <v/>
      </c>
      <c r="W578" s="8">
        <f>IF($G578="INR",1,INDEX(Market_Daily!$F$6:$F$256,MATCH($K578,Market_Daily!$A$6:$A$256,0)))</f>
        <v/>
      </c>
      <c r="X578" s="8">
        <f>$V578*$W578</f>
        <v/>
      </c>
      <c r="Y578" s="18">
        <f>$X578-$P578</f>
        <v/>
      </c>
      <c r="Z578" s="8">
        <f>IF(ABS($Y578)&lt;=tol_cashflow_inr,"PASS","FAIL")</f>
        <v/>
      </c>
      <c r="AA578" s="7" t="inlineStr">
        <is>
          <t>-d(lots x lot_kg x F(s) x mcx_al_margin_used_frac)</t>
        </is>
      </c>
    </row>
    <row r="579">
      <c r="A579" s="7" t="inlineStr">
        <is>
          <t>T05</t>
        </is>
      </c>
      <c r="B579" s="7" t="inlineStr">
        <is>
          <t>MCX:T05-MCX-2</t>
        </is>
      </c>
      <c r="C579" s="7" t="inlineStr">
        <is>
          <t>T05-MCX-2</t>
        </is>
      </c>
      <c r="D579" s="7" t="inlineStr">
        <is>
          <t>MCX_SLIPPAGE</t>
        </is>
      </c>
      <c r="E579" s="7" t="inlineStr">
        <is>
          <t>MCX_SLIPPAGE</t>
        </is>
      </c>
      <c r="F579" s="7" t="inlineStr">
        <is>
          <t>PNL</t>
        </is>
      </c>
      <c r="G579" s="7" t="inlineStr">
        <is>
          <t>INR</t>
        </is>
      </c>
      <c r="H579" s="11" t="n">
        <v>44701</v>
      </c>
      <c r="J579" s="11" t="n">
        <v>44701</v>
      </c>
      <c r="K579" s="11" t="n">
        <v>44701</v>
      </c>
      <c r="L579" s="7" t="inlineStr">
        <is>
          <t>roll following on the LME panel calendar</t>
        </is>
      </c>
      <c r="N579" s="7" t="inlineStr">
        <is>
          <t>ASSUMPTION</t>
        </is>
      </c>
      <c r="O579" s="9" t="n">
        <v>-52500</v>
      </c>
      <c r="P579" s="9" t="n">
        <v>-52500</v>
      </c>
      <c r="U579" s="7" t="inlineStr">
        <is>
          <t>DERIVED_IN_WORKBOOK</t>
        </is>
      </c>
      <c r="V579" s="8">
        <f>SUMIFS(Cashflows!$Z$1043:$Z$1393,Cashflows!$B$1043:$B$1393,$C579,Cashflows!$C$1043:$C$1393,$K579)</f>
        <v/>
      </c>
      <c r="W579" s="8">
        <f>IF($G579="INR",1,INDEX(Market_Daily!$F$6:$F$256,MATCH($K579,Market_Daily!$A$6:$A$256,0)))</f>
        <v/>
      </c>
      <c r="X579" s="8">
        <f>$V579*$W579</f>
        <v/>
      </c>
      <c r="Y579" s="18">
        <f>$X579-$P579</f>
        <v/>
      </c>
      <c r="Z579" s="8">
        <f>IF(ABS($Y579)&lt;=tol_cashflow_inr,"PASS","FAIL")</f>
        <v/>
      </c>
      <c r="AA579" s="7" t="inlineStr">
        <is>
          <t>-lots x lot_kg x mcx_slippage_ticks x tick</t>
        </is>
      </c>
    </row>
    <row r="580">
      <c r="A580" s="7" t="inlineStr">
        <is>
          <t>T05</t>
        </is>
      </c>
      <c r="B580" s="7" t="inlineStr">
        <is>
          <t>MCX:T05-MCX-2</t>
        </is>
      </c>
      <c r="C580" s="7" t="inlineStr">
        <is>
          <t>T05-MCX-2</t>
        </is>
      </c>
      <c r="D580" s="7" t="inlineStr">
        <is>
          <t>MCX_TRANSACTION_COST</t>
        </is>
      </c>
      <c r="E580" s="7" t="inlineStr">
        <is>
          <t>MCX_TRANSACTION_COST</t>
        </is>
      </c>
      <c r="F580" s="7" t="inlineStr">
        <is>
          <t>PNL</t>
        </is>
      </c>
      <c r="G580" s="7" t="inlineStr">
        <is>
          <t>INR</t>
        </is>
      </c>
      <c r="H580" s="11" t="n">
        <v>44701</v>
      </c>
      <c r="I580" s="11" t="n">
        <v>44701</v>
      </c>
      <c r="J580" s="11" t="n">
        <v>44701</v>
      </c>
      <c r="K580" s="11" t="n">
        <v>44701</v>
      </c>
      <c r="L580" s="7" t="inlineStr">
        <is>
          <t>roll following on the LME panel calendar</t>
        </is>
      </c>
      <c r="N580" s="7" t="inlineStr">
        <is>
          <t>ASSUMPTION</t>
        </is>
      </c>
      <c r="O580" s="9" t="n">
        <v>-39008.51</v>
      </c>
      <c r="P580" s="9" t="n">
        <v>-39008.51</v>
      </c>
      <c r="U580" s="7" t="inlineStr">
        <is>
          <t>DERIVED_IN_WORKBOOK</t>
        </is>
      </c>
      <c r="V580" s="8">
        <f>SUMIFS(Cashflows!$AA$1043:$AA$1393,Cashflows!$B$1043:$B$1393,$C580,Cashflows!$C$1043:$C$1393,$K580)</f>
        <v/>
      </c>
      <c r="W580" s="8">
        <f>IF($G580="INR",1,INDEX(Market_Daily!$F$6:$F$256,MATCH($K580,Market_Daily!$A$6:$A$256,0)))</f>
        <v/>
      </c>
      <c r="X580" s="8">
        <f>$V580*$W580</f>
        <v/>
      </c>
      <c r="Y580" s="18">
        <f>$X580-$P580</f>
        <v/>
      </c>
      <c r="Z580" s="8">
        <f>IF(ABS($Y580)&lt;=tol_cashflow_inr,"PASS","FAIL")</f>
        <v/>
      </c>
      <c r="AA580" s="7" t="inlineStr">
        <is>
          <t>-lots x lot_kg x fill x mcx_txn_cost_frac</t>
        </is>
      </c>
    </row>
    <row r="581">
      <c r="A581" s="7" t="inlineStr">
        <is>
          <t>T05</t>
        </is>
      </c>
      <c r="B581" s="7" t="inlineStr">
        <is>
          <t>MCX:T05-MCX-2</t>
        </is>
      </c>
      <c r="C581" s="7" t="inlineStr">
        <is>
          <t>T05-MCX-2</t>
        </is>
      </c>
      <c r="D581" s="7" t="inlineStr">
        <is>
          <t>MCX_VARIATION_MARGIN</t>
        </is>
      </c>
      <c r="E581" s="7" t="inlineStr">
        <is>
          <t>MCX_VARIATION_MARGIN</t>
        </is>
      </c>
      <c r="F581" s="7" t="inlineStr">
        <is>
          <t>PNL</t>
        </is>
      </c>
      <c r="G581" s="7" t="inlineStr">
        <is>
          <t>INR</t>
        </is>
      </c>
      <c r="H581" s="11" t="n">
        <v>44701</v>
      </c>
      <c r="I581" s="11" t="n">
        <v>44701</v>
      </c>
      <c r="J581" s="11" t="n">
        <v>44701</v>
      </c>
      <c r="K581" s="11" t="n">
        <v>44701</v>
      </c>
      <c r="L581" s="7" t="inlineStr">
        <is>
          <t>roll following on the LME panel calendar</t>
        </is>
      </c>
      <c r="N581" s="7" t="inlineStr">
        <is>
          <t>PROXY</t>
        </is>
      </c>
      <c r="O581" s="9" t="n">
        <v>-0</v>
      </c>
      <c r="P581" s="9" t="n">
        <v>-0</v>
      </c>
      <c r="U581" s="7" t="inlineStr">
        <is>
          <t>DERIVED_IN_WORKBOOK</t>
        </is>
      </c>
      <c r="V581" s="8">
        <f>SUMIFS(Cashflows!$R$1043:$R$1393,Cashflows!$B$1043:$B$1393,$C581,Cashflows!$C$1043:$C$1393,$K581)</f>
        <v/>
      </c>
      <c r="W581" s="8">
        <f>IF($G581="INR",1,INDEX(Market_Daily!$F$6:$F$256,MATCH($K581,Market_Daily!$A$6:$A$256,0)))</f>
        <v/>
      </c>
      <c r="X581" s="8">
        <f>$V581*$W581</f>
        <v/>
      </c>
      <c r="Y581" s="18">
        <f>$X581-$P581</f>
        <v/>
      </c>
      <c r="Z581" s="8">
        <f>IF(ABS($Y581)&lt;=tol_cashflow_inr,"PASS","FAIL")</f>
        <v/>
      </c>
      <c r="AA581" s="7" t="inlineStr">
        <is>
          <t>direction x lots x lot_kg x (F(entry) - entry settle) = 0 by construction</t>
        </is>
      </c>
    </row>
    <row r="582">
      <c r="A582" s="7" t="inlineStr">
        <is>
          <t>T05</t>
        </is>
      </c>
      <c r="B582" s="7" t="inlineStr">
        <is>
          <t>MCX:T05-MCX-2</t>
        </is>
      </c>
      <c r="C582" s="7" t="inlineStr">
        <is>
          <t>T05-MCX-2</t>
        </is>
      </c>
      <c r="D582" s="7" t="inlineStr">
        <is>
          <t>MCX_INITIAL_MARGIN</t>
        </is>
      </c>
      <c r="E582" s="7" t="inlineStr">
        <is>
          <t>MCX_INITIAL_MARGIN</t>
        </is>
      </c>
      <c r="F582" s="7" t="inlineStr">
        <is>
          <t>BS</t>
        </is>
      </c>
      <c r="G582" s="7" t="inlineStr">
        <is>
          <t>INR</t>
        </is>
      </c>
      <c r="H582" s="11" t="n">
        <v>44701</v>
      </c>
      <c r="I582" s="11" t="n">
        <v>44704</v>
      </c>
      <c r="J582" s="11" t="n">
        <v>44704</v>
      </c>
      <c r="K582" s="11" t="n">
        <v>44704</v>
      </c>
      <c r="L582" s="7" t="inlineStr">
        <is>
          <t>roll following on the LME panel calendar</t>
        </is>
      </c>
      <c r="N582" s="7" t="inlineStr">
        <is>
          <t>PROXY</t>
        </is>
      </c>
      <c r="O582" s="9" t="n">
        <v>-118010.57</v>
      </c>
      <c r="P582" s="9" t="n">
        <v>-118010.57</v>
      </c>
      <c r="U582" s="7" t="inlineStr">
        <is>
          <t>DERIVED_IN_WORKBOOK</t>
        </is>
      </c>
      <c r="V582" s="8">
        <f>-SUMIFS(Cashflows!$W$1043:$W$1393,Cashflows!$B$1043:$B$1393,$C582,Cashflows!$C$1043:$C$1393,$K582)</f>
        <v/>
      </c>
      <c r="W582" s="8">
        <f>IF($G582="INR",1,INDEX(Market_Daily!$F$6:$F$256,MATCH($K582,Market_Daily!$A$6:$A$256,0)))</f>
        <v/>
      </c>
      <c r="X582" s="8">
        <f>$V582*$W582</f>
        <v/>
      </c>
      <c r="Y582" s="18">
        <f>$X582-$P582</f>
        <v/>
      </c>
      <c r="Z582" s="8">
        <f>IF(ABS($Y582)&lt;=tol_cashflow_inr,"PASS","FAIL")</f>
        <v/>
      </c>
      <c r="AA582" s="7" t="inlineStr">
        <is>
          <t>-d(lots x lot_kg x F(s) x mcx_al_margin_used_frac)</t>
        </is>
      </c>
    </row>
    <row r="583">
      <c r="A583" s="7" t="inlineStr">
        <is>
          <t>T05</t>
        </is>
      </c>
      <c r="B583" s="7" t="inlineStr">
        <is>
          <t>MCX:T05-MCX-2</t>
        </is>
      </c>
      <c r="C583" s="7" t="inlineStr">
        <is>
          <t>T05-MCX-2</t>
        </is>
      </c>
      <c r="D583" s="7" t="inlineStr">
        <is>
          <t>MCX_VARIATION_MARGIN</t>
        </is>
      </c>
      <c r="E583" s="7" t="inlineStr">
        <is>
          <t>MCX_VARIATION_MARGIN</t>
        </is>
      </c>
      <c r="F583" s="7" t="inlineStr">
        <is>
          <t>PNL</t>
        </is>
      </c>
      <c r="G583" s="7" t="inlineStr">
        <is>
          <t>INR</t>
        </is>
      </c>
      <c r="H583" s="11" t="n">
        <v>44701</v>
      </c>
      <c r="I583" s="11" t="n">
        <v>44704</v>
      </c>
      <c r="J583" s="11" t="n">
        <v>44704</v>
      </c>
      <c r="K583" s="11" t="n">
        <v>44704</v>
      </c>
      <c r="L583" s="7" t="inlineStr">
        <is>
          <t>roll following on the LME panel calendar</t>
        </is>
      </c>
      <c r="N583" s="7" t="inlineStr">
        <is>
          <t>PROXY</t>
        </is>
      </c>
      <c r="O583" s="9" t="n">
        <v>-1180105.68</v>
      </c>
      <c r="P583" s="9" t="n">
        <v>-1180105.68</v>
      </c>
      <c r="U583" s="7" t="inlineStr">
        <is>
          <t>DERIVED_IN_WORKBOOK</t>
        </is>
      </c>
      <c r="V583" s="8">
        <f>SUMIFS(Cashflows!$R$1043:$R$1393,Cashflows!$B$1043:$B$1393,$C583,Cashflows!$C$1043:$C$1393,$K583)</f>
        <v/>
      </c>
      <c r="W583" s="8">
        <f>IF($G583="INR",1,INDEX(Market_Daily!$F$6:$F$256,MATCH($K583,Market_Daily!$A$6:$A$256,0)))</f>
        <v/>
      </c>
      <c r="X583" s="8">
        <f>$V583*$W583</f>
        <v/>
      </c>
      <c r="Y583" s="18">
        <f>$X583-$P583</f>
        <v/>
      </c>
      <c r="Z583" s="8">
        <f>IF(ABS($Y583)&lt;=tol_cashflow_inr,"PASS","FAIL")</f>
        <v/>
      </c>
      <c r="AA583" s="7" t="inlineStr">
        <is>
          <t>direction x lots x lot_kg x (F(s) - F(s-1))</t>
        </is>
      </c>
    </row>
    <row r="584">
      <c r="A584" s="7" t="inlineStr">
        <is>
          <t>T05</t>
        </is>
      </c>
      <c r="B584" s="7" t="inlineStr">
        <is>
          <t>MCX:T05-MCX-2</t>
        </is>
      </c>
      <c r="C584" s="7" t="inlineStr">
        <is>
          <t>T05-MCX-2</t>
        </is>
      </c>
      <c r="D584" s="7" t="inlineStr">
        <is>
          <t>MCX_INITIAL_MARGIN</t>
        </is>
      </c>
      <c r="E584" s="7" t="inlineStr">
        <is>
          <t>MCX_INITIAL_MARGIN</t>
        </is>
      </c>
      <c r="F584" s="7" t="inlineStr">
        <is>
          <t>BS</t>
        </is>
      </c>
      <c r="G584" s="7" t="inlineStr">
        <is>
          <t>INR</t>
        </is>
      </c>
      <c r="H584" s="11" t="n">
        <v>44701</v>
      </c>
      <c r="I584" s="11" t="n">
        <v>44705</v>
      </c>
      <c r="J584" s="11" t="n">
        <v>44705</v>
      </c>
      <c r="K584" s="11" t="n">
        <v>44705</v>
      </c>
      <c r="L584" s="7" t="inlineStr">
        <is>
          <t>roll following on the LME panel calendar</t>
        </is>
      </c>
      <c r="N584" s="7" t="inlineStr">
        <is>
          <t>PROXY</t>
        </is>
      </c>
      <c r="O584" s="9" t="n">
        <v>359955.59</v>
      </c>
      <c r="P584" s="9" t="n">
        <v>359955.59</v>
      </c>
      <c r="U584" s="7" t="inlineStr">
        <is>
          <t>DERIVED_IN_WORKBOOK</t>
        </is>
      </c>
      <c r="V584" s="8">
        <f>-SUMIFS(Cashflows!$W$1043:$W$1393,Cashflows!$B$1043:$B$1393,$C584,Cashflows!$C$1043:$C$1393,$K584)</f>
        <v/>
      </c>
      <c r="W584" s="8">
        <f>IF($G584="INR",1,INDEX(Market_Daily!$F$6:$F$256,MATCH($K584,Market_Daily!$A$6:$A$256,0)))</f>
        <v/>
      </c>
      <c r="X584" s="8">
        <f>$V584*$W584</f>
        <v/>
      </c>
      <c r="Y584" s="18">
        <f>$X584-$P584</f>
        <v/>
      </c>
      <c r="Z584" s="8">
        <f>IF(ABS($Y584)&lt;=tol_cashflow_inr,"PASS","FAIL")</f>
        <v/>
      </c>
      <c r="AA584" s="7" t="inlineStr">
        <is>
          <t>-d(lots x lot_kg x F(s) x mcx_al_margin_used_frac)</t>
        </is>
      </c>
    </row>
    <row r="585">
      <c r="A585" s="7" t="inlineStr">
        <is>
          <t>T05</t>
        </is>
      </c>
      <c r="B585" s="7" t="inlineStr">
        <is>
          <t>MCX:T05-MCX-2</t>
        </is>
      </c>
      <c r="C585" s="7" t="inlineStr">
        <is>
          <t>T05-MCX-2</t>
        </is>
      </c>
      <c r="D585" s="7" t="inlineStr">
        <is>
          <t>MCX_VARIATION_MARGIN</t>
        </is>
      </c>
      <c r="E585" s="7" t="inlineStr">
        <is>
          <t>MCX_VARIATION_MARGIN</t>
        </is>
      </c>
      <c r="F585" s="7" t="inlineStr">
        <is>
          <t>PNL</t>
        </is>
      </c>
      <c r="G585" s="7" t="inlineStr">
        <is>
          <t>INR</t>
        </is>
      </c>
      <c r="H585" s="11" t="n">
        <v>44701</v>
      </c>
      <c r="I585" s="11" t="n">
        <v>44705</v>
      </c>
      <c r="J585" s="11" t="n">
        <v>44705</v>
      </c>
      <c r="K585" s="11" t="n">
        <v>44705</v>
      </c>
      <c r="L585" s="7" t="inlineStr">
        <is>
          <t>roll following on the LME panel calendar</t>
        </is>
      </c>
      <c r="N585" s="7" t="inlineStr">
        <is>
          <t>PROXY</t>
        </is>
      </c>
      <c r="O585" s="9" t="n">
        <v>3599555.89</v>
      </c>
      <c r="P585" s="9" t="n">
        <v>3599555.89</v>
      </c>
      <c r="U585" s="7" t="inlineStr">
        <is>
          <t>DERIVED_IN_WORKBOOK</t>
        </is>
      </c>
      <c r="V585" s="8">
        <f>SUMIFS(Cashflows!$R$1043:$R$1393,Cashflows!$B$1043:$B$1393,$C585,Cashflows!$C$1043:$C$1393,$K585)</f>
        <v/>
      </c>
      <c r="W585" s="8">
        <f>IF($G585="INR",1,INDEX(Market_Daily!$F$6:$F$256,MATCH($K585,Market_Daily!$A$6:$A$256,0)))</f>
        <v/>
      </c>
      <c r="X585" s="8">
        <f>$V585*$W585</f>
        <v/>
      </c>
      <c r="Y585" s="18">
        <f>$X585-$P585</f>
        <v/>
      </c>
      <c r="Z585" s="8">
        <f>IF(ABS($Y585)&lt;=tol_cashflow_inr,"PASS","FAIL")</f>
        <v/>
      </c>
      <c r="AA585" s="7" t="inlineStr">
        <is>
          <t>direction x lots x lot_kg x (F(s) - F(s-1))</t>
        </is>
      </c>
    </row>
    <row r="586">
      <c r="A586" s="7" t="inlineStr">
        <is>
          <t>T05</t>
        </is>
      </c>
      <c r="B586" s="7" t="inlineStr">
        <is>
          <t>LC_USANCE_FEE:L2</t>
        </is>
      </c>
      <c r="C586" s="7" t="inlineStr">
        <is>
          <t>L2</t>
        </is>
      </c>
      <c r="D586" s="7" t="inlineStr">
        <is>
          <t>LC_USANCE_FEE</t>
        </is>
      </c>
      <c r="E586" s="7" t="inlineStr">
        <is>
          <t>LC_USANCE_FEE</t>
        </is>
      </c>
      <c r="F586" s="7" t="inlineStr">
        <is>
          <t>PNL</t>
        </is>
      </c>
      <c r="G586" s="7" t="inlineStr">
        <is>
          <t>USD</t>
        </is>
      </c>
      <c r="H586" s="11" t="n">
        <v>44672</v>
      </c>
      <c r="I586" s="11" t="n">
        <v>44706</v>
      </c>
      <c r="J586" s="11" t="n">
        <v>44706</v>
      </c>
      <c r="K586" s="11" t="n">
        <v>44706</v>
      </c>
      <c r="L586" s="7" t="inlineStr">
        <is>
          <t>roll following on the LME panel calendar</t>
        </is>
      </c>
      <c r="N586" s="7" t="inlineStr">
        <is>
          <t>DIRECT</t>
        </is>
      </c>
      <c r="O586" s="9" t="n">
        <v>-2789.08</v>
      </c>
      <c r="P586" s="9" t="n">
        <v>-216369.53</v>
      </c>
      <c r="U586" s="7" t="inlineStr">
        <is>
          <t>PYTHON_LIFECYCLE</t>
        </is>
      </c>
      <c r="V586" s="8">
        <f>$O586</f>
        <v/>
      </c>
      <c r="W586" s="8">
        <f>IF($G586="INR",1,INDEX(Market_Daily!$F$6:$F$256,MATCH($K586,Market_Daily!$A$6:$A$256,0)))</f>
        <v/>
      </c>
      <c r="X586" s="8">
        <f>$V586*$W586</f>
        <v/>
      </c>
      <c r="Y586" s="18">
        <f>$X586-$P586</f>
        <v/>
      </c>
      <c r="Z586" s="8">
        <f>IF(ABS($Y586)&lt;=tol_cashflow_inr,"PASS","FAIL")</f>
        <v/>
      </c>
      <c r="AA586" s="7" t="inlineStr">
        <is>
          <t>-lc_usance_fee_frac_per_month x ceil(usance/30) x bill_usd</t>
        </is>
      </c>
    </row>
    <row r="587">
      <c r="A587" s="7" t="inlineStr">
        <is>
          <t>T05</t>
        </is>
      </c>
      <c r="B587" s="7" t="inlineStr">
        <is>
          <t>MCX:T05-MCX-2</t>
        </is>
      </c>
      <c r="C587" s="7" t="inlineStr">
        <is>
          <t>T05-MCX-2</t>
        </is>
      </c>
      <c r="D587" s="7" t="inlineStr">
        <is>
          <t>MCX_INITIAL_MARGIN</t>
        </is>
      </c>
      <c r="E587" s="7" t="inlineStr">
        <is>
          <t>MCX_INITIAL_MARGIN</t>
        </is>
      </c>
      <c r="F587" s="7" t="inlineStr">
        <is>
          <t>BS</t>
        </is>
      </c>
      <c r="G587" s="7" t="inlineStr">
        <is>
          <t>INR</t>
        </is>
      </c>
      <c r="H587" s="11" t="n">
        <v>44701</v>
      </c>
      <c r="I587" s="11" t="n">
        <v>44706</v>
      </c>
      <c r="J587" s="11" t="n">
        <v>44706</v>
      </c>
      <c r="K587" s="11" t="n">
        <v>44706</v>
      </c>
      <c r="L587" s="7" t="inlineStr">
        <is>
          <t>roll following on the LME panel calendar</t>
        </is>
      </c>
      <c r="N587" s="7" t="inlineStr">
        <is>
          <t>PROXY</t>
        </is>
      </c>
      <c r="O587" s="9" t="n">
        <v>233118.43</v>
      </c>
      <c r="P587" s="9" t="n">
        <v>233118.43</v>
      </c>
      <c r="U587" s="7" t="inlineStr">
        <is>
          <t>DERIVED_IN_WORKBOOK</t>
        </is>
      </c>
      <c r="V587" s="8">
        <f>-SUMIFS(Cashflows!$W$1043:$W$1393,Cashflows!$B$1043:$B$1393,$C587,Cashflows!$C$1043:$C$1393,$K587)</f>
        <v/>
      </c>
      <c r="W587" s="8">
        <f>IF($G587="INR",1,INDEX(Market_Daily!$F$6:$F$256,MATCH($K587,Market_Daily!$A$6:$A$256,0)))</f>
        <v/>
      </c>
      <c r="X587" s="8">
        <f>$V587*$W587</f>
        <v/>
      </c>
      <c r="Y587" s="18">
        <f>$X587-$P587</f>
        <v/>
      </c>
      <c r="Z587" s="8">
        <f>IF(ABS($Y587)&lt;=tol_cashflow_inr,"PASS","FAIL")</f>
        <v/>
      </c>
      <c r="AA587" s="7" t="inlineStr">
        <is>
          <t>-d(lots x lot_kg x F(s) x mcx_al_margin_used_frac)</t>
        </is>
      </c>
    </row>
    <row r="588">
      <c r="A588" s="7" t="inlineStr">
        <is>
          <t>T05</t>
        </is>
      </c>
      <c r="B588" s="7" t="inlineStr">
        <is>
          <t>MCX:T05-MCX-2</t>
        </is>
      </c>
      <c r="C588" s="7" t="inlineStr">
        <is>
          <t>T05-MCX-2</t>
        </is>
      </c>
      <c r="D588" s="7" t="inlineStr">
        <is>
          <t>MCX_VARIATION_MARGIN</t>
        </is>
      </c>
      <c r="E588" s="7" t="inlineStr">
        <is>
          <t>MCX_VARIATION_MARGIN</t>
        </is>
      </c>
      <c r="F588" s="7" t="inlineStr">
        <is>
          <t>PNL</t>
        </is>
      </c>
      <c r="G588" s="7" t="inlineStr">
        <is>
          <t>INR</t>
        </is>
      </c>
      <c r="H588" s="11" t="n">
        <v>44701</v>
      </c>
      <c r="I588" s="11" t="n">
        <v>44706</v>
      </c>
      <c r="J588" s="11" t="n">
        <v>44706</v>
      </c>
      <c r="K588" s="11" t="n">
        <v>44706</v>
      </c>
      <c r="L588" s="7" t="inlineStr">
        <is>
          <t>roll following on the LME panel calendar</t>
        </is>
      </c>
      <c r="N588" s="7" t="inlineStr">
        <is>
          <t>PROXY</t>
        </is>
      </c>
      <c r="O588" s="9" t="n">
        <v>2331184.26</v>
      </c>
      <c r="P588" s="9" t="n">
        <v>2331184.26</v>
      </c>
      <c r="U588" s="7" t="inlineStr">
        <is>
          <t>DERIVED_IN_WORKBOOK</t>
        </is>
      </c>
      <c r="V588" s="8">
        <f>SUMIFS(Cashflows!$R$1043:$R$1393,Cashflows!$B$1043:$B$1393,$C588,Cashflows!$C$1043:$C$1393,$K588)</f>
        <v/>
      </c>
      <c r="W588" s="8">
        <f>IF($G588="INR",1,INDEX(Market_Daily!$F$6:$F$256,MATCH($K588,Market_Daily!$A$6:$A$256,0)))</f>
        <v/>
      </c>
      <c r="X588" s="8">
        <f>$V588*$W588</f>
        <v/>
      </c>
      <c r="Y588" s="18">
        <f>$X588-$P588</f>
        <v/>
      </c>
      <c r="Z588" s="8">
        <f>IF(ABS($Y588)&lt;=tol_cashflow_inr,"PASS","FAIL")</f>
        <v/>
      </c>
      <c r="AA588" s="7" t="inlineStr">
        <is>
          <t>direction x lots x lot_kg x (F(s) - F(s-1))</t>
        </is>
      </c>
    </row>
    <row r="589">
      <c r="A589" s="7" t="inlineStr">
        <is>
          <t>T05</t>
        </is>
      </c>
      <c r="B589" s="7" t="inlineStr">
        <is>
          <t>MCX:T05-MCX-2</t>
        </is>
      </c>
      <c r="C589" s="7" t="inlineStr">
        <is>
          <t>T05-MCX-2</t>
        </is>
      </c>
      <c r="D589" s="7" t="inlineStr">
        <is>
          <t>MCX_INITIAL_MARGIN</t>
        </is>
      </c>
      <c r="E589" s="7" t="inlineStr">
        <is>
          <t>MCX_INITIAL_MARGIN</t>
        </is>
      </c>
      <c r="F589" s="7" t="inlineStr">
        <is>
          <t>BS</t>
        </is>
      </c>
      <c r="G589" s="7" t="inlineStr">
        <is>
          <t>INR</t>
        </is>
      </c>
      <c r="H589" s="11" t="n">
        <v>44701</v>
      </c>
      <c r="I589" s="11" t="n">
        <v>44707</v>
      </c>
      <c r="J589" s="11" t="n">
        <v>44707</v>
      </c>
      <c r="K589" s="11" t="n">
        <v>44707</v>
      </c>
      <c r="L589" s="7" t="inlineStr">
        <is>
          <t>roll following on the LME panel calendar</t>
        </is>
      </c>
      <c r="N589" s="7" t="inlineStr">
        <is>
          <t>PROXY</t>
        </is>
      </c>
      <c r="O589" s="9" t="n">
        <v>16042.79</v>
      </c>
      <c r="P589" s="9" t="n">
        <v>16042.79</v>
      </c>
      <c r="U589" s="7" t="inlineStr">
        <is>
          <t>DERIVED_IN_WORKBOOK</t>
        </is>
      </c>
      <c r="V589" s="8">
        <f>-SUMIFS(Cashflows!$W$1043:$W$1393,Cashflows!$B$1043:$B$1393,$C589,Cashflows!$C$1043:$C$1393,$K589)</f>
        <v/>
      </c>
      <c r="W589" s="8">
        <f>IF($G589="INR",1,INDEX(Market_Daily!$F$6:$F$256,MATCH($K589,Market_Daily!$A$6:$A$256,0)))</f>
        <v/>
      </c>
      <c r="X589" s="8">
        <f>$V589*$W589</f>
        <v/>
      </c>
      <c r="Y589" s="18">
        <f>$X589-$P589</f>
        <v/>
      </c>
      <c r="Z589" s="8">
        <f>IF(ABS($Y589)&lt;=tol_cashflow_inr,"PASS","FAIL")</f>
        <v/>
      </c>
      <c r="AA589" s="7" t="inlineStr">
        <is>
          <t>-d(lots x lot_kg x F(s) x mcx_al_margin_used_frac)</t>
        </is>
      </c>
    </row>
    <row r="590">
      <c r="A590" s="7" t="inlineStr">
        <is>
          <t>T05</t>
        </is>
      </c>
      <c r="B590" s="7" t="inlineStr">
        <is>
          <t>MCX:T05-MCX-2</t>
        </is>
      </c>
      <c r="C590" s="7" t="inlineStr">
        <is>
          <t>T05-MCX-2</t>
        </is>
      </c>
      <c r="D590" s="7" t="inlineStr">
        <is>
          <t>MCX_VARIATION_MARGIN</t>
        </is>
      </c>
      <c r="E590" s="7" t="inlineStr">
        <is>
          <t>MCX_VARIATION_MARGIN</t>
        </is>
      </c>
      <c r="F590" s="7" t="inlineStr">
        <is>
          <t>PNL</t>
        </is>
      </c>
      <c r="G590" s="7" t="inlineStr">
        <is>
          <t>INR</t>
        </is>
      </c>
      <c r="H590" s="11" t="n">
        <v>44701</v>
      </c>
      <c r="I590" s="11" t="n">
        <v>44707</v>
      </c>
      <c r="J590" s="11" t="n">
        <v>44707</v>
      </c>
      <c r="K590" s="11" t="n">
        <v>44707</v>
      </c>
      <c r="L590" s="7" t="inlineStr">
        <is>
          <t>roll following on the LME panel calendar</t>
        </is>
      </c>
      <c r="N590" s="7" t="inlineStr">
        <is>
          <t>PROXY</t>
        </is>
      </c>
      <c r="O590" s="9" t="n">
        <v>160427.93</v>
      </c>
      <c r="P590" s="9" t="n">
        <v>160427.93</v>
      </c>
      <c r="U590" s="7" t="inlineStr">
        <is>
          <t>DERIVED_IN_WORKBOOK</t>
        </is>
      </c>
      <c r="V590" s="8">
        <f>SUMIFS(Cashflows!$R$1043:$R$1393,Cashflows!$B$1043:$B$1393,$C590,Cashflows!$C$1043:$C$1393,$K590)</f>
        <v/>
      </c>
      <c r="W590" s="8">
        <f>IF($G590="INR",1,INDEX(Market_Daily!$F$6:$F$256,MATCH($K590,Market_Daily!$A$6:$A$256,0)))</f>
        <v/>
      </c>
      <c r="X590" s="8">
        <f>$V590*$W590</f>
        <v/>
      </c>
      <c r="Y590" s="18">
        <f>$X590-$P590</f>
        <v/>
      </c>
      <c r="Z590" s="8">
        <f>IF(ABS($Y590)&lt;=tol_cashflow_inr,"PASS","FAIL")</f>
        <v/>
      </c>
      <c r="AA590" s="7" t="inlineStr">
        <is>
          <t>direction x lots x lot_kg x (F(s) - F(s-1))</t>
        </is>
      </c>
    </row>
    <row r="591">
      <c r="A591" s="7" t="inlineStr">
        <is>
          <t>T05</t>
        </is>
      </c>
      <c r="B591" s="7" t="inlineStr">
        <is>
          <t>MCX:T05-MCX-2</t>
        </is>
      </c>
      <c r="C591" s="7" t="inlineStr">
        <is>
          <t>T05-MCX-2</t>
        </is>
      </c>
      <c r="D591" s="7" t="inlineStr">
        <is>
          <t>MCX_INITIAL_MARGIN</t>
        </is>
      </c>
      <c r="E591" s="7" t="inlineStr">
        <is>
          <t>MCX_INITIAL_MARGIN</t>
        </is>
      </c>
      <c r="F591" s="7" t="inlineStr">
        <is>
          <t>BS</t>
        </is>
      </c>
      <c r="G591" s="7" t="inlineStr">
        <is>
          <t>INR</t>
        </is>
      </c>
      <c r="H591" s="11" t="n">
        <v>44701</v>
      </c>
      <c r="I591" s="11" t="n">
        <v>44708</v>
      </c>
      <c r="J591" s="11" t="n">
        <v>44708</v>
      </c>
      <c r="K591" s="11" t="n">
        <v>44708</v>
      </c>
      <c r="L591" s="7" t="inlineStr">
        <is>
          <t>roll following on the LME panel calendar</t>
        </is>
      </c>
      <c r="N591" s="7" t="inlineStr">
        <is>
          <t>PROXY</t>
        </is>
      </c>
      <c r="O591" s="9" t="n">
        <v>14043.38</v>
      </c>
      <c r="P591" s="9" t="n">
        <v>14043.38</v>
      </c>
      <c r="U591" s="7" t="inlineStr">
        <is>
          <t>DERIVED_IN_WORKBOOK</t>
        </is>
      </c>
      <c r="V591" s="8">
        <f>-SUMIFS(Cashflows!$W$1043:$W$1393,Cashflows!$B$1043:$B$1393,$C591,Cashflows!$C$1043:$C$1393,$K591)</f>
        <v/>
      </c>
      <c r="W591" s="8">
        <f>IF($G591="INR",1,INDEX(Market_Daily!$F$6:$F$256,MATCH($K591,Market_Daily!$A$6:$A$256,0)))</f>
        <v/>
      </c>
      <c r="X591" s="8">
        <f>$V591*$W591</f>
        <v/>
      </c>
      <c r="Y591" s="18">
        <f>$X591-$P591</f>
        <v/>
      </c>
      <c r="Z591" s="8">
        <f>IF(ABS($Y591)&lt;=tol_cashflow_inr,"PASS","FAIL")</f>
        <v/>
      </c>
      <c r="AA591" s="7" t="inlineStr">
        <is>
          <t>-d(lots x lot_kg x F(s) x mcx_al_margin_used_frac)</t>
        </is>
      </c>
    </row>
    <row r="592">
      <c r="A592" s="7" t="inlineStr">
        <is>
          <t>T05</t>
        </is>
      </c>
      <c r="B592" s="7" t="inlineStr">
        <is>
          <t>MCX:T05-MCX-2</t>
        </is>
      </c>
      <c r="C592" s="7" t="inlineStr">
        <is>
          <t>T05-MCX-2</t>
        </is>
      </c>
      <c r="D592" s="7" t="inlineStr">
        <is>
          <t>MCX_VARIATION_MARGIN</t>
        </is>
      </c>
      <c r="E592" s="7" t="inlineStr">
        <is>
          <t>MCX_VARIATION_MARGIN</t>
        </is>
      </c>
      <c r="F592" s="7" t="inlineStr">
        <is>
          <t>PNL</t>
        </is>
      </c>
      <c r="G592" s="7" t="inlineStr">
        <is>
          <t>INR</t>
        </is>
      </c>
      <c r="H592" s="11" t="n">
        <v>44701</v>
      </c>
      <c r="I592" s="11" t="n">
        <v>44708</v>
      </c>
      <c r="J592" s="11" t="n">
        <v>44708</v>
      </c>
      <c r="K592" s="11" t="n">
        <v>44708</v>
      </c>
      <c r="L592" s="7" t="inlineStr">
        <is>
          <t>roll following on the LME panel calendar</t>
        </is>
      </c>
      <c r="N592" s="7" t="inlineStr">
        <is>
          <t>PROXY</t>
        </is>
      </c>
      <c r="O592" s="9" t="n">
        <v>140433.8</v>
      </c>
      <c r="P592" s="9" t="n">
        <v>140433.8</v>
      </c>
      <c r="U592" s="7" t="inlineStr">
        <is>
          <t>DERIVED_IN_WORKBOOK</t>
        </is>
      </c>
      <c r="V592" s="8">
        <f>SUMIFS(Cashflows!$R$1043:$R$1393,Cashflows!$B$1043:$B$1393,$C592,Cashflows!$C$1043:$C$1393,$K592)</f>
        <v/>
      </c>
      <c r="W592" s="8">
        <f>IF($G592="INR",1,INDEX(Market_Daily!$F$6:$F$256,MATCH($K592,Market_Daily!$A$6:$A$256,0)))</f>
        <v/>
      </c>
      <c r="X592" s="8">
        <f>$V592*$W592</f>
        <v/>
      </c>
      <c r="Y592" s="18">
        <f>$X592-$P592</f>
        <v/>
      </c>
      <c r="Z592" s="8">
        <f>IF(ABS($Y592)&lt;=tol_cashflow_inr,"PASS","FAIL")</f>
        <v/>
      </c>
      <c r="AA592" s="7" t="inlineStr">
        <is>
          <t>direction x lots x lot_kg x (F(s) - F(s-1))</t>
        </is>
      </c>
    </row>
    <row r="593">
      <c r="A593" s="7" t="inlineStr">
        <is>
          <t>T05</t>
        </is>
      </c>
      <c r="B593" s="7" t="inlineStr">
        <is>
          <t>MCX:T05-MCX-2</t>
        </is>
      </c>
      <c r="C593" s="7" t="inlineStr">
        <is>
          <t>T05-MCX-2</t>
        </is>
      </c>
      <c r="D593" s="7" t="inlineStr">
        <is>
          <t>MCX_INITIAL_MARGIN</t>
        </is>
      </c>
      <c r="E593" s="7" t="inlineStr">
        <is>
          <t>MCX_INITIAL_MARGIN</t>
        </is>
      </c>
      <c r="F593" s="7" t="inlineStr">
        <is>
          <t>BS</t>
        </is>
      </c>
      <c r="G593" s="7" t="inlineStr">
        <is>
          <t>INR</t>
        </is>
      </c>
      <c r="H593" s="11" t="n">
        <v>44701</v>
      </c>
      <c r="I593" s="11" t="n">
        <v>44711</v>
      </c>
      <c r="J593" s="11" t="n">
        <v>44711</v>
      </c>
      <c r="K593" s="11" t="n">
        <v>44711</v>
      </c>
      <c r="L593" s="7" t="inlineStr">
        <is>
          <t>roll following on the LME panel calendar</t>
        </is>
      </c>
      <c r="N593" s="7" t="inlineStr">
        <is>
          <t>PROXY</t>
        </is>
      </c>
      <c r="O593" s="9" t="n">
        <v>-165825.62</v>
      </c>
      <c r="P593" s="9" t="n">
        <v>-165825.62</v>
      </c>
      <c r="U593" s="7" t="inlineStr">
        <is>
          <t>DERIVED_IN_WORKBOOK</t>
        </is>
      </c>
      <c r="V593" s="8">
        <f>-SUMIFS(Cashflows!$W$1043:$W$1393,Cashflows!$B$1043:$B$1393,$C593,Cashflows!$C$1043:$C$1393,$K593)</f>
        <v/>
      </c>
      <c r="W593" s="8">
        <f>IF($G593="INR",1,INDEX(Market_Daily!$F$6:$F$256,MATCH($K593,Market_Daily!$A$6:$A$256,0)))</f>
        <v/>
      </c>
      <c r="X593" s="8">
        <f>$V593*$W593</f>
        <v/>
      </c>
      <c r="Y593" s="18">
        <f>$X593-$P593</f>
        <v/>
      </c>
      <c r="Z593" s="8">
        <f>IF(ABS($Y593)&lt;=tol_cashflow_inr,"PASS","FAIL")</f>
        <v/>
      </c>
      <c r="AA593" s="7" t="inlineStr">
        <is>
          <t>-d(lots x lot_kg x F(s) x mcx_al_margin_used_frac)</t>
        </is>
      </c>
    </row>
    <row r="594">
      <c r="A594" s="7" t="inlineStr">
        <is>
          <t>T05</t>
        </is>
      </c>
      <c r="B594" s="7" t="inlineStr">
        <is>
          <t>MCX:T05-MCX-2</t>
        </is>
      </c>
      <c r="C594" s="7" t="inlineStr">
        <is>
          <t>T05-MCX-2</t>
        </is>
      </c>
      <c r="D594" s="7" t="inlineStr">
        <is>
          <t>MCX_VARIATION_MARGIN</t>
        </is>
      </c>
      <c r="E594" s="7" t="inlineStr">
        <is>
          <t>MCX_VARIATION_MARGIN</t>
        </is>
      </c>
      <c r="F594" s="7" t="inlineStr">
        <is>
          <t>PNL</t>
        </is>
      </c>
      <c r="G594" s="7" t="inlineStr">
        <is>
          <t>INR</t>
        </is>
      </c>
      <c r="H594" s="11" t="n">
        <v>44701</v>
      </c>
      <c r="I594" s="11" t="n">
        <v>44711</v>
      </c>
      <c r="J594" s="11" t="n">
        <v>44711</v>
      </c>
      <c r="K594" s="11" t="n">
        <v>44711</v>
      </c>
      <c r="L594" s="7" t="inlineStr">
        <is>
          <t>roll following on the LME panel calendar</t>
        </is>
      </c>
      <c r="N594" s="7" t="inlineStr">
        <is>
          <t>PROXY</t>
        </is>
      </c>
      <c r="O594" s="9" t="n">
        <v>-1658256.21</v>
      </c>
      <c r="P594" s="9" t="n">
        <v>-1658256.21</v>
      </c>
      <c r="U594" s="7" t="inlineStr">
        <is>
          <t>DERIVED_IN_WORKBOOK</t>
        </is>
      </c>
      <c r="V594" s="8">
        <f>SUMIFS(Cashflows!$R$1043:$R$1393,Cashflows!$B$1043:$B$1393,$C594,Cashflows!$C$1043:$C$1393,$K594)</f>
        <v/>
      </c>
      <c r="W594" s="8">
        <f>IF($G594="INR",1,INDEX(Market_Daily!$F$6:$F$256,MATCH($K594,Market_Daily!$A$6:$A$256,0)))</f>
        <v/>
      </c>
      <c r="X594" s="8">
        <f>$V594*$W594</f>
        <v/>
      </c>
      <c r="Y594" s="18">
        <f>$X594-$P594</f>
        <v/>
      </c>
      <c r="Z594" s="8">
        <f>IF(ABS($Y594)&lt;=tol_cashflow_inr,"PASS","FAIL")</f>
        <v/>
      </c>
      <c r="AA594" s="7" t="inlineStr">
        <is>
          <t>direction x lots x lot_kg x (F(s) - F(s-1))</t>
        </is>
      </c>
    </row>
    <row r="595">
      <c r="A595" s="7" t="inlineStr">
        <is>
          <t>T05</t>
        </is>
      </c>
      <c r="B595" s="7" t="inlineStr">
        <is>
          <t>MCX:T05-MCX-2</t>
        </is>
      </c>
      <c r="C595" s="7" t="inlineStr">
        <is>
          <t>T05-MCX-2</t>
        </is>
      </c>
      <c r="D595" s="7" t="inlineStr">
        <is>
          <t>MCX_INITIAL_MARGIN</t>
        </is>
      </c>
      <c r="E595" s="7" t="inlineStr">
        <is>
          <t>MCX_INITIAL_MARGIN</t>
        </is>
      </c>
      <c r="F595" s="7" t="inlineStr">
        <is>
          <t>BS</t>
        </is>
      </c>
      <c r="G595" s="7" t="inlineStr">
        <is>
          <t>INR</t>
        </is>
      </c>
      <c r="H595" s="11" t="n">
        <v>44701</v>
      </c>
      <c r="I595" s="11" t="n">
        <v>44712</v>
      </c>
      <c r="J595" s="11" t="n">
        <v>44712</v>
      </c>
      <c r="K595" s="11" t="n">
        <v>44712</v>
      </c>
      <c r="L595" s="7" t="inlineStr">
        <is>
          <t>roll following on the LME panel calendar</t>
        </is>
      </c>
      <c r="N595" s="7" t="inlineStr">
        <is>
          <t>PROXY</t>
        </is>
      </c>
      <c r="O595" s="9" t="n">
        <v>184651.09</v>
      </c>
      <c r="P595" s="9" t="n">
        <v>184651.09</v>
      </c>
      <c r="U595" s="7" t="inlineStr">
        <is>
          <t>DERIVED_IN_WORKBOOK</t>
        </is>
      </c>
      <c r="V595" s="8">
        <f>-SUMIFS(Cashflows!$W$1043:$W$1393,Cashflows!$B$1043:$B$1393,$C595,Cashflows!$C$1043:$C$1393,$K595)</f>
        <v/>
      </c>
      <c r="W595" s="8">
        <f>IF($G595="INR",1,INDEX(Market_Daily!$F$6:$F$256,MATCH($K595,Market_Daily!$A$6:$A$256,0)))</f>
        <v/>
      </c>
      <c r="X595" s="8">
        <f>$V595*$W595</f>
        <v/>
      </c>
      <c r="Y595" s="18">
        <f>$X595-$P595</f>
        <v/>
      </c>
      <c r="Z595" s="8">
        <f>IF(ABS($Y595)&lt;=tol_cashflow_inr,"PASS","FAIL")</f>
        <v/>
      </c>
      <c r="AA595" s="7" t="inlineStr">
        <is>
          <t>-d(lots x lot_kg x F(s) x mcx_al_margin_used_frac)</t>
        </is>
      </c>
    </row>
    <row r="596">
      <c r="A596" s="7" t="inlineStr">
        <is>
          <t>T05</t>
        </is>
      </c>
      <c r="B596" s="7" t="inlineStr">
        <is>
          <t>MCX:T05-MCX-2</t>
        </is>
      </c>
      <c r="C596" s="7" t="inlineStr">
        <is>
          <t>T05-MCX-2</t>
        </is>
      </c>
      <c r="D596" s="7" t="inlineStr">
        <is>
          <t>MCX_VARIATION_MARGIN</t>
        </is>
      </c>
      <c r="E596" s="7" t="inlineStr">
        <is>
          <t>MCX_VARIATION_MARGIN</t>
        </is>
      </c>
      <c r="F596" s="7" t="inlineStr">
        <is>
          <t>PNL</t>
        </is>
      </c>
      <c r="G596" s="7" t="inlineStr">
        <is>
          <t>INR</t>
        </is>
      </c>
      <c r="H596" s="11" t="n">
        <v>44701</v>
      </c>
      <c r="I596" s="11" t="n">
        <v>44712</v>
      </c>
      <c r="J596" s="11" t="n">
        <v>44712</v>
      </c>
      <c r="K596" s="11" t="n">
        <v>44712</v>
      </c>
      <c r="L596" s="7" t="inlineStr">
        <is>
          <t>roll following on the LME panel calendar</t>
        </is>
      </c>
      <c r="N596" s="7" t="inlineStr">
        <is>
          <t>PROXY</t>
        </is>
      </c>
      <c r="O596" s="9" t="n">
        <v>1846510.88</v>
      </c>
      <c r="P596" s="9" t="n">
        <v>1846510.88</v>
      </c>
      <c r="U596" s="7" t="inlineStr">
        <is>
          <t>DERIVED_IN_WORKBOOK</t>
        </is>
      </c>
      <c r="V596" s="8">
        <f>SUMIFS(Cashflows!$R$1043:$R$1393,Cashflows!$B$1043:$B$1393,$C596,Cashflows!$C$1043:$C$1393,$K596)</f>
        <v/>
      </c>
      <c r="W596" s="8">
        <f>IF($G596="INR",1,INDEX(Market_Daily!$F$6:$F$256,MATCH($K596,Market_Daily!$A$6:$A$256,0)))</f>
        <v/>
      </c>
      <c r="X596" s="8">
        <f>$V596*$W596</f>
        <v/>
      </c>
      <c r="Y596" s="18">
        <f>$X596-$P596</f>
        <v/>
      </c>
      <c r="Z596" s="8">
        <f>IF(ABS($Y596)&lt;=tol_cashflow_inr,"PASS","FAIL")</f>
        <v/>
      </c>
      <c r="AA596" s="7" t="inlineStr">
        <is>
          <t>direction x lots x lot_kg x (F(s) - F(s-1))</t>
        </is>
      </c>
    </row>
    <row r="597">
      <c r="A597" s="7" t="inlineStr">
        <is>
          <t>T05</t>
        </is>
      </c>
      <c r="B597" s="7" t="inlineStr">
        <is>
          <t>MCX:T05-MCX-2</t>
        </is>
      </c>
      <c r="C597" s="7" t="inlineStr">
        <is>
          <t>T05-MCX-2</t>
        </is>
      </c>
      <c r="D597" s="7" t="inlineStr">
        <is>
          <t>MCX_INITIAL_MARGIN</t>
        </is>
      </c>
      <c r="E597" s="7" t="inlineStr">
        <is>
          <t>MCX_INITIAL_MARGIN</t>
        </is>
      </c>
      <c r="F597" s="7" t="inlineStr">
        <is>
          <t>BS</t>
        </is>
      </c>
      <c r="G597" s="7" t="inlineStr">
        <is>
          <t>INR</t>
        </is>
      </c>
      <c r="H597" s="11" t="n">
        <v>44701</v>
      </c>
      <c r="I597" s="11" t="n">
        <v>44713</v>
      </c>
      <c r="J597" s="11" t="n">
        <v>44713</v>
      </c>
      <c r="K597" s="11" t="n">
        <v>44713</v>
      </c>
      <c r="L597" s="7" t="inlineStr">
        <is>
          <t>roll following on the LME panel calendar</t>
        </is>
      </c>
      <c r="N597" s="7" t="inlineStr">
        <is>
          <t>PROXY</t>
        </is>
      </c>
      <c r="O597" s="9" t="n">
        <v>536947.42</v>
      </c>
      <c r="P597" s="9" t="n">
        <v>536947.42</v>
      </c>
      <c r="U597" s="7" t="inlineStr">
        <is>
          <t>DERIVED_IN_WORKBOOK</t>
        </is>
      </c>
      <c r="V597" s="8">
        <f>-SUMIFS(Cashflows!$W$1043:$W$1393,Cashflows!$B$1043:$B$1393,$C597,Cashflows!$C$1043:$C$1393,$K597)</f>
        <v/>
      </c>
      <c r="W597" s="8">
        <f>IF($G597="INR",1,INDEX(Market_Daily!$F$6:$F$256,MATCH($K597,Market_Daily!$A$6:$A$256,0)))</f>
        <v/>
      </c>
      <c r="X597" s="8">
        <f>$V597*$W597</f>
        <v/>
      </c>
      <c r="Y597" s="18">
        <f>$X597-$P597</f>
        <v/>
      </c>
      <c r="Z597" s="8">
        <f>IF(ABS($Y597)&lt;=tol_cashflow_inr,"PASS","FAIL")</f>
        <v/>
      </c>
      <c r="AA597" s="7" t="inlineStr">
        <is>
          <t>-d(lots x lot_kg x F(s) x mcx_al_margin_used_frac)</t>
        </is>
      </c>
    </row>
    <row r="598">
      <c r="A598" s="7" t="inlineStr">
        <is>
          <t>T05</t>
        </is>
      </c>
      <c r="B598" s="7" t="inlineStr">
        <is>
          <t>MCX:T05-MCX-2</t>
        </is>
      </c>
      <c r="C598" s="7" t="inlineStr">
        <is>
          <t>T05-MCX-2</t>
        </is>
      </c>
      <c r="D598" s="7" t="inlineStr">
        <is>
          <t>MCX_VARIATION_MARGIN</t>
        </is>
      </c>
      <c r="E598" s="7" t="inlineStr">
        <is>
          <t>MCX_VARIATION_MARGIN</t>
        </is>
      </c>
      <c r="F598" s="7" t="inlineStr">
        <is>
          <t>PNL</t>
        </is>
      </c>
      <c r="G598" s="7" t="inlineStr">
        <is>
          <t>INR</t>
        </is>
      </c>
      <c r="H598" s="11" t="n">
        <v>44701</v>
      </c>
      <c r="I598" s="11" t="n">
        <v>44713</v>
      </c>
      <c r="J598" s="11" t="n">
        <v>44713</v>
      </c>
      <c r="K598" s="11" t="n">
        <v>44713</v>
      </c>
      <c r="L598" s="7" t="inlineStr">
        <is>
          <t>roll following on the LME panel calendar</t>
        </is>
      </c>
      <c r="N598" s="7" t="inlineStr">
        <is>
          <t>PROXY</t>
        </is>
      </c>
      <c r="O598" s="9" t="n">
        <v>5369474.21</v>
      </c>
      <c r="P598" s="9" t="n">
        <v>5369474.21</v>
      </c>
      <c r="U598" s="7" t="inlineStr">
        <is>
          <t>DERIVED_IN_WORKBOOK</t>
        </is>
      </c>
      <c r="V598" s="8">
        <f>SUMIFS(Cashflows!$R$1043:$R$1393,Cashflows!$B$1043:$B$1393,$C598,Cashflows!$C$1043:$C$1393,$K598)</f>
        <v/>
      </c>
      <c r="W598" s="8">
        <f>IF($G598="INR",1,INDEX(Market_Daily!$F$6:$F$256,MATCH($K598,Market_Daily!$A$6:$A$256,0)))</f>
        <v/>
      </c>
      <c r="X598" s="8">
        <f>$V598*$W598</f>
        <v/>
      </c>
      <c r="Y598" s="18">
        <f>$X598-$P598</f>
        <v/>
      </c>
      <c r="Z598" s="8">
        <f>IF(ABS($Y598)&lt;=tol_cashflow_inr,"PASS","FAIL")</f>
        <v/>
      </c>
      <c r="AA598" s="7" t="inlineStr">
        <is>
          <t>direction x lots x lot_kg x (F(s) - F(s-1))</t>
        </is>
      </c>
    </row>
    <row r="599">
      <c r="A599" s="7" t="inlineStr">
        <is>
          <t>T05</t>
        </is>
      </c>
      <c r="B599" s="7" t="inlineStr">
        <is>
          <t>MCX:T05-MCX-2</t>
        </is>
      </c>
      <c r="C599" s="7" t="inlineStr">
        <is>
          <t>T05-MCX-2</t>
        </is>
      </c>
      <c r="D599" s="7" t="inlineStr">
        <is>
          <t>MCX_INITIAL_MARGIN</t>
        </is>
      </c>
      <c r="E599" s="7" t="inlineStr">
        <is>
          <t>MCX_INITIAL_MARGIN</t>
        </is>
      </c>
      <c r="F599" s="7" t="inlineStr">
        <is>
          <t>BS</t>
        </is>
      </c>
      <c r="G599" s="7" t="inlineStr">
        <is>
          <t>INR</t>
        </is>
      </c>
      <c r="H599" s="11" t="n">
        <v>44701</v>
      </c>
      <c r="I599" s="11" t="n">
        <v>44718</v>
      </c>
      <c r="J599" s="11" t="n">
        <v>44718</v>
      </c>
      <c r="K599" s="11" t="n">
        <v>44718</v>
      </c>
      <c r="L599" s="7" t="inlineStr">
        <is>
          <t>roll following on the LME panel calendar</t>
        </is>
      </c>
      <c r="N599" s="7" t="inlineStr">
        <is>
          <t>PROXY</t>
        </is>
      </c>
      <c r="O599" s="9" t="n">
        <v>-183884.8</v>
      </c>
      <c r="P599" s="9" t="n">
        <v>-183884.8</v>
      </c>
      <c r="U599" s="7" t="inlineStr">
        <is>
          <t>DERIVED_IN_WORKBOOK</t>
        </is>
      </c>
      <c r="V599" s="8">
        <f>-SUMIFS(Cashflows!$W$1043:$W$1393,Cashflows!$B$1043:$B$1393,$C599,Cashflows!$C$1043:$C$1393,$K599)</f>
        <v/>
      </c>
      <c r="W599" s="8">
        <f>IF($G599="INR",1,INDEX(Market_Daily!$F$6:$F$256,MATCH($K599,Market_Daily!$A$6:$A$256,0)))</f>
        <v/>
      </c>
      <c r="X599" s="8">
        <f>$V599*$W599</f>
        <v/>
      </c>
      <c r="Y599" s="18">
        <f>$X599-$P599</f>
        <v/>
      </c>
      <c r="Z599" s="8">
        <f>IF(ABS($Y599)&lt;=tol_cashflow_inr,"PASS","FAIL")</f>
        <v/>
      </c>
      <c r="AA599" s="7" t="inlineStr">
        <is>
          <t>-d(lots x lot_kg x F(s) x mcx_al_margin_used_frac)</t>
        </is>
      </c>
    </row>
    <row r="600">
      <c r="A600" s="7" t="inlineStr">
        <is>
          <t>T05</t>
        </is>
      </c>
      <c r="B600" s="7" t="inlineStr">
        <is>
          <t>MCX:T05-MCX-2</t>
        </is>
      </c>
      <c r="C600" s="7" t="inlineStr">
        <is>
          <t>T05-MCX-2</t>
        </is>
      </c>
      <c r="D600" s="7" t="inlineStr">
        <is>
          <t>MCX_VARIATION_MARGIN</t>
        </is>
      </c>
      <c r="E600" s="7" t="inlineStr">
        <is>
          <t>MCX_VARIATION_MARGIN</t>
        </is>
      </c>
      <c r="F600" s="7" t="inlineStr">
        <is>
          <t>PNL</t>
        </is>
      </c>
      <c r="G600" s="7" t="inlineStr">
        <is>
          <t>INR</t>
        </is>
      </c>
      <c r="H600" s="11" t="n">
        <v>44701</v>
      </c>
      <c r="I600" s="11" t="n">
        <v>44718</v>
      </c>
      <c r="J600" s="11" t="n">
        <v>44718</v>
      </c>
      <c r="K600" s="11" t="n">
        <v>44718</v>
      </c>
      <c r="L600" s="7" t="inlineStr">
        <is>
          <t>roll following on the LME panel calendar</t>
        </is>
      </c>
      <c r="N600" s="7" t="inlineStr">
        <is>
          <t>PROXY</t>
        </is>
      </c>
      <c r="O600" s="9" t="n">
        <v>-1838847.95</v>
      </c>
      <c r="P600" s="9" t="n">
        <v>-1838847.95</v>
      </c>
      <c r="U600" s="7" t="inlineStr">
        <is>
          <t>DERIVED_IN_WORKBOOK</t>
        </is>
      </c>
      <c r="V600" s="8">
        <f>SUMIFS(Cashflows!$R$1043:$R$1393,Cashflows!$B$1043:$B$1393,$C600,Cashflows!$C$1043:$C$1393,$K600)</f>
        <v/>
      </c>
      <c r="W600" s="8">
        <f>IF($G600="INR",1,INDEX(Market_Daily!$F$6:$F$256,MATCH($K600,Market_Daily!$A$6:$A$256,0)))</f>
        <v/>
      </c>
      <c r="X600" s="8">
        <f>$V600*$W600</f>
        <v/>
      </c>
      <c r="Y600" s="18">
        <f>$X600-$P600</f>
        <v/>
      </c>
      <c r="Z600" s="8">
        <f>IF(ABS($Y600)&lt;=tol_cashflow_inr,"PASS","FAIL")</f>
        <v/>
      </c>
      <c r="AA600" s="7" t="inlineStr">
        <is>
          <t>direction x lots x lot_kg x (F(s) - F(s-1))</t>
        </is>
      </c>
    </row>
    <row r="601">
      <c r="A601" s="7" t="inlineStr">
        <is>
          <t>T05</t>
        </is>
      </c>
      <c r="B601" s="7" t="inlineStr">
        <is>
          <t>MCX:T05-MCX-2</t>
        </is>
      </c>
      <c r="C601" s="7" t="inlineStr">
        <is>
          <t>T05-MCX-2</t>
        </is>
      </c>
      <c r="D601" s="7" t="inlineStr">
        <is>
          <t>MCX_INITIAL_MARGIN</t>
        </is>
      </c>
      <c r="E601" s="7" t="inlineStr">
        <is>
          <t>MCX_INITIAL_MARGIN</t>
        </is>
      </c>
      <c r="F601" s="7" t="inlineStr">
        <is>
          <t>BS</t>
        </is>
      </c>
      <c r="G601" s="7" t="inlineStr">
        <is>
          <t>INR</t>
        </is>
      </c>
      <c r="H601" s="11" t="n">
        <v>44701</v>
      </c>
      <c r="I601" s="11" t="n">
        <v>44719</v>
      </c>
      <c r="J601" s="11" t="n">
        <v>44719</v>
      </c>
      <c r="K601" s="11" t="n">
        <v>44719</v>
      </c>
      <c r="L601" s="7" t="inlineStr">
        <is>
          <t>roll following on the LME panel calendar</t>
        </is>
      </c>
      <c r="N601" s="7" t="inlineStr">
        <is>
          <t>PROXY</t>
        </is>
      </c>
      <c r="O601" s="9" t="n">
        <v>102884.91</v>
      </c>
      <c r="P601" s="9" t="n">
        <v>102884.91</v>
      </c>
      <c r="U601" s="7" t="inlineStr">
        <is>
          <t>DERIVED_IN_WORKBOOK</t>
        </is>
      </c>
      <c r="V601" s="8">
        <f>-SUMIFS(Cashflows!$W$1043:$W$1393,Cashflows!$B$1043:$B$1393,$C601,Cashflows!$C$1043:$C$1393,$K601)</f>
        <v/>
      </c>
      <c r="W601" s="8">
        <f>IF($G601="INR",1,INDEX(Market_Daily!$F$6:$F$256,MATCH($K601,Market_Daily!$A$6:$A$256,0)))</f>
        <v/>
      </c>
      <c r="X601" s="8">
        <f>$V601*$W601</f>
        <v/>
      </c>
      <c r="Y601" s="18">
        <f>$X601-$P601</f>
        <v/>
      </c>
      <c r="Z601" s="8">
        <f>IF(ABS($Y601)&lt;=tol_cashflow_inr,"PASS","FAIL")</f>
        <v/>
      </c>
      <c r="AA601" s="7" t="inlineStr">
        <is>
          <t>-d(lots x lot_kg x F(s) x mcx_al_margin_used_frac)</t>
        </is>
      </c>
    </row>
    <row r="602">
      <c r="A602" s="7" t="inlineStr">
        <is>
          <t>T05</t>
        </is>
      </c>
      <c r="B602" s="7" t="inlineStr">
        <is>
          <t>MCX:T05-MCX-2</t>
        </is>
      </c>
      <c r="C602" s="7" t="inlineStr">
        <is>
          <t>T05-MCX-2</t>
        </is>
      </c>
      <c r="D602" s="7" t="inlineStr">
        <is>
          <t>MCX_VARIATION_MARGIN</t>
        </is>
      </c>
      <c r="E602" s="7" t="inlineStr">
        <is>
          <t>MCX_VARIATION_MARGIN</t>
        </is>
      </c>
      <c r="F602" s="7" t="inlineStr">
        <is>
          <t>PNL</t>
        </is>
      </c>
      <c r="G602" s="7" t="inlineStr">
        <is>
          <t>INR</t>
        </is>
      </c>
      <c r="H602" s="11" t="n">
        <v>44701</v>
      </c>
      <c r="I602" s="11" t="n">
        <v>44719</v>
      </c>
      <c r="J602" s="11" t="n">
        <v>44719</v>
      </c>
      <c r="K602" s="11" t="n">
        <v>44719</v>
      </c>
      <c r="L602" s="7" t="inlineStr">
        <is>
          <t>roll following on the LME panel calendar</t>
        </is>
      </c>
      <c r="N602" s="7" t="inlineStr">
        <is>
          <t>PROXY</t>
        </is>
      </c>
      <c r="O602" s="9" t="n">
        <v>1028849.07</v>
      </c>
      <c r="P602" s="9" t="n">
        <v>1028849.07</v>
      </c>
      <c r="U602" s="7" t="inlineStr">
        <is>
          <t>DERIVED_IN_WORKBOOK</t>
        </is>
      </c>
      <c r="V602" s="8">
        <f>SUMIFS(Cashflows!$R$1043:$R$1393,Cashflows!$B$1043:$B$1393,$C602,Cashflows!$C$1043:$C$1393,$K602)</f>
        <v/>
      </c>
      <c r="W602" s="8">
        <f>IF($G602="INR",1,INDEX(Market_Daily!$F$6:$F$256,MATCH($K602,Market_Daily!$A$6:$A$256,0)))</f>
        <v/>
      </c>
      <c r="X602" s="8">
        <f>$V602*$W602</f>
        <v/>
      </c>
      <c r="Y602" s="18">
        <f>$X602-$P602</f>
        <v/>
      </c>
      <c r="Z602" s="8">
        <f>IF(ABS($Y602)&lt;=tol_cashflow_inr,"PASS","FAIL")</f>
        <v/>
      </c>
      <c r="AA602" s="7" t="inlineStr">
        <is>
          <t>direction x lots x lot_kg x (F(s) - F(s-1))</t>
        </is>
      </c>
    </row>
    <row r="603">
      <c r="A603" s="7" t="inlineStr">
        <is>
          <t>T05</t>
        </is>
      </c>
      <c r="B603" s="7" t="inlineStr">
        <is>
          <t>MCX:T05-MCX-2</t>
        </is>
      </c>
      <c r="C603" s="7" t="inlineStr">
        <is>
          <t>T05-MCX-2</t>
        </is>
      </c>
      <c r="D603" s="7" t="inlineStr">
        <is>
          <t>MCX_INITIAL_MARGIN</t>
        </is>
      </c>
      <c r="E603" s="7" t="inlineStr">
        <is>
          <t>MCX_INITIAL_MARGIN</t>
        </is>
      </c>
      <c r="F603" s="7" t="inlineStr">
        <is>
          <t>BS</t>
        </is>
      </c>
      <c r="G603" s="7" t="inlineStr">
        <is>
          <t>INR</t>
        </is>
      </c>
      <c r="H603" s="11" t="n">
        <v>44701</v>
      </c>
      <c r="I603" s="11" t="n">
        <v>44720</v>
      </c>
      <c r="J603" s="11" t="n">
        <v>44720</v>
      </c>
      <c r="K603" s="11" t="n">
        <v>44720</v>
      </c>
      <c r="L603" s="7" t="inlineStr">
        <is>
          <t>roll following on the LME panel calendar</t>
        </is>
      </c>
      <c r="N603" s="7" t="inlineStr">
        <is>
          <t>PROXY</t>
        </is>
      </c>
      <c r="O603" s="9" t="n">
        <v>-217422.15</v>
      </c>
      <c r="P603" s="9" t="n">
        <v>-217422.15</v>
      </c>
      <c r="U603" s="7" t="inlineStr">
        <is>
          <t>DERIVED_IN_WORKBOOK</t>
        </is>
      </c>
      <c r="V603" s="8">
        <f>-SUMIFS(Cashflows!$W$1043:$W$1393,Cashflows!$B$1043:$B$1393,$C603,Cashflows!$C$1043:$C$1393,$K603)</f>
        <v/>
      </c>
      <c r="W603" s="8">
        <f>IF($G603="INR",1,INDEX(Market_Daily!$F$6:$F$256,MATCH($K603,Market_Daily!$A$6:$A$256,0)))</f>
        <v/>
      </c>
      <c r="X603" s="8">
        <f>$V603*$W603</f>
        <v/>
      </c>
      <c r="Y603" s="18">
        <f>$X603-$P603</f>
        <v/>
      </c>
      <c r="Z603" s="8">
        <f>IF(ABS($Y603)&lt;=tol_cashflow_inr,"PASS","FAIL")</f>
        <v/>
      </c>
      <c r="AA603" s="7" t="inlineStr">
        <is>
          <t>-d(lots x lot_kg x F(s) x mcx_al_margin_used_frac)</t>
        </is>
      </c>
    </row>
    <row r="604">
      <c r="A604" s="7" t="inlineStr">
        <is>
          <t>T05</t>
        </is>
      </c>
      <c r="B604" s="7" t="inlineStr">
        <is>
          <t>MCX:T05-MCX-2</t>
        </is>
      </c>
      <c r="C604" s="7" t="inlineStr">
        <is>
          <t>T05-MCX-2</t>
        </is>
      </c>
      <c r="D604" s="7" t="inlineStr">
        <is>
          <t>MCX_VARIATION_MARGIN</t>
        </is>
      </c>
      <c r="E604" s="7" t="inlineStr">
        <is>
          <t>MCX_VARIATION_MARGIN</t>
        </is>
      </c>
      <c r="F604" s="7" t="inlineStr">
        <is>
          <t>PNL</t>
        </is>
      </c>
      <c r="G604" s="7" t="inlineStr">
        <is>
          <t>INR</t>
        </is>
      </c>
      <c r="H604" s="11" t="n">
        <v>44701</v>
      </c>
      <c r="I604" s="11" t="n">
        <v>44720</v>
      </c>
      <c r="J604" s="11" t="n">
        <v>44720</v>
      </c>
      <c r="K604" s="11" t="n">
        <v>44720</v>
      </c>
      <c r="L604" s="7" t="inlineStr">
        <is>
          <t>roll following on the LME panel calendar</t>
        </is>
      </c>
      <c r="N604" s="7" t="inlineStr">
        <is>
          <t>PROXY</t>
        </is>
      </c>
      <c r="O604" s="9" t="n">
        <v>-2174221.46</v>
      </c>
      <c r="P604" s="9" t="n">
        <v>-2174221.46</v>
      </c>
      <c r="U604" s="7" t="inlineStr">
        <is>
          <t>DERIVED_IN_WORKBOOK</t>
        </is>
      </c>
      <c r="V604" s="8">
        <f>SUMIFS(Cashflows!$R$1043:$R$1393,Cashflows!$B$1043:$B$1393,$C604,Cashflows!$C$1043:$C$1393,$K604)</f>
        <v/>
      </c>
      <c r="W604" s="8">
        <f>IF($G604="INR",1,INDEX(Market_Daily!$F$6:$F$256,MATCH($K604,Market_Daily!$A$6:$A$256,0)))</f>
        <v/>
      </c>
      <c r="X604" s="8">
        <f>$V604*$W604</f>
        <v/>
      </c>
      <c r="Y604" s="18">
        <f>$X604-$P604</f>
        <v/>
      </c>
      <c r="Z604" s="8">
        <f>IF(ABS($Y604)&lt;=tol_cashflow_inr,"PASS","FAIL")</f>
        <v/>
      </c>
      <c r="AA604" s="7" t="inlineStr">
        <is>
          <t>direction x lots x lot_kg x (F(s) - F(s-1))</t>
        </is>
      </c>
    </row>
    <row r="605">
      <c r="A605" s="7" t="inlineStr">
        <is>
          <t>T05</t>
        </is>
      </c>
      <c r="B605" s="7" t="inlineStr">
        <is>
          <t>MCX:T05-MCX-2</t>
        </is>
      </c>
      <c r="C605" s="7" t="inlineStr">
        <is>
          <t>T05-MCX-2</t>
        </is>
      </c>
      <c r="D605" s="7" t="inlineStr">
        <is>
          <t>MCX_INITIAL_MARGIN</t>
        </is>
      </c>
      <c r="E605" s="7" t="inlineStr">
        <is>
          <t>MCX_INITIAL_MARGIN</t>
        </is>
      </c>
      <c r="F605" s="7" t="inlineStr">
        <is>
          <t>BS</t>
        </is>
      </c>
      <c r="G605" s="7" t="inlineStr">
        <is>
          <t>INR</t>
        </is>
      </c>
      <c r="H605" s="11" t="n">
        <v>44701</v>
      </c>
      <c r="I605" s="11" t="n">
        <v>44721</v>
      </c>
      <c r="J605" s="11" t="n">
        <v>44721</v>
      </c>
      <c r="K605" s="11" t="n">
        <v>44721</v>
      </c>
      <c r="L605" s="7" t="inlineStr">
        <is>
          <t>roll following on the LME panel calendar</t>
        </is>
      </c>
      <c r="N605" s="7" t="inlineStr">
        <is>
          <t>PROXY</t>
        </is>
      </c>
      <c r="O605" s="9" t="n">
        <v>47461.25</v>
      </c>
      <c r="P605" s="9" t="n">
        <v>47461.25</v>
      </c>
      <c r="U605" s="7" t="inlineStr">
        <is>
          <t>DERIVED_IN_WORKBOOK</t>
        </is>
      </c>
      <c r="V605" s="8">
        <f>-SUMIFS(Cashflows!$W$1043:$W$1393,Cashflows!$B$1043:$B$1393,$C605,Cashflows!$C$1043:$C$1393,$K605)</f>
        <v/>
      </c>
      <c r="W605" s="8">
        <f>IF($G605="INR",1,INDEX(Market_Daily!$F$6:$F$256,MATCH($K605,Market_Daily!$A$6:$A$256,0)))</f>
        <v/>
      </c>
      <c r="X605" s="8">
        <f>$V605*$W605</f>
        <v/>
      </c>
      <c r="Y605" s="18">
        <f>$X605-$P605</f>
        <v/>
      </c>
      <c r="Z605" s="8">
        <f>IF(ABS($Y605)&lt;=tol_cashflow_inr,"PASS","FAIL")</f>
        <v/>
      </c>
      <c r="AA605" s="7" t="inlineStr">
        <is>
          <t>-d(lots x lot_kg x F(s) x mcx_al_margin_used_frac)</t>
        </is>
      </c>
    </row>
    <row r="606">
      <c r="A606" s="7" t="inlineStr">
        <is>
          <t>T05</t>
        </is>
      </c>
      <c r="B606" s="7" t="inlineStr">
        <is>
          <t>MCX:T05-MCX-2</t>
        </is>
      </c>
      <c r="C606" s="7" t="inlineStr">
        <is>
          <t>T05-MCX-2</t>
        </is>
      </c>
      <c r="D606" s="7" t="inlineStr">
        <is>
          <t>MCX_VARIATION_MARGIN</t>
        </is>
      </c>
      <c r="E606" s="7" t="inlineStr">
        <is>
          <t>MCX_VARIATION_MARGIN</t>
        </is>
      </c>
      <c r="F606" s="7" t="inlineStr">
        <is>
          <t>PNL</t>
        </is>
      </c>
      <c r="G606" s="7" t="inlineStr">
        <is>
          <t>INR</t>
        </is>
      </c>
      <c r="H606" s="11" t="n">
        <v>44701</v>
      </c>
      <c r="I606" s="11" t="n">
        <v>44721</v>
      </c>
      <c r="J606" s="11" t="n">
        <v>44721</v>
      </c>
      <c r="K606" s="11" t="n">
        <v>44721</v>
      </c>
      <c r="L606" s="7" t="inlineStr">
        <is>
          <t>roll following on the LME panel calendar</t>
        </is>
      </c>
      <c r="N606" s="7" t="inlineStr">
        <is>
          <t>PROXY</t>
        </is>
      </c>
      <c r="O606" s="9" t="n">
        <v>474612.5</v>
      </c>
      <c r="P606" s="9" t="n">
        <v>474612.5</v>
      </c>
      <c r="U606" s="7" t="inlineStr">
        <is>
          <t>DERIVED_IN_WORKBOOK</t>
        </is>
      </c>
      <c r="V606" s="8">
        <f>SUMIFS(Cashflows!$R$1043:$R$1393,Cashflows!$B$1043:$B$1393,$C606,Cashflows!$C$1043:$C$1393,$K606)</f>
        <v/>
      </c>
      <c r="W606" s="8">
        <f>IF($G606="INR",1,INDEX(Market_Daily!$F$6:$F$256,MATCH($K606,Market_Daily!$A$6:$A$256,0)))</f>
        <v/>
      </c>
      <c r="X606" s="8">
        <f>$V606*$W606</f>
        <v/>
      </c>
      <c r="Y606" s="18">
        <f>$X606-$P606</f>
        <v/>
      </c>
      <c r="Z606" s="8">
        <f>IF(ABS($Y606)&lt;=tol_cashflow_inr,"PASS","FAIL")</f>
        <v/>
      </c>
      <c r="AA606" s="7" t="inlineStr">
        <is>
          <t>direction x lots x lot_kg x (F(s) - F(s-1))</t>
        </is>
      </c>
    </row>
    <row r="607">
      <c r="A607" s="7" t="inlineStr">
        <is>
          <t>T05</t>
        </is>
      </c>
      <c r="B607" s="7" t="inlineStr">
        <is>
          <t>MCX:T05-MCX-2</t>
        </is>
      </c>
      <c r="C607" s="7" t="inlineStr">
        <is>
          <t>T05-MCX-2</t>
        </is>
      </c>
      <c r="D607" s="7" t="inlineStr">
        <is>
          <t>MCX_INITIAL_MARGIN</t>
        </is>
      </c>
      <c r="E607" s="7" t="inlineStr">
        <is>
          <t>MCX_INITIAL_MARGIN</t>
        </is>
      </c>
      <c r="F607" s="7" t="inlineStr">
        <is>
          <t>BS</t>
        </is>
      </c>
      <c r="G607" s="7" t="inlineStr">
        <is>
          <t>INR</t>
        </is>
      </c>
      <c r="H607" s="11" t="n">
        <v>44701</v>
      </c>
      <c r="I607" s="11" t="n">
        <v>44722</v>
      </c>
      <c r="J607" s="11" t="n">
        <v>44722</v>
      </c>
      <c r="K607" s="11" t="n">
        <v>44722</v>
      </c>
      <c r="L607" s="7" t="inlineStr">
        <is>
          <t>roll following on the LME panel calendar</t>
        </is>
      </c>
      <c r="N607" s="7" t="inlineStr">
        <is>
          <t>PROXY</t>
        </is>
      </c>
      <c r="O607" s="9" t="n">
        <v>243088.73</v>
      </c>
      <c r="P607" s="9" t="n">
        <v>243088.73</v>
      </c>
      <c r="U607" s="7" t="inlineStr">
        <is>
          <t>DERIVED_IN_WORKBOOK</t>
        </is>
      </c>
      <c r="V607" s="8">
        <f>-SUMIFS(Cashflows!$W$1043:$W$1393,Cashflows!$B$1043:$B$1393,$C607,Cashflows!$C$1043:$C$1393,$K607)</f>
        <v/>
      </c>
      <c r="W607" s="8">
        <f>IF($G607="INR",1,INDEX(Market_Daily!$F$6:$F$256,MATCH($K607,Market_Daily!$A$6:$A$256,0)))</f>
        <v/>
      </c>
      <c r="X607" s="8">
        <f>$V607*$W607</f>
        <v/>
      </c>
      <c r="Y607" s="18">
        <f>$X607-$P607</f>
        <v/>
      </c>
      <c r="Z607" s="8">
        <f>IF(ABS($Y607)&lt;=tol_cashflow_inr,"PASS","FAIL")</f>
        <v/>
      </c>
      <c r="AA607" s="7" t="inlineStr">
        <is>
          <t>-d(lots x lot_kg x F(s) x mcx_al_margin_used_frac)</t>
        </is>
      </c>
    </row>
    <row r="608">
      <c r="A608" s="7" t="inlineStr">
        <is>
          <t>T05</t>
        </is>
      </c>
      <c r="B608" s="7" t="inlineStr">
        <is>
          <t>MCX:T05-MCX-2</t>
        </is>
      </c>
      <c r="C608" s="7" t="inlineStr">
        <is>
          <t>T05-MCX-2</t>
        </is>
      </c>
      <c r="D608" s="7" t="inlineStr">
        <is>
          <t>MCX_VARIATION_MARGIN</t>
        </is>
      </c>
      <c r="E608" s="7" t="inlineStr">
        <is>
          <t>MCX_VARIATION_MARGIN</t>
        </is>
      </c>
      <c r="F608" s="7" t="inlineStr">
        <is>
          <t>PNL</t>
        </is>
      </c>
      <c r="G608" s="7" t="inlineStr">
        <is>
          <t>INR</t>
        </is>
      </c>
      <c r="H608" s="11" t="n">
        <v>44701</v>
      </c>
      <c r="I608" s="11" t="n">
        <v>44722</v>
      </c>
      <c r="J608" s="11" t="n">
        <v>44722</v>
      </c>
      <c r="K608" s="11" t="n">
        <v>44722</v>
      </c>
      <c r="L608" s="7" t="inlineStr">
        <is>
          <t>roll following on the LME panel calendar</t>
        </is>
      </c>
      <c r="N608" s="7" t="inlineStr">
        <is>
          <t>PROXY</t>
        </is>
      </c>
      <c r="O608" s="9" t="n">
        <v>2430887.32</v>
      </c>
      <c r="P608" s="9" t="n">
        <v>2430887.32</v>
      </c>
      <c r="U608" s="7" t="inlineStr">
        <is>
          <t>DERIVED_IN_WORKBOOK</t>
        </is>
      </c>
      <c r="V608" s="8">
        <f>SUMIFS(Cashflows!$R$1043:$R$1393,Cashflows!$B$1043:$B$1393,$C608,Cashflows!$C$1043:$C$1393,$K608)</f>
        <v/>
      </c>
      <c r="W608" s="8">
        <f>IF($G608="INR",1,INDEX(Market_Daily!$F$6:$F$256,MATCH($K608,Market_Daily!$A$6:$A$256,0)))</f>
        <v/>
      </c>
      <c r="X608" s="8">
        <f>$V608*$W608</f>
        <v/>
      </c>
      <c r="Y608" s="18">
        <f>$X608-$P608</f>
        <v/>
      </c>
      <c r="Z608" s="8">
        <f>IF(ABS($Y608)&lt;=tol_cashflow_inr,"PASS","FAIL")</f>
        <v/>
      </c>
      <c r="AA608" s="7" t="inlineStr">
        <is>
          <t>direction x lots x lot_kg x (F(s) - F(s-1))</t>
        </is>
      </c>
    </row>
    <row r="609">
      <c r="A609" s="7" t="inlineStr">
        <is>
          <t>T05</t>
        </is>
      </c>
      <c r="B609" s="7" t="inlineStr">
        <is>
          <t>MCX:T05-MCX-2</t>
        </is>
      </c>
      <c r="C609" s="7" t="inlineStr">
        <is>
          <t>T05-MCX-2</t>
        </is>
      </c>
      <c r="D609" s="7" t="inlineStr">
        <is>
          <t>MCX_INITIAL_MARGIN</t>
        </is>
      </c>
      <c r="E609" s="7" t="inlineStr">
        <is>
          <t>MCX_INITIAL_MARGIN</t>
        </is>
      </c>
      <c r="F609" s="7" t="inlineStr">
        <is>
          <t>BS</t>
        </is>
      </c>
      <c r="G609" s="7" t="inlineStr">
        <is>
          <t>INR</t>
        </is>
      </c>
      <c r="H609" s="11" t="n">
        <v>44701</v>
      </c>
      <c r="I609" s="11" t="n">
        <v>44725</v>
      </c>
      <c r="J609" s="11" t="n">
        <v>44725</v>
      </c>
      <c r="K609" s="11" t="n">
        <v>44725</v>
      </c>
      <c r="L609" s="7" t="inlineStr">
        <is>
          <t>roll following on the LME panel calendar</t>
        </is>
      </c>
      <c r="N609" s="7" t="inlineStr">
        <is>
          <t>PROXY</t>
        </is>
      </c>
      <c r="O609" s="9" t="n">
        <v>440680.09</v>
      </c>
      <c r="P609" s="9" t="n">
        <v>440680.09</v>
      </c>
      <c r="U609" s="7" t="inlineStr">
        <is>
          <t>DERIVED_IN_WORKBOOK</t>
        </is>
      </c>
      <c r="V609" s="8">
        <f>-SUMIFS(Cashflows!$W$1043:$W$1393,Cashflows!$B$1043:$B$1393,$C609,Cashflows!$C$1043:$C$1393,$K609)</f>
        <v/>
      </c>
      <c r="W609" s="8">
        <f>IF($G609="INR",1,INDEX(Market_Daily!$F$6:$F$256,MATCH($K609,Market_Daily!$A$6:$A$256,0)))</f>
        <v/>
      </c>
      <c r="X609" s="8">
        <f>$V609*$W609</f>
        <v/>
      </c>
      <c r="Y609" s="18">
        <f>$X609-$P609</f>
        <v/>
      </c>
      <c r="Z609" s="8">
        <f>IF(ABS($Y609)&lt;=tol_cashflow_inr,"PASS","FAIL")</f>
        <v/>
      </c>
      <c r="AA609" s="7" t="inlineStr">
        <is>
          <t>-d(lots x lot_kg x F(s) x mcx_al_margin_used_frac)</t>
        </is>
      </c>
    </row>
    <row r="610">
      <c r="A610" s="7" t="inlineStr">
        <is>
          <t>T05</t>
        </is>
      </c>
      <c r="B610" s="7" t="inlineStr">
        <is>
          <t>MCX:T05-MCX-2</t>
        </is>
      </c>
      <c r="C610" s="7" t="inlineStr">
        <is>
          <t>T05-MCX-2</t>
        </is>
      </c>
      <c r="D610" s="7" t="inlineStr">
        <is>
          <t>MCX_VARIATION_MARGIN</t>
        </is>
      </c>
      <c r="E610" s="7" t="inlineStr">
        <is>
          <t>MCX_VARIATION_MARGIN</t>
        </is>
      </c>
      <c r="F610" s="7" t="inlineStr">
        <is>
          <t>PNL</t>
        </is>
      </c>
      <c r="G610" s="7" t="inlineStr">
        <is>
          <t>INR</t>
        </is>
      </c>
      <c r="H610" s="11" t="n">
        <v>44701</v>
      </c>
      <c r="I610" s="11" t="n">
        <v>44725</v>
      </c>
      <c r="J610" s="11" t="n">
        <v>44725</v>
      </c>
      <c r="K610" s="11" t="n">
        <v>44725</v>
      </c>
      <c r="L610" s="7" t="inlineStr">
        <is>
          <t>roll following on the LME panel calendar</t>
        </is>
      </c>
      <c r="N610" s="7" t="inlineStr">
        <is>
          <t>PROXY</t>
        </is>
      </c>
      <c r="O610" s="9" t="n">
        <v>4406800.9</v>
      </c>
      <c r="P610" s="9" t="n">
        <v>4406800.9</v>
      </c>
      <c r="U610" s="7" t="inlineStr">
        <is>
          <t>DERIVED_IN_WORKBOOK</t>
        </is>
      </c>
      <c r="V610" s="8">
        <f>SUMIFS(Cashflows!$R$1043:$R$1393,Cashflows!$B$1043:$B$1393,$C610,Cashflows!$C$1043:$C$1393,$K610)</f>
        <v/>
      </c>
      <c r="W610" s="8">
        <f>IF($G610="INR",1,INDEX(Market_Daily!$F$6:$F$256,MATCH($K610,Market_Daily!$A$6:$A$256,0)))</f>
        <v/>
      </c>
      <c r="X610" s="8">
        <f>$V610*$W610</f>
        <v/>
      </c>
      <c r="Y610" s="18">
        <f>$X610-$P610</f>
        <v/>
      </c>
      <c r="Z610" s="8">
        <f>IF(ABS($Y610)&lt;=tol_cashflow_inr,"PASS","FAIL")</f>
        <v/>
      </c>
      <c r="AA610" s="7" t="inlineStr">
        <is>
          <t>direction x lots x lot_kg x (F(s) - F(s-1))</t>
        </is>
      </c>
    </row>
    <row r="611">
      <c r="A611" s="7" t="inlineStr">
        <is>
          <t>T05</t>
        </is>
      </c>
      <c r="B611" s="7" t="inlineStr">
        <is>
          <t>MCX:T05-MCX-2</t>
        </is>
      </c>
      <c r="C611" s="7" t="inlineStr">
        <is>
          <t>T05-MCX-2</t>
        </is>
      </c>
      <c r="D611" s="7" t="inlineStr">
        <is>
          <t>MCX_INITIAL_MARGIN</t>
        </is>
      </c>
      <c r="E611" s="7" t="inlineStr">
        <is>
          <t>MCX_INITIAL_MARGIN</t>
        </is>
      </c>
      <c r="F611" s="7" t="inlineStr">
        <is>
          <t>BS</t>
        </is>
      </c>
      <c r="G611" s="7" t="inlineStr">
        <is>
          <t>INR</t>
        </is>
      </c>
      <c r="H611" s="11" t="n">
        <v>44701</v>
      </c>
      <c r="I611" s="11" t="n">
        <v>44726</v>
      </c>
      <c r="J611" s="11" t="n">
        <v>44726</v>
      </c>
      <c r="K611" s="11" t="n">
        <v>44726</v>
      </c>
      <c r="L611" s="7" t="inlineStr">
        <is>
          <t>roll following on the LME panel calendar</t>
        </is>
      </c>
      <c r="N611" s="7" t="inlineStr">
        <is>
          <t>PROXY</t>
        </is>
      </c>
      <c r="O611" s="9" t="n">
        <v>11603.52</v>
      </c>
      <c r="P611" s="9" t="n">
        <v>11603.52</v>
      </c>
      <c r="U611" s="7" t="inlineStr">
        <is>
          <t>DERIVED_IN_WORKBOOK</t>
        </is>
      </c>
      <c r="V611" s="8">
        <f>-SUMIFS(Cashflows!$W$1043:$W$1393,Cashflows!$B$1043:$B$1393,$C611,Cashflows!$C$1043:$C$1393,$K611)</f>
        <v/>
      </c>
      <c r="W611" s="8">
        <f>IF($G611="INR",1,INDEX(Market_Daily!$F$6:$F$256,MATCH($K611,Market_Daily!$A$6:$A$256,0)))</f>
        <v/>
      </c>
      <c r="X611" s="8">
        <f>$V611*$W611</f>
        <v/>
      </c>
      <c r="Y611" s="18">
        <f>$X611-$P611</f>
        <v/>
      </c>
      <c r="Z611" s="8">
        <f>IF(ABS($Y611)&lt;=tol_cashflow_inr,"PASS","FAIL")</f>
        <v/>
      </c>
      <c r="AA611" s="7" t="inlineStr">
        <is>
          <t>-d(lots x lot_kg x F(s) x mcx_al_margin_used_frac)</t>
        </is>
      </c>
    </row>
    <row r="612">
      <c r="A612" s="7" t="inlineStr">
        <is>
          <t>T05</t>
        </is>
      </c>
      <c r="B612" s="7" t="inlineStr">
        <is>
          <t>MCX:T05-MCX-2</t>
        </is>
      </c>
      <c r="C612" s="7" t="inlineStr">
        <is>
          <t>T05-MCX-2</t>
        </is>
      </c>
      <c r="D612" s="7" t="inlineStr">
        <is>
          <t>MCX_VARIATION_MARGIN</t>
        </is>
      </c>
      <c r="E612" s="7" t="inlineStr">
        <is>
          <t>MCX_VARIATION_MARGIN</t>
        </is>
      </c>
      <c r="F612" s="7" t="inlineStr">
        <is>
          <t>PNL</t>
        </is>
      </c>
      <c r="G612" s="7" t="inlineStr">
        <is>
          <t>INR</t>
        </is>
      </c>
      <c r="H612" s="11" t="n">
        <v>44701</v>
      </c>
      <c r="I612" s="11" t="n">
        <v>44726</v>
      </c>
      <c r="J612" s="11" t="n">
        <v>44726</v>
      </c>
      <c r="K612" s="11" t="n">
        <v>44726</v>
      </c>
      <c r="L612" s="7" t="inlineStr">
        <is>
          <t>roll following on the LME panel calendar</t>
        </is>
      </c>
      <c r="N612" s="7" t="inlineStr">
        <is>
          <t>PROXY</t>
        </is>
      </c>
      <c r="O612" s="9" t="n">
        <v>116035.22</v>
      </c>
      <c r="P612" s="9" t="n">
        <v>116035.22</v>
      </c>
      <c r="U612" s="7" t="inlineStr">
        <is>
          <t>DERIVED_IN_WORKBOOK</t>
        </is>
      </c>
      <c r="V612" s="8">
        <f>SUMIFS(Cashflows!$R$1043:$R$1393,Cashflows!$B$1043:$B$1393,$C612,Cashflows!$C$1043:$C$1393,$K612)</f>
        <v/>
      </c>
      <c r="W612" s="8">
        <f>IF($G612="INR",1,INDEX(Market_Daily!$F$6:$F$256,MATCH($K612,Market_Daily!$A$6:$A$256,0)))</f>
        <v/>
      </c>
      <c r="X612" s="8">
        <f>$V612*$W612</f>
        <v/>
      </c>
      <c r="Y612" s="18">
        <f>$X612-$P612</f>
        <v/>
      </c>
      <c r="Z612" s="8">
        <f>IF(ABS($Y612)&lt;=tol_cashflow_inr,"PASS","FAIL")</f>
        <v/>
      </c>
      <c r="AA612" s="7" t="inlineStr">
        <is>
          <t>direction x lots x lot_kg x (F(s) - F(s-1))</t>
        </is>
      </c>
    </row>
    <row r="613">
      <c r="A613" s="7" t="inlineStr">
        <is>
          <t>T05</t>
        </is>
      </c>
      <c r="B613" s="7" t="inlineStr">
        <is>
          <t>MCX:T05-MCX-2</t>
        </is>
      </c>
      <c r="C613" s="7" t="inlineStr">
        <is>
          <t>T05-MCX-2</t>
        </is>
      </c>
      <c r="D613" s="7" t="inlineStr">
        <is>
          <t>MCX_INITIAL_MARGIN</t>
        </is>
      </c>
      <c r="E613" s="7" t="inlineStr">
        <is>
          <t>MCX_INITIAL_MARGIN</t>
        </is>
      </c>
      <c r="F613" s="7" t="inlineStr">
        <is>
          <t>BS</t>
        </is>
      </c>
      <c r="G613" s="7" t="inlineStr">
        <is>
          <t>INR</t>
        </is>
      </c>
      <c r="H613" s="11" t="n">
        <v>44701</v>
      </c>
      <c r="I613" s="11" t="n">
        <v>44727</v>
      </c>
      <c r="J613" s="11" t="n">
        <v>44727</v>
      </c>
      <c r="K613" s="11" t="n">
        <v>44727</v>
      </c>
      <c r="L613" s="7" t="inlineStr">
        <is>
          <t>roll following on the LME panel calendar</t>
        </is>
      </c>
      <c r="N613" s="7" t="inlineStr">
        <is>
          <t>PROXY</t>
        </is>
      </c>
      <c r="O613" s="9" t="n">
        <v>20403.47</v>
      </c>
      <c r="P613" s="9" t="n">
        <v>20403.47</v>
      </c>
      <c r="U613" s="7" t="inlineStr">
        <is>
          <t>DERIVED_IN_WORKBOOK</t>
        </is>
      </c>
      <c r="V613" s="8">
        <f>-SUMIFS(Cashflows!$W$1043:$W$1393,Cashflows!$B$1043:$B$1393,$C613,Cashflows!$C$1043:$C$1393,$K613)</f>
        <v/>
      </c>
      <c r="W613" s="8">
        <f>IF($G613="INR",1,INDEX(Market_Daily!$F$6:$F$256,MATCH($K613,Market_Daily!$A$6:$A$256,0)))</f>
        <v/>
      </c>
      <c r="X613" s="8">
        <f>$V613*$W613</f>
        <v/>
      </c>
      <c r="Y613" s="18">
        <f>$X613-$P613</f>
        <v/>
      </c>
      <c r="Z613" s="8">
        <f>IF(ABS($Y613)&lt;=tol_cashflow_inr,"PASS","FAIL")</f>
        <v/>
      </c>
      <c r="AA613" s="7" t="inlineStr">
        <is>
          <t>-d(lots x lot_kg x F(s) x mcx_al_margin_used_frac)</t>
        </is>
      </c>
    </row>
    <row r="614">
      <c r="A614" s="7" t="inlineStr">
        <is>
          <t>T05</t>
        </is>
      </c>
      <c r="B614" s="7" t="inlineStr">
        <is>
          <t>MCX:T05-MCX-2</t>
        </is>
      </c>
      <c r="C614" s="7" t="inlineStr">
        <is>
          <t>T05-MCX-2</t>
        </is>
      </c>
      <c r="D614" s="7" t="inlineStr">
        <is>
          <t>MCX_VARIATION_MARGIN</t>
        </is>
      </c>
      <c r="E614" s="7" t="inlineStr">
        <is>
          <t>MCX_VARIATION_MARGIN</t>
        </is>
      </c>
      <c r="F614" s="7" t="inlineStr">
        <is>
          <t>PNL</t>
        </is>
      </c>
      <c r="G614" s="7" t="inlineStr">
        <is>
          <t>INR</t>
        </is>
      </c>
      <c r="H614" s="11" t="n">
        <v>44701</v>
      </c>
      <c r="I614" s="11" t="n">
        <v>44727</v>
      </c>
      <c r="J614" s="11" t="n">
        <v>44727</v>
      </c>
      <c r="K614" s="11" t="n">
        <v>44727</v>
      </c>
      <c r="L614" s="7" t="inlineStr">
        <is>
          <t>roll following on the LME panel calendar</t>
        </is>
      </c>
      <c r="N614" s="7" t="inlineStr">
        <is>
          <t>PROXY</t>
        </is>
      </c>
      <c r="O614" s="9" t="n">
        <v>204034.67</v>
      </c>
      <c r="P614" s="9" t="n">
        <v>204034.67</v>
      </c>
      <c r="U614" s="7" t="inlineStr">
        <is>
          <t>DERIVED_IN_WORKBOOK</t>
        </is>
      </c>
      <c r="V614" s="8">
        <f>SUMIFS(Cashflows!$R$1043:$R$1393,Cashflows!$B$1043:$B$1393,$C614,Cashflows!$C$1043:$C$1393,$K614)</f>
        <v/>
      </c>
      <c r="W614" s="8">
        <f>IF($G614="INR",1,INDEX(Market_Daily!$F$6:$F$256,MATCH($K614,Market_Daily!$A$6:$A$256,0)))</f>
        <v/>
      </c>
      <c r="X614" s="8">
        <f>$V614*$W614</f>
        <v/>
      </c>
      <c r="Y614" s="18">
        <f>$X614-$P614</f>
        <v/>
      </c>
      <c r="Z614" s="8">
        <f>IF(ABS($Y614)&lt;=tol_cashflow_inr,"PASS","FAIL")</f>
        <v/>
      </c>
      <c r="AA614" s="7" t="inlineStr">
        <is>
          <t>direction x lots x lot_kg x (F(s) - F(s-1))</t>
        </is>
      </c>
    </row>
    <row r="615">
      <c r="A615" s="7" t="inlineStr">
        <is>
          <t>T05</t>
        </is>
      </c>
      <c r="B615" s="7" t="inlineStr">
        <is>
          <t>MCX:T05-MCX-2</t>
        </is>
      </c>
      <c r="C615" s="7" t="inlineStr">
        <is>
          <t>T05-MCX-2</t>
        </is>
      </c>
      <c r="D615" s="7" t="inlineStr">
        <is>
          <t>MCX_INITIAL_MARGIN</t>
        </is>
      </c>
      <c r="E615" s="7" t="inlineStr">
        <is>
          <t>MCX_INITIAL_MARGIN</t>
        </is>
      </c>
      <c r="F615" s="7" t="inlineStr">
        <is>
          <t>BS</t>
        </is>
      </c>
      <c r="G615" s="7" t="inlineStr">
        <is>
          <t>INR</t>
        </is>
      </c>
      <c r="H615" s="11" t="n">
        <v>44701</v>
      </c>
      <c r="I615" s="11" t="n">
        <v>44728</v>
      </c>
      <c r="J615" s="11" t="n">
        <v>44728</v>
      </c>
      <c r="K615" s="11" t="n">
        <v>44728</v>
      </c>
      <c r="L615" s="7" t="inlineStr">
        <is>
          <t>roll following on the LME panel calendar</t>
        </is>
      </c>
      <c r="N615" s="7" t="inlineStr">
        <is>
          <t>PROXY</t>
        </is>
      </c>
      <c r="O615" s="9" t="n">
        <v>365988.53</v>
      </c>
      <c r="P615" s="9" t="n">
        <v>365988.53</v>
      </c>
      <c r="U615" s="7" t="inlineStr">
        <is>
          <t>DERIVED_IN_WORKBOOK</t>
        </is>
      </c>
      <c r="V615" s="8">
        <f>-SUMIFS(Cashflows!$W$1043:$W$1393,Cashflows!$B$1043:$B$1393,$C615,Cashflows!$C$1043:$C$1393,$K615)</f>
        <v/>
      </c>
      <c r="W615" s="8">
        <f>IF($G615="INR",1,INDEX(Market_Daily!$F$6:$F$256,MATCH($K615,Market_Daily!$A$6:$A$256,0)))</f>
        <v/>
      </c>
      <c r="X615" s="8">
        <f>$V615*$W615</f>
        <v/>
      </c>
      <c r="Y615" s="18">
        <f>$X615-$P615</f>
        <v/>
      </c>
      <c r="Z615" s="8">
        <f>IF(ABS($Y615)&lt;=tol_cashflow_inr,"PASS","FAIL")</f>
        <v/>
      </c>
      <c r="AA615" s="7" t="inlineStr">
        <is>
          <t>-d(lots x lot_kg x F(s) x mcx_al_margin_used_frac)</t>
        </is>
      </c>
    </row>
    <row r="616">
      <c r="A616" s="7" t="inlineStr">
        <is>
          <t>T05</t>
        </is>
      </c>
      <c r="B616" s="7" t="inlineStr">
        <is>
          <t>MCX:T05-MCX-2</t>
        </is>
      </c>
      <c r="C616" s="7" t="inlineStr">
        <is>
          <t>T05-MCX-2</t>
        </is>
      </c>
      <c r="D616" s="7" t="inlineStr">
        <is>
          <t>MCX_VARIATION_MARGIN</t>
        </is>
      </c>
      <c r="E616" s="7" t="inlineStr">
        <is>
          <t>MCX_VARIATION_MARGIN</t>
        </is>
      </c>
      <c r="F616" s="7" t="inlineStr">
        <is>
          <t>PNL</t>
        </is>
      </c>
      <c r="G616" s="7" t="inlineStr">
        <is>
          <t>INR</t>
        </is>
      </c>
      <c r="H616" s="11" t="n">
        <v>44701</v>
      </c>
      <c r="I616" s="11" t="n">
        <v>44728</v>
      </c>
      <c r="J616" s="11" t="n">
        <v>44728</v>
      </c>
      <c r="K616" s="11" t="n">
        <v>44728</v>
      </c>
      <c r="L616" s="7" t="inlineStr">
        <is>
          <t>roll following on the LME panel calendar</t>
        </is>
      </c>
      <c r="N616" s="7" t="inlineStr">
        <is>
          <t>PROXY</t>
        </is>
      </c>
      <c r="O616" s="9" t="n">
        <v>3659885.3</v>
      </c>
      <c r="P616" s="9" t="n">
        <v>3659885.3</v>
      </c>
      <c r="U616" s="7" t="inlineStr">
        <is>
          <t>DERIVED_IN_WORKBOOK</t>
        </is>
      </c>
      <c r="V616" s="8">
        <f>SUMIFS(Cashflows!$R$1043:$R$1393,Cashflows!$B$1043:$B$1393,$C616,Cashflows!$C$1043:$C$1393,$K616)</f>
        <v/>
      </c>
      <c r="W616" s="8">
        <f>IF($G616="INR",1,INDEX(Market_Daily!$F$6:$F$256,MATCH($K616,Market_Daily!$A$6:$A$256,0)))</f>
        <v/>
      </c>
      <c r="X616" s="8">
        <f>$V616*$W616</f>
        <v/>
      </c>
      <c r="Y616" s="18">
        <f>$X616-$P616</f>
        <v/>
      </c>
      <c r="Z616" s="8">
        <f>IF(ABS($Y616)&lt;=tol_cashflow_inr,"PASS","FAIL")</f>
        <v/>
      </c>
      <c r="AA616" s="7" t="inlineStr">
        <is>
          <t>direction x lots x lot_kg x (F(s) - F(s-1))</t>
        </is>
      </c>
    </row>
    <row r="617">
      <c r="A617" s="7" t="inlineStr">
        <is>
          <t>T05</t>
        </is>
      </c>
      <c r="B617" s="7" t="inlineStr">
        <is>
          <t>MCX:T05-MCX-3</t>
        </is>
      </c>
      <c r="C617" s="7" t="inlineStr">
        <is>
          <t>T05-MCX-3</t>
        </is>
      </c>
      <c r="D617" s="7" t="inlineStr">
        <is>
          <t>MCX_INITIAL_MARGIN</t>
        </is>
      </c>
      <c r="E617" s="7" t="inlineStr">
        <is>
          <t>MCX_INITIAL_MARGIN</t>
        </is>
      </c>
      <c r="F617" s="7" t="inlineStr">
        <is>
          <t>BS</t>
        </is>
      </c>
      <c r="G617" s="7" t="inlineStr">
        <is>
          <t>INR</t>
        </is>
      </c>
      <c r="H617" s="11" t="n">
        <v>44728</v>
      </c>
      <c r="I617" s="11" t="n">
        <v>44728</v>
      </c>
      <c r="J617" s="11" t="n">
        <v>44728</v>
      </c>
      <c r="K617" s="11" t="n">
        <v>44728</v>
      </c>
      <c r="L617" s="7" t="inlineStr">
        <is>
          <t>roll following on the LME panel calendar</t>
        </is>
      </c>
      <c r="N617" s="7" t="inlineStr">
        <is>
          <t>PROXY</t>
        </is>
      </c>
      <c r="O617" s="9" t="n">
        <v>-29658172.08</v>
      </c>
      <c r="P617" s="9" t="n">
        <v>-29658172.08</v>
      </c>
      <c r="U617" s="7" t="inlineStr">
        <is>
          <t>DERIVED_IN_WORKBOOK</t>
        </is>
      </c>
      <c r="V617" s="8">
        <f>-SUMIFS(Cashflows!$W$1043:$W$1393,Cashflows!$B$1043:$B$1393,$C617,Cashflows!$C$1043:$C$1393,$K617)</f>
        <v/>
      </c>
      <c r="W617" s="8">
        <f>IF($G617="INR",1,INDEX(Market_Daily!$F$6:$F$256,MATCH($K617,Market_Daily!$A$6:$A$256,0)))</f>
        <v/>
      </c>
      <c r="X617" s="8">
        <f>$V617*$W617</f>
        <v/>
      </c>
      <c r="Y617" s="18">
        <f>$X617-$P617</f>
        <v/>
      </c>
      <c r="Z617" s="8">
        <f>IF(ABS($Y617)&lt;=tol_cashflow_inr,"PASS","FAIL")</f>
        <v/>
      </c>
      <c r="AA617" s="7" t="inlineStr">
        <is>
          <t>-d(lots x lot_kg x F(s) x mcx_al_margin_used_frac)</t>
        </is>
      </c>
    </row>
    <row r="618">
      <c r="A618" s="7" t="inlineStr">
        <is>
          <t>T05</t>
        </is>
      </c>
      <c r="B618" s="7" t="inlineStr">
        <is>
          <t>MCX:T05-MCX-3</t>
        </is>
      </c>
      <c r="C618" s="7" t="inlineStr">
        <is>
          <t>T05-MCX-3</t>
        </is>
      </c>
      <c r="D618" s="7" t="inlineStr">
        <is>
          <t>MCX_SLIPPAGE</t>
        </is>
      </c>
      <c r="E618" s="7" t="inlineStr">
        <is>
          <t>MCX_SLIPPAGE</t>
        </is>
      </c>
      <c r="F618" s="7" t="inlineStr">
        <is>
          <t>PNL</t>
        </is>
      </c>
      <c r="G618" s="7" t="inlineStr">
        <is>
          <t>INR</t>
        </is>
      </c>
      <c r="H618" s="11" t="n">
        <v>44728</v>
      </c>
      <c r="J618" s="11" t="n">
        <v>44728</v>
      </c>
      <c r="K618" s="11" t="n">
        <v>44728</v>
      </c>
      <c r="L618" s="7" t="inlineStr">
        <is>
          <t>roll following on the LME panel calendar</t>
        </is>
      </c>
      <c r="N618" s="7" t="inlineStr">
        <is>
          <t>ASSUMPTION</t>
        </is>
      </c>
      <c r="O618" s="9" t="n">
        <v>-139500</v>
      </c>
      <c r="P618" s="9" t="n">
        <v>-139500</v>
      </c>
      <c r="U618" s="7" t="inlineStr">
        <is>
          <t>DERIVED_IN_WORKBOOK</t>
        </is>
      </c>
      <c r="V618" s="8">
        <f>SUMIFS(Cashflows!$Z$1043:$Z$1393,Cashflows!$B$1043:$B$1393,$C618,Cashflows!$C$1043:$C$1393,$K618)</f>
        <v/>
      </c>
      <c r="W618" s="8">
        <f>IF($G618="INR",1,INDEX(Market_Daily!$F$6:$F$256,MATCH($K618,Market_Daily!$A$6:$A$256,0)))</f>
        <v/>
      </c>
      <c r="X618" s="8">
        <f>$V618*$W618</f>
        <v/>
      </c>
      <c r="Y618" s="18">
        <f>$X618-$P618</f>
        <v/>
      </c>
      <c r="Z618" s="8">
        <f>IF(ABS($Y618)&lt;=tol_cashflow_inr,"PASS","FAIL")</f>
        <v/>
      </c>
      <c r="AA618" s="7" t="inlineStr">
        <is>
          <t>-lots x lot_kg x mcx_slippage_ticks x tick</t>
        </is>
      </c>
    </row>
    <row r="619">
      <c r="A619" s="7" t="inlineStr">
        <is>
          <t>T05</t>
        </is>
      </c>
      <c r="B619" s="7" t="inlineStr">
        <is>
          <t>MCX:T05-MCX-3</t>
        </is>
      </c>
      <c r="C619" s="7" t="inlineStr">
        <is>
          <t>T05-MCX-3</t>
        </is>
      </c>
      <c r="D619" s="7" t="inlineStr">
        <is>
          <t>MCX_TRANSACTION_COST</t>
        </is>
      </c>
      <c r="E619" s="7" t="inlineStr">
        <is>
          <t>MCX_TRANSACTION_COST</t>
        </is>
      </c>
      <c r="F619" s="7" t="inlineStr">
        <is>
          <t>PNL</t>
        </is>
      </c>
      <c r="G619" s="7" t="inlineStr">
        <is>
          <t>INR</t>
        </is>
      </c>
      <c r="H619" s="11" t="n">
        <v>44728</v>
      </c>
      <c r="I619" s="11" t="n">
        <v>44728</v>
      </c>
      <c r="J619" s="11" t="n">
        <v>44728</v>
      </c>
      <c r="K619" s="11" t="n">
        <v>44728</v>
      </c>
      <c r="L619" s="7" t="inlineStr">
        <is>
          <t>roll following on the LME panel calendar</t>
        </is>
      </c>
      <c r="N619" s="7" t="inlineStr">
        <is>
          <t>ASSUMPTION</t>
        </is>
      </c>
      <c r="O619" s="9" t="n">
        <v>-88932.67</v>
      </c>
      <c r="P619" s="9" t="n">
        <v>-88932.67</v>
      </c>
      <c r="U619" s="7" t="inlineStr">
        <is>
          <t>DERIVED_IN_WORKBOOK</t>
        </is>
      </c>
      <c r="V619" s="8">
        <f>SUMIFS(Cashflows!$AA$1043:$AA$1393,Cashflows!$B$1043:$B$1393,$C619,Cashflows!$C$1043:$C$1393,$K619)</f>
        <v/>
      </c>
      <c r="W619" s="8">
        <f>IF($G619="INR",1,INDEX(Market_Daily!$F$6:$F$256,MATCH($K619,Market_Daily!$A$6:$A$256,0)))</f>
        <v/>
      </c>
      <c r="X619" s="8">
        <f>$V619*$W619</f>
        <v/>
      </c>
      <c r="Y619" s="18">
        <f>$X619-$P619</f>
        <v/>
      </c>
      <c r="Z619" s="8">
        <f>IF(ABS($Y619)&lt;=tol_cashflow_inr,"PASS","FAIL")</f>
        <v/>
      </c>
      <c r="AA619" s="7" t="inlineStr">
        <is>
          <t>-lots x lot_kg x fill x mcx_txn_cost_frac</t>
        </is>
      </c>
    </row>
    <row r="620">
      <c r="A620" s="7" t="inlineStr">
        <is>
          <t>T05</t>
        </is>
      </c>
      <c r="B620" s="7" t="inlineStr">
        <is>
          <t>MCX:T05-MCX-3</t>
        </is>
      </c>
      <c r="C620" s="7" t="inlineStr">
        <is>
          <t>T05-MCX-3</t>
        </is>
      </c>
      <c r="D620" s="7" t="inlineStr">
        <is>
          <t>MCX_VARIATION_MARGIN</t>
        </is>
      </c>
      <c r="E620" s="7" t="inlineStr">
        <is>
          <t>MCX_VARIATION_MARGIN</t>
        </is>
      </c>
      <c r="F620" s="7" t="inlineStr">
        <is>
          <t>PNL</t>
        </is>
      </c>
      <c r="G620" s="7" t="inlineStr">
        <is>
          <t>INR</t>
        </is>
      </c>
      <c r="H620" s="11" t="n">
        <v>44728</v>
      </c>
      <c r="I620" s="11" t="n">
        <v>44728</v>
      </c>
      <c r="J620" s="11" t="n">
        <v>44728</v>
      </c>
      <c r="K620" s="11" t="n">
        <v>44728</v>
      </c>
      <c r="L620" s="7" t="inlineStr">
        <is>
          <t>roll following on the LME panel calendar</t>
        </is>
      </c>
      <c r="N620" s="7" t="inlineStr">
        <is>
          <t>PROXY</t>
        </is>
      </c>
      <c r="O620" s="9" t="n">
        <v>-0</v>
      </c>
      <c r="P620" s="9" t="n">
        <v>-0</v>
      </c>
      <c r="U620" s="7" t="inlineStr">
        <is>
          <t>DERIVED_IN_WORKBOOK</t>
        </is>
      </c>
      <c r="V620" s="8">
        <f>SUMIFS(Cashflows!$R$1043:$R$1393,Cashflows!$B$1043:$B$1393,$C620,Cashflows!$C$1043:$C$1393,$K620)</f>
        <v/>
      </c>
      <c r="W620" s="8">
        <f>IF($G620="INR",1,INDEX(Market_Daily!$F$6:$F$256,MATCH($K620,Market_Daily!$A$6:$A$256,0)))</f>
        <v/>
      </c>
      <c r="X620" s="8">
        <f>$V620*$W620</f>
        <v/>
      </c>
      <c r="Y620" s="18">
        <f>$X620-$P620</f>
        <v/>
      </c>
      <c r="Z620" s="8">
        <f>IF(ABS($Y620)&lt;=tol_cashflow_inr,"PASS","FAIL")</f>
        <v/>
      </c>
      <c r="AA620" s="7" t="inlineStr">
        <is>
          <t>direction x lots x lot_kg x (F(entry) - entry settle) = 0 by construction</t>
        </is>
      </c>
    </row>
    <row r="621">
      <c r="A621" s="7" t="inlineStr">
        <is>
          <t>T05</t>
        </is>
      </c>
      <c r="B621" s="7" t="inlineStr">
        <is>
          <t>MCX:T05-MCX-2</t>
        </is>
      </c>
      <c r="C621" s="7" t="inlineStr">
        <is>
          <t>T05-MCX-2</t>
        </is>
      </c>
      <c r="D621" s="7" t="inlineStr">
        <is>
          <t>MCX_INITIAL_MARGIN</t>
        </is>
      </c>
      <c r="E621" s="7" t="inlineStr">
        <is>
          <t>MCX_INITIAL_MARGIN</t>
        </is>
      </c>
      <c r="F621" s="7" t="inlineStr">
        <is>
          <t>BS</t>
        </is>
      </c>
      <c r="G621" s="7" t="inlineStr">
        <is>
          <t>INR</t>
        </is>
      </c>
      <c r="H621" s="11" t="n">
        <v>44701</v>
      </c>
      <c r="I621" s="11" t="n">
        <v>44729</v>
      </c>
      <c r="J621" s="11" t="n">
        <v>44729</v>
      </c>
      <c r="K621" s="11" t="n">
        <v>44729</v>
      </c>
      <c r="L621" s="7" t="inlineStr">
        <is>
          <t>roll following on the LME panel calendar</t>
        </is>
      </c>
      <c r="N621" s="7" t="inlineStr">
        <is>
          <t>PROXY</t>
        </is>
      </c>
      <c r="O621" s="9" t="n">
        <v>118665.73</v>
      </c>
      <c r="P621" s="9" t="n">
        <v>118665.73</v>
      </c>
      <c r="U621" s="7" t="inlineStr">
        <is>
          <t>DERIVED_IN_WORKBOOK</t>
        </is>
      </c>
      <c r="V621" s="8">
        <f>-SUMIFS(Cashflows!$W$1043:$W$1393,Cashflows!$B$1043:$B$1393,$C621,Cashflows!$C$1043:$C$1393,$K621)</f>
        <v/>
      </c>
      <c r="W621" s="8">
        <f>IF($G621="INR",1,INDEX(Market_Daily!$F$6:$F$256,MATCH($K621,Market_Daily!$A$6:$A$256,0)))</f>
        <v/>
      </c>
      <c r="X621" s="8">
        <f>$V621*$W621</f>
        <v/>
      </c>
      <c r="Y621" s="18">
        <f>$X621-$P621</f>
        <v/>
      </c>
      <c r="Z621" s="8">
        <f>IF(ABS($Y621)&lt;=tol_cashflow_inr,"PASS","FAIL")</f>
        <v/>
      </c>
      <c r="AA621" s="7" t="inlineStr">
        <is>
          <t>-d(lots x lot_kg x F(s) x mcx_al_margin_used_frac)</t>
        </is>
      </c>
    </row>
    <row r="622">
      <c r="A622" s="7" t="inlineStr">
        <is>
          <t>T05</t>
        </is>
      </c>
      <c r="B622" s="7" t="inlineStr">
        <is>
          <t>MCX:T05-MCX-2</t>
        </is>
      </c>
      <c r="C622" s="7" t="inlineStr">
        <is>
          <t>T05-MCX-2</t>
        </is>
      </c>
      <c r="D622" s="7" t="inlineStr">
        <is>
          <t>MCX_VARIATION_MARGIN</t>
        </is>
      </c>
      <c r="E622" s="7" t="inlineStr">
        <is>
          <t>MCX_VARIATION_MARGIN</t>
        </is>
      </c>
      <c r="F622" s="7" t="inlineStr">
        <is>
          <t>PNL</t>
        </is>
      </c>
      <c r="G622" s="7" t="inlineStr">
        <is>
          <t>INR</t>
        </is>
      </c>
      <c r="H622" s="11" t="n">
        <v>44701</v>
      </c>
      <c r="I622" s="11" t="n">
        <v>44729</v>
      </c>
      <c r="J622" s="11" t="n">
        <v>44729</v>
      </c>
      <c r="K622" s="11" t="n">
        <v>44729</v>
      </c>
      <c r="L622" s="7" t="inlineStr">
        <is>
          <t>roll following on the LME panel calendar</t>
        </is>
      </c>
      <c r="N622" s="7" t="inlineStr">
        <is>
          <t>PROXY</t>
        </is>
      </c>
      <c r="O622" s="9" t="n">
        <v>1186657.28</v>
      </c>
      <c r="P622" s="9" t="n">
        <v>1186657.28</v>
      </c>
      <c r="U622" s="7" t="inlineStr">
        <is>
          <t>DERIVED_IN_WORKBOOK</t>
        </is>
      </c>
      <c r="V622" s="8">
        <f>SUMIFS(Cashflows!$R$1043:$R$1393,Cashflows!$B$1043:$B$1393,$C622,Cashflows!$C$1043:$C$1393,$K622)</f>
        <v/>
      </c>
      <c r="W622" s="8">
        <f>IF($G622="INR",1,INDEX(Market_Daily!$F$6:$F$256,MATCH($K622,Market_Daily!$A$6:$A$256,0)))</f>
        <v/>
      </c>
      <c r="X622" s="8">
        <f>$V622*$W622</f>
        <v/>
      </c>
      <c r="Y622" s="18">
        <f>$X622-$P622</f>
        <v/>
      </c>
      <c r="Z622" s="8">
        <f>IF(ABS($Y622)&lt;=tol_cashflow_inr,"PASS","FAIL")</f>
        <v/>
      </c>
      <c r="AA622" s="7" t="inlineStr">
        <is>
          <t>direction x lots x lot_kg x (F(s) - F(s-1))</t>
        </is>
      </c>
    </row>
    <row r="623">
      <c r="A623" s="7" t="inlineStr">
        <is>
          <t>T05</t>
        </is>
      </c>
      <c r="B623" s="7" t="inlineStr">
        <is>
          <t>MCX:T05-MCX-3</t>
        </is>
      </c>
      <c r="C623" s="7" t="inlineStr">
        <is>
          <t>T05-MCX-3</t>
        </is>
      </c>
      <c r="D623" s="7" t="inlineStr">
        <is>
          <t>MCX_INITIAL_MARGIN</t>
        </is>
      </c>
      <c r="E623" s="7" t="inlineStr">
        <is>
          <t>MCX_INITIAL_MARGIN</t>
        </is>
      </c>
      <c r="F623" s="7" t="inlineStr">
        <is>
          <t>BS</t>
        </is>
      </c>
      <c r="G623" s="7" t="inlineStr">
        <is>
          <t>INR</t>
        </is>
      </c>
      <c r="H623" s="11" t="n">
        <v>44728</v>
      </c>
      <c r="I623" s="11" t="n">
        <v>44729</v>
      </c>
      <c r="J623" s="11" t="n">
        <v>44729</v>
      </c>
      <c r="K623" s="11" t="n">
        <v>44729</v>
      </c>
      <c r="L623" s="7" t="inlineStr">
        <is>
          <t>roll following on the LME panel calendar</t>
        </is>
      </c>
      <c r="N623" s="7" t="inlineStr">
        <is>
          <t>PROXY</t>
        </is>
      </c>
      <c r="O623" s="9" t="n">
        <v>316580.42</v>
      </c>
      <c r="P623" s="9" t="n">
        <v>316580.42</v>
      </c>
      <c r="U623" s="7" t="inlineStr">
        <is>
          <t>DERIVED_IN_WORKBOOK</t>
        </is>
      </c>
      <c r="V623" s="8">
        <f>-SUMIFS(Cashflows!$W$1043:$W$1393,Cashflows!$B$1043:$B$1393,$C623,Cashflows!$C$1043:$C$1393,$K623)</f>
        <v/>
      </c>
      <c r="W623" s="8">
        <f>IF($G623="INR",1,INDEX(Market_Daily!$F$6:$F$256,MATCH($K623,Market_Daily!$A$6:$A$256,0)))</f>
        <v/>
      </c>
      <c r="X623" s="8">
        <f>$V623*$W623</f>
        <v/>
      </c>
      <c r="Y623" s="18">
        <f>$X623-$P623</f>
        <v/>
      </c>
      <c r="Z623" s="8">
        <f>IF(ABS($Y623)&lt;=tol_cashflow_inr,"PASS","FAIL")</f>
        <v/>
      </c>
      <c r="AA623" s="7" t="inlineStr">
        <is>
          <t>-d(lots x lot_kg x F(s) x mcx_al_margin_used_frac)</t>
        </is>
      </c>
    </row>
    <row r="624">
      <c r="A624" s="7" t="inlineStr">
        <is>
          <t>T05</t>
        </is>
      </c>
      <c r="B624" s="7" t="inlineStr">
        <is>
          <t>MCX:T05-MCX-3</t>
        </is>
      </c>
      <c r="C624" s="7" t="inlineStr">
        <is>
          <t>T05-MCX-3</t>
        </is>
      </c>
      <c r="D624" s="7" t="inlineStr">
        <is>
          <t>MCX_VARIATION_MARGIN</t>
        </is>
      </c>
      <c r="E624" s="7" t="inlineStr">
        <is>
          <t>MCX_VARIATION_MARGIN</t>
        </is>
      </c>
      <c r="F624" s="7" t="inlineStr">
        <is>
          <t>PNL</t>
        </is>
      </c>
      <c r="G624" s="7" t="inlineStr">
        <is>
          <t>INR</t>
        </is>
      </c>
      <c r="H624" s="11" t="n">
        <v>44728</v>
      </c>
      <c r="I624" s="11" t="n">
        <v>44729</v>
      </c>
      <c r="J624" s="11" t="n">
        <v>44729</v>
      </c>
      <c r="K624" s="11" t="n">
        <v>44729</v>
      </c>
      <c r="L624" s="7" t="inlineStr">
        <is>
          <t>roll following on the LME panel calendar</t>
        </is>
      </c>
      <c r="N624" s="7" t="inlineStr">
        <is>
          <t>PROXY</t>
        </is>
      </c>
      <c r="O624" s="9" t="n">
        <v>3165804.15</v>
      </c>
      <c r="P624" s="9" t="n">
        <v>3165804.15</v>
      </c>
      <c r="U624" s="7" t="inlineStr">
        <is>
          <t>DERIVED_IN_WORKBOOK</t>
        </is>
      </c>
      <c r="V624" s="8">
        <f>SUMIFS(Cashflows!$R$1043:$R$1393,Cashflows!$B$1043:$B$1393,$C624,Cashflows!$C$1043:$C$1393,$K624)</f>
        <v/>
      </c>
      <c r="W624" s="8">
        <f>IF($G624="INR",1,INDEX(Market_Daily!$F$6:$F$256,MATCH($K624,Market_Daily!$A$6:$A$256,0)))</f>
        <v/>
      </c>
      <c r="X624" s="8">
        <f>$V624*$W624</f>
        <v/>
      </c>
      <c r="Y624" s="18">
        <f>$X624-$P624</f>
        <v/>
      </c>
      <c r="Z624" s="8">
        <f>IF(ABS($Y624)&lt;=tol_cashflow_inr,"PASS","FAIL")</f>
        <v/>
      </c>
      <c r="AA624" s="7" t="inlineStr">
        <is>
          <t>direction x lots x lot_kg x (F(s) - F(s-1))</t>
        </is>
      </c>
    </row>
    <row r="625">
      <c r="A625" s="7" t="inlineStr">
        <is>
          <t>T05</t>
        </is>
      </c>
      <c r="B625" s="7" t="inlineStr">
        <is>
          <t>DUTY:L1</t>
        </is>
      </c>
      <c r="C625" s="7" t="inlineStr">
        <is>
          <t>L1</t>
        </is>
      </c>
      <c r="D625" s="7" t="inlineStr">
        <is>
          <t>CUSTOMS_DUTY</t>
        </is>
      </c>
      <c r="E625" s="7" t="inlineStr">
        <is>
          <t>CUSTOMS_DUTY</t>
        </is>
      </c>
      <c r="F625" s="7" t="inlineStr">
        <is>
          <t>PNL</t>
        </is>
      </c>
      <c r="G625" s="7" t="inlineStr">
        <is>
          <t>INR</t>
        </is>
      </c>
      <c r="H625" s="11" t="n">
        <v>44672</v>
      </c>
      <c r="I625" s="11" t="n">
        <v>44732</v>
      </c>
      <c r="J625" s="11" t="n">
        <v>44732</v>
      </c>
      <c r="K625" s="11" t="n">
        <v>44732</v>
      </c>
      <c r="L625" s="7" t="inlineStr">
        <is>
          <t>roll following on the LME panel calendar</t>
        </is>
      </c>
      <c r="N625" s="7" t="inlineStr">
        <is>
          <t>DIRECT</t>
        </is>
      </c>
      <c r="O625" s="9" t="n">
        <v>-4288812.62</v>
      </c>
      <c r="P625" s="9" t="n">
        <v>-4288812.62</v>
      </c>
      <c r="U625" s="7" t="inlineStr">
        <is>
          <t>PYTHON_LIFECYCLE</t>
        </is>
      </c>
      <c r="V625" s="8">
        <f>$O625</f>
        <v/>
      </c>
      <c r="W625" s="8">
        <f>IF($G625="INR",1,INDEX(Market_Daily!$F$6:$F$256,MATCH($K625,Market_Daily!$A$6:$A$256,0)))</f>
        <v/>
      </c>
      <c r="X625" s="8">
        <f>$V625*$W625</f>
        <v/>
      </c>
      <c r="Y625" s="18">
        <f>$X625-$P625</f>
        <v/>
      </c>
      <c r="Z625" s="8">
        <f>IF(ABS($Y625)&lt;=tol_cashflow_inr,"PASS","FAIL")</f>
        <v/>
      </c>
      <c r="AA625" s="7" t="inlineStr">
        <is>
          <t>-assessable_inr x bcd_scrap_hs7602 x (1 + sws_rate_on_bcd)</t>
        </is>
      </c>
    </row>
    <row r="626">
      <c r="A626" s="7" t="inlineStr">
        <is>
          <t>T05</t>
        </is>
      </c>
      <c r="B626" s="7" t="inlineStr">
        <is>
          <t>IGST:L1</t>
        </is>
      </c>
      <c r="C626" s="7" t="inlineStr">
        <is>
          <t>L1</t>
        </is>
      </c>
      <c r="D626" s="7" t="inlineStr">
        <is>
          <t>IGST_IMPORT</t>
        </is>
      </c>
      <c r="E626" s="7" t="inlineStr">
        <is>
          <t>IGST_IMPORT</t>
        </is>
      </c>
      <c r="F626" s="7" t="inlineStr">
        <is>
          <t>BS</t>
        </is>
      </c>
      <c r="G626" s="7" t="inlineStr">
        <is>
          <t>INR</t>
        </is>
      </c>
      <c r="H626" s="11" t="n">
        <v>44672</v>
      </c>
      <c r="I626" s="11" t="n">
        <v>44732</v>
      </c>
      <c r="J626" s="11" t="n">
        <v>44732</v>
      </c>
      <c r="K626" s="11" t="n">
        <v>44732</v>
      </c>
      <c r="L626" s="7" t="inlineStr">
        <is>
          <t>roll following on the LME panel calendar</t>
        </is>
      </c>
      <c r="N626" s="7" t="inlineStr">
        <is>
          <t>DIRECT</t>
        </is>
      </c>
      <c r="O626" s="9" t="n">
        <v>-28844214.32</v>
      </c>
      <c r="P626" s="9" t="n">
        <v>-28844214.32</v>
      </c>
      <c r="U626" s="7" t="inlineStr">
        <is>
          <t>PYTHON_LIFECYCLE</t>
        </is>
      </c>
      <c r="V626" s="8">
        <f>$O626</f>
        <v/>
      </c>
      <c r="W626" s="8">
        <f>IF($G626="INR",1,INDEX(Market_Daily!$F$6:$F$256,MATCH($K626,Market_Daily!$A$6:$A$256,0)))</f>
        <v/>
      </c>
      <c r="X626" s="8">
        <f>$V626*$W626</f>
        <v/>
      </c>
      <c r="Y626" s="18">
        <f>$X626-$P626</f>
        <v/>
      </c>
      <c r="Z626" s="8">
        <f>IF(ABS($Y626)&lt;=tol_cashflow_inr,"PASS","FAIL")</f>
        <v/>
      </c>
      <c r="AA626" s="7" t="inlineStr">
        <is>
          <t>-(assessable + duty) x igst_rate_hs7602</t>
        </is>
      </c>
    </row>
    <row r="627">
      <c r="A627" s="7" t="inlineStr">
        <is>
          <t>T05</t>
        </is>
      </c>
      <c r="B627" s="7" t="inlineStr">
        <is>
          <t>MCX:T05-MCX-2</t>
        </is>
      </c>
      <c r="C627" s="7" t="inlineStr">
        <is>
          <t>T05-MCX-2</t>
        </is>
      </c>
      <c r="D627" s="7" t="inlineStr">
        <is>
          <t>MCX_INITIAL_MARGIN</t>
        </is>
      </c>
      <c r="E627" s="7" t="inlineStr">
        <is>
          <t>MCX_INITIAL_MARGIN</t>
        </is>
      </c>
      <c r="F627" s="7" t="inlineStr">
        <is>
          <t>BS</t>
        </is>
      </c>
      <c r="G627" s="7" t="inlineStr">
        <is>
          <t>INR</t>
        </is>
      </c>
      <c r="H627" s="11" t="n">
        <v>44701</v>
      </c>
      <c r="I627" s="11" t="n">
        <v>44732</v>
      </c>
      <c r="J627" s="11" t="n">
        <v>44732</v>
      </c>
      <c r="K627" s="11" t="n">
        <v>44732</v>
      </c>
      <c r="L627" s="7" t="inlineStr">
        <is>
          <t>roll following on the LME panel calendar</t>
        </is>
      </c>
      <c r="N627" s="7" t="inlineStr">
        <is>
          <t>PROXY</t>
        </is>
      </c>
      <c r="O627" s="9" t="n">
        <v>73820.77</v>
      </c>
      <c r="P627" s="9" t="n">
        <v>73820.77</v>
      </c>
      <c r="U627" s="7" t="inlineStr">
        <is>
          <t>DERIVED_IN_WORKBOOK</t>
        </is>
      </c>
      <c r="V627" s="8">
        <f>-SUMIFS(Cashflows!$W$1043:$W$1393,Cashflows!$B$1043:$B$1393,$C627,Cashflows!$C$1043:$C$1393,$K627)</f>
        <v/>
      </c>
      <c r="W627" s="8">
        <f>IF($G627="INR",1,INDEX(Market_Daily!$F$6:$F$256,MATCH($K627,Market_Daily!$A$6:$A$256,0)))</f>
        <v/>
      </c>
      <c r="X627" s="8">
        <f>$V627*$W627</f>
        <v/>
      </c>
      <c r="Y627" s="18">
        <f>$X627-$P627</f>
        <v/>
      </c>
      <c r="Z627" s="8">
        <f>IF(ABS($Y627)&lt;=tol_cashflow_inr,"PASS","FAIL")</f>
        <v/>
      </c>
      <c r="AA627" s="7" t="inlineStr">
        <is>
          <t>-d(lots x lot_kg x F(s) x mcx_al_margin_used_frac)</t>
        </is>
      </c>
    </row>
    <row r="628">
      <c r="A628" s="7" t="inlineStr">
        <is>
          <t>T05</t>
        </is>
      </c>
      <c r="B628" s="7" t="inlineStr">
        <is>
          <t>MCX:T05-MCX-2</t>
        </is>
      </c>
      <c r="C628" s="7" t="inlineStr">
        <is>
          <t>T05-MCX-2</t>
        </is>
      </c>
      <c r="D628" s="7" t="inlineStr">
        <is>
          <t>MCX_VARIATION_MARGIN</t>
        </is>
      </c>
      <c r="E628" s="7" t="inlineStr">
        <is>
          <t>MCX_VARIATION_MARGIN</t>
        </is>
      </c>
      <c r="F628" s="7" t="inlineStr">
        <is>
          <t>PNL</t>
        </is>
      </c>
      <c r="G628" s="7" t="inlineStr">
        <is>
          <t>INR</t>
        </is>
      </c>
      <c r="H628" s="11" t="n">
        <v>44701</v>
      </c>
      <c r="I628" s="11" t="n">
        <v>44732</v>
      </c>
      <c r="J628" s="11" t="n">
        <v>44732</v>
      </c>
      <c r="K628" s="11" t="n">
        <v>44732</v>
      </c>
      <c r="L628" s="7" t="inlineStr">
        <is>
          <t>roll following on the LME panel calendar</t>
        </is>
      </c>
      <c r="N628" s="7" t="inlineStr">
        <is>
          <t>PROXY</t>
        </is>
      </c>
      <c r="O628" s="9" t="n">
        <v>738207.74</v>
      </c>
      <c r="P628" s="9" t="n">
        <v>738207.74</v>
      </c>
      <c r="U628" s="7" t="inlineStr">
        <is>
          <t>DERIVED_IN_WORKBOOK</t>
        </is>
      </c>
      <c r="V628" s="8">
        <f>SUMIFS(Cashflows!$R$1043:$R$1393,Cashflows!$B$1043:$B$1393,$C628,Cashflows!$C$1043:$C$1393,$K628)</f>
        <v/>
      </c>
      <c r="W628" s="8">
        <f>IF($G628="INR",1,INDEX(Market_Daily!$F$6:$F$256,MATCH($K628,Market_Daily!$A$6:$A$256,0)))</f>
        <v/>
      </c>
      <c r="X628" s="8">
        <f>$V628*$W628</f>
        <v/>
      </c>
      <c r="Y628" s="18">
        <f>$X628-$P628</f>
        <v/>
      </c>
      <c r="Z628" s="8">
        <f>IF(ABS($Y628)&lt;=tol_cashflow_inr,"PASS","FAIL")</f>
        <v/>
      </c>
      <c r="AA628" s="7" t="inlineStr">
        <is>
          <t>direction x lots x lot_kg x (F(s) - F(s-1))</t>
        </is>
      </c>
    </row>
    <row r="629">
      <c r="A629" s="7" t="inlineStr">
        <is>
          <t>T05</t>
        </is>
      </c>
      <c r="B629" s="7" t="inlineStr">
        <is>
          <t>MCX:T05-MCX-3</t>
        </is>
      </c>
      <c r="C629" s="7" t="inlineStr">
        <is>
          <t>T05-MCX-3</t>
        </is>
      </c>
      <c r="D629" s="7" t="inlineStr">
        <is>
          <t>MCX_INITIAL_MARGIN</t>
        </is>
      </c>
      <c r="E629" s="7" t="inlineStr">
        <is>
          <t>MCX_INITIAL_MARGIN</t>
        </is>
      </c>
      <c r="F629" s="7" t="inlineStr">
        <is>
          <t>BS</t>
        </is>
      </c>
      <c r="G629" s="7" t="inlineStr">
        <is>
          <t>INR</t>
        </is>
      </c>
      <c r="H629" s="11" t="n">
        <v>44728</v>
      </c>
      <c r="I629" s="11" t="n">
        <v>44732</v>
      </c>
      <c r="J629" s="11" t="n">
        <v>44732</v>
      </c>
      <c r="K629" s="11" t="n">
        <v>44732</v>
      </c>
      <c r="L629" s="7" t="inlineStr">
        <is>
          <t>roll following on the LME panel calendar</t>
        </is>
      </c>
      <c r="N629" s="7" t="inlineStr">
        <is>
          <t>PROXY</t>
        </is>
      </c>
      <c r="O629" s="9" t="n">
        <v>196902.14</v>
      </c>
      <c r="P629" s="9" t="n">
        <v>196902.14</v>
      </c>
      <c r="U629" s="7" t="inlineStr">
        <is>
          <t>DERIVED_IN_WORKBOOK</t>
        </is>
      </c>
      <c r="V629" s="8">
        <f>-SUMIFS(Cashflows!$W$1043:$W$1393,Cashflows!$B$1043:$B$1393,$C629,Cashflows!$C$1043:$C$1393,$K629)</f>
        <v/>
      </c>
      <c r="W629" s="8">
        <f>IF($G629="INR",1,INDEX(Market_Daily!$F$6:$F$256,MATCH($K629,Market_Daily!$A$6:$A$256,0)))</f>
        <v/>
      </c>
      <c r="X629" s="8">
        <f>$V629*$W629</f>
        <v/>
      </c>
      <c r="Y629" s="18">
        <f>$X629-$P629</f>
        <v/>
      </c>
      <c r="Z629" s="8">
        <f>IF(ABS($Y629)&lt;=tol_cashflow_inr,"PASS","FAIL")</f>
        <v/>
      </c>
      <c r="AA629" s="7" t="inlineStr">
        <is>
          <t>-d(lots x lot_kg x F(s) x mcx_al_margin_used_frac)</t>
        </is>
      </c>
    </row>
    <row r="630">
      <c r="A630" s="7" t="inlineStr">
        <is>
          <t>T05</t>
        </is>
      </c>
      <c r="B630" s="7" t="inlineStr">
        <is>
          <t>MCX:T05-MCX-3</t>
        </is>
      </c>
      <c r="C630" s="7" t="inlineStr">
        <is>
          <t>T05-MCX-3</t>
        </is>
      </c>
      <c r="D630" s="7" t="inlineStr">
        <is>
          <t>MCX_VARIATION_MARGIN</t>
        </is>
      </c>
      <c r="E630" s="7" t="inlineStr">
        <is>
          <t>MCX_VARIATION_MARGIN</t>
        </is>
      </c>
      <c r="F630" s="7" t="inlineStr">
        <is>
          <t>PNL</t>
        </is>
      </c>
      <c r="G630" s="7" t="inlineStr">
        <is>
          <t>INR</t>
        </is>
      </c>
      <c r="H630" s="11" t="n">
        <v>44728</v>
      </c>
      <c r="I630" s="11" t="n">
        <v>44732</v>
      </c>
      <c r="J630" s="11" t="n">
        <v>44732</v>
      </c>
      <c r="K630" s="11" t="n">
        <v>44732</v>
      </c>
      <c r="L630" s="7" t="inlineStr">
        <is>
          <t>roll following on the LME panel calendar</t>
        </is>
      </c>
      <c r="N630" s="7" t="inlineStr">
        <is>
          <t>PROXY</t>
        </is>
      </c>
      <c r="O630" s="9" t="n">
        <v>1969021.37</v>
      </c>
      <c r="P630" s="9" t="n">
        <v>1969021.37</v>
      </c>
      <c r="U630" s="7" t="inlineStr">
        <is>
          <t>DERIVED_IN_WORKBOOK</t>
        </is>
      </c>
      <c r="V630" s="8">
        <f>SUMIFS(Cashflows!$R$1043:$R$1393,Cashflows!$B$1043:$B$1393,$C630,Cashflows!$C$1043:$C$1393,$K630)</f>
        <v/>
      </c>
      <c r="W630" s="8">
        <f>IF($G630="INR",1,INDEX(Market_Daily!$F$6:$F$256,MATCH($K630,Market_Daily!$A$6:$A$256,0)))</f>
        <v/>
      </c>
      <c r="X630" s="8">
        <f>$V630*$W630</f>
        <v/>
      </c>
      <c r="Y630" s="18">
        <f>$X630-$P630</f>
        <v/>
      </c>
      <c r="Z630" s="8">
        <f>IF(ABS($Y630)&lt;=tol_cashflow_inr,"PASS","FAIL")</f>
        <v/>
      </c>
      <c r="AA630" s="7" t="inlineStr">
        <is>
          <t>direction x lots x lot_kg x (F(s) - F(s-1))</t>
        </is>
      </c>
    </row>
    <row r="631">
      <c r="A631" s="7" t="inlineStr">
        <is>
          <t>T05</t>
        </is>
      </c>
      <c r="B631" s="7" t="inlineStr">
        <is>
          <t>MCX:T05-MCX-2</t>
        </is>
      </c>
      <c r="C631" s="7" t="inlineStr">
        <is>
          <t>T05-MCX-2</t>
        </is>
      </c>
      <c r="D631" s="7" t="inlineStr">
        <is>
          <t>MCX_INITIAL_MARGIN</t>
        </is>
      </c>
      <c r="E631" s="7" t="inlineStr">
        <is>
          <t>MCX_INITIAL_MARGIN</t>
        </is>
      </c>
      <c r="F631" s="7" t="inlineStr">
        <is>
          <t>BS</t>
        </is>
      </c>
      <c r="G631" s="7" t="inlineStr">
        <is>
          <t>INR</t>
        </is>
      </c>
      <c r="H631" s="11" t="n">
        <v>44701</v>
      </c>
      <c r="I631" s="11" t="n">
        <v>44733</v>
      </c>
      <c r="J631" s="11" t="n">
        <v>44733</v>
      </c>
      <c r="K631" s="11" t="n">
        <v>44733</v>
      </c>
      <c r="L631" s="7" t="inlineStr">
        <is>
          <t>roll following on the LME panel calendar</t>
        </is>
      </c>
      <c r="N631" s="7" t="inlineStr">
        <is>
          <t>PROXY</t>
        </is>
      </c>
      <c r="O631" s="9" t="n">
        <v>10923875.18</v>
      </c>
      <c r="P631" s="9" t="n">
        <v>10923875.18</v>
      </c>
      <c r="U631" s="7" t="inlineStr">
        <is>
          <t>DERIVED_IN_WORKBOOK</t>
        </is>
      </c>
      <c r="V631" s="8">
        <f>-SUMIFS(Cashflows!$W$1043:$W$1393,Cashflows!$B$1043:$B$1393,$C631,Cashflows!$C$1043:$C$1393,$K631)</f>
        <v/>
      </c>
      <c r="W631" s="8">
        <f>IF($G631="INR",1,INDEX(Market_Daily!$F$6:$F$256,MATCH($K631,Market_Daily!$A$6:$A$256,0)))</f>
        <v/>
      </c>
      <c r="X631" s="8">
        <f>$V631*$W631</f>
        <v/>
      </c>
      <c r="Y631" s="18">
        <f>$X631-$P631</f>
        <v/>
      </c>
      <c r="Z631" s="8">
        <f>IF(ABS($Y631)&lt;=tol_cashflow_inr,"PASS","FAIL")</f>
        <v/>
      </c>
      <c r="AA631" s="7" t="inlineStr">
        <is>
          <t>-d(lots x lot_kg x F(s) x mcx_al_margin_used_frac)</t>
        </is>
      </c>
    </row>
    <row r="632">
      <c r="A632" s="7" t="inlineStr">
        <is>
          <t>T05</t>
        </is>
      </c>
      <c r="B632" s="7" t="inlineStr">
        <is>
          <t>MCX:T05-MCX-2</t>
        </is>
      </c>
      <c r="C632" s="7" t="inlineStr">
        <is>
          <t>T05-MCX-2</t>
        </is>
      </c>
      <c r="D632" s="7" t="inlineStr">
        <is>
          <t>MCX_SLIPPAGE</t>
        </is>
      </c>
      <c r="E632" s="7" t="inlineStr">
        <is>
          <t>MCX_SLIPPAGE</t>
        </is>
      </c>
      <c r="F632" s="7" t="inlineStr">
        <is>
          <t>PNL</t>
        </is>
      </c>
      <c r="G632" s="7" t="inlineStr">
        <is>
          <t>INR</t>
        </is>
      </c>
      <c r="H632" s="11" t="n">
        <v>44733</v>
      </c>
      <c r="J632" s="11" t="n">
        <v>44733</v>
      </c>
      <c r="K632" s="11" t="n">
        <v>44733</v>
      </c>
      <c r="L632" s="7" t="inlineStr">
        <is>
          <t>roll following on the LME panel calendar</t>
        </is>
      </c>
      <c r="N632" s="7" t="inlineStr">
        <is>
          <t>ASSUMPTION</t>
        </is>
      </c>
      <c r="O632" s="9" t="n">
        <v>-52500</v>
      </c>
      <c r="P632" s="9" t="n">
        <v>-52500</v>
      </c>
      <c r="U632" s="7" t="inlineStr">
        <is>
          <t>DERIVED_IN_WORKBOOK</t>
        </is>
      </c>
      <c r="V632" s="8">
        <f>SUMIFS(Cashflows!$Z$1043:$Z$1393,Cashflows!$B$1043:$B$1393,$C632,Cashflows!$C$1043:$C$1393,$K632)</f>
        <v/>
      </c>
      <c r="W632" s="8">
        <f>IF($G632="INR",1,INDEX(Market_Daily!$F$6:$F$256,MATCH($K632,Market_Daily!$A$6:$A$256,0)))</f>
        <v/>
      </c>
      <c r="X632" s="8">
        <f>$V632*$W632</f>
        <v/>
      </c>
      <c r="Y632" s="18">
        <f>$X632-$P632</f>
        <v/>
      </c>
      <c r="Z632" s="8">
        <f>IF(ABS($Y632)&lt;=tol_cashflow_inr,"PASS","FAIL")</f>
        <v/>
      </c>
      <c r="AA632" s="7" t="inlineStr">
        <is>
          <t>-lots x lot_kg x mcx_slippage_ticks x tick</t>
        </is>
      </c>
    </row>
    <row r="633">
      <c r="A633" s="7" t="inlineStr">
        <is>
          <t>T05</t>
        </is>
      </c>
      <c r="B633" s="7" t="inlineStr">
        <is>
          <t>MCX:T05-MCX-2</t>
        </is>
      </c>
      <c r="C633" s="7" t="inlineStr">
        <is>
          <t>T05-MCX-2</t>
        </is>
      </c>
      <c r="D633" s="7" t="inlineStr">
        <is>
          <t>MCX_TRANSACTION_COST</t>
        </is>
      </c>
      <c r="E633" s="7" t="inlineStr">
        <is>
          <t>MCX_TRANSACTION_COST</t>
        </is>
      </c>
      <c r="F633" s="7" t="inlineStr">
        <is>
          <t>PNL</t>
        </is>
      </c>
      <c r="G633" s="7" t="inlineStr">
        <is>
          <t>INR</t>
        </is>
      </c>
      <c r="H633" s="11" t="n">
        <v>44733</v>
      </c>
      <c r="I633" s="11" t="n">
        <v>44733</v>
      </c>
      <c r="J633" s="11" t="n">
        <v>44733</v>
      </c>
      <c r="K633" s="11" t="n">
        <v>44733</v>
      </c>
      <c r="L633" s="7" t="inlineStr">
        <is>
          <t>roll following on the LME panel calendar</t>
        </is>
      </c>
      <c r="N633" s="7" t="inlineStr">
        <is>
          <t>ASSUMPTION</t>
        </is>
      </c>
      <c r="O633" s="9" t="n">
        <v>-33618.06</v>
      </c>
      <c r="P633" s="9" t="n">
        <v>-33618.06</v>
      </c>
      <c r="U633" s="7" t="inlineStr">
        <is>
          <t>DERIVED_IN_WORKBOOK</t>
        </is>
      </c>
      <c r="V633" s="8">
        <f>SUMIFS(Cashflows!$AA$1043:$AA$1393,Cashflows!$B$1043:$B$1393,$C633,Cashflows!$C$1043:$C$1393,$K633)</f>
        <v/>
      </c>
      <c r="W633" s="8">
        <f>IF($G633="INR",1,INDEX(Market_Daily!$F$6:$F$256,MATCH($K633,Market_Daily!$A$6:$A$256,0)))</f>
        <v/>
      </c>
      <c r="X633" s="8">
        <f>$V633*$W633</f>
        <v/>
      </c>
      <c r="Y633" s="18">
        <f>$X633-$P633</f>
        <v/>
      </c>
      <c r="Z633" s="8">
        <f>IF(ABS($Y633)&lt;=tol_cashflow_inr,"PASS","FAIL")</f>
        <v/>
      </c>
      <c r="AA633" s="7" t="inlineStr">
        <is>
          <t>-lots x lot_kg x fill x mcx_txn_cost_frac</t>
        </is>
      </c>
    </row>
    <row r="634">
      <c r="A634" s="7" t="inlineStr">
        <is>
          <t>T05</t>
        </is>
      </c>
      <c r="B634" s="7" t="inlineStr">
        <is>
          <t>MCX:T05-MCX-2</t>
        </is>
      </c>
      <c r="C634" s="7" t="inlineStr">
        <is>
          <t>T05-MCX-2</t>
        </is>
      </c>
      <c r="D634" s="7" t="inlineStr">
        <is>
          <t>MCX_VARIATION_MARGIN</t>
        </is>
      </c>
      <c r="E634" s="7" t="inlineStr">
        <is>
          <t>MCX_VARIATION_MARGIN</t>
        </is>
      </c>
      <c r="F634" s="7" t="inlineStr">
        <is>
          <t>PNL</t>
        </is>
      </c>
      <c r="G634" s="7" t="inlineStr">
        <is>
          <t>INR</t>
        </is>
      </c>
      <c r="H634" s="11" t="n">
        <v>44701</v>
      </c>
      <c r="I634" s="11" t="n">
        <v>44733</v>
      </c>
      <c r="J634" s="11" t="n">
        <v>44733</v>
      </c>
      <c r="K634" s="11" t="n">
        <v>44733</v>
      </c>
      <c r="L634" s="7" t="inlineStr">
        <is>
          <t>roll following on the LME panel calendar</t>
        </is>
      </c>
      <c r="N634" s="7" t="inlineStr">
        <is>
          <t>PROXY</t>
        </is>
      </c>
      <c r="O634" s="9" t="n">
        <v>-2768950.35</v>
      </c>
      <c r="P634" s="9" t="n">
        <v>-2768950.35</v>
      </c>
      <c r="U634" s="7" t="inlineStr">
        <is>
          <t>DERIVED_IN_WORKBOOK</t>
        </is>
      </c>
      <c r="V634" s="8">
        <f>SUMIFS(Cashflows!$R$1043:$R$1393,Cashflows!$B$1043:$B$1393,$C634,Cashflows!$C$1043:$C$1393,$K634)</f>
        <v/>
      </c>
      <c r="W634" s="8">
        <f>IF($G634="INR",1,INDEX(Market_Daily!$F$6:$F$256,MATCH($K634,Market_Daily!$A$6:$A$256,0)))</f>
        <v/>
      </c>
      <c r="X634" s="8">
        <f>$V634*$W634</f>
        <v/>
      </c>
      <c r="Y634" s="18">
        <f>$X634-$P634</f>
        <v/>
      </c>
      <c r="Z634" s="8">
        <f>IF(ABS($Y634)&lt;=tol_cashflow_inr,"PASS","FAIL")</f>
        <v/>
      </c>
      <c r="AA634" s="7" t="inlineStr">
        <is>
          <t>direction x lots x lot_kg x (F(s) - F(s-1))</t>
        </is>
      </c>
    </row>
    <row r="635">
      <c r="A635" s="7" t="inlineStr">
        <is>
          <t>T05</t>
        </is>
      </c>
      <c r="B635" s="7" t="inlineStr">
        <is>
          <t>MCX:T05-MCX-3</t>
        </is>
      </c>
      <c r="C635" s="7" t="inlineStr">
        <is>
          <t>T05-MCX-3</t>
        </is>
      </c>
      <c r="D635" s="7" t="inlineStr">
        <is>
          <t>MCX_INITIAL_MARGIN</t>
        </is>
      </c>
      <c r="E635" s="7" t="inlineStr">
        <is>
          <t>MCX_INITIAL_MARGIN</t>
        </is>
      </c>
      <c r="F635" s="7" t="inlineStr">
        <is>
          <t>BS</t>
        </is>
      </c>
      <c r="G635" s="7" t="inlineStr">
        <is>
          <t>INR</t>
        </is>
      </c>
      <c r="H635" s="11" t="n">
        <v>44728</v>
      </c>
      <c r="I635" s="11" t="n">
        <v>44733</v>
      </c>
      <c r="J635" s="11" t="n">
        <v>44733</v>
      </c>
      <c r="K635" s="11" t="n">
        <v>44733</v>
      </c>
      <c r="L635" s="7" t="inlineStr">
        <is>
          <t>roll following on the LME panel calendar</t>
        </is>
      </c>
      <c r="N635" s="7" t="inlineStr">
        <is>
          <t>PROXY</t>
        </is>
      </c>
      <c r="O635" s="9" t="n">
        <v>-738767.72</v>
      </c>
      <c r="P635" s="9" t="n">
        <v>-738767.72</v>
      </c>
      <c r="U635" s="7" t="inlineStr">
        <is>
          <t>DERIVED_IN_WORKBOOK</t>
        </is>
      </c>
      <c r="V635" s="8">
        <f>-SUMIFS(Cashflows!$W$1043:$W$1393,Cashflows!$B$1043:$B$1393,$C635,Cashflows!$C$1043:$C$1393,$K635)</f>
        <v/>
      </c>
      <c r="W635" s="8">
        <f>IF($G635="INR",1,INDEX(Market_Daily!$F$6:$F$256,MATCH($K635,Market_Daily!$A$6:$A$256,0)))</f>
        <v/>
      </c>
      <c r="X635" s="8">
        <f>$V635*$W635</f>
        <v/>
      </c>
      <c r="Y635" s="18">
        <f>$X635-$P635</f>
        <v/>
      </c>
      <c r="Z635" s="8">
        <f>IF(ABS($Y635)&lt;=tol_cashflow_inr,"PASS","FAIL")</f>
        <v/>
      </c>
      <c r="AA635" s="7" t="inlineStr">
        <is>
          <t>-d(lots x lot_kg x F(s) x mcx_al_margin_used_frac)</t>
        </is>
      </c>
    </row>
    <row r="636">
      <c r="A636" s="7" t="inlineStr">
        <is>
          <t>T05</t>
        </is>
      </c>
      <c r="B636" s="7" t="inlineStr">
        <is>
          <t>MCX:T05-MCX-3</t>
        </is>
      </c>
      <c r="C636" s="7" t="inlineStr">
        <is>
          <t>T05-MCX-3</t>
        </is>
      </c>
      <c r="D636" s="7" t="inlineStr">
        <is>
          <t>MCX_VARIATION_MARGIN</t>
        </is>
      </c>
      <c r="E636" s="7" t="inlineStr">
        <is>
          <t>MCX_VARIATION_MARGIN</t>
        </is>
      </c>
      <c r="F636" s="7" t="inlineStr">
        <is>
          <t>PNL</t>
        </is>
      </c>
      <c r="G636" s="7" t="inlineStr">
        <is>
          <t>INR</t>
        </is>
      </c>
      <c r="H636" s="11" t="n">
        <v>44728</v>
      </c>
      <c r="I636" s="11" t="n">
        <v>44733</v>
      </c>
      <c r="J636" s="11" t="n">
        <v>44733</v>
      </c>
      <c r="K636" s="11" t="n">
        <v>44733</v>
      </c>
      <c r="L636" s="7" t="inlineStr">
        <is>
          <t>roll following on the LME panel calendar</t>
        </is>
      </c>
      <c r="N636" s="7" t="inlineStr">
        <is>
          <t>PROXY</t>
        </is>
      </c>
      <c r="O636" s="9" t="n">
        <v>-7387677.21</v>
      </c>
      <c r="P636" s="9" t="n">
        <v>-7387677.21</v>
      </c>
      <c r="U636" s="7" t="inlineStr">
        <is>
          <t>DERIVED_IN_WORKBOOK</t>
        </is>
      </c>
      <c r="V636" s="8">
        <f>SUMIFS(Cashflows!$R$1043:$R$1393,Cashflows!$B$1043:$B$1393,$C636,Cashflows!$C$1043:$C$1393,$K636)</f>
        <v/>
      </c>
      <c r="W636" s="8">
        <f>IF($G636="INR",1,INDEX(Market_Daily!$F$6:$F$256,MATCH($K636,Market_Daily!$A$6:$A$256,0)))</f>
        <v/>
      </c>
      <c r="X636" s="8">
        <f>$V636*$W636</f>
        <v/>
      </c>
      <c r="Y636" s="18">
        <f>$X636-$P636</f>
        <v/>
      </c>
      <c r="Z636" s="8">
        <f>IF(ABS($Y636)&lt;=tol_cashflow_inr,"PASS","FAIL")</f>
        <v/>
      </c>
      <c r="AA636" s="7" t="inlineStr">
        <is>
          <t>direction x lots x lot_kg x (F(s) - F(s-1))</t>
        </is>
      </c>
    </row>
    <row r="637">
      <c r="A637" s="7" t="inlineStr">
        <is>
          <t>T05</t>
        </is>
      </c>
      <c r="B637" s="7" t="inlineStr">
        <is>
          <t>MCX:T05-MCX-4</t>
        </is>
      </c>
      <c r="C637" s="7" t="inlineStr">
        <is>
          <t>T05-MCX-4</t>
        </is>
      </c>
      <c r="D637" s="7" t="inlineStr">
        <is>
          <t>MCX_INITIAL_MARGIN</t>
        </is>
      </c>
      <c r="E637" s="7" t="inlineStr">
        <is>
          <t>MCX_INITIAL_MARGIN</t>
        </is>
      </c>
      <c r="F637" s="7" t="inlineStr">
        <is>
          <t>BS</t>
        </is>
      </c>
      <c r="G637" s="7" t="inlineStr">
        <is>
          <t>INR</t>
        </is>
      </c>
      <c r="H637" s="11" t="n">
        <v>44733</v>
      </c>
      <c r="I637" s="11" t="n">
        <v>44733</v>
      </c>
      <c r="J637" s="11" t="n">
        <v>44733</v>
      </c>
      <c r="K637" s="11" t="n">
        <v>44733</v>
      </c>
      <c r="L637" s="7" t="inlineStr">
        <is>
          <t>roll following on the LME panel calendar</t>
        </is>
      </c>
      <c r="N637" s="7" t="inlineStr">
        <is>
          <t>PROXY</t>
        </is>
      </c>
      <c r="O637" s="9" t="n">
        <v>-11246462.41</v>
      </c>
      <c r="P637" s="9" t="n">
        <v>-11246462.41</v>
      </c>
      <c r="U637" s="7" t="inlineStr">
        <is>
          <t>DERIVED_IN_WORKBOOK</t>
        </is>
      </c>
      <c r="V637" s="8">
        <f>-SUMIFS(Cashflows!$W$1043:$W$1393,Cashflows!$B$1043:$B$1393,$C637,Cashflows!$C$1043:$C$1393,$K637)</f>
        <v/>
      </c>
      <c r="W637" s="8">
        <f>IF($G637="INR",1,INDEX(Market_Daily!$F$6:$F$256,MATCH($K637,Market_Daily!$A$6:$A$256,0)))</f>
        <v/>
      </c>
      <c r="X637" s="8">
        <f>$V637*$W637</f>
        <v/>
      </c>
      <c r="Y637" s="18">
        <f>$X637-$P637</f>
        <v/>
      </c>
      <c r="Z637" s="8">
        <f>IF(ABS($Y637)&lt;=tol_cashflow_inr,"PASS","FAIL")</f>
        <v/>
      </c>
      <c r="AA637" s="7" t="inlineStr">
        <is>
          <t>-d(lots x lot_kg x F(s) x mcx_al_margin_used_frac)</t>
        </is>
      </c>
    </row>
    <row r="638">
      <c r="A638" s="7" t="inlineStr">
        <is>
          <t>T05</t>
        </is>
      </c>
      <c r="B638" s="7" t="inlineStr">
        <is>
          <t>MCX:T05-MCX-4</t>
        </is>
      </c>
      <c r="C638" s="7" t="inlineStr">
        <is>
          <t>T05-MCX-4</t>
        </is>
      </c>
      <c r="D638" s="7" t="inlineStr">
        <is>
          <t>MCX_SLIPPAGE</t>
        </is>
      </c>
      <c r="E638" s="7" t="inlineStr">
        <is>
          <t>MCX_SLIPPAGE</t>
        </is>
      </c>
      <c r="F638" s="7" t="inlineStr">
        <is>
          <t>PNL</t>
        </is>
      </c>
      <c r="G638" s="7" t="inlineStr">
        <is>
          <t>INR</t>
        </is>
      </c>
      <c r="H638" s="11" t="n">
        <v>44733</v>
      </c>
      <c r="J638" s="11" t="n">
        <v>44733</v>
      </c>
      <c r="K638" s="11" t="n">
        <v>44733</v>
      </c>
      <c r="L638" s="7" t="inlineStr">
        <is>
          <t>roll following on the LME panel calendar</t>
        </is>
      </c>
      <c r="N638" s="7" t="inlineStr">
        <is>
          <t>ASSUMPTION</t>
        </is>
      </c>
      <c r="O638" s="9" t="n">
        <v>-52500</v>
      </c>
      <c r="P638" s="9" t="n">
        <v>-52500</v>
      </c>
      <c r="U638" s="7" t="inlineStr">
        <is>
          <t>DERIVED_IN_WORKBOOK</t>
        </is>
      </c>
      <c r="V638" s="8">
        <f>SUMIFS(Cashflows!$Z$1043:$Z$1393,Cashflows!$B$1043:$B$1393,$C638,Cashflows!$C$1043:$C$1393,$K638)</f>
        <v/>
      </c>
      <c r="W638" s="8">
        <f>IF($G638="INR",1,INDEX(Market_Daily!$F$6:$F$256,MATCH($K638,Market_Daily!$A$6:$A$256,0)))</f>
        <v/>
      </c>
      <c r="X638" s="8">
        <f>$V638*$W638</f>
        <v/>
      </c>
      <c r="Y638" s="18">
        <f>$X638-$P638</f>
        <v/>
      </c>
      <c r="Z638" s="8">
        <f>IF(ABS($Y638)&lt;=tol_cashflow_inr,"PASS","FAIL")</f>
        <v/>
      </c>
      <c r="AA638" s="7" t="inlineStr">
        <is>
          <t>-lots x lot_kg x mcx_slippage_ticks x tick</t>
        </is>
      </c>
    </row>
    <row r="639">
      <c r="A639" s="7" t="inlineStr">
        <is>
          <t>T05</t>
        </is>
      </c>
      <c r="B639" s="7" t="inlineStr">
        <is>
          <t>MCX:T05-MCX-4</t>
        </is>
      </c>
      <c r="C639" s="7" t="inlineStr">
        <is>
          <t>T05-MCX-4</t>
        </is>
      </c>
      <c r="D639" s="7" t="inlineStr">
        <is>
          <t>MCX_TRANSACTION_COST</t>
        </is>
      </c>
      <c r="E639" s="7" t="inlineStr">
        <is>
          <t>MCX_TRANSACTION_COST</t>
        </is>
      </c>
      <c r="F639" s="7" t="inlineStr">
        <is>
          <t>PNL</t>
        </is>
      </c>
      <c r="G639" s="7" t="inlineStr">
        <is>
          <t>INR</t>
        </is>
      </c>
      <c r="H639" s="11" t="n">
        <v>44733</v>
      </c>
      <c r="I639" s="11" t="n">
        <v>44733</v>
      </c>
      <c r="J639" s="11" t="n">
        <v>44733</v>
      </c>
      <c r="K639" s="11" t="n">
        <v>44733</v>
      </c>
      <c r="L639" s="7" t="inlineStr">
        <is>
          <t>roll following on the LME panel calendar</t>
        </is>
      </c>
      <c r="N639" s="7" t="inlineStr">
        <is>
          <t>ASSUMPTION</t>
        </is>
      </c>
      <c r="O639" s="9" t="n">
        <v>-33723.64</v>
      </c>
      <c r="P639" s="9" t="n">
        <v>-33723.64</v>
      </c>
      <c r="U639" s="7" t="inlineStr">
        <is>
          <t>DERIVED_IN_WORKBOOK</t>
        </is>
      </c>
      <c r="V639" s="8">
        <f>SUMIFS(Cashflows!$AA$1043:$AA$1393,Cashflows!$B$1043:$B$1393,$C639,Cashflows!$C$1043:$C$1393,$K639)</f>
        <v/>
      </c>
      <c r="W639" s="8">
        <f>IF($G639="INR",1,INDEX(Market_Daily!$F$6:$F$256,MATCH($K639,Market_Daily!$A$6:$A$256,0)))</f>
        <v/>
      </c>
      <c r="X639" s="8">
        <f>$V639*$W639</f>
        <v/>
      </c>
      <c r="Y639" s="18">
        <f>$X639-$P639</f>
        <v/>
      </c>
      <c r="Z639" s="8">
        <f>IF(ABS($Y639)&lt;=tol_cashflow_inr,"PASS","FAIL")</f>
        <v/>
      </c>
      <c r="AA639" s="7" t="inlineStr">
        <is>
          <t>-lots x lot_kg x fill x mcx_txn_cost_frac</t>
        </is>
      </c>
    </row>
    <row r="640">
      <c r="A640" s="7" t="inlineStr">
        <is>
          <t>T05</t>
        </is>
      </c>
      <c r="B640" s="7" t="inlineStr">
        <is>
          <t>MCX:T05-MCX-4</t>
        </is>
      </c>
      <c r="C640" s="7" t="inlineStr">
        <is>
          <t>T05-MCX-4</t>
        </is>
      </c>
      <c r="D640" s="7" t="inlineStr">
        <is>
          <t>MCX_VARIATION_MARGIN</t>
        </is>
      </c>
      <c r="E640" s="7" t="inlineStr">
        <is>
          <t>MCX_VARIATION_MARGIN</t>
        </is>
      </c>
      <c r="F640" s="7" t="inlineStr">
        <is>
          <t>PNL</t>
        </is>
      </c>
      <c r="G640" s="7" t="inlineStr">
        <is>
          <t>INR</t>
        </is>
      </c>
      <c r="H640" s="11" t="n">
        <v>44733</v>
      </c>
      <c r="I640" s="11" t="n">
        <v>44733</v>
      </c>
      <c r="J640" s="11" t="n">
        <v>44733</v>
      </c>
      <c r="K640" s="11" t="n">
        <v>44733</v>
      </c>
      <c r="L640" s="7" t="inlineStr">
        <is>
          <t>roll following on the LME panel calendar</t>
        </is>
      </c>
      <c r="N640" s="7" t="inlineStr">
        <is>
          <t>PROXY</t>
        </is>
      </c>
      <c r="O640" s="9" t="n">
        <v>-0</v>
      </c>
      <c r="P640" s="9" t="n">
        <v>-0</v>
      </c>
      <c r="U640" s="7" t="inlineStr">
        <is>
          <t>DERIVED_IN_WORKBOOK</t>
        </is>
      </c>
      <c r="V640" s="8">
        <f>SUMIFS(Cashflows!$R$1043:$R$1393,Cashflows!$B$1043:$B$1393,$C640,Cashflows!$C$1043:$C$1393,$K640)</f>
        <v/>
      </c>
      <c r="W640" s="8">
        <f>IF($G640="INR",1,INDEX(Market_Daily!$F$6:$F$256,MATCH($K640,Market_Daily!$A$6:$A$256,0)))</f>
        <v/>
      </c>
      <c r="X640" s="8">
        <f>$V640*$W640</f>
        <v/>
      </c>
      <c r="Y640" s="18">
        <f>$X640-$P640</f>
        <v/>
      </c>
      <c r="Z640" s="8">
        <f>IF(ABS($Y640)&lt;=tol_cashflow_inr,"PASS","FAIL")</f>
        <v/>
      </c>
      <c r="AA640" s="7" t="inlineStr">
        <is>
          <t>direction x lots x lot_kg x (F(entry) - entry settle) = 0 by construction</t>
        </is>
      </c>
    </row>
    <row r="641">
      <c r="A641" s="7" t="inlineStr">
        <is>
          <t>T05</t>
        </is>
      </c>
      <c r="B641" s="7" t="inlineStr">
        <is>
          <t>MCX:T05-MCX-3</t>
        </is>
      </c>
      <c r="C641" s="7" t="inlineStr">
        <is>
          <t>T05-MCX-3</t>
        </is>
      </c>
      <c r="D641" s="7" t="inlineStr">
        <is>
          <t>MCX_INITIAL_MARGIN</t>
        </is>
      </c>
      <c r="E641" s="7" t="inlineStr">
        <is>
          <t>MCX_INITIAL_MARGIN</t>
        </is>
      </c>
      <c r="F641" s="7" t="inlineStr">
        <is>
          <t>BS</t>
        </is>
      </c>
      <c r="G641" s="7" t="inlineStr">
        <is>
          <t>INR</t>
        </is>
      </c>
      <c r="H641" s="11" t="n">
        <v>44728</v>
      </c>
      <c r="I641" s="11" t="n">
        <v>44734</v>
      </c>
      <c r="J641" s="11" t="n">
        <v>44734</v>
      </c>
      <c r="K641" s="11" t="n">
        <v>44734</v>
      </c>
      <c r="L641" s="7" t="inlineStr">
        <is>
          <t>roll following on the LME panel calendar</t>
        </is>
      </c>
      <c r="N641" s="7" t="inlineStr">
        <is>
          <t>PROXY</t>
        </is>
      </c>
      <c r="O641" s="9" t="n">
        <v>688405.28</v>
      </c>
      <c r="P641" s="9" t="n">
        <v>688405.28</v>
      </c>
      <c r="U641" s="7" t="inlineStr">
        <is>
          <t>DERIVED_IN_WORKBOOK</t>
        </is>
      </c>
      <c r="V641" s="8">
        <f>-SUMIFS(Cashflows!$W$1043:$W$1393,Cashflows!$B$1043:$B$1393,$C641,Cashflows!$C$1043:$C$1393,$K641)</f>
        <v/>
      </c>
      <c r="W641" s="8">
        <f>IF($G641="INR",1,INDEX(Market_Daily!$F$6:$F$256,MATCH($K641,Market_Daily!$A$6:$A$256,0)))</f>
        <v/>
      </c>
      <c r="X641" s="8">
        <f>$V641*$W641</f>
        <v/>
      </c>
      <c r="Y641" s="18">
        <f>$X641-$P641</f>
        <v/>
      </c>
      <c r="Z641" s="8">
        <f>IF(ABS($Y641)&lt;=tol_cashflow_inr,"PASS","FAIL")</f>
        <v/>
      </c>
      <c r="AA641" s="7" t="inlineStr">
        <is>
          <t>-d(lots x lot_kg x F(s) x mcx_al_margin_used_frac)</t>
        </is>
      </c>
    </row>
    <row r="642">
      <c r="A642" s="7" t="inlineStr">
        <is>
          <t>T05</t>
        </is>
      </c>
      <c r="B642" s="7" t="inlineStr">
        <is>
          <t>MCX:T05-MCX-3</t>
        </is>
      </c>
      <c r="C642" s="7" t="inlineStr">
        <is>
          <t>T05-MCX-3</t>
        </is>
      </c>
      <c r="D642" s="7" t="inlineStr">
        <is>
          <t>MCX_VARIATION_MARGIN</t>
        </is>
      </c>
      <c r="E642" s="7" t="inlineStr">
        <is>
          <t>MCX_VARIATION_MARGIN</t>
        </is>
      </c>
      <c r="F642" s="7" t="inlineStr">
        <is>
          <t>PNL</t>
        </is>
      </c>
      <c r="G642" s="7" t="inlineStr">
        <is>
          <t>INR</t>
        </is>
      </c>
      <c r="H642" s="11" t="n">
        <v>44728</v>
      </c>
      <c r="I642" s="11" t="n">
        <v>44734</v>
      </c>
      <c r="J642" s="11" t="n">
        <v>44734</v>
      </c>
      <c r="K642" s="11" t="n">
        <v>44734</v>
      </c>
      <c r="L642" s="7" t="inlineStr">
        <is>
          <t>roll following on the LME panel calendar</t>
        </is>
      </c>
      <c r="N642" s="7" t="inlineStr">
        <is>
          <t>PROXY</t>
        </is>
      </c>
      <c r="O642" s="9" t="n">
        <v>6884052.77</v>
      </c>
      <c r="P642" s="9" t="n">
        <v>6884052.77</v>
      </c>
      <c r="U642" s="7" t="inlineStr">
        <is>
          <t>DERIVED_IN_WORKBOOK</t>
        </is>
      </c>
      <c r="V642" s="8">
        <f>SUMIFS(Cashflows!$R$1043:$R$1393,Cashflows!$B$1043:$B$1393,$C642,Cashflows!$C$1043:$C$1393,$K642)</f>
        <v/>
      </c>
      <c r="W642" s="8">
        <f>IF($G642="INR",1,INDEX(Market_Daily!$F$6:$F$256,MATCH($K642,Market_Daily!$A$6:$A$256,0)))</f>
        <v/>
      </c>
      <c r="X642" s="8">
        <f>$V642*$W642</f>
        <v/>
      </c>
      <c r="Y642" s="18">
        <f>$X642-$P642</f>
        <v/>
      </c>
      <c r="Z642" s="8">
        <f>IF(ABS($Y642)&lt;=tol_cashflow_inr,"PASS","FAIL")</f>
        <v/>
      </c>
      <c r="AA642" s="7" t="inlineStr">
        <is>
          <t>direction x lots x lot_kg x (F(s) - F(s-1))</t>
        </is>
      </c>
    </row>
    <row r="643">
      <c r="A643" s="7" t="inlineStr">
        <is>
          <t>T05</t>
        </is>
      </c>
      <c r="B643" s="7" t="inlineStr">
        <is>
          <t>MCX:T05-MCX-4</t>
        </is>
      </c>
      <c r="C643" s="7" t="inlineStr">
        <is>
          <t>T05-MCX-4</t>
        </is>
      </c>
      <c r="D643" s="7" t="inlineStr">
        <is>
          <t>MCX_INITIAL_MARGIN</t>
        </is>
      </c>
      <c r="E643" s="7" t="inlineStr">
        <is>
          <t>MCX_INITIAL_MARGIN</t>
        </is>
      </c>
      <c r="F643" s="7" t="inlineStr">
        <is>
          <t>BS</t>
        </is>
      </c>
      <c r="G643" s="7" t="inlineStr">
        <is>
          <t>INR</t>
        </is>
      </c>
      <c r="H643" s="11" t="n">
        <v>44733</v>
      </c>
      <c r="I643" s="11" t="n">
        <v>44734</v>
      </c>
      <c r="J643" s="11" t="n">
        <v>44734</v>
      </c>
      <c r="K643" s="11" t="n">
        <v>44734</v>
      </c>
      <c r="L643" s="7" t="inlineStr">
        <is>
          <t>roll following on the LME panel calendar</t>
        </is>
      </c>
      <c r="N643" s="7" t="inlineStr">
        <is>
          <t>PROXY</t>
        </is>
      </c>
      <c r="O643" s="9" t="n">
        <v>259077.25</v>
      </c>
      <c r="P643" s="9" t="n">
        <v>259077.25</v>
      </c>
      <c r="U643" s="7" t="inlineStr">
        <is>
          <t>DERIVED_IN_WORKBOOK</t>
        </is>
      </c>
      <c r="V643" s="8">
        <f>-SUMIFS(Cashflows!$W$1043:$W$1393,Cashflows!$B$1043:$B$1393,$C643,Cashflows!$C$1043:$C$1393,$K643)</f>
        <v/>
      </c>
      <c r="W643" s="8">
        <f>IF($G643="INR",1,INDEX(Market_Daily!$F$6:$F$256,MATCH($K643,Market_Daily!$A$6:$A$256,0)))</f>
        <v/>
      </c>
      <c r="X643" s="8">
        <f>$V643*$W643</f>
        <v/>
      </c>
      <c r="Y643" s="18">
        <f>$X643-$P643</f>
        <v/>
      </c>
      <c r="Z643" s="8">
        <f>IF(ABS($Y643)&lt;=tol_cashflow_inr,"PASS","FAIL")</f>
        <v/>
      </c>
      <c r="AA643" s="7" t="inlineStr">
        <is>
          <t>-d(lots x lot_kg x F(s) x mcx_al_margin_used_frac)</t>
        </is>
      </c>
    </row>
    <row r="644">
      <c r="A644" s="7" t="inlineStr">
        <is>
          <t>T05</t>
        </is>
      </c>
      <c r="B644" s="7" t="inlineStr">
        <is>
          <t>MCX:T05-MCX-4</t>
        </is>
      </c>
      <c r="C644" s="7" t="inlineStr">
        <is>
          <t>T05-MCX-4</t>
        </is>
      </c>
      <c r="D644" s="7" t="inlineStr">
        <is>
          <t>MCX_VARIATION_MARGIN</t>
        </is>
      </c>
      <c r="E644" s="7" t="inlineStr">
        <is>
          <t>MCX_VARIATION_MARGIN</t>
        </is>
      </c>
      <c r="F644" s="7" t="inlineStr">
        <is>
          <t>PNL</t>
        </is>
      </c>
      <c r="G644" s="7" t="inlineStr">
        <is>
          <t>INR</t>
        </is>
      </c>
      <c r="H644" s="11" t="n">
        <v>44733</v>
      </c>
      <c r="I644" s="11" t="n">
        <v>44734</v>
      </c>
      <c r="J644" s="11" t="n">
        <v>44734</v>
      </c>
      <c r="K644" s="11" t="n">
        <v>44734</v>
      </c>
      <c r="L644" s="7" t="inlineStr">
        <is>
          <t>roll following on the LME panel calendar</t>
        </is>
      </c>
      <c r="N644" s="7" t="inlineStr">
        <is>
          <t>PROXY</t>
        </is>
      </c>
      <c r="O644" s="9" t="n">
        <v>2590772.55</v>
      </c>
      <c r="P644" s="9" t="n">
        <v>2590772.55</v>
      </c>
      <c r="U644" s="7" t="inlineStr">
        <is>
          <t>DERIVED_IN_WORKBOOK</t>
        </is>
      </c>
      <c r="V644" s="8">
        <f>SUMIFS(Cashflows!$R$1043:$R$1393,Cashflows!$B$1043:$B$1393,$C644,Cashflows!$C$1043:$C$1393,$K644)</f>
        <v/>
      </c>
      <c r="W644" s="8">
        <f>IF($G644="INR",1,INDEX(Market_Daily!$F$6:$F$256,MATCH($K644,Market_Daily!$A$6:$A$256,0)))</f>
        <v/>
      </c>
      <c r="X644" s="8">
        <f>$V644*$W644</f>
        <v/>
      </c>
      <c r="Y644" s="18">
        <f>$X644-$P644</f>
        <v/>
      </c>
      <c r="Z644" s="8">
        <f>IF(ABS($Y644)&lt;=tol_cashflow_inr,"PASS","FAIL")</f>
        <v/>
      </c>
      <c r="AA644" s="7" t="inlineStr">
        <is>
          <t>direction x lots x lot_kg x (F(s) - F(s-1))</t>
        </is>
      </c>
    </row>
    <row r="645">
      <c r="A645" s="7" t="inlineStr">
        <is>
          <t>T05</t>
        </is>
      </c>
      <c r="B645" s="7" t="inlineStr">
        <is>
          <t>MCX:T05-MCX-3</t>
        </is>
      </c>
      <c r="C645" s="7" t="inlineStr">
        <is>
          <t>T05-MCX-3</t>
        </is>
      </c>
      <c r="D645" s="7" t="inlineStr">
        <is>
          <t>MCX_INITIAL_MARGIN</t>
        </is>
      </c>
      <c r="E645" s="7" t="inlineStr">
        <is>
          <t>MCX_INITIAL_MARGIN</t>
        </is>
      </c>
      <c r="F645" s="7" t="inlineStr">
        <is>
          <t>BS</t>
        </is>
      </c>
      <c r="G645" s="7" t="inlineStr">
        <is>
          <t>INR</t>
        </is>
      </c>
      <c r="H645" s="11" t="n">
        <v>44728</v>
      </c>
      <c r="I645" s="11" t="n">
        <v>44735</v>
      </c>
      <c r="J645" s="11" t="n">
        <v>44735</v>
      </c>
      <c r="K645" s="11" t="n">
        <v>44735</v>
      </c>
      <c r="L645" s="7" t="inlineStr">
        <is>
          <t>roll following on the LME panel calendar</t>
        </is>
      </c>
      <c r="N645" s="7" t="inlineStr">
        <is>
          <t>PROXY</t>
        </is>
      </c>
      <c r="O645" s="9" t="n">
        <v>-273050.05</v>
      </c>
      <c r="P645" s="9" t="n">
        <v>-273050.05</v>
      </c>
      <c r="U645" s="7" t="inlineStr">
        <is>
          <t>DERIVED_IN_WORKBOOK</t>
        </is>
      </c>
      <c r="V645" s="8">
        <f>-SUMIFS(Cashflows!$W$1043:$W$1393,Cashflows!$B$1043:$B$1393,$C645,Cashflows!$C$1043:$C$1393,$K645)</f>
        <v/>
      </c>
      <c r="W645" s="8">
        <f>IF($G645="INR",1,INDEX(Market_Daily!$F$6:$F$256,MATCH($K645,Market_Daily!$A$6:$A$256,0)))</f>
        <v/>
      </c>
      <c r="X645" s="8">
        <f>$V645*$W645</f>
        <v/>
      </c>
      <c r="Y645" s="18">
        <f>$X645-$P645</f>
        <v/>
      </c>
      <c r="Z645" s="8">
        <f>IF(ABS($Y645)&lt;=tol_cashflow_inr,"PASS","FAIL")</f>
        <v/>
      </c>
      <c r="AA645" s="7" t="inlineStr">
        <is>
          <t>-d(lots x lot_kg x F(s) x mcx_al_margin_used_frac)</t>
        </is>
      </c>
    </row>
    <row r="646">
      <c r="A646" s="7" t="inlineStr">
        <is>
          <t>T05</t>
        </is>
      </c>
      <c r="B646" s="7" t="inlineStr">
        <is>
          <t>MCX:T05-MCX-3</t>
        </is>
      </c>
      <c r="C646" s="7" t="inlineStr">
        <is>
          <t>T05-MCX-3</t>
        </is>
      </c>
      <c r="D646" s="7" t="inlineStr">
        <is>
          <t>MCX_VARIATION_MARGIN</t>
        </is>
      </c>
      <c r="E646" s="7" t="inlineStr">
        <is>
          <t>MCX_VARIATION_MARGIN</t>
        </is>
      </c>
      <c r="F646" s="7" t="inlineStr">
        <is>
          <t>PNL</t>
        </is>
      </c>
      <c r="G646" s="7" t="inlineStr">
        <is>
          <t>INR</t>
        </is>
      </c>
      <c r="H646" s="11" t="n">
        <v>44728</v>
      </c>
      <c r="I646" s="11" t="n">
        <v>44735</v>
      </c>
      <c r="J646" s="11" t="n">
        <v>44735</v>
      </c>
      <c r="K646" s="11" t="n">
        <v>44735</v>
      </c>
      <c r="L646" s="7" t="inlineStr">
        <is>
          <t>roll following on the LME panel calendar</t>
        </is>
      </c>
      <c r="N646" s="7" t="inlineStr">
        <is>
          <t>PROXY</t>
        </is>
      </c>
      <c r="O646" s="9" t="n">
        <v>-2730500.46</v>
      </c>
      <c r="P646" s="9" t="n">
        <v>-2730500.46</v>
      </c>
      <c r="U646" s="7" t="inlineStr">
        <is>
          <t>DERIVED_IN_WORKBOOK</t>
        </is>
      </c>
      <c r="V646" s="8">
        <f>SUMIFS(Cashflows!$R$1043:$R$1393,Cashflows!$B$1043:$B$1393,$C646,Cashflows!$C$1043:$C$1393,$K646)</f>
        <v/>
      </c>
      <c r="W646" s="8">
        <f>IF($G646="INR",1,INDEX(Market_Daily!$F$6:$F$256,MATCH($K646,Market_Daily!$A$6:$A$256,0)))</f>
        <v/>
      </c>
      <c r="X646" s="8">
        <f>$V646*$W646</f>
        <v/>
      </c>
      <c r="Y646" s="18">
        <f>$X646-$P646</f>
        <v/>
      </c>
      <c r="Z646" s="8">
        <f>IF(ABS($Y646)&lt;=tol_cashflow_inr,"PASS","FAIL")</f>
        <v/>
      </c>
      <c r="AA646" s="7" t="inlineStr">
        <is>
          <t>direction x lots x lot_kg x (F(s) - F(s-1))</t>
        </is>
      </c>
    </row>
    <row r="647">
      <c r="A647" s="7" t="inlineStr">
        <is>
          <t>T05</t>
        </is>
      </c>
      <c r="B647" s="7" t="inlineStr">
        <is>
          <t>MCX:T05-MCX-4</t>
        </is>
      </c>
      <c r="C647" s="7" t="inlineStr">
        <is>
          <t>T05-MCX-4</t>
        </is>
      </c>
      <c r="D647" s="7" t="inlineStr">
        <is>
          <t>MCX_INITIAL_MARGIN</t>
        </is>
      </c>
      <c r="E647" s="7" t="inlineStr">
        <is>
          <t>MCX_INITIAL_MARGIN</t>
        </is>
      </c>
      <c r="F647" s="7" t="inlineStr">
        <is>
          <t>BS</t>
        </is>
      </c>
      <c r="G647" s="7" t="inlineStr">
        <is>
          <t>INR</t>
        </is>
      </c>
      <c r="H647" s="11" t="n">
        <v>44733</v>
      </c>
      <c r="I647" s="11" t="n">
        <v>44735</v>
      </c>
      <c r="J647" s="11" t="n">
        <v>44735</v>
      </c>
      <c r="K647" s="11" t="n">
        <v>44735</v>
      </c>
      <c r="L647" s="7" t="inlineStr">
        <is>
          <t>roll following on the LME panel calendar</t>
        </is>
      </c>
      <c r="N647" s="7" t="inlineStr">
        <is>
          <t>PROXY</t>
        </is>
      </c>
      <c r="O647" s="9" t="n">
        <v>-102760.77</v>
      </c>
      <c r="P647" s="9" t="n">
        <v>-102760.77</v>
      </c>
      <c r="U647" s="7" t="inlineStr">
        <is>
          <t>DERIVED_IN_WORKBOOK</t>
        </is>
      </c>
      <c r="V647" s="8">
        <f>-SUMIFS(Cashflows!$W$1043:$W$1393,Cashflows!$B$1043:$B$1393,$C647,Cashflows!$C$1043:$C$1393,$K647)</f>
        <v/>
      </c>
      <c r="W647" s="8">
        <f>IF($G647="INR",1,INDEX(Market_Daily!$F$6:$F$256,MATCH($K647,Market_Daily!$A$6:$A$256,0)))</f>
        <v/>
      </c>
      <c r="X647" s="8">
        <f>$V647*$W647</f>
        <v/>
      </c>
      <c r="Y647" s="18">
        <f>$X647-$P647</f>
        <v/>
      </c>
      <c r="Z647" s="8">
        <f>IF(ABS($Y647)&lt;=tol_cashflow_inr,"PASS","FAIL")</f>
        <v/>
      </c>
      <c r="AA647" s="7" t="inlineStr">
        <is>
          <t>-d(lots x lot_kg x F(s) x mcx_al_margin_used_frac)</t>
        </is>
      </c>
    </row>
    <row r="648">
      <c r="A648" s="7" t="inlineStr">
        <is>
          <t>T05</t>
        </is>
      </c>
      <c r="B648" s="7" t="inlineStr">
        <is>
          <t>MCX:T05-MCX-4</t>
        </is>
      </c>
      <c r="C648" s="7" t="inlineStr">
        <is>
          <t>T05-MCX-4</t>
        </is>
      </c>
      <c r="D648" s="7" t="inlineStr">
        <is>
          <t>MCX_VARIATION_MARGIN</t>
        </is>
      </c>
      <c r="E648" s="7" t="inlineStr">
        <is>
          <t>MCX_VARIATION_MARGIN</t>
        </is>
      </c>
      <c r="F648" s="7" t="inlineStr">
        <is>
          <t>PNL</t>
        </is>
      </c>
      <c r="G648" s="7" t="inlineStr">
        <is>
          <t>INR</t>
        </is>
      </c>
      <c r="H648" s="11" t="n">
        <v>44733</v>
      </c>
      <c r="I648" s="11" t="n">
        <v>44735</v>
      </c>
      <c r="J648" s="11" t="n">
        <v>44735</v>
      </c>
      <c r="K648" s="11" t="n">
        <v>44735</v>
      </c>
      <c r="L648" s="7" t="inlineStr">
        <is>
          <t>roll following on the LME panel calendar</t>
        </is>
      </c>
      <c r="N648" s="7" t="inlineStr">
        <is>
          <t>PROXY</t>
        </is>
      </c>
      <c r="O648" s="9" t="n">
        <v>-1027607.7</v>
      </c>
      <c r="P648" s="9" t="n">
        <v>-1027607.7</v>
      </c>
      <c r="U648" s="7" t="inlineStr">
        <is>
          <t>DERIVED_IN_WORKBOOK</t>
        </is>
      </c>
      <c r="V648" s="8">
        <f>SUMIFS(Cashflows!$R$1043:$R$1393,Cashflows!$B$1043:$B$1393,$C648,Cashflows!$C$1043:$C$1393,$K648)</f>
        <v/>
      </c>
      <c r="W648" s="8">
        <f>IF($G648="INR",1,INDEX(Market_Daily!$F$6:$F$256,MATCH($K648,Market_Daily!$A$6:$A$256,0)))</f>
        <v/>
      </c>
      <c r="X648" s="8">
        <f>$V648*$W648</f>
        <v/>
      </c>
      <c r="Y648" s="18">
        <f>$X648-$P648</f>
        <v/>
      </c>
      <c r="Z648" s="8">
        <f>IF(ABS($Y648)&lt;=tol_cashflow_inr,"PASS","FAIL")</f>
        <v/>
      </c>
      <c r="AA648" s="7" t="inlineStr">
        <is>
          <t>direction x lots x lot_kg x (F(s) - F(s-1))</t>
        </is>
      </c>
    </row>
    <row r="649">
      <c r="A649" s="7" t="inlineStr">
        <is>
          <t>T05</t>
        </is>
      </c>
      <c r="B649" s="7" t="inlineStr">
        <is>
          <t>MCX:T05-MCX-3</t>
        </is>
      </c>
      <c r="C649" s="7" t="inlineStr">
        <is>
          <t>T05-MCX-3</t>
        </is>
      </c>
      <c r="D649" s="7" t="inlineStr">
        <is>
          <t>MCX_INITIAL_MARGIN</t>
        </is>
      </c>
      <c r="E649" s="7" t="inlineStr">
        <is>
          <t>MCX_INITIAL_MARGIN</t>
        </is>
      </c>
      <c r="F649" s="7" t="inlineStr">
        <is>
          <t>BS</t>
        </is>
      </c>
      <c r="G649" s="7" t="inlineStr">
        <is>
          <t>INR</t>
        </is>
      </c>
      <c r="H649" s="11" t="n">
        <v>44728</v>
      </c>
      <c r="I649" s="11" t="n">
        <v>44736</v>
      </c>
      <c r="J649" s="11" t="n">
        <v>44736</v>
      </c>
      <c r="K649" s="11" t="n">
        <v>44736</v>
      </c>
      <c r="L649" s="7" t="inlineStr">
        <is>
          <t>roll following on the LME panel calendar</t>
        </is>
      </c>
      <c r="N649" s="7" t="inlineStr">
        <is>
          <t>PROXY</t>
        </is>
      </c>
      <c r="O649" s="9" t="n">
        <v>524437.61</v>
      </c>
      <c r="P649" s="9" t="n">
        <v>524437.61</v>
      </c>
      <c r="U649" s="7" t="inlineStr">
        <is>
          <t>DERIVED_IN_WORKBOOK</t>
        </is>
      </c>
      <c r="V649" s="8">
        <f>-SUMIFS(Cashflows!$W$1043:$W$1393,Cashflows!$B$1043:$B$1393,$C649,Cashflows!$C$1043:$C$1393,$K649)</f>
        <v/>
      </c>
      <c r="W649" s="8">
        <f>IF($G649="INR",1,INDEX(Market_Daily!$F$6:$F$256,MATCH($K649,Market_Daily!$A$6:$A$256,0)))</f>
        <v/>
      </c>
      <c r="X649" s="8">
        <f>$V649*$W649</f>
        <v/>
      </c>
      <c r="Y649" s="18">
        <f>$X649-$P649</f>
        <v/>
      </c>
      <c r="Z649" s="8">
        <f>IF(ABS($Y649)&lt;=tol_cashflow_inr,"PASS","FAIL")</f>
        <v/>
      </c>
      <c r="AA649" s="7" t="inlineStr">
        <is>
          <t>-d(lots x lot_kg x F(s) x mcx_al_margin_used_frac)</t>
        </is>
      </c>
    </row>
    <row r="650">
      <c r="A650" s="7" t="inlineStr">
        <is>
          <t>T05</t>
        </is>
      </c>
      <c r="B650" s="7" t="inlineStr">
        <is>
          <t>MCX:T05-MCX-3</t>
        </is>
      </c>
      <c r="C650" s="7" t="inlineStr">
        <is>
          <t>T05-MCX-3</t>
        </is>
      </c>
      <c r="D650" s="7" t="inlineStr">
        <is>
          <t>MCX_VARIATION_MARGIN</t>
        </is>
      </c>
      <c r="E650" s="7" t="inlineStr">
        <is>
          <t>MCX_VARIATION_MARGIN</t>
        </is>
      </c>
      <c r="F650" s="7" t="inlineStr">
        <is>
          <t>PNL</t>
        </is>
      </c>
      <c r="G650" s="7" t="inlineStr">
        <is>
          <t>INR</t>
        </is>
      </c>
      <c r="H650" s="11" t="n">
        <v>44728</v>
      </c>
      <c r="I650" s="11" t="n">
        <v>44736</v>
      </c>
      <c r="J650" s="11" t="n">
        <v>44736</v>
      </c>
      <c r="K650" s="11" t="n">
        <v>44736</v>
      </c>
      <c r="L650" s="7" t="inlineStr">
        <is>
          <t>roll following on the LME panel calendar</t>
        </is>
      </c>
      <c r="N650" s="7" t="inlineStr">
        <is>
          <t>PROXY</t>
        </is>
      </c>
      <c r="O650" s="9" t="n">
        <v>5244376.15</v>
      </c>
      <c r="P650" s="9" t="n">
        <v>5244376.15</v>
      </c>
      <c r="U650" s="7" t="inlineStr">
        <is>
          <t>DERIVED_IN_WORKBOOK</t>
        </is>
      </c>
      <c r="V650" s="8">
        <f>SUMIFS(Cashflows!$R$1043:$R$1393,Cashflows!$B$1043:$B$1393,$C650,Cashflows!$C$1043:$C$1393,$K650)</f>
        <v/>
      </c>
      <c r="W650" s="8">
        <f>IF($G650="INR",1,INDEX(Market_Daily!$F$6:$F$256,MATCH($K650,Market_Daily!$A$6:$A$256,0)))</f>
        <v/>
      </c>
      <c r="X650" s="8">
        <f>$V650*$W650</f>
        <v/>
      </c>
      <c r="Y650" s="18">
        <f>$X650-$P650</f>
        <v/>
      </c>
      <c r="Z650" s="8">
        <f>IF(ABS($Y650)&lt;=tol_cashflow_inr,"PASS","FAIL")</f>
        <v/>
      </c>
      <c r="AA650" s="7" t="inlineStr">
        <is>
          <t>direction x lots x lot_kg x (F(s) - F(s-1))</t>
        </is>
      </c>
    </row>
    <row r="651">
      <c r="A651" s="7" t="inlineStr">
        <is>
          <t>T05</t>
        </is>
      </c>
      <c r="B651" s="7" t="inlineStr">
        <is>
          <t>MCX:T05-MCX-4</t>
        </is>
      </c>
      <c r="C651" s="7" t="inlineStr">
        <is>
          <t>T05-MCX-4</t>
        </is>
      </c>
      <c r="D651" s="7" t="inlineStr">
        <is>
          <t>MCX_INITIAL_MARGIN</t>
        </is>
      </c>
      <c r="E651" s="7" t="inlineStr">
        <is>
          <t>MCX_INITIAL_MARGIN</t>
        </is>
      </c>
      <c r="F651" s="7" t="inlineStr">
        <is>
          <t>BS</t>
        </is>
      </c>
      <c r="G651" s="7" t="inlineStr">
        <is>
          <t>INR</t>
        </is>
      </c>
      <c r="H651" s="11" t="n">
        <v>44733</v>
      </c>
      <c r="I651" s="11" t="n">
        <v>44736</v>
      </c>
      <c r="J651" s="11" t="n">
        <v>44736</v>
      </c>
      <c r="K651" s="11" t="n">
        <v>44736</v>
      </c>
      <c r="L651" s="7" t="inlineStr">
        <is>
          <t>roll following on the LME panel calendar</t>
        </is>
      </c>
      <c r="N651" s="7" t="inlineStr">
        <is>
          <t>PROXY</t>
        </is>
      </c>
      <c r="O651" s="9" t="n">
        <v>197368.99</v>
      </c>
      <c r="P651" s="9" t="n">
        <v>197368.99</v>
      </c>
      <c r="U651" s="7" t="inlineStr">
        <is>
          <t>DERIVED_IN_WORKBOOK</t>
        </is>
      </c>
      <c r="V651" s="8">
        <f>-SUMIFS(Cashflows!$W$1043:$W$1393,Cashflows!$B$1043:$B$1393,$C651,Cashflows!$C$1043:$C$1393,$K651)</f>
        <v/>
      </c>
      <c r="W651" s="8">
        <f>IF($G651="INR",1,INDEX(Market_Daily!$F$6:$F$256,MATCH($K651,Market_Daily!$A$6:$A$256,0)))</f>
        <v/>
      </c>
      <c r="X651" s="8">
        <f>$V651*$W651</f>
        <v/>
      </c>
      <c r="Y651" s="18">
        <f>$X651-$P651</f>
        <v/>
      </c>
      <c r="Z651" s="8">
        <f>IF(ABS($Y651)&lt;=tol_cashflow_inr,"PASS","FAIL")</f>
        <v/>
      </c>
      <c r="AA651" s="7" t="inlineStr">
        <is>
          <t>-d(lots x lot_kg x F(s) x mcx_al_margin_used_frac)</t>
        </is>
      </c>
    </row>
    <row r="652">
      <c r="A652" s="7" t="inlineStr">
        <is>
          <t>T05</t>
        </is>
      </c>
      <c r="B652" s="7" t="inlineStr">
        <is>
          <t>MCX:T05-MCX-4</t>
        </is>
      </c>
      <c r="C652" s="7" t="inlineStr">
        <is>
          <t>T05-MCX-4</t>
        </is>
      </c>
      <c r="D652" s="7" t="inlineStr">
        <is>
          <t>MCX_VARIATION_MARGIN</t>
        </is>
      </c>
      <c r="E652" s="7" t="inlineStr">
        <is>
          <t>MCX_VARIATION_MARGIN</t>
        </is>
      </c>
      <c r="F652" s="7" t="inlineStr">
        <is>
          <t>PNL</t>
        </is>
      </c>
      <c r="G652" s="7" t="inlineStr">
        <is>
          <t>INR</t>
        </is>
      </c>
      <c r="H652" s="11" t="n">
        <v>44733</v>
      </c>
      <c r="I652" s="11" t="n">
        <v>44736</v>
      </c>
      <c r="J652" s="11" t="n">
        <v>44736</v>
      </c>
      <c r="K652" s="11" t="n">
        <v>44736</v>
      </c>
      <c r="L652" s="7" t="inlineStr">
        <is>
          <t>roll following on the LME panel calendar</t>
        </is>
      </c>
      <c r="N652" s="7" t="inlineStr">
        <is>
          <t>PROXY</t>
        </is>
      </c>
      <c r="O652" s="9" t="n">
        <v>1973689.95</v>
      </c>
      <c r="P652" s="9" t="n">
        <v>1973689.95</v>
      </c>
      <c r="U652" s="7" t="inlineStr">
        <is>
          <t>DERIVED_IN_WORKBOOK</t>
        </is>
      </c>
      <c r="V652" s="8">
        <f>SUMIFS(Cashflows!$R$1043:$R$1393,Cashflows!$B$1043:$B$1393,$C652,Cashflows!$C$1043:$C$1393,$K652)</f>
        <v/>
      </c>
      <c r="W652" s="8">
        <f>IF($G652="INR",1,INDEX(Market_Daily!$F$6:$F$256,MATCH($K652,Market_Daily!$A$6:$A$256,0)))</f>
        <v/>
      </c>
      <c r="X652" s="8">
        <f>$V652*$W652</f>
        <v/>
      </c>
      <c r="Y652" s="18">
        <f>$X652-$P652</f>
        <v/>
      </c>
      <c r="Z652" s="8">
        <f>IF(ABS($Y652)&lt;=tol_cashflow_inr,"PASS","FAIL")</f>
        <v/>
      </c>
      <c r="AA652" s="7" t="inlineStr">
        <is>
          <t>direction x lots x lot_kg x (F(s) - F(s-1))</t>
        </is>
      </c>
    </row>
    <row r="653">
      <c r="A653" s="7" t="inlineStr">
        <is>
          <t>T05</t>
        </is>
      </c>
      <c r="B653" s="7" t="inlineStr">
        <is>
          <t>MCX:T05-MCX-3</t>
        </is>
      </c>
      <c r="C653" s="7" t="inlineStr">
        <is>
          <t>T05-MCX-3</t>
        </is>
      </c>
      <c r="D653" s="7" t="inlineStr">
        <is>
          <t>MCX_INITIAL_MARGIN</t>
        </is>
      </c>
      <c r="E653" s="7" t="inlineStr">
        <is>
          <t>MCX_INITIAL_MARGIN</t>
        </is>
      </c>
      <c r="F653" s="7" t="inlineStr">
        <is>
          <t>BS</t>
        </is>
      </c>
      <c r="G653" s="7" t="inlineStr">
        <is>
          <t>INR</t>
        </is>
      </c>
      <c r="H653" s="11" t="n">
        <v>44728</v>
      </c>
      <c r="I653" s="11" t="n">
        <v>44739</v>
      </c>
      <c r="J653" s="11" t="n">
        <v>44739</v>
      </c>
      <c r="K653" s="11" t="n">
        <v>44739</v>
      </c>
      <c r="L653" s="7" t="inlineStr">
        <is>
          <t>roll following on the LME panel calendar</t>
        </is>
      </c>
      <c r="N653" s="7" t="inlineStr">
        <is>
          <t>PROXY</t>
        </is>
      </c>
      <c r="O653" s="9" t="n">
        <v>-245398.28</v>
      </c>
      <c r="P653" s="9" t="n">
        <v>-245398.28</v>
      </c>
      <c r="U653" s="7" t="inlineStr">
        <is>
          <t>DERIVED_IN_WORKBOOK</t>
        </is>
      </c>
      <c r="V653" s="8">
        <f>-SUMIFS(Cashflows!$W$1043:$W$1393,Cashflows!$B$1043:$B$1393,$C653,Cashflows!$C$1043:$C$1393,$K653)</f>
        <v/>
      </c>
      <c r="W653" s="8">
        <f>IF($G653="INR",1,INDEX(Market_Daily!$F$6:$F$256,MATCH($K653,Market_Daily!$A$6:$A$256,0)))</f>
        <v/>
      </c>
      <c r="X653" s="8">
        <f>$V653*$W653</f>
        <v/>
      </c>
      <c r="Y653" s="18">
        <f>$X653-$P653</f>
        <v/>
      </c>
      <c r="Z653" s="8">
        <f>IF(ABS($Y653)&lt;=tol_cashflow_inr,"PASS","FAIL")</f>
        <v/>
      </c>
      <c r="AA653" s="7" t="inlineStr">
        <is>
          <t>-d(lots x lot_kg x F(s) x mcx_al_margin_used_frac)</t>
        </is>
      </c>
    </row>
    <row r="654">
      <c r="A654" s="7" t="inlineStr">
        <is>
          <t>T05</t>
        </is>
      </c>
      <c r="B654" s="7" t="inlineStr">
        <is>
          <t>MCX:T05-MCX-3</t>
        </is>
      </c>
      <c r="C654" s="7" t="inlineStr">
        <is>
          <t>T05-MCX-3</t>
        </is>
      </c>
      <c r="D654" s="7" t="inlineStr">
        <is>
          <t>MCX_VARIATION_MARGIN</t>
        </is>
      </c>
      <c r="E654" s="7" t="inlineStr">
        <is>
          <t>MCX_VARIATION_MARGIN</t>
        </is>
      </c>
      <c r="F654" s="7" t="inlineStr">
        <is>
          <t>PNL</t>
        </is>
      </c>
      <c r="G654" s="7" t="inlineStr">
        <is>
          <t>INR</t>
        </is>
      </c>
      <c r="H654" s="11" t="n">
        <v>44728</v>
      </c>
      <c r="I654" s="11" t="n">
        <v>44739</v>
      </c>
      <c r="J654" s="11" t="n">
        <v>44739</v>
      </c>
      <c r="K654" s="11" t="n">
        <v>44739</v>
      </c>
      <c r="L654" s="7" t="inlineStr">
        <is>
          <t>roll following on the LME panel calendar</t>
        </is>
      </c>
      <c r="N654" s="7" t="inlineStr">
        <is>
          <t>PROXY</t>
        </is>
      </c>
      <c r="O654" s="9" t="n">
        <v>-2453982.84</v>
      </c>
      <c r="P654" s="9" t="n">
        <v>-2453982.84</v>
      </c>
      <c r="U654" s="7" t="inlineStr">
        <is>
          <t>DERIVED_IN_WORKBOOK</t>
        </is>
      </c>
      <c r="V654" s="8">
        <f>SUMIFS(Cashflows!$R$1043:$R$1393,Cashflows!$B$1043:$B$1393,$C654,Cashflows!$C$1043:$C$1393,$K654)</f>
        <v/>
      </c>
      <c r="W654" s="8">
        <f>IF($G654="INR",1,INDEX(Market_Daily!$F$6:$F$256,MATCH($K654,Market_Daily!$A$6:$A$256,0)))</f>
        <v/>
      </c>
      <c r="X654" s="8">
        <f>$V654*$W654</f>
        <v/>
      </c>
      <c r="Y654" s="18">
        <f>$X654-$P654</f>
        <v/>
      </c>
      <c r="Z654" s="8">
        <f>IF(ABS($Y654)&lt;=tol_cashflow_inr,"PASS","FAIL")</f>
        <v/>
      </c>
      <c r="AA654" s="7" t="inlineStr">
        <is>
          <t>direction x lots x lot_kg x (F(s) - F(s-1))</t>
        </is>
      </c>
    </row>
    <row r="655">
      <c r="A655" s="7" t="inlineStr">
        <is>
          <t>T05</t>
        </is>
      </c>
      <c r="B655" s="7" t="inlineStr">
        <is>
          <t>MCX:T05-MCX-4</t>
        </is>
      </c>
      <c r="C655" s="7" t="inlineStr">
        <is>
          <t>T05-MCX-4</t>
        </is>
      </c>
      <c r="D655" s="7" t="inlineStr">
        <is>
          <t>MCX_INITIAL_MARGIN</t>
        </is>
      </c>
      <c r="E655" s="7" t="inlineStr">
        <is>
          <t>MCX_INITIAL_MARGIN</t>
        </is>
      </c>
      <c r="F655" s="7" t="inlineStr">
        <is>
          <t>BS</t>
        </is>
      </c>
      <c r="G655" s="7" t="inlineStr">
        <is>
          <t>INR</t>
        </is>
      </c>
      <c r="H655" s="11" t="n">
        <v>44733</v>
      </c>
      <c r="I655" s="11" t="n">
        <v>44739</v>
      </c>
      <c r="J655" s="11" t="n">
        <v>44739</v>
      </c>
      <c r="K655" s="11" t="n">
        <v>44739</v>
      </c>
      <c r="L655" s="7" t="inlineStr">
        <is>
          <t>roll following on the LME panel calendar</t>
        </is>
      </c>
      <c r="N655" s="7" t="inlineStr">
        <is>
          <t>PROXY</t>
        </is>
      </c>
      <c r="O655" s="9" t="n">
        <v>-92354.19</v>
      </c>
      <c r="P655" s="9" t="n">
        <v>-92354.19</v>
      </c>
      <c r="U655" s="7" t="inlineStr">
        <is>
          <t>DERIVED_IN_WORKBOOK</t>
        </is>
      </c>
      <c r="V655" s="8">
        <f>-SUMIFS(Cashflows!$W$1043:$W$1393,Cashflows!$B$1043:$B$1393,$C655,Cashflows!$C$1043:$C$1393,$K655)</f>
        <v/>
      </c>
      <c r="W655" s="8">
        <f>IF($G655="INR",1,INDEX(Market_Daily!$F$6:$F$256,MATCH($K655,Market_Daily!$A$6:$A$256,0)))</f>
        <v/>
      </c>
      <c r="X655" s="8">
        <f>$V655*$W655</f>
        <v/>
      </c>
      <c r="Y655" s="18">
        <f>$X655-$P655</f>
        <v/>
      </c>
      <c r="Z655" s="8">
        <f>IF(ABS($Y655)&lt;=tol_cashflow_inr,"PASS","FAIL")</f>
        <v/>
      </c>
      <c r="AA655" s="7" t="inlineStr">
        <is>
          <t>-d(lots x lot_kg x F(s) x mcx_al_margin_used_frac)</t>
        </is>
      </c>
    </row>
    <row r="656">
      <c r="A656" s="7" t="inlineStr">
        <is>
          <t>T05</t>
        </is>
      </c>
      <c r="B656" s="7" t="inlineStr">
        <is>
          <t>MCX:T05-MCX-4</t>
        </is>
      </c>
      <c r="C656" s="7" t="inlineStr">
        <is>
          <t>T05-MCX-4</t>
        </is>
      </c>
      <c r="D656" s="7" t="inlineStr">
        <is>
          <t>MCX_VARIATION_MARGIN</t>
        </is>
      </c>
      <c r="E656" s="7" t="inlineStr">
        <is>
          <t>MCX_VARIATION_MARGIN</t>
        </is>
      </c>
      <c r="F656" s="7" t="inlineStr">
        <is>
          <t>PNL</t>
        </is>
      </c>
      <c r="G656" s="7" t="inlineStr">
        <is>
          <t>INR</t>
        </is>
      </c>
      <c r="H656" s="11" t="n">
        <v>44733</v>
      </c>
      <c r="I656" s="11" t="n">
        <v>44739</v>
      </c>
      <c r="J656" s="11" t="n">
        <v>44739</v>
      </c>
      <c r="K656" s="11" t="n">
        <v>44739</v>
      </c>
      <c r="L656" s="7" t="inlineStr">
        <is>
          <t>roll following on the LME panel calendar</t>
        </is>
      </c>
      <c r="N656" s="7" t="inlineStr">
        <is>
          <t>PROXY</t>
        </is>
      </c>
      <c r="O656" s="9" t="n">
        <v>-923541.9300000001</v>
      </c>
      <c r="P656" s="9" t="n">
        <v>-923541.9300000001</v>
      </c>
      <c r="U656" s="7" t="inlineStr">
        <is>
          <t>DERIVED_IN_WORKBOOK</t>
        </is>
      </c>
      <c r="V656" s="8">
        <f>SUMIFS(Cashflows!$R$1043:$R$1393,Cashflows!$B$1043:$B$1393,$C656,Cashflows!$C$1043:$C$1393,$K656)</f>
        <v/>
      </c>
      <c r="W656" s="8">
        <f>IF($G656="INR",1,INDEX(Market_Daily!$F$6:$F$256,MATCH($K656,Market_Daily!$A$6:$A$256,0)))</f>
        <v/>
      </c>
      <c r="X656" s="8">
        <f>$V656*$W656</f>
        <v/>
      </c>
      <c r="Y656" s="18">
        <f>$X656-$P656</f>
        <v/>
      </c>
      <c r="Z656" s="8">
        <f>IF(ABS($Y656)&lt;=tol_cashflow_inr,"PASS","FAIL")</f>
        <v/>
      </c>
      <c r="AA656" s="7" t="inlineStr">
        <is>
          <t>direction x lots x lot_kg x (F(s) - F(s-1))</t>
        </is>
      </c>
    </row>
    <row r="657">
      <c r="A657" s="7" t="inlineStr">
        <is>
          <t>T05</t>
        </is>
      </c>
      <c r="B657" s="7" t="inlineStr">
        <is>
          <t>DUTY:L2</t>
        </is>
      </c>
      <c r="C657" s="7" t="inlineStr">
        <is>
          <t>L2</t>
        </is>
      </c>
      <c r="D657" s="7" t="inlineStr">
        <is>
          <t>CUSTOMS_DUTY</t>
        </is>
      </c>
      <c r="E657" s="7" t="inlineStr">
        <is>
          <t>CUSTOMS_DUTY</t>
        </is>
      </c>
      <c r="F657" s="7" t="inlineStr">
        <is>
          <t>PNL</t>
        </is>
      </c>
      <c r="G657" s="7" t="inlineStr">
        <is>
          <t>INR</t>
        </is>
      </c>
      <c r="H657" s="11" t="n">
        <v>44672</v>
      </c>
      <c r="I657" s="11" t="n">
        <v>44740</v>
      </c>
      <c r="J657" s="11" t="n">
        <v>44740</v>
      </c>
      <c r="K657" s="11" t="n">
        <v>44740</v>
      </c>
      <c r="L657" s="7" t="inlineStr">
        <is>
          <t>roll following on the LME panel calendar</t>
        </is>
      </c>
      <c r="N657" s="7" t="inlineStr">
        <is>
          <t>DIRECT</t>
        </is>
      </c>
      <c r="O657" s="9" t="n">
        <v>-4557964.85</v>
      </c>
      <c r="P657" s="9" t="n">
        <v>-4557964.85</v>
      </c>
      <c r="U657" s="7" t="inlineStr">
        <is>
          <t>PYTHON_LIFECYCLE</t>
        </is>
      </c>
      <c r="V657" s="8">
        <f>$O657</f>
        <v/>
      </c>
      <c r="W657" s="8">
        <f>IF($G657="INR",1,INDEX(Market_Daily!$F$6:$F$256,MATCH($K657,Market_Daily!$A$6:$A$256,0)))</f>
        <v/>
      </c>
      <c r="X657" s="8">
        <f>$V657*$W657</f>
        <v/>
      </c>
      <c r="Y657" s="18">
        <f>$X657-$P657</f>
        <v/>
      </c>
      <c r="Z657" s="8">
        <f>IF(ABS($Y657)&lt;=tol_cashflow_inr,"PASS","FAIL")</f>
        <v/>
      </c>
      <c r="AA657" s="7" t="inlineStr">
        <is>
          <t>-assessable_inr x bcd_scrap_hs7602 x (1 + sws_rate_on_bcd)</t>
        </is>
      </c>
    </row>
    <row r="658">
      <c r="A658" s="7" t="inlineStr">
        <is>
          <t>T05</t>
        </is>
      </c>
      <c r="B658" s="7" t="inlineStr">
        <is>
          <t>IGST:L2</t>
        </is>
      </c>
      <c r="C658" s="7" t="inlineStr">
        <is>
          <t>L2</t>
        </is>
      </c>
      <c r="D658" s="7" t="inlineStr">
        <is>
          <t>IGST_IMPORT</t>
        </is>
      </c>
      <c r="E658" s="7" t="inlineStr">
        <is>
          <t>IGST_IMPORT</t>
        </is>
      </c>
      <c r="F658" s="7" t="inlineStr">
        <is>
          <t>BS</t>
        </is>
      </c>
      <c r="G658" s="7" t="inlineStr">
        <is>
          <t>INR</t>
        </is>
      </c>
      <c r="H658" s="11" t="n">
        <v>44672</v>
      </c>
      <c r="I658" s="11" t="n">
        <v>44740</v>
      </c>
      <c r="J658" s="11" t="n">
        <v>44740</v>
      </c>
      <c r="K658" s="11" t="n">
        <v>44740</v>
      </c>
      <c r="L658" s="7" t="inlineStr">
        <is>
          <t>roll following on the LME panel calendar</t>
        </is>
      </c>
      <c r="N658" s="7" t="inlineStr">
        <is>
          <t>DIRECT</t>
        </is>
      </c>
      <c r="O658" s="9" t="n">
        <v>-30654385.4</v>
      </c>
      <c r="P658" s="9" t="n">
        <v>-30654385.4</v>
      </c>
      <c r="U658" s="7" t="inlineStr">
        <is>
          <t>PYTHON_LIFECYCLE</t>
        </is>
      </c>
      <c r="V658" s="8">
        <f>$O658</f>
        <v/>
      </c>
      <c r="W658" s="8">
        <f>IF($G658="INR",1,INDEX(Market_Daily!$F$6:$F$256,MATCH($K658,Market_Daily!$A$6:$A$256,0)))</f>
        <v/>
      </c>
      <c r="X658" s="8">
        <f>$V658*$W658</f>
        <v/>
      </c>
      <c r="Y658" s="18">
        <f>$X658-$P658</f>
        <v/>
      </c>
      <c r="Z658" s="8">
        <f>IF(ABS($Y658)&lt;=tol_cashflow_inr,"PASS","FAIL")</f>
        <v/>
      </c>
      <c r="AA658" s="7" t="inlineStr">
        <is>
          <t>-(assessable + duty) x igst_rate_hs7602</t>
        </is>
      </c>
    </row>
    <row r="659">
      <c r="A659" s="7" t="inlineStr">
        <is>
          <t>T05</t>
        </is>
      </c>
      <c r="B659" s="7" t="inlineStr">
        <is>
          <t>MCX:T05-MCX-3</t>
        </is>
      </c>
      <c r="C659" s="7" t="inlineStr">
        <is>
          <t>T05-MCX-3</t>
        </is>
      </c>
      <c r="D659" s="7" t="inlineStr">
        <is>
          <t>MCX_INITIAL_MARGIN</t>
        </is>
      </c>
      <c r="E659" s="7" t="inlineStr">
        <is>
          <t>MCX_INITIAL_MARGIN</t>
        </is>
      </c>
      <c r="F659" s="7" t="inlineStr">
        <is>
          <t>BS</t>
        </is>
      </c>
      <c r="G659" s="7" t="inlineStr">
        <is>
          <t>INR</t>
        </is>
      </c>
      <c r="H659" s="11" t="n">
        <v>44728</v>
      </c>
      <c r="I659" s="11" t="n">
        <v>44740</v>
      </c>
      <c r="J659" s="11" t="n">
        <v>44740</v>
      </c>
      <c r="K659" s="11" t="n">
        <v>44740</v>
      </c>
      <c r="L659" s="7" t="inlineStr">
        <is>
          <t>roll following on the LME panel calendar</t>
        </is>
      </c>
      <c r="N659" s="7" t="inlineStr">
        <is>
          <t>PROXY</t>
        </is>
      </c>
      <c r="O659" s="9" t="n">
        <v>-756816.04</v>
      </c>
      <c r="P659" s="9" t="n">
        <v>-756816.04</v>
      </c>
      <c r="U659" s="7" t="inlineStr">
        <is>
          <t>DERIVED_IN_WORKBOOK</t>
        </is>
      </c>
      <c r="V659" s="8">
        <f>-SUMIFS(Cashflows!$W$1043:$W$1393,Cashflows!$B$1043:$B$1393,$C659,Cashflows!$C$1043:$C$1393,$K659)</f>
        <v/>
      </c>
      <c r="W659" s="8">
        <f>IF($G659="INR",1,INDEX(Market_Daily!$F$6:$F$256,MATCH($K659,Market_Daily!$A$6:$A$256,0)))</f>
        <v/>
      </c>
      <c r="X659" s="8">
        <f>$V659*$W659</f>
        <v/>
      </c>
      <c r="Y659" s="18">
        <f>$X659-$P659</f>
        <v/>
      </c>
      <c r="Z659" s="8">
        <f>IF(ABS($Y659)&lt;=tol_cashflow_inr,"PASS","FAIL")</f>
        <v/>
      </c>
      <c r="AA659" s="7" t="inlineStr">
        <is>
          <t>-d(lots x lot_kg x F(s) x mcx_al_margin_used_frac)</t>
        </is>
      </c>
    </row>
    <row r="660">
      <c r="A660" s="7" t="inlineStr">
        <is>
          <t>T05</t>
        </is>
      </c>
      <c r="B660" s="7" t="inlineStr">
        <is>
          <t>MCX:T05-MCX-3</t>
        </is>
      </c>
      <c r="C660" s="7" t="inlineStr">
        <is>
          <t>T05-MCX-3</t>
        </is>
      </c>
      <c r="D660" s="7" t="inlineStr">
        <is>
          <t>MCX_VARIATION_MARGIN</t>
        </is>
      </c>
      <c r="E660" s="7" t="inlineStr">
        <is>
          <t>MCX_VARIATION_MARGIN</t>
        </is>
      </c>
      <c r="F660" s="7" t="inlineStr">
        <is>
          <t>PNL</t>
        </is>
      </c>
      <c r="G660" s="7" t="inlineStr">
        <is>
          <t>INR</t>
        </is>
      </c>
      <c r="H660" s="11" t="n">
        <v>44728</v>
      </c>
      <c r="I660" s="11" t="n">
        <v>44740</v>
      </c>
      <c r="J660" s="11" t="n">
        <v>44740</v>
      </c>
      <c r="K660" s="11" t="n">
        <v>44740</v>
      </c>
      <c r="L660" s="7" t="inlineStr">
        <is>
          <t>roll following on the LME panel calendar</t>
        </is>
      </c>
      <c r="N660" s="7" t="inlineStr">
        <is>
          <t>PROXY</t>
        </is>
      </c>
      <c r="O660" s="9" t="n">
        <v>-7568160.39</v>
      </c>
      <c r="P660" s="9" t="n">
        <v>-7568160.39</v>
      </c>
      <c r="U660" s="7" t="inlineStr">
        <is>
          <t>DERIVED_IN_WORKBOOK</t>
        </is>
      </c>
      <c r="V660" s="8">
        <f>SUMIFS(Cashflows!$R$1043:$R$1393,Cashflows!$B$1043:$B$1393,$C660,Cashflows!$C$1043:$C$1393,$K660)</f>
        <v/>
      </c>
      <c r="W660" s="8">
        <f>IF($G660="INR",1,INDEX(Market_Daily!$F$6:$F$256,MATCH($K660,Market_Daily!$A$6:$A$256,0)))</f>
        <v/>
      </c>
      <c r="X660" s="8">
        <f>$V660*$W660</f>
        <v/>
      </c>
      <c r="Y660" s="18">
        <f>$X660-$P660</f>
        <v/>
      </c>
      <c r="Z660" s="8">
        <f>IF(ABS($Y660)&lt;=tol_cashflow_inr,"PASS","FAIL")</f>
        <v/>
      </c>
      <c r="AA660" s="7" t="inlineStr">
        <is>
          <t>direction x lots x lot_kg x (F(s) - F(s-1))</t>
        </is>
      </c>
    </row>
    <row r="661">
      <c r="A661" s="7" t="inlineStr">
        <is>
          <t>T05</t>
        </is>
      </c>
      <c r="B661" s="7" t="inlineStr">
        <is>
          <t>MCX:T05-MCX-4</t>
        </is>
      </c>
      <c r="C661" s="7" t="inlineStr">
        <is>
          <t>T05-MCX-4</t>
        </is>
      </c>
      <c r="D661" s="7" t="inlineStr">
        <is>
          <t>MCX_INITIAL_MARGIN</t>
        </is>
      </c>
      <c r="E661" s="7" t="inlineStr">
        <is>
          <t>MCX_INITIAL_MARGIN</t>
        </is>
      </c>
      <c r="F661" s="7" t="inlineStr">
        <is>
          <t>BS</t>
        </is>
      </c>
      <c r="G661" s="7" t="inlineStr">
        <is>
          <t>INR</t>
        </is>
      </c>
      <c r="H661" s="11" t="n">
        <v>44733</v>
      </c>
      <c r="I661" s="11" t="n">
        <v>44740</v>
      </c>
      <c r="J661" s="11" t="n">
        <v>44740</v>
      </c>
      <c r="K661" s="11" t="n">
        <v>44740</v>
      </c>
      <c r="L661" s="7" t="inlineStr">
        <is>
          <t>roll following on the LME panel calendar</t>
        </is>
      </c>
      <c r="N661" s="7" t="inlineStr">
        <is>
          <t>PROXY</t>
        </is>
      </c>
      <c r="O661" s="9" t="n">
        <v>-284823.24</v>
      </c>
      <c r="P661" s="9" t="n">
        <v>-284823.24</v>
      </c>
      <c r="U661" s="7" t="inlineStr">
        <is>
          <t>DERIVED_IN_WORKBOOK</t>
        </is>
      </c>
      <c r="V661" s="8">
        <f>-SUMIFS(Cashflows!$W$1043:$W$1393,Cashflows!$B$1043:$B$1393,$C661,Cashflows!$C$1043:$C$1393,$K661)</f>
        <v/>
      </c>
      <c r="W661" s="8">
        <f>IF($G661="INR",1,INDEX(Market_Daily!$F$6:$F$256,MATCH($K661,Market_Daily!$A$6:$A$256,0)))</f>
        <v/>
      </c>
      <c r="X661" s="8">
        <f>$V661*$W661</f>
        <v/>
      </c>
      <c r="Y661" s="18">
        <f>$X661-$P661</f>
        <v/>
      </c>
      <c r="Z661" s="8">
        <f>IF(ABS($Y661)&lt;=tol_cashflow_inr,"PASS","FAIL")</f>
        <v/>
      </c>
      <c r="AA661" s="7" t="inlineStr">
        <is>
          <t>-d(lots x lot_kg x F(s) x mcx_al_margin_used_frac)</t>
        </is>
      </c>
    </row>
    <row r="662">
      <c r="A662" s="7" t="inlineStr">
        <is>
          <t>T05</t>
        </is>
      </c>
      <c r="B662" s="7" t="inlineStr">
        <is>
          <t>MCX:T05-MCX-4</t>
        </is>
      </c>
      <c r="C662" s="7" t="inlineStr">
        <is>
          <t>T05-MCX-4</t>
        </is>
      </c>
      <c r="D662" s="7" t="inlineStr">
        <is>
          <t>MCX_VARIATION_MARGIN</t>
        </is>
      </c>
      <c r="E662" s="7" t="inlineStr">
        <is>
          <t>MCX_VARIATION_MARGIN</t>
        </is>
      </c>
      <c r="F662" s="7" t="inlineStr">
        <is>
          <t>PNL</t>
        </is>
      </c>
      <c r="G662" s="7" t="inlineStr">
        <is>
          <t>INR</t>
        </is>
      </c>
      <c r="H662" s="11" t="n">
        <v>44733</v>
      </c>
      <c r="I662" s="11" t="n">
        <v>44740</v>
      </c>
      <c r="J662" s="11" t="n">
        <v>44740</v>
      </c>
      <c r="K662" s="11" t="n">
        <v>44740</v>
      </c>
      <c r="L662" s="7" t="inlineStr">
        <is>
          <t>roll following on the LME panel calendar</t>
        </is>
      </c>
      <c r="N662" s="7" t="inlineStr">
        <is>
          <t>PROXY</t>
        </is>
      </c>
      <c r="O662" s="9" t="n">
        <v>-2848232.4</v>
      </c>
      <c r="P662" s="9" t="n">
        <v>-2848232.4</v>
      </c>
      <c r="U662" s="7" t="inlineStr">
        <is>
          <t>DERIVED_IN_WORKBOOK</t>
        </is>
      </c>
      <c r="V662" s="8">
        <f>SUMIFS(Cashflows!$R$1043:$R$1393,Cashflows!$B$1043:$B$1393,$C662,Cashflows!$C$1043:$C$1393,$K662)</f>
        <v/>
      </c>
      <c r="W662" s="8">
        <f>IF($G662="INR",1,INDEX(Market_Daily!$F$6:$F$256,MATCH($K662,Market_Daily!$A$6:$A$256,0)))</f>
        <v/>
      </c>
      <c r="X662" s="8">
        <f>$V662*$W662</f>
        <v/>
      </c>
      <c r="Y662" s="18">
        <f>$X662-$P662</f>
        <v/>
      </c>
      <c r="Z662" s="8">
        <f>IF(ABS($Y662)&lt;=tol_cashflow_inr,"PASS","FAIL")</f>
        <v/>
      </c>
      <c r="AA662" s="7" t="inlineStr">
        <is>
          <t>direction x lots x lot_kg x (F(s) - F(s-1))</t>
        </is>
      </c>
    </row>
    <row r="663">
      <c r="A663" s="7" t="inlineStr">
        <is>
          <t>T05</t>
        </is>
      </c>
      <c r="B663" s="7" t="inlineStr">
        <is>
          <t>MCX:T05-MCX-3</t>
        </is>
      </c>
      <c r="C663" s="7" t="inlineStr">
        <is>
          <t>T05-MCX-3</t>
        </is>
      </c>
      <c r="D663" s="7" t="inlineStr">
        <is>
          <t>MCX_INITIAL_MARGIN</t>
        </is>
      </c>
      <c r="E663" s="7" t="inlineStr">
        <is>
          <t>MCX_INITIAL_MARGIN</t>
        </is>
      </c>
      <c r="F663" s="7" t="inlineStr">
        <is>
          <t>BS</t>
        </is>
      </c>
      <c r="G663" s="7" t="inlineStr">
        <is>
          <t>INR</t>
        </is>
      </c>
      <c r="H663" s="11" t="n">
        <v>44728</v>
      </c>
      <c r="I663" s="11" t="n">
        <v>44741</v>
      </c>
      <c r="J663" s="11" t="n">
        <v>44741</v>
      </c>
      <c r="K663" s="11" t="n">
        <v>44741</v>
      </c>
      <c r="L663" s="7" t="inlineStr">
        <is>
          <t>roll following on the LME panel calendar</t>
        </is>
      </c>
      <c r="N663" s="7" t="inlineStr">
        <is>
          <t>PROXY</t>
        </is>
      </c>
      <c r="O663" s="9" t="n">
        <v>587408.85</v>
      </c>
      <c r="P663" s="9" t="n">
        <v>587408.85</v>
      </c>
      <c r="U663" s="7" t="inlineStr">
        <is>
          <t>DERIVED_IN_WORKBOOK</t>
        </is>
      </c>
      <c r="V663" s="8">
        <f>-SUMIFS(Cashflows!$W$1043:$W$1393,Cashflows!$B$1043:$B$1393,$C663,Cashflows!$C$1043:$C$1393,$K663)</f>
        <v/>
      </c>
      <c r="W663" s="8">
        <f>IF($G663="INR",1,INDEX(Market_Daily!$F$6:$F$256,MATCH($K663,Market_Daily!$A$6:$A$256,0)))</f>
        <v/>
      </c>
      <c r="X663" s="8">
        <f>$V663*$W663</f>
        <v/>
      </c>
      <c r="Y663" s="18">
        <f>$X663-$P663</f>
        <v/>
      </c>
      <c r="Z663" s="8">
        <f>IF(ABS($Y663)&lt;=tol_cashflow_inr,"PASS","FAIL")</f>
        <v/>
      </c>
      <c r="AA663" s="7" t="inlineStr">
        <is>
          <t>-d(lots x lot_kg x F(s) x mcx_al_margin_used_frac)</t>
        </is>
      </c>
    </row>
    <row r="664">
      <c r="A664" s="7" t="inlineStr">
        <is>
          <t>T05</t>
        </is>
      </c>
      <c r="B664" s="7" t="inlineStr">
        <is>
          <t>MCX:T05-MCX-3</t>
        </is>
      </c>
      <c r="C664" s="7" t="inlineStr">
        <is>
          <t>T05-MCX-3</t>
        </is>
      </c>
      <c r="D664" s="7" t="inlineStr">
        <is>
          <t>MCX_VARIATION_MARGIN</t>
        </is>
      </c>
      <c r="E664" s="7" t="inlineStr">
        <is>
          <t>MCX_VARIATION_MARGIN</t>
        </is>
      </c>
      <c r="F664" s="7" t="inlineStr">
        <is>
          <t>PNL</t>
        </is>
      </c>
      <c r="G664" s="7" t="inlineStr">
        <is>
          <t>INR</t>
        </is>
      </c>
      <c r="H664" s="11" t="n">
        <v>44728</v>
      </c>
      <c r="I664" s="11" t="n">
        <v>44741</v>
      </c>
      <c r="J664" s="11" t="n">
        <v>44741</v>
      </c>
      <c r="K664" s="11" t="n">
        <v>44741</v>
      </c>
      <c r="L664" s="7" t="inlineStr">
        <is>
          <t>roll following on the LME panel calendar</t>
        </is>
      </c>
      <c r="N664" s="7" t="inlineStr">
        <is>
          <t>PROXY</t>
        </is>
      </c>
      <c r="O664" s="9" t="n">
        <v>5874088.52</v>
      </c>
      <c r="P664" s="9" t="n">
        <v>5874088.52</v>
      </c>
      <c r="U664" s="7" t="inlineStr">
        <is>
          <t>DERIVED_IN_WORKBOOK</t>
        </is>
      </c>
      <c r="V664" s="8">
        <f>SUMIFS(Cashflows!$R$1043:$R$1393,Cashflows!$B$1043:$B$1393,$C664,Cashflows!$C$1043:$C$1393,$K664)</f>
        <v/>
      </c>
      <c r="W664" s="8">
        <f>IF($G664="INR",1,INDEX(Market_Daily!$F$6:$F$256,MATCH($K664,Market_Daily!$A$6:$A$256,0)))</f>
        <v/>
      </c>
      <c r="X664" s="8">
        <f>$V664*$W664</f>
        <v/>
      </c>
      <c r="Y664" s="18">
        <f>$X664-$P664</f>
        <v/>
      </c>
      <c r="Z664" s="8">
        <f>IF(ABS($Y664)&lt;=tol_cashflow_inr,"PASS","FAIL")</f>
        <v/>
      </c>
      <c r="AA664" s="7" t="inlineStr">
        <is>
          <t>direction x lots x lot_kg x (F(s) - F(s-1))</t>
        </is>
      </c>
    </row>
    <row r="665">
      <c r="A665" s="7" t="inlineStr">
        <is>
          <t>T05</t>
        </is>
      </c>
      <c r="B665" s="7" t="inlineStr">
        <is>
          <t>MCX:T05-MCX-4</t>
        </is>
      </c>
      <c r="C665" s="7" t="inlineStr">
        <is>
          <t>T05-MCX-4</t>
        </is>
      </c>
      <c r="D665" s="7" t="inlineStr">
        <is>
          <t>MCX_INITIAL_MARGIN</t>
        </is>
      </c>
      <c r="E665" s="7" t="inlineStr">
        <is>
          <t>MCX_INITIAL_MARGIN</t>
        </is>
      </c>
      <c r="F665" s="7" t="inlineStr">
        <is>
          <t>BS</t>
        </is>
      </c>
      <c r="G665" s="7" t="inlineStr">
        <is>
          <t>INR</t>
        </is>
      </c>
      <c r="H665" s="11" t="n">
        <v>44733</v>
      </c>
      <c r="I665" s="11" t="n">
        <v>44741</v>
      </c>
      <c r="J665" s="11" t="n">
        <v>44741</v>
      </c>
      <c r="K665" s="11" t="n">
        <v>44741</v>
      </c>
      <c r="L665" s="7" t="inlineStr">
        <is>
          <t>roll following on the LME panel calendar</t>
        </is>
      </c>
      <c r="N665" s="7" t="inlineStr">
        <is>
          <t>PROXY</t>
        </is>
      </c>
      <c r="O665" s="9" t="n">
        <v>221067.85</v>
      </c>
      <c r="P665" s="9" t="n">
        <v>221067.85</v>
      </c>
      <c r="U665" s="7" t="inlineStr">
        <is>
          <t>DERIVED_IN_WORKBOOK</t>
        </is>
      </c>
      <c r="V665" s="8">
        <f>-SUMIFS(Cashflows!$W$1043:$W$1393,Cashflows!$B$1043:$B$1393,$C665,Cashflows!$C$1043:$C$1393,$K665)</f>
        <v/>
      </c>
      <c r="W665" s="8">
        <f>IF($G665="INR",1,INDEX(Market_Daily!$F$6:$F$256,MATCH($K665,Market_Daily!$A$6:$A$256,0)))</f>
        <v/>
      </c>
      <c r="X665" s="8">
        <f>$V665*$W665</f>
        <v/>
      </c>
      <c r="Y665" s="18">
        <f>$X665-$P665</f>
        <v/>
      </c>
      <c r="Z665" s="8">
        <f>IF(ABS($Y665)&lt;=tol_cashflow_inr,"PASS","FAIL")</f>
        <v/>
      </c>
      <c r="AA665" s="7" t="inlineStr">
        <is>
          <t>-d(lots x lot_kg x F(s) x mcx_al_margin_used_frac)</t>
        </is>
      </c>
    </row>
    <row r="666">
      <c r="A666" s="7" t="inlineStr">
        <is>
          <t>T05</t>
        </is>
      </c>
      <c r="B666" s="7" t="inlineStr">
        <is>
          <t>MCX:T05-MCX-4</t>
        </is>
      </c>
      <c r="C666" s="7" t="inlineStr">
        <is>
          <t>T05-MCX-4</t>
        </is>
      </c>
      <c r="D666" s="7" t="inlineStr">
        <is>
          <t>MCX_VARIATION_MARGIN</t>
        </is>
      </c>
      <c r="E666" s="7" t="inlineStr">
        <is>
          <t>MCX_VARIATION_MARGIN</t>
        </is>
      </c>
      <c r="F666" s="7" t="inlineStr">
        <is>
          <t>PNL</t>
        </is>
      </c>
      <c r="G666" s="7" t="inlineStr">
        <is>
          <t>INR</t>
        </is>
      </c>
      <c r="H666" s="11" t="n">
        <v>44733</v>
      </c>
      <c r="I666" s="11" t="n">
        <v>44741</v>
      </c>
      <c r="J666" s="11" t="n">
        <v>44741</v>
      </c>
      <c r="K666" s="11" t="n">
        <v>44741</v>
      </c>
      <c r="L666" s="7" t="inlineStr">
        <is>
          <t>roll following on the LME panel calendar</t>
        </is>
      </c>
      <c r="N666" s="7" t="inlineStr">
        <is>
          <t>PROXY</t>
        </is>
      </c>
      <c r="O666" s="9" t="n">
        <v>2210678.48</v>
      </c>
      <c r="P666" s="9" t="n">
        <v>2210678.48</v>
      </c>
      <c r="U666" s="7" t="inlineStr">
        <is>
          <t>DERIVED_IN_WORKBOOK</t>
        </is>
      </c>
      <c r="V666" s="8">
        <f>SUMIFS(Cashflows!$R$1043:$R$1393,Cashflows!$B$1043:$B$1393,$C666,Cashflows!$C$1043:$C$1393,$K666)</f>
        <v/>
      </c>
      <c r="W666" s="8">
        <f>IF($G666="INR",1,INDEX(Market_Daily!$F$6:$F$256,MATCH($K666,Market_Daily!$A$6:$A$256,0)))</f>
        <v/>
      </c>
      <c r="X666" s="8">
        <f>$V666*$W666</f>
        <v/>
      </c>
      <c r="Y666" s="18">
        <f>$X666-$P666</f>
        <v/>
      </c>
      <c r="Z666" s="8">
        <f>IF(ABS($Y666)&lt;=tol_cashflow_inr,"PASS","FAIL")</f>
        <v/>
      </c>
      <c r="AA666" s="7" t="inlineStr">
        <is>
          <t>direction x lots x lot_kg x (F(s) - F(s-1))</t>
        </is>
      </c>
    </row>
    <row r="667">
      <c r="A667" s="7" t="inlineStr">
        <is>
          <t>T05</t>
        </is>
      </c>
      <c r="B667" s="7" t="inlineStr">
        <is>
          <t>PORT:L1</t>
        </is>
      </c>
      <c r="C667" s="7" t="inlineStr">
        <is>
          <t>L1</t>
        </is>
      </c>
      <c r="D667" s="7" t="inlineStr">
        <is>
          <t>PORT_CHARGES</t>
        </is>
      </c>
      <c r="E667" s="7" t="inlineStr">
        <is>
          <t>PORT_CHARGES</t>
        </is>
      </c>
      <c r="F667" s="7" t="inlineStr">
        <is>
          <t>PNL</t>
        </is>
      </c>
      <c r="G667" s="7" t="inlineStr">
        <is>
          <t>INR</t>
        </is>
      </c>
      <c r="H667" s="11" t="n">
        <v>44672</v>
      </c>
      <c r="J667" s="11" t="n">
        <v>44741</v>
      </c>
      <c r="K667" s="11" t="n">
        <v>44741</v>
      </c>
      <c r="L667" s="7" t="inlineStr">
        <is>
          <t>roll following on the LME panel calendar</t>
        </is>
      </c>
      <c r="N667" s="7" t="inlineStr">
        <is>
          <t>ASSUMPTION</t>
        </is>
      </c>
      <c r="O667" s="9" t="n">
        <v>-2782500</v>
      </c>
      <c r="P667" s="9" t="n">
        <v>-2782500</v>
      </c>
      <c r="U667" s="7" t="inlineStr">
        <is>
          <t>PYTHON_LIFECYCLE</t>
        </is>
      </c>
      <c r="V667" s="8">
        <f>$O667</f>
        <v/>
      </c>
      <c r="W667" s="8">
        <f>IF($G667="INR",1,INDEX(Market_Daily!$F$6:$F$256,MATCH($K667,Market_Daily!$A$6:$A$256,0)))</f>
        <v/>
      </c>
      <c r="X667" s="8">
        <f>$V667*$W667</f>
        <v/>
      </c>
      <c r="Y667" s="18">
        <f>$X667-$P667</f>
        <v/>
      </c>
      <c r="Z667" s="8">
        <f>IF(ABS($Y667)&lt;=tol_cashflow_inr,"PASS","FAIL")</f>
        <v/>
      </c>
      <c r="AA667" s="7" t="inlineStr">
        <is>
          <t>-port_cf_charges_inr_t x base_payload x cleared boxes</t>
        </is>
      </c>
    </row>
    <row r="668">
      <c r="A668" s="7" t="inlineStr">
        <is>
          <t>T05</t>
        </is>
      </c>
      <c r="B668" s="7" t="inlineStr">
        <is>
          <t>MCX:T05-MCX-3</t>
        </is>
      </c>
      <c r="C668" s="7" t="inlineStr">
        <is>
          <t>T05-MCX-3</t>
        </is>
      </c>
      <c r="D668" s="7" t="inlineStr">
        <is>
          <t>MCX_INITIAL_MARGIN</t>
        </is>
      </c>
      <c r="E668" s="7" t="inlineStr">
        <is>
          <t>MCX_INITIAL_MARGIN</t>
        </is>
      </c>
      <c r="F668" s="7" t="inlineStr">
        <is>
          <t>BS</t>
        </is>
      </c>
      <c r="G668" s="7" t="inlineStr">
        <is>
          <t>INR</t>
        </is>
      </c>
      <c r="H668" s="11" t="n">
        <v>44728</v>
      </c>
      <c r="I668" s="11" t="n">
        <v>44742</v>
      </c>
      <c r="J668" s="11" t="n">
        <v>44742</v>
      </c>
      <c r="K668" s="11" t="n">
        <v>44742</v>
      </c>
      <c r="L668" s="7" t="inlineStr">
        <is>
          <t>roll following on the LME panel calendar</t>
        </is>
      </c>
      <c r="N668" s="7" t="inlineStr">
        <is>
          <t>PROXY</t>
        </is>
      </c>
      <c r="O668" s="9" t="n">
        <v>626719.58</v>
      </c>
      <c r="P668" s="9" t="n">
        <v>626719.58</v>
      </c>
      <c r="U668" s="7" t="inlineStr">
        <is>
          <t>DERIVED_IN_WORKBOOK</t>
        </is>
      </c>
      <c r="V668" s="8">
        <f>-SUMIFS(Cashflows!$W$1043:$W$1393,Cashflows!$B$1043:$B$1393,$C668,Cashflows!$C$1043:$C$1393,$K668)</f>
        <v/>
      </c>
      <c r="W668" s="8">
        <f>IF($G668="INR",1,INDEX(Market_Daily!$F$6:$F$256,MATCH($K668,Market_Daily!$A$6:$A$256,0)))</f>
        <v/>
      </c>
      <c r="X668" s="8">
        <f>$V668*$W668</f>
        <v/>
      </c>
      <c r="Y668" s="18">
        <f>$X668-$P668</f>
        <v/>
      </c>
      <c r="Z668" s="8">
        <f>IF(ABS($Y668)&lt;=tol_cashflow_inr,"PASS","FAIL")</f>
        <v/>
      </c>
      <c r="AA668" s="7" t="inlineStr">
        <is>
          <t>-d(lots x lot_kg x F(s) x mcx_al_margin_used_frac)</t>
        </is>
      </c>
    </row>
    <row r="669">
      <c r="A669" s="7" t="inlineStr">
        <is>
          <t>T05</t>
        </is>
      </c>
      <c r="B669" s="7" t="inlineStr">
        <is>
          <t>MCX:T05-MCX-3</t>
        </is>
      </c>
      <c r="C669" s="7" t="inlineStr">
        <is>
          <t>T05-MCX-3</t>
        </is>
      </c>
      <c r="D669" s="7" t="inlineStr">
        <is>
          <t>MCX_VARIATION_MARGIN</t>
        </is>
      </c>
      <c r="E669" s="7" t="inlineStr">
        <is>
          <t>MCX_VARIATION_MARGIN</t>
        </is>
      </c>
      <c r="F669" s="7" t="inlineStr">
        <is>
          <t>PNL</t>
        </is>
      </c>
      <c r="G669" s="7" t="inlineStr">
        <is>
          <t>INR</t>
        </is>
      </c>
      <c r="H669" s="11" t="n">
        <v>44728</v>
      </c>
      <c r="I669" s="11" t="n">
        <v>44742</v>
      </c>
      <c r="J669" s="11" t="n">
        <v>44742</v>
      </c>
      <c r="K669" s="11" t="n">
        <v>44742</v>
      </c>
      <c r="L669" s="7" t="inlineStr">
        <is>
          <t>roll following on the LME panel calendar</t>
        </is>
      </c>
      <c r="N669" s="7" t="inlineStr">
        <is>
          <t>PROXY</t>
        </is>
      </c>
      <c r="O669" s="9" t="n">
        <v>6267195.75</v>
      </c>
      <c r="P669" s="9" t="n">
        <v>6267195.75</v>
      </c>
      <c r="U669" s="7" t="inlineStr">
        <is>
          <t>DERIVED_IN_WORKBOOK</t>
        </is>
      </c>
      <c r="V669" s="8">
        <f>SUMIFS(Cashflows!$R$1043:$R$1393,Cashflows!$B$1043:$B$1393,$C669,Cashflows!$C$1043:$C$1393,$K669)</f>
        <v/>
      </c>
      <c r="W669" s="8">
        <f>IF($G669="INR",1,INDEX(Market_Daily!$F$6:$F$256,MATCH($K669,Market_Daily!$A$6:$A$256,0)))</f>
        <v/>
      </c>
      <c r="X669" s="8">
        <f>$V669*$W669</f>
        <v/>
      </c>
      <c r="Y669" s="18">
        <f>$X669-$P669</f>
        <v/>
      </c>
      <c r="Z669" s="8">
        <f>IF(ABS($Y669)&lt;=tol_cashflow_inr,"PASS","FAIL")</f>
        <v/>
      </c>
      <c r="AA669" s="7" t="inlineStr">
        <is>
          <t>direction x lots x lot_kg x (F(s) - F(s-1))</t>
        </is>
      </c>
    </row>
    <row r="670">
      <c r="A670" s="7" t="inlineStr">
        <is>
          <t>T05</t>
        </is>
      </c>
      <c r="B670" s="7" t="inlineStr">
        <is>
          <t>MCX:T05-MCX-4</t>
        </is>
      </c>
      <c r="C670" s="7" t="inlineStr">
        <is>
          <t>T05-MCX-4</t>
        </is>
      </c>
      <c r="D670" s="7" t="inlineStr">
        <is>
          <t>MCX_INITIAL_MARGIN</t>
        </is>
      </c>
      <c r="E670" s="7" t="inlineStr">
        <is>
          <t>MCX_INITIAL_MARGIN</t>
        </is>
      </c>
      <c r="F670" s="7" t="inlineStr">
        <is>
          <t>BS</t>
        </is>
      </c>
      <c r="G670" s="7" t="inlineStr">
        <is>
          <t>INR</t>
        </is>
      </c>
      <c r="H670" s="11" t="n">
        <v>44733</v>
      </c>
      <c r="I670" s="11" t="n">
        <v>44742</v>
      </c>
      <c r="J670" s="11" t="n">
        <v>44742</v>
      </c>
      <c r="K670" s="11" t="n">
        <v>44742</v>
      </c>
      <c r="L670" s="7" t="inlineStr">
        <is>
          <t>roll following on the LME panel calendar</t>
        </is>
      </c>
      <c r="N670" s="7" t="inlineStr">
        <is>
          <t>PROXY</t>
        </is>
      </c>
      <c r="O670" s="9" t="n">
        <v>235862.21</v>
      </c>
      <c r="P670" s="9" t="n">
        <v>235862.21</v>
      </c>
      <c r="U670" s="7" t="inlineStr">
        <is>
          <t>DERIVED_IN_WORKBOOK</t>
        </is>
      </c>
      <c r="V670" s="8">
        <f>-SUMIFS(Cashflows!$W$1043:$W$1393,Cashflows!$B$1043:$B$1393,$C670,Cashflows!$C$1043:$C$1393,$K670)</f>
        <v/>
      </c>
      <c r="W670" s="8">
        <f>IF($G670="INR",1,INDEX(Market_Daily!$F$6:$F$256,MATCH($K670,Market_Daily!$A$6:$A$256,0)))</f>
        <v/>
      </c>
      <c r="X670" s="8">
        <f>$V670*$W670</f>
        <v/>
      </c>
      <c r="Y670" s="18">
        <f>$X670-$P670</f>
        <v/>
      </c>
      <c r="Z670" s="8">
        <f>IF(ABS($Y670)&lt;=tol_cashflow_inr,"PASS","FAIL")</f>
        <v/>
      </c>
      <c r="AA670" s="7" t="inlineStr">
        <is>
          <t>-d(lots x lot_kg x F(s) x mcx_al_margin_used_frac)</t>
        </is>
      </c>
    </row>
    <row r="671">
      <c r="A671" s="7" t="inlineStr">
        <is>
          <t>T05</t>
        </is>
      </c>
      <c r="B671" s="7" t="inlineStr">
        <is>
          <t>MCX:T05-MCX-4</t>
        </is>
      </c>
      <c r="C671" s="7" t="inlineStr">
        <is>
          <t>T05-MCX-4</t>
        </is>
      </c>
      <c r="D671" s="7" t="inlineStr">
        <is>
          <t>MCX_VARIATION_MARGIN</t>
        </is>
      </c>
      <c r="E671" s="7" t="inlineStr">
        <is>
          <t>MCX_VARIATION_MARGIN</t>
        </is>
      </c>
      <c r="F671" s="7" t="inlineStr">
        <is>
          <t>PNL</t>
        </is>
      </c>
      <c r="G671" s="7" t="inlineStr">
        <is>
          <t>INR</t>
        </is>
      </c>
      <c r="H671" s="11" t="n">
        <v>44733</v>
      </c>
      <c r="I671" s="11" t="n">
        <v>44742</v>
      </c>
      <c r="J671" s="11" t="n">
        <v>44742</v>
      </c>
      <c r="K671" s="11" t="n">
        <v>44742</v>
      </c>
      <c r="L671" s="7" t="inlineStr">
        <is>
          <t>roll following on the LME panel calendar</t>
        </is>
      </c>
      <c r="N671" s="7" t="inlineStr">
        <is>
          <t>PROXY</t>
        </is>
      </c>
      <c r="O671" s="9" t="n">
        <v>2358622.06</v>
      </c>
      <c r="P671" s="9" t="n">
        <v>2358622.06</v>
      </c>
      <c r="U671" s="7" t="inlineStr">
        <is>
          <t>DERIVED_IN_WORKBOOK</t>
        </is>
      </c>
      <c r="V671" s="8">
        <f>SUMIFS(Cashflows!$R$1043:$R$1393,Cashflows!$B$1043:$B$1393,$C671,Cashflows!$C$1043:$C$1393,$K671)</f>
        <v/>
      </c>
      <c r="W671" s="8">
        <f>IF($G671="INR",1,INDEX(Market_Daily!$F$6:$F$256,MATCH($K671,Market_Daily!$A$6:$A$256,0)))</f>
        <v/>
      </c>
      <c r="X671" s="8">
        <f>$V671*$W671</f>
        <v/>
      </c>
      <c r="Y671" s="18">
        <f>$X671-$P671</f>
        <v/>
      </c>
      <c r="Z671" s="8">
        <f>IF(ABS($Y671)&lt;=tol_cashflow_inr,"PASS","FAIL")</f>
        <v/>
      </c>
      <c r="AA671" s="7" t="inlineStr">
        <is>
          <t>direction x lots x lot_kg x (F(s) - F(s-1))</t>
        </is>
      </c>
    </row>
    <row r="672">
      <c r="A672" s="7" t="inlineStr">
        <is>
          <t>T05</t>
        </is>
      </c>
      <c r="B672" s="7" t="inlineStr">
        <is>
          <t>MCX:T05-MCX-3</t>
        </is>
      </c>
      <c r="C672" s="7" t="inlineStr">
        <is>
          <t>T05-MCX-3</t>
        </is>
      </c>
      <c r="D672" s="7" t="inlineStr">
        <is>
          <t>MCX_INITIAL_MARGIN</t>
        </is>
      </c>
      <c r="E672" s="7" t="inlineStr">
        <is>
          <t>MCX_INITIAL_MARGIN</t>
        </is>
      </c>
      <c r="F672" s="7" t="inlineStr">
        <is>
          <t>BS</t>
        </is>
      </c>
      <c r="G672" s="7" t="inlineStr">
        <is>
          <t>INR</t>
        </is>
      </c>
      <c r="H672" s="11" t="n">
        <v>44728</v>
      </c>
      <c r="I672" s="11" t="n">
        <v>44743</v>
      </c>
      <c r="J672" s="11" t="n">
        <v>44743</v>
      </c>
      <c r="K672" s="11" t="n">
        <v>44743</v>
      </c>
      <c r="L672" s="7" t="inlineStr">
        <is>
          <t>roll following on the LME panel calendar</t>
        </is>
      </c>
      <c r="N672" s="7" t="inlineStr">
        <is>
          <t>PROXY</t>
        </is>
      </c>
      <c r="O672" s="9" t="n">
        <v>169508.68</v>
      </c>
      <c r="P672" s="9" t="n">
        <v>169508.68</v>
      </c>
      <c r="U672" s="7" t="inlineStr">
        <is>
          <t>DERIVED_IN_WORKBOOK</t>
        </is>
      </c>
      <c r="V672" s="8">
        <f>-SUMIFS(Cashflows!$W$1043:$W$1393,Cashflows!$B$1043:$B$1393,$C672,Cashflows!$C$1043:$C$1393,$K672)</f>
        <v/>
      </c>
      <c r="W672" s="8">
        <f>IF($G672="INR",1,INDEX(Market_Daily!$F$6:$F$256,MATCH($K672,Market_Daily!$A$6:$A$256,0)))</f>
        <v/>
      </c>
      <c r="X672" s="8">
        <f>$V672*$W672</f>
        <v/>
      </c>
      <c r="Y672" s="18">
        <f>$X672-$P672</f>
        <v/>
      </c>
      <c r="Z672" s="8">
        <f>IF(ABS($Y672)&lt;=tol_cashflow_inr,"PASS","FAIL")</f>
        <v/>
      </c>
      <c r="AA672" s="7" t="inlineStr">
        <is>
          <t>-d(lots x lot_kg x F(s) x mcx_al_margin_used_frac)</t>
        </is>
      </c>
    </row>
    <row r="673">
      <c r="A673" s="7" t="inlineStr">
        <is>
          <t>T05</t>
        </is>
      </c>
      <c r="B673" s="7" t="inlineStr">
        <is>
          <t>MCX:T05-MCX-3</t>
        </is>
      </c>
      <c r="C673" s="7" t="inlineStr">
        <is>
          <t>T05-MCX-3</t>
        </is>
      </c>
      <c r="D673" s="7" t="inlineStr">
        <is>
          <t>MCX_VARIATION_MARGIN</t>
        </is>
      </c>
      <c r="E673" s="7" t="inlineStr">
        <is>
          <t>MCX_VARIATION_MARGIN</t>
        </is>
      </c>
      <c r="F673" s="7" t="inlineStr">
        <is>
          <t>PNL</t>
        </is>
      </c>
      <c r="G673" s="7" t="inlineStr">
        <is>
          <t>INR</t>
        </is>
      </c>
      <c r="H673" s="11" t="n">
        <v>44728</v>
      </c>
      <c r="I673" s="11" t="n">
        <v>44743</v>
      </c>
      <c r="J673" s="11" t="n">
        <v>44743</v>
      </c>
      <c r="K673" s="11" t="n">
        <v>44743</v>
      </c>
      <c r="L673" s="7" t="inlineStr">
        <is>
          <t>roll following on the LME panel calendar</t>
        </is>
      </c>
      <c r="N673" s="7" t="inlineStr">
        <is>
          <t>PROXY</t>
        </is>
      </c>
      <c r="O673" s="9" t="n">
        <v>1695086.81</v>
      </c>
      <c r="P673" s="9" t="n">
        <v>1695086.81</v>
      </c>
      <c r="U673" s="7" t="inlineStr">
        <is>
          <t>DERIVED_IN_WORKBOOK</t>
        </is>
      </c>
      <c r="V673" s="8">
        <f>SUMIFS(Cashflows!$R$1043:$R$1393,Cashflows!$B$1043:$B$1393,$C673,Cashflows!$C$1043:$C$1393,$K673)</f>
        <v/>
      </c>
      <c r="W673" s="8">
        <f>IF($G673="INR",1,INDEX(Market_Daily!$F$6:$F$256,MATCH($K673,Market_Daily!$A$6:$A$256,0)))</f>
        <v/>
      </c>
      <c r="X673" s="8">
        <f>$V673*$W673</f>
        <v/>
      </c>
      <c r="Y673" s="18">
        <f>$X673-$P673</f>
        <v/>
      </c>
      <c r="Z673" s="8">
        <f>IF(ABS($Y673)&lt;=tol_cashflow_inr,"PASS","FAIL")</f>
        <v/>
      </c>
      <c r="AA673" s="7" t="inlineStr">
        <is>
          <t>direction x lots x lot_kg x (F(s) - F(s-1))</t>
        </is>
      </c>
    </row>
    <row r="674">
      <c r="A674" s="7" t="inlineStr">
        <is>
          <t>T05</t>
        </is>
      </c>
      <c r="B674" s="7" t="inlineStr">
        <is>
          <t>MCX:T05-MCX-4</t>
        </is>
      </c>
      <c r="C674" s="7" t="inlineStr">
        <is>
          <t>T05-MCX-4</t>
        </is>
      </c>
      <c r="D674" s="7" t="inlineStr">
        <is>
          <t>MCX_INITIAL_MARGIN</t>
        </is>
      </c>
      <c r="E674" s="7" t="inlineStr">
        <is>
          <t>MCX_INITIAL_MARGIN</t>
        </is>
      </c>
      <c r="F674" s="7" t="inlineStr">
        <is>
          <t>BS</t>
        </is>
      </c>
      <c r="G674" s="7" t="inlineStr">
        <is>
          <t>INR</t>
        </is>
      </c>
      <c r="H674" s="11" t="n">
        <v>44733</v>
      </c>
      <c r="I674" s="11" t="n">
        <v>44743</v>
      </c>
      <c r="J674" s="11" t="n">
        <v>44743</v>
      </c>
      <c r="K674" s="11" t="n">
        <v>44743</v>
      </c>
      <c r="L674" s="7" t="inlineStr">
        <is>
          <t>roll following on the LME panel calendar</t>
        </is>
      </c>
      <c r="N674" s="7" t="inlineStr">
        <is>
          <t>PROXY</t>
        </is>
      </c>
      <c r="O674" s="9" t="n">
        <v>63793.59</v>
      </c>
      <c r="P674" s="9" t="n">
        <v>63793.59</v>
      </c>
      <c r="U674" s="7" t="inlineStr">
        <is>
          <t>DERIVED_IN_WORKBOOK</t>
        </is>
      </c>
      <c r="V674" s="8">
        <f>-SUMIFS(Cashflows!$W$1043:$W$1393,Cashflows!$B$1043:$B$1393,$C674,Cashflows!$C$1043:$C$1393,$K674)</f>
        <v/>
      </c>
      <c r="W674" s="8">
        <f>IF($G674="INR",1,INDEX(Market_Daily!$F$6:$F$256,MATCH($K674,Market_Daily!$A$6:$A$256,0)))</f>
        <v/>
      </c>
      <c r="X674" s="8">
        <f>$V674*$W674</f>
        <v/>
      </c>
      <c r="Y674" s="18">
        <f>$X674-$P674</f>
        <v/>
      </c>
      <c r="Z674" s="8">
        <f>IF(ABS($Y674)&lt;=tol_cashflow_inr,"PASS","FAIL")</f>
        <v/>
      </c>
      <c r="AA674" s="7" t="inlineStr">
        <is>
          <t>-d(lots x lot_kg x F(s) x mcx_al_margin_used_frac)</t>
        </is>
      </c>
    </row>
    <row r="675">
      <c r="A675" s="7" t="inlineStr">
        <is>
          <t>T05</t>
        </is>
      </c>
      <c r="B675" s="7" t="inlineStr">
        <is>
          <t>MCX:T05-MCX-4</t>
        </is>
      </c>
      <c r="C675" s="7" t="inlineStr">
        <is>
          <t>T05-MCX-4</t>
        </is>
      </c>
      <c r="D675" s="7" t="inlineStr">
        <is>
          <t>MCX_VARIATION_MARGIN</t>
        </is>
      </c>
      <c r="E675" s="7" t="inlineStr">
        <is>
          <t>MCX_VARIATION_MARGIN</t>
        </is>
      </c>
      <c r="F675" s="7" t="inlineStr">
        <is>
          <t>PNL</t>
        </is>
      </c>
      <c r="G675" s="7" t="inlineStr">
        <is>
          <t>INR</t>
        </is>
      </c>
      <c r="H675" s="11" t="n">
        <v>44733</v>
      </c>
      <c r="I675" s="11" t="n">
        <v>44743</v>
      </c>
      <c r="J675" s="11" t="n">
        <v>44743</v>
      </c>
      <c r="K675" s="11" t="n">
        <v>44743</v>
      </c>
      <c r="L675" s="7" t="inlineStr">
        <is>
          <t>roll following on the LME panel calendar</t>
        </is>
      </c>
      <c r="N675" s="7" t="inlineStr">
        <is>
          <t>PROXY</t>
        </is>
      </c>
      <c r="O675" s="9" t="n">
        <v>637935.9</v>
      </c>
      <c r="P675" s="9" t="n">
        <v>637935.9</v>
      </c>
      <c r="U675" s="7" t="inlineStr">
        <is>
          <t>DERIVED_IN_WORKBOOK</t>
        </is>
      </c>
      <c r="V675" s="8">
        <f>SUMIFS(Cashflows!$R$1043:$R$1393,Cashflows!$B$1043:$B$1393,$C675,Cashflows!$C$1043:$C$1393,$K675)</f>
        <v/>
      </c>
      <c r="W675" s="8">
        <f>IF($G675="INR",1,INDEX(Market_Daily!$F$6:$F$256,MATCH($K675,Market_Daily!$A$6:$A$256,0)))</f>
        <v/>
      </c>
      <c r="X675" s="8">
        <f>$V675*$W675</f>
        <v/>
      </c>
      <c r="Y675" s="18">
        <f>$X675-$P675</f>
        <v/>
      </c>
      <c r="Z675" s="8">
        <f>IF(ABS($Y675)&lt;=tol_cashflow_inr,"PASS","FAIL")</f>
        <v/>
      </c>
      <c r="AA675" s="7" t="inlineStr">
        <is>
          <t>direction x lots x lot_kg x (F(s) - F(s-1))</t>
        </is>
      </c>
    </row>
    <row r="676">
      <c r="A676" s="7" t="inlineStr">
        <is>
          <t>T05</t>
        </is>
      </c>
      <c r="B676" s="7" t="inlineStr">
        <is>
          <t>MCX:T05-MCX-3</t>
        </is>
      </c>
      <c r="C676" s="7" t="inlineStr">
        <is>
          <t>T05-MCX-3</t>
        </is>
      </c>
      <c r="D676" s="7" t="inlineStr">
        <is>
          <t>MCX_INITIAL_MARGIN</t>
        </is>
      </c>
      <c r="E676" s="7" t="inlineStr">
        <is>
          <t>MCX_INITIAL_MARGIN</t>
        </is>
      </c>
      <c r="F676" s="7" t="inlineStr">
        <is>
          <t>BS</t>
        </is>
      </c>
      <c r="G676" s="7" t="inlineStr">
        <is>
          <t>INR</t>
        </is>
      </c>
      <c r="H676" s="11" t="n">
        <v>44728</v>
      </c>
      <c r="I676" s="11" t="n">
        <v>44746</v>
      </c>
      <c r="J676" s="11" t="n">
        <v>44746</v>
      </c>
      <c r="K676" s="11" t="n">
        <v>44746</v>
      </c>
      <c r="L676" s="7" t="inlineStr">
        <is>
          <t>roll following on the LME panel calendar</t>
        </is>
      </c>
      <c r="N676" s="7" t="inlineStr">
        <is>
          <t>PROXY</t>
        </is>
      </c>
      <c r="O676" s="9" t="n">
        <v>28562241.62</v>
      </c>
      <c r="P676" s="9" t="n">
        <v>28562241.62</v>
      </c>
      <c r="U676" s="7" t="inlineStr">
        <is>
          <t>DERIVED_IN_WORKBOOK</t>
        </is>
      </c>
      <c r="V676" s="8">
        <f>-SUMIFS(Cashflows!$W$1043:$W$1393,Cashflows!$B$1043:$B$1393,$C676,Cashflows!$C$1043:$C$1393,$K676)</f>
        <v/>
      </c>
      <c r="W676" s="8">
        <f>IF($G676="INR",1,INDEX(Market_Daily!$F$6:$F$256,MATCH($K676,Market_Daily!$A$6:$A$256,0)))</f>
        <v/>
      </c>
      <c r="X676" s="8">
        <f>$V676*$W676</f>
        <v/>
      </c>
      <c r="Y676" s="18">
        <f>$X676-$P676</f>
        <v/>
      </c>
      <c r="Z676" s="8">
        <f>IF(ABS($Y676)&lt;=tol_cashflow_inr,"PASS","FAIL")</f>
        <v/>
      </c>
      <c r="AA676" s="7" t="inlineStr">
        <is>
          <t>-d(lots x lot_kg x F(s) x mcx_al_margin_used_frac)</t>
        </is>
      </c>
    </row>
    <row r="677">
      <c r="A677" s="7" t="inlineStr">
        <is>
          <t>T05</t>
        </is>
      </c>
      <c r="B677" s="7" t="inlineStr">
        <is>
          <t>MCX:T05-MCX-3</t>
        </is>
      </c>
      <c r="C677" s="7" t="inlineStr">
        <is>
          <t>T05-MCX-3</t>
        </is>
      </c>
      <c r="D677" s="7" t="inlineStr">
        <is>
          <t>MCX_SLIPPAGE</t>
        </is>
      </c>
      <c r="E677" s="7" t="inlineStr">
        <is>
          <t>MCX_SLIPPAGE</t>
        </is>
      </c>
      <c r="F677" s="7" t="inlineStr">
        <is>
          <t>PNL</t>
        </is>
      </c>
      <c r="G677" s="7" t="inlineStr">
        <is>
          <t>INR</t>
        </is>
      </c>
      <c r="H677" s="11" t="n">
        <v>44746</v>
      </c>
      <c r="J677" s="11" t="n">
        <v>44746</v>
      </c>
      <c r="K677" s="11" t="n">
        <v>44746</v>
      </c>
      <c r="L677" s="7" t="inlineStr">
        <is>
          <t>roll following on the LME panel calendar</t>
        </is>
      </c>
      <c r="N677" s="7" t="inlineStr">
        <is>
          <t>ASSUMPTION</t>
        </is>
      </c>
      <c r="O677" s="9" t="n">
        <v>-139500</v>
      </c>
      <c r="P677" s="9" t="n">
        <v>-139500</v>
      </c>
      <c r="U677" s="7" t="inlineStr">
        <is>
          <t>DERIVED_IN_WORKBOOK</t>
        </is>
      </c>
      <c r="V677" s="8">
        <f>SUMIFS(Cashflows!$Z$1043:$Z$1393,Cashflows!$B$1043:$B$1393,$C677,Cashflows!$C$1043:$C$1393,$K677)</f>
        <v/>
      </c>
      <c r="W677" s="8">
        <f>IF($G677="INR",1,INDEX(Market_Daily!$F$6:$F$256,MATCH($K677,Market_Daily!$A$6:$A$256,0)))</f>
        <v/>
      </c>
      <c r="X677" s="8">
        <f>$V677*$W677</f>
        <v/>
      </c>
      <c r="Y677" s="18">
        <f>$X677-$P677</f>
        <v/>
      </c>
      <c r="Z677" s="8">
        <f>IF(ABS($Y677)&lt;=tol_cashflow_inr,"PASS","FAIL")</f>
        <v/>
      </c>
      <c r="AA677" s="7" t="inlineStr">
        <is>
          <t>-lots x lot_kg x mcx_slippage_ticks x tick</t>
        </is>
      </c>
    </row>
    <row r="678">
      <c r="A678" s="7" t="inlineStr">
        <is>
          <t>T05</t>
        </is>
      </c>
      <c r="B678" s="7" t="inlineStr">
        <is>
          <t>MCX:T05-MCX-3</t>
        </is>
      </c>
      <c r="C678" s="7" t="inlineStr">
        <is>
          <t>T05-MCX-3</t>
        </is>
      </c>
      <c r="D678" s="7" t="inlineStr">
        <is>
          <t>MCX_TRANSACTION_COST</t>
        </is>
      </c>
      <c r="E678" s="7" t="inlineStr">
        <is>
          <t>MCX_TRANSACTION_COST</t>
        </is>
      </c>
      <c r="F678" s="7" t="inlineStr">
        <is>
          <t>PNL</t>
        </is>
      </c>
      <c r="G678" s="7" t="inlineStr">
        <is>
          <t>INR</t>
        </is>
      </c>
      <c r="H678" s="11" t="n">
        <v>44746</v>
      </c>
      <c r="I678" s="11" t="n">
        <v>44746</v>
      </c>
      <c r="J678" s="11" t="n">
        <v>44746</v>
      </c>
      <c r="K678" s="11" t="n">
        <v>44746</v>
      </c>
      <c r="L678" s="7" t="inlineStr">
        <is>
          <t>roll following on the LME panel calendar</t>
        </is>
      </c>
      <c r="N678" s="7" t="inlineStr">
        <is>
          <t>ASSUMPTION</t>
        </is>
      </c>
      <c r="O678" s="9" t="n">
        <v>-87286.73</v>
      </c>
      <c r="P678" s="9" t="n">
        <v>-87286.73</v>
      </c>
      <c r="U678" s="7" t="inlineStr">
        <is>
          <t>DERIVED_IN_WORKBOOK</t>
        </is>
      </c>
      <c r="V678" s="8">
        <f>SUMIFS(Cashflows!$AA$1043:$AA$1393,Cashflows!$B$1043:$B$1393,$C678,Cashflows!$C$1043:$C$1393,$K678)</f>
        <v/>
      </c>
      <c r="W678" s="8">
        <f>IF($G678="INR",1,INDEX(Market_Daily!$F$6:$F$256,MATCH($K678,Market_Daily!$A$6:$A$256,0)))</f>
        <v/>
      </c>
      <c r="X678" s="8">
        <f>$V678*$W678</f>
        <v/>
      </c>
      <c r="Y678" s="18">
        <f>$X678-$P678</f>
        <v/>
      </c>
      <c r="Z678" s="8">
        <f>IF(ABS($Y678)&lt;=tol_cashflow_inr,"PASS","FAIL")</f>
        <v/>
      </c>
      <c r="AA678" s="7" t="inlineStr">
        <is>
          <t>-lots x lot_kg x fill x mcx_txn_cost_frac</t>
        </is>
      </c>
    </row>
    <row r="679">
      <c r="A679" s="7" t="inlineStr">
        <is>
          <t>T05</t>
        </is>
      </c>
      <c r="B679" s="7" t="inlineStr">
        <is>
          <t>MCX:T05-MCX-3</t>
        </is>
      </c>
      <c r="C679" s="7" t="inlineStr">
        <is>
          <t>T05-MCX-3</t>
        </is>
      </c>
      <c r="D679" s="7" t="inlineStr">
        <is>
          <t>MCX_VARIATION_MARGIN</t>
        </is>
      </c>
      <c r="E679" s="7" t="inlineStr">
        <is>
          <t>MCX_VARIATION_MARGIN</t>
        </is>
      </c>
      <c r="F679" s="7" t="inlineStr">
        <is>
          <t>PNL</t>
        </is>
      </c>
      <c r="G679" s="7" t="inlineStr">
        <is>
          <t>INR</t>
        </is>
      </c>
      <c r="H679" s="11" t="n">
        <v>44728</v>
      </c>
      <c r="I679" s="11" t="n">
        <v>44746</v>
      </c>
      <c r="J679" s="11" t="n">
        <v>44746</v>
      </c>
      <c r="K679" s="11" t="n">
        <v>44746</v>
      </c>
      <c r="L679" s="7" t="inlineStr">
        <is>
          <t>roll following on the LME panel calendar</t>
        </is>
      </c>
      <c r="N679" s="7" t="inlineStr">
        <is>
          <t>PROXY</t>
        </is>
      </c>
      <c r="O679" s="9" t="n">
        <v>-5193854.6</v>
      </c>
      <c r="P679" s="9" t="n">
        <v>-5193854.6</v>
      </c>
      <c r="U679" s="7" t="inlineStr">
        <is>
          <t>DERIVED_IN_WORKBOOK</t>
        </is>
      </c>
      <c r="V679" s="8">
        <f>SUMIFS(Cashflows!$R$1043:$R$1393,Cashflows!$B$1043:$B$1393,$C679,Cashflows!$C$1043:$C$1393,$K679)</f>
        <v/>
      </c>
      <c r="W679" s="8">
        <f>IF($G679="INR",1,INDEX(Market_Daily!$F$6:$F$256,MATCH($K679,Market_Daily!$A$6:$A$256,0)))</f>
        <v/>
      </c>
      <c r="X679" s="8">
        <f>$V679*$W679</f>
        <v/>
      </c>
      <c r="Y679" s="18">
        <f>$X679-$P679</f>
        <v/>
      </c>
      <c r="Z679" s="8">
        <f>IF(ABS($Y679)&lt;=tol_cashflow_inr,"PASS","FAIL")</f>
        <v/>
      </c>
      <c r="AA679" s="7" t="inlineStr">
        <is>
          <t>direction x lots x lot_kg x (F(s) - F(s-1))</t>
        </is>
      </c>
    </row>
    <row r="680">
      <c r="A680" s="7" t="inlineStr">
        <is>
          <t>T05</t>
        </is>
      </c>
      <c r="B680" s="7" t="inlineStr">
        <is>
          <t>MCX:T05-MCX-4</t>
        </is>
      </c>
      <c r="C680" s="7" t="inlineStr">
        <is>
          <t>T05-MCX-4</t>
        </is>
      </c>
      <c r="D680" s="7" t="inlineStr">
        <is>
          <t>MCX_INITIAL_MARGIN</t>
        </is>
      </c>
      <c r="E680" s="7" t="inlineStr">
        <is>
          <t>MCX_INITIAL_MARGIN</t>
        </is>
      </c>
      <c r="F680" s="7" t="inlineStr">
        <is>
          <t>BS</t>
        </is>
      </c>
      <c r="G680" s="7" t="inlineStr">
        <is>
          <t>INR</t>
        </is>
      </c>
      <c r="H680" s="11" t="n">
        <v>44733</v>
      </c>
      <c r="I680" s="11" t="n">
        <v>44746</v>
      </c>
      <c r="J680" s="11" t="n">
        <v>44746</v>
      </c>
      <c r="K680" s="11" t="n">
        <v>44746</v>
      </c>
      <c r="L680" s="7" t="inlineStr">
        <is>
          <t>roll following on the LME panel calendar</t>
        </is>
      </c>
      <c r="N680" s="7" t="inlineStr">
        <is>
          <t>PROXY</t>
        </is>
      </c>
      <c r="O680" s="9" t="n">
        <v>10749230.72</v>
      </c>
      <c r="P680" s="9" t="n">
        <v>10749230.72</v>
      </c>
      <c r="U680" s="7" t="inlineStr">
        <is>
          <t>DERIVED_IN_WORKBOOK</t>
        </is>
      </c>
      <c r="V680" s="8">
        <f>-SUMIFS(Cashflows!$W$1043:$W$1393,Cashflows!$B$1043:$B$1393,$C680,Cashflows!$C$1043:$C$1393,$K680)</f>
        <v/>
      </c>
      <c r="W680" s="8">
        <f>IF($G680="INR",1,INDEX(Market_Daily!$F$6:$F$256,MATCH($K680,Market_Daily!$A$6:$A$256,0)))</f>
        <v/>
      </c>
      <c r="X680" s="8">
        <f>$V680*$W680</f>
        <v/>
      </c>
      <c r="Y680" s="18">
        <f>$X680-$P680</f>
        <v/>
      </c>
      <c r="Z680" s="8">
        <f>IF(ABS($Y680)&lt;=tol_cashflow_inr,"PASS","FAIL")</f>
        <v/>
      </c>
      <c r="AA680" s="7" t="inlineStr">
        <is>
          <t>-d(lots x lot_kg x F(s) x mcx_al_margin_used_frac)</t>
        </is>
      </c>
    </row>
    <row r="681">
      <c r="A681" s="7" t="inlineStr">
        <is>
          <t>T05</t>
        </is>
      </c>
      <c r="B681" s="7" t="inlineStr">
        <is>
          <t>MCX:T05-MCX-4</t>
        </is>
      </c>
      <c r="C681" s="7" t="inlineStr">
        <is>
          <t>T05-MCX-4</t>
        </is>
      </c>
      <c r="D681" s="7" t="inlineStr">
        <is>
          <t>MCX_SLIPPAGE</t>
        </is>
      </c>
      <c r="E681" s="7" t="inlineStr">
        <is>
          <t>MCX_SLIPPAGE</t>
        </is>
      </c>
      <c r="F681" s="7" t="inlineStr">
        <is>
          <t>PNL</t>
        </is>
      </c>
      <c r="G681" s="7" t="inlineStr">
        <is>
          <t>INR</t>
        </is>
      </c>
      <c r="H681" s="11" t="n">
        <v>44746</v>
      </c>
      <c r="J681" s="11" t="n">
        <v>44746</v>
      </c>
      <c r="K681" s="11" t="n">
        <v>44746</v>
      </c>
      <c r="L681" s="7" t="inlineStr">
        <is>
          <t>roll following on the LME panel calendar</t>
        </is>
      </c>
      <c r="N681" s="7" t="inlineStr">
        <is>
          <t>ASSUMPTION</t>
        </is>
      </c>
      <c r="O681" s="9" t="n">
        <v>-52500</v>
      </c>
      <c r="P681" s="9" t="n">
        <v>-52500</v>
      </c>
      <c r="U681" s="7" t="inlineStr">
        <is>
          <t>DERIVED_IN_WORKBOOK</t>
        </is>
      </c>
      <c r="V681" s="8">
        <f>SUMIFS(Cashflows!$Z$1043:$Z$1393,Cashflows!$B$1043:$B$1393,$C681,Cashflows!$C$1043:$C$1393,$K681)</f>
        <v/>
      </c>
      <c r="W681" s="8">
        <f>IF($G681="INR",1,INDEX(Market_Daily!$F$6:$F$256,MATCH($K681,Market_Daily!$A$6:$A$256,0)))</f>
        <v/>
      </c>
      <c r="X681" s="8">
        <f>$V681*$W681</f>
        <v/>
      </c>
      <c r="Y681" s="18">
        <f>$X681-$P681</f>
        <v/>
      </c>
      <c r="Z681" s="8">
        <f>IF(ABS($Y681)&lt;=tol_cashflow_inr,"PASS","FAIL")</f>
        <v/>
      </c>
      <c r="AA681" s="7" t="inlineStr">
        <is>
          <t>-lots x lot_kg x mcx_slippage_ticks x tick</t>
        </is>
      </c>
    </row>
    <row r="682">
      <c r="A682" s="7" t="inlineStr">
        <is>
          <t>T05</t>
        </is>
      </c>
      <c r="B682" s="7" t="inlineStr">
        <is>
          <t>MCX:T05-MCX-4</t>
        </is>
      </c>
      <c r="C682" s="7" t="inlineStr">
        <is>
          <t>T05-MCX-4</t>
        </is>
      </c>
      <c r="D682" s="7" t="inlineStr">
        <is>
          <t>MCX_TRANSACTION_COST</t>
        </is>
      </c>
      <c r="E682" s="7" t="inlineStr">
        <is>
          <t>MCX_TRANSACTION_COST</t>
        </is>
      </c>
      <c r="F682" s="7" t="inlineStr">
        <is>
          <t>PNL</t>
        </is>
      </c>
      <c r="G682" s="7" t="inlineStr">
        <is>
          <t>INR</t>
        </is>
      </c>
      <c r="H682" s="11" t="n">
        <v>44746</v>
      </c>
      <c r="I682" s="11" t="n">
        <v>44746</v>
      </c>
      <c r="J682" s="11" t="n">
        <v>44746</v>
      </c>
      <c r="K682" s="11" t="n">
        <v>44746</v>
      </c>
      <c r="L682" s="7" t="inlineStr">
        <is>
          <t>roll following on the LME panel calendar</t>
        </is>
      </c>
      <c r="N682" s="7" t="inlineStr">
        <is>
          <t>ASSUMPTION</t>
        </is>
      </c>
      <c r="O682" s="9" t="n">
        <v>-32849.85</v>
      </c>
      <c r="P682" s="9" t="n">
        <v>-32849.85</v>
      </c>
      <c r="U682" s="7" t="inlineStr">
        <is>
          <t>DERIVED_IN_WORKBOOK</t>
        </is>
      </c>
      <c r="V682" s="8">
        <f>SUMIFS(Cashflows!$AA$1043:$AA$1393,Cashflows!$B$1043:$B$1393,$C682,Cashflows!$C$1043:$C$1393,$K682)</f>
        <v/>
      </c>
      <c r="W682" s="8">
        <f>IF($G682="INR",1,INDEX(Market_Daily!$F$6:$F$256,MATCH($K682,Market_Daily!$A$6:$A$256,0)))</f>
        <v/>
      </c>
      <c r="X682" s="8">
        <f>$V682*$W682</f>
        <v/>
      </c>
      <c r="Y682" s="18">
        <f>$X682-$P682</f>
        <v/>
      </c>
      <c r="Z682" s="8">
        <f>IF(ABS($Y682)&lt;=tol_cashflow_inr,"PASS","FAIL")</f>
        <v/>
      </c>
      <c r="AA682" s="7" t="inlineStr">
        <is>
          <t>-lots x lot_kg x fill x mcx_txn_cost_frac</t>
        </is>
      </c>
    </row>
    <row r="683">
      <c r="A683" s="7" t="inlineStr">
        <is>
          <t>T05</t>
        </is>
      </c>
      <c r="B683" s="7" t="inlineStr">
        <is>
          <t>MCX:T05-MCX-4</t>
        </is>
      </c>
      <c r="C683" s="7" t="inlineStr">
        <is>
          <t>T05-MCX-4</t>
        </is>
      </c>
      <c r="D683" s="7" t="inlineStr">
        <is>
          <t>MCX_VARIATION_MARGIN</t>
        </is>
      </c>
      <c r="E683" s="7" t="inlineStr">
        <is>
          <t>MCX_VARIATION_MARGIN</t>
        </is>
      </c>
      <c r="F683" s="7" t="inlineStr">
        <is>
          <t>PNL</t>
        </is>
      </c>
      <c r="G683" s="7" t="inlineStr">
        <is>
          <t>INR</t>
        </is>
      </c>
      <c r="H683" s="11" t="n">
        <v>44733</v>
      </c>
      <c r="I683" s="11" t="n">
        <v>44746</v>
      </c>
      <c r="J683" s="11" t="n">
        <v>44746</v>
      </c>
      <c r="K683" s="11" t="n">
        <v>44746</v>
      </c>
      <c r="L683" s="7" t="inlineStr">
        <is>
          <t>roll following on the LME panel calendar</t>
        </is>
      </c>
      <c r="N683" s="7" t="inlineStr">
        <is>
          <t>PROXY</t>
        </is>
      </c>
      <c r="O683" s="9" t="n">
        <v>-1954676.46</v>
      </c>
      <c r="P683" s="9" t="n">
        <v>-1954676.46</v>
      </c>
      <c r="U683" s="7" t="inlineStr">
        <is>
          <t>DERIVED_IN_WORKBOOK</t>
        </is>
      </c>
      <c r="V683" s="8">
        <f>SUMIFS(Cashflows!$R$1043:$R$1393,Cashflows!$B$1043:$B$1393,$C683,Cashflows!$C$1043:$C$1393,$K683)</f>
        <v/>
      </c>
      <c r="W683" s="8">
        <f>IF($G683="INR",1,INDEX(Market_Daily!$F$6:$F$256,MATCH($K683,Market_Daily!$A$6:$A$256,0)))</f>
        <v/>
      </c>
      <c r="X683" s="8">
        <f>$V683*$W683</f>
        <v/>
      </c>
      <c r="Y683" s="18">
        <f>$X683-$P683</f>
        <v/>
      </c>
      <c r="Z683" s="8">
        <f>IF(ABS($Y683)&lt;=tol_cashflow_inr,"PASS","FAIL")</f>
        <v/>
      </c>
      <c r="AA683" s="7" t="inlineStr">
        <is>
          <t>direction x lots x lot_kg x (F(s) - F(s-1))</t>
        </is>
      </c>
    </row>
    <row r="684">
      <c r="A684" s="7" t="inlineStr">
        <is>
          <t>T05</t>
        </is>
      </c>
      <c r="B684" s="7" t="inlineStr">
        <is>
          <t>DUTY:L1</t>
        </is>
      </c>
      <c r="C684" s="7" t="inlineStr">
        <is>
          <t>L1</t>
        </is>
      </c>
      <c r="D684" s="7" t="inlineStr">
        <is>
          <t>CUSTOMS_DUTY_DIFFERENTIAL</t>
        </is>
      </c>
      <c r="E684" s="7" t="inlineStr">
        <is>
          <t>CUSTOMS_DUTY_DIFFERENTIAL</t>
        </is>
      </c>
      <c r="F684" s="7" t="inlineStr">
        <is>
          <t>PNL</t>
        </is>
      </c>
      <c r="G684" s="7" t="inlineStr">
        <is>
          <t>INR</t>
        </is>
      </c>
      <c r="H684" s="11" t="n">
        <v>44672</v>
      </c>
      <c r="I684" s="11" t="n">
        <v>44749</v>
      </c>
      <c r="J684" s="11" t="n">
        <v>44749</v>
      </c>
      <c r="K684" s="11" t="n">
        <v>44749</v>
      </c>
      <c r="L684" s="7" t="inlineStr">
        <is>
          <t>roll following on the LME panel calendar</t>
        </is>
      </c>
      <c r="N684" s="7" t="inlineStr">
        <is>
          <t>DIRECT</t>
        </is>
      </c>
      <c r="O684" s="9" t="n">
        <v>182759.17</v>
      </c>
      <c r="P684" s="9" t="n">
        <v>182759.17</v>
      </c>
      <c r="U684" s="7" t="inlineStr">
        <is>
          <t>PYTHON_LIFECYCLE</t>
        </is>
      </c>
      <c r="V684" s="8">
        <f>$O684</f>
        <v/>
      </c>
      <c r="W684" s="8">
        <f>IF($G684="INR",1,INDEX(Market_Daily!$F$6:$F$256,MATCH($K684,Market_Daily!$A$6:$A$256,0)))</f>
        <v/>
      </c>
      <c r="X684" s="8">
        <f>$V684*$W684</f>
        <v/>
      </c>
      <c r="Y684" s="18">
        <f>$X684-$P684</f>
        <v/>
      </c>
      <c r="Z684" s="8">
        <f>IF(ABS($Y684)&lt;=tol_cashflow_inr,"PASS","FAIL")</f>
        <v/>
      </c>
      <c r="AA684" s="7" t="inlineStr">
        <is>
          <t>-dAV x bcd x (1 + sws) on (P_final - P_provisional)</t>
        </is>
      </c>
    </row>
    <row r="685">
      <c r="A685" s="7" t="inlineStr">
        <is>
          <t>T05</t>
        </is>
      </c>
      <c r="B685" s="7" t="inlineStr">
        <is>
          <t>DUTY:L2</t>
        </is>
      </c>
      <c r="C685" s="7" t="inlineStr">
        <is>
          <t>L2</t>
        </is>
      </c>
      <c r="D685" s="7" t="inlineStr">
        <is>
          <t>CUSTOMS_DUTY_DIFFERENTIAL</t>
        </is>
      </c>
      <c r="E685" s="7" t="inlineStr">
        <is>
          <t>CUSTOMS_DUTY_DIFFERENTIAL</t>
        </is>
      </c>
      <c r="F685" s="7" t="inlineStr">
        <is>
          <t>PNL</t>
        </is>
      </c>
      <c r="G685" s="7" t="inlineStr">
        <is>
          <t>INR</t>
        </is>
      </c>
      <c r="H685" s="11" t="n">
        <v>44672</v>
      </c>
      <c r="I685" s="11" t="n">
        <v>44749</v>
      </c>
      <c r="J685" s="11" t="n">
        <v>44749</v>
      </c>
      <c r="K685" s="11" t="n">
        <v>44749</v>
      </c>
      <c r="L685" s="7" t="inlineStr">
        <is>
          <t>roll following on the LME panel calendar</t>
        </is>
      </c>
      <c r="N685" s="7" t="inlineStr">
        <is>
          <t>DIRECT</t>
        </is>
      </c>
      <c r="O685" s="9" t="n">
        <v>451911.4</v>
      </c>
      <c r="P685" s="9" t="n">
        <v>451911.4</v>
      </c>
      <c r="U685" s="7" t="inlineStr">
        <is>
          <t>PYTHON_LIFECYCLE</t>
        </is>
      </c>
      <c r="V685" s="8">
        <f>$O685</f>
        <v/>
      </c>
      <c r="W685" s="8">
        <f>IF($G685="INR",1,INDEX(Market_Daily!$F$6:$F$256,MATCH($K685,Market_Daily!$A$6:$A$256,0)))</f>
        <v/>
      </c>
      <c r="X685" s="8">
        <f>$V685*$W685</f>
        <v/>
      </c>
      <c r="Y685" s="18">
        <f>$X685-$P685</f>
        <v/>
      </c>
      <c r="Z685" s="8">
        <f>IF(ABS($Y685)&lt;=tol_cashflow_inr,"PASS","FAIL")</f>
        <v/>
      </c>
      <c r="AA685" s="7" t="inlineStr">
        <is>
          <t>-dAV x bcd x (1 + sws) on (P_final - P_provisional)</t>
        </is>
      </c>
    </row>
    <row r="686">
      <c r="A686" s="7" t="inlineStr">
        <is>
          <t>T05</t>
        </is>
      </c>
      <c r="B686" s="7" t="inlineStr">
        <is>
          <t>PORT:L2</t>
        </is>
      </c>
      <c r="C686" s="7" t="inlineStr">
        <is>
          <t>L2</t>
        </is>
      </c>
      <c r="D686" s="7" t="inlineStr">
        <is>
          <t>PORT_CHARGES</t>
        </is>
      </c>
      <c r="E686" s="7" t="inlineStr">
        <is>
          <t>PORT_CHARGES</t>
        </is>
      </c>
      <c r="F686" s="7" t="inlineStr">
        <is>
          <t>PNL</t>
        </is>
      </c>
      <c r="G686" s="7" t="inlineStr">
        <is>
          <t>INR</t>
        </is>
      </c>
      <c r="H686" s="11" t="n">
        <v>44672</v>
      </c>
      <c r="J686" s="11" t="n">
        <v>44749</v>
      </c>
      <c r="K686" s="11" t="n">
        <v>44749</v>
      </c>
      <c r="L686" s="7" t="inlineStr">
        <is>
          <t>roll following on the LME panel calendar</t>
        </is>
      </c>
      <c r="N686" s="7" t="inlineStr">
        <is>
          <t>ASSUMPTION</t>
        </is>
      </c>
      <c r="O686" s="9" t="n">
        <v>-2782500</v>
      </c>
      <c r="P686" s="9" t="n">
        <v>-2782500</v>
      </c>
      <c r="U686" s="7" t="inlineStr">
        <is>
          <t>PYTHON_LIFECYCLE</t>
        </is>
      </c>
      <c r="V686" s="8">
        <f>$O686</f>
        <v/>
      </c>
      <c r="W686" s="8">
        <f>IF($G686="INR",1,INDEX(Market_Daily!$F$6:$F$256,MATCH($K686,Market_Daily!$A$6:$A$256,0)))</f>
        <v/>
      </c>
      <c r="X686" s="8">
        <f>$V686*$W686</f>
        <v/>
      </c>
      <c r="Y686" s="18">
        <f>$X686-$P686</f>
        <v/>
      </c>
      <c r="Z686" s="8">
        <f>IF(ABS($Y686)&lt;=tol_cashflow_inr,"PASS","FAIL")</f>
        <v/>
      </c>
      <c r="AA686" s="7" t="inlineStr">
        <is>
          <t>-port_cf_charges_inr_t x base_payload x cleared boxes</t>
        </is>
      </c>
    </row>
    <row r="687">
      <c r="A687" s="7" t="inlineStr">
        <is>
          <t>T05</t>
        </is>
      </c>
      <c r="B687" s="7" t="inlineStr">
        <is>
          <t>PURCHASE:L1</t>
        </is>
      </c>
      <c r="C687" s="7" t="inlineStr">
        <is>
          <t>L1</t>
        </is>
      </c>
      <c r="D687" s="7" t="inlineStr">
        <is>
          <t>PURCHASE_FINAL</t>
        </is>
      </c>
      <c r="E687" s="7" t="inlineStr">
        <is>
          <t>PURCHASE_FINAL</t>
        </is>
      </c>
      <c r="F687" s="7" t="inlineStr">
        <is>
          <t>PNL</t>
        </is>
      </c>
      <c r="G687" s="7" t="inlineStr">
        <is>
          <t>USD</t>
        </is>
      </c>
      <c r="H687" s="11" t="n">
        <v>44672</v>
      </c>
      <c r="I687" s="11" t="n">
        <v>44742</v>
      </c>
      <c r="J687" s="11" t="n">
        <v>44749</v>
      </c>
      <c r="K687" s="11" t="n">
        <v>44749</v>
      </c>
      <c r="L687" s="7" t="inlineStr">
        <is>
          <t>roll following on the LME panel calendar</t>
        </is>
      </c>
      <c r="N687" s="7" t="inlineStr">
        <is>
          <t>DIRECT</t>
        </is>
      </c>
      <c r="O687" s="9" t="n">
        <v>-14576.15</v>
      </c>
      <c r="P687" s="9" t="n">
        <v>-1154065.42</v>
      </c>
      <c r="U687" s="7" t="inlineStr">
        <is>
          <t>PYTHON_LIFECYCLE</t>
        </is>
      </c>
      <c r="V687" s="8">
        <f>$O687</f>
        <v/>
      </c>
      <c r="W687" s="8">
        <f>IF($G687="INR",1,INDEX(Market_Daily!$F$6:$F$256,MATCH($K687,Market_Daily!$A$6:$A$256,0)))</f>
        <v/>
      </c>
      <c r="X687" s="8">
        <f>$V687*$W687</f>
        <v/>
      </c>
      <c r="Y687" s="18">
        <f>$X687-$P687</f>
        <v/>
      </c>
      <c r="Z687" s="8">
        <f>IF(ABS($Y687)&lt;=tol_cashflow_inr,"PASS","FAIL")</f>
        <v/>
      </c>
      <c r="AA687" s="7" t="inlineStr">
        <is>
          <t>-(q_acc x (factor x A_P + premium) x (1 - disc) - provisional)</t>
        </is>
      </c>
    </row>
    <row r="688">
      <c r="A688" s="7" t="inlineStr">
        <is>
          <t>T05</t>
        </is>
      </c>
      <c r="B688" s="7" t="inlineStr">
        <is>
          <t>PURCHASE:L2</t>
        </is>
      </c>
      <c r="C688" s="7" t="inlineStr">
        <is>
          <t>L2</t>
        </is>
      </c>
      <c r="D688" s="7" t="inlineStr">
        <is>
          <t>PURCHASE_FINAL</t>
        </is>
      </c>
      <c r="E688" s="7" t="inlineStr">
        <is>
          <t>PURCHASE_FINAL</t>
        </is>
      </c>
      <c r="F688" s="7" t="inlineStr">
        <is>
          <t>PNL</t>
        </is>
      </c>
      <c r="G688" s="7" t="inlineStr">
        <is>
          <t>USD</t>
        </is>
      </c>
      <c r="H688" s="11" t="n">
        <v>44672</v>
      </c>
      <c r="I688" s="11" t="n">
        <v>44742</v>
      </c>
      <c r="J688" s="11" t="n">
        <v>44749</v>
      </c>
      <c r="K688" s="11" t="n">
        <v>44749</v>
      </c>
      <c r="L688" s="7" t="inlineStr">
        <is>
          <t>roll following on the LME panel calendar</t>
        </is>
      </c>
      <c r="N688" s="7" t="inlineStr">
        <is>
          <t>DIRECT</t>
        </is>
      </c>
      <c r="O688" s="9" t="n">
        <v>103065.01</v>
      </c>
      <c r="P688" s="9" t="n">
        <v>8160161.66</v>
      </c>
      <c r="U688" s="7" t="inlineStr">
        <is>
          <t>PYTHON_LIFECYCLE</t>
        </is>
      </c>
      <c r="V688" s="8">
        <f>$O688</f>
        <v/>
      </c>
      <c r="W688" s="8">
        <f>IF($G688="INR",1,INDEX(Market_Daily!$F$6:$F$256,MATCH($K688,Market_Daily!$A$6:$A$256,0)))</f>
        <v/>
      </c>
      <c r="X688" s="8">
        <f>$V688*$W688</f>
        <v/>
      </c>
      <c r="Y688" s="18">
        <f>$X688-$P688</f>
        <v/>
      </c>
      <c r="Z688" s="8">
        <f>IF(ABS($Y688)&lt;=tol_cashflow_inr,"PASS","FAIL")</f>
        <v/>
      </c>
      <c r="AA688" s="7" t="inlineStr">
        <is>
          <t>-(q_acc x (factor x A_P + premium) x (1 - disc) - provisional)</t>
        </is>
      </c>
    </row>
    <row r="689">
      <c r="A689" s="7" t="inlineStr">
        <is>
          <t>T05</t>
        </is>
      </c>
      <c r="B689" s="7" t="inlineStr">
        <is>
          <t>BILL_COMMISSION:L1</t>
        </is>
      </c>
      <c r="C689" s="7" t="inlineStr">
        <is>
          <t>L1</t>
        </is>
      </c>
      <c r="D689" s="7" t="inlineStr">
        <is>
          <t>IMPORT_BILL_COMMISSION</t>
        </is>
      </c>
      <c r="E689" s="7" t="inlineStr">
        <is>
          <t>IMPORT_BILL_COMMISSION</t>
        </is>
      </c>
      <c r="F689" s="7" t="inlineStr">
        <is>
          <t>PNL</t>
        </is>
      </c>
      <c r="G689" s="7" t="inlineStr">
        <is>
          <t>USD</t>
        </is>
      </c>
      <c r="H689" s="11" t="n">
        <v>44672</v>
      </c>
      <c r="I689" s="11" t="n">
        <v>44753</v>
      </c>
      <c r="J689" s="11" t="n">
        <v>44753</v>
      </c>
      <c r="K689" s="11" t="n">
        <v>44753</v>
      </c>
      <c r="L689" s="7" t="inlineStr">
        <is>
          <t>roll following on the LME panel calendar</t>
        </is>
      </c>
      <c r="N689" s="7" t="inlineStr">
        <is>
          <t>DIRECT</t>
        </is>
      </c>
      <c r="O689" s="9" t="n">
        <v>-2249.47</v>
      </c>
      <c r="P689" s="9" t="n">
        <v>-178753.22</v>
      </c>
      <c r="U689" s="7" t="inlineStr">
        <is>
          <t>PYTHON_LIFECYCLE</t>
        </is>
      </c>
      <c r="V689" s="8">
        <f>$O689</f>
        <v/>
      </c>
      <c r="W689" s="8">
        <f>IF($G689="INR",1,INDEX(Market_Daily!$F$6:$F$256,MATCH($K689,Market_Daily!$A$6:$A$256,0)))</f>
        <v/>
      </c>
      <c r="X689" s="8">
        <f>$V689*$W689</f>
        <v/>
      </c>
      <c r="Y689" s="18">
        <f>$X689-$P689</f>
        <v/>
      </c>
      <c r="Z689" s="8">
        <f>IF(ABS($Y689)&lt;=tol_cashflow_inr,"PASS","FAIL")</f>
        <v/>
      </c>
      <c r="AA689" s="7" t="inlineStr">
        <is>
          <t>-import_bill_commission_frac x bill_usd</t>
        </is>
      </c>
    </row>
    <row r="690">
      <c r="A690" s="7" t="inlineStr">
        <is>
          <t>T05</t>
        </is>
      </c>
      <c r="B690" s="7" t="inlineStr">
        <is>
          <t>FX:T05-FX-1</t>
        </is>
      </c>
      <c r="C690" s="7" t="inlineStr">
        <is>
          <t>T05-FX-1</t>
        </is>
      </c>
      <c r="D690" s="7" t="inlineStr">
        <is>
          <t>FX_FORWARD</t>
        </is>
      </c>
      <c r="E690" s="7" t="inlineStr">
        <is>
          <t>FX_FORWARD</t>
        </is>
      </c>
      <c r="F690" s="7" t="inlineStr">
        <is>
          <t>PNL</t>
        </is>
      </c>
      <c r="G690" s="7" t="inlineStr">
        <is>
          <t>INR</t>
        </is>
      </c>
      <c r="H690" s="11" t="n">
        <v>44691</v>
      </c>
      <c r="I690" s="11" t="n">
        <v>44753</v>
      </c>
      <c r="J690" s="11" t="n">
        <v>44753</v>
      </c>
      <c r="K690" s="11" t="n">
        <v>44753</v>
      </c>
      <c r="L690" s="7" t="inlineStr">
        <is>
          <t>roll following on the LME panel calendar</t>
        </is>
      </c>
      <c r="N690" s="7" t="inlineStr">
        <is>
          <t>PROXY</t>
        </is>
      </c>
      <c r="O690" s="9" t="n">
        <v>2999310.25</v>
      </c>
      <c r="P690" s="9" t="n">
        <v>2999310.25</v>
      </c>
      <c r="Q690" s="6" t="n">
        <v>1</v>
      </c>
      <c r="R690" s="13" t="n">
        <v>1874500</v>
      </c>
      <c r="S690" s="12" t="n">
        <v>44753</v>
      </c>
      <c r="T690" s="21" t="n">
        <v>77.86464100000001</v>
      </c>
      <c r="U690" s="7" t="inlineStr">
        <is>
          <t>DERIVED_IN_WORKBOOK</t>
        </is>
      </c>
      <c r="V690" s="8">
        <f>$Q690*$R690*(IF($S690&lt;$K690,INDEX(Market_Daily!$F$6:$F$256,MATCH($S690,Market_Daily!$A$6:$A$256,1)),IF($S690=$K690,INDEX(Market_Daily!$F$6:$F$256,MATCH($K690,Market_Daily!$A$6:$A$256,0)),(INDEX(Market_Daily!$F$6:$F$256,MATCH($K690,Market_Daily!$A$6:$A$256,0))*(1+INDEX(Market_Daily!$I$6:$I$256,MATCH($K690,Market_Daily!$A$6:$A$256,0))*($S690-$K690)/day_count_inr)/(1+INDEX(Market_Daily!$J$6:$J$256,MATCH($K690,Market_Daily!$A$6:$A$256,0))*($S690-$K690)/day_count_usd))))-$T690)</f>
        <v/>
      </c>
      <c r="W690" s="8">
        <f>IF($G690="INR",1,INDEX(Market_Daily!$F$6:$F$256,MATCH($K690,Market_Daily!$A$6:$A$256,0)))</f>
        <v/>
      </c>
      <c r="X690" s="8">
        <f>$V690*$W690</f>
        <v/>
      </c>
      <c r="Y690" s="18">
        <f>$X690-$P690</f>
        <v/>
      </c>
      <c r="Z690" s="8">
        <f>IF(ABS($Y690)&lt;=tol_cashflow_inr,"PASS","FAIL")</f>
        <v/>
      </c>
      <c r="AA690" s="7" t="inlineStr">
        <is>
          <t>sign x notional x (X(tau, value_date) - K)</t>
        </is>
      </c>
    </row>
    <row r="691">
      <c r="A691" s="7" t="inlineStr">
        <is>
          <t>T05</t>
        </is>
      </c>
      <c r="B691" s="7" t="inlineStr">
        <is>
          <t>PURCHASE:L1</t>
        </is>
      </c>
      <c r="C691" s="7" t="inlineStr">
        <is>
          <t>L1</t>
        </is>
      </c>
      <c r="D691" s="7" t="inlineStr">
        <is>
          <t>PURCHASE_PROVISIONAL</t>
        </is>
      </c>
      <c r="E691" s="7" t="inlineStr">
        <is>
          <t>PURCHASE_PROVISIONAL</t>
        </is>
      </c>
      <c r="F691" s="7" t="inlineStr">
        <is>
          <t>PNL</t>
        </is>
      </c>
      <c r="G691" s="7" t="inlineStr">
        <is>
          <t>USD</t>
        </is>
      </c>
      <c r="H691" s="11" t="n">
        <v>44672</v>
      </c>
      <c r="I691" s="11" t="n">
        <v>44691</v>
      </c>
      <c r="J691" s="11" t="n">
        <v>44753</v>
      </c>
      <c r="K691" s="11" t="n">
        <v>44753</v>
      </c>
      <c r="L691" s="7" t="inlineStr">
        <is>
          <t>roll following on the LME panel calendar</t>
        </is>
      </c>
      <c r="N691" s="7" t="inlineStr">
        <is>
          <t>DIRECT</t>
        </is>
      </c>
      <c r="O691" s="9" t="n">
        <v>-1874555.86</v>
      </c>
      <c r="P691" s="9" t="n">
        <v>-148961019.45</v>
      </c>
      <c r="U691" s="7" t="inlineStr">
        <is>
          <t>PYTHON_LIFECYCLE</t>
        </is>
      </c>
      <c r="V691" s="8">
        <f>$O691</f>
        <v/>
      </c>
      <c r="W691" s="8">
        <f>IF($G691="INR",1,INDEX(Market_Daily!$F$6:$F$256,MATCH($K691,Market_Daily!$A$6:$A$256,0)))</f>
        <v/>
      </c>
      <c r="X691" s="8">
        <f>$V691*$W691</f>
        <v/>
      </c>
      <c r="Y691" s="18">
        <f>$X691-$P691</f>
        <v/>
      </c>
      <c r="Z691" s="8">
        <f>IF(ABS($Y691)&lt;=tol_cashflow_inr,"PASS","FAIL")</f>
        <v/>
      </c>
      <c r="AA691" s="7" t="inlineStr">
        <is>
          <t>-provisional_frac x q_bl x (factor x cash(bl) + premium)</t>
        </is>
      </c>
    </row>
    <row r="692">
      <c r="A692" s="7" t="inlineStr">
        <is>
          <t>T05</t>
        </is>
      </c>
      <c r="B692" s="7" t="inlineStr">
        <is>
          <t>USANCE_INTEREST:L1</t>
        </is>
      </c>
      <c r="C692" s="7" t="inlineStr">
        <is>
          <t>L1</t>
        </is>
      </c>
      <c r="D692" s="7" t="inlineStr">
        <is>
          <t>USANCE_INTEREST</t>
        </is>
      </c>
      <c r="E692" s="7" t="inlineStr">
        <is>
          <t>USANCE_INTEREST</t>
        </is>
      </c>
      <c r="F692" s="7" t="inlineStr">
        <is>
          <t>PNL</t>
        </is>
      </c>
      <c r="G692" s="7" t="inlineStr">
        <is>
          <t>USD</t>
        </is>
      </c>
      <c r="H692" s="11" t="n">
        <v>44672</v>
      </c>
      <c r="I692" s="11" t="n">
        <v>44698</v>
      </c>
      <c r="J692" s="11" t="n">
        <v>44753</v>
      </c>
      <c r="K692" s="11" t="n">
        <v>44753</v>
      </c>
      <c r="L692" s="7" t="inlineStr">
        <is>
          <t>roll following on the LME panel calendar</t>
        </is>
      </c>
      <c r="N692" s="7" t="inlineStr">
        <is>
          <t>PROXY</t>
        </is>
      </c>
      <c r="O692" s="9" t="n">
        <v>-8014.35</v>
      </c>
      <c r="P692" s="9" t="n">
        <v>-636858.01</v>
      </c>
      <c r="U692" s="7" t="inlineStr">
        <is>
          <t>PYTHON_LIFECYCLE</t>
        </is>
      </c>
      <c r="V692" s="8">
        <f>$O692</f>
        <v/>
      </c>
      <c r="W692" s="8">
        <f>IF($G692="INR",1,INDEX(Market_Daily!$F$6:$F$256,MATCH($K692,Market_Daily!$A$6:$A$256,0)))</f>
        <v/>
      </c>
      <c r="X692" s="8">
        <f>$V692*$W692</f>
        <v/>
      </c>
      <c r="Y692" s="18">
        <f>$X692-$P692</f>
        <v/>
      </c>
      <c r="Z692" s="8">
        <f>IF(ABS($Y692)&lt;=tol_cashflow_inr,"PASS","FAIL")</f>
        <v/>
      </c>
      <c r="AA692" s="7" t="inlineStr">
        <is>
          <t>-bill_usd x (usd_rate_3m_pa@acceptance + usance_interest_spread_pa) x days/360</t>
        </is>
      </c>
    </row>
    <row r="693">
      <c r="A693" s="7" t="inlineStr">
        <is>
          <t>T05</t>
        </is>
      </c>
      <c r="B693" s="7" t="inlineStr">
        <is>
          <t>BILL_COMMISSION:L2</t>
        </is>
      </c>
      <c r="C693" s="7" t="inlineStr">
        <is>
          <t>L2</t>
        </is>
      </c>
      <c r="D693" s="7" t="inlineStr">
        <is>
          <t>IMPORT_BILL_COMMISSION</t>
        </is>
      </c>
      <c r="E693" s="7" t="inlineStr">
        <is>
          <t>IMPORT_BILL_COMMISSION</t>
        </is>
      </c>
      <c r="F693" s="7" t="inlineStr">
        <is>
          <t>PNL</t>
        </is>
      </c>
      <c r="G693" s="7" t="inlineStr">
        <is>
          <t>USD</t>
        </is>
      </c>
      <c r="H693" s="11" t="n">
        <v>44672</v>
      </c>
      <c r="I693" s="11" t="n">
        <v>44760</v>
      </c>
      <c r="J693" s="11" t="n">
        <v>44760</v>
      </c>
      <c r="K693" s="11" t="n">
        <v>44760</v>
      </c>
      <c r="L693" s="7" t="inlineStr">
        <is>
          <t>roll following on the LME panel calendar</t>
        </is>
      </c>
      <c r="N693" s="7" t="inlineStr">
        <is>
          <t>DIRECT</t>
        </is>
      </c>
      <c r="O693" s="9" t="n">
        <v>-2390.64</v>
      </c>
      <c r="P693" s="9" t="n">
        <v>-191217.92</v>
      </c>
      <c r="U693" s="7" t="inlineStr">
        <is>
          <t>PYTHON_LIFECYCLE</t>
        </is>
      </c>
      <c r="V693" s="8">
        <f>$O693</f>
        <v/>
      </c>
      <c r="W693" s="8">
        <f>IF($G693="INR",1,INDEX(Market_Daily!$F$6:$F$256,MATCH($K693,Market_Daily!$A$6:$A$256,0)))</f>
        <v/>
      </c>
      <c r="X693" s="8">
        <f>$V693*$W693</f>
        <v/>
      </c>
      <c r="Y693" s="18">
        <f>$X693-$P693</f>
        <v/>
      </c>
      <c r="Z693" s="8">
        <f>IF(ABS($Y693)&lt;=tol_cashflow_inr,"PASS","FAIL")</f>
        <v/>
      </c>
      <c r="AA693" s="7" t="inlineStr">
        <is>
          <t>-import_bill_commission_frac x bill_usd</t>
        </is>
      </c>
    </row>
    <row r="694">
      <c r="A694" s="7" t="inlineStr">
        <is>
          <t>T05</t>
        </is>
      </c>
      <c r="B694" s="7" t="inlineStr">
        <is>
          <t>FX:T05-FX-2</t>
        </is>
      </c>
      <c r="C694" s="7" t="inlineStr">
        <is>
          <t>T05-FX-2</t>
        </is>
      </c>
      <c r="D694" s="7" t="inlineStr">
        <is>
          <t>FX_FORWARD</t>
        </is>
      </c>
      <c r="E694" s="7" t="inlineStr">
        <is>
          <t>FX_FORWARD</t>
        </is>
      </c>
      <c r="F694" s="7" t="inlineStr">
        <is>
          <t>PNL</t>
        </is>
      </c>
      <c r="G694" s="7" t="inlineStr">
        <is>
          <t>INR</t>
        </is>
      </c>
      <c r="H694" s="11" t="n">
        <v>44699</v>
      </c>
      <c r="I694" s="11" t="n">
        <v>44760</v>
      </c>
      <c r="J694" s="11" t="n">
        <v>44760</v>
      </c>
      <c r="K694" s="11" t="n">
        <v>44760</v>
      </c>
      <c r="L694" s="7" t="inlineStr">
        <is>
          <t>roll following on the LME panel calendar</t>
        </is>
      </c>
      <c r="N694" s="7" t="inlineStr">
        <is>
          <t>PROXY</t>
        </is>
      </c>
      <c r="O694" s="9" t="n">
        <v>3626417.75</v>
      </c>
      <c r="P694" s="9" t="n">
        <v>3626417.75</v>
      </c>
      <c r="Q694" s="6" t="n">
        <v>1</v>
      </c>
      <c r="R694" s="13" t="n">
        <v>1992200</v>
      </c>
      <c r="S694" s="12" t="n">
        <v>44760</v>
      </c>
      <c r="T694" s="21" t="n">
        <v>78.165892</v>
      </c>
      <c r="U694" s="7" t="inlineStr">
        <is>
          <t>DERIVED_IN_WORKBOOK</t>
        </is>
      </c>
      <c r="V694" s="8">
        <f>$Q694*$R694*(IF($S694&lt;$K694,INDEX(Market_Daily!$F$6:$F$256,MATCH($S694,Market_Daily!$A$6:$A$256,1)),IF($S694=$K694,INDEX(Market_Daily!$F$6:$F$256,MATCH($K694,Market_Daily!$A$6:$A$256,0)),(INDEX(Market_Daily!$F$6:$F$256,MATCH($K694,Market_Daily!$A$6:$A$256,0))*(1+INDEX(Market_Daily!$I$6:$I$256,MATCH($K694,Market_Daily!$A$6:$A$256,0))*($S694-$K694)/day_count_inr)/(1+INDEX(Market_Daily!$J$6:$J$256,MATCH($K694,Market_Daily!$A$6:$A$256,0))*($S694-$K694)/day_count_usd))))-$T694)</f>
        <v/>
      </c>
      <c r="W694" s="8">
        <f>IF($G694="INR",1,INDEX(Market_Daily!$F$6:$F$256,MATCH($K694,Market_Daily!$A$6:$A$256,0)))</f>
        <v/>
      </c>
      <c r="X694" s="8">
        <f>$V694*$W694</f>
        <v/>
      </c>
      <c r="Y694" s="18">
        <f>$X694-$P694</f>
        <v/>
      </c>
      <c r="Z694" s="8">
        <f>IF(ABS($Y694)&lt;=tol_cashflow_inr,"PASS","FAIL")</f>
        <v/>
      </c>
      <c r="AA694" s="7" t="inlineStr">
        <is>
          <t>sign x notional x (X(tau, value_date) - K)</t>
        </is>
      </c>
    </row>
    <row r="695">
      <c r="A695" s="7" t="inlineStr">
        <is>
          <t>T05</t>
        </is>
      </c>
      <c r="B695" s="7" t="inlineStr">
        <is>
          <t>FX:T05-FX-3</t>
        </is>
      </c>
      <c r="C695" s="7" t="inlineStr">
        <is>
          <t>T05-FX-3</t>
        </is>
      </c>
      <c r="D695" s="7" t="inlineStr">
        <is>
          <t>FX_FORWARD</t>
        </is>
      </c>
      <c r="E695" s="7" t="inlineStr">
        <is>
          <t>FX_FORWARD</t>
        </is>
      </c>
      <c r="F695" s="7" t="inlineStr">
        <is>
          <t>PNL</t>
        </is>
      </c>
      <c r="G695" s="7" t="inlineStr">
        <is>
          <t>INR</t>
        </is>
      </c>
      <c r="H695" s="11" t="n">
        <v>44743</v>
      </c>
      <c r="I695" s="11" t="n">
        <v>44760</v>
      </c>
      <c r="J695" s="11" t="n">
        <v>44760</v>
      </c>
      <c r="K695" s="11" t="n">
        <v>44760</v>
      </c>
      <c r="L695" s="7" t="inlineStr">
        <is>
          <t>roll following on the LME panel calendar</t>
        </is>
      </c>
      <c r="N695" s="7" t="inlineStr">
        <is>
          <t>PROXY</t>
        </is>
      </c>
      <c r="O695" s="9" t="n">
        <v>-84285.49000000001</v>
      </c>
      <c r="P695" s="9" t="n">
        <v>-84285.49000000001</v>
      </c>
      <c r="Q695" s="6" t="n">
        <v>-1</v>
      </c>
      <c r="R695" s="13" t="n">
        <v>90000</v>
      </c>
      <c r="S695" s="12" t="n">
        <v>44760</v>
      </c>
      <c r="T695" s="21" t="n">
        <v>79.049695</v>
      </c>
      <c r="U695" s="7" t="inlineStr">
        <is>
          <t>DERIVED_IN_WORKBOOK</t>
        </is>
      </c>
      <c r="V695" s="8">
        <f>$Q695*$R695*(IF($S695&lt;$K695,INDEX(Market_Daily!$F$6:$F$256,MATCH($S695,Market_Daily!$A$6:$A$256,1)),IF($S695=$K695,INDEX(Market_Daily!$F$6:$F$256,MATCH($K695,Market_Daily!$A$6:$A$256,0)),(INDEX(Market_Daily!$F$6:$F$256,MATCH($K695,Market_Daily!$A$6:$A$256,0))*(1+INDEX(Market_Daily!$I$6:$I$256,MATCH($K695,Market_Daily!$A$6:$A$256,0))*($S695-$K695)/day_count_inr)/(1+INDEX(Market_Daily!$J$6:$J$256,MATCH($K695,Market_Daily!$A$6:$A$256,0))*($S695-$K695)/day_count_usd))))-$T695)</f>
        <v/>
      </c>
      <c r="W695" s="8">
        <f>IF($G695="INR",1,INDEX(Market_Daily!$F$6:$F$256,MATCH($K695,Market_Daily!$A$6:$A$256,0)))</f>
        <v/>
      </c>
      <c r="X695" s="8">
        <f>$V695*$W695</f>
        <v/>
      </c>
      <c r="Y695" s="18">
        <f>$X695-$P695</f>
        <v/>
      </c>
      <c r="Z695" s="8">
        <f>IF(ABS($Y695)&lt;=tol_cashflow_inr,"PASS","FAIL")</f>
        <v/>
      </c>
      <c r="AA695" s="7" t="inlineStr">
        <is>
          <t>sign x notional x (X(tau, value_date) - K)</t>
        </is>
      </c>
    </row>
    <row r="696">
      <c r="A696" s="7" t="inlineStr">
        <is>
          <t>T05</t>
        </is>
      </c>
      <c r="B696" s="7" t="inlineStr">
        <is>
          <t>PURCHASE:L2</t>
        </is>
      </c>
      <c r="C696" s="7" t="inlineStr">
        <is>
          <t>L2</t>
        </is>
      </c>
      <c r="D696" s="7" t="inlineStr">
        <is>
          <t>PURCHASE_PROVISIONAL</t>
        </is>
      </c>
      <c r="E696" s="7" t="inlineStr">
        <is>
          <t>PURCHASE_PROVISIONAL</t>
        </is>
      </c>
      <c r="F696" s="7" t="inlineStr">
        <is>
          <t>PNL</t>
        </is>
      </c>
      <c r="G696" s="7" t="inlineStr">
        <is>
          <t>USD</t>
        </is>
      </c>
      <c r="H696" s="11" t="n">
        <v>44672</v>
      </c>
      <c r="I696" s="11" t="n">
        <v>44699</v>
      </c>
      <c r="J696" s="11" t="n">
        <v>44760</v>
      </c>
      <c r="K696" s="11" t="n">
        <v>44760</v>
      </c>
      <c r="L696" s="7" t="inlineStr">
        <is>
          <t>roll following on the LME panel calendar</t>
        </is>
      </c>
      <c r="N696" s="7" t="inlineStr">
        <is>
          <t>DIRECT</t>
        </is>
      </c>
      <c r="O696" s="9" t="n">
        <v>-1992197.02</v>
      </c>
      <c r="P696" s="9" t="n">
        <v>-159348269.68</v>
      </c>
      <c r="U696" s="7" t="inlineStr">
        <is>
          <t>PYTHON_LIFECYCLE</t>
        </is>
      </c>
      <c r="V696" s="8">
        <f>$O696</f>
        <v/>
      </c>
      <c r="W696" s="8">
        <f>IF($G696="INR",1,INDEX(Market_Daily!$F$6:$F$256,MATCH($K696,Market_Daily!$A$6:$A$256,0)))</f>
        <v/>
      </c>
      <c r="X696" s="8">
        <f>$V696*$W696</f>
        <v/>
      </c>
      <c r="Y696" s="18">
        <f>$X696-$P696</f>
        <v/>
      </c>
      <c r="Z696" s="8">
        <f>IF(ABS($Y696)&lt;=tol_cashflow_inr,"PASS","FAIL")</f>
        <v/>
      </c>
      <c r="AA696" s="7" t="inlineStr">
        <is>
          <t>-provisional_frac x q_bl x (factor x cash(bl) + premium)</t>
        </is>
      </c>
    </row>
    <row r="697">
      <c r="A697" s="7" t="inlineStr">
        <is>
          <t>T05</t>
        </is>
      </c>
      <c r="B697" s="7" t="inlineStr">
        <is>
          <t>USANCE_INTEREST:L2</t>
        </is>
      </c>
      <c r="C697" s="7" t="inlineStr">
        <is>
          <t>L2</t>
        </is>
      </c>
      <c r="D697" s="7" t="inlineStr">
        <is>
          <t>USANCE_INTEREST</t>
        </is>
      </c>
      <c r="E697" s="7" t="inlineStr">
        <is>
          <t>USANCE_INTEREST</t>
        </is>
      </c>
      <c r="F697" s="7" t="inlineStr">
        <is>
          <t>PNL</t>
        </is>
      </c>
      <c r="G697" s="7" t="inlineStr">
        <is>
          <t>USD</t>
        </is>
      </c>
      <c r="H697" s="11" t="n">
        <v>44672</v>
      </c>
      <c r="I697" s="11" t="n">
        <v>44706</v>
      </c>
      <c r="J697" s="11" t="n">
        <v>44760</v>
      </c>
      <c r="K697" s="11" t="n">
        <v>44760</v>
      </c>
      <c r="L697" s="7" t="inlineStr">
        <is>
          <t>roll following on the LME panel calendar</t>
        </is>
      </c>
      <c r="N697" s="7" t="inlineStr">
        <is>
          <t>PROXY</t>
        </is>
      </c>
      <c r="O697" s="9" t="n">
        <v>-8484.440000000001</v>
      </c>
      <c r="P697" s="9" t="n">
        <v>-678637.72</v>
      </c>
      <c r="U697" s="7" t="inlineStr">
        <is>
          <t>PYTHON_LIFECYCLE</t>
        </is>
      </c>
      <c r="V697" s="8">
        <f>$O697</f>
        <v/>
      </c>
      <c r="W697" s="8">
        <f>IF($G697="INR",1,INDEX(Market_Daily!$F$6:$F$256,MATCH($K697,Market_Daily!$A$6:$A$256,0)))</f>
        <v/>
      </c>
      <c r="X697" s="8">
        <f>$V697*$W697</f>
        <v/>
      </c>
      <c r="Y697" s="18">
        <f>$X697-$P697</f>
        <v/>
      </c>
      <c r="Z697" s="8">
        <f>IF(ABS($Y697)&lt;=tol_cashflow_inr,"PASS","FAIL")</f>
        <v/>
      </c>
      <c r="AA697" s="7" t="inlineStr">
        <is>
          <t>-bill_usd x (usd_rate_3m_pa@acceptance + usance_interest_spread_pa) x days/360</t>
        </is>
      </c>
    </row>
    <row r="698">
      <c r="A698" s="7" t="inlineStr">
        <is>
          <t>T05</t>
        </is>
      </c>
      <c r="B698" s="7" t="inlineStr">
        <is>
          <t>IGST:L1</t>
        </is>
      </c>
      <c r="C698" s="7" t="inlineStr">
        <is>
          <t>L1</t>
        </is>
      </c>
      <c r="D698" s="7" t="inlineStr">
        <is>
          <t>IGST_CREDIT</t>
        </is>
      </c>
      <c r="E698" s="7" t="inlineStr">
        <is>
          <t>IGST_CREDIT</t>
        </is>
      </c>
      <c r="F698" s="7" t="inlineStr">
        <is>
          <t>BS</t>
        </is>
      </c>
      <c r="G698" s="7" t="inlineStr">
        <is>
          <t>INR</t>
        </is>
      </c>
      <c r="H698" s="11" t="n">
        <v>44672</v>
      </c>
      <c r="I698" s="11" t="n">
        <v>44732</v>
      </c>
      <c r="J698" s="11" t="n">
        <v>44777</v>
      </c>
      <c r="K698" s="11" t="n">
        <v>44777</v>
      </c>
      <c r="L698" s="7" t="inlineStr">
        <is>
          <t>roll following on the LME panel calendar</t>
        </is>
      </c>
      <c r="N698" s="7" t="inlineStr">
        <is>
          <t>DIRECT</t>
        </is>
      </c>
      <c r="O698" s="9" t="n">
        <v>28844214.32</v>
      </c>
      <c r="P698" s="9" t="n">
        <v>28844214.32</v>
      </c>
      <c r="U698" s="7" t="inlineStr">
        <is>
          <t>PYTHON_LIFECYCLE</t>
        </is>
      </c>
      <c r="V698" s="8">
        <f>$O698</f>
        <v/>
      </c>
      <c r="W698" s="8">
        <f>IF($G698="INR",1,INDEX(Market_Daily!$F$6:$F$256,MATCH($K698,Market_Daily!$A$6:$A$256,0)))</f>
        <v/>
      </c>
      <c r="X698" s="8">
        <f>$V698*$W698</f>
        <v/>
      </c>
      <c r="Y698" s="18">
        <f>$X698-$P698</f>
        <v/>
      </c>
      <c r="Z698" s="8">
        <f>IF(ABS($Y698)&lt;=tol_cashflow_inr,"PASS","FAIL")</f>
        <v/>
      </c>
      <c r="AA698" s="7" t="inlineStr">
        <is>
          <t>+(assessable + duty) x igst_rate at igst_credit_lag_days</t>
        </is>
      </c>
    </row>
    <row r="699">
      <c r="A699" s="7" t="inlineStr">
        <is>
          <t>T05</t>
        </is>
      </c>
      <c r="B699" s="7" t="inlineStr">
        <is>
          <t>SALE:S1</t>
        </is>
      </c>
      <c r="C699" s="7" t="inlineStr">
        <is>
          <t>S1</t>
        </is>
      </c>
      <c r="D699" s="7" t="inlineStr">
        <is>
          <t>SALE_BALANCE</t>
        </is>
      </c>
      <c r="E699" s="7" t="inlineStr">
        <is>
          <t>SALE_BALANCE</t>
        </is>
      </c>
      <c r="F699" s="7" t="inlineStr">
        <is>
          <t>PNL</t>
        </is>
      </c>
      <c r="G699" s="7" t="inlineStr">
        <is>
          <t>INR</t>
        </is>
      </c>
      <c r="H699" s="11" t="n">
        <v>44672</v>
      </c>
      <c r="I699" s="11" t="n">
        <v>44750</v>
      </c>
      <c r="J699" s="11" t="n">
        <v>44781</v>
      </c>
      <c r="K699" s="11" t="n">
        <v>44781</v>
      </c>
      <c r="L699" s="7" t="inlineStr">
        <is>
          <t>roll following on the LME panel calendar</t>
        </is>
      </c>
      <c r="N699" s="7" t="inlineStr">
        <is>
          <t>SIM</t>
        </is>
      </c>
      <c r="O699" s="9" t="n">
        <v>310123937.67</v>
      </c>
      <c r="P699" s="9" t="n">
        <v>310123937.67</v>
      </c>
      <c r="U699" s="7" t="inlineStr">
        <is>
          <t>PYTHON_LIFECYCLE</t>
        </is>
      </c>
      <c r="V699" s="8">
        <f>$O699</f>
        <v/>
      </c>
      <c r="W699" s="8">
        <f>IF($G699="INR",1,INDEX(Market_Daily!$F$6:$F$256,MATCH($K699,Market_Daily!$A$6:$A$256,0)))</f>
        <v/>
      </c>
      <c r="X699" s="8">
        <f>$V699*$W699</f>
        <v/>
      </c>
      <c r="Y699" s="18">
        <f>$X699-$P699</f>
        <v/>
      </c>
      <c r="Z699" s="8">
        <f>IF(ABS($Y699)&lt;=tol_cashflow_inr,"PASS","FAIL")</f>
        <v/>
      </c>
      <c r="AA699" s="7" t="inlineStr">
        <is>
          <t>+q_acc x P_sale x (1 - disc passthrough) - advance</t>
        </is>
      </c>
    </row>
    <row r="700">
      <c r="A700" s="7" t="inlineStr">
        <is>
          <t>T05</t>
        </is>
      </c>
      <c r="B700" s="7" t="inlineStr">
        <is>
          <t>IGST:L2</t>
        </is>
      </c>
      <c r="C700" s="7" t="inlineStr">
        <is>
          <t>L2</t>
        </is>
      </c>
      <c r="D700" s="7" t="inlineStr">
        <is>
          <t>IGST_CREDIT</t>
        </is>
      </c>
      <c r="E700" s="7" t="inlineStr">
        <is>
          <t>IGST_CREDIT</t>
        </is>
      </c>
      <c r="F700" s="7" t="inlineStr">
        <is>
          <t>BS</t>
        </is>
      </c>
      <c r="G700" s="7" t="inlineStr">
        <is>
          <t>INR</t>
        </is>
      </c>
      <c r="H700" s="11" t="n">
        <v>44672</v>
      </c>
      <c r="I700" s="11" t="n">
        <v>44740</v>
      </c>
      <c r="J700" s="11" t="n">
        <v>44785</v>
      </c>
      <c r="K700" s="11" t="n">
        <v>44785</v>
      </c>
      <c r="L700" s="7" t="inlineStr">
        <is>
          <t>roll following on the LME panel calendar</t>
        </is>
      </c>
      <c r="N700" s="7" t="inlineStr">
        <is>
          <t>DIRECT</t>
        </is>
      </c>
      <c r="O700" s="9" t="n">
        <v>30654385.4</v>
      </c>
      <c r="P700" s="9" t="n">
        <v>30654385.4</v>
      </c>
      <c r="U700" s="7" t="inlineStr">
        <is>
          <t>PYTHON_LIFECYCLE</t>
        </is>
      </c>
      <c r="V700" s="8">
        <f>$O700</f>
        <v/>
      </c>
      <c r="W700" s="8">
        <f>IF($G700="INR",1,INDEX(Market_Daily!$F$6:$F$256,MATCH($K700,Market_Daily!$A$6:$A$256,0)))</f>
        <v/>
      </c>
      <c r="X700" s="8">
        <f>$V700*$W700</f>
        <v/>
      </c>
      <c r="Y700" s="18">
        <f>$X700-$P700</f>
        <v/>
      </c>
      <c r="Z700" s="8">
        <f>IF(ABS($Y700)&lt;=tol_cashflow_inr,"PASS","FAIL")</f>
        <v/>
      </c>
      <c r="AA700" s="7" t="inlineStr">
        <is>
          <t>+(assessable + duty) x igst_rate at igst_credit_lag_days</t>
        </is>
      </c>
    </row>
    <row r="701">
      <c r="A701" s="7" t="inlineStr">
        <is>
          <t>T06</t>
        </is>
      </c>
      <c r="B701" s="7" t="inlineStr">
        <is>
          <t>MCX:T06-MCX-1</t>
        </is>
      </c>
      <c r="C701" s="7" t="inlineStr">
        <is>
          <t>T06-MCX-1</t>
        </is>
      </c>
      <c r="D701" s="7" t="inlineStr">
        <is>
          <t>MCX_INITIAL_MARGIN</t>
        </is>
      </c>
      <c r="E701" s="7" t="inlineStr">
        <is>
          <t>MCX_INITIAL_MARGIN</t>
        </is>
      </c>
      <c r="F701" s="7" t="inlineStr">
        <is>
          <t>BS</t>
        </is>
      </c>
      <c r="G701" s="7" t="inlineStr">
        <is>
          <t>INR</t>
        </is>
      </c>
      <c r="H701" s="11" t="n">
        <v>44691</v>
      </c>
      <c r="I701" s="11" t="n">
        <v>44691</v>
      </c>
      <c r="J701" s="11" t="n">
        <v>44691</v>
      </c>
      <c r="K701" s="11" t="n">
        <v>44691</v>
      </c>
      <c r="L701" s="7" t="inlineStr">
        <is>
          <t>roll following on the LME panel calendar</t>
        </is>
      </c>
      <c r="N701" s="7" t="inlineStr">
        <is>
          <t>PROXY</t>
        </is>
      </c>
      <c r="O701" s="9" t="n">
        <v>-19756379.54</v>
      </c>
      <c r="P701" s="9" t="n">
        <v>-19756379.54</v>
      </c>
      <c r="U701" s="7" t="inlineStr">
        <is>
          <t>DERIVED_IN_WORKBOOK</t>
        </is>
      </c>
      <c r="V701" s="8">
        <f>-SUMIFS(Cashflows!$W$1043:$W$1393,Cashflows!$B$1043:$B$1393,$C701,Cashflows!$C$1043:$C$1393,$K701)</f>
        <v/>
      </c>
      <c r="W701" s="8">
        <f>IF($G701="INR",1,INDEX(Market_Daily!$F$6:$F$256,MATCH($K701,Market_Daily!$A$6:$A$256,0)))</f>
        <v/>
      </c>
      <c r="X701" s="8">
        <f>$V701*$W701</f>
        <v/>
      </c>
      <c r="Y701" s="18">
        <f>$X701-$P701</f>
        <v/>
      </c>
      <c r="Z701" s="8">
        <f>IF(ABS($Y701)&lt;=tol_cashflow_inr,"PASS","FAIL")</f>
        <v/>
      </c>
      <c r="AA701" s="7" t="inlineStr">
        <is>
          <t>-d(lots x lot_kg x F(s) x mcx_al_margin_used_frac)</t>
        </is>
      </c>
    </row>
    <row r="702">
      <c r="A702" s="7" t="inlineStr">
        <is>
          <t>T06</t>
        </is>
      </c>
      <c r="B702" s="7" t="inlineStr">
        <is>
          <t>MCX:T06-MCX-1</t>
        </is>
      </c>
      <c r="C702" s="7" t="inlineStr">
        <is>
          <t>T06-MCX-1</t>
        </is>
      </c>
      <c r="D702" s="7" t="inlineStr">
        <is>
          <t>MCX_SLIPPAGE</t>
        </is>
      </c>
      <c r="E702" s="7" t="inlineStr">
        <is>
          <t>MCX_SLIPPAGE</t>
        </is>
      </c>
      <c r="F702" s="7" t="inlineStr">
        <is>
          <t>PNL</t>
        </is>
      </c>
      <c r="G702" s="7" t="inlineStr">
        <is>
          <t>INR</t>
        </is>
      </c>
      <c r="H702" s="11" t="n">
        <v>44691</v>
      </c>
      <c r="J702" s="11" t="n">
        <v>44691</v>
      </c>
      <c r="K702" s="11" t="n">
        <v>44691</v>
      </c>
      <c r="L702" s="7" t="inlineStr">
        <is>
          <t>roll following on the LME panel calendar</t>
        </is>
      </c>
      <c r="N702" s="7" t="inlineStr">
        <is>
          <t>ASSUMPTION</t>
        </is>
      </c>
      <c r="O702" s="9" t="n">
        <v>-88000</v>
      </c>
      <c r="P702" s="9" t="n">
        <v>-88000</v>
      </c>
      <c r="U702" s="7" t="inlineStr">
        <is>
          <t>DERIVED_IN_WORKBOOK</t>
        </is>
      </c>
      <c r="V702" s="8">
        <f>SUMIFS(Cashflows!$Z$1043:$Z$1393,Cashflows!$B$1043:$B$1393,$C702,Cashflows!$C$1043:$C$1393,$K702)</f>
        <v/>
      </c>
      <c r="W702" s="8">
        <f>IF($G702="INR",1,INDEX(Market_Daily!$F$6:$F$256,MATCH($K702,Market_Daily!$A$6:$A$256,0)))</f>
        <v/>
      </c>
      <c r="X702" s="8">
        <f>$V702*$W702</f>
        <v/>
      </c>
      <c r="Y702" s="18">
        <f>$X702-$P702</f>
        <v/>
      </c>
      <c r="Z702" s="8">
        <f>IF(ABS($Y702)&lt;=tol_cashflow_inr,"PASS","FAIL")</f>
        <v/>
      </c>
      <c r="AA702" s="7" t="inlineStr">
        <is>
          <t>-lots x lot_kg x mcx_slippage_ticks x tick</t>
        </is>
      </c>
    </row>
    <row r="703">
      <c r="A703" s="7" t="inlineStr">
        <is>
          <t>T06</t>
        </is>
      </c>
      <c r="B703" s="7" t="inlineStr">
        <is>
          <t>MCX:T06-MCX-1</t>
        </is>
      </c>
      <c r="C703" s="7" t="inlineStr">
        <is>
          <t>T06-MCX-1</t>
        </is>
      </c>
      <c r="D703" s="7" t="inlineStr">
        <is>
          <t>MCX_TRANSACTION_COST</t>
        </is>
      </c>
      <c r="E703" s="7" t="inlineStr">
        <is>
          <t>MCX_TRANSACTION_COST</t>
        </is>
      </c>
      <c r="F703" s="7" t="inlineStr">
        <is>
          <t>PNL</t>
        </is>
      </c>
      <c r="G703" s="7" t="inlineStr">
        <is>
          <t>INR</t>
        </is>
      </c>
      <c r="H703" s="11" t="n">
        <v>44691</v>
      </c>
      <c r="I703" s="11" t="n">
        <v>44691</v>
      </c>
      <c r="J703" s="11" t="n">
        <v>44691</v>
      </c>
      <c r="K703" s="11" t="n">
        <v>44691</v>
      </c>
      <c r="L703" s="7" t="inlineStr">
        <is>
          <t>roll following on the LME panel calendar</t>
        </is>
      </c>
      <c r="N703" s="7" t="inlineStr">
        <is>
          <t>ASSUMPTION</t>
        </is>
      </c>
      <c r="O703" s="9" t="n">
        <v>-59242.74</v>
      </c>
      <c r="P703" s="9" t="n">
        <v>-59242.74</v>
      </c>
      <c r="U703" s="7" t="inlineStr">
        <is>
          <t>DERIVED_IN_WORKBOOK</t>
        </is>
      </c>
      <c r="V703" s="8">
        <f>SUMIFS(Cashflows!$AA$1043:$AA$1393,Cashflows!$B$1043:$B$1393,$C703,Cashflows!$C$1043:$C$1393,$K703)</f>
        <v/>
      </c>
      <c r="W703" s="8">
        <f>IF($G703="INR",1,INDEX(Market_Daily!$F$6:$F$256,MATCH($K703,Market_Daily!$A$6:$A$256,0)))</f>
        <v/>
      </c>
      <c r="X703" s="8">
        <f>$V703*$W703</f>
        <v/>
      </c>
      <c r="Y703" s="18">
        <f>$X703-$P703</f>
        <v/>
      </c>
      <c r="Z703" s="8">
        <f>IF(ABS($Y703)&lt;=tol_cashflow_inr,"PASS","FAIL")</f>
        <v/>
      </c>
      <c r="AA703" s="7" t="inlineStr">
        <is>
          <t>-lots x lot_kg x fill x mcx_txn_cost_frac</t>
        </is>
      </c>
    </row>
    <row r="704">
      <c r="A704" s="7" t="inlineStr">
        <is>
          <t>T06</t>
        </is>
      </c>
      <c r="B704" s="7" t="inlineStr">
        <is>
          <t>MCX:T06-MCX-1</t>
        </is>
      </c>
      <c r="C704" s="7" t="inlineStr">
        <is>
          <t>T06-MCX-1</t>
        </is>
      </c>
      <c r="D704" s="7" t="inlineStr">
        <is>
          <t>MCX_VARIATION_MARGIN</t>
        </is>
      </c>
      <c r="E704" s="7" t="inlineStr">
        <is>
          <t>MCX_VARIATION_MARGIN</t>
        </is>
      </c>
      <c r="F704" s="7" t="inlineStr">
        <is>
          <t>PNL</t>
        </is>
      </c>
      <c r="G704" s="7" t="inlineStr">
        <is>
          <t>INR</t>
        </is>
      </c>
      <c r="H704" s="11" t="n">
        <v>44691</v>
      </c>
      <c r="I704" s="11" t="n">
        <v>44691</v>
      </c>
      <c r="J704" s="11" t="n">
        <v>44691</v>
      </c>
      <c r="K704" s="11" t="n">
        <v>44691</v>
      </c>
      <c r="L704" s="7" t="inlineStr">
        <is>
          <t>roll following on the LME panel calendar</t>
        </is>
      </c>
      <c r="N704" s="7" t="inlineStr">
        <is>
          <t>PROXY</t>
        </is>
      </c>
      <c r="O704" s="9" t="n">
        <v>-0</v>
      </c>
      <c r="P704" s="9" t="n">
        <v>-0</v>
      </c>
      <c r="U704" s="7" t="inlineStr">
        <is>
          <t>DERIVED_IN_WORKBOOK</t>
        </is>
      </c>
      <c r="V704" s="8">
        <f>SUMIFS(Cashflows!$R$1043:$R$1393,Cashflows!$B$1043:$B$1393,$C704,Cashflows!$C$1043:$C$1393,$K704)</f>
        <v/>
      </c>
      <c r="W704" s="8">
        <f>IF($G704="INR",1,INDEX(Market_Daily!$F$6:$F$256,MATCH($K704,Market_Daily!$A$6:$A$256,0)))</f>
        <v/>
      </c>
      <c r="X704" s="8">
        <f>$V704*$W704</f>
        <v/>
      </c>
      <c r="Y704" s="18">
        <f>$X704-$P704</f>
        <v/>
      </c>
      <c r="Z704" s="8">
        <f>IF(ABS($Y704)&lt;=tol_cashflow_inr,"PASS","FAIL")</f>
        <v/>
      </c>
      <c r="AA704" s="7" t="inlineStr">
        <is>
          <t>direction x lots x lot_kg x (F(entry) - entry settle) = 0 by construction</t>
        </is>
      </c>
    </row>
    <row r="705">
      <c r="A705" s="7" t="inlineStr">
        <is>
          <t>T06</t>
        </is>
      </c>
      <c r="B705" s="7" t="inlineStr">
        <is>
          <t>MCX:T06-MCX-1</t>
        </is>
      </c>
      <c r="C705" s="7" t="inlineStr">
        <is>
          <t>T06-MCX-1</t>
        </is>
      </c>
      <c r="D705" s="7" t="inlineStr">
        <is>
          <t>MCX_INITIAL_MARGIN</t>
        </is>
      </c>
      <c r="E705" s="7" t="inlineStr">
        <is>
          <t>MCX_INITIAL_MARGIN</t>
        </is>
      </c>
      <c r="F705" s="7" t="inlineStr">
        <is>
          <t>BS</t>
        </is>
      </c>
      <c r="G705" s="7" t="inlineStr">
        <is>
          <t>INR</t>
        </is>
      </c>
      <c r="H705" s="11" t="n">
        <v>44691</v>
      </c>
      <c r="I705" s="11" t="n">
        <v>44692</v>
      </c>
      <c r="J705" s="11" t="n">
        <v>44692</v>
      </c>
      <c r="K705" s="11" t="n">
        <v>44692</v>
      </c>
      <c r="L705" s="7" t="inlineStr">
        <is>
          <t>roll following on the LME panel calendar</t>
        </is>
      </c>
      <c r="N705" s="7" t="inlineStr">
        <is>
          <t>PROXY</t>
        </is>
      </c>
      <c r="O705" s="9" t="n">
        <v>-429968.97</v>
      </c>
      <c r="P705" s="9" t="n">
        <v>-429968.97</v>
      </c>
      <c r="U705" s="7" t="inlineStr">
        <is>
          <t>DERIVED_IN_WORKBOOK</t>
        </is>
      </c>
      <c r="V705" s="8">
        <f>-SUMIFS(Cashflows!$W$1043:$W$1393,Cashflows!$B$1043:$B$1393,$C705,Cashflows!$C$1043:$C$1393,$K705)</f>
        <v/>
      </c>
      <c r="W705" s="8">
        <f>IF($G705="INR",1,INDEX(Market_Daily!$F$6:$F$256,MATCH($K705,Market_Daily!$A$6:$A$256,0)))</f>
        <v/>
      </c>
      <c r="X705" s="8">
        <f>$V705*$W705</f>
        <v/>
      </c>
      <c r="Y705" s="18">
        <f>$X705-$P705</f>
        <v/>
      </c>
      <c r="Z705" s="8">
        <f>IF(ABS($Y705)&lt;=tol_cashflow_inr,"PASS","FAIL")</f>
        <v/>
      </c>
      <c r="AA705" s="7" t="inlineStr">
        <is>
          <t>-d(lots x lot_kg x F(s) x mcx_al_margin_used_frac)</t>
        </is>
      </c>
    </row>
    <row r="706">
      <c r="A706" s="7" t="inlineStr">
        <is>
          <t>T06</t>
        </is>
      </c>
      <c r="B706" s="7" t="inlineStr">
        <is>
          <t>MCX:T06-MCX-1</t>
        </is>
      </c>
      <c r="C706" s="7" t="inlineStr">
        <is>
          <t>T06-MCX-1</t>
        </is>
      </c>
      <c r="D706" s="7" t="inlineStr">
        <is>
          <t>MCX_VARIATION_MARGIN</t>
        </is>
      </c>
      <c r="E706" s="7" t="inlineStr">
        <is>
          <t>MCX_VARIATION_MARGIN</t>
        </is>
      </c>
      <c r="F706" s="7" t="inlineStr">
        <is>
          <t>PNL</t>
        </is>
      </c>
      <c r="G706" s="7" t="inlineStr">
        <is>
          <t>INR</t>
        </is>
      </c>
      <c r="H706" s="11" t="n">
        <v>44691</v>
      </c>
      <c r="I706" s="11" t="n">
        <v>44692</v>
      </c>
      <c r="J706" s="11" t="n">
        <v>44692</v>
      </c>
      <c r="K706" s="11" t="n">
        <v>44692</v>
      </c>
      <c r="L706" s="7" t="inlineStr">
        <is>
          <t>roll following on the LME panel calendar</t>
        </is>
      </c>
      <c r="N706" s="7" t="inlineStr">
        <is>
          <t>PROXY</t>
        </is>
      </c>
      <c r="O706" s="9" t="n">
        <v>-4299689.67</v>
      </c>
      <c r="P706" s="9" t="n">
        <v>-4299689.67</v>
      </c>
      <c r="U706" s="7" t="inlineStr">
        <is>
          <t>DERIVED_IN_WORKBOOK</t>
        </is>
      </c>
      <c r="V706" s="8">
        <f>SUMIFS(Cashflows!$R$1043:$R$1393,Cashflows!$B$1043:$B$1393,$C706,Cashflows!$C$1043:$C$1393,$K706)</f>
        <v/>
      </c>
      <c r="W706" s="8">
        <f>IF($G706="INR",1,INDEX(Market_Daily!$F$6:$F$256,MATCH($K706,Market_Daily!$A$6:$A$256,0)))</f>
        <v/>
      </c>
      <c r="X706" s="8">
        <f>$V706*$W706</f>
        <v/>
      </c>
      <c r="Y706" s="18">
        <f>$X706-$P706</f>
        <v/>
      </c>
      <c r="Z706" s="8">
        <f>IF(ABS($Y706)&lt;=tol_cashflow_inr,"PASS","FAIL")</f>
        <v/>
      </c>
      <c r="AA706" s="7" t="inlineStr">
        <is>
          <t>direction x lots x lot_kg x (F(s) - F(s-1))</t>
        </is>
      </c>
    </row>
    <row r="707">
      <c r="A707" s="7" t="inlineStr">
        <is>
          <t>T06</t>
        </is>
      </c>
      <c r="B707" s="7" t="inlineStr">
        <is>
          <t>MCX:T06-MCX-1</t>
        </is>
      </c>
      <c r="C707" s="7" t="inlineStr">
        <is>
          <t>T06-MCX-1</t>
        </is>
      </c>
      <c r="D707" s="7" t="inlineStr">
        <is>
          <t>MCX_INITIAL_MARGIN</t>
        </is>
      </c>
      <c r="E707" s="7" t="inlineStr">
        <is>
          <t>MCX_INITIAL_MARGIN</t>
        </is>
      </c>
      <c r="F707" s="7" t="inlineStr">
        <is>
          <t>BS</t>
        </is>
      </c>
      <c r="G707" s="7" t="inlineStr">
        <is>
          <t>INR</t>
        </is>
      </c>
      <c r="H707" s="11" t="n">
        <v>44691</v>
      </c>
      <c r="I707" s="11" t="n">
        <v>44693</v>
      </c>
      <c r="J707" s="11" t="n">
        <v>44693</v>
      </c>
      <c r="K707" s="11" t="n">
        <v>44693</v>
      </c>
      <c r="L707" s="7" t="inlineStr">
        <is>
          <t>roll following on the LME panel calendar</t>
        </is>
      </c>
      <c r="N707" s="7" t="inlineStr">
        <is>
          <t>PROXY</t>
        </is>
      </c>
      <c r="O707" s="9" t="n">
        <v>291647.66</v>
      </c>
      <c r="P707" s="9" t="n">
        <v>291647.66</v>
      </c>
      <c r="U707" s="7" t="inlineStr">
        <is>
          <t>DERIVED_IN_WORKBOOK</t>
        </is>
      </c>
      <c r="V707" s="8">
        <f>-SUMIFS(Cashflows!$W$1043:$W$1393,Cashflows!$B$1043:$B$1393,$C707,Cashflows!$C$1043:$C$1393,$K707)</f>
        <v/>
      </c>
      <c r="W707" s="8">
        <f>IF($G707="INR",1,INDEX(Market_Daily!$F$6:$F$256,MATCH($K707,Market_Daily!$A$6:$A$256,0)))</f>
        <v/>
      </c>
      <c r="X707" s="8">
        <f>$V707*$W707</f>
        <v/>
      </c>
      <c r="Y707" s="18">
        <f>$X707-$P707</f>
        <v/>
      </c>
      <c r="Z707" s="8">
        <f>IF(ABS($Y707)&lt;=tol_cashflow_inr,"PASS","FAIL")</f>
        <v/>
      </c>
      <c r="AA707" s="7" t="inlineStr">
        <is>
          <t>-d(lots x lot_kg x F(s) x mcx_al_margin_used_frac)</t>
        </is>
      </c>
    </row>
    <row r="708">
      <c r="A708" s="7" t="inlineStr">
        <is>
          <t>T06</t>
        </is>
      </c>
      <c r="B708" s="7" t="inlineStr">
        <is>
          <t>MCX:T06-MCX-1</t>
        </is>
      </c>
      <c r="C708" s="7" t="inlineStr">
        <is>
          <t>T06-MCX-1</t>
        </is>
      </c>
      <c r="D708" s="7" t="inlineStr">
        <is>
          <t>MCX_VARIATION_MARGIN</t>
        </is>
      </c>
      <c r="E708" s="7" t="inlineStr">
        <is>
          <t>MCX_VARIATION_MARGIN</t>
        </is>
      </c>
      <c r="F708" s="7" t="inlineStr">
        <is>
          <t>PNL</t>
        </is>
      </c>
      <c r="G708" s="7" t="inlineStr">
        <is>
          <t>INR</t>
        </is>
      </c>
      <c r="H708" s="11" t="n">
        <v>44691</v>
      </c>
      <c r="I708" s="11" t="n">
        <v>44693</v>
      </c>
      <c r="J708" s="11" t="n">
        <v>44693</v>
      </c>
      <c r="K708" s="11" t="n">
        <v>44693</v>
      </c>
      <c r="L708" s="7" t="inlineStr">
        <is>
          <t>roll following on the LME panel calendar</t>
        </is>
      </c>
      <c r="N708" s="7" t="inlineStr">
        <is>
          <t>PROXY</t>
        </is>
      </c>
      <c r="O708" s="9" t="n">
        <v>2916476.58</v>
      </c>
      <c r="P708" s="9" t="n">
        <v>2916476.58</v>
      </c>
      <c r="U708" s="7" t="inlineStr">
        <is>
          <t>DERIVED_IN_WORKBOOK</t>
        </is>
      </c>
      <c r="V708" s="8">
        <f>SUMIFS(Cashflows!$R$1043:$R$1393,Cashflows!$B$1043:$B$1393,$C708,Cashflows!$C$1043:$C$1393,$K708)</f>
        <v/>
      </c>
      <c r="W708" s="8">
        <f>IF($G708="INR",1,INDEX(Market_Daily!$F$6:$F$256,MATCH($K708,Market_Daily!$A$6:$A$256,0)))</f>
        <v/>
      </c>
      <c r="X708" s="8">
        <f>$V708*$W708</f>
        <v/>
      </c>
      <c r="Y708" s="18">
        <f>$X708-$P708</f>
        <v/>
      </c>
      <c r="Z708" s="8">
        <f>IF(ABS($Y708)&lt;=tol_cashflow_inr,"PASS","FAIL")</f>
        <v/>
      </c>
      <c r="AA708" s="7" t="inlineStr">
        <is>
          <t>direction x lots x lot_kg x (F(s) - F(s-1))</t>
        </is>
      </c>
    </row>
    <row r="709">
      <c r="A709" s="7" t="inlineStr">
        <is>
          <t>T06</t>
        </is>
      </c>
      <c r="B709" s="7" t="inlineStr">
        <is>
          <t>LC_FEES</t>
        </is>
      </c>
      <c r="D709" s="7" t="inlineStr">
        <is>
          <t>LC_OPENING_FEE</t>
        </is>
      </c>
      <c r="E709" s="7" t="inlineStr">
        <is>
          <t>LC_OPENING_FEE</t>
        </is>
      </c>
      <c r="F709" s="7" t="inlineStr">
        <is>
          <t>PNL</t>
        </is>
      </c>
      <c r="G709" s="7" t="inlineStr">
        <is>
          <t>USD</t>
        </is>
      </c>
      <c r="H709" s="11" t="n">
        <v>44691</v>
      </c>
      <c r="I709" s="11" t="n">
        <v>44694</v>
      </c>
      <c r="J709" s="11" t="n">
        <v>44694</v>
      </c>
      <c r="K709" s="11" t="n">
        <v>44694</v>
      </c>
      <c r="L709" s="7" t="inlineStr">
        <is>
          <t>roll following on the LME panel calendar</t>
        </is>
      </c>
      <c r="N709" s="7" t="inlineStr">
        <is>
          <t>DIRECT</t>
        </is>
      </c>
      <c r="O709" s="9" t="n">
        <v>-4891.74</v>
      </c>
      <c r="P709" s="9" t="n">
        <v>-378864.11</v>
      </c>
      <c r="U709" s="7" t="inlineStr">
        <is>
          <t>PYTHON_LIFECYCLE</t>
        </is>
      </c>
      <c r="V709" s="8">
        <f>$O709</f>
        <v/>
      </c>
      <c r="W709" s="8">
        <f>IF($G709="INR",1,INDEX(Market_Daily!$F$6:$F$256,MATCH($K709,Market_Daily!$A$6:$A$256,0)))</f>
        <v/>
      </c>
      <c r="X709" s="8">
        <f>$V709*$W709</f>
        <v/>
      </c>
      <c r="Y709" s="18">
        <f>$X709-$P709</f>
        <v/>
      </c>
      <c r="Z709" s="8">
        <f>IF(ABS($Y709)&lt;=tol_cashflow_inr,"PASS","FAIL")</f>
        <v/>
      </c>
      <c r="AA709" s="7" t="inlineStr">
        <is>
          <t>-lc_opening_fee_frac_per_month x ceil(validity/30) x lc_value_usd</t>
        </is>
      </c>
    </row>
    <row r="710">
      <c r="A710" s="7" t="inlineStr">
        <is>
          <t>T06</t>
        </is>
      </c>
      <c r="B710" s="7" t="inlineStr">
        <is>
          <t>MCX:T06-MCX-1</t>
        </is>
      </c>
      <c r="C710" s="7" t="inlineStr">
        <is>
          <t>T06-MCX-1</t>
        </is>
      </c>
      <c r="D710" s="7" t="inlineStr">
        <is>
          <t>MCX_INITIAL_MARGIN</t>
        </is>
      </c>
      <c r="E710" s="7" t="inlineStr">
        <is>
          <t>MCX_INITIAL_MARGIN</t>
        </is>
      </c>
      <c r="F710" s="7" t="inlineStr">
        <is>
          <t>BS</t>
        </is>
      </c>
      <c r="G710" s="7" t="inlineStr">
        <is>
          <t>INR</t>
        </is>
      </c>
      <c r="H710" s="11" t="n">
        <v>44691</v>
      </c>
      <c r="I710" s="11" t="n">
        <v>44694</v>
      </c>
      <c r="J710" s="11" t="n">
        <v>44694</v>
      </c>
      <c r="K710" s="11" t="n">
        <v>44694</v>
      </c>
      <c r="L710" s="7" t="inlineStr">
        <is>
          <t>roll following on the LME panel calendar</t>
        </is>
      </c>
      <c r="N710" s="7" t="inlineStr">
        <is>
          <t>PROXY</t>
        </is>
      </c>
      <c r="O710" s="9" t="n">
        <v>-242112.01</v>
      </c>
      <c r="P710" s="9" t="n">
        <v>-242112.01</v>
      </c>
      <c r="U710" s="7" t="inlineStr">
        <is>
          <t>DERIVED_IN_WORKBOOK</t>
        </is>
      </c>
      <c r="V710" s="8">
        <f>-SUMIFS(Cashflows!$W$1043:$W$1393,Cashflows!$B$1043:$B$1393,$C710,Cashflows!$C$1043:$C$1393,$K710)</f>
        <v/>
      </c>
      <c r="W710" s="8">
        <f>IF($G710="INR",1,INDEX(Market_Daily!$F$6:$F$256,MATCH($K710,Market_Daily!$A$6:$A$256,0)))</f>
        <v/>
      </c>
      <c r="X710" s="8">
        <f>$V710*$W710</f>
        <v/>
      </c>
      <c r="Y710" s="18">
        <f>$X710-$P710</f>
        <v/>
      </c>
      <c r="Z710" s="8">
        <f>IF(ABS($Y710)&lt;=tol_cashflow_inr,"PASS","FAIL")</f>
        <v/>
      </c>
      <c r="AA710" s="7" t="inlineStr">
        <is>
          <t>-d(lots x lot_kg x F(s) x mcx_al_margin_used_frac)</t>
        </is>
      </c>
    </row>
    <row r="711">
      <c r="A711" s="7" t="inlineStr">
        <is>
          <t>T06</t>
        </is>
      </c>
      <c r="B711" s="7" t="inlineStr">
        <is>
          <t>MCX:T06-MCX-1</t>
        </is>
      </c>
      <c r="C711" s="7" t="inlineStr">
        <is>
          <t>T06-MCX-1</t>
        </is>
      </c>
      <c r="D711" s="7" t="inlineStr">
        <is>
          <t>MCX_VARIATION_MARGIN</t>
        </is>
      </c>
      <c r="E711" s="7" t="inlineStr">
        <is>
          <t>MCX_VARIATION_MARGIN</t>
        </is>
      </c>
      <c r="F711" s="7" t="inlineStr">
        <is>
          <t>PNL</t>
        </is>
      </c>
      <c r="G711" s="7" t="inlineStr">
        <is>
          <t>INR</t>
        </is>
      </c>
      <c r="H711" s="11" t="n">
        <v>44691</v>
      </c>
      <c r="I711" s="11" t="n">
        <v>44694</v>
      </c>
      <c r="J711" s="11" t="n">
        <v>44694</v>
      </c>
      <c r="K711" s="11" t="n">
        <v>44694</v>
      </c>
      <c r="L711" s="7" t="inlineStr">
        <is>
          <t>roll following on the LME panel calendar</t>
        </is>
      </c>
      <c r="N711" s="7" t="inlineStr">
        <is>
          <t>PROXY</t>
        </is>
      </c>
      <c r="O711" s="9" t="n">
        <v>-2421120.09</v>
      </c>
      <c r="P711" s="9" t="n">
        <v>-2421120.09</v>
      </c>
      <c r="U711" s="7" t="inlineStr">
        <is>
          <t>DERIVED_IN_WORKBOOK</t>
        </is>
      </c>
      <c r="V711" s="8">
        <f>SUMIFS(Cashflows!$R$1043:$R$1393,Cashflows!$B$1043:$B$1393,$C711,Cashflows!$C$1043:$C$1393,$K711)</f>
        <v/>
      </c>
      <c r="W711" s="8">
        <f>IF($G711="INR",1,INDEX(Market_Daily!$F$6:$F$256,MATCH($K711,Market_Daily!$A$6:$A$256,0)))</f>
        <v/>
      </c>
      <c r="X711" s="8">
        <f>$V711*$W711</f>
        <v/>
      </c>
      <c r="Y711" s="18">
        <f>$X711-$P711</f>
        <v/>
      </c>
      <c r="Z711" s="8">
        <f>IF(ABS($Y711)&lt;=tol_cashflow_inr,"PASS","FAIL")</f>
        <v/>
      </c>
      <c r="AA711" s="7" t="inlineStr">
        <is>
          <t>direction x lots x lot_kg x (F(s) - F(s-1))</t>
        </is>
      </c>
    </row>
    <row r="712">
      <c r="A712" s="7" t="inlineStr">
        <is>
          <t>T06</t>
        </is>
      </c>
      <c r="B712" s="7" t="inlineStr">
        <is>
          <t>MCX:T06-MCX-1</t>
        </is>
      </c>
      <c r="C712" s="7" t="inlineStr">
        <is>
          <t>T06-MCX-1</t>
        </is>
      </c>
      <c r="D712" s="7" t="inlineStr">
        <is>
          <t>MCX_INITIAL_MARGIN</t>
        </is>
      </c>
      <c r="E712" s="7" t="inlineStr">
        <is>
          <t>MCX_INITIAL_MARGIN</t>
        </is>
      </c>
      <c r="F712" s="7" t="inlineStr">
        <is>
          <t>BS</t>
        </is>
      </c>
      <c r="G712" s="7" t="inlineStr">
        <is>
          <t>INR</t>
        </is>
      </c>
      <c r="H712" s="11" t="n">
        <v>44691</v>
      </c>
      <c r="I712" s="11" t="n">
        <v>44697</v>
      </c>
      <c r="J712" s="11" t="n">
        <v>44697</v>
      </c>
      <c r="K712" s="11" t="n">
        <v>44697</v>
      </c>
      <c r="L712" s="7" t="inlineStr">
        <is>
          <t>roll following on the LME panel calendar</t>
        </is>
      </c>
      <c r="N712" s="7" t="inlineStr">
        <is>
          <t>PROXY</t>
        </is>
      </c>
      <c r="O712" s="9" t="n">
        <v>-587609.35</v>
      </c>
      <c r="P712" s="9" t="n">
        <v>-587609.35</v>
      </c>
      <c r="U712" s="7" t="inlineStr">
        <is>
          <t>DERIVED_IN_WORKBOOK</t>
        </is>
      </c>
      <c r="V712" s="8">
        <f>-SUMIFS(Cashflows!$W$1043:$W$1393,Cashflows!$B$1043:$B$1393,$C712,Cashflows!$C$1043:$C$1393,$K712)</f>
        <v/>
      </c>
      <c r="W712" s="8">
        <f>IF($G712="INR",1,INDEX(Market_Daily!$F$6:$F$256,MATCH($K712,Market_Daily!$A$6:$A$256,0)))</f>
        <v/>
      </c>
      <c r="X712" s="8">
        <f>$V712*$W712</f>
        <v/>
      </c>
      <c r="Y712" s="18">
        <f>$X712-$P712</f>
        <v/>
      </c>
      <c r="Z712" s="8">
        <f>IF(ABS($Y712)&lt;=tol_cashflow_inr,"PASS","FAIL")</f>
        <v/>
      </c>
      <c r="AA712" s="7" t="inlineStr">
        <is>
          <t>-d(lots x lot_kg x F(s) x mcx_al_margin_used_frac)</t>
        </is>
      </c>
    </row>
    <row r="713">
      <c r="A713" s="7" t="inlineStr">
        <is>
          <t>T06</t>
        </is>
      </c>
      <c r="B713" s="7" t="inlineStr">
        <is>
          <t>MCX:T06-MCX-1</t>
        </is>
      </c>
      <c r="C713" s="7" t="inlineStr">
        <is>
          <t>T06-MCX-1</t>
        </is>
      </c>
      <c r="D713" s="7" t="inlineStr">
        <is>
          <t>MCX_VARIATION_MARGIN</t>
        </is>
      </c>
      <c r="E713" s="7" t="inlineStr">
        <is>
          <t>MCX_VARIATION_MARGIN</t>
        </is>
      </c>
      <c r="F713" s="7" t="inlineStr">
        <is>
          <t>PNL</t>
        </is>
      </c>
      <c r="G713" s="7" t="inlineStr">
        <is>
          <t>INR</t>
        </is>
      </c>
      <c r="H713" s="11" t="n">
        <v>44691</v>
      </c>
      <c r="I713" s="11" t="n">
        <v>44697</v>
      </c>
      <c r="J713" s="11" t="n">
        <v>44697</v>
      </c>
      <c r="K713" s="11" t="n">
        <v>44697</v>
      </c>
      <c r="L713" s="7" t="inlineStr">
        <is>
          <t>roll following on the LME panel calendar</t>
        </is>
      </c>
      <c r="N713" s="7" t="inlineStr">
        <is>
          <t>PROXY</t>
        </is>
      </c>
      <c r="O713" s="9" t="n">
        <v>-5876093.55</v>
      </c>
      <c r="P713" s="9" t="n">
        <v>-5876093.55</v>
      </c>
      <c r="U713" s="7" t="inlineStr">
        <is>
          <t>DERIVED_IN_WORKBOOK</t>
        </is>
      </c>
      <c r="V713" s="8">
        <f>SUMIFS(Cashflows!$R$1043:$R$1393,Cashflows!$B$1043:$B$1393,$C713,Cashflows!$C$1043:$C$1393,$K713)</f>
        <v/>
      </c>
      <c r="W713" s="8">
        <f>IF($G713="INR",1,INDEX(Market_Daily!$F$6:$F$256,MATCH($K713,Market_Daily!$A$6:$A$256,0)))</f>
        <v/>
      </c>
      <c r="X713" s="8">
        <f>$V713*$W713</f>
        <v/>
      </c>
      <c r="Y713" s="18">
        <f>$X713-$P713</f>
        <v/>
      </c>
      <c r="Z713" s="8">
        <f>IF(ABS($Y713)&lt;=tol_cashflow_inr,"PASS","FAIL")</f>
        <v/>
      </c>
      <c r="AA713" s="7" t="inlineStr">
        <is>
          <t>direction x lots x lot_kg x (F(s) - F(s-1))</t>
        </is>
      </c>
    </row>
    <row r="714">
      <c r="A714" s="7" t="inlineStr">
        <is>
          <t>T06</t>
        </is>
      </c>
      <c r="B714" s="7" t="inlineStr">
        <is>
          <t>MCX:T06-MCX-1</t>
        </is>
      </c>
      <c r="C714" s="7" t="inlineStr">
        <is>
          <t>T06-MCX-1</t>
        </is>
      </c>
      <c r="D714" s="7" t="inlineStr">
        <is>
          <t>MCX_INITIAL_MARGIN</t>
        </is>
      </c>
      <c r="E714" s="7" t="inlineStr">
        <is>
          <t>MCX_INITIAL_MARGIN</t>
        </is>
      </c>
      <c r="F714" s="7" t="inlineStr">
        <is>
          <t>BS</t>
        </is>
      </c>
      <c r="G714" s="7" t="inlineStr">
        <is>
          <t>INR</t>
        </is>
      </c>
      <c r="H714" s="11" t="n">
        <v>44691</v>
      </c>
      <c r="I714" s="11" t="n">
        <v>44698</v>
      </c>
      <c r="J714" s="11" t="n">
        <v>44698</v>
      </c>
      <c r="K714" s="11" t="n">
        <v>44698</v>
      </c>
      <c r="L714" s="7" t="inlineStr">
        <is>
          <t>roll following on the LME panel calendar</t>
        </is>
      </c>
      <c r="N714" s="7" t="inlineStr">
        <is>
          <t>PROXY</t>
        </is>
      </c>
      <c r="O714" s="9" t="n">
        <v>-240210.62</v>
      </c>
      <c r="P714" s="9" t="n">
        <v>-240210.62</v>
      </c>
      <c r="U714" s="7" t="inlineStr">
        <is>
          <t>DERIVED_IN_WORKBOOK</t>
        </is>
      </c>
      <c r="V714" s="8">
        <f>-SUMIFS(Cashflows!$W$1043:$W$1393,Cashflows!$B$1043:$B$1393,$C714,Cashflows!$C$1043:$C$1393,$K714)</f>
        <v/>
      </c>
      <c r="W714" s="8">
        <f>IF($G714="INR",1,INDEX(Market_Daily!$F$6:$F$256,MATCH($K714,Market_Daily!$A$6:$A$256,0)))</f>
        <v/>
      </c>
      <c r="X714" s="8">
        <f>$V714*$W714</f>
        <v/>
      </c>
      <c r="Y714" s="18">
        <f>$X714-$P714</f>
        <v/>
      </c>
      <c r="Z714" s="8">
        <f>IF(ABS($Y714)&lt;=tol_cashflow_inr,"PASS","FAIL")</f>
        <v/>
      </c>
      <c r="AA714" s="7" t="inlineStr">
        <is>
          <t>-d(lots x lot_kg x F(s) x mcx_al_margin_used_frac)</t>
        </is>
      </c>
    </row>
    <row r="715">
      <c r="A715" s="7" t="inlineStr">
        <is>
          <t>T06</t>
        </is>
      </c>
      <c r="B715" s="7" t="inlineStr">
        <is>
          <t>MCX:T06-MCX-1</t>
        </is>
      </c>
      <c r="C715" s="7" t="inlineStr">
        <is>
          <t>T06-MCX-1</t>
        </is>
      </c>
      <c r="D715" s="7" t="inlineStr">
        <is>
          <t>MCX_VARIATION_MARGIN</t>
        </is>
      </c>
      <c r="E715" s="7" t="inlineStr">
        <is>
          <t>MCX_VARIATION_MARGIN</t>
        </is>
      </c>
      <c r="F715" s="7" t="inlineStr">
        <is>
          <t>PNL</t>
        </is>
      </c>
      <c r="G715" s="7" t="inlineStr">
        <is>
          <t>INR</t>
        </is>
      </c>
      <c r="H715" s="11" t="n">
        <v>44691</v>
      </c>
      <c r="I715" s="11" t="n">
        <v>44698</v>
      </c>
      <c r="J715" s="11" t="n">
        <v>44698</v>
      </c>
      <c r="K715" s="11" t="n">
        <v>44698</v>
      </c>
      <c r="L715" s="7" t="inlineStr">
        <is>
          <t>roll following on the LME panel calendar</t>
        </is>
      </c>
      <c r="N715" s="7" t="inlineStr">
        <is>
          <t>PROXY</t>
        </is>
      </c>
      <c r="O715" s="9" t="n">
        <v>-2402106.18</v>
      </c>
      <c r="P715" s="9" t="n">
        <v>-2402106.18</v>
      </c>
      <c r="U715" s="7" t="inlineStr">
        <is>
          <t>DERIVED_IN_WORKBOOK</t>
        </is>
      </c>
      <c r="V715" s="8">
        <f>SUMIFS(Cashflows!$R$1043:$R$1393,Cashflows!$B$1043:$B$1393,$C715,Cashflows!$C$1043:$C$1393,$K715)</f>
        <v/>
      </c>
      <c r="W715" s="8">
        <f>IF($G715="INR",1,INDEX(Market_Daily!$F$6:$F$256,MATCH($K715,Market_Daily!$A$6:$A$256,0)))</f>
        <v/>
      </c>
      <c r="X715" s="8">
        <f>$V715*$W715</f>
        <v/>
      </c>
      <c r="Y715" s="18">
        <f>$X715-$P715</f>
        <v/>
      </c>
      <c r="Z715" s="8">
        <f>IF(ABS($Y715)&lt;=tol_cashflow_inr,"PASS","FAIL")</f>
        <v/>
      </c>
      <c r="AA715" s="7" t="inlineStr">
        <is>
          <t>direction x lots x lot_kg x (F(s) - F(s-1))</t>
        </is>
      </c>
    </row>
    <row r="716">
      <c r="A716" s="7" t="inlineStr">
        <is>
          <t>T06</t>
        </is>
      </c>
      <c r="B716" s="7" t="inlineStr">
        <is>
          <t>MCX:T06-MCX-1</t>
        </is>
      </c>
      <c r="C716" s="7" t="inlineStr">
        <is>
          <t>T06-MCX-1</t>
        </is>
      </c>
      <c r="D716" s="7" t="inlineStr">
        <is>
          <t>MCX_INITIAL_MARGIN</t>
        </is>
      </c>
      <c r="E716" s="7" t="inlineStr">
        <is>
          <t>MCX_INITIAL_MARGIN</t>
        </is>
      </c>
      <c r="F716" s="7" t="inlineStr">
        <is>
          <t>BS</t>
        </is>
      </c>
      <c r="G716" s="7" t="inlineStr">
        <is>
          <t>INR</t>
        </is>
      </c>
      <c r="H716" s="11" t="n">
        <v>44691</v>
      </c>
      <c r="I716" s="11" t="n">
        <v>44699</v>
      </c>
      <c r="J716" s="11" t="n">
        <v>44699</v>
      </c>
      <c r="K716" s="11" t="n">
        <v>44699</v>
      </c>
      <c r="L716" s="7" t="inlineStr">
        <is>
          <t>roll following on the LME panel calendar</t>
        </is>
      </c>
      <c r="N716" s="7" t="inlineStr">
        <is>
          <t>PROXY</t>
        </is>
      </c>
      <c r="O716" s="9" t="n">
        <v>-98230.59</v>
      </c>
      <c r="P716" s="9" t="n">
        <v>-98230.59</v>
      </c>
      <c r="U716" s="7" t="inlineStr">
        <is>
          <t>DERIVED_IN_WORKBOOK</t>
        </is>
      </c>
      <c r="V716" s="8">
        <f>-SUMIFS(Cashflows!$W$1043:$W$1393,Cashflows!$B$1043:$B$1393,$C716,Cashflows!$C$1043:$C$1393,$K716)</f>
        <v/>
      </c>
      <c r="W716" s="8">
        <f>IF($G716="INR",1,INDEX(Market_Daily!$F$6:$F$256,MATCH($K716,Market_Daily!$A$6:$A$256,0)))</f>
        <v/>
      </c>
      <c r="X716" s="8">
        <f>$V716*$W716</f>
        <v/>
      </c>
      <c r="Y716" s="18">
        <f>$X716-$P716</f>
        <v/>
      </c>
      <c r="Z716" s="8">
        <f>IF(ABS($Y716)&lt;=tol_cashflow_inr,"PASS","FAIL")</f>
        <v/>
      </c>
      <c r="AA716" s="7" t="inlineStr">
        <is>
          <t>-d(lots x lot_kg x F(s) x mcx_al_margin_used_frac)</t>
        </is>
      </c>
    </row>
    <row r="717">
      <c r="A717" s="7" t="inlineStr">
        <is>
          <t>T06</t>
        </is>
      </c>
      <c r="B717" s="7" t="inlineStr">
        <is>
          <t>MCX:T06-MCX-1</t>
        </is>
      </c>
      <c r="C717" s="7" t="inlineStr">
        <is>
          <t>T06-MCX-1</t>
        </is>
      </c>
      <c r="D717" s="7" t="inlineStr">
        <is>
          <t>MCX_VARIATION_MARGIN</t>
        </is>
      </c>
      <c r="E717" s="7" t="inlineStr">
        <is>
          <t>MCX_VARIATION_MARGIN</t>
        </is>
      </c>
      <c r="F717" s="7" t="inlineStr">
        <is>
          <t>PNL</t>
        </is>
      </c>
      <c r="G717" s="7" t="inlineStr">
        <is>
          <t>INR</t>
        </is>
      </c>
      <c r="H717" s="11" t="n">
        <v>44691</v>
      </c>
      <c r="I717" s="11" t="n">
        <v>44699</v>
      </c>
      <c r="J717" s="11" t="n">
        <v>44699</v>
      </c>
      <c r="K717" s="11" t="n">
        <v>44699</v>
      </c>
      <c r="L717" s="7" t="inlineStr">
        <is>
          <t>roll following on the LME panel calendar</t>
        </is>
      </c>
      <c r="N717" s="7" t="inlineStr">
        <is>
          <t>PROXY</t>
        </is>
      </c>
      <c r="O717" s="9" t="n">
        <v>-982305.9</v>
      </c>
      <c r="P717" s="9" t="n">
        <v>-982305.9</v>
      </c>
      <c r="U717" s="7" t="inlineStr">
        <is>
          <t>DERIVED_IN_WORKBOOK</t>
        </is>
      </c>
      <c r="V717" s="8">
        <f>SUMIFS(Cashflows!$R$1043:$R$1393,Cashflows!$B$1043:$B$1393,$C717,Cashflows!$C$1043:$C$1393,$K717)</f>
        <v/>
      </c>
      <c r="W717" s="8">
        <f>IF($G717="INR",1,INDEX(Market_Daily!$F$6:$F$256,MATCH($K717,Market_Daily!$A$6:$A$256,0)))</f>
        <v/>
      </c>
      <c r="X717" s="8">
        <f>$V717*$W717</f>
        <v/>
      </c>
      <c r="Y717" s="18">
        <f>$X717-$P717</f>
        <v/>
      </c>
      <c r="Z717" s="8">
        <f>IF(ABS($Y717)&lt;=tol_cashflow_inr,"PASS","FAIL")</f>
        <v/>
      </c>
      <c r="AA717" s="7" t="inlineStr">
        <is>
          <t>direction x lots x lot_kg x (F(s) - F(s-1))</t>
        </is>
      </c>
    </row>
    <row r="718">
      <c r="A718" s="7" t="inlineStr">
        <is>
          <t>T06</t>
        </is>
      </c>
      <c r="B718" s="7" t="inlineStr">
        <is>
          <t>MCX:T06-MCX-1</t>
        </is>
      </c>
      <c r="C718" s="7" t="inlineStr">
        <is>
          <t>T06-MCX-1</t>
        </is>
      </c>
      <c r="D718" s="7" t="inlineStr">
        <is>
          <t>MCX_INITIAL_MARGIN</t>
        </is>
      </c>
      <c r="E718" s="7" t="inlineStr">
        <is>
          <t>MCX_INITIAL_MARGIN</t>
        </is>
      </c>
      <c r="F718" s="7" t="inlineStr">
        <is>
          <t>BS</t>
        </is>
      </c>
      <c r="G718" s="7" t="inlineStr">
        <is>
          <t>INR</t>
        </is>
      </c>
      <c r="H718" s="11" t="n">
        <v>44691</v>
      </c>
      <c r="I718" s="11" t="n">
        <v>44700</v>
      </c>
      <c r="J718" s="11" t="n">
        <v>44700</v>
      </c>
      <c r="K718" s="11" t="n">
        <v>44700</v>
      </c>
      <c r="L718" s="7" t="inlineStr">
        <is>
          <t>roll following on the LME panel calendar</t>
        </is>
      </c>
      <c r="N718" s="7" t="inlineStr">
        <is>
          <t>PROXY</t>
        </is>
      </c>
      <c r="O718" s="9" t="n">
        <v>130460.08</v>
      </c>
      <c r="P718" s="9" t="n">
        <v>130460.08</v>
      </c>
      <c r="U718" s="7" t="inlineStr">
        <is>
          <t>DERIVED_IN_WORKBOOK</t>
        </is>
      </c>
      <c r="V718" s="8">
        <f>-SUMIFS(Cashflows!$W$1043:$W$1393,Cashflows!$B$1043:$B$1393,$C718,Cashflows!$C$1043:$C$1393,$K718)</f>
        <v/>
      </c>
      <c r="W718" s="8">
        <f>IF($G718="INR",1,INDEX(Market_Daily!$F$6:$F$256,MATCH($K718,Market_Daily!$A$6:$A$256,0)))</f>
        <v/>
      </c>
      <c r="X718" s="8">
        <f>$V718*$W718</f>
        <v/>
      </c>
      <c r="Y718" s="18">
        <f>$X718-$P718</f>
        <v/>
      </c>
      <c r="Z718" s="8">
        <f>IF(ABS($Y718)&lt;=tol_cashflow_inr,"PASS","FAIL")</f>
        <v/>
      </c>
      <c r="AA718" s="7" t="inlineStr">
        <is>
          <t>-d(lots x lot_kg x F(s) x mcx_al_margin_used_frac)</t>
        </is>
      </c>
    </row>
    <row r="719">
      <c r="A719" s="7" t="inlineStr">
        <is>
          <t>T06</t>
        </is>
      </c>
      <c r="B719" s="7" t="inlineStr">
        <is>
          <t>MCX:T06-MCX-1</t>
        </is>
      </c>
      <c r="C719" s="7" t="inlineStr">
        <is>
          <t>T06-MCX-1</t>
        </is>
      </c>
      <c r="D719" s="7" t="inlineStr">
        <is>
          <t>MCX_VARIATION_MARGIN</t>
        </is>
      </c>
      <c r="E719" s="7" t="inlineStr">
        <is>
          <t>MCX_VARIATION_MARGIN</t>
        </is>
      </c>
      <c r="F719" s="7" t="inlineStr">
        <is>
          <t>PNL</t>
        </is>
      </c>
      <c r="G719" s="7" t="inlineStr">
        <is>
          <t>INR</t>
        </is>
      </c>
      <c r="H719" s="11" t="n">
        <v>44691</v>
      </c>
      <c r="I719" s="11" t="n">
        <v>44700</v>
      </c>
      <c r="J719" s="11" t="n">
        <v>44700</v>
      </c>
      <c r="K719" s="11" t="n">
        <v>44700</v>
      </c>
      <c r="L719" s="7" t="inlineStr">
        <is>
          <t>roll following on the LME panel calendar</t>
        </is>
      </c>
      <c r="N719" s="7" t="inlineStr">
        <is>
          <t>PROXY</t>
        </is>
      </c>
      <c r="O719" s="9" t="n">
        <v>1304600.77</v>
      </c>
      <c r="P719" s="9" t="n">
        <v>1304600.77</v>
      </c>
      <c r="U719" s="7" t="inlineStr">
        <is>
          <t>DERIVED_IN_WORKBOOK</t>
        </is>
      </c>
      <c r="V719" s="8">
        <f>SUMIFS(Cashflows!$R$1043:$R$1393,Cashflows!$B$1043:$B$1393,$C719,Cashflows!$C$1043:$C$1393,$K719)</f>
        <v/>
      </c>
      <c r="W719" s="8">
        <f>IF($G719="INR",1,INDEX(Market_Daily!$F$6:$F$256,MATCH($K719,Market_Daily!$A$6:$A$256,0)))</f>
        <v/>
      </c>
      <c r="X719" s="8">
        <f>$V719*$W719</f>
        <v/>
      </c>
      <c r="Y719" s="18">
        <f>$X719-$P719</f>
        <v/>
      </c>
      <c r="Z719" s="8">
        <f>IF(ABS($Y719)&lt;=tol_cashflow_inr,"PASS","FAIL")</f>
        <v/>
      </c>
      <c r="AA719" s="7" t="inlineStr">
        <is>
          <t>direction x lots x lot_kg x (F(s) - F(s-1))</t>
        </is>
      </c>
    </row>
    <row r="720">
      <c r="A720" s="7" t="inlineStr">
        <is>
          <t>T06</t>
        </is>
      </c>
      <c r="B720" s="7" t="inlineStr">
        <is>
          <t>MCX:T06-MCX-1</t>
        </is>
      </c>
      <c r="C720" s="7" t="inlineStr">
        <is>
          <t>T06-MCX-1</t>
        </is>
      </c>
      <c r="D720" s="7" t="inlineStr">
        <is>
          <t>MCX_INITIAL_MARGIN</t>
        </is>
      </c>
      <c r="E720" s="7" t="inlineStr">
        <is>
          <t>MCX_INITIAL_MARGIN</t>
        </is>
      </c>
      <c r="F720" s="7" t="inlineStr">
        <is>
          <t>BS</t>
        </is>
      </c>
      <c r="G720" s="7" t="inlineStr">
        <is>
          <t>INR</t>
        </is>
      </c>
      <c r="H720" s="11" t="n">
        <v>44691</v>
      </c>
      <c r="I720" s="11" t="n">
        <v>44701</v>
      </c>
      <c r="J720" s="11" t="n">
        <v>44701</v>
      </c>
      <c r="K720" s="11" t="n">
        <v>44701</v>
      </c>
      <c r="L720" s="7" t="inlineStr">
        <is>
          <t>roll following on the LME panel calendar</t>
        </is>
      </c>
      <c r="N720" s="7" t="inlineStr">
        <is>
          <t>PROXY</t>
        </is>
      </c>
      <c r="O720" s="9" t="n">
        <v>20932403.35</v>
      </c>
      <c r="P720" s="9" t="n">
        <v>20932403.35</v>
      </c>
      <c r="U720" s="7" t="inlineStr">
        <is>
          <t>DERIVED_IN_WORKBOOK</t>
        </is>
      </c>
      <c r="V720" s="8">
        <f>-SUMIFS(Cashflows!$W$1043:$W$1393,Cashflows!$B$1043:$B$1393,$C720,Cashflows!$C$1043:$C$1393,$K720)</f>
        <v/>
      </c>
      <c r="W720" s="8">
        <f>IF($G720="INR",1,INDEX(Market_Daily!$F$6:$F$256,MATCH($K720,Market_Daily!$A$6:$A$256,0)))</f>
        <v/>
      </c>
      <c r="X720" s="8">
        <f>$V720*$W720</f>
        <v/>
      </c>
      <c r="Y720" s="18">
        <f>$X720-$P720</f>
        <v/>
      </c>
      <c r="Z720" s="8">
        <f>IF(ABS($Y720)&lt;=tol_cashflow_inr,"PASS","FAIL")</f>
        <v/>
      </c>
      <c r="AA720" s="7" t="inlineStr">
        <is>
          <t>-d(lots x lot_kg x F(s) x mcx_al_margin_used_frac)</t>
        </is>
      </c>
    </row>
    <row r="721">
      <c r="A721" s="7" t="inlineStr">
        <is>
          <t>T06</t>
        </is>
      </c>
      <c r="B721" s="7" t="inlineStr">
        <is>
          <t>MCX:T06-MCX-1</t>
        </is>
      </c>
      <c r="C721" s="7" t="inlineStr">
        <is>
          <t>T06-MCX-1</t>
        </is>
      </c>
      <c r="D721" s="7" t="inlineStr">
        <is>
          <t>MCX_SLIPPAGE</t>
        </is>
      </c>
      <c r="E721" s="7" t="inlineStr">
        <is>
          <t>MCX_SLIPPAGE</t>
        </is>
      </c>
      <c r="F721" s="7" t="inlineStr">
        <is>
          <t>PNL</t>
        </is>
      </c>
      <c r="G721" s="7" t="inlineStr">
        <is>
          <t>INR</t>
        </is>
      </c>
      <c r="H721" s="11" t="n">
        <v>44701</v>
      </c>
      <c r="J721" s="11" t="n">
        <v>44701</v>
      </c>
      <c r="K721" s="11" t="n">
        <v>44701</v>
      </c>
      <c r="L721" s="7" t="inlineStr">
        <is>
          <t>roll following on the LME panel calendar</t>
        </is>
      </c>
      <c r="N721" s="7" t="inlineStr">
        <is>
          <t>ASSUMPTION</t>
        </is>
      </c>
      <c r="O721" s="9" t="n">
        <v>-88000</v>
      </c>
      <c r="P721" s="9" t="n">
        <v>-88000</v>
      </c>
      <c r="U721" s="7" t="inlineStr">
        <is>
          <t>DERIVED_IN_WORKBOOK</t>
        </is>
      </c>
      <c r="V721" s="8">
        <f>SUMIFS(Cashflows!$Z$1043:$Z$1393,Cashflows!$B$1043:$B$1393,$C721,Cashflows!$C$1043:$C$1393,$K721)</f>
        <v/>
      </c>
      <c r="W721" s="8">
        <f>IF($G721="INR",1,INDEX(Market_Daily!$F$6:$F$256,MATCH($K721,Market_Daily!$A$6:$A$256,0)))</f>
        <v/>
      </c>
      <c r="X721" s="8">
        <f>$V721*$W721</f>
        <v/>
      </c>
      <c r="Y721" s="18">
        <f>$X721-$P721</f>
        <v/>
      </c>
      <c r="Z721" s="8">
        <f>IF(ABS($Y721)&lt;=tol_cashflow_inr,"PASS","FAIL")</f>
        <v/>
      </c>
      <c r="AA721" s="7" t="inlineStr">
        <is>
          <t>-lots x lot_kg x mcx_slippage_ticks x tick</t>
        </is>
      </c>
    </row>
    <row r="722">
      <c r="A722" s="7" t="inlineStr">
        <is>
          <t>T06</t>
        </is>
      </c>
      <c r="B722" s="7" t="inlineStr">
        <is>
          <t>MCX:T06-MCX-1</t>
        </is>
      </c>
      <c r="C722" s="7" t="inlineStr">
        <is>
          <t>T06-MCX-1</t>
        </is>
      </c>
      <c r="D722" s="7" t="inlineStr">
        <is>
          <t>MCX_TRANSACTION_COST</t>
        </is>
      </c>
      <c r="E722" s="7" t="inlineStr">
        <is>
          <t>MCX_TRANSACTION_COST</t>
        </is>
      </c>
      <c r="F722" s="7" t="inlineStr">
        <is>
          <t>PNL</t>
        </is>
      </c>
      <c r="G722" s="7" t="inlineStr">
        <is>
          <t>INR</t>
        </is>
      </c>
      <c r="H722" s="11" t="n">
        <v>44701</v>
      </c>
      <c r="I722" s="11" t="n">
        <v>44701</v>
      </c>
      <c r="J722" s="11" t="n">
        <v>44701</v>
      </c>
      <c r="K722" s="11" t="n">
        <v>44701</v>
      </c>
      <c r="L722" s="7" t="inlineStr">
        <is>
          <t>roll following on the LME panel calendar</t>
        </is>
      </c>
      <c r="N722" s="7" t="inlineStr">
        <is>
          <t>ASSUMPTION</t>
        </is>
      </c>
      <c r="O722" s="9" t="n">
        <v>-65185.31</v>
      </c>
      <c r="P722" s="9" t="n">
        <v>-65185.31</v>
      </c>
      <c r="U722" s="7" t="inlineStr">
        <is>
          <t>DERIVED_IN_WORKBOOK</t>
        </is>
      </c>
      <c r="V722" s="8">
        <f>SUMIFS(Cashflows!$AA$1043:$AA$1393,Cashflows!$B$1043:$B$1393,$C722,Cashflows!$C$1043:$C$1393,$K722)</f>
        <v/>
      </c>
      <c r="W722" s="8">
        <f>IF($G722="INR",1,INDEX(Market_Daily!$F$6:$F$256,MATCH($K722,Market_Daily!$A$6:$A$256,0)))</f>
        <v/>
      </c>
      <c r="X722" s="8">
        <f>$V722*$W722</f>
        <v/>
      </c>
      <c r="Y722" s="18">
        <f>$X722-$P722</f>
        <v/>
      </c>
      <c r="Z722" s="8">
        <f>IF(ABS($Y722)&lt;=tol_cashflow_inr,"PASS","FAIL")</f>
        <v/>
      </c>
      <c r="AA722" s="7" t="inlineStr">
        <is>
          <t>-lots x lot_kg x fill x mcx_txn_cost_frac</t>
        </is>
      </c>
    </row>
    <row r="723">
      <c r="A723" s="7" t="inlineStr">
        <is>
          <t>T06</t>
        </is>
      </c>
      <c r="B723" s="7" t="inlineStr">
        <is>
          <t>MCX:T06-MCX-1</t>
        </is>
      </c>
      <c r="C723" s="7" t="inlineStr">
        <is>
          <t>T06-MCX-1</t>
        </is>
      </c>
      <c r="D723" s="7" t="inlineStr">
        <is>
          <t>MCX_VARIATION_MARGIN</t>
        </is>
      </c>
      <c r="E723" s="7" t="inlineStr">
        <is>
          <t>MCX_VARIATION_MARGIN</t>
        </is>
      </c>
      <c r="F723" s="7" t="inlineStr">
        <is>
          <t>PNL</t>
        </is>
      </c>
      <c r="G723" s="7" t="inlineStr">
        <is>
          <t>INR</t>
        </is>
      </c>
      <c r="H723" s="11" t="n">
        <v>44691</v>
      </c>
      <c r="I723" s="11" t="n">
        <v>44701</v>
      </c>
      <c r="J723" s="11" t="n">
        <v>44701</v>
      </c>
      <c r="K723" s="11" t="n">
        <v>44701</v>
      </c>
      <c r="L723" s="7" t="inlineStr">
        <is>
          <t>roll following on the LME panel calendar</t>
        </is>
      </c>
      <c r="N723" s="7" t="inlineStr">
        <is>
          <t>PROXY</t>
        </is>
      </c>
      <c r="O723" s="9" t="n">
        <v>-7872342.84</v>
      </c>
      <c r="P723" s="9" t="n">
        <v>-7872342.84</v>
      </c>
      <c r="U723" s="7" t="inlineStr">
        <is>
          <t>DERIVED_IN_WORKBOOK</t>
        </is>
      </c>
      <c r="V723" s="8">
        <f>SUMIFS(Cashflows!$R$1043:$R$1393,Cashflows!$B$1043:$B$1393,$C723,Cashflows!$C$1043:$C$1393,$K723)</f>
        <v/>
      </c>
      <c r="W723" s="8">
        <f>IF($G723="INR",1,INDEX(Market_Daily!$F$6:$F$256,MATCH($K723,Market_Daily!$A$6:$A$256,0)))</f>
        <v/>
      </c>
      <c r="X723" s="8">
        <f>$V723*$W723</f>
        <v/>
      </c>
      <c r="Y723" s="18">
        <f>$X723-$P723</f>
        <v/>
      </c>
      <c r="Z723" s="8">
        <f>IF(ABS($Y723)&lt;=tol_cashflow_inr,"PASS","FAIL")</f>
        <v/>
      </c>
      <c r="AA723" s="7" t="inlineStr">
        <is>
          <t>direction x lots x lot_kg x (F(s) - F(s-1))</t>
        </is>
      </c>
    </row>
    <row r="724">
      <c r="A724" s="7" t="inlineStr">
        <is>
          <t>T06</t>
        </is>
      </c>
      <c r="B724" s="7" t="inlineStr">
        <is>
          <t>MCX:T06-MCX-2</t>
        </is>
      </c>
      <c r="C724" s="7" t="inlineStr">
        <is>
          <t>T06-MCX-2</t>
        </is>
      </c>
      <c r="D724" s="7" t="inlineStr">
        <is>
          <t>MCX_INITIAL_MARGIN</t>
        </is>
      </c>
      <c r="E724" s="7" t="inlineStr">
        <is>
          <t>MCX_INITIAL_MARGIN</t>
        </is>
      </c>
      <c r="F724" s="7" t="inlineStr">
        <is>
          <t>BS</t>
        </is>
      </c>
      <c r="G724" s="7" t="inlineStr">
        <is>
          <t>INR</t>
        </is>
      </c>
      <c r="H724" s="11" t="n">
        <v>44701</v>
      </c>
      <c r="I724" s="11" t="n">
        <v>44701</v>
      </c>
      <c r="J724" s="11" t="n">
        <v>44701</v>
      </c>
      <c r="K724" s="11" t="n">
        <v>44701</v>
      </c>
      <c r="L724" s="7" t="inlineStr">
        <is>
          <t>roll following on the LME panel calendar</t>
        </is>
      </c>
      <c r="N724" s="7" t="inlineStr">
        <is>
          <t>PROXY</t>
        </is>
      </c>
      <c r="O724" s="9" t="n">
        <v>-21804032.79</v>
      </c>
      <c r="P724" s="9" t="n">
        <v>-21804032.79</v>
      </c>
      <c r="U724" s="7" t="inlineStr">
        <is>
          <t>DERIVED_IN_WORKBOOK</t>
        </is>
      </c>
      <c r="V724" s="8">
        <f>-SUMIFS(Cashflows!$W$1043:$W$1393,Cashflows!$B$1043:$B$1393,$C724,Cashflows!$C$1043:$C$1393,$K724)</f>
        <v/>
      </c>
      <c r="W724" s="8">
        <f>IF($G724="INR",1,INDEX(Market_Daily!$F$6:$F$256,MATCH($K724,Market_Daily!$A$6:$A$256,0)))</f>
        <v/>
      </c>
      <c r="X724" s="8">
        <f>$V724*$W724</f>
        <v/>
      </c>
      <c r="Y724" s="18">
        <f>$X724-$P724</f>
        <v/>
      </c>
      <c r="Z724" s="8">
        <f>IF(ABS($Y724)&lt;=tol_cashflow_inr,"PASS","FAIL")</f>
        <v/>
      </c>
      <c r="AA724" s="7" t="inlineStr">
        <is>
          <t>-d(lots x lot_kg x F(s) x mcx_al_margin_used_frac)</t>
        </is>
      </c>
    </row>
    <row r="725">
      <c r="A725" s="7" t="inlineStr">
        <is>
          <t>T06</t>
        </is>
      </c>
      <c r="B725" s="7" t="inlineStr">
        <is>
          <t>MCX:T06-MCX-2</t>
        </is>
      </c>
      <c r="C725" s="7" t="inlineStr">
        <is>
          <t>T06-MCX-2</t>
        </is>
      </c>
      <c r="D725" s="7" t="inlineStr">
        <is>
          <t>MCX_SLIPPAGE</t>
        </is>
      </c>
      <c r="E725" s="7" t="inlineStr">
        <is>
          <t>MCX_SLIPPAGE</t>
        </is>
      </c>
      <c r="F725" s="7" t="inlineStr">
        <is>
          <t>PNL</t>
        </is>
      </c>
      <c r="G725" s="7" t="inlineStr">
        <is>
          <t>INR</t>
        </is>
      </c>
      <c r="H725" s="11" t="n">
        <v>44701</v>
      </c>
      <c r="J725" s="11" t="n">
        <v>44701</v>
      </c>
      <c r="K725" s="11" t="n">
        <v>44701</v>
      </c>
      <c r="L725" s="7" t="inlineStr">
        <is>
          <t>roll following on the LME panel calendar</t>
        </is>
      </c>
      <c r="N725" s="7" t="inlineStr">
        <is>
          <t>ASSUMPTION</t>
        </is>
      </c>
      <c r="O725" s="9" t="n">
        <v>-88000</v>
      </c>
      <c r="P725" s="9" t="n">
        <v>-88000</v>
      </c>
      <c r="U725" s="7" t="inlineStr">
        <is>
          <t>DERIVED_IN_WORKBOOK</t>
        </is>
      </c>
      <c r="V725" s="8">
        <f>SUMIFS(Cashflows!$Z$1043:$Z$1393,Cashflows!$B$1043:$B$1393,$C725,Cashflows!$C$1043:$C$1393,$K725)</f>
        <v/>
      </c>
      <c r="W725" s="8">
        <f>IF($G725="INR",1,INDEX(Market_Daily!$F$6:$F$256,MATCH($K725,Market_Daily!$A$6:$A$256,0)))</f>
        <v/>
      </c>
      <c r="X725" s="8">
        <f>$V725*$W725</f>
        <v/>
      </c>
      <c r="Y725" s="18">
        <f>$X725-$P725</f>
        <v/>
      </c>
      <c r="Z725" s="8">
        <f>IF(ABS($Y725)&lt;=tol_cashflow_inr,"PASS","FAIL")</f>
        <v/>
      </c>
      <c r="AA725" s="7" t="inlineStr">
        <is>
          <t>-lots x lot_kg x mcx_slippage_ticks x tick</t>
        </is>
      </c>
    </row>
    <row r="726">
      <c r="A726" s="7" t="inlineStr">
        <is>
          <t>T06</t>
        </is>
      </c>
      <c r="B726" s="7" t="inlineStr">
        <is>
          <t>MCX:T06-MCX-2</t>
        </is>
      </c>
      <c r="C726" s="7" t="inlineStr">
        <is>
          <t>T06-MCX-2</t>
        </is>
      </c>
      <c r="D726" s="7" t="inlineStr">
        <is>
          <t>MCX_TRANSACTION_COST</t>
        </is>
      </c>
      <c r="E726" s="7" t="inlineStr">
        <is>
          <t>MCX_TRANSACTION_COST</t>
        </is>
      </c>
      <c r="F726" s="7" t="inlineStr">
        <is>
          <t>PNL</t>
        </is>
      </c>
      <c r="G726" s="7" t="inlineStr">
        <is>
          <t>INR</t>
        </is>
      </c>
      <c r="H726" s="11" t="n">
        <v>44701</v>
      </c>
      <c r="I726" s="11" t="n">
        <v>44701</v>
      </c>
      <c r="J726" s="11" t="n">
        <v>44701</v>
      </c>
      <c r="K726" s="11" t="n">
        <v>44701</v>
      </c>
      <c r="L726" s="7" t="inlineStr">
        <is>
          <t>roll following on the LME panel calendar</t>
        </is>
      </c>
      <c r="N726" s="7" t="inlineStr">
        <is>
          <t>ASSUMPTION</t>
        </is>
      </c>
      <c r="O726" s="9" t="n">
        <v>-65385.7</v>
      </c>
      <c r="P726" s="9" t="n">
        <v>-65385.7</v>
      </c>
      <c r="U726" s="7" t="inlineStr">
        <is>
          <t>DERIVED_IN_WORKBOOK</t>
        </is>
      </c>
      <c r="V726" s="8">
        <f>SUMIFS(Cashflows!$AA$1043:$AA$1393,Cashflows!$B$1043:$B$1393,$C726,Cashflows!$C$1043:$C$1393,$K726)</f>
        <v/>
      </c>
      <c r="W726" s="8">
        <f>IF($G726="INR",1,INDEX(Market_Daily!$F$6:$F$256,MATCH($K726,Market_Daily!$A$6:$A$256,0)))</f>
        <v/>
      </c>
      <c r="X726" s="8">
        <f>$V726*$W726</f>
        <v/>
      </c>
      <c r="Y726" s="18">
        <f>$X726-$P726</f>
        <v/>
      </c>
      <c r="Z726" s="8">
        <f>IF(ABS($Y726)&lt;=tol_cashflow_inr,"PASS","FAIL")</f>
        <v/>
      </c>
      <c r="AA726" s="7" t="inlineStr">
        <is>
          <t>-lots x lot_kg x fill x mcx_txn_cost_frac</t>
        </is>
      </c>
    </row>
    <row r="727">
      <c r="A727" s="7" t="inlineStr">
        <is>
          <t>T06</t>
        </is>
      </c>
      <c r="B727" s="7" t="inlineStr">
        <is>
          <t>MCX:T06-MCX-2</t>
        </is>
      </c>
      <c r="C727" s="7" t="inlineStr">
        <is>
          <t>T06-MCX-2</t>
        </is>
      </c>
      <c r="D727" s="7" t="inlineStr">
        <is>
          <t>MCX_VARIATION_MARGIN</t>
        </is>
      </c>
      <c r="E727" s="7" t="inlineStr">
        <is>
          <t>MCX_VARIATION_MARGIN</t>
        </is>
      </c>
      <c r="F727" s="7" t="inlineStr">
        <is>
          <t>PNL</t>
        </is>
      </c>
      <c r="G727" s="7" t="inlineStr">
        <is>
          <t>INR</t>
        </is>
      </c>
      <c r="H727" s="11" t="n">
        <v>44701</v>
      </c>
      <c r="I727" s="11" t="n">
        <v>44701</v>
      </c>
      <c r="J727" s="11" t="n">
        <v>44701</v>
      </c>
      <c r="K727" s="11" t="n">
        <v>44701</v>
      </c>
      <c r="L727" s="7" t="inlineStr">
        <is>
          <t>roll following on the LME panel calendar</t>
        </is>
      </c>
      <c r="N727" s="7" t="inlineStr">
        <is>
          <t>PROXY</t>
        </is>
      </c>
      <c r="O727" s="9" t="n">
        <v>-0</v>
      </c>
      <c r="P727" s="9" t="n">
        <v>-0</v>
      </c>
      <c r="U727" s="7" t="inlineStr">
        <is>
          <t>DERIVED_IN_WORKBOOK</t>
        </is>
      </c>
      <c r="V727" s="8">
        <f>SUMIFS(Cashflows!$R$1043:$R$1393,Cashflows!$B$1043:$B$1393,$C727,Cashflows!$C$1043:$C$1393,$K727)</f>
        <v/>
      </c>
      <c r="W727" s="8">
        <f>IF($G727="INR",1,INDEX(Market_Daily!$F$6:$F$256,MATCH($K727,Market_Daily!$A$6:$A$256,0)))</f>
        <v/>
      </c>
      <c r="X727" s="8">
        <f>$V727*$W727</f>
        <v/>
      </c>
      <c r="Y727" s="18">
        <f>$X727-$P727</f>
        <v/>
      </c>
      <c r="Z727" s="8">
        <f>IF(ABS($Y727)&lt;=tol_cashflow_inr,"PASS","FAIL")</f>
        <v/>
      </c>
      <c r="AA727" s="7" t="inlineStr">
        <is>
          <t>direction x lots x lot_kg x (F(entry) - entry settle) = 0 by construction</t>
        </is>
      </c>
    </row>
    <row r="728">
      <c r="A728" s="7" t="inlineStr">
        <is>
          <t>T06</t>
        </is>
      </c>
      <c r="B728" s="7" t="inlineStr">
        <is>
          <t>MCX:T06-MCX-2</t>
        </is>
      </c>
      <c r="C728" s="7" t="inlineStr">
        <is>
          <t>T06-MCX-2</t>
        </is>
      </c>
      <c r="D728" s="7" t="inlineStr">
        <is>
          <t>MCX_INITIAL_MARGIN</t>
        </is>
      </c>
      <c r="E728" s="7" t="inlineStr">
        <is>
          <t>MCX_INITIAL_MARGIN</t>
        </is>
      </c>
      <c r="F728" s="7" t="inlineStr">
        <is>
          <t>BS</t>
        </is>
      </c>
      <c r="G728" s="7" t="inlineStr">
        <is>
          <t>INR</t>
        </is>
      </c>
      <c r="H728" s="11" t="n">
        <v>44701</v>
      </c>
      <c r="I728" s="11" t="n">
        <v>44704</v>
      </c>
      <c r="J728" s="11" t="n">
        <v>44704</v>
      </c>
      <c r="K728" s="11" t="n">
        <v>44704</v>
      </c>
      <c r="L728" s="7" t="inlineStr">
        <is>
          <t>roll following on the LME panel calendar</t>
        </is>
      </c>
      <c r="N728" s="7" t="inlineStr">
        <is>
          <t>PROXY</t>
        </is>
      </c>
      <c r="O728" s="9" t="n">
        <v>-197808.19</v>
      </c>
      <c r="P728" s="9" t="n">
        <v>-197808.19</v>
      </c>
      <c r="U728" s="7" t="inlineStr">
        <is>
          <t>DERIVED_IN_WORKBOOK</t>
        </is>
      </c>
      <c r="V728" s="8">
        <f>-SUMIFS(Cashflows!$W$1043:$W$1393,Cashflows!$B$1043:$B$1393,$C728,Cashflows!$C$1043:$C$1393,$K728)</f>
        <v/>
      </c>
      <c r="W728" s="8">
        <f>IF($G728="INR",1,INDEX(Market_Daily!$F$6:$F$256,MATCH($K728,Market_Daily!$A$6:$A$256,0)))</f>
        <v/>
      </c>
      <c r="X728" s="8">
        <f>$V728*$W728</f>
        <v/>
      </c>
      <c r="Y728" s="18">
        <f>$X728-$P728</f>
        <v/>
      </c>
      <c r="Z728" s="8">
        <f>IF(ABS($Y728)&lt;=tol_cashflow_inr,"PASS","FAIL")</f>
        <v/>
      </c>
      <c r="AA728" s="7" t="inlineStr">
        <is>
          <t>-d(lots x lot_kg x F(s) x mcx_al_margin_used_frac)</t>
        </is>
      </c>
    </row>
    <row r="729">
      <c r="A729" s="7" t="inlineStr">
        <is>
          <t>T06</t>
        </is>
      </c>
      <c r="B729" s="7" t="inlineStr">
        <is>
          <t>MCX:T06-MCX-2</t>
        </is>
      </c>
      <c r="C729" s="7" t="inlineStr">
        <is>
          <t>T06-MCX-2</t>
        </is>
      </c>
      <c r="D729" s="7" t="inlineStr">
        <is>
          <t>MCX_VARIATION_MARGIN</t>
        </is>
      </c>
      <c r="E729" s="7" t="inlineStr">
        <is>
          <t>MCX_VARIATION_MARGIN</t>
        </is>
      </c>
      <c r="F729" s="7" t="inlineStr">
        <is>
          <t>PNL</t>
        </is>
      </c>
      <c r="G729" s="7" t="inlineStr">
        <is>
          <t>INR</t>
        </is>
      </c>
      <c r="H729" s="11" t="n">
        <v>44701</v>
      </c>
      <c r="I729" s="11" t="n">
        <v>44704</v>
      </c>
      <c r="J729" s="11" t="n">
        <v>44704</v>
      </c>
      <c r="K729" s="11" t="n">
        <v>44704</v>
      </c>
      <c r="L729" s="7" t="inlineStr">
        <is>
          <t>roll following on the LME panel calendar</t>
        </is>
      </c>
      <c r="N729" s="7" t="inlineStr">
        <is>
          <t>PROXY</t>
        </is>
      </c>
      <c r="O729" s="9" t="n">
        <v>-1978081.91</v>
      </c>
      <c r="P729" s="9" t="n">
        <v>-1978081.91</v>
      </c>
      <c r="U729" s="7" t="inlineStr">
        <is>
          <t>DERIVED_IN_WORKBOOK</t>
        </is>
      </c>
      <c r="V729" s="8">
        <f>SUMIFS(Cashflows!$R$1043:$R$1393,Cashflows!$B$1043:$B$1393,$C729,Cashflows!$C$1043:$C$1393,$K729)</f>
        <v/>
      </c>
      <c r="W729" s="8">
        <f>IF($G729="INR",1,INDEX(Market_Daily!$F$6:$F$256,MATCH($K729,Market_Daily!$A$6:$A$256,0)))</f>
        <v/>
      </c>
      <c r="X729" s="8">
        <f>$V729*$W729</f>
        <v/>
      </c>
      <c r="Y729" s="18">
        <f>$X729-$P729</f>
        <v/>
      </c>
      <c r="Z729" s="8">
        <f>IF(ABS($Y729)&lt;=tol_cashflow_inr,"PASS","FAIL")</f>
        <v/>
      </c>
      <c r="AA729" s="7" t="inlineStr">
        <is>
          <t>direction x lots x lot_kg x (F(s) - F(s-1))</t>
        </is>
      </c>
    </row>
    <row r="730">
      <c r="A730" s="7" t="inlineStr">
        <is>
          <t>T06</t>
        </is>
      </c>
      <c r="B730" s="7" t="inlineStr">
        <is>
          <t>MCX:T06-MCX-2</t>
        </is>
      </c>
      <c r="C730" s="7" t="inlineStr">
        <is>
          <t>T06-MCX-2</t>
        </is>
      </c>
      <c r="D730" s="7" t="inlineStr">
        <is>
          <t>MCX_INITIAL_MARGIN</t>
        </is>
      </c>
      <c r="E730" s="7" t="inlineStr">
        <is>
          <t>MCX_INITIAL_MARGIN</t>
        </is>
      </c>
      <c r="F730" s="7" t="inlineStr">
        <is>
          <t>BS</t>
        </is>
      </c>
      <c r="G730" s="7" t="inlineStr">
        <is>
          <t>INR</t>
        </is>
      </c>
      <c r="H730" s="11" t="n">
        <v>44701</v>
      </c>
      <c r="I730" s="11" t="n">
        <v>44705</v>
      </c>
      <c r="J730" s="11" t="n">
        <v>44705</v>
      </c>
      <c r="K730" s="11" t="n">
        <v>44705</v>
      </c>
      <c r="L730" s="7" t="inlineStr">
        <is>
          <t>roll following on the LME panel calendar</t>
        </is>
      </c>
      <c r="N730" s="7" t="inlineStr">
        <is>
          <t>PROXY</t>
        </is>
      </c>
      <c r="O730" s="9" t="n">
        <v>603354.13</v>
      </c>
      <c r="P730" s="9" t="n">
        <v>603354.13</v>
      </c>
      <c r="U730" s="7" t="inlineStr">
        <is>
          <t>DERIVED_IN_WORKBOOK</t>
        </is>
      </c>
      <c r="V730" s="8">
        <f>-SUMIFS(Cashflows!$W$1043:$W$1393,Cashflows!$B$1043:$B$1393,$C730,Cashflows!$C$1043:$C$1393,$K730)</f>
        <v/>
      </c>
      <c r="W730" s="8">
        <f>IF($G730="INR",1,INDEX(Market_Daily!$F$6:$F$256,MATCH($K730,Market_Daily!$A$6:$A$256,0)))</f>
        <v/>
      </c>
      <c r="X730" s="8">
        <f>$V730*$W730</f>
        <v/>
      </c>
      <c r="Y730" s="18">
        <f>$X730-$P730</f>
        <v/>
      </c>
      <c r="Z730" s="8">
        <f>IF(ABS($Y730)&lt;=tol_cashflow_inr,"PASS","FAIL")</f>
        <v/>
      </c>
      <c r="AA730" s="7" t="inlineStr">
        <is>
          <t>-d(lots x lot_kg x F(s) x mcx_al_margin_used_frac)</t>
        </is>
      </c>
    </row>
    <row r="731">
      <c r="A731" s="7" t="inlineStr">
        <is>
          <t>T06</t>
        </is>
      </c>
      <c r="B731" s="7" t="inlineStr">
        <is>
          <t>MCX:T06-MCX-2</t>
        </is>
      </c>
      <c r="C731" s="7" t="inlineStr">
        <is>
          <t>T06-MCX-2</t>
        </is>
      </c>
      <c r="D731" s="7" t="inlineStr">
        <is>
          <t>MCX_VARIATION_MARGIN</t>
        </is>
      </c>
      <c r="E731" s="7" t="inlineStr">
        <is>
          <t>MCX_VARIATION_MARGIN</t>
        </is>
      </c>
      <c r="F731" s="7" t="inlineStr">
        <is>
          <t>PNL</t>
        </is>
      </c>
      <c r="G731" s="7" t="inlineStr">
        <is>
          <t>INR</t>
        </is>
      </c>
      <c r="H731" s="11" t="n">
        <v>44701</v>
      </c>
      <c r="I731" s="11" t="n">
        <v>44705</v>
      </c>
      <c r="J731" s="11" t="n">
        <v>44705</v>
      </c>
      <c r="K731" s="11" t="n">
        <v>44705</v>
      </c>
      <c r="L731" s="7" t="inlineStr">
        <is>
          <t>roll following on the LME panel calendar</t>
        </is>
      </c>
      <c r="N731" s="7" t="inlineStr">
        <is>
          <t>PROXY</t>
        </is>
      </c>
      <c r="O731" s="9" t="n">
        <v>6033541.29</v>
      </c>
      <c r="P731" s="9" t="n">
        <v>6033541.29</v>
      </c>
      <c r="U731" s="7" t="inlineStr">
        <is>
          <t>DERIVED_IN_WORKBOOK</t>
        </is>
      </c>
      <c r="V731" s="8">
        <f>SUMIFS(Cashflows!$R$1043:$R$1393,Cashflows!$B$1043:$B$1393,$C731,Cashflows!$C$1043:$C$1393,$K731)</f>
        <v/>
      </c>
      <c r="W731" s="8">
        <f>IF($G731="INR",1,INDEX(Market_Daily!$F$6:$F$256,MATCH($K731,Market_Daily!$A$6:$A$256,0)))</f>
        <v/>
      </c>
      <c r="X731" s="8">
        <f>$V731*$W731</f>
        <v/>
      </c>
      <c r="Y731" s="18">
        <f>$X731-$P731</f>
        <v/>
      </c>
      <c r="Z731" s="8">
        <f>IF(ABS($Y731)&lt;=tol_cashflow_inr,"PASS","FAIL")</f>
        <v/>
      </c>
      <c r="AA731" s="7" t="inlineStr">
        <is>
          <t>direction x lots x lot_kg x (F(s) - F(s-1))</t>
        </is>
      </c>
    </row>
    <row r="732">
      <c r="A732" s="7" t="inlineStr">
        <is>
          <t>T06</t>
        </is>
      </c>
      <c r="B732" s="7" t="inlineStr">
        <is>
          <t>INSURANCE:L1</t>
        </is>
      </c>
      <c r="C732" s="7" t="inlineStr">
        <is>
          <t>L1</t>
        </is>
      </c>
      <c r="D732" s="7" t="inlineStr">
        <is>
          <t>INSURANCE</t>
        </is>
      </c>
      <c r="E732" s="7" t="inlineStr">
        <is>
          <t>INSURANCE</t>
        </is>
      </c>
      <c r="F732" s="7" t="inlineStr">
        <is>
          <t>PNL</t>
        </is>
      </c>
      <c r="G732" s="7" t="inlineStr">
        <is>
          <t>USD</t>
        </is>
      </c>
      <c r="H732" s="11" t="n">
        <v>44691</v>
      </c>
      <c r="I732" s="11" t="n">
        <v>44706</v>
      </c>
      <c r="J732" s="11" t="n">
        <v>44706</v>
      </c>
      <c r="K732" s="11" t="n">
        <v>44706</v>
      </c>
      <c r="L732" s="7" t="inlineStr">
        <is>
          <t>roll following on the LME panel calendar</t>
        </is>
      </c>
      <c r="N732" s="7" t="inlineStr">
        <is>
          <t>ASSUMPTION</t>
        </is>
      </c>
      <c r="O732" s="9" t="n">
        <v>-1528.67</v>
      </c>
      <c r="P732" s="9" t="n">
        <v>-118590.4</v>
      </c>
      <c r="U732" s="7" t="inlineStr">
        <is>
          <t>PYTHON_LIFECYCLE</t>
        </is>
      </c>
      <c r="V732" s="8">
        <f>$O732</f>
        <v/>
      </c>
      <c r="W732" s="8">
        <f>IF($G732="INR",1,INDEX(Market_Daily!$F$6:$F$256,MATCH($K732,Market_Daily!$A$6:$A$256,0)))</f>
        <v/>
      </c>
      <c r="X732" s="8">
        <f>$V732*$W732</f>
        <v/>
      </c>
      <c r="Y732" s="18">
        <f>$X732-$P732</f>
        <v/>
      </c>
      <c r="Z732" s="8">
        <f>IF(ABS($Y732)&lt;=tol_cashflow_inr,"PASS","FAIL")</f>
        <v/>
      </c>
      <c r="AA732" s="7" t="inlineStr">
        <is>
          <t>-insurance_rate x insured_value_uplift x cfr_value_usd</t>
        </is>
      </c>
    </row>
    <row r="733">
      <c r="A733" s="7" t="inlineStr">
        <is>
          <t>T06</t>
        </is>
      </c>
      <c r="B733" s="7" t="inlineStr">
        <is>
          <t>MCX:T06-MCX-2</t>
        </is>
      </c>
      <c r="C733" s="7" t="inlineStr">
        <is>
          <t>T06-MCX-2</t>
        </is>
      </c>
      <c r="D733" s="7" t="inlineStr">
        <is>
          <t>MCX_INITIAL_MARGIN</t>
        </is>
      </c>
      <c r="E733" s="7" t="inlineStr">
        <is>
          <t>MCX_INITIAL_MARGIN</t>
        </is>
      </c>
      <c r="F733" s="7" t="inlineStr">
        <is>
          <t>BS</t>
        </is>
      </c>
      <c r="G733" s="7" t="inlineStr">
        <is>
          <t>INR</t>
        </is>
      </c>
      <c r="H733" s="11" t="n">
        <v>44701</v>
      </c>
      <c r="I733" s="11" t="n">
        <v>44706</v>
      </c>
      <c r="J733" s="11" t="n">
        <v>44706</v>
      </c>
      <c r="K733" s="11" t="n">
        <v>44706</v>
      </c>
      <c r="L733" s="7" t="inlineStr">
        <is>
          <t>roll following on the LME panel calendar</t>
        </is>
      </c>
      <c r="N733" s="7" t="inlineStr">
        <is>
          <t>PROXY</t>
        </is>
      </c>
      <c r="O733" s="9" t="n">
        <v>390750.89</v>
      </c>
      <c r="P733" s="9" t="n">
        <v>390750.89</v>
      </c>
      <c r="U733" s="7" t="inlineStr">
        <is>
          <t>DERIVED_IN_WORKBOOK</t>
        </is>
      </c>
      <c r="V733" s="8">
        <f>-SUMIFS(Cashflows!$W$1043:$W$1393,Cashflows!$B$1043:$B$1393,$C733,Cashflows!$C$1043:$C$1393,$K733)</f>
        <v/>
      </c>
      <c r="W733" s="8">
        <f>IF($G733="INR",1,INDEX(Market_Daily!$F$6:$F$256,MATCH($K733,Market_Daily!$A$6:$A$256,0)))</f>
        <v/>
      </c>
      <c r="X733" s="8">
        <f>$V733*$W733</f>
        <v/>
      </c>
      <c r="Y733" s="18">
        <f>$X733-$P733</f>
        <v/>
      </c>
      <c r="Z733" s="8">
        <f>IF(ABS($Y733)&lt;=tol_cashflow_inr,"PASS","FAIL")</f>
        <v/>
      </c>
      <c r="AA733" s="7" t="inlineStr">
        <is>
          <t>-d(lots x lot_kg x F(s) x mcx_al_margin_used_frac)</t>
        </is>
      </c>
    </row>
    <row r="734">
      <c r="A734" s="7" t="inlineStr">
        <is>
          <t>T06</t>
        </is>
      </c>
      <c r="B734" s="7" t="inlineStr">
        <is>
          <t>MCX:T06-MCX-2</t>
        </is>
      </c>
      <c r="C734" s="7" t="inlineStr">
        <is>
          <t>T06-MCX-2</t>
        </is>
      </c>
      <c r="D734" s="7" t="inlineStr">
        <is>
          <t>MCX_VARIATION_MARGIN</t>
        </is>
      </c>
      <c r="E734" s="7" t="inlineStr">
        <is>
          <t>MCX_VARIATION_MARGIN</t>
        </is>
      </c>
      <c r="F734" s="7" t="inlineStr">
        <is>
          <t>PNL</t>
        </is>
      </c>
      <c r="G734" s="7" t="inlineStr">
        <is>
          <t>INR</t>
        </is>
      </c>
      <c r="H734" s="11" t="n">
        <v>44701</v>
      </c>
      <c r="I734" s="11" t="n">
        <v>44706</v>
      </c>
      <c r="J734" s="11" t="n">
        <v>44706</v>
      </c>
      <c r="K734" s="11" t="n">
        <v>44706</v>
      </c>
      <c r="L734" s="7" t="inlineStr">
        <is>
          <t>roll following on the LME panel calendar</t>
        </is>
      </c>
      <c r="N734" s="7" t="inlineStr">
        <is>
          <t>PROXY</t>
        </is>
      </c>
      <c r="O734" s="9" t="n">
        <v>3907508.86</v>
      </c>
      <c r="P734" s="9" t="n">
        <v>3907508.86</v>
      </c>
      <c r="U734" s="7" t="inlineStr">
        <is>
          <t>DERIVED_IN_WORKBOOK</t>
        </is>
      </c>
      <c r="V734" s="8">
        <f>SUMIFS(Cashflows!$R$1043:$R$1393,Cashflows!$B$1043:$B$1393,$C734,Cashflows!$C$1043:$C$1393,$K734)</f>
        <v/>
      </c>
      <c r="W734" s="8">
        <f>IF($G734="INR",1,INDEX(Market_Daily!$F$6:$F$256,MATCH($K734,Market_Daily!$A$6:$A$256,0)))</f>
        <v/>
      </c>
      <c r="X734" s="8">
        <f>$V734*$W734</f>
        <v/>
      </c>
      <c r="Y734" s="18">
        <f>$X734-$P734</f>
        <v/>
      </c>
      <c r="Z734" s="8">
        <f>IF(ABS($Y734)&lt;=tol_cashflow_inr,"PASS","FAIL")</f>
        <v/>
      </c>
      <c r="AA734" s="7" t="inlineStr">
        <is>
          <t>direction x lots x lot_kg x (F(s) - F(s-1))</t>
        </is>
      </c>
    </row>
    <row r="735">
      <c r="A735" s="7" t="inlineStr">
        <is>
          <t>T06</t>
        </is>
      </c>
      <c r="B735" s="7" t="inlineStr">
        <is>
          <t>PSIC:L1</t>
        </is>
      </c>
      <c r="C735" s="7" t="inlineStr">
        <is>
          <t>L1</t>
        </is>
      </c>
      <c r="D735" s="7" t="inlineStr">
        <is>
          <t>PSIC</t>
        </is>
      </c>
      <c r="E735" s="7" t="inlineStr">
        <is>
          <t>PSIC</t>
        </is>
      </c>
      <c r="F735" s="7" t="inlineStr">
        <is>
          <t>PNL</t>
        </is>
      </c>
      <c r="G735" s="7" t="inlineStr">
        <is>
          <t>USD</t>
        </is>
      </c>
      <c r="H735" s="11" t="n">
        <v>44691</v>
      </c>
      <c r="I735" s="11" t="n">
        <v>44706</v>
      </c>
      <c r="J735" s="11" t="n">
        <v>44706</v>
      </c>
      <c r="K735" s="11" t="n">
        <v>44706</v>
      </c>
      <c r="L735" s="7" t="inlineStr">
        <is>
          <t>roll following on the LME panel calendar</t>
        </is>
      </c>
      <c r="N735" s="7" t="inlineStr">
        <is>
          <t>ASSUMPTION</t>
        </is>
      </c>
      <c r="O735" s="9" t="n">
        <v>-1000</v>
      </c>
      <c r="P735" s="9" t="n">
        <v>-77577.5</v>
      </c>
      <c r="U735" s="7" t="inlineStr">
        <is>
          <t>PYTHON_LIFECYCLE</t>
        </is>
      </c>
      <c r="V735" s="8">
        <f>$O735</f>
        <v/>
      </c>
      <c r="W735" s="8">
        <f>IF($G735="INR",1,INDEX(Market_Daily!$F$6:$F$256,MATCH($K735,Market_Daily!$A$6:$A$256,0)))</f>
        <v/>
      </c>
      <c r="X735" s="8">
        <f>$V735*$W735</f>
        <v/>
      </c>
      <c r="Y735" s="18">
        <f>$X735-$P735</f>
        <v/>
      </c>
      <c r="Z735" s="8">
        <f>IF(ABS($Y735)&lt;=tol_cashflow_inr,"PASS","FAIL")</f>
        <v/>
      </c>
      <c r="AA735" s="7" t="inlineStr">
        <is>
          <t>-psic_cost_usd_per_box x boxes</t>
        </is>
      </c>
    </row>
    <row r="736">
      <c r="A736" s="7" t="inlineStr">
        <is>
          <t>T06</t>
        </is>
      </c>
      <c r="B736" s="7" t="inlineStr">
        <is>
          <t>MCX:T06-MCX-2</t>
        </is>
      </c>
      <c r="C736" s="7" t="inlineStr">
        <is>
          <t>T06-MCX-2</t>
        </is>
      </c>
      <c r="D736" s="7" t="inlineStr">
        <is>
          <t>MCX_INITIAL_MARGIN</t>
        </is>
      </c>
      <c r="E736" s="7" t="inlineStr">
        <is>
          <t>MCX_INITIAL_MARGIN</t>
        </is>
      </c>
      <c r="F736" s="7" t="inlineStr">
        <is>
          <t>BS</t>
        </is>
      </c>
      <c r="G736" s="7" t="inlineStr">
        <is>
          <t>INR</t>
        </is>
      </c>
      <c r="H736" s="11" t="n">
        <v>44701</v>
      </c>
      <c r="I736" s="11" t="n">
        <v>44707</v>
      </c>
      <c r="J736" s="11" t="n">
        <v>44707</v>
      </c>
      <c r="K736" s="11" t="n">
        <v>44707</v>
      </c>
      <c r="L736" s="7" t="inlineStr">
        <is>
          <t>roll following on the LME panel calendar</t>
        </is>
      </c>
      <c r="N736" s="7" t="inlineStr">
        <is>
          <t>PROXY</t>
        </is>
      </c>
      <c r="O736" s="9" t="n">
        <v>26890.78</v>
      </c>
      <c r="P736" s="9" t="n">
        <v>26890.78</v>
      </c>
      <c r="U736" s="7" t="inlineStr">
        <is>
          <t>DERIVED_IN_WORKBOOK</t>
        </is>
      </c>
      <c r="V736" s="8">
        <f>-SUMIFS(Cashflows!$W$1043:$W$1393,Cashflows!$B$1043:$B$1393,$C736,Cashflows!$C$1043:$C$1393,$K736)</f>
        <v/>
      </c>
      <c r="W736" s="8">
        <f>IF($G736="INR",1,INDEX(Market_Daily!$F$6:$F$256,MATCH($K736,Market_Daily!$A$6:$A$256,0)))</f>
        <v/>
      </c>
      <c r="X736" s="8">
        <f>$V736*$W736</f>
        <v/>
      </c>
      <c r="Y736" s="18">
        <f>$X736-$P736</f>
        <v/>
      </c>
      <c r="Z736" s="8">
        <f>IF(ABS($Y736)&lt;=tol_cashflow_inr,"PASS","FAIL")</f>
        <v/>
      </c>
      <c r="AA736" s="7" t="inlineStr">
        <is>
          <t>-d(lots x lot_kg x F(s) x mcx_al_margin_used_frac)</t>
        </is>
      </c>
    </row>
    <row r="737">
      <c r="A737" s="7" t="inlineStr">
        <is>
          <t>T06</t>
        </is>
      </c>
      <c r="B737" s="7" t="inlineStr">
        <is>
          <t>MCX:T06-MCX-2</t>
        </is>
      </c>
      <c r="C737" s="7" t="inlineStr">
        <is>
          <t>T06-MCX-2</t>
        </is>
      </c>
      <c r="D737" s="7" t="inlineStr">
        <is>
          <t>MCX_VARIATION_MARGIN</t>
        </is>
      </c>
      <c r="E737" s="7" t="inlineStr">
        <is>
          <t>MCX_VARIATION_MARGIN</t>
        </is>
      </c>
      <c r="F737" s="7" t="inlineStr">
        <is>
          <t>PNL</t>
        </is>
      </c>
      <c r="G737" s="7" t="inlineStr">
        <is>
          <t>INR</t>
        </is>
      </c>
      <c r="H737" s="11" t="n">
        <v>44701</v>
      </c>
      <c r="I737" s="11" t="n">
        <v>44707</v>
      </c>
      <c r="J737" s="11" t="n">
        <v>44707</v>
      </c>
      <c r="K737" s="11" t="n">
        <v>44707</v>
      </c>
      <c r="L737" s="7" t="inlineStr">
        <is>
          <t>roll following on the LME panel calendar</t>
        </is>
      </c>
      <c r="N737" s="7" t="inlineStr">
        <is>
          <t>PROXY</t>
        </is>
      </c>
      <c r="O737" s="9" t="n">
        <v>268907.76</v>
      </c>
      <c r="P737" s="9" t="n">
        <v>268907.76</v>
      </c>
      <c r="U737" s="7" t="inlineStr">
        <is>
          <t>DERIVED_IN_WORKBOOK</t>
        </is>
      </c>
      <c r="V737" s="8">
        <f>SUMIFS(Cashflows!$R$1043:$R$1393,Cashflows!$B$1043:$B$1393,$C737,Cashflows!$C$1043:$C$1393,$K737)</f>
        <v/>
      </c>
      <c r="W737" s="8">
        <f>IF($G737="INR",1,INDEX(Market_Daily!$F$6:$F$256,MATCH($K737,Market_Daily!$A$6:$A$256,0)))</f>
        <v/>
      </c>
      <c r="X737" s="8">
        <f>$V737*$W737</f>
        <v/>
      </c>
      <c r="Y737" s="18">
        <f>$X737-$P737</f>
        <v/>
      </c>
      <c r="Z737" s="8">
        <f>IF(ABS($Y737)&lt;=tol_cashflow_inr,"PASS","FAIL")</f>
        <v/>
      </c>
      <c r="AA737" s="7" t="inlineStr">
        <is>
          <t>direction x lots x lot_kg x (F(s) - F(s-1))</t>
        </is>
      </c>
    </row>
    <row r="738">
      <c r="A738" s="7" t="inlineStr">
        <is>
          <t>T06</t>
        </is>
      </c>
      <c r="B738" s="7" t="inlineStr">
        <is>
          <t>MCX:T06-MCX-2</t>
        </is>
      </c>
      <c r="C738" s="7" t="inlineStr">
        <is>
          <t>T06-MCX-2</t>
        </is>
      </c>
      <c r="D738" s="7" t="inlineStr">
        <is>
          <t>MCX_INITIAL_MARGIN</t>
        </is>
      </c>
      <c r="E738" s="7" t="inlineStr">
        <is>
          <t>MCX_INITIAL_MARGIN</t>
        </is>
      </c>
      <c r="F738" s="7" t="inlineStr">
        <is>
          <t>BS</t>
        </is>
      </c>
      <c r="G738" s="7" t="inlineStr">
        <is>
          <t>INR</t>
        </is>
      </c>
      <c r="H738" s="11" t="n">
        <v>44701</v>
      </c>
      <c r="I738" s="11" t="n">
        <v>44708</v>
      </c>
      <c r="J738" s="11" t="n">
        <v>44708</v>
      </c>
      <c r="K738" s="11" t="n">
        <v>44708</v>
      </c>
      <c r="L738" s="7" t="inlineStr">
        <is>
          <t>roll following on the LME panel calendar</t>
        </is>
      </c>
      <c r="N738" s="7" t="inlineStr">
        <is>
          <t>PROXY</t>
        </is>
      </c>
      <c r="O738" s="9" t="n">
        <v>23539.38</v>
      </c>
      <c r="P738" s="9" t="n">
        <v>23539.38</v>
      </c>
      <c r="U738" s="7" t="inlineStr">
        <is>
          <t>DERIVED_IN_WORKBOOK</t>
        </is>
      </c>
      <c r="V738" s="8">
        <f>-SUMIFS(Cashflows!$W$1043:$W$1393,Cashflows!$B$1043:$B$1393,$C738,Cashflows!$C$1043:$C$1393,$K738)</f>
        <v/>
      </c>
      <c r="W738" s="8">
        <f>IF($G738="INR",1,INDEX(Market_Daily!$F$6:$F$256,MATCH($K738,Market_Daily!$A$6:$A$256,0)))</f>
        <v/>
      </c>
      <c r="X738" s="8">
        <f>$V738*$W738</f>
        <v/>
      </c>
      <c r="Y738" s="18">
        <f>$X738-$P738</f>
        <v/>
      </c>
      <c r="Z738" s="8">
        <f>IF(ABS($Y738)&lt;=tol_cashflow_inr,"PASS","FAIL")</f>
        <v/>
      </c>
      <c r="AA738" s="7" t="inlineStr">
        <is>
          <t>-d(lots x lot_kg x F(s) x mcx_al_margin_used_frac)</t>
        </is>
      </c>
    </row>
    <row r="739">
      <c r="A739" s="7" t="inlineStr">
        <is>
          <t>T06</t>
        </is>
      </c>
      <c r="B739" s="7" t="inlineStr">
        <is>
          <t>MCX:T06-MCX-2</t>
        </is>
      </c>
      <c r="C739" s="7" t="inlineStr">
        <is>
          <t>T06-MCX-2</t>
        </is>
      </c>
      <c r="D739" s="7" t="inlineStr">
        <is>
          <t>MCX_VARIATION_MARGIN</t>
        </is>
      </c>
      <c r="E739" s="7" t="inlineStr">
        <is>
          <t>MCX_VARIATION_MARGIN</t>
        </is>
      </c>
      <c r="F739" s="7" t="inlineStr">
        <is>
          <t>PNL</t>
        </is>
      </c>
      <c r="G739" s="7" t="inlineStr">
        <is>
          <t>INR</t>
        </is>
      </c>
      <c r="H739" s="11" t="n">
        <v>44701</v>
      </c>
      <c r="I739" s="11" t="n">
        <v>44708</v>
      </c>
      <c r="J739" s="11" t="n">
        <v>44708</v>
      </c>
      <c r="K739" s="11" t="n">
        <v>44708</v>
      </c>
      <c r="L739" s="7" t="inlineStr">
        <is>
          <t>roll following on the LME panel calendar</t>
        </is>
      </c>
      <c r="N739" s="7" t="inlineStr">
        <is>
          <t>PROXY</t>
        </is>
      </c>
      <c r="O739" s="9" t="n">
        <v>235393.79</v>
      </c>
      <c r="P739" s="9" t="n">
        <v>235393.79</v>
      </c>
      <c r="U739" s="7" t="inlineStr">
        <is>
          <t>DERIVED_IN_WORKBOOK</t>
        </is>
      </c>
      <c r="V739" s="8">
        <f>SUMIFS(Cashflows!$R$1043:$R$1393,Cashflows!$B$1043:$B$1393,$C739,Cashflows!$C$1043:$C$1393,$K739)</f>
        <v/>
      </c>
      <c r="W739" s="8">
        <f>IF($G739="INR",1,INDEX(Market_Daily!$F$6:$F$256,MATCH($K739,Market_Daily!$A$6:$A$256,0)))</f>
        <v/>
      </c>
      <c r="X739" s="8">
        <f>$V739*$W739</f>
        <v/>
      </c>
      <c r="Y739" s="18">
        <f>$X739-$P739</f>
        <v/>
      </c>
      <c r="Z739" s="8">
        <f>IF(ABS($Y739)&lt;=tol_cashflow_inr,"PASS","FAIL")</f>
        <v/>
      </c>
      <c r="AA739" s="7" t="inlineStr">
        <is>
          <t>direction x lots x lot_kg x (F(s) - F(s-1))</t>
        </is>
      </c>
    </row>
    <row r="740">
      <c r="A740" s="7" t="inlineStr">
        <is>
          <t>T06</t>
        </is>
      </c>
      <c r="B740" s="7" t="inlineStr">
        <is>
          <t>MCX:T06-MCX-2</t>
        </is>
      </c>
      <c r="C740" s="7" t="inlineStr">
        <is>
          <t>T06-MCX-2</t>
        </is>
      </c>
      <c r="D740" s="7" t="inlineStr">
        <is>
          <t>MCX_INITIAL_MARGIN</t>
        </is>
      </c>
      <c r="E740" s="7" t="inlineStr">
        <is>
          <t>MCX_INITIAL_MARGIN</t>
        </is>
      </c>
      <c r="F740" s="7" t="inlineStr">
        <is>
          <t>BS</t>
        </is>
      </c>
      <c r="G740" s="7" t="inlineStr">
        <is>
          <t>INR</t>
        </is>
      </c>
      <c r="H740" s="11" t="n">
        <v>44701</v>
      </c>
      <c r="I740" s="11" t="n">
        <v>44711</v>
      </c>
      <c r="J740" s="11" t="n">
        <v>44711</v>
      </c>
      <c r="K740" s="11" t="n">
        <v>44711</v>
      </c>
      <c r="L740" s="7" t="inlineStr">
        <is>
          <t>roll following on the LME panel calendar</t>
        </is>
      </c>
      <c r="N740" s="7" t="inlineStr">
        <is>
          <t>PROXY</t>
        </is>
      </c>
      <c r="O740" s="9" t="n">
        <v>-277955.33</v>
      </c>
      <c r="P740" s="9" t="n">
        <v>-277955.33</v>
      </c>
      <c r="U740" s="7" t="inlineStr">
        <is>
          <t>DERIVED_IN_WORKBOOK</t>
        </is>
      </c>
      <c r="V740" s="8">
        <f>-SUMIFS(Cashflows!$W$1043:$W$1393,Cashflows!$B$1043:$B$1393,$C740,Cashflows!$C$1043:$C$1393,$K740)</f>
        <v/>
      </c>
      <c r="W740" s="8">
        <f>IF($G740="INR",1,INDEX(Market_Daily!$F$6:$F$256,MATCH($K740,Market_Daily!$A$6:$A$256,0)))</f>
        <v/>
      </c>
      <c r="X740" s="8">
        <f>$V740*$W740</f>
        <v/>
      </c>
      <c r="Y740" s="18">
        <f>$X740-$P740</f>
        <v/>
      </c>
      <c r="Z740" s="8">
        <f>IF(ABS($Y740)&lt;=tol_cashflow_inr,"PASS","FAIL")</f>
        <v/>
      </c>
      <c r="AA740" s="7" t="inlineStr">
        <is>
          <t>-d(lots x lot_kg x F(s) x mcx_al_margin_used_frac)</t>
        </is>
      </c>
    </row>
    <row r="741">
      <c r="A741" s="7" t="inlineStr">
        <is>
          <t>T06</t>
        </is>
      </c>
      <c r="B741" s="7" t="inlineStr">
        <is>
          <t>MCX:T06-MCX-2</t>
        </is>
      </c>
      <c r="C741" s="7" t="inlineStr">
        <is>
          <t>T06-MCX-2</t>
        </is>
      </c>
      <c r="D741" s="7" t="inlineStr">
        <is>
          <t>MCX_VARIATION_MARGIN</t>
        </is>
      </c>
      <c r="E741" s="7" t="inlineStr">
        <is>
          <t>MCX_VARIATION_MARGIN</t>
        </is>
      </c>
      <c r="F741" s="7" t="inlineStr">
        <is>
          <t>PNL</t>
        </is>
      </c>
      <c r="G741" s="7" t="inlineStr">
        <is>
          <t>INR</t>
        </is>
      </c>
      <c r="H741" s="11" t="n">
        <v>44701</v>
      </c>
      <c r="I741" s="11" t="n">
        <v>44711</v>
      </c>
      <c r="J741" s="11" t="n">
        <v>44711</v>
      </c>
      <c r="K741" s="11" t="n">
        <v>44711</v>
      </c>
      <c r="L741" s="7" t="inlineStr">
        <is>
          <t>roll following on the LME panel calendar</t>
        </is>
      </c>
      <c r="N741" s="7" t="inlineStr">
        <is>
          <t>PROXY</t>
        </is>
      </c>
      <c r="O741" s="9" t="n">
        <v>-2779553.27</v>
      </c>
      <c r="P741" s="9" t="n">
        <v>-2779553.27</v>
      </c>
      <c r="U741" s="7" t="inlineStr">
        <is>
          <t>DERIVED_IN_WORKBOOK</t>
        </is>
      </c>
      <c r="V741" s="8">
        <f>SUMIFS(Cashflows!$R$1043:$R$1393,Cashflows!$B$1043:$B$1393,$C741,Cashflows!$C$1043:$C$1393,$K741)</f>
        <v/>
      </c>
      <c r="W741" s="8">
        <f>IF($G741="INR",1,INDEX(Market_Daily!$F$6:$F$256,MATCH($K741,Market_Daily!$A$6:$A$256,0)))</f>
        <v/>
      </c>
      <c r="X741" s="8">
        <f>$V741*$W741</f>
        <v/>
      </c>
      <c r="Y741" s="18">
        <f>$X741-$P741</f>
        <v/>
      </c>
      <c r="Z741" s="8">
        <f>IF(ABS($Y741)&lt;=tol_cashflow_inr,"PASS","FAIL")</f>
        <v/>
      </c>
      <c r="AA741" s="7" t="inlineStr">
        <is>
          <t>direction x lots x lot_kg x (F(s) - F(s-1))</t>
        </is>
      </c>
    </row>
    <row r="742">
      <c r="A742" s="7" t="inlineStr">
        <is>
          <t>T06</t>
        </is>
      </c>
      <c r="B742" s="7" t="inlineStr">
        <is>
          <t>DUTY:L1</t>
        </is>
      </c>
      <c r="C742" s="7" t="inlineStr">
        <is>
          <t>L1</t>
        </is>
      </c>
      <c r="D742" s="7" t="inlineStr">
        <is>
          <t>CUSTOMS_DUTY</t>
        </is>
      </c>
      <c r="E742" s="7" t="inlineStr">
        <is>
          <t>CUSTOMS_DUTY</t>
        </is>
      </c>
      <c r="F742" s="7" t="inlineStr">
        <is>
          <t>PNL</t>
        </is>
      </c>
      <c r="G742" s="7" t="inlineStr">
        <is>
          <t>INR</t>
        </is>
      </c>
      <c r="H742" s="11" t="n">
        <v>44691</v>
      </c>
      <c r="I742" s="11" t="n">
        <v>44712</v>
      </c>
      <c r="J742" s="11" t="n">
        <v>44712</v>
      </c>
      <c r="K742" s="11" t="n">
        <v>44712</v>
      </c>
      <c r="L742" s="7" t="inlineStr">
        <is>
          <t>roll following on the LME panel calendar</t>
        </is>
      </c>
      <c r="N742" s="7" t="inlineStr">
        <is>
          <t>DIRECT</t>
        </is>
      </c>
      <c r="O742" s="9" t="n">
        <v>-3007140.77</v>
      </c>
      <c r="P742" s="9" t="n">
        <v>-3007140.77</v>
      </c>
      <c r="U742" s="7" t="inlineStr">
        <is>
          <t>PYTHON_LIFECYCLE</t>
        </is>
      </c>
      <c r="V742" s="8">
        <f>$O742</f>
        <v/>
      </c>
      <c r="W742" s="8">
        <f>IF($G742="INR",1,INDEX(Market_Daily!$F$6:$F$256,MATCH($K742,Market_Daily!$A$6:$A$256,0)))</f>
        <v/>
      </c>
      <c r="X742" s="8">
        <f>$V742*$W742</f>
        <v/>
      </c>
      <c r="Y742" s="18">
        <f>$X742-$P742</f>
        <v/>
      </c>
      <c r="Z742" s="8">
        <f>IF(ABS($Y742)&lt;=tol_cashflow_inr,"PASS","FAIL")</f>
        <v/>
      </c>
      <c r="AA742" s="7" t="inlineStr">
        <is>
          <t>-assessable_inr x bcd_scrap_hs7602 x (1 + sws_rate_on_bcd)</t>
        </is>
      </c>
    </row>
    <row r="743">
      <c r="A743" s="7" t="inlineStr">
        <is>
          <t>T06</t>
        </is>
      </c>
      <c r="B743" s="7" t="inlineStr">
        <is>
          <t>IGST:L1</t>
        </is>
      </c>
      <c r="C743" s="7" t="inlineStr">
        <is>
          <t>L1</t>
        </is>
      </c>
      <c r="D743" s="7" t="inlineStr">
        <is>
          <t>IGST_IMPORT</t>
        </is>
      </c>
      <c r="E743" s="7" t="inlineStr">
        <is>
          <t>IGST_IMPORT</t>
        </is>
      </c>
      <c r="F743" s="7" t="inlineStr">
        <is>
          <t>BS</t>
        </is>
      </c>
      <c r="G743" s="7" t="inlineStr">
        <is>
          <t>INR</t>
        </is>
      </c>
      <c r="H743" s="11" t="n">
        <v>44691</v>
      </c>
      <c r="I743" s="11" t="n">
        <v>44712</v>
      </c>
      <c r="J743" s="11" t="n">
        <v>44712</v>
      </c>
      <c r="K743" s="11" t="n">
        <v>44712</v>
      </c>
      <c r="L743" s="7" t="inlineStr">
        <is>
          <t>roll following on the LME panel calendar</t>
        </is>
      </c>
      <c r="N743" s="7" t="inlineStr">
        <is>
          <t>DIRECT</t>
        </is>
      </c>
      <c r="O743" s="9" t="n">
        <v>-20224388.56</v>
      </c>
      <c r="P743" s="9" t="n">
        <v>-20224388.56</v>
      </c>
      <c r="U743" s="7" t="inlineStr">
        <is>
          <t>PYTHON_LIFECYCLE</t>
        </is>
      </c>
      <c r="V743" s="8">
        <f>$O743</f>
        <v/>
      </c>
      <c r="W743" s="8">
        <f>IF($G743="INR",1,INDEX(Market_Daily!$F$6:$F$256,MATCH($K743,Market_Daily!$A$6:$A$256,0)))</f>
        <v/>
      </c>
      <c r="X743" s="8">
        <f>$V743*$W743</f>
        <v/>
      </c>
      <c r="Y743" s="18">
        <f>$X743-$P743</f>
        <v/>
      </c>
      <c r="Z743" s="8">
        <f>IF(ABS($Y743)&lt;=tol_cashflow_inr,"PASS","FAIL")</f>
        <v/>
      </c>
      <c r="AA743" s="7" t="inlineStr">
        <is>
          <t>-(assessable + duty) x igst_rate_hs7602</t>
        </is>
      </c>
    </row>
    <row r="744">
      <c r="A744" s="7" t="inlineStr">
        <is>
          <t>T06</t>
        </is>
      </c>
      <c r="B744" s="7" t="inlineStr">
        <is>
          <t>MCX:T06-MCX-2</t>
        </is>
      </c>
      <c r="C744" s="7" t="inlineStr">
        <is>
          <t>T06-MCX-2</t>
        </is>
      </c>
      <c r="D744" s="7" t="inlineStr">
        <is>
          <t>MCX_INITIAL_MARGIN</t>
        </is>
      </c>
      <c r="E744" s="7" t="inlineStr">
        <is>
          <t>MCX_INITIAL_MARGIN</t>
        </is>
      </c>
      <c r="F744" s="7" t="inlineStr">
        <is>
          <t>BS</t>
        </is>
      </c>
      <c r="G744" s="7" t="inlineStr">
        <is>
          <t>INR</t>
        </is>
      </c>
      <c r="H744" s="11" t="n">
        <v>44701</v>
      </c>
      <c r="I744" s="11" t="n">
        <v>44712</v>
      </c>
      <c r="J744" s="11" t="n">
        <v>44712</v>
      </c>
      <c r="K744" s="11" t="n">
        <v>44712</v>
      </c>
      <c r="L744" s="7" t="inlineStr">
        <is>
          <t>roll following on the LME panel calendar</t>
        </is>
      </c>
      <c r="N744" s="7" t="inlineStr">
        <is>
          <t>PROXY</t>
        </is>
      </c>
      <c r="O744" s="9" t="n">
        <v>309510.4</v>
      </c>
      <c r="P744" s="9" t="n">
        <v>309510.4</v>
      </c>
      <c r="U744" s="7" t="inlineStr">
        <is>
          <t>DERIVED_IN_WORKBOOK</t>
        </is>
      </c>
      <c r="V744" s="8">
        <f>-SUMIFS(Cashflows!$W$1043:$W$1393,Cashflows!$B$1043:$B$1393,$C744,Cashflows!$C$1043:$C$1393,$K744)</f>
        <v/>
      </c>
      <c r="W744" s="8">
        <f>IF($G744="INR",1,INDEX(Market_Daily!$F$6:$F$256,MATCH($K744,Market_Daily!$A$6:$A$256,0)))</f>
        <v/>
      </c>
      <c r="X744" s="8">
        <f>$V744*$W744</f>
        <v/>
      </c>
      <c r="Y744" s="18">
        <f>$X744-$P744</f>
        <v/>
      </c>
      <c r="Z744" s="8">
        <f>IF(ABS($Y744)&lt;=tol_cashflow_inr,"PASS","FAIL")</f>
        <v/>
      </c>
      <c r="AA744" s="7" t="inlineStr">
        <is>
          <t>-d(lots x lot_kg x F(s) x mcx_al_margin_used_frac)</t>
        </is>
      </c>
    </row>
    <row r="745">
      <c r="A745" s="7" t="inlineStr">
        <is>
          <t>T06</t>
        </is>
      </c>
      <c r="B745" s="7" t="inlineStr">
        <is>
          <t>MCX:T06-MCX-2</t>
        </is>
      </c>
      <c r="C745" s="7" t="inlineStr">
        <is>
          <t>T06-MCX-2</t>
        </is>
      </c>
      <c r="D745" s="7" t="inlineStr">
        <is>
          <t>MCX_VARIATION_MARGIN</t>
        </is>
      </c>
      <c r="E745" s="7" t="inlineStr">
        <is>
          <t>MCX_VARIATION_MARGIN</t>
        </is>
      </c>
      <c r="F745" s="7" t="inlineStr">
        <is>
          <t>PNL</t>
        </is>
      </c>
      <c r="G745" s="7" t="inlineStr">
        <is>
          <t>INR</t>
        </is>
      </c>
      <c r="H745" s="11" t="n">
        <v>44701</v>
      </c>
      <c r="I745" s="11" t="n">
        <v>44712</v>
      </c>
      <c r="J745" s="11" t="n">
        <v>44712</v>
      </c>
      <c r="K745" s="11" t="n">
        <v>44712</v>
      </c>
      <c r="L745" s="7" t="inlineStr">
        <is>
          <t>roll following on the LME panel calendar</t>
        </is>
      </c>
      <c r="N745" s="7" t="inlineStr">
        <is>
          <t>PROXY</t>
        </is>
      </c>
      <c r="O745" s="9" t="n">
        <v>3095103.95</v>
      </c>
      <c r="P745" s="9" t="n">
        <v>3095103.95</v>
      </c>
      <c r="U745" s="7" t="inlineStr">
        <is>
          <t>DERIVED_IN_WORKBOOK</t>
        </is>
      </c>
      <c r="V745" s="8">
        <f>SUMIFS(Cashflows!$R$1043:$R$1393,Cashflows!$B$1043:$B$1393,$C745,Cashflows!$C$1043:$C$1393,$K745)</f>
        <v/>
      </c>
      <c r="W745" s="8">
        <f>IF($G745="INR",1,INDEX(Market_Daily!$F$6:$F$256,MATCH($K745,Market_Daily!$A$6:$A$256,0)))</f>
        <v/>
      </c>
      <c r="X745" s="8">
        <f>$V745*$W745</f>
        <v/>
      </c>
      <c r="Y745" s="18">
        <f>$X745-$P745</f>
        <v/>
      </c>
      <c r="Z745" s="8">
        <f>IF(ABS($Y745)&lt;=tol_cashflow_inr,"PASS","FAIL")</f>
        <v/>
      </c>
      <c r="AA745" s="7" t="inlineStr">
        <is>
          <t>direction x lots x lot_kg x (F(s) - F(s-1))</t>
        </is>
      </c>
    </row>
    <row r="746">
      <c r="A746" s="7" t="inlineStr">
        <is>
          <t>T06</t>
        </is>
      </c>
      <c r="B746" s="7" t="inlineStr">
        <is>
          <t>BILL_COMMISSION:L1</t>
        </is>
      </c>
      <c r="C746" s="7" t="inlineStr">
        <is>
          <t>L1</t>
        </is>
      </c>
      <c r="D746" s="7" t="inlineStr">
        <is>
          <t>IMPORT_BILL_COMMISSION</t>
        </is>
      </c>
      <c r="E746" s="7" t="inlineStr">
        <is>
          <t>IMPORT_BILL_COMMISSION</t>
        </is>
      </c>
      <c r="F746" s="7" t="inlineStr">
        <is>
          <t>PNL</t>
        </is>
      </c>
      <c r="G746" s="7" t="inlineStr">
        <is>
          <t>USD</t>
        </is>
      </c>
      <c r="H746" s="11" t="n">
        <v>44691</v>
      </c>
      <c r="I746" s="11" t="n">
        <v>44713</v>
      </c>
      <c r="J746" s="11" t="n">
        <v>44713</v>
      </c>
      <c r="K746" s="11" t="n">
        <v>44713</v>
      </c>
      <c r="L746" s="7" t="inlineStr">
        <is>
          <t>roll following on the LME panel calendar</t>
        </is>
      </c>
      <c r="N746" s="7" t="inlineStr">
        <is>
          <t>DIRECT</t>
        </is>
      </c>
      <c r="O746" s="9" t="n">
        <v>-1667.64</v>
      </c>
      <c r="P746" s="9" t="n">
        <v>-129293.46</v>
      </c>
      <c r="U746" s="7" t="inlineStr">
        <is>
          <t>PYTHON_LIFECYCLE</t>
        </is>
      </c>
      <c r="V746" s="8">
        <f>$O746</f>
        <v/>
      </c>
      <c r="W746" s="8">
        <f>IF($G746="INR",1,INDEX(Market_Daily!$F$6:$F$256,MATCH($K746,Market_Daily!$A$6:$A$256,0)))</f>
        <v/>
      </c>
      <c r="X746" s="8">
        <f>$V746*$W746</f>
        <v/>
      </c>
      <c r="Y746" s="18">
        <f>$X746-$P746</f>
        <v/>
      </c>
      <c r="Z746" s="8">
        <f>IF(ABS($Y746)&lt;=tol_cashflow_inr,"PASS","FAIL")</f>
        <v/>
      </c>
      <c r="AA746" s="7" t="inlineStr">
        <is>
          <t>-import_bill_commission_frac x bill_usd</t>
        </is>
      </c>
    </row>
    <row r="747">
      <c r="A747" s="7" t="inlineStr">
        <is>
          <t>T06</t>
        </is>
      </c>
      <c r="B747" s="7" t="inlineStr">
        <is>
          <t>FX:T06-FX-1</t>
        </is>
      </c>
      <c r="C747" s="7" t="inlineStr">
        <is>
          <t>T06-FX-1</t>
        </is>
      </c>
      <c r="D747" s="7" t="inlineStr">
        <is>
          <t>FX_FORWARD</t>
        </is>
      </c>
      <c r="E747" s="7" t="inlineStr">
        <is>
          <t>FX_FORWARD</t>
        </is>
      </c>
      <c r="F747" s="7" t="inlineStr">
        <is>
          <t>PNL</t>
        </is>
      </c>
      <c r="G747" s="7" t="inlineStr">
        <is>
          <t>INR</t>
        </is>
      </c>
      <c r="H747" s="11" t="n">
        <v>44706</v>
      </c>
      <c r="I747" s="11" t="n">
        <v>44713</v>
      </c>
      <c r="J747" s="11" t="n">
        <v>44713</v>
      </c>
      <c r="K747" s="11" t="n">
        <v>44713</v>
      </c>
      <c r="L747" s="7" t="inlineStr">
        <is>
          <t>roll following on the LME panel calendar</t>
        </is>
      </c>
      <c r="N747" s="7" t="inlineStr">
        <is>
          <t>PROXY</t>
        </is>
      </c>
      <c r="O747" s="9" t="n">
        <v>-167765.95</v>
      </c>
      <c r="P747" s="9" t="n">
        <v>-167765.95</v>
      </c>
      <c r="Q747" s="6" t="n">
        <v>1</v>
      </c>
      <c r="R747" s="13" t="n">
        <v>833800</v>
      </c>
      <c r="S747" s="12" t="n">
        <v>44713</v>
      </c>
      <c r="T747" s="21" t="n">
        <v>77.732006</v>
      </c>
      <c r="U747" s="7" t="inlineStr">
        <is>
          <t>DERIVED_IN_WORKBOOK</t>
        </is>
      </c>
      <c r="V747" s="8">
        <f>$Q747*$R747*(IF($S747&lt;$K747,INDEX(Market_Daily!$F$6:$F$256,MATCH($S747,Market_Daily!$A$6:$A$256,1)),IF($S747=$K747,INDEX(Market_Daily!$F$6:$F$256,MATCH($K747,Market_Daily!$A$6:$A$256,0)),(INDEX(Market_Daily!$F$6:$F$256,MATCH($K747,Market_Daily!$A$6:$A$256,0))*(1+INDEX(Market_Daily!$I$6:$I$256,MATCH($K747,Market_Daily!$A$6:$A$256,0))*($S747-$K747)/day_count_inr)/(1+INDEX(Market_Daily!$J$6:$J$256,MATCH($K747,Market_Daily!$A$6:$A$256,0))*($S747-$K747)/day_count_usd))))-$T747)</f>
        <v/>
      </c>
      <c r="W747" s="8">
        <f>IF($G747="INR",1,INDEX(Market_Daily!$F$6:$F$256,MATCH($K747,Market_Daily!$A$6:$A$256,0)))</f>
        <v/>
      </c>
      <c r="X747" s="8">
        <f>$V747*$W747</f>
        <v/>
      </c>
      <c r="Y747" s="18">
        <f>$X747-$P747</f>
        <v/>
      </c>
      <c r="Z747" s="8">
        <f>IF(ABS($Y747)&lt;=tol_cashflow_inr,"PASS","FAIL")</f>
        <v/>
      </c>
      <c r="AA747" s="7" t="inlineStr">
        <is>
          <t>sign x notional x (X(tau, value_date) - K)</t>
        </is>
      </c>
    </row>
    <row r="748">
      <c r="A748" s="7" t="inlineStr">
        <is>
          <t>T06</t>
        </is>
      </c>
      <c r="B748" s="7" t="inlineStr">
        <is>
          <t>MCX:T06-MCX-2</t>
        </is>
      </c>
      <c r="C748" s="7" t="inlineStr">
        <is>
          <t>T06-MCX-2</t>
        </is>
      </c>
      <c r="D748" s="7" t="inlineStr">
        <is>
          <t>MCX_INITIAL_MARGIN</t>
        </is>
      </c>
      <c r="E748" s="7" t="inlineStr">
        <is>
          <t>MCX_INITIAL_MARGIN</t>
        </is>
      </c>
      <c r="F748" s="7" t="inlineStr">
        <is>
          <t>BS</t>
        </is>
      </c>
      <c r="G748" s="7" t="inlineStr">
        <is>
          <t>INR</t>
        </is>
      </c>
      <c r="H748" s="11" t="n">
        <v>44701</v>
      </c>
      <c r="I748" s="11" t="n">
        <v>44713</v>
      </c>
      <c r="J748" s="11" t="n">
        <v>44713</v>
      </c>
      <c r="K748" s="11" t="n">
        <v>44713</v>
      </c>
      <c r="L748" s="7" t="inlineStr">
        <is>
          <t>roll following on the LME panel calendar</t>
        </is>
      </c>
      <c r="N748" s="7" t="inlineStr">
        <is>
          <t>PROXY</t>
        </is>
      </c>
      <c r="O748" s="9" t="n">
        <v>20925750.74</v>
      </c>
      <c r="P748" s="9" t="n">
        <v>20925750.74</v>
      </c>
      <c r="U748" s="7" t="inlineStr">
        <is>
          <t>DERIVED_IN_WORKBOOK</t>
        </is>
      </c>
      <c r="V748" s="8">
        <f>-SUMIFS(Cashflows!$W$1043:$W$1393,Cashflows!$B$1043:$B$1393,$C748,Cashflows!$C$1043:$C$1393,$K748)</f>
        <v/>
      </c>
      <c r="W748" s="8">
        <f>IF($G748="INR",1,INDEX(Market_Daily!$F$6:$F$256,MATCH($K748,Market_Daily!$A$6:$A$256,0)))</f>
        <v/>
      </c>
      <c r="X748" s="8">
        <f>$V748*$W748</f>
        <v/>
      </c>
      <c r="Y748" s="18">
        <f>$X748-$P748</f>
        <v/>
      </c>
      <c r="Z748" s="8">
        <f>IF(ABS($Y748)&lt;=tol_cashflow_inr,"PASS","FAIL")</f>
        <v/>
      </c>
      <c r="AA748" s="7" t="inlineStr">
        <is>
          <t>-d(lots x lot_kg x F(s) x mcx_al_margin_used_frac)</t>
        </is>
      </c>
    </row>
    <row r="749">
      <c r="A749" s="7" t="inlineStr">
        <is>
          <t>T06</t>
        </is>
      </c>
      <c r="B749" s="7" t="inlineStr">
        <is>
          <t>MCX:T06-MCX-2</t>
        </is>
      </c>
      <c r="C749" s="7" t="inlineStr">
        <is>
          <t>T06-MCX-2</t>
        </is>
      </c>
      <c r="D749" s="7" t="inlineStr">
        <is>
          <t>MCX_SLIPPAGE</t>
        </is>
      </c>
      <c r="E749" s="7" t="inlineStr">
        <is>
          <t>MCX_SLIPPAGE</t>
        </is>
      </c>
      <c r="F749" s="7" t="inlineStr">
        <is>
          <t>PNL</t>
        </is>
      </c>
      <c r="G749" s="7" t="inlineStr">
        <is>
          <t>INR</t>
        </is>
      </c>
      <c r="H749" s="11" t="n">
        <v>44713</v>
      </c>
      <c r="J749" s="11" t="n">
        <v>44713</v>
      </c>
      <c r="K749" s="11" t="n">
        <v>44713</v>
      </c>
      <c r="L749" s="7" t="inlineStr">
        <is>
          <t>roll following on the LME panel calendar</t>
        </is>
      </c>
      <c r="N749" s="7" t="inlineStr">
        <is>
          <t>ASSUMPTION</t>
        </is>
      </c>
      <c r="O749" s="9" t="n">
        <v>-88000</v>
      </c>
      <c r="P749" s="9" t="n">
        <v>-88000</v>
      </c>
      <c r="U749" s="7" t="inlineStr">
        <is>
          <t>DERIVED_IN_WORKBOOK</t>
        </is>
      </c>
      <c r="V749" s="8">
        <f>SUMIFS(Cashflows!$Z$1043:$Z$1393,Cashflows!$B$1043:$B$1393,$C749,Cashflows!$C$1043:$C$1393,$K749)</f>
        <v/>
      </c>
      <c r="W749" s="8">
        <f>IF($G749="INR",1,INDEX(Market_Daily!$F$6:$F$256,MATCH($K749,Market_Daily!$A$6:$A$256,0)))</f>
        <v/>
      </c>
      <c r="X749" s="8">
        <f>$V749*$W749</f>
        <v/>
      </c>
      <c r="Y749" s="18">
        <f>$X749-$P749</f>
        <v/>
      </c>
      <c r="Z749" s="8">
        <f>IF(ABS($Y749)&lt;=tol_cashflow_inr,"PASS","FAIL")</f>
        <v/>
      </c>
      <c r="AA749" s="7" t="inlineStr">
        <is>
          <t>-lots x lot_kg x mcx_slippage_ticks x tick</t>
        </is>
      </c>
    </row>
    <row r="750">
      <c r="A750" s="7" t="inlineStr">
        <is>
          <t>T06</t>
        </is>
      </c>
      <c r="B750" s="7" t="inlineStr">
        <is>
          <t>MCX:T06-MCX-2</t>
        </is>
      </c>
      <c r="C750" s="7" t="inlineStr">
        <is>
          <t>T06-MCX-2</t>
        </is>
      </c>
      <c r="D750" s="7" t="inlineStr">
        <is>
          <t>MCX_TRANSACTION_COST</t>
        </is>
      </c>
      <c r="E750" s="7" t="inlineStr">
        <is>
          <t>MCX_TRANSACTION_COST</t>
        </is>
      </c>
      <c r="F750" s="7" t="inlineStr">
        <is>
          <t>PNL</t>
        </is>
      </c>
      <c r="G750" s="7" t="inlineStr">
        <is>
          <t>INR</t>
        </is>
      </c>
      <c r="H750" s="11" t="n">
        <v>44713</v>
      </c>
      <c r="I750" s="11" t="n">
        <v>44713</v>
      </c>
      <c r="J750" s="11" t="n">
        <v>44713</v>
      </c>
      <c r="K750" s="11" t="n">
        <v>44713</v>
      </c>
      <c r="L750" s="7" t="inlineStr">
        <is>
          <t>roll following on the LME panel calendar</t>
        </is>
      </c>
      <c r="N750" s="7" t="inlineStr">
        <is>
          <t>ASSUMPTION</t>
        </is>
      </c>
      <c r="O750" s="9" t="n">
        <v>-60103.57</v>
      </c>
      <c r="P750" s="9" t="n">
        <v>-60103.57</v>
      </c>
      <c r="U750" s="7" t="inlineStr">
        <is>
          <t>DERIVED_IN_WORKBOOK</t>
        </is>
      </c>
      <c r="V750" s="8">
        <f>SUMIFS(Cashflows!$AA$1043:$AA$1393,Cashflows!$B$1043:$B$1393,$C750,Cashflows!$C$1043:$C$1393,$K750)</f>
        <v/>
      </c>
      <c r="W750" s="8">
        <f>IF($G750="INR",1,INDEX(Market_Daily!$F$6:$F$256,MATCH($K750,Market_Daily!$A$6:$A$256,0)))</f>
        <v/>
      </c>
      <c r="X750" s="8">
        <f>$V750*$W750</f>
        <v/>
      </c>
      <c r="Y750" s="18">
        <f>$X750-$P750</f>
        <v/>
      </c>
      <c r="Z750" s="8">
        <f>IF(ABS($Y750)&lt;=tol_cashflow_inr,"PASS","FAIL")</f>
        <v/>
      </c>
      <c r="AA750" s="7" t="inlineStr">
        <is>
          <t>-lots x lot_kg x fill x mcx_txn_cost_frac</t>
        </is>
      </c>
    </row>
    <row r="751">
      <c r="A751" s="7" t="inlineStr">
        <is>
          <t>T06</t>
        </is>
      </c>
      <c r="B751" s="7" t="inlineStr">
        <is>
          <t>MCX:T06-MCX-2</t>
        </is>
      </c>
      <c r="C751" s="7" t="inlineStr">
        <is>
          <t>T06-MCX-2</t>
        </is>
      </c>
      <c r="D751" s="7" t="inlineStr">
        <is>
          <t>MCX_VARIATION_MARGIN</t>
        </is>
      </c>
      <c r="E751" s="7" t="inlineStr">
        <is>
          <t>MCX_VARIATION_MARGIN</t>
        </is>
      </c>
      <c r="F751" s="7" t="inlineStr">
        <is>
          <t>PNL</t>
        </is>
      </c>
      <c r="G751" s="7" t="inlineStr">
        <is>
          <t>INR</t>
        </is>
      </c>
      <c r="H751" s="11" t="n">
        <v>44701</v>
      </c>
      <c r="I751" s="11" t="n">
        <v>44713</v>
      </c>
      <c r="J751" s="11" t="n">
        <v>44713</v>
      </c>
      <c r="K751" s="11" t="n">
        <v>44713</v>
      </c>
      <c r="L751" s="7" t="inlineStr">
        <is>
          <t>roll following on the LME panel calendar</t>
        </is>
      </c>
      <c r="N751" s="7" t="inlineStr">
        <is>
          <t>PROXY</t>
        </is>
      </c>
      <c r="O751" s="9" t="n">
        <v>9000261.539999999</v>
      </c>
      <c r="P751" s="9" t="n">
        <v>9000261.539999999</v>
      </c>
      <c r="U751" s="7" t="inlineStr">
        <is>
          <t>DERIVED_IN_WORKBOOK</t>
        </is>
      </c>
      <c r="V751" s="8">
        <f>SUMIFS(Cashflows!$R$1043:$R$1393,Cashflows!$B$1043:$B$1393,$C751,Cashflows!$C$1043:$C$1393,$K751)</f>
        <v/>
      </c>
      <c r="W751" s="8">
        <f>IF($G751="INR",1,INDEX(Market_Daily!$F$6:$F$256,MATCH($K751,Market_Daily!$A$6:$A$256,0)))</f>
        <v/>
      </c>
      <c r="X751" s="8">
        <f>$V751*$W751</f>
        <v/>
      </c>
      <c r="Y751" s="18">
        <f>$X751-$P751</f>
        <v/>
      </c>
      <c r="Z751" s="8">
        <f>IF(ABS($Y751)&lt;=tol_cashflow_inr,"PASS","FAIL")</f>
        <v/>
      </c>
      <c r="AA751" s="7" t="inlineStr">
        <is>
          <t>direction x lots x lot_kg x (F(s) - F(s-1))</t>
        </is>
      </c>
    </row>
    <row r="752">
      <c r="A752" s="7" t="inlineStr">
        <is>
          <t>T06</t>
        </is>
      </c>
      <c r="B752" s="7" t="inlineStr">
        <is>
          <t>PURCHASE:L1</t>
        </is>
      </c>
      <c r="C752" s="7" t="inlineStr">
        <is>
          <t>L1</t>
        </is>
      </c>
      <c r="D752" s="7" t="inlineStr">
        <is>
          <t>PURCHASE_INVOICE</t>
        </is>
      </c>
      <c r="E752" s="7" t="inlineStr">
        <is>
          <t>PURCHASE_INVOICE</t>
        </is>
      </c>
      <c r="F752" s="7" t="inlineStr">
        <is>
          <t>PNL</t>
        </is>
      </c>
      <c r="G752" s="7" t="inlineStr">
        <is>
          <t>USD</t>
        </is>
      </c>
      <c r="H752" s="11" t="n">
        <v>44691</v>
      </c>
      <c r="J752" s="11" t="n">
        <v>44713</v>
      </c>
      <c r="K752" s="11" t="n">
        <v>44713</v>
      </c>
      <c r="L752" s="7" t="inlineStr">
        <is>
          <t>roll following on the LME panel calendar</t>
        </is>
      </c>
      <c r="N752" s="7" t="inlineStr">
        <is>
          <t>SIM</t>
        </is>
      </c>
      <c r="O752" s="9" t="n">
        <v>-1389700</v>
      </c>
      <c r="P752" s="9" t="n">
        <v>-107744552.76</v>
      </c>
      <c r="U752" s="7" t="inlineStr">
        <is>
          <t>PYTHON_LIFECYCLE</t>
        </is>
      </c>
      <c r="V752" s="8">
        <f>$O752</f>
        <v/>
      </c>
      <c r="W752" s="8">
        <f>IF($G752="INR",1,INDEX(Market_Daily!$F$6:$F$256,MATCH($K752,Market_Daily!$A$6:$A$256,0)))</f>
        <v/>
      </c>
      <c r="X752" s="8">
        <f>$V752*$W752</f>
        <v/>
      </c>
      <c r="Y752" s="18">
        <f>$X752-$P752</f>
        <v/>
      </c>
      <c r="Z752" s="8">
        <f>IF(ABS($Y752)&lt;=tol_cashflow_inr,"PASS","FAIL")</f>
        <v/>
      </c>
      <c r="AA752" s="7" t="inlineStr">
        <is>
          <t>-q_bl x price_usd_t</t>
        </is>
      </c>
    </row>
    <row r="753">
      <c r="A753" s="7" t="inlineStr">
        <is>
          <t>T06</t>
        </is>
      </c>
      <c r="B753" s="7" t="inlineStr">
        <is>
          <t>INSURANCE:L2</t>
        </is>
      </c>
      <c r="C753" s="7" t="inlineStr">
        <is>
          <t>L2</t>
        </is>
      </c>
      <c r="D753" s="7" t="inlineStr">
        <is>
          <t>INSURANCE</t>
        </is>
      </c>
      <c r="E753" s="7" t="inlineStr">
        <is>
          <t>INSURANCE</t>
        </is>
      </c>
      <c r="F753" s="7" t="inlineStr">
        <is>
          <t>PNL</t>
        </is>
      </c>
      <c r="G753" s="7" t="inlineStr">
        <is>
          <t>USD</t>
        </is>
      </c>
      <c r="H753" s="11" t="n">
        <v>44691</v>
      </c>
      <c r="I753" s="11" t="n">
        <v>44719</v>
      </c>
      <c r="J753" s="11" t="n">
        <v>44719</v>
      </c>
      <c r="K753" s="11" t="n">
        <v>44719</v>
      </c>
      <c r="L753" s="7" t="inlineStr">
        <is>
          <t>roll following on the LME panel calendar</t>
        </is>
      </c>
      <c r="N753" s="7" t="inlineStr">
        <is>
          <t>ASSUMPTION</t>
        </is>
      </c>
      <c r="O753" s="9" t="n">
        <v>-1528.67</v>
      </c>
      <c r="P753" s="9" t="n">
        <v>-118819.54</v>
      </c>
      <c r="U753" s="7" t="inlineStr">
        <is>
          <t>PYTHON_LIFECYCLE</t>
        </is>
      </c>
      <c r="V753" s="8">
        <f>$O753</f>
        <v/>
      </c>
      <c r="W753" s="8">
        <f>IF($G753="INR",1,INDEX(Market_Daily!$F$6:$F$256,MATCH($K753,Market_Daily!$A$6:$A$256,0)))</f>
        <v/>
      </c>
      <c r="X753" s="8">
        <f>$V753*$W753</f>
        <v/>
      </c>
      <c r="Y753" s="18">
        <f>$X753-$P753</f>
        <v/>
      </c>
      <c r="Z753" s="8">
        <f>IF(ABS($Y753)&lt;=tol_cashflow_inr,"PASS","FAIL")</f>
        <v/>
      </c>
      <c r="AA753" s="7" t="inlineStr">
        <is>
          <t>-insurance_rate x insured_value_uplift x cfr_value_usd</t>
        </is>
      </c>
    </row>
    <row r="754">
      <c r="A754" s="7" t="inlineStr">
        <is>
          <t>T06</t>
        </is>
      </c>
      <c r="B754" s="7" t="inlineStr">
        <is>
          <t>PSIC:L2</t>
        </is>
      </c>
      <c r="C754" s="7" t="inlineStr">
        <is>
          <t>L2</t>
        </is>
      </c>
      <c r="D754" s="7" t="inlineStr">
        <is>
          <t>PSIC</t>
        </is>
      </c>
      <c r="E754" s="7" t="inlineStr">
        <is>
          <t>PSIC</t>
        </is>
      </c>
      <c r="F754" s="7" t="inlineStr">
        <is>
          <t>PNL</t>
        </is>
      </c>
      <c r="G754" s="7" t="inlineStr">
        <is>
          <t>USD</t>
        </is>
      </c>
      <c r="H754" s="11" t="n">
        <v>44691</v>
      </c>
      <c r="I754" s="11" t="n">
        <v>44719</v>
      </c>
      <c r="J754" s="11" t="n">
        <v>44719</v>
      </c>
      <c r="K754" s="11" t="n">
        <v>44719</v>
      </c>
      <c r="L754" s="7" t="inlineStr">
        <is>
          <t>roll following on the LME panel calendar</t>
        </is>
      </c>
      <c r="N754" s="7" t="inlineStr">
        <is>
          <t>ASSUMPTION</t>
        </is>
      </c>
      <c r="O754" s="9" t="n">
        <v>-1000</v>
      </c>
      <c r="P754" s="9" t="n">
        <v>-77727.39999999999</v>
      </c>
      <c r="U754" s="7" t="inlineStr">
        <is>
          <t>PYTHON_LIFECYCLE</t>
        </is>
      </c>
      <c r="V754" s="8">
        <f>$O754</f>
        <v/>
      </c>
      <c r="W754" s="8">
        <f>IF($G754="INR",1,INDEX(Market_Daily!$F$6:$F$256,MATCH($K754,Market_Daily!$A$6:$A$256,0)))</f>
        <v/>
      </c>
      <c r="X754" s="8">
        <f>$V754*$W754</f>
        <v/>
      </c>
      <c r="Y754" s="18">
        <f>$X754-$P754</f>
        <v/>
      </c>
      <c r="Z754" s="8">
        <f>IF(ABS($Y754)&lt;=tol_cashflow_inr,"PASS","FAIL")</f>
        <v/>
      </c>
      <c r="AA754" s="7" t="inlineStr">
        <is>
          <t>-psic_cost_usd_per_box x boxes</t>
        </is>
      </c>
    </row>
    <row r="755">
      <c r="A755" s="7" t="inlineStr">
        <is>
          <t>T06</t>
        </is>
      </c>
      <c r="B755" s="7" t="inlineStr">
        <is>
          <t>PORT:L1</t>
        </is>
      </c>
      <c r="C755" s="7" t="inlineStr">
        <is>
          <t>L1</t>
        </is>
      </c>
      <c r="D755" s="7" t="inlineStr">
        <is>
          <t>PORT_CHARGES</t>
        </is>
      </c>
      <c r="E755" s="7" t="inlineStr">
        <is>
          <t>PORT_CHARGES</t>
        </is>
      </c>
      <c r="F755" s="7" t="inlineStr">
        <is>
          <t>PNL</t>
        </is>
      </c>
      <c r="G755" s="7" t="inlineStr">
        <is>
          <t>INR</t>
        </is>
      </c>
      <c r="H755" s="11" t="n">
        <v>44691</v>
      </c>
      <c r="J755" s="11" t="n">
        <v>44721</v>
      </c>
      <c r="K755" s="11" t="n">
        <v>44721</v>
      </c>
      <c r="L755" s="7" t="inlineStr">
        <is>
          <t>roll following on the LME panel calendar</t>
        </is>
      </c>
      <c r="N755" s="7" t="inlineStr">
        <is>
          <t>ASSUMPTION</t>
        </is>
      </c>
      <c r="O755" s="9" t="n">
        <v>-1000000</v>
      </c>
      <c r="P755" s="9" t="n">
        <v>-1000000</v>
      </c>
      <c r="U755" s="7" t="inlineStr">
        <is>
          <t>PYTHON_LIFECYCLE</t>
        </is>
      </c>
      <c r="V755" s="8">
        <f>$O755</f>
        <v/>
      </c>
      <c r="W755" s="8">
        <f>IF($G755="INR",1,INDEX(Market_Daily!$F$6:$F$256,MATCH($K755,Market_Daily!$A$6:$A$256,0)))</f>
        <v/>
      </c>
      <c r="X755" s="8">
        <f>$V755*$W755</f>
        <v/>
      </c>
      <c r="Y755" s="18">
        <f>$X755-$P755</f>
        <v/>
      </c>
      <c r="Z755" s="8">
        <f>IF(ABS($Y755)&lt;=tol_cashflow_inr,"PASS","FAIL")</f>
        <v/>
      </c>
      <c r="AA755" s="7" t="inlineStr">
        <is>
          <t>-port_cf_charges_inr_t x base_payload x cleared boxes</t>
        </is>
      </c>
    </row>
    <row r="756">
      <c r="A756" s="7" t="inlineStr">
        <is>
          <t>T06</t>
        </is>
      </c>
      <c r="B756" s="7" t="inlineStr">
        <is>
          <t>DUTY:L2</t>
        </is>
      </c>
      <c r="C756" s="7" t="inlineStr">
        <is>
          <t>L2</t>
        </is>
      </c>
      <c r="D756" s="7" t="inlineStr">
        <is>
          <t>CUSTOMS_DUTY</t>
        </is>
      </c>
      <c r="E756" s="7" t="inlineStr">
        <is>
          <t>CUSTOMS_DUTY</t>
        </is>
      </c>
      <c r="F756" s="7" t="inlineStr">
        <is>
          <t>PNL</t>
        </is>
      </c>
      <c r="G756" s="7" t="inlineStr">
        <is>
          <t>INR</t>
        </is>
      </c>
      <c r="H756" s="11" t="n">
        <v>44691</v>
      </c>
      <c r="I756" s="11" t="n">
        <v>44725</v>
      </c>
      <c r="J756" s="11" t="n">
        <v>44725</v>
      </c>
      <c r="K756" s="11" t="n">
        <v>44725</v>
      </c>
      <c r="L756" s="7" t="inlineStr">
        <is>
          <t>roll following on the LME panel calendar</t>
        </is>
      </c>
      <c r="N756" s="7" t="inlineStr">
        <is>
          <t>DIRECT</t>
        </is>
      </c>
      <c r="O756" s="9" t="n">
        <v>-3003314.89</v>
      </c>
      <c r="P756" s="9" t="n">
        <v>-3003314.89</v>
      </c>
      <c r="U756" s="7" t="inlineStr">
        <is>
          <t>PYTHON_LIFECYCLE</t>
        </is>
      </c>
      <c r="V756" s="8">
        <f>$O756</f>
        <v/>
      </c>
      <c r="W756" s="8">
        <f>IF($G756="INR",1,INDEX(Market_Daily!$F$6:$F$256,MATCH($K756,Market_Daily!$A$6:$A$256,0)))</f>
        <v/>
      </c>
      <c r="X756" s="8">
        <f>$V756*$W756</f>
        <v/>
      </c>
      <c r="Y756" s="18">
        <f>$X756-$P756</f>
        <v/>
      </c>
      <c r="Z756" s="8">
        <f>IF(ABS($Y756)&lt;=tol_cashflow_inr,"PASS","FAIL")</f>
        <v/>
      </c>
      <c r="AA756" s="7" t="inlineStr">
        <is>
          <t>-assessable_inr x bcd_scrap_hs7602 x (1 + sws_rate_on_bcd)</t>
        </is>
      </c>
    </row>
    <row r="757">
      <c r="A757" s="7" t="inlineStr">
        <is>
          <t>T06</t>
        </is>
      </c>
      <c r="B757" s="7" t="inlineStr">
        <is>
          <t>IGST:L2</t>
        </is>
      </c>
      <c r="C757" s="7" t="inlineStr">
        <is>
          <t>L2</t>
        </is>
      </c>
      <c r="D757" s="7" t="inlineStr">
        <is>
          <t>IGST_IMPORT</t>
        </is>
      </c>
      <c r="E757" s="7" t="inlineStr">
        <is>
          <t>IGST_IMPORT</t>
        </is>
      </c>
      <c r="F757" s="7" t="inlineStr">
        <is>
          <t>BS</t>
        </is>
      </c>
      <c r="G757" s="7" t="inlineStr">
        <is>
          <t>INR</t>
        </is>
      </c>
      <c r="H757" s="11" t="n">
        <v>44691</v>
      </c>
      <c r="I757" s="11" t="n">
        <v>44725</v>
      </c>
      <c r="J757" s="11" t="n">
        <v>44725</v>
      </c>
      <c r="K757" s="11" t="n">
        <v>44725</v>
      </c>
      <c r="L757" s="7" t="inlineStr">
        <is>
          <t>roll following on the LME panel calendar</t>
        </is>
      </c>
      <c r="N757" s="7" t="inlineStr">
        <is>
          <t>DIRECT</t>
        </is>
      </c>
      <c r="O757" s="9" t="n">
        <v>-20198657.79</v>
      </c>
      <c r="P757" s="9" t="n">
        <v>-20198657.79</v>
      </c>
      <c r="U757" s="7" t="inlineStr">
        <is>
          <t>PYTHON_LIFECYCLE</t>
        </is>
      </c>
      <c r="V757" s="8">
        <f>$O757</f>
        <v/>
      </c>
      <c r="W757" s="8">
        <f>IF($G757="INR",1,INDEX(Market_Daily!$F$6:$F$256,MATCH($K757,Market_Daily!$A$6:$A$256,0)))</f>
        <v/>
      </c>
      <c r="X757" s="8">
        <f>$V757*$W757</f>
        <v/>
      </c>
      <c r="Y757" s="18">
        <f>$X757-$P757</f>
        <v/>
      </c>
      <c r="Z757" s="8">
        <f>IF(ABS($Y757)&lt;=tol_cashflow_inr,"PASS","FAIL")</f>
        <v/>
      </c>
      <c r="AA757" s="7" t="inlineStr">
        <is>
          <t>-(assessable + duty) x igst_rate_hs7602</t>
        </is>
      </c>
    </row>
    <row r="758">
      <c r="A758" s="7" t="inlineStr">
        <is>
          <t>T06</t>
        </is>
      </c>
      <c r="B758" s="7" t="inlineStr">
        <is>
          <t>BILL_COMMISSION:L2</t>
        </is>
      </c>
      <c r="C758" s="7" t="inlineStr">
        <is>
          <t>L2</t>
        </is>
      </c>
      <c r="D758" s="7" t="inlineStr">
        <is>
          <t>IMPORT_BILL_COMMISSION</t>
        </is>
      </c>
      <c r="E758" s="7" t="inlineStr">
        <is>
          <t>IMPORT_BILL_COMMISSION</t>
        </is>
      </c>
      <c r="F758" s="7" t="inlineStr">
        <is>
          <t>PNL</t>
        </is>
      </c>
      <c r="G758" s="7" t="inlineStr">
        <is>
          <t>USD</t>
        </is>
      </c>
      <c r="H758" s="11" t="n">
        <v>44691</v>
      </c>
      <c r="I758" s="11" t="n">
        <v>44726</v>
      </c>
      <c r="J758" s="11" t="n">
        <v>44726</v>
      </c>
      <c r="K758" s="11" t="n">
        <v>44726</v>
      </c>
      <c r="L758" s="7" t="inlineStr">
        <is>
          <t>roll following on the LME panel calendar</t>
        </is>
      </c>
      <c r="N758" s="7" t="inlineStr">
        <is>
          <t>DIRECT</t>
        </is>
      </c>
      <c r="O758" s="9" t="n">
        <v>-1667.64</v>
      </c>
      <c r="P758" s="9" t="n">
        <v>-130129.28</v>
      </c>
      <c r="U758" s="7" t="inlineStr">
        <is>
          <t>PYTHON_LIFECYCLE</t>
        </is>
      </c>
      <c r="V758" s="8">
        <f>$O758</f>
        <v/>
      </c>
      <c r="W758" s="8">
        <f>IF($G758="INR",1,INDEX(Market_Daily!$F$6:$F$256,MATCH($K758,Market_Daily!$A$6:$A$256,0)))</f>
        <v/>
      </c>
      <c r="X758" s="8">
        <f>$V758*$W758</f>
        <v/>
      </c>
      <c r="Y758" s="18">
        <f>$X758-$P758</f>
        <v/>
      </c>
      <c r="Z758" s="8">
        <f>IF(ABS($Y758)&lt;=tol_cashflow_inr,"PASS","FAIL")</f>
        <v/>
      </c>
      <c r="AA758" s="7" t="inlineStr">
        <is>
          <t>-import_bill_commission_frac x bill_usd</t>
        </is>
      </c>
    </row>
    <row r="759">
      <c r="A759" s="7" t="inlineStr">
        <is>
          <t>T06</t>
        </is>
      </c>
      <c r="B759" s="7" t="inlineStr">
        <is>
          <t>FX:T06-FX-2</t>
        </is>
      </c>
      <c r="C759" s="7" t="inlineStr">
        <is>
          <t>T06-FX-2</t>
        </is>
      </c>
      <c r="D759" s="7" t="inlineStr">
        <is>
          <t>FX_FORWARD</t>
        </is>
      </c>
      <c r="E759" s="7" t="inlineStr">
        <is>
          <t>FX_FORWARD</t>
        </is>
      </c>
      <c r="F759" s="7" t="inlineStr">
        <is>
          <t>PNL</t>
        </is>
      </c>
      <c r="G759" s="7" t="inlineStr">
        <is>
          <t>INR</t>
        </is>
      </c>
      <c r="H759" s="11" t="n">
        <v>44719</v>
      </c>
      <c r="I759" s="11" t="n">
        <v>44726</v>
      </c>
      <c r="J759" s="11" t="n">
        <v>44726</v>
      </c>
      <c r="K759" s="11" t="n">
        <v>44726</v>
      </c>
      <c r="L759" s="7" t="inlineStr">
        <is>
          <t>roll following on the LME panel calendar</t>
        </is>
      </c>
      <c r="N759" s="7" t="inlineStr">
        <is>
          <t>PROXY</t>
        </is>
      </c>
      <c r="O759" s="9" t="n">
        <v>128583.44</v>
      </c>
      <c r="P759" s="9" t="n">
        <v>128583.44</v>
      </c>
      <c r="Q759" s="6" t="n">
        <v>1</v>
      </c>
      <c r="R759" s="13" t="n">
        <v>833800</v>
      </c>
      <c r="S759" s="12" t="n">
        <v>44726</v>
      </c>
      <c r="T759" s="21" t="n">
        <v>77.877786</v>
      </c>
      <c r="U759" s="7" t="inlineStr">
        <is>
          <t>DERIVED_IN_WORKBOOK</t>
        </is>
      </c>
      <c r="V759" s="8">
        <f>$Q759*$R759*(IF($S759&lt;$K759,INDEX(Market_Daily!$F$6:$F$256,MATCH($S759,Market_Daily!$A$6:$A$256,1)),IF($S759=$K759,INDEX(Market_Daily!$F$6:$F$256,MATCH($K759,Market_Daily!$A$6:$A$256,0)),(INDEX(Market_Daily!$F$6:$F$256,MATCH($K759,Market_Daily!$A$6:$A$256,0))*(1+INDEX(Market_Daily!$I$6:$I$256,MATCH($K759,Market_Daily!$A$6:$A$256,0))*($S759-$K759)/day_count_inr)/(1+INDEX(Market_Daily!$J$6:$J$256,MATCH($K759,Market_Daily!$A$6:$A$256,0))*($S759-$K759)/day_count_usd))))-$T759)</f>
        <v/>
      </c>
      <c r="W759" s="8">
        <f>IF($G759="INR",1,INDEX(Market_Daily!$F$6:$F$256,MATCH($K759,Market_Daily!$A$6:$A$256,0)))</f>
        <v/>
      </c>
      <c r="X759" s="8">
        <f>$V759*$W759</f>
        <v/>
      </c>
      <c r="Y759" s="18">
        <f>$X759-$P759</f>
        <v/>
      </c>
      <c r="Z759" s="8">
        <f>IF(ABS($Y759)&lt;=tol_cashflow_inr,"PASS","FAIL")</f>
        <v/>
      </c>
      <c r="AA759" s="7" t="inlineStr">
        <is>
          <t>sign x notional x (X(tau, value_date) - K)</t>
        </is>
      </c>
    </row>
    <row r="760">
      <c r="A760" s="7" t="inlineStr">
        <is>
          <t>T06</t>
        </is>
      </c>
      <c r="B760" s="7" t="inlineStr">
        <is>
          <t>PURCHASE:L2</t>
        </is>
      </c>
      <c r="C760" s="7" t="inlineStr">
        <is>
          <t>L2</t>
        </is>
      </c>
      <c r="D760" s="7" t="inlineStr">
        <is>
          <t>PURCHASE_INVOICE</t>
        </is>
      </c>
      <c r="E760" s="7" t="inlineStr">
        <is>
          <t>PURCHASE_INVOICE</t>
        </is>
      </c>
      <c r="F760" s="7" t="inlineStr">
        <is>
          <t>PNL</t>
        </is>
      </c>
      <c r="G760" s="7" t="inlineStr">
        <is>
          <t>USD</t>
        </is>
      </c>
      <c r="H760" s="11" t="n">
        <v>44691</v>
      </c>
      <c r="J760" s="11" t="n">
        <v>44726</v>
      </c>
      <c r="K760" s="11" t="n">
        <v>44726</v>
      </c>
      <c r="L760" s="7" t="inlineStr">
        <is>
          <t>roll following on the LME panel calendar</t>
        </is>
      </c>
      <c r="N760" s="7" t="inlineStr">
        <is>
          <t>SIM</t>
        </is>
      </c>
      <c r="O760" s="9" t="n">
        <v>-1389700</v>
      </c>
      <c r="P760" s="9" t="n">
        <v>-108441070.4</v>
      </c>
      <c r="U760" s="7" t="inlineStr">
        <is>
          <t>PYTHON_LIFECYCLE</t>
        </is>
      </c>
      <c r="V760" s="8">
        <f>$O760</f>
        <v/>
      </c>
      <c r="W760" s="8">
        <f>IF($G760="INR",1,INDEX(Market_Daily!$F$6:$F$256,MATCH($K760,Market_Daily!$A$6:$A$256,0)))</f>
        <v/>
      </c>
      <c r="X760" s="8">
        <f>$V760*$W760</f>
        <v/>
      </c>
      <c r="Y760" s="18">
        <f>$X760-$P760</f>
        <v/>
      </c>
      <c r="Z760" s="8">
        <f>IF(ABS($Y760)&lt;=tol_cashflow_inr,"PASS","FAIL")</f>
        <v/>
      </c>
      <c r="AA760" s="7" t="inlineStr">
        <is>
          <t>-q_bl x price_usd_t</t>
        </is>
      </c>
    </row>
    <row r="761">
      <c r="A761" s="7" t="inlineStr">
        <is>
          <t>T06</t>
        </is>
      </c>
      <c r="B761" s="7" t="inlineStr">
        <is>
          <t>PORT:L2</t>
        </is>
      </c>
      <c r="C761" s="7" t="inlineStr">
        <is>
          <t>L2</t>
        </is>
      </c>
      <c r="D761" s="7" t="inlineStr">
        <is>
          <t>PORT_CHARGES</t>
        </is>
      </c>
      <c r="E761" s="7" t="inlineStr">
        <is>
          <t>PORT_CHARGES</t>
        </is>
      </c>
      <c r="F761" s="7" t="inlineStr">
        <is>
          <t>PNL</t>
        </is>
      </c>
      <c r="G761" s="7" t="inlineStr">
        <is>
          <t>INR</t>
        </is>
      </c>
      <c r="H761" s="11" t="n">
        <v>44691</v>
      </c>
      <c r="J761" s="11" t="n">
        <v>44734</v>
      </c>
      <c r="K761" s="11" t="n">
        <v>44734</v>
      </c>
      <c r="L761" s="7" t="inlineStr">
        <is>
          <t>roll following on the LME panel calendar</t>
        </is>
      </c>
      <c r="N761" s="7" t="inlineStr">
        <is>
          <t>ASSUMPTION</t>
        </is>
      </c>
      <c r="O761" s="9" t="n">
        <v>-1000000</v>
      </c>
      <c r="P761" s="9" t="n">
        <v>-1000000</v>
      </c>
      <c r="U761" s="7" t="inlineStr">
        <is>
          <t>PYTHON_LIFECYCLE</t>
        </is>
      </c>
      <c r="V761" s="8">
        <f>$O761</f>
        <v/>
      </c>
      <c r="W761" s="8">
        <f>IF($G761="INR",1,INDEX(Market_Daily!$F$6:$F$256,MATCH($K761,Market_Daily!$A$6:$A$256,0)))</f>
        <v/>
      </c>
      <c r="X761" s="8">
        <f>$V761*$W761</f>
        <v/>
      </c>
      <c r="Y761" s="18">
        <f>$X761-$P761</f>
        <v/>
      </c>
      <c r="Z761" s="8">
        <f>IF(ABS($Y761)&lt;=tol_cashflow_inr,"PASS","FAIL")</f>
        <v/>
      </c>
      <c r="AA761" s="7" t="inlineStr">
        <is>
          <t>-port_cf_charges_inr_t x base_payload x cleared boxes</t>
        </is>
      </c>
    </row>
    <row r="762">
      <c r="A762" s="7" t="inlineStr">
        <is>
          <t>T06</t>
        </is>
      </c>
      <c r="B762" s="7" t="inlineStr">
        <is>
          <t>IGST:L1</t>
        </is>
      </c>
      <c r="C762" s="7" t="inlineStr">
        <is>
          <t>L1</t>
        </is>
      </c>
      <c r="D762" s="7" t="inlineStr">
        <is>
          <t>IGST_CREDIT</t>
        </is>
      </c>
      <c r="E762" s="7" t="inlineStr">
        <is>
          <t>IGST_CREDIT</t>
        </is>
      </c>
      <c r="F762" s="7" t="inlineStr">
        <is>
          <t>BS</t>
        </is>
      </c>
      <c r="G762" s="7" t="inlineStr">
        <is>
          <t>INR</t>
        </is>
      </c>
      <c r="H762" s="11" t="n">
        <v>44691</v>
      </c>
      <c r="I762" s="11" t="n">
        <v>44712</v>
      </c>
      <c r="J762" s="11" t="n">
        <v>44757</v>
      </c>
      <c r="K762" s="11" t="n">
        <v>44757</v>
      </c>
      <c r="L762" s="7" t="inlineStr">
        <is>
          <t>roll following on the LME panel calendar</t>
        </is>
      </c>
      <c r="N762" s="7" t="inlineStr">
        <is>
          <t>DIRECT</t>
        </is>
      </c>
      <c r="O762" s="9" t="n">
        <v>20224388.56</v>
      </c>
      <c r="P762" s="9" t="n">
        <v>20224388.56</v>
      </c>
      <c r="U762" s="7" t="inlineStr">
        <is>
          <t>PYTHON_LIFECYCLE</t>
        </is>
      </c>
      <c r="V762" s="8">
        <f>$O762</f>
        <v/>
      </c>
      <c r="W762" s="8">
        <f>IF($G762="INR",1,INDEX(Market_Daily!$F$6:$F$256,MATCH($K762,Market_Daily!$A$6:$A$256,0)))</f>
        <v/>
      </c>
      <c r="X762" s="8">
        <f>$V762*$W762</f>
        <v/>
      </c>
      <c r="Y762" s="18">
        <f>$X762-$P762</f>
        <v/>
      </c>
      <c r="Z762" s="8">
        <f>IF(ABS($Y762)&lt;=tol_cashflow_inr,"PASS","FAIL")</f>
        <v/>
      </c>
      <c r="AA762" s="7" t="inlineStr">
        <is>
          <t>+(assessable + duty) x igst_rate at igst_credit_lag_days</t>
        </is>
      </c>
    </row>
    <row r="763">
      <c r="A763" s="7" t="inlineStr">
        <is>
          <t>T06</t>
        </is>
      </c>
      <c r="B763" s="7" t="inlineStr">
        <is>
          <t>IGST:L2</t>
        </is>
      </c>
      <c r="C763" s="7" t="inlineStr">
        <is>
          <t>L2</t>
        </is>
      </c>
      <c r="D763" s="7" t="inlineStr">
        <is>
          <t>IGST_CREDIT</t>
        </is>
      </c>
      <c r="E763" s="7" t="inlineStr">
        <is>
          <t>IGST_CREDIT</t>
        </is>
      </c>
      <c r="F763" s="7" t="inlineStr">
        <is>
          <t>BS</t>
        </is>
      </c>
      <c r="G763" s="7" t="inlineStr">
        <is>
          <t>INR</t>
        </is>
      </c>
      <c r="H763" s="11" t="n">
        <v>44691</v>
      </c>
      <c r="I763" s="11" t="n">
        <v>44725</v>
      </c>
      <c r="J763" s="11" t="n">
        <v>44770</v>
      </c>
      <c r="K763" s="11" t="n">
        <v>44770</v>
      </c>
      <c r="L763" s="7" t="inlineStr">
        <is>
          <t>roll following on the LME panel calendar</t>
        </is>
      </c>
      <c r="N763" s="7" t="inlineStr">
        <is>
          <t>DIRECT</t>
        </is>
      </c>
      <c r="O763" s="9" t="n">
        <v>20198657.79</v>
      </c>
      <c r="P763" s="9" t="n">
        <v>20198657.79</v>
      </c>
      <c r="U763" s="7" t="inlineStr">
        <is>
          <t>PYTHON_LIFECYCLE</t>
        </is>
      </c>
      <c r="V763" s="8">
        <f>$O763</f>
        <v/>
      </c>
      <c r="W763" s="8">
        <f>IF($G763="INR",1,INDEX(Market_Daily!$F$6:$F$256,MATCH($K763,Market_Daily!$A$6:$A$256,0)))</f>
        <v/>
      </c>
      <c r="X763" s="8">
        <f>$V763*$W763</f>
        <v/>
      </c>
      <c r="Y763" s="18">
        <f>$X763-$P763</f>
        <v/>
      </c>
      <c r="Z763" s="8">
        <f>IF(ABS($Y763)&lt;=tol_cashflow_inr,"PASS","FAIL")</f>
        <v/>
      </c>
      <c r="AA763" s="7" t="inlineStr">
        <is>
          <t>+(assessable + duty) x igst_rate at igst_credit_lag_days</t>
        </is>
      </c>
    </row>
    <row r="764">
      <c r="A764" s="7" t="inlineStr">
        <is>
          <t>T06</t>
        </is>
      </c>
      <c r="B764" s="7" t="inlineStr">
        <is>
          <t>SALE:S1</t>
        </is>
      </c>
      <c r="C764" s="7" t="inlineStr">
        <is>
          <t>S1</t>
        </is>
      </c>
      <c r="D764" s="7" t="inlineStr">
        <is>
          <t>SALE_BALANCE</t>
        </is>
      </c>
      <c r="E764" s="7" t="inlineStr">
        <is>
          <t>SALE_BALANCE</t>
        </is>
      </c>
      <c r="F764" s="7" t="inlineStr">
        <is>
          <t>PNL</t>
        </is>
      </c>
      <c r="G764" s="7" t="inlineStr">
        <is>
          <t>INR</t>
        </is>
      </c>
      <c r="H764" s="11" t="n">
        <v>44713</v>
      </c>
      <c r="I764" s="11" t="n">
        <v>44725</v>
      </c>
      <c r="J764" s="11" t="n">
        <v>44781</v>
      </c>
      <c r="K764" s="11" t="n">
        <v>44781</v>
      </c>
      <c r="L764" s="7" t="inlineStr">
        <is>
          <t>roll following on the LME panel calendar</t>
        </is>
      </c>
      <c r="N764" s="7" t="inlineStr">
        <is>
          <t>SIM</t>
        </is>
      </c>
      <c r="O764" s="9" t="n">
        <v>240825000</v>
      </c>
      <c r="P764" s="9" t="n">
        <v>240825000</v>
      </c>
      <c r="U764" s="7" t="inlineStr">
        <is>
          <t>PYTHON_LIFECYCLE</t>
        </is>
      </c>
      <c r="V764" s="8">
        <f>$O764</f>
        <v/>
      </c>
      <c r="W764" s="8">
        <f>IF($G764="INR",1,INDEX(Market_Daily!$F$6:$F$256,MATCH($K764,Market_Daily!$A$6:$A$256,0)))</f>
        <v/>
      </c>
      <c r="X764" s="8">
        <f>$V764*$W764</f>
        <v/>
      </c>
      <c r="Y764" s="18">
        <f>$X764-$P764</f>
        <v/>
      </c>
      <c r="Z764" s="8">
        <f>IF(ABS($Y764)&lt;=tol_cashflow_inr,"PASS","FAIL")</f>
        <v/>
      </c>
      <c r="AA764" s="7" t="inlineStr">
        <is>
          <t>+q_acc x P_sale x (1 - disc passthrough) - advance</t>
        </is>
      </c>
    </row>
    <row r="765">
      <c r="A765" s="7" t="inlineStr">
        <is>
          <t>T07</t>
        </is>
      </c>
      <c r="B765" s="7" t="inlineStr">
        <is>
          <t>MCX:T07-MCX-1</t>
        </is>
      </c>
      <c r="C765" s="7" t="inlineStr">
        <is>
          <t>T07-MCX-1</t>
        </is>
      </c>
      <c r="D765" s="7" t="inlineStr">
        <is>
          <t>MCX_INITIAL_MARGIN</t>
        </is>
      </c>
      <c r="E765" s="7" t="inlineStr">
        <is>
          <t>MCX_INITIAL_MARGIN</t>
        </is>
      </c>
      <c r="F765" s="7" t="inlineStr">
        <is>
          <t>BS</t>
        </is>
      </c>
      <c r="G765" s="7" t="inlineStr">
        <is>
          <t>INR</t>
        </is>
      </c>
      <c r="H765" s="11" t="n">
        <v>44706</v>
      </c>
      <c r="I765" s="11" t="n">
        <v>44706</v>
      </c>
      <c r="J765" s="11" t="n">
        <v>44706</v>
      </c>
      <c r="K765" s="11" t="n">
        <v>44706</v>
      </c>
      <c r="L765" s="7" t="inlineStr">
        <is>
          <t>roll following on the LME panel calendar</t>
        </is>
      </c>
      <c r="N765" s="7" t="inlineStr">
        <is>
          <t>PROXY</t>
        </is>
      </c>
      <c r="O765" s="9" t="n">
        <v>-29482447.63</v>
      </c>
      <c r="P765" s="9" t="n">
        <v>-29482447.63</v>
      </c>
      <c r="U765" s="7" t="inlineStr">
        <is>
          <t>DERIVED_IN_WORKBOOK</t>
        </is>
      </c>
      <c r="V765" s="8">
        <f>-SUMIFS(Cashflows!$W$1043:$W$1393,Cashflows!$B$1043:$B$1393,$C765,Cashflows!$C$1043:$C$1393,$K765)</f>
        <v/>
      </c>
      <c r="W765" s="8">
        <f>IF($G765="INR",1,INDEX(Market_Daily!$F$6:$F$256,MATCH($K765,Market_Daily!$A$6:$A$256,0)))</f>
        <v/>
      </c>
      <c r="X765" s="8">
        <f>$V765*$W765</f>
        <v/>
      </c>
      <c r="Y765" s="18">
        <f>$X765-$P765</f>
        <v/>
      </c>
      <c r="Z765" s="8">
        <f>IF(ABS($Y765)&lt;=tol_cashflow_inr,"PASS","FAIL")</f>
        <v/>
      </c>
      <c r="AA765" s="7" t="inlineStr">
        <is>
          <t>-d(lots x lot_kg x F(s) x mcx_al_margin_used_frac)</t>
        </is>
      </c>
    </row>
    <row r="766">
      <c r="A766" s="7" t="inlineStr">
        <is>
          <t>T07</t>
        </is>
      </c>
      <c r="B766" s="7" t="inlineStr">
        <is>
          <t>MCX:T07-MCX-1</t>
        </is>
      </c>
      <c r="C766" s="7" t="inlineStr">
        <is>
          <t>T07-MCX-1</t>
        </is>
      </c>
      <c r="D766" s="7" t="inlineStr">
        <is>
          <t>MCX_SLIPPAGE</t>
        </is>
      </c>
      <c r="E766" s="7" t="inlineStr">
        <is>
          <t>MCX_SLIPPAGE</t>
        </is>
      </c>
      <c r="F766" s="7" t="inlineStr">
        <is>
          <t>PNL</t>
        </is>
      </c>
      <c r="G766" s="7" t="inlineStr">
        <is>
          <t>INR</t>
        </is>
      </c>
      <c r="H766" s="11" t="n">
        <v>44706</v>
      </c>
      <c r="J766" s="11" t="n">
        <v>44706</v>
      </c>
      <c r="K766" s="11" t="n">
        <v>44706</v>
      </c>
      <c r="L766" s="7" t="inlineStr">
        <is>
          <t>roll following on the LME panel calendar</t>
        </is>
      </c>
      <c r="N766" s="7" t="inlineStr">
        <is>
          <t>ASSUMPTION</t>
        </is>
      </c>
      <c r="O766" s="9" t="n">
        <v>-123500</v>
      </c>
      <c r="P766" s="9" t="n">
        <v>-123500</v>
      </c>
      <c r="U766" s="7" t="inlineStr">
        <is>
          <t>DERIVED_IN_WORKBOOK</t>
        </is>
      </c>
      <c r="V766" s="8">
        <f>SUMIFS(Cashflows!$Z$1043:$Z$1393,Cashflows!$B$1043:$B$1393,$C766,Cashflows!$C$1043:$C$1393,$K766)</f>
        <v/>
      </c>
      <c r="W766" s="8">
        <f>IF($G766="INR",1,INDEX(Market_Daily!$F$6:$F$256,MATCH($K766,Market_Daily!$A$6:$A$256,0)))</f>
        <v/>
      </c>
      <c r="X766" s="8">
        <f>$V766*$W766</f>
        <v/>
      </c>
      <c r="Y766" s="18">
        <f>$X766-$P766</f>
        <v/>
      </c>
      <c r="Z766" s="8">
        <f>IF(ABS($Y766)&lt;=tol_cashflow_inr,"PASS","FAIL")</f>
        <v/>
      </c>
      <c r="AA766" s="7" t="inlineStr">
        <is>
          <t>-lots x lot_kg x mcx_slippage_ticks x tick</t>
        </is>
      </c>
    </row>
    <row r="767">
      <c r="A767" s="7" t="inlineStr">
        <is>
          <t>T07</t>
        </is>
      </c>
      <c r="B767" s="7" t="inlineStr">
        <is>
          <t>MCX:T07-MCX-1</t>
        </is>
      </c>
      <c r="C767" s="7" t="inlineStr">
        <is>
          <t>T07-MCX-1</t>
        </is>
      </c>
      <c r="D767" s="7" t="inlineStr">
        <is>
          <t>MCX_TRANSACTION_COST</t>
        </is>
      </c>
      <c r="E767" s="7" t="inlineStr">
        <is>
          <t>MCX_TRANSACTION_COST</t>
        </is>
      </c>
      <c r="F767" s="7" t="inlineStr">
        <is>
          <t>PNL</t>
        </is>
      </c>
      <c r="G767" s="7" t="inlineStr">
        <is>
          <t>INR</t>
        </is>
      </c>
      <c r="H767" s="11" t="n">
        <v>44706</v>
      </c>
      <c r="I767" s="11" t="n">
        <v>44706</v>
      </c>
      <c r="J767" s="11" t="n">
        <v>44706</v>
      </c>
      <c r="K767" s="11" t="n">
        <v>44706</v>
      </c>
      <c r="L767" s="7" t="inlineStr">
        <is>
          <t>roll following on the LME panel calendar</t>
        </is>
      </c>
      <c r="N767" s="7" t="inlineStr">
        <is>
          <t>ASSUMPTION</t>
        </is>
      </c>
      <c r="O767" s="9" t="n">
        <v>-88410.28999999999</v>
      </c>
      <c r="P767" s="9" t="n">
        <v>-88410.28999999999</v>
      </c>
      <c r="U767" s="7" t="inlineStr">
        <is>
          <t>DERIVED_IN_WORKBOOK</t>
        </is>
      </c>
      <c r="V767" s="8">
        <f>SUMIFS(Cashflows!$AA$1043:$AA$1393,Cashflows!$B$1043:$B$1393,$C767,Cashflows!$C$1043:$C$1393,$K767)</f>
        <v/>
      </c>
      <c r="W767" s="8">
        <f>IF($G767="INR",1,INDEX(Market_Daily!$F$6:$F$256,MATCH($K767,Market_Daily!$A$6:$A$256,0)))</f>
        <v/>
      </c>
      <c r="X767" s="8">
        <f>$V767*$W767</f>
        <v/>
      </c>
      <c r="Y767" s="18">
        <f>$X767-$P767</f>
        <v/>
      </c>
      <c r="Z767" s="8">
        <f>IF(ABS($Y767)&lt;=tol_cashflow_inr,"PASS","FAIL")</f>
        <v/>
      </c>
      <c r="AA767" s="7" t="inlineStr">
        <is>
          <t>-lots x lot_kg x fill x mcx_txn_cost_frac</t>
        </is>
      </c>
    </row>
    <row r="768">
      <c r="A768" s="7" t="inlineStr">
        <is>
          <t>T07</t>
        </is>
      </c>
      <c r="B768" s="7" t="inlineStr">
        <is>
          <t>MCX:T07-MCX-1</t>
        </is>
      </c>
      <c r="C768" s="7" t="inlineStr">
        <is>
          <t>T07-MCX-1</t>
        </is>
      </c>
      <c r="D768" s="7" t="inlineStr">
        <is>
          <t>MCX_VARIATION_MARGIN</t>
        </is>
      </c>
      <c r="E768" s="7" t="inlineStr">
        <is>
          <t>MCX_VARIATION_MARGIN</t>
        </is>
      </c>
      <c r="F768" s="7" t="inlineStr">
        <is>
          <t>PNL</t>
        </is>
      </c>
      <c r="G768" s="7" t="inlineStr">
        <is>
          <t>INR</t>
        </is>
      </c>
      <c r="H768" s="11" t="n">
        <v>44706</v>
      </c>
      <c r="I768" s="11" t="n">
        <v>44706</v>
      </c>
      <c r="J768" s="11" t="n">
        <v>44706</v>
      </c>
      <c r="K768" s="11" t="n">
        <v>44706</v>
      </c>
      <c r="L768" s="7" t="inlineStr">
        <is>
          <t>roll following on the LME panel calendar</t>
        </is>
      </c>
      <c r="N768" s="7" t="inlineStr">
        <is>
          <t>PROXY</t>
        </is>
      </c>
      <c r="O768" s="9" t="n">
        <v>-0</v>
      </c>
      <c r="P768" s="9" t="n">
        <v>-0</v>
      </c>
      <c r="U768" s="7" t="inlineStr">
        <is>
          <t>DERIVED_IN_WORKBOOK</t>
        </is>
      </c>
      <c r="V768" s="8">
        <f>SUMIFS(Cashflows!$R$1043:$R$1393,Cashflows!$B$1043:$B$1393,$C768,Cashflows!$C$1043:$C$1393,$K768)</f>
        <v/>
      </c>
      <c r="W768" s="8">
        <f>IF($G768="INR",1,INDEX(Market_Daily!$F$6:$F$256,MATCH($K768,Market_Daily!$A$6:$A$256,0)))</f>
        <v/>
      </c>
      <c r="X768" s="8">
        <f>$V768*$W768</f>
        <v/>
      </c>
      <c r="Y768" s="18">
        <f>$X768-$P768</f>
        <v/>
      </c>
      <c r="Z768" s="8">
        <f>IF(ABS($Y768)&lt;=tol_cashflow_inr,"PASS","FAIL")</f>
        <v/>
      </c>
      <c r="AA768" s="7" t="inlineStr">
        <is>
          <t>direction x lots x lot_kg x (F(entry) - entry settle) = 0 by construction</t>
        </is>
      </c>
    </row>
    <row r="769">
      <c r="A769" s="7" t="inlineStr">
        <is>
          <t>T07</t>
        </is>
      </c>
      <c r="B769" s="7" t="inlineStr">
        <is>
          <t>MCX:T07-MCX-1</t>
        </is>
      </c>
      <c r="C769" s="7" t="inlineStr">
        <is>
          <t>T07-MCX-1</t>
        </is>
      </c>
      <c r="D769" s="7" t="inlineStr">
        <is>
          <t>MCX_INITIAL_MARGIN</t>
        </is>
      </c>
      <c r="E769" s="7" t="inlineStr">
        <is>
          <t>MCX_INITIAL_MARGIN</t>
        </is>
      </c>
      <c r="F769" s="7" t="inlineStr">
        <is>
          <t>BS</t>
        </is>
      </c>
      <c r="G769" s="7" t="inlineStr">
        <is>
          <t>INR</t>
        </is>
      </c>
      <c r="H769" s="11" t="n">
        <v>44706</v>
      </c>
      <c r="I769" s="11" t="n">
        <v>44707</v>
      </c>
      <c r="J769" s="11" t="n">
        <v>44707</v>
      </c>
      <c r="K769" s="11" t="n">
        <v>44707</v>
      </c>
      <c r="L769" s="7" t="inlineStr">
        <is>
          <t>roll following on the LME panel calendar</t>
        </is>
      </c>
      <c r="N769" s="7" t="inlineStr">
        <is>
          <t>PROXY</t>
        </is>
      </c>
      <c r="O769" s="9" t="n">
        <v>37738.76</v>
      </c>
      <c r="P769" s="9" t="n">
        <v>37738.76</v>
      </c>
      <c r="U769" s="7" t="inlineStr">
        <is>
          <t>DERIVED_IN_WORKBOOK</t>
        </is>
      </c>
      <c r="V769" s="8">
        <f>-SUMIFS(Cashflows!$W$1043:$W$1393,Cashflows!$B$1043:$B$1393,$C769,Cashflows!$C$1043:$C$1393,$K769)</f>
        <v/>
      </c>
      <c r="W769" s="8">
        <f>IF($G769="INR",1,INDEX(Market_Daily!$F$6:$F$256,MATCH($K769,Market_Daily!$A$6:$A$256,0)))</f>
        <v/>
      </c>
      <c r="X769" s="8">
        <f>$V769*$W769</f>
        <v/>
      </c>
      <c r="Y769" s="18">
        <f>$X769-$P769</f>
        <v/>
      </c>
      <c r="Z769" s="8">
        <f>IF(ABS($Y769)&lt;=tol_cashflow_inr,"PASS","FAIL")</f>
        <v/>
      </c>
      <c r="AA769" s="7" t="inlineStr">
        <is>
          <t>-d(lots x lot_kg x F(s) x mcx_al_margin_used_frac)</t>
        </is>
      </c>
    </row>
    <row r="770">
      <c r="A770" s="7" t="inlineStr">
        <is>
          <t>T07</t>
        </is>
      </c>
      <c r="B770" s="7" t="inlineStr">
        <is>
          <t>MCX:T07-MCX-1</t>
        </is>
      </c>
      <c r="C770" s="7" t="inlineStr">
        <is>
          <t>T07-MCX-1</t>
        </is>
      </c>
      <c r="D770" s="7" t="inlineStr">
        <is>
          <t>MCX_VARIATION_MARGIN</t>
        </is>
      </c>
      <c r="E770" s="7" t="inlineStr">
        <is>
          <t>MCX_VARIATION_MARGIN</t>
        </is>
      </c>
      <c r="F770" s="7" t="inlineStr">
        <is>
          <t>PNL</t>
        </is>
      </c>
      <c r="G770" s="7" t="inlineStr">
        <is>
          <t>INR</t>
        </is>
      </c>
      <c r="H770" s="11" t="n">
        <v>44706</v>
      </c>
      <c r="I770" s="11" t="n">
        <v>44707</v>
      </c>
      <c r="J770" s="11" t="n">
        <v>44707</v>
      </c>
      <c r="K770" s="11" t="n">
        <v>44707</v>
      </c>
      <c r="L770" s="7" t="inlineStr">
        <is>
          <t>roll following on the LME panel calendar</t>
        </is>
      </c>
      <c r="N770" s="7" t="inlineStr">
        <is>
          <t>PROXY</t>
        </is>
      </c>
      <c r="O770" s="9" t="n">
        <v>377387.6</v>
      </c>
      <c r="P770" s="9" t="n">
        <v>377387.6</v>
      </c>
      <c r="U770" s="7" t="inlineStr">
        <is>
          <t>DERIVED_IN_WORKBOOK</t>
        </is>
      </c>
      <c r="V770" s="8">
        <f>SUMIFS(Cashflows!$R$1043:$R$1393,Cashflows!$B$1043:$B$1393,$C770,Cashflows!$C$1043:$C$1393,$K770)</f>
        <v/>
      </c>
      <c r="W770" s="8">
        <f>IF($G770="INR",1,INDEX(Market_Daily!$F$6:$F$256,MATCH($K770,Market_Daily!$A$6:$A$256,0)))</f>
        <v/>
      </c>
      <c r="X770" s="8">
        <f>$V770*$W770</f>
        <v/>
      </c>
      <c r="Y770" s="18">
        <f>$X770-$P770</f>
        <v/>
      </c>
      <c r="Z770" s="8">
        <f>IF(ABS($Y770)&lt;=tol_cashflow_inr,"PASS","FAIL")</f>
        <v/>
      </c>
      <c r="AA770" s="7" t="inlineStr">
        <is>
          <t>direction x lots x lot_kg x (F(s) - F(s-1))</t>
        </is>
      </c>
    </row>
    <row r="771">
      <c r="A771" s="7" t="inlineStr">
        <is>
          <t>T07</t>
        </is>
      </c>
      <c r="B771" s="7" t="inlineStr">
        <is>
          <t>LC_FEES</t>
        </is>
      </c>
      <c r="D771" s="7" t="inlineStr">
        <is>
          <t>LC_OPENING_FEE</t>
        </is>
      </c>
      <c r="E771" s="7" t="inlineStr">
        <is>
          <t>LC_OPENING_FEE</t>
        </is>
      </c>
      <c r="F771" s="7" t="inlineStr">
        <is>
          <t>PNL</t>
        </is>
      </c>
      <c r="G771" s="7" t="inlineStr">
        <is>
          <t>USD</t>
        </is>
      </c>
      <c r="H771" s="11" t="n">
        <v>44706</v>
      </c>
      <c r="I771" s="11" t="n">
        <v>44708</v>
      </c>
      <c r="J771" s="11" t="n">
        <v>44708</v>
      </c>
      <c r="K771" s="11" t="n">
        <v>44708</v>
      </c>
      <c r="L771" s="7" t="inlineStr">
        <is>
          <t>roll following on the LME panel calendar</t>
        </is>
      </c>
      <c r="N771" s="7" t="inlineStr">
        <is>
          <t>DIRECT</t>
        </is>
      </c>
      <c r="O771" s="9" t="n">
        <v>-6938.87</v>
      </c>
      <c r="P771" s="9" t="n">
        <v>-538383.48</v>
      </c>
      <c r="U771" s="7" t="inlineStr">
        <is>
          <t>PYTHON_LIFECYCLE</t>
        </is>
      </c>
      <c r="V771" s="8">
        <f>$O771</f>
        <v/>
      </c>
      <c r="W771" s="8">
        <f>IF($G771="INR",1,INDEX(Market_Daily!$F$6:$F$256,MATCH($K771,Market_Daily!$A$6:$A$256,0)))</f>
        <v/>
      </c>
      <c r="X771" s="8">
        <f>$V771*$W771</f>
        <v/>
      </c>
      <c r="Y771" s="18">
        <f>$X771-$P771</f>
        <v/>
      </c>
      <c r="Z771" s="8">
        <f>IF(ABS($Y771)&lt;=tol_cashflow_inr,"PASS","FAIL")</f>
        <v/>
      </c>
      <c r="AA771" s="7" t="inlineStr">
        <is>
          <t>-lc_opening_fee_frac_per_month x ceil(validity/30) x lc_value_usd</t>
        </is>
      </c>
    </row>
    <row r="772">
      <c r="A772" s="7" t="inlineStr">
        <is>
          <t>T07</t>
        </is>
      </c>
      <c r="B772" s="7" t="inlineStr">
        <is>
          <t>MCX:T07-MCX-1</t>
        </is>
      </c>
      <c r="C772" s="7" t="inlineStr">
        <is>
          <t>T07-MCX-1</t>
        </is>
      </c>
      <c r="D772" s="7" t="inlineStr">
        <is>
          <t>MCX_INITIAL_MARGIN</t>
        </is>
      </c>
      <c r="E772" s="7" t="inlineStr">
        <is>
          <t>MCX_INITIAL_MARGIN</t>
        </is>
      </c>
      <c r="F772" s="7" t="inlineStr">
        <is>
          <t>BS</t>
        </is>
      </c>
      <c r="G772" s="7" t="inlineStr">
        <is>
          <t>INR</t>
        </is>
      </c>
      <c r="H772" s="11" t="n">
        <v>44706</v>
      </c>
      <c r="I772" s="11" t="n">
        <v>44708</v>
      </c>
      <c r="J772" s="11" t="n">
        <v>44708</v>
      </c>
      <c r="K772" s="11" t="n">
        <v>44708</v>
      </c>
      <c r="L772" s="7" t="inlineStr">
        <is>
          <t>roll following on the LME panel calendar</t>
        </is>
      </c>
      <c r="N772" s="7" t="inlineStr">
        <is>
          <t>PROXY</t>
        </is>
      </c>
      <c r="O772" s="9" t="n">
        <v>33035.38</v>
      </c>
      <c r="P772" s="9" t="n">
        <v>33035.38</v>
      </c>
      <c r="U772" s="7" t="inlineStr">
        <is>
          <t>DERIVED_IN_WORKBOOK</t>
        </is>
      </c>
      <c r="V772" s="8">
        <f>-SUMIFS(Cashflows!$W$1043:$W$1393,Cashflows!$B$1043:$B$1393,$C772,Cashflows!$C$1043:$C$1393,$K772)</f>
        <v/>
      </c>
      <c r="W772" s="8">
        <f>IF($G772="INR",1,INDEX(Market_Daily!$F$6:$F$256,MATCH($K772,Market_Daily!$A$6:$A$256,0)))</f>
        <v/>
      </c>
      <c r="X772" s="8">
        <f>$V772*$W772</f>
        <v/>
      </c>
      <c r="Y772" s="18">
        <f>$X772-$P772</f>
        <v/>
      </c>
      <c r="Z772" s="8">
        <f>IF(ABS($Y772)&lt;=tol_cashflow_inr,"PASS","FAIL")</f>
        <v/>
      </c>
      <c r="AA772" s="7" t="inlineStr">
        <is>
          <t>-d(lots x lot_kg x F(s) x mcx_al_margin_used_frac)</t>
        </is>
      </c>
    </row>
    <row r="773">
      <c r="A773" s="7" t="inlineStr">
        <is>
          <t>T07</t>
        </is>
      </c>
      <c r="B773" s="7" t="inlineStr">
        <is>
          <t>MCX:T07-MCX-1</t>
        </is>
      </c>
      <c r="C773" s="7" t="inlineStr">
        <is>
          <t>T07-MCX-1</t>
        </is>
      </c>
      <c r="D773" s="7" t="inlineStr">
        <is>
          <t>MCX_VARIATION_MARGIN</t>
        </is>
      </c>
      <c r="E773" s="7" t="inlineStr">
        <is>
          <t>MCX_VARIATION_MARGIN</t>
        </is>
      </c>
      <c r="F773" s="7" t="inlineStr">
        <is>
          <t>PNL</t>
        </is>
      </c>
      <c r="G773" s="7" t="inlineStr">
        <is>
          <t>INR</t>
        </is>
      </c>
      <c r="H773" s="11" t="n">
        <v>44706</v>
      </c>
      <c r="I773" s="11" t="n">
        <v>44708</v>
      </c>
      <c r="J773" s="11" t="n">
        <v>44708</v>
      </c>
      <c r="K773" s="11" t="n">
        <v>44708</v>
      </c>
      <c r="L773" s="7" t="inlineStr">
        <is>
          <t>roll following on the LME panel calendar</t>
        </is>
      </c>
      <c r="N773" s="7" t="inlineStr">
        <is>
          <t>PROXY</t>
        </is>
      </c>
      <c r="O773" s="9" t="n">
        <v>330353.79</v>
      </c>
      <c r="P773" s="9" t="n">
        <v>330353.79</v>
      </c>
      <c r="U773" s="7" t="inlineStr">
        <is>
          <t>DERIVED_IN_WORKBOOK</t>
        </is>
      </c>
      <c r="V773" s="8">
        <f>SUMIFS(Cashflows!$R$1043:$R$1393,Cashflows!$B$1043:$B$1393,$C773,Cashflows!$C$1043:$C$1393,$K773)</f>
        <v/>
      </c>
      <c r="W773" s="8">
        <f>IF($G773="INR",1,INDEX(Market_Daily!$F$6:$F$256,MATCH($K773,Market_Daily!$A$6:$A$256,0)))</f>
        <v/>
      </c>
      <c r="X773" s="8">
        <f>$V773*$W773</f>
        <v/>
      </c>
      <c r="Y773" s="18">
        <f>$X773-$P773</f>
        <v/>
      </c>
      <c r="Z773" s="8">
        <f>IF(ABS($Y773)&lt;=tol_cashflow_inr,"PASS","FAIL")</f>
        <v/>
      </c>
      <c r="AA773" s="7" t="inlineStr">
        <is>
          <t>direction x lots x lot_kg x (F(s) - F(s-1))</t>
        </is>
      </c>
    </row>
    <row r="774">
      <c r="A774" s="7" t="inlineStr">
        <is>
          <t>T07</t>
        </is>
      </c>
      <c r="B774" s="7" t="inlineStr">
        <is>
          <t>MCX:T07-MCX-1</t>
        </is>
      </c>
      <c r="C774" s="7" t="inlineStr">
        <is>
          <t>T07-MCX-1</t>
        </is>
      </c>
      <c r="D774" s="7" t="inlineStr">
        <is>
          <t>MCX_INITIAL_MARGIN</t>
        </is>
      </c>
      <c r="E774" s="7" t="inlineStr">
        <is>
          <t>MCX_INITIAL_MARGIN</t>
        </is>
      </c>
      <c r="F774" s="7" t="inlineStr">
        <is>
          <t>BS</t>
        </is>
      </c>
      <c r="G774" s="7" t="inlineStr">
        <is>
          <t>INR</t>
        </is>
      </c>
      <c r="H774" s="11" t="n">
        <v>44706</v>
      </c>
      <c r="I774" s="11" t="n">
        <v>44711</v>
      </c>
      <c r="J774" s="11" t="n">
        <v>44711</v>
      </c>
      <c r="K774" s="11" t="n">
        <v>44711</v>
      </c>
      <c r="L774" s="7" t="inlineStr">
        <is>
          <t>roll following on the LME panel calendar</t>
        </is>
      </c>
      <c r="N774" s="7" t="inlineStr">
        <is>
          <t>PROXY</t>
        </is>
      </c>
      <c r="O774" s="9" t="n">
        <v>-390085.03</v>
      </c>
      <c r="P774" s="9" t="n">
        <v>-390085.03</v>
      </c>
      <c r="U774" s="7" t="inlineStr">
        <is>
          <t>DERIVED_IN_WORKBOOK</t>
        </is>
      </c>
      <c r="V774" s="8">
        <f>-SUMIFS(Cashflows!$W$1043:$W$1393,Cashflows!$B$1043:$B$1393,$C774,Cashflows!$C$1043:$C$1393,$K774)</f>
        <v/>
      </c>
      <c r="W774" s="8">
        <f>IF($G774="INR",1,INDEX(Market_Daily!$F$6:$F$256,MATCH($K774,Market_Daily!$A$6:$A$256,0)))</f>
        <v/>
      </c>
      <c r="X774" s="8">
        <f>$V774*$W774</f>
        <v/>
      </c>
      <c r="Y774" s="18">
        <f>$X774-$P774</f>
        <v/>
      </c>
      <c r="Z774" s="8">
        <f>IF(ABS($Y774)&lt;=tol_cashflow_inr,"PASS","FAIL")</f>
        <v/>
      </c>
      <c r="AA774" s="7" t="inlineStr">
        <is>
          <t>-d(lots x lot_kg x F(s) x mcx_al_margin_used_frac)</t>
        </is>
      </c>
    </row>
    <row r="775">
      <c r="A775" s="7" t="inlineStr">
        <is>
          <t>T07</t>
        </is>
      </c>
      <c r="B775" s="7" t="inlineStr">
        <is>
          <t>MCX:T07-MCX-1</t>
        </is>
      </c>
      <c r="C775" s="7" t="inlineStr">
        <is>
          <t>T07-MCX-1</t>
        </is>
      </c>
      <c r="D775" s="7" t="inlineStr">
        <is>
          <t>MCX_VARIATION_MARGIN</t>
        </is>
      </c>
      <c r="E775" s="7" t="inlineStr">
        <is>
          <t>MCX_VARIATION_MARGIN</t>
        </is>
      </c>
      <c r="F775" s="7" t="inlineStr">
        <is>
          <t>PNL</t>
        </is>
      </c>
      <c r="G775" s="7" t="inlineStr">
        <is>
          <t>INR</t>
        </is>
      </c>
      <c r="H775" s="11" t="n">
        <v>44706</v>
      </c>
      <c r="I775" s="11" t="n">
        <v>44711</v>
      </c>
      <c r="J775" s="11" t="n">
        <v>44711</v>
      </c>
      <c r="K775" s="11" t="n">
        <v>44711</v>
      </c>
      <c r="L775" s="7" t="inlineStr">
        <is>
          <t>roll following on the LME panel calendar</t>
        </is>
      </c>
      <c r="N775" s="7" t="inlineStr">
        <is>
          <t>PROXY</t>
        </is>
      </c>
      <c r="O775" s="9" t="n">
        <v>-3900850.33</v>
      </c>
      <c r="P775" s="9" t="n">
        <v>-3900850.33</v>
      </c>
      <c r="U775" s="7" t="inlineStr">
        <is>
          <t>DERIVED_IN_WORKBOOK</t>
        </is>
      </c>
      <c r="V775" s="8">
        <f>SUMIFS(Cashflows!$R$1043:$R$1393,Cashflows!$B$1043:$B$1393,$C775,Cashflows!$C$1043:$C$1393,$K775)</f>
        <v/>
      </c>
      <c r="W775" s="8">
        <f>IF($G775="INR",1,INDEX(Market_Daily!$F$6:$F$256,MATCH($K775,Market_Daily!$A$6:$A$256,0)))</f>
        <v/>
      </c>
      <c r="X775" s="8">
        <f>$V775*$W775</f>
        <v/>
      </c>
      <c r="Y775" s="18">
        <f>$X775-$P775</f>
        <v/>
      </c>
      <c r="Z775" s="8">
        <f>IF(ABS($Y775)&lt;=tol_cashflow_inr,"PASS","FAIL")</f>
        <v/>
      </c>
      <c r="AA775" s="7" t="inlineStr">
        <is>
          <t>direction x lots x lot_kg x (F(s) - F(s-1))</t>
        </is>
      </c>
    </row>
    <row r="776">
      <c r="A776" s="7" t="inlineStr">
        <is>
          <t>T07</t>
        </is>
      </c>
      <c r="B776" s="7" t="inlineStr">
        <is>
          <t>MCX:T07-MCX-1</t>
        </is>
      </c>
      <c r="C776" s="7" t="inlineStr">
        <is>
          <t>T07-MCX-1</t>
        </is>
      </c>
      <c r="D776" s="7" t="inlineStr">
        <is>
          <t>MCX_INITIAL_MARGIN</t>
        </is>
      </c>
      <c r="E776" s="7" t="inlineStr">
        <is>
          <t>MCX_INITIAL_MARGIN</t>
        </is>
      </c>
      <c r="F776" s="7" t="inlineStr">
        <is>
          <t>BS</t>
        </is>
      </c>
      <c r="G776" s="7" t="inlineStr">
        <is>
          <t>INR</t>
        </is>
      </c>
      <c r="H776" s="11" t="n">
        <v>44706</v>
      </c>
      <c r="I776" s="11" t="n">
        <v>44712</v>
      </c>
      <c r="J776" s="11" t="n">
        <v>44712</v>
      </c>
      <c r="K776" s="11" t="n">
        <v>44712</v>
      </c>
      <c r="L776" s="7" t="inlineStr">
        <is>
          <t>roll following on the LME panel calendar</t>
        </is>
      </c>
      <c r="N776" s="7" t="inlineStr">
        <is>
          <t>PROXY</t>
        </is>
      </c>
      <c r="O776" s="9" t="n">
        <v>434369.7</v>
      </c>
      <c r="P776" s="9" t="n">
        <v>434369.7</v>
      </c>
      <c r="U776" s="7" t="inlineStr">
        <is>
          <t>DERIVED_IN_WORKBOOK</t>
        </is>
      </c>
      <c r="V776" s="8">
        <f>-SUMIFS(Cashflows!$W$1043:$W$1393,Cashflows!$B$1043:$B$1393,$C776,Cashflows!$C$1043:$C$1393,$K776)</f>
        <v/>
      </c>
      <c r="W776" s="8">
        <f>IF($G776="INR",1,INDEX(Market_Daily!$F$6:$F$256,MATCH($K776,Market_Daily!$A$6:$A$256,0)))</f>
        <v/>
      </c>
      <c r="X776" s="8">
        <f>$V776*$W776</f>
        <v/>
      </c>
      <c r="Y776" s="18">
        <f>$X776-$P776</f>
        <v/>
      </c>
      <c r="Z776" s="8">
        <f>IF(ABS($Y776)&lt;=tol_cashflow_inr,"PASS","FAIL")</f>
        <v/>
      </c>
      <c r="AA776" s="7" t="inlineStr">
        <is>
          <t>-d(lots x lot_kg x F(s) x mcx_al_margin_used_frac)</t>
        </is>
      </c>
    </row>
    <row r="777">
      <c r="A777" s="7" t="inlineStr">
        <is>
          <t>T07</t>
        </is>
      </c>
      <c r="B777" s="7" t="inlineStr">
        <is>
          <t>MCX:T07-MCX-1</t>
        </is>
      </c>
      <c r="C777" s="7" t="inlineStr">
        <is>
          <t>T07-MCX-1</t>
        </is>
      </c>
      <c r="D777" s="7" t="inlineStr">
        <is>
          <t>MCX_VARIATION_MARGIN</t>
        </is>
      </c>
      <c r="E777" s="7" t="inlineStr">
        <is>
          <t>MCX_VARIATION_MARGIN</t>
        </is>
      </c>
      <c r="F777" s="7" t="inlineStr">
        <is>
          <t>PNL</t>
        </is>
      </c>
      <c r="G777" s="7" t="inlineStr">
        <is>
          <t>INR</t>
        </is>
      </c>
      <c r="H777" s="11" t="n">
        <v>44706</v>
      </c>
      <c r="I777" s="11" t="n">
        <v>44712</v>
      </c>
      <c r="J777" s="11" t="n">
        <v>44712</v>
      </c>
      <c r="K777" s="11" t="n">
        <v>44712</v>
      </c>
      <c r="L777" s="7" t="inlineStr">
        <is>
          <t>roll following on the LME panel calendar</t>
        </is>
      </c>
      <c r="N777" s="7" t="inlineStr">
        <is>
          <t>PROXY</t>
        </is>
      </c>
      <c r="O777" s="9" t="n">
        <v>4343697.02</v>
      </c>
      <c r="P777" s="9" t="n">
        <v>4343697.02</v>
      </c>
      <c r="U777" s="7" t="inlineStr">
        <is>
          <t>DERIVED_IN_WORKBOOK</t>
        </is>
      </c>
      <c r="V777" s="8">
        <f>SUMIFS(Cashflows!$R$1043:$R$1393,Cashflows!$B$1043:$B$1393,$C777,Cashflows!$C$1043:$C$1393,$K777)</f>
        <v/>
      </c>
      <c r="W777" s="8">
        <f>IF($G777="INR",1,INDEX(Market_Daily!$F$6:$F$256,MATCH($K777,Market_Daily!$A$6:$A$256,0)))</f>
        <v/>
      </c>
      <c r="X777" s="8">
        <f>$V777*$W777</f>
        <v/>
      </c>
      <c r="Y777" s="18">
        <f>$X777-$P777</f>
        <v/>
      </c>
      <c r="Z777" s="8">
        <f>IF(ABS($Y777)&lt;=tol_cashflow_inr,"PASS","FAIL")</f>
        <v/>
      </c>
      <c r="AA777" s="7" t="inlineStr">
        <is>
          <t>direction x lots x lot_kg x (F(s) - F(s-1))</t>
        </is>
      </c>
    </row>
    <row r="778">
      <c r="A778" s="7" t="inlineStr">
        <is>
          <t>T07</t>
        </is>
      </c>
      <c r="B778" s="7" t="inlineStr">
        <is>
          <t>MCX:T07-MCX-1</t>
        </is>
      </c>
      <c r="C778" s="7" t="inlineStr">
        <is>
          <t>T07-MCX-1</t>
        </is>
      </c>
      <c r="D778" s="7" t="inlineStr">
        <is>
          <t>MCX_INITIAL_MARGIN</t>
        </is>
      </c>
      <c r="E778" s="7" t="inlineStr">
        <is>
          <t>MCX_INITIAL_MARGIN</t>
        </is>
      </c>
      <c r="F778" s="7" t="inlineStr">
        <is>
          <t>BS</t>
        </is>
      </c>
      <c r="G778" s="7" t="inlineStr">
        <is>
          <t>INR</t>
        </is>
      </c>
      <c r="H778" s="11" t="n">
        <v>44706</v>
      </c>
      <c r="I778" s="11" t="n">
        <v>44713</v>
      </c>
      <c r="J778" s="11" t="n">
        <v>44713</v>
      </c>
      <c r="K778" s="11" t="n">
        <v>44713</v>
      </c>
      <c r="L778" s="7" t="inlineStr">
        <is>
          <t>roll following on the LME panel calendar</t>
        </is>
      </c>
      <c r="N778" s="7" t="inlineStr">
        <is>
          <t>PROXY</t>
        </is>
      </c>
      <c r="O778" s="9" t="n">
        <v>1263104.89</v>
      </c>
      <c r="P778" s="9" t="n">
        <v>1263104.89</v>
      </c>
      <c r="U778" s="7" t="inlineStr">
        <is>
          <t>DERIVED_IN_WORKBOOK</t>
        </is>
      </c>
      <c r="V778" s="8">
        <f>-SUMIFS(Cashflows!$W$1043:$W$1393,Cashflows!$B$1043:$B$1393,$C778,Cashflows!$C$1043:$C$1393,$K778)</f>
        <v/>
      </c>
      <c r="W778" s="8">
        <f>IF($G778="INR",1,INDEX(Market_Daily!$F$6:$F$256,MATCH($K778,Market_Daily!$A$6:$A$256,0)))</f>
        <v/>
      </c>
      <c r="X778" s="8">
        <f>$V778*$W778</f>
        <v/>
      </c>
      <c r="Y778" s="18">
        <f>$X778-$P778</f>
        <v/>
      </c>
      <c r="Z778" s="8">
        <f>IF(ABS($Y778)&lt;=tol_cashflow_inr,"PASS","FAIL")</f>
        <v/>
      </c>
      <c r="AA778" s="7" t="inlineStr">
        <is>
          <t>-d(lots x lot_kg x F(s) x mcx_al_margin_used_frac)</t>
        </is>
      </c>
    </row>
    <row r="779">
      <c r="A779" s="7" t="inlineStr">
        <is>
          <t>T07</t>
        </is>
      </c>
      <c r="B779" s="7" t="inlineStr">
        <is>
          <t>MCX:T07-MCX-1</t>
        </is>
      </c>
      <c r="C779" s="7" t="inlineStr">
        <is>
          <t>T07-MCX-1</t>
        </is>
      </c>
      <c r="D779" s="7" t="inlineStr">
        <is>
          <t>MCX_VARIATION_MARGIN</t>
        </is>
      </c>
      <c r="E779" s="7" t="inlineStr">
        <is>
          <t>MCX_VARIATION_MARGIN</t>
        </is>
      </c>
      <c r="F779" s="7" t="inlineStr">
        <is>
          <t>PNL</t>
        </is>
      </c>
      <c r="G779" s="7" t="inlineStr">
        <is>
          <t>INR</t>
        </is>
      </c>
      <c r="H779" s="11" t="n">
        <v>44706</v>
      </c>
      <c r="I779" s="11" t="n">
        <v>44713</v>
      </c>
      <c r="J779" s="11" t="n">
        <v>44713</v>
      </c>
      <c r="K779" s="11" t="n">
        <v>44713</v>
      </c>
      <c r="L779" s="7" t="inlineStr">
        <is>
          <t>roll following on the LME panel calendar</t>
        </is>
      </c>
      <c r="N779" s="7" t="inlineStr">
        <is>
          <t>PROXY</t>
        </is>
      </c>
      <c r="O779" s="9" t="n">
        <v>12631048.86</v>
      </c>
      <c r="P779" s="9" t="n">
        <v>12631048.86</v>
      </c>
      <c r="U779" s="7" t="inlineStr">
        <is>
          <t>DERIVED_IN_WORKBOOK</t>
        </is>
      </c>
      <c r="V779" s="8">
        <f>SUMIFS(Cashflows!$R$1043:$R$1393,Cashflows!$B$1043:$B$1393,$C779,Cashflows!$C$1043:$C$1393,$K779)</f>
        <v/>
      </c>
      <c r="W779" s="8">
        <f>IF($G779="INR",1,INDEX(Market_Daily!$F$6:$F$256,MATCH($K779,Market_Daily!$A$6:$A$256,0)))</f>
        <v/>
      </c>
      <c r="X779" s="8">
        <f>$V779*$W779</f>
        <v/>
      </c>
      <c r="Y779" s="18">
        <f>$X779-$P779</f>
        <v/>
      </c>
      <c r="Z779" s="8">
        <f>IF(ABS($Y779)&lt;=tol_cashflow_inr,"PASS","FAIL")</f>
        <v/>
      </c>
      <c r="AA779" s="7" t="inlineStr">
        <is>
          <t>direction x lots x lot_kg x (F(s) - F(s-1))</t>
        </is>
      </c>
    </row>
    <row r="780">
      <c r="A780" s="7" t="inlineStr">
        <is>
          <t>T07</t>
        </is>
      </c>
      <c r="B780" s="7" t="inlineStr">
        <is>
          <t>MCX:T07-MCX-1</t>
        </is>
      </c>
      <c r="C780" s="7" t="inlineStr">
        <is>
          <t>T07-MCX-1</t>
        </is>
      </c>
      <c r="D780" s="7" t="inlineStr">
        <is>
          <t>MCX_INITIAL_MARGIN</t>
        </is>
      </c>
      <c r="E780" s="7" t="inlineStr">
        <is>
          <t>MCX_INITIAL_MARGIN</t>
        </is>
      </c>
      <c r="F780" s="7" t="inlineStr">
        <is>
          <t>BS</t>
        </is>
      </c>
      <c r="G780" s="7" t="inlineStr">
        <is>
          <t>INR</t>
        </is>
      </c>
      <c r="H780" s="11" t="n">
        <v>44706</v>
      </c>
      <c r="I780" s="11" t="n">
        <v>44718</v>
      </c>
      <c r="J780" s="11" t="n">
        <v>44718</v>
      </c>
      <c r="K780" s="11" t="n">
        <v>44718</v>
      </c>
      <c r="L780" s="7" t="inlineStr">
        <is>
          <t>roll following on the LME panel calendar</t>
        </is>
      </c>
      <c r="N780" s="7" t="inlineStr">
        <is>
          <t>PROXY</t>
        </is>
      </c>
      <c r="O780" s="9" t="n">
        <v>-432567.09</v>
      </c>
      <c r="P780" s="9" t="n">
        <v>-432567.09</v>
      </c>
      <c r="U780" s="7" t="inlineStr">
        <is>
          <t>DERIVED_IN_WORKBOOK</t>
        </is>
      </c>
      <c r="V780" s="8">
        <f>-SUMIFS(Cashflows!$W$1043:$W$1393,Cashflows!$B$1043:$B$1393,$C780,Cashflows!$C$1043:$C$1393,$K780)</f>
        <v/>
      </c>
      <c r="W780" s="8">
        <f>IF($G780="INR",1,INDEX(Market_Daily!$F$6:$F$256,MATCH($K780,Market_Daily!$A$6:$A$256,0)))</f>
        <v/>
      </c>
      <c r="X780" s="8">
        <f>$V780*$W780</f>
        <v/>
      </c>
      <c r="Y780" s="18">
        <f>$X780-$P780</f>
        <v/>
      </c>
      <c r="Z780" s="8">
        <f>IF(ABS($Y780)&lt;=tol_cashflow_inr,"PASS","FAIL")</f>
        <v/>
      </c>
      <c r="AA780" s="7" t="inlineStr">
        <is>
          <t>-d(lots x lot_kg x F(s) x mcx_al_margin_used_frac)</t>
        </is>
      </c>
    </row>
    <row r="781">
      <c r="A781" s="7" t="inlineStr">
        <is>
          <t>T07</t>
        </is>
      </c>
      <c r="B781" s="7" t="inlineStr">
        <is>
          <t>MCX:T07-MCX-1</t>
        </is>
      </c>
      <c r="C781" s="7" t="inlineStr">
        <is>
          <t>T07-MCX-1</t>
        </is>
      </c>
      <c r="D781" s="7" t="inlineStr">
        <is>
          <t>MCX_VARIATION_MARGIN</t>
        </is>
      </c>
      <c r="E781" s="7" t="inlineStr">
        <is>
          <t>MCX_VARIATION_MARGIN</t>
        </is>
      </c>
      <c r="F781" s="7" t="inlineStr">
        <is>
          <t>PNL</t>
        </is>
      </c>
      <c r="G781" s="7" t="inlineStr">
        <is>
          <t>INR</t>
        </is>
      </c>
      <c r="H781" s="11" t="n">
        <v>44706</v>
      </c>
      <c r="I781" s="11" t="n">
        <v>44718</v>
      </c>
      <c r="J781" s="11" t="n">
        <v>44718</v>
      </c>
      <c r="K781" s="11" t="n">
        <v>44718</v>
      </c>
      <c r="L781" s="7" t="inlineStr">
        <is>
          <t>roll following on the LME panel calendar</t>
        </is>
      </c>
      <c r="N781" s="7" t="inlineStr">
        <is>
          <t>PROXY</t>
        </is>
      </c>
      <c r="O781" s="9" t="n">
        <v>-4325670.89</v>
      </c>
      <c r="P781" s="9" t="n">
        <v>-4325670.89</v>
      </c>
      <c r="U781" s="7" t="inlineStr">
        <is>
          <t>DERIVED_IN_WORKBOOK</t>
        </is>
      </c>
      <c r="V781" s="8">
        <f>SUMIFS(Cashflows!$R$1043:$R$1393,Cashflows!$B$1043:$B$1393,$C781,Cashflows!$C$1043:$C$1393,$K781)</f>
        <v/>
      </c>
      <c r="W781" s="8">
        <f>IF($G781="INR",1,INDEX(Market_Daily!$F$6:$F$256,MATCH($K781,Market_Daily!$A$6:$A$256,0)))</f>
        <v/>
      </c>
      <c r="X781" s="8">
        <f>$V781*$W781</f>
        <v/>
      </c>
      <c r="Y781" s="18">
        <f>$X781-$P781</f>
        <v/>
      </c>
      <c r="Z781" s="8">
        <f>IF(ABS($Y781)&lt;=tol_cashflow_inr,"PASS","FAIL")</f>
        <v/>
      </c>
      <c r="AA781" s="7" t="inlineStr">
        <is>
          <t>direction x lots x lot_kg x (F(s) - F(s-1))</t>
        </is>
      </c>
    </row>
    <row r="782">
      <c r="A782" s="7" t="inlineStr">
        <is>
          <t>T07</t>
        </is>
      </c>
      <c r="B782" s="7" t="inlineStr">
        <is>
          <t>MCX:T07-MCX-1</t>
        </is>
      </c>
      <c r="C782" s="7" t="inlineStr">
        <is>
          <t>T07-MCX-1</t>
        </is>
      </c>
      <c r="D782" s="7" t="inlineStr">
        <is>
          <t>MCX_INITIAL_MARGIN</t>
        </is>
      </c>
      <c r="E782" s="7" t="inlineStr">
        <is>
          <t>MCX_INITIAL_MARGIN</t>
        </is>
      </c>
      <c r="F782" s="7" t="inlineStr">
        <is>
          <t>BS</t>
        </is>
      </c>
      <c r="G782" s="7" t="inlineStr">
        <is>
          <t>INR</t>
        </is>
      </c>
      <c r="H782" s="11" t="n">
        <v>44706</v>
      </c>
      <c r="I782" s="11" t="n">
        <v>44719</v>
      </c>
      <c r="J782" s="11" t="n">
        <v>44719</v>
      </c>
      <c r="K782" s="11" t="n">
        <v>44719</v>
      </c>
      <c r="L782" s="7" t="inlineStr">
        <is>
          <t>roll following on the LME panel calendar</t>
        </is>
      </c>
      <c r="N782" s="7" t="inlineStr">
        <is>
          <t>PROXY</t>
        </is>
      </c>
      <c r="O782" s="9" t="n">
        <v>242024.5</v>
      </c>
      <c r="P782" s="9" t="n">
        <v>242024.5</v>
      </c>
      <c r="U782" s="7" t="inlineStr">
        <is>
          <t>DERIVED_IN_WORKBOOK</t>
        </is>
      </c>
      <c r="V782" s="8">
        <f>-SUMIFS(Cashflows!$W$1043:$W$1393,Cashflows!$B$1043:$B$1393,$C782,Cashflows!$C$1043:$C$1393,$K782)</f>
        <v/>
      </c>
      <c r="W782" s="8">
        <f>IF($G782="INR",1,INDEX(Market_Daily!$F$6:$F$256,MATCH($K782,Market_Daily!$A$6:$A$256,0)))</f>
        <v/>
      </c>
      <c r="X782" s="8">
        <f>$V782*$W782</f>
        <v/>
      </c>
      <c r="Y782" s="18">
        <f>$X782-$P782</f>
        <v/>
      </c>
      <c r="Z782" s="8">
        <f>IF(ABS($Y782)&lt;=tol_cashflow_inr,"PASS","FAIL")</f>
        <v/>
      </c>
      <c r="AA782" s="7" t="inlineStr">
        <is>
          <t>-d(lots x lot_kg x F(s) x mcx_al_margin_used_frac)</t>
        </is>
      </c>
    </row>
    <row r="783">
      <c r="A783" s="7" t="inlineStr">
        <is>
          <t>T07</t>
        </is>
      </c>
      <c r="B783" s="7" t="inlineStr">
        <is>
          <t>MCX:T07-MCX-1</t>
        </is>
      </c>
      <c r="C783" s="7" t="inlineStr">
        <is>
          <t>T07-MCX-1</t>
        </is>
      </c>
      <c r="D783" s="7" t="inlineStr">
        <is>
          <t>MCX_VARIATION_MARGIN</t>
        </is>
      </c>
      <c r="E783" s="7" t="inlineStr">
        <is>
          <t>MCX_VARIATION_MARGIN</t>
        </is>
      </c>
      <c r="F783" s="7" t="inlineStr">
        <is>
          <t>PNL</t>
        </is>
      </c>
      <c r="G783" s="7" t="inlineStr">
        <is>
          <t>INR</t>
        </is>
      </c>
      <c r="H783" s="11" t="n">
        <v>44706</v>
      </c>
      <c r="I783" s="11" t="n">
        <v>44719</v>
      </c>
      <c r="J783" s="11" t="n">
        <v>44719</v>
      </c>
      <c r="K783" s="11" t="n">
        <v>44719</v>
      </c>
      <c r="L783" s="7" t="inlineStr">
        <is>
          <t>roll following on the LME panel calendar</t>
        </is>
      </c>
      <c r="N783" s="7" t="inlineStr">
        <is>
          <t>PROXY</t>
        </is>
      </c>
      <c r="O783" s="9" t="n">
        <v>2420244.95</v>
      </c>
      <c r="P783" s="9" t="n">
        <v>2420244.95</v>
      </c>
      <c r="U783" s="7" t="inlineStr">
        <is>
          <t>DERIVED_IN_WORKBOOK</t>
        </is>
      </c>
      <c r="V783" s="8">
        <f>SUMIFS(Cashflows!$R$1043:$R$1393,Cashflows!$B$1043:$B$1393,$C783,Cashflows!$C$1043:$C$1393,$K783)</f>
        <v/>
      </c>
      <c r="W783" s="8">
        <f>IF($G783="INR",1,INDEX(Market_Daily!$F$6:$F$256,MATCH($K783,Market_Daily!$A$6:$A$256,0)))</f>
        <v/>
      </c>
      <c r="X783" s="8">
        <f>$V783*$W783</f>
        <v/>
      </c>
      <c r="Y783" s="18">
        <f>$X783-$P783</f>
        <v/>
      </c>
      <c r="Z783" s="8">
        <f>IF(ABS($Y783)&lt;=tol_cashflow_inr,"PASS","FAIL")</f>
        <v/>
      </c>
      <c r="AA783" s="7" t="inlineStr">
        <is>
          <t>direction x lots x lot_kg x (F(s) - F(s-1))</t>
        </is>
      </c>
    </row>
    <row r="784">
      <c r="A784" s="7" t="inlineStr">
        <is>
          <t>T07</t>
        </is>
      </c>
      <c r="B784" s="7" t="inlineStr">
        <is>
          <t>FREIGHT:L1</t>
        </is>
      </c>
      <c r="C784" s="7" t="inlineStr">
        <is>
          <t>L1</t>
        </is>
      </c>
      <c r="D784" s="7" t="inlineStr">
        <is>
          <t>FREIGHT</t>
        </is>
      </c>
      <c r="E784" s="7" t="inlineStr">
        <is>
          <t>FREIGHT</t>
        </is>
      </c>
      <c r="F784" s="7" t="inlineStr">
        <is>
          <t>PNL</t>
        </is>
      </c>
      <c r="G784" s="7" t="inlineStr">
        <is>
          <t>USD</t>
        </is>
      </c>
      <c r="H784" s="11" t="n">
        <v>44706</v>
      </c>
      <c r="I784" s="11" t="n">
        <v>44708</v>
      </c>
      <c r="J784" s="11" t="n">
        <v>44720</v>
      </c>
      <c r="K784" s="11" t="n">
        <v>44720</v>
      </c>
      <c r="L784" s="7" t="inlineStr">
        <is>
          <t>roll following on the LME panel calendar</t>
        </is>
      </c>
      <c r="N784" s="7" t="inlineStr">
        <is>
          <t>ASSUMPTION</t>
        </is>
      </c>
      <c r="O784" s="9" t="n">
        <v>-85500</v>
      </c>
      <c r="P784" s="9" t="n">
        <v>-6641118.45</v>
      </c>
      <c r="U784" s="7" t="inlineStr">
        <is>
          <t>PYTHON_LIFECYCLE</t>
        </is>
      </c>
      <c r="V784" s="8">
        <f>$O784</f>
        <v/>
      </c>
      <c r="W784" s="8">
        <f>IF($G784="INR",1,INDEX(Market_Daily!$F$6:$F$256,MATCH($K784,Market_Daily!$A$6:$A$256,0)))</f>
        <v/>
      </c>
      <c r="X784" s="8">
        <f>$V784*$W784</f>
        <v/>
      </c>
      <c r="Y784" s="18">
        <f>$X784-$P784</f>
        <v/>
      </c>
      <c r="Z784" s="8">
        <f>IF(ABS($Y784)&lt;=tol_cashflow_inr,"PASS","FAIL")</f>
        <v/>
      </c>
      <c r="AA784" s="7" t="inlineStr">
        <is>
          <t>-boxes x (fixture rate once booked, else market box rate)</t>
        </is>
      </c>
    </row>
    <row r="785">
      <c r="A785" s="7" t="inlineStr">
        <is>
          <t>T07</t>
        </is>
      </c>
      <c r="B785" s="7" t="inlineStr">
        <is>
          <t>INSURANCE:L1</t>
        </is>
      </c>
      <c r="C785" s="7" t="inlineStr">
        <is>
          <t>L1</t>
        </is>
      </c>
      <c r="D785" s="7" t="inlineStr">
        <is>
          <t>INSURANCE</t>
        </is>
      </c>
      <c r="E785" s="7" t="inlineStr">
        <is>
          <t>INSURANCE</t>
        </is>
      </c>
      <c r="F785" s="7" t="inlineStr">
        <is>
          <t>PNL</t>
        </is>
      </c>
      <c r="G785" s="7" t="inlineStr">
        <is>
          <t>USD</t>
        </is>
      </c>
      <c r="H785" s="11" t="n">
        <v>44706</v>
      </c>
      <c r="I785" s="11" t="n">
        <v>44720</v>
      </c>
      <c r="J785" s="11" t="n">
        <v>44720</v>
      </c>
      <c r="K785" s="11" t="n">
        <v>44720</v>
      </c>
      <c r="L785" s="7" t="inlineStr">
        <is>
          <t>roll following on the LME panel calendar</t>
        </is>
      </c>
      <c r="N785" s="7" t="inlineStr">
        <is>
          <t>ASSUMPTION</t>
        </is>
      </c>
      <c r="O785" s="9" t="n">
        <v>-2262.45</v>
      </c>
      <c r="P785" s="9" t="n">
        <v>-175733.08</v>
      </c>
      <c r="U785" s="7" t="inlineStr">
        <is>
          <t>PYTHON_LIFECYCLE</t>
        </is>
      </c>
      <c r="V785" s="8">
        <f>$O785</f>
        <v/>
      </c>
      <c r="W785" s="8">
        <f>IF($G785="INR",1,INDEX(Market_Daily!$F$6:$F$256,MATCH($K785,Market_Daily!$A$6:$A$256,0)))</f>
        <v/>
      </c>
      <c r="X785" s="8">
        <f>$V785*$W785</f>
        <v/>
      </c>
      <c r="Y785" s="18">
        <f>$X785-$P785</f>
        <v/>
      </c>
      <c r="Z785" s="8">
        <f>IF(ABS($Y785)&lt;=tol_cashflow_inr,"PASS","FAIL")</f>
        <v/>
      </c>
      <c r="AA785" s="7" t="inlineStr">
        <is>
          <t>-insurance_rate x insured_value_uplift x cfr_value_usd</t>
        </is>
      </c>
    </row>
    <row r="786">
      <c r="A786" s="7" t="inlineStr">
        <is>
          <t>T07</t>
        </is>
      </c>
      <c r="B786" s="7" t="inlineStr">
        <is>
          <t>MCX:T07-MCX-1</t>
        </is>
      </c>
      <c r="C786" s="7" t="inlineStr">
        <is>
          <t>T07-MCX-1</t>
        </is>
      </c>
      <c r="D786" s="7" t="inlineStr">
        <is>
          <t>MCX_INITIAL_MARGIN</t>
        </is>
      </c>
      <c r="E786" s="7" t="inlineStr">
        <is>
          <t>MCX_INITIAL_MARGIN</t>
        </is>
      </c>
      <c r="F786" s="7" t="inlineStr">
        <is>
          <t>BS</t>
        </is>
      </c>
      <c r="G786" s="7" t="inlineStr">
        <is>
          <t>INR</t>
        </is>
      </c>
      <c r="H786" s="11" t="n">
        <v>44706</v>
      </c>
      <c r="I786" s="11" t="n">
        <v>44720</v>
      </c>
      <c r="J786" s="11" t="n">
        <v>44720</v>
      </c>
      <c r="K786" s="11" t="n">
        <v>44720</v>
      </c>
      <c r="L786" s="7" t="inlineStr">
        <is>
          <t>roll following on the LME panel calendar</t>
        </is>
      </c>
      <c r="N786" s="7" t="inlineStr">
        <is>
          <t>PROXY</t>
        </is>
      </c>
      <c r="O786" s="9" t="n">
        <v>-511459.72</v>
      </c>
      <c r="P786" s="9" t="n">
        <v>-511459.72</v>
      </c>
      <c r="U786" s="7" t="inlineStr">
        <is>
          <t>DERIVED_IN_WORKBOOK</t>
        </is>
      </c>
      <c r="V786" s="8">
        <f>-SUMIFS(Cashflows!$W$1043:$W$1393,Cashflows!$B$1043:$B$1393,$C786,Cashflows!$C$1043:$C$1393,$K786)</f>
        <v/>
      </c>
      <c r="W786" s="8">
        <f>IF($G786="INR",1,INDEX(Market_Daily!$F$6:$F$256,MATCH($K786,Market_Daily!$A$6:$A$256,0)))</f>
        <v/>
      </c>
      <c r="X786" s="8">
        <f>$V786*$W786</f>
        <v/>
      </c>
      <c r="Y786" s="18">
        <f>$X786-$P786</f>
        <v/>
      </c>
      <c r="Z786" s="8">
        <f>IF(ABS($Y786)&lt;=tol_cashflow_inr,"PASS","FAIL")</f>
        <v/>
      </c>
      <c r="AA786" s="7" t="inlineStr">
        <is>
          <t>-d(lots x lot_kg x F(s) x mcx_al_margin_used_frac)</t>
        </is>
      </c>
    </row>
    <row r="787">
      <c r="A787" s="7" t="inlineStr">
        <is>
          <t>T07</t>
        </is>
      </c>
      <c r="B787" s="7" t="inlineStr">
        <is>
          <t>MCX:T07-MCX-1</t>
        </is>
      </c>
      <c r="C787" s="7" t="inlineStr">
        <is>
          <t>T07-MCX-1</t>
        </is>
      </c>
      <c r="D787" s="7" t="inlineStr">
        <is>
          <t>MCX_VARIATION_MARGIN</t>
        </is>
      </c>
      <c r="E787" s="7" t="inlineStr">
        <is>
          <t>MCX_VARIATION_MARGIN</t>
        </is>
      </c>
      <c r="F787" s="7" t="inlineStr">
        <is>
          <t>PNL</t>
        </is>
      </c>
      <c r="G787" s="7" t="inlineStr">
        <is>
          <t>INR</t>
        </is>
      </c>
      <c r="H787" s="11" t="n">
        <v>44706</v>
      </c>
      <c r="I787" s="11" t="n">
        <v>44720</v>
      </c>
      <c r="J787" s="11" t="n">
        <v>44720</v>
      </c>
      <c r="K787" s="11" t="n">
        <v>44720</v>
      </c>
      <c r="L787" s="7" t="inlineStr">
        <is>
          <t>roll following on the LME panel calendar</t>
        </is>
      </c>
      <c r="N787" s="7" t="inlineStr">
        <is>
          <t>PROXY</t>
        </is>
      </c>
      <c r="O787" s="9" t="n">
        <v>-5114597.16</v>
      </c>
      <c r="P787" s="9" t="n">
        <v>-5114597.16</v>
      </c>
      <c r="U787" s="7" t="inlineStr">
        <is>
          <t>DERIVED_IN_WORKBOOK</t>
        </is>
      </c>
      <c r="V787" s="8">
        <f>SUMIFS(Cashflows!$R$1043:$R$1393,Cashflows!$B$1043:$B$1393,$C787,Cashflows!$C$1043:$C$1393,$K787)</f>
        <v/>
      </c>
      <c r="W787" s="8">
        <f>IF($G787="INR",1,INDEX(Market_Daily!$F$6:$F$256,MATCH($K787,Market_Daily!$A$6:$A$256,0)))</f>
        <v/>
      </c>
      <c r="X787" s="8">
        <f>$V787*$W787</f>
        <v/>
      </c>
      <c r="Y787" s="18">
        <f>$X787-$P787</f>
        <v/>
      </c>
      <c r="Z787" s="8">
        <f>IF(ABS($Y787)&lt;=tol_cashflow_inr,"PASS","FAIL")</f>
        <v/>
      </c>
      <c r="AA787" s="7" t="inlineStr">
        <is>
          <t>direction x lots x lot_kg x (F(s) - F(s-1))</t>
        </is>
      </c>
    </row>
    <row r="788">
      <c r="A788" s="7" t="inlineStr">
        <is>
          <t>T07</t>
        </is>
      </c>
      <c r="B788" s="7" t="inlineStr">
        <is>
          <t>MCX:T07-MCX-1</t>
        </is>
      </c>
      <c r="C788" s="7" t="inlineStr">
        <is>
          <t>T07-MCX-1</t>
        </is>
      </c>
      <c r="D788" s="7" t="inlineStr">
        <is>
          <t>MCX_INITIAL_MARGIN</t>
        </is>
      </c>
      <c r="E788" s="7" t="inlineStr">
        <is>
          <t>MCX_INITIAL_MARGIN</t>
        </is>
      </c>
      <c r="F788" s="7" t="inlineStr">
        <is>
          <t>BS</t>
        </is>
      </c>
      <c r="G788" s="7" t="inlineStr">
        <is>
          <t>INR</t>
        </is>
      </c>
      <c r="H788" s="11" t="n">
        <v>44706</v>
      </c>
      <c r="I788" s="11" t="n">
        <v>44721</v>
      </c>
      <c r="J788" s="11" t="n">
        <v>44721</v>
      </c>
      <c r="K788" s="11" t="n">
        <v>44721</v>
      </c>
      <c r="L788" s="7" t="inlineStr">
        <is>
          <t>roll following on the LME panel calendar</t>
        </is>
      </c>
      <c r="N788" s="7" t="inlineStr">
        <is>
          <t>PROXY</t>
        </is>
      </c>
      <c r="O788" s="9" t="n">
        <v>111646.94</v>
      </c>
      <c r="P788" s="9" t="n">
        <v>111646.94</v>
      </c>
      <c r="U788" s="7" t="inlineStr">
        <is>
          <t>DERIVED_IN_WORKBOOK</t>
        </is>
      </c>
      <c r="V788" s="8">
        <f>-SUMIFS(Cashflows!$W$1043:$W$1393,Cashflows!$B$1043:$B$1393,$C788,Cashflows!$C$1043:$C$1393,$K788)</f>
        <v/>
      </c>
      <c r="W788" s="8">
        <f>IF($G788="INR",1,INDEX(Market_Daily!$F$6:$F$256,MATCH($K788,Market_Daily!$A$6:$A$256,0)))</f>
        <v/>
      </c>
      <c r="X788" s="8">
        <f>$V788*$W788</f>
        <v/>
      </c>
      <c r="Y788" s="18">
        <f>$X788-$P788</f>
        <v/>
      </c>
      <c r="Z788" s="8">
        <f>IF(ABS($Y788)&lt;=tol_cashflow_inr,"PASS","FAIL")</f>
        <v/>
      </c>
      <c r="AA788" s="7" t="inlineStr">
        <is>
          <t>-d(lots x lot_kg x F(s) x mcx_al_margin_used_frac)</t>
        </is>
      </c>
    </row>
    <row r="789">
      <c r="A789" s="7" t="inlineStr">
        <is>
          <t>T07</t>
        </is>
      </c>
      <c r="B789" s="7" t="inlineStr">
        <is>
          <t>MCX:T07-MCX-1</t>
        </is>
      </c>
      <c r="C789" s="7" t="inlineStr">
        <is>
          <t>T07-MCX-1</t>
        </is>
      </c>
      <c r="D789" s="7" t="inlineStr">
        <is>
          <t>MCX_VARIATION_MARGIN</t>
        </is>
      </c>
      <c r="E789" s="7" t="inlineStr">
        <is>
          <t>MCX_VARIATION_MARGIN</t>
        </is>
      </c>
      <c r="F789" s="7" t="inlineStr">
        <is>
          <t>PNL</t>
        </is>
      </c>
      <c r="G789" s="7" t="inlineStr">
        <is>
          <t>INR</t>
        </is>
      </c>
      <c r="H789" s="11" t="n">
        <v>44706</v>
      </c>
      <c r="I789" s="11" t="n">
        <v>44721</v>
      </c>
      <c r="J789" s="11" t="n">
        <v>44721</v>
      </c>
      <c r="K789" s="11" t="n">
        <v>44721</v>
      </c>
      <c r="L789" s="7" t="inlineStr">
        <is>
          <t>roll following on the LME panel calendar</t>
        </is>
      </c>
      <c r="N789" s="7" t="inlineStr">
        <is>
          <t>PROXY</t>
        </is>
      </c>
      <c r="O789" s="9" t="n">
        <v>1116469.39</v>
      </c>
      <c r="P789" s="9" t="n">
        <v>1116469.39</v>
      </c>
      <c r="U789" s="7" t="inlineStr">
        <is>
          <t>DERIVED_IN_WORKBOOK</t>
        </is>
      </c>
      <c r="V789" s="8">
        <f>SUMIFS(Cashflows!$R$1043:$R$1393,Cashflows!$B$1043:$B$1393,$C789,Cashflows!$C$1043:$C$1393,$K789)</f>
        <v/>
      </c>
      <c r="W789" s="8">
        <f>IF($G789="INR",1,INDEX(Market_Daily!$F$6:$F$256,MATCH($K789,Market_Daily!$A$6:$A$256,0)))</f>
        <v/>
      </c>
      <c r="X789" s="8">
        <f>$V789*$W789</f>
        <v/>
      </c>
      <c r="Y789" s="18">
        <f>$X789-$P789</f>
        <v/>
      </c>
      <c r="Z789" s="8">
        <f>IF(ABS($Y789)&lt;=tol_cashflow_inr,"PASS","FAIL")</f>
        <v/>
      </c>
      <c r="AA789" s="7" t="inlineStr">
        <is>
          <t>direction x lots x lot_kg x (F(s) - F(s-1))</t>
        </is>
      </c>
    </row>
    <row r="790">
      <c r="A790" s="7" t="inlineStr">
        <is>
          <t>T07</t>
        </is>
      </c>
      <c r="B790" s="7" t="inlineStr">
        <is>
          <t>MCX:T07-MCX-1</t>
        </is>
      </c>
      <c r="C790" s="7" t="inlineStr">
        <is>
          <t>T07-MCX-1</t>
        </is>
      </c>
      <c r="D790" s="7" t="inlineStr">
        <is>
          <t>MCX_INITIAL_MARGIN</t>
        </is>
      </c>
      <c r="E790" s="7" t="inlineStr">
        <is>
          <t>MCX_INITIAL_MARGIN</t>
        </is>
      </c>
      <c r="F790" s="7" t="inlineStr">
        <is>
          <t>BS</t>
        </is>
      </c>
      <c r="G790" s="7" t="inlineStr">
        <is>
          <t>INR</t>
        </is>
      </c>
      <c r="H790" s="11" t="n">
        <v>44706</v>
      </c>
      <c r="I790" s="11" t="n">
        <v>44722</v>
      </c>
      <c r="J790" s="11" t="n">
        <v>44722</v>
      </c>
      <c r="K790" s="11" t="n">
        <v>44722</v>
      </c>
      <c r="L790" s="7" t="inlineStr">
        <is>
          <t>roll following on the LME panel calendar</t>
        </is>
      </c>
      <c r="N790" s="7" t="inlineStr">
        <is>
          <t>PROXY</t>
        </is>
      </c>
      <c r="O790" s="9" t="n">
        <v>571837.3</v>
      </c>
      <c r="P790" s="9" t="n">
        <v>571837.3</v>
      </c>
      <c r="U790" s="7" t="inlineStr">
        <is>
          <t>DERIVED_IN_WORKBOOK</t>
        </is>
      </c>
      <c r="V790" s="8">
        <f>-SUMIFS(Cashflows!$W$1043:$W$1393,Cashflows!$B$1043:$B$1393,$C790,Cashflows!$C$1043:$C$1393,$K790)</f>
        <v/>
      </c>
      <c r="W790" s="8">
        <f>IF($G790="INR",1,INDEX(Market_Daily!$F$6:$F$256,MATCH($K790,Market_Daily!$A$6:$A$256,0)))</f>
        <v/>
      </c>
      <c r="X790" s="8">
        <f>$V790*$W790</f>
        <v/>
      </c>
      <c r="Y790" s="18">
        <f>$X790-$P790</f>
        <v/>
      </c>
      <c r="Z790" s="8">
        <f>IF(ABS($Y790)&lt;=tol_cashflow_inr,"PASS","FAIL")</f>
        <v/>
      </c>
      <c r="AA790" s="7" t="inlineStr">
        <is>
          <t>-d(lots x lot_kg x F(s) x mcx_al_margin_used_frac)</t>
        </is>
      </c>
    </row>
    <row r="791">
      <c r="A791" s="7" t="inlineStr">
        <is>
          <t>T07</t>
        </is>
      </c>
      <c r="B791" s="7" t="inlineStr">
        <is>
          <t>MCX:T07-MCX-1</t>
        </is>
      </c>
      <c r="C791" s="7" t="inlineStr">
        <is>
          <t>T07-MCX-1</t>
        </is>
      </c>
      <c r="D791" s="7" t="inlineStr">
        <is>
          <t>MCX_VARIATION_MARGIN</t>
        </is>
      </c>
      <c r="E791" s="7" t="inlineStr">
        <is>
          <t>MCX_VARIATION_MARGIN</t>
        </is>
      </c>
      <c r="F791" s="7" t="inlineStr">
        <is>
          <t>PNL</t>
        </is>
      </c>
      <c r="G791" s="7" t="inlineStr">
        <is>
          <t>INR</t>
        </is>
      </c>
      <c r="H791" s="11" t="n">
        <v>44706</v>
      </c>
      <c r="I791" s="11" t="n">
        <v>44722</v>
      </c>
      <c r="J791" s="11" t="n">
        <v>44722</v>
      </c>
      <c r="K791" s="11" t="n">
        <v>44722</v>
      </c>
      <c r="L791" s="7" t="inlineStr">
        <is>
          <t>roll following on the LME panel calendar</t>
        </is>
      </c>
      <c r="N791" s="7" t="inlineStr">
        <is>
          <t>PROXY</t>
        </is>
      </c>
      <c r="O791" s="9" t="n">
        <v>5718373.03</v>
      </c>
      <c r="P791" s="9" t="n">
        <v>5718373.03</v>
      </c>
      <c r="U791" s="7" t="inlineStr">
        <is>
          <t>DERIVED_IN_WORKBOOK</t>
        </is>
      </c>
      <c r="V791" s="8">
        <f>SUMIFS(Cashflows!$R$1043:$R$1393,Cashflows!$B$1043:$B$1393,$C791,Cashflows!$C$1043:$C$1393,$K791)</f>
        <v/>
      </c>
      <c r="W791" s="8">
        <f>IF($G791="INR",1,INDEX(Market_Daily!$F$6:$F$256,MATCH($K791,Market_Daily!$A$6:$A$256,0)))</f>
        <v/>
      </c>
      <c r="X791" s="8">
        <f>$V791*$W791</f>
        <v/>
      </c>
      <c r="Y791" s="18">
        <f>$X791-$P791</f>
        <v/>
      </c>
      <c r="Z791" s="8">
        <f>IF(ABS($Y791)&lt;=tol_cashflow_inr,"PASS","FAIL")</f>
        <v/>
      </c>
      <c r="AA791" s="7" t="inlineStr">
        <is>
          <t>direction x lots x lot_kg x (F(s) - F(s-1))</t>
        </is>
      </c>
    </row>
    <row r="792">
      <c r="A792" s="7" t="inlineStr">
        <is>
          <t>T07</t>
        </is>
      </c>
      <c r="B792" s="7" t="inlineStr">
        <is>
          <t>MCX:T07-MCX-1</t>
        </is>
      </c>
      <c r="C792" s="7" t="inlineStr">
        <is>
          <t>T07-MCX-1</t>
        </is>
      </c>
      <c r="D792" s="7" t="inlineStr">
        <is>
          <t>MCX_INITIAL_MARGIN</t>
        </is>
      </c>
      <c r="E792" s="7" t="inlineStr">
        <is>
          <t>MCX_INITIAL_MARGIN</t>
        </is>
      </c>
      <c r="F792" s="7" t="inlineStr">
        <is>
          <t>BS</t>
        </is>
      </c>
      <c r="G792" s="7" t="inlineStr">
        <is>
          <t>INR</t>
        </is>
      </c>
      <c r="H792" s="11" t="n">
        <v>44706</v>
      </c>
      <c r="I792" s="11" t="n">
        <v>44725</v>
      </c>
      <c r="J792" s="11" t="n">
        <v>44725</v>
      </c>
      <c r="K792" s="11" t="n">
        <v>44725</v>
      </c>
      <c r="L792" s="7" t="inlineStr">
        <is>
          <t>roll following on the LME panel calendar</t>
        </is>
      </c>
      <c r="N792" s="7" t="inlineStr">
        <is>
          <t>PROXY</t>
        </is>
      </c>
      <c r="O792" s="9" t="n">
        <v>1036647.45</v>
      </c>
      <c r="P792" s="9" t="n">
        <v>1036647.45</v>
      </c>
      <c r="U792" s="7" t="inlineStr">
        <is>
          <t>DERIVED_IN_WORKBOOK</t>
        </is>
      </c>
      <c r="V792" s="8">
        <f>-SUMIFS(Cashflows!$W$1043:$W$1393,Cashflows!$B$1043:$B$1393,$C792,Cashflows!$C$1043:$C$1393,$K792)</f>
        <v/>
      </c>
      <c r="W792" s="8">
        <f>IF($G792="INR",1,INDEX(Market_Daily!$F$6:$F$256,MATCH($K792,Market_Daily!$A$6:$A$256,0)))</f>
        <v/>
      </c>
      <c r="X792" s="8">
        <f>$V792*$W792</f>
        <v/>
      </c>
      <c r="Y792" s="18">
        <f>$X792-$P792</f>
        <v/>
      </c>
      <c r="Z792" s="8">
        <f>IF(ABS($Y792)&lt;=tol_cashflow_inr,"PASS","FAIL")</f>
        <v/>
      </c>
      <c r="AA792" s="7" t="inlineStr">
        <is>
          <t>-d(lots x lot_kg x F(s) x mcx_al_margin_used_frac)</t>
        </is>
      </c>
    </row>
    <row r="793">
      <c r="A793" s="7" t="inlineStr">
        <is>
          <t>T07</t>
        </is>
      </c>
      <c r="B793" s="7" t="inlineStr">
        <is>
          <t>MCX:T07-MCX-1</t>
        </is>
      </c>
      <c r="C793" s="7" t="inlineStr">
        <is>
          <t>T07-MCX-1</t>
        </is>
      </c>
      <c r="D793" s="7" t="inlineStr">
        <is>
          <t>MCX_VARIATION_MARGIN</t>
        </is>
      </c>
      <c r="E793" s="7" t="inlineStr">
        <is>
          <t>MCX_VARIATION_MARGIN</t>
        </is>
      </c>
      <c r="F793" s="7" t="inlineStr">
        <is>
          <t>PNL</t>
        </is>
      </c>
      <c r="G793" s="7" t="inlineStr">
        <is>
          <t>INR</t>
        </is>
      </c>
      <c r="H793" s="11" t="n">
        <v>44706</v>
      </c>
      <c r="I793" s="11" t="n">
        <v>44725</v>
      </c>
      <c r="J793" s="11" t="n">
        <v>44725</v>
      </c>
      <c r="K793" s="11" t="n">
        <v>44725</v>
      </c>
      <c r="L793" s="7" t="inlineStr">
        <is>
          <t>roll following on the LME panel calendar</t>
        </is>
      </c>
      <c r="N793" s="7" t="inlineStr">
        <is>
          <t>PROXY</t>
        </is>
      </c>
      <c r="O793" s="9" t="n">
        <v>10366474.51</v>
      </c>
      <c r="P793" s="9" t="n">
        <v>10366474.51</v>
      </c>
      <c r="U793" s="7" t="inlineStr">
        <is>
          <t>DERIVED_IN_WORKBOOK</t>
        </is>
      </c>
      <c r="V793" s="8">
        <f>SUMIFS(Cashflows!$R$1043:$R$1393,Cashflows!$B$1043:$B$1393,$C793,Cashflows!$C$1043:$C$1393,$K793)</f>
        <v/>
      </c>
      <c r="W793" s="8">
        <f>IF($G793="INR",1,INDEX(Market_Daily!$F$6:$F$256,MATCH($K793,Market_Daily!$A$6:$A$256,0)))</f>
        <v/>
      </c>
      <c r="X793" s="8">
        <f>$V793*$W793</f>
        <v/>
      </c>
      <c r="Y793" s="18">
        <f>$X793-$P793</f>
        <v/>
      </c>
      <c r="Z793" s="8">
        <f>IF(ABS($Y793)&lt;=tol_cashflow_inr,"PASS","FAIL")</f>
        <v/>
      </c>
      <c r="AA793" s="7" t="inlineStr">
        <is>
          <t>direction x lots x lot_kg x (F(s) - F(s-1))</t>
        </is>
      </c>
    </row>
    <row r="794">
      <c r="A794" s="7" t="inlineStr">
        <is>
          <t>T07</t>
        </is>
      </c>
      <c r="B794" s="7" t="inlineStr">
        <is>
          <t>MCX:T07-MCX-1</t>
        </is>
      </c>
      <c r="C794" s="7" t="inlineStr">
        <is>
          <t>T07-MCX-1</t>
        </is>
      </c>
      <c r="D794" s="7" t="inlineStr">
        <is>
          <t>MCX_INITIAL_MARGIN</t>
        </is>
      </c>
      <c r="E794" s="7" t="inlineStr">
        <is>
          <t>MCX_INITIAL_MARGIN</t>
        </is>
      </c>
      <c r="F794" s="7" t="inlineStr">
        <is>
          <t>BS</t>
        </is>
      </c>
      <c r="G794" s="7" t="inlineStr">
        <is>
          <t>INR</t>
        </is>
      </c>
      <c r="H794" s="11" t="n">
        <v>44706</v>
      </c>
      <c r="I794" s="11" t="n">
        <v>44726</v>
      </c>
      <c r="J794" s="11" t="n">
        <v>44726</v>
      </c>
      <c r="K794" s="11" t="n">
        <v>44726</v>
      </c>
      <c r="L794" s="7" t="inlineStr">
        <is>
          <t>roll following on the LME panel calendar</t>
        </is>
      </c>
      <c r="N794" s="7" t="inlineStr">
        <is>
          <t>PROXY</t>
        </is>
      </c>
      <c r="O794" s="9" t="n">
        <v>27295.9</v>
      </c>
      <c r="P794" s="9" t="n">
        <v>27295.9</v>
      </c>
      <c r="U794" s="7" t="inlineStr">
        <is>
          <t>DERIVED_IN_WORKBOOK</t>
        </is>
      </c>
      <c r="V794" s="8">
        <f>-SUMIFS(Cashflows!$W$1043:$W$1393,Cashflows!$B$1043:$B$1393,$C794,Cashflows!$C$1043:$C$1393,$K794)</f>
        <v/>
      </c>
      <c r="W794" s="8">
        <f>IF($G794="INR",1,INDEX(Market_Daily!$F$6:$F$256,MATCH($K794,Market_Daily!$A$6:$A$256,0)))</f>
        <v/>
      </c>
      <c r="X794" s="8">
        <f>$V794*$W794</f>
        <v/>
      </c>
      <c r="Y794" s="18">
        <f>$X794-$P794</f>
        <v/>
      </c>
      <c r="Z794" s="8">
        <f>IF(ABS($Y794)&lt;=tol_cashflow_inr,"PASS","FAIL")</f>
        <v/>
      </c>
      <c r="AA794" s="7" t="inlineStr">
        <is>
          <t>-d(lots x lot_kg x F(s) x mcx_al_margin_used_frac)</t>
        </is>
      </c>
    </row>
    <row r="795">
      <c r="A795" s="7" t="inlineStr">
        <is>
          <t>T07</t>
        </is>
      </c>
      <c r="B795" s="7" t="inlineStr">
        <is>
          <t>MCX:T07-MCX-1</t>
        </is>
      </c>
      <c r="C795" s="7" t="inlineStr">
        <is>
          <t>T07-MCX-1</t>
        </is>
      </c>
      <c r="D795" s="7" t="inlineStr">
        <is>
          <t>MCX_VARIATION_MARGIN</t>
        </is>
      </c>
      <c r="E795" s="7" t="inlineStr">
        <is>
          <t>MCX_VARIATION_MARGIN</t>
        </is>
      </c>
      <c r="F795" s="7" t="inlineStr">
        <is>
          <t>PNL</t>
        </is>
      </c>
      <c r="G795" s="7" t="inlineStr">
        <is>
          <t>INR</t>
        </is>
      </c>
      <c r="H795" s="11" t="n">
        <v>44706</v>
      </c>
      <c r="I795" s="11" t="n">
        <v>44726</v>
      </c>
      <c r="J795" s="11" t="n">
        <v>44726</v>
      </c>
      <c r="K795" s="11" t="n">
        <v>44726</v>
      </c>
      <c r="L795" s="7" t="inlineStr">
        <is>
          <t>roll following on the LME panel calendar</t>
        </is>
      </c>
      <c r="N795" s="7" t="inlineStr">
        <is>
          <t>PROXY</t>
        </is>
      </c>
      <c r="O795" s="9" t="n">
        <v>272959.05</v>
      </c>
      <c r="P795" s="9" t="n">
        <v>272959.05</v>
      </c>
      <c r="U795" s="7" t="inlineStr">
        <is>
          <t>DERIVED_IN_WORKBOOK</t>
        </is>
      </c>
      <c r="V795" s="8">
        <f>SUMIFS(Cashflows!$R$1043:$R$1393,Cashflows!$B$1043:$B$1393,$C795,Cashflows!$C$1043:$C$1393,$K795)</f>
        <v/>
      </c>
      <c r="W795" s="8">
        <f>IF($G795="INR",1,INDEX(Market_Daily!$F$6:$F$256,MATCH($K795,Market_Daily!$A$6:$A$256,0)))</f>
        <v/>
      </c>
      <c r="X795" s="8">
        <f>$V795*$W795</f>
        <v/>
      </c>
      <c r="Y795" s="18">
        <f>$X795-$P795</f>
        <v/>
      </c>
      <c r="Z795" s="8">
        <f>IF(ABS($Y795)&lt;=tol_cashflow_inr,"PASS","FAIL")</f>
        <v/>
      </c>
      <c r="AA795" s="7" t="inlineStr">
        <is>
          <t>direction x lots x lot_kg x (F(s) - F(s-1))</t>
        </is>
      </c>
    </row>
    <row r="796">
      <c r="A796" s="7" t="inlineStr">
        <is>
          <t>T07</t>
        </is>
      </c>
      <c r="B796" s="7" t="inlineStr">
        <is>
          <t>BILL_COMMISSION:L1</t>
        </is>
      </c>
      <c r="C796" s="7" t="inlineStr">
        <is>
          <t>L1</t>
        </is>
      </c>
      <c r="D796" s="7" t="inlineStr">
        <is>
          <t>IMPORT_BILL_COMMISSION</t>
        </is>
      </c>
      <c r="E796" s="7" t="inlineStr">
        <is>
          <t>IMPORT_BILL_COMMISSION</t>
        </is>
      </c>
      <c r="F796" s="7" t="inlineStr">
        <is>
          <t>PNL</t>
        </is>
      </c>
      <c r="G796" s="7" t="inlineStr">
        <is>
          <t>USD</t>
        </is>
      </c>
      <c r="H796" s="11" t="n">
        <v>44706</v>
      </c>
      <c r="I796" s="11" t="n">
        <v>44727</v>
      </c>
      <c r="J796" s="11" t="n">
        <v>44727</v>
      </c>
      <c r="K796" s="11" t="n">
        <v>44727</v>
      </c>
      <c r="L796" s="7" t="inlineStr">
        <is>
          <t>roll following on the LME panel calendar</t>
        </is>
      </c>
      <c r="N796" s="7" t="inlineStr">
        <is>
          <t>DIRECT</t>
        </is>
      </c>
      <c r="O796" s="9" t="n">
        <v>-2365.52</v>
      </c>
      <c r="P796" s="9" t="n">
        <v>-184856.48</v>
      </c>
      <c r="U796" s="7" t="inlineStr">
        <is>
          <t>PYTHON_LIFECYCLE</t>
        </is>
      </c>
      <c r="V796" s="8">
        <f>$O796</f>
        <v/>
      </c>
      <c r="W796" s="8">
        <f>IF($G796="INR",1,INDEX(Market_Daily!$F$6:$F$256,MATCH($K796,Market_Daily!$A$6:$A$256,0)))</f>
        <v/>
      </c>
      <c r="X796" s="8">
        <f>$V796*$W796</f>
        <v/>
      </c>
      <c r="Y796" s="18">
        <f>$X796-$P796</f>
        <v/>
      </c>
      <c r="Z796" s="8">
        <f>IF(ABS($Y796)&lt;=tol_cashflow_inr,"PASS","FAIL")</f>
        <v/>
      </c>
      <c r="AA796" s="7" t="inlineStr">
        <is>
          <t>-import_bill_commission_frac x bill_usd</t>
        </is>
      </c>
    </row>
    <row r="797">
      <c r="A797" s="7" t="inlineStr">
        <is>
          <t>T07</t>
        </is>
      </c>
      <c r="B797" s="7" t="inlineStr">
        <is>
          <t>FREIGHT:L2</t>
        </is>
      </c>
      <c r="C797" s="7" t="inlineStr">
        <is>
          <t>L2</t>
        </is>
      </c>
      <c r="D797" s="7" t="inlineStr">
        <is>
          <t>FREIGHT</t>
        </is>
      </c>
      <c r="E797" s="7" t="inlineStr">
        <is>
          <t>FREIGHT</t>
        </is>
      </c>
      <c r="F797" s="7" t="inlineStr">
        <is>
          <t>PNL</t>
        </is>
      </c>
      <c r="G797" s="7" t="inlineStr">
        <is>
          <t>USD</t>
        </is>
      </c>
      <c r="H797" s="11" t="n">
        <v>44706</v>
      </c>
      <c r="I797" s="11" t="n">
        <v>44708</v>
      </c>
      <c r="J797" s="11" t="n">
        <v>44727</v>
      </c>
      <c r="K797" s="11" t="n">
        <v>44727</v>
      </c>
      <c r="L797" s="7" t="inlineStr">
        <is>
          <t>roll following on the LME panel calendar</t>
        </is>
      </c>
      <c r="N797" s="7" t="inlineStr">
        <is>
          <t>ASSUMPTION</t>
        </is>
      </c>
      <c r="O797" s="9" t="n">
        <v>-85500</v>
      </c>
      <c r="P797" s="9" t="n">
        <v>-6681491.55</v>
      </c>
      <c r="U797" s="7" t="inlineStr">
        <is>
          <t>PYTHON_LIFECYCLE</t>
        </is>
      </c>
      <c r="V797" s="8">
        <f>$O797</f>
        <v/>
      </c>
      <c r="W797" s="8">
        <f>IF($G797="INR",1,INDEX(Market_Daily!$F$6:$F$256,MATCH($K797,Market_Daily!$A$6:$A$256,0)))</f>
        <v/>
      </c>
      <c r="X797" s="8">
        <f>$V797*$W797</f>
        <v/>
      </c>
      <c r="Y797" s="18">
        <f>$X797-$P797</f>
        <v/>
      </c>
      <c r="Z797" s="8">
        <f>IF(ABS($Y797)&lt;=tol_cashflow_inr,"PASS","FAIL")</f>
        <v/>
      </c>
      <c r="AA797" s="7" t="inlineStr">
        <is>
          <t>-boxes x (fixture rate once booked, else market box rate)</t>
        </is>
      </c>
    </row>
    <row r="798">
      <c r="A798" s="7" t="inlineStr">
        <is>
          <t>T07</t>
        </is>
      </c>
      <c r="B798" s="7" t="inlineStr">
        <is>
          <t>FX:T07-FX-1</t>
        </is>
      </c>
      <c r="C798" s="7" t="inlineStr">
        <is>
          <t>T07-FX-1</t>
        </is>
      </c>
      <c r="D798" s="7" t="inlineStr">
        <is>
          <t>FX_FORWARD</t>
        </is>
      </c>
      <c r="E798" s="7" t="inlineStr">
        <is>
          <t>FX_FORWARD</t>
        </is>
      </c>
      <c r="F798" s="7" t="inlineStr">
        <is>
          <t>PNL</t>
        </is>
      </c>
      <c r="G798" s="7" t="inlineStr">
        <is>
          <t>INR</t>
        </is>
      </c>
      <c r="H798" s="11" t="n">
        <v>44720</v>
      </c>
      <c r="I798" s="11" t="n">
        <v>44727</v>
      </c>
      <c r="J798" s="11" t="n">
        <v>44727</v>
      </c>
      <c r="K798" s="11" t="n">
        <v>44727</v>
      </c>
      <c r="L798" s="7" t="inlineStr">
        <is>
          <t>roll following on the LME panel calendar</t>
        </is>
      </c>
      <c r="N798" s="7" t="inlineStr">
        <is>
          <t>PROXY</t>
        </is>
      </c>
      <c r="O798" s="9" t="n">
        <v>620075.6899999999</v>
      </c>
      <c r="P798" s="9" t="n">
        <v>620075.6899999999</v>
      </c>
      <c r="Q798" s="6" t="n">
        <v>1</v>
      </c>
      <c r="R798" s="13" t="n">
        <v>1971300</v>
      </c>
      <c r="S798" s="12" t="n">
        <v>44727</v>
      </c>
      <c r="T798" s="21" t="n">
        <v>77.831548</v>
      </c>
      <c r="U798" s="7" t="inlineStr">
        <is>
          <t>DERIVED_IN_WORKBOOK</t>
        </is>
      </c>
      <c r="V798" s="8">
        <f>$Q798*$R798*(IF($S798&lt;$K798,INDEX(Market_Daily!$F$6:$F$256,MATCH($S798,Market_Daily!$A$6:$A$256,1)),IF($S798=$K798,INDEX(Market_Daily!$F$6:$F$256,MATCH($K798,Market_Daily!$A$6:$A$256,0)),(INDEX(Market_Daily!$F$6:$F$256,MATCH($K798,Market_Daily!$A$6:$A$256,0))*(1+INDEX(Market_Daily!$I$6:$I$256,MATCH($K798,Market_Daily!$A$6:$A$256,0))*($S798-$K798)/day_count_inr)/(1+INDEX(Market_Daily!$J$6:$J$256,MATCH($K798,Market_Daily!$A$6:$A$256,0))*($S798-$K798)/day_count_usd))))-$T798)</f>
        <v/>
      </c>
      <c r="W798" s="8">
        <f>IF($G798="INR",1,INDEX(Market_Daily!$F$6:$F$256,MATCH($K798,Market_Daily!$A$6:$A$256,0)))</f>
        <v/>
      </c>
      <c r="X798" s="8">
        <f>$V798*$W798</f>
        <v/>
      </c>
      <c r="Y798" s="18">
        <f>$X798-$P798</f>
        <v/>
      </c>
      <c r="Z798" s="8">
        <f>IF(ABS($Y798)&lt;=tol_cashflow_inr,"PASS","FAIL")</f>
        <v/>
      </c>
      <c r="AA798" s="7" t="inlineStr">
        <is>
          <t>sign x notional x (X(tau, value_date) - K)</t>
        </is>
      </c>
    </row>
    <row r="799">
      <c r="A799" s="7" t="inlineStr">
        <is>
          <t>T07</t>
        </is>
      </c>
      <c r="B799" s="7" t="inlineStr">
        <is>
          <t>FX:T07-FX-3</t>
        </is>
      </c>
      <c r="C799" s="7" t="inlineStr">
        <is>
          <t>T07-FX-3</t>
        </is>
      </c>
      <c r="D799" s="7" t="inlineStr">
        <is>
          <t>FX_FORWARD</t>
        </is>
      </c>
      <c r="E799" s="7" t="inlineStr">
        <is>
          <t>FX_FORWARD</t>
        </is>
      </c>
      <c r="F799" s="7" t="inlineStr">
        <is>
          <t>PNL</t>
        </is>
      </c>
      <c r="G799" s="7" t="inlineStr">
        <is>
          <t>INR</t>
        </is>
      </c>
      <c r="H799" s="11" t="n">
        <v>44708</v>
      </c>
      <c r="I799" s="11" t="n">
        <v>44727</v>
      </c>
      <c r="J799" s="11" t="n">
        <v>44727</v>
      </c>
      <c r="K799" s="11" t="n">
        <v>44727</v>
      </c>
      <c r="L799" s="7" t="inlineStr">
        <is>
          <t>roll following on the LME panel calendar</t>
        </is>
      </c>
      <c r="N799" s="7" t="inlineStr">
        <is>
          <t>PROXY</t>
        </is>
      </c>
      <c r="O799" s="9" t="n">
        <v>52854.22</v>
      </c>
      <c r="P799" s="9" t="n">
        <v>52854.22</v>
      </c>
      <c r="Q799" s="6" t="n">
        <v>1</v>
      </c>
      <c r="R799" s="13" t="n">
        <v>171000</v>
      </c>
      <c r="S799" s="12" t="n">
        <v>44727</v>
      </c>
      <c r="T799" s="21" t="n">
        <v>77.837011</v>
      </c>
      <c r="U799" s="7" t="inlineStr">
        <is>
          <t>DERIVED_IN_WORKBOOK</t>
        </is>
      </c>
      <c r="V799" s="8">
        <f>$Q799*$R799*(IF($S799&lt;$K799,INDEX(Market_Daily!$F$6:$F$256,MATCH($S799,Market_Daily!$A$6:$A$256,1)),IF($S799=$K799,INDEX(Market_Daily!$F$6:$F$256,MATCH($K799,Market_Daily!$A$6:$A$256,0)),(INDEX(Market_Daily!$F$6:$F$256,MATCH($K799,Market_Daily!$A$6:$A$256,0))*(1+INDEX(Market_Daily!$I$6:$I$256,MATCH($K799,Market_Daily!$A$6:$A$256,0))*($S799-$K799)/day_count_inr)/(1+INDEX(Market_Daily!$J$6:$J$256,MATCH($K799,Market_Daily!$A$6:$A$256,0))*($S799-$K799)/day_count_usd))))-$T799)</f>
        <v/>
      </c>
      <c r="W799" s="8">
        <f>IF($G799="INR",1,INDEX(Market_Daily!$F$6:$F$256,MATCH($K799,Market_Daily!$A$6:$A$256,0)))</f>
        <v/>
      </c>
      <c r="X799" s="8">
        <f>$V799*$W799</f>
        <v/>
      </c>
      <c r="Y799" s="18">
        <f>$X799-$P799</f>
        <v/>
      </c>
      <c r="Z799" s="8">
        <f>IF(ABS($Y799)&lt;=tol_cashflow_inr,"PASS","FAIL")</f>
        <v/>
      </c>
      <c r="AA799" s="7" t="inlineStr">
        <is>
          <t>sign x notional x (X(tau, value_date) - K)</t>
        </is>
      </c>
    </row>
    <row r="800">
      <c r="A800" s="7" t="inlineStr">
        <is>
          <t>T07</t>
        </is>
      </c>
      <c r="B800" s="7" t="inlineStr">
        <is>
          <t>INSURANCE:L2</t>
        </is>
      </c>
      <c r="C800" s="7" t="inlineStr">
        <is>
          <t>L2</t>
        </is>
      </c>
      <c r="D800" s="7" t="inlineStr">
        <is>
          <t>INSURANCE</t>
        </is>
      </c>
      <c r="E800" s="7" t="inlineStr">
        <is>
          <t>INSURANCE</t>
        </is>
      </c>
      <c r="F800" s="7" t="inlineStr">
        <is>
          <t>PNL</t>
        </is>
      </c>
      <c r="G800" s="7" t="inlineStr">
        <is>
          <t>USD</t>
        </is>
      </c>
      <c r="H800" s="11" t="n">
        <v>44706</v>
      </c>
      <c r="I800" s="11" t="n">
        <v>44727</v>
      </c>
      <c r="J800" s="11" t="n">
        <v>44727</v>
      </c>
      <c r="K800" s="11" t="n">
        <v>44727</v>
      </c>
      <c r="L800" s="7" t="inlineStr">
        <is>
          <t>roll following on the LME panel calendar</t>
        </is>
      </c>
      <c r="N800" s="7" t="inlineStr">
        <is>
          <t>ASSUMPTION</t>
        </is>
      </c>
      <c r="O800" s="9" t="n">
        <v>-2262.45</v>
      </c>
      <c r="P800" s="9" t="n">
        <v>-176801.41</v>
      </c>
      <c r="U800" s="7" t="inlineStr">
        <is>
          <t>PYTHON_LIFECYCLE</t>
        </is>
      </c>
      <c r="V800" s="8">
        <f>$O800</f>
        <v/>
      </c>
      <c r="W800" s="8">
        <f>IF($G800="INR",1,INDEX(Market_Daily!$F$6:$F$256,MATCH($K800,Market_Daily!$A$6:$A$256,0)))</f>
        <v/>
      </c>
      <c r="X800" s="8">
        <f>$V800*$W800</f>
        <v/>
      </c>
      <c r="Y800" s="18">
        <f>$X800-$P800</f>
        <v/>
      </c>
      <c r="Z800" s="8">
        <f>IF(ABS($Y800)&lt;=tol_cashflow_inr,"PASS","FAIL")</f>
        <v/>
      </c>
      <c r="AA800" s="7" t="inlineStr">
        <is>
          <t>-insurance_rate x insured_value_uplift x cfr_value_usd</t>
        </is>
      </c>
    </row>
    <row r="801">
      <c r="A801" s="7" t="inlineStr">
        <is>
          <t>T07</t>
        </is>
      </c>
      <c r="B801" s="7" t="inlineStr">
        <is>
          <t>MCX:T07-MCX-1</t>
        </is>
      </c>
      <c r="C801" s="7" t="inlineStr">
        <is>
          <t>T07-MCX-1</t>
        </is>
      </c>
      <c r="D801" s="7" t="inlineStr">
        <is>
          <t>MCX_INITIAL_MARGIN</t>
        </is>
      </c>
      <c r="E801" s="7" t="inlineStr">
        <is>
          <t>MCX_INITIAL_MARGIN</t>
        </is>
      </c>
      <c r="F801" s="7" t="inlineStr">
        <is>
          <t>BS</t>
        </is>
      </c>
      <c r="G801" s="7" t="inlineStr">
        <is>
          <t>INR</t>
        </is>
      </c>
      <c r="H801" s="11" t="n">
        <v>44706</v>
      </c>
      <c r="I801" s="11" t="n">
        <v>44727</v>
      </c>
      <c r="J801" s="11" t="n">
        <v>44727</v>
      </c>
      <c r="K801" s="11" t="n">
        <v>44727</v>
      </c>
      <c r="L801" s="7" t="inlineStr">
        <is>
          <t>roll following on the LME panel calendar</t>
        </is>
      </c>
      <c r="N801" s="7" t="inlineStr">
        <is>
          <t>PROXY</t>
        </is>
      </c>
      <c r="O801" s="9" t="n">
        <v>47996.73</v>
      </c>
      <c r="P801" s="9" t="n">
        <v>47996.73</v>
      </c>
      <c r="U801" s="7" t="inlineStr">
        <is>
          <t>DERIVED_IN_WORKBOOK</t>
        </is>
      </c>
      <c r="V801" s="8">
        <f>-SUMIFS(Cashflows!$W$1043:$W$1393,Cashflows!$B$1043:$B$1393,$C801,Cashflows!$C$1043:$C$1393,$K801)</f>
        <v/>
      </c>
      <c r="W801" s="8">
        <f>IF($G801="INR",1,INDEX(Market_Daily!$F$6:$F$256,MATCH($K801,Market_Daily!$A$6:$A$256,0)))</f>
        <v/>
      </c>
      <c r="X801" s="8">
        <f>$V801*$W801</f>
        <v/>
      </c>
      <c r="Y801" s="18">
        <f>$X801-$P801</f>
        <v/>
      </c>
      <c r="Z801" s="8">
        <f>IF(ABS($Y801)&lt;=tol_cashflow_inr,"PASS","FAIL")</f>
        <v/>
      </c>
      <c r="AA801" s="7" t="inlineStr">
        <is>
          <t>-d(lots x lot_kg x F(s) x mcx_al_margin_used_frac)</t>
        </is>
      </c>
    </row>
    <row r="802">
      <c r="A802" s="7" t="inlineStr">
        <is>
          <t>T07</t>
        </is>
      </c>
      <c r="B802" s="7" t="inlineStr">
        <is>
          <t>MCX:T07-MCX-1</t>
        </is>
      </c>
      <c r="C802" s="7" t="inlineStr">
        <is>
          <t>T07-MCX-1</t>
        </is>
      </c>
      <c r="D802" s="7" t="inlineStr">
        <is>
          <t>MCX_VARIATION_MARGIN</t>
        </is>
      </c>
      <c r="E802" s="7" t="inlineStr">
        <is>
          <t>MCX_VARIATION_MARGIN</t>
        </is>
      </c>
      <c r="F802" s="7" t="inlineStr">
        <is>
          <t>PNL</t>
        </is>
      </c>
      <c r="G802" s="7" t="inlineStr">
        <is>
          <t>INR</t>
        </is>
      </c>
      <c r="H802" s="11" t="n">
        <v>44706</v>
      </c>
      <c r="I802" s="11" t="n">
        <v>44727</v>
      </c>
      <c r="J802" s="11" t="n">
        <v>44727</v>
      </c>
      <c r="K802" s="11" t="n">
        <v>44727</v>
      </c>
      <c r="L802" s="7" t="inlineStr">
        <is>
          <t>roll following on the LME panel calendar</t>
        </is>
      </c>
      <c r="N802" s="7" t="inlineStr">
        <is>
          <t>PROXY</t>
        </is>
      </c>
      <c r="O802" s="9" t="n">
        <v>479967.28</v>
      </c>
      <c r="P802" s="9" t="n">
        <v>479967.28</v>
      </c>
      <c r="U802" s="7" t="inlineStr">
        <is>
          <t>DERIVED_IN_WORKBOOK</t>
        </is>
      </c>
      <c r="V802" s="8">
        <f>SUMIFS(Cashflows!$R$1043:$R$1393,Cashflows!$B$1043:$B$1393,$C802,Cashflows!$C$1043:$C$1393,$K802)</f>
        <v/>
      </c>
      <c r="W802" s="8">
        <f>IF($G802="INR",1,INDEX(Market_Daily!$F$6:$F$256,MATCH($K802,Market_Daily!$A$6:$A$256,0)))</f>
        <v/>
      </c>
      <c r="X802" s="8">
        <f>$V802*$W802</f>
        <v/>
      </c>
      <c r="Y802" s="18">
        <f>$X802-$P802</f>
        <v/>
      </c>
      <c r="Z802" s="8">
        <f>IF(ABS($Y802)&lt;=tol_cashflow_inr,"PASS","FAIL")</f>
        <v/>
      </c>
      <c r="AA802" s="7" t="inlineStr">
        <is>
          <t>direction x lots x lot_kg x (F(s) - F(s-1))</t>
        </is>
      </c>
    </row>
    <row r="803">
      <c r="A803" s="7" t="inlineStr">
        <is>
          <t>T07</t>
        </is>
      </c>
      <c r="B803" s="7" t="inlineStr">
        <is>
          <t>PURCHASE:L1</t>
        </is>
      </c>
      <c r="C803" s="7" t="inlineStr">
        <is>
          <t>L1</t>
        </is>
      </c>
      <c r="D803" s="7" t="inlineStr">
        <is>
          <t>PURCHASE_INVOICE</t>
        </is>
      </c>
      <c r="E803" s="7" t="inlineStr">
        <is>
          <t>PURCHASE_INVOICE</t>
        </is>
      </c>
      <c r="F803" s="7" t="inlineStr">
        <is>
          <t>PNL</t>
        </is>
      </c>
      <c r="G803" s="7" t="inlineStr">
        <is>
          <t>USD</t>
        </is>
      </c>
      <c r="H803" s="11" t="n">
        <v>44706</v>
      </c>
      <c r="J803" s="11" t="n">
        <v>44727</v>
      </c>
      <c r="K803" s="11" t="n">
        <v>44727</v>
      </c>
      <c r="L803" s="7" t="inlineStr">
        <is>
          <t>roll following on the LME panel calendar</t>
        </is>
      </c>
      <c r="N803" s="7" t="inlineStr">
        <is>
          <t>SIM</t>
        </is>
      </c>
      <c r="O803" s="9" t="n">
        <v>-1971270</v>
      </c>
      <c r="P803" s="9" t="n">
        <v>-154047062.55</v>
      </c>
      <c r="U803" s="7" t="inlineStr">
        <is>
          <t>PYTHON_LIFECYCLE</t>
        </is>
      </c>
      <c r="V803" s="8">
        <f>$O803</f>
        <v/>
      </c>
      <c r="W803" s="8">
        <f>IF($G803="INR",1,INDEX(Market_Daily!$F$6:$F$256,MATCH($K803,Market_Daily!$A$6:$A$256,0)))</f>
        <v/>
      </c>
      <c r="X803" s="8">
        <f>$V803*$W803</f>
        <v/>
      </c>
      <c r="Y803" s="18">
        <f>$X803-$P803</f>
        <v/>
      </c>
      <c r="Z803" s="8">
        <f>IF(ABS($Y803)&lt;=tol_cashflow_inr,"PASS","FAIL")</f>
        <v/>
      </c>
      <c r="AA803" s="7" t="inlineStr">
        <is>
          <t>-q_bl x price_usd_t</t>
        </is>
      </c>
    </row>
    <row r="804">
      <c r="A804" s="7" t="inlineStr">
        <is>
          <t>T07</t>
        </is>
      </c>
      <c r="B804" s="7" t="inlineStr">
        <is>
          <t>MCX:T07-MCX-1</t>
        </is>
      </c>
      <c r="C804" s="7" t="inlineStr">
        <is>
          <t>T07-MCX-1</t>
        </is>
      </c>
      <c r="D804" s="7" t="inlineStr">
        <is>
          <t>MCX_INITIAL_MARGIN</t>
        </is>
      </c>
      <c r="E804" s="7" t="inlineStr">
        <is>
          <t>MCX_INITIAL_MARGIN</t>
        </is>
      </c>
      <c r="F804" s="7" t="inlineStr">
        <is>
          <t>BS</t>
        </is>
      </c>
      <c r="G804" s="7" t="inlineStr">
        <is>
          <t>INR</t>
        </is>
      </c>
      <c r="H804" s="11" t="n">
        <v>44706</v>
      </c>
      <c r="I804" s="11" t="n">
        <v>44728</v>
      </c>
      <c r="J804" s="11" t="n">
        <v>44728</v>
      </c>
      <c r="K804" s="11" t="n">
        <v>44728</v>
      </c>
      <c r="L804" s="7" t="inlineStr">
        <is>
          <t>roll following on the LME panel calendar</t>
        </is>
      </c>
      <c r="N804" s="7" t="inlineStr">
        <is>
          <t>PROXY</t>
        </is>
      </c>
      <c r="O804" s="9" t="n">
        <v>860944.45</v>
      </c>
      <c r="P804" s="9" t="n">
        <v>860944.45</v>
      </c>
      <c r="U804" s="7" t="inlineStr">
        <is>
          <t>DERIVED_IN_WORKBOOK</t>
        </is>
      </c>
      <c r="V804" s="8">
        <f>-SUMIFS(Cashflows!$W$1043:$W$1393,Cashflows!$B$1043:$B$1393,$C804,Cashflows!$C$1043:$C$1393,$K804)</f>
        <v/>
      </c>
      <c r="W804" s="8">
        <f>IF($G804="INR",1,INDEX(Market_Daily!$F$6:$F$256,MATCH($K804,Market_Daily!$A$6:$A$256,0)))</f>
        <v/>
      </c>
      <c r="X804" s="8">
        <f>$V804*$W804</f>
        <v/>
      </c>
      <c r="Y804" s="18">
        <f>$X804-$P804</f>
        <v/>
      </c>
      <c r="Z804" s="8">
        <f>IF(ABS($Y804)&lt;=tol_cashflow_inr,"PASS","FAIL")</f>
        <v/>
      </c>
      <c r="AA804" s="7" t="inlineStr">
        <is>
          <t>-d(lots x lot_kg x F(s) x mcx_al_margin_used_frac)</t>
        </is>
      </c>
    </row>
    <row r="805">
      <c r="A805" s="7" t="inlineStr">
        <is>
          <t>T07</t>
        </is>
      </c>
      <c r="B805" s="7" t="inlineStr">
        <is>
          <t>MCX:T07-MCX-1</t>
        </is>
      </c>
      <c r="C805" s="7" t="inlineStr">
        <is>
          <t>T07-MCX-1</t>
        </is>
      </c>
      <c r="D805" s="7" t="inlineStr">
        <is>
          <t>MCX_VARIATION_MARGIN</t>
        </is>
      </c>
      <c r="E805" s="7" t="inlineStr">
        <is>
          <t>MCX_VARIATION_MARGIN</t>
        </is>
      </c>
      <c r="F805" s="7" t="inlineStr">
        <is>
          <t>PNL</t>
        </is>
      </c>
      <c r="G805" s="7" t="inlineStr">
        <is>
          <t>INR</t>
        </is>
      </c>
      <c r="H805" s="11" t="n">
        <v>44706</v>
      </c>
      <c r="I805" s="11" t="n">
        <v>44728</v>
      </c>
      <c r="J805" s="11" t="n">
        <v>44728</v>
      </c>
      <c r="K805" s="11" t="n">
        <v>44728</v>
      </c>
      <c r="L805" s="7" t="inlineStr">
        <is>
          <t>roll following on the LME panel calendar</t>
        </is>
      </c>
      <c r="N805" s="7" t="inlineStr">
        <is>
          <t>PROXY</t>
        </is>
      </c>
      <c r="O805" s="9" t="n">
        <v>8609444.460000001</v>
      </c>
      <c r="P805" s="9" t="n">
        <v>8609444.460000001</v>
      </c>
      <c r="U805" s="7" t="inlineStr">
        <is>
          <t>DERIVED_IN_WORKBOOK</t>
        </is>
      </c>
      <c r="V805" s="8">
        <f>SUMIFS(Cashflows!$R$1043:$R$1393,Cashflows!$B$1043:$B$1393,$C805,Cashflows!$C$1043:$C$1393,$K805)</f>
        <v/>
      </c>
      <c r="W805" s="8">
        <f>IF($G805="INR",1,INDEX(Market_Daily!$F$6:$F$256,MATCH($K805,Market_Daily!$A$6:$A$256,0)))</f>
        <v/>
      </c>
      <c r="X805" s="8">
        <f>$V805*$W805</f>
        <v/>
      </c>
      <c r="Y805" s="18">
        <f>$X805-$P805</f>
        <v/>
      </c>
      <c r="Z805" s="8">
        <f>IF(ABS($Y805)&lt;=tol_cashflow_inr,"PASS","FAIL")</f>
        <v/>
      </c>
      <c r="AA805" s="7" t="inlineStr">
        <is>
          <t>direction x lots x lot_kg x (F(s) - F(s-1))</t>
        </is>
      </c>
    </row>
    <row r="806">
      <c r="A806" s="7" t="inlineStr">
        <is>
          <t>T07</t>
        </is>
      </c>
      <c r="B806" s="7" t="inlineStr">
        <is>
          <t>MCX:T07-MCX-1</t>
        </is>
      </c>
      <c r="C806" s="7" t="inlineStr">
        <is>
          <t>T07-MCX-1</t>
        </is>
      </c>
      <c r="D806" s="7" t="inlineStr">
        <is>
          <t>MCX_INITIAL_MARGIN</t>
        </is>
      </c>
      <c r="E806" s="7" t="inlineStr">
        <is>
          <t>MCX_INITIAL_MARGIN</t>
        </is>
      </c>
      <c r="F806" s="7" t="inlineStr">
        <is>
          <t>BS</t>
        </is>
      </c>
      <c r="G806" s="7" t="inlineStr">
        <is>
          <t>INR</t>
        </is>
      </c>
      <c r="H806" s="11" t="n">
        <v>44706</v>
      </c>
      <c r="I806" s="11" t="n">
        <v>44729</v>
      </c>
      <c r="J806" s="11" t="n">
        <v>44729</v>
      </c>
      <c r="K806" s="11" t="n">
        <v>44729</v>
      </c>
      <c r="L806" s="7" t="inlineStr">
        <is>
          <t>roll following on the LME panel calendar</t>
        </is>
      </c>
      <c r="N806" s="7" t="inlineStr">
        <is>
          <t>PROXY</t>
        </is>
      </c>
      <c r="O806" s="9" t="n">
        <v>279147</v>
      </c>
      <c r="P806" s="9" t="n">
        <v>279147</v>
      </c>
      <c r="U806" s="7" t="inlineStr">
        <is>
          <t>DERIVED_IN_WORKBOOK</t>
        </is>
      </c>
      <c r="V806" s="8">
        <f>-SUMIFS(Cashflows!$W$1043:$W$1393,Cashflows!$B$1043:$B$1393,$C806,Cashflows!$C$1043:$C$1393,$K806)</f>
        <v/>
      </c>
      <c r="W806" s="8">
        <f>IF($G806="INR",1,INDEX(Market_Daily!$F$6:$F$256,MATCH($K806,Market_Daily!$A$6:$A$256,0)))</f>
        <v/>
      </c>
      <c r="X806" s="8">
        <f>$V806*$W806</f>
        <v/>
      </c>
      <c r="Y806" s="18">
        <f>$X806-$P806</f>
        <v/>
      </c>
      <c r="Z806" s="8">
        <f>IF(ABS($Y806)&lt;=tol_cashflow_inr,"PASS","FAIL")</f>
        <v/>
      </c>
      <c r="AA806" s="7" t="inlineStr">
        <is>
          <t>-d(lots x lot_kg x F(s) x mcx_al_margin_used_frac)</t>
        </is>
      </c>
    </row>
    <row r="807">
      <c r="A807" s="7" t="inlineStr">
        <is>
          <t>T07</t>
        </is>
      </c>
      <c r="B807" s="7" t="inlineStr">
        <is>
          <t>MCX:T07-MCX-1</t>
        </is>
      </c>
      <c r="C807" s="7" t="inlineStr">
        <is>
          <t>T07-MCX-1</t>
        </is>
      </c>
      <c r="D807" s="7" t="inlineStr">
        <is>
          <t>MCX_VARIATION_MARGIN</t>
        </is>
      </c>
      <c r="E807" s="7" t="inlineStr">
        <is>
          <t>MCX_VARIATION_MARGIN</t>
        </is>
      </c>
      <c r="F807" s="7" t="inlineStr">
        <is>
          <t>PNL</t>
        </is>
      </c>
      <c r="G807" s="7" t="inlineStr">
        <is>
          <t>INR</t>
        </is>
      </c>
      <c r="H807" s="11" t="n">
        <v>44706</v>
      </c>
      <c r="I807" s="11" t="n">
        <v>44729</v>
      </c>
      <c r="J807" s="11" t="n">
        <v>44729</v>
      </c>
      <c r="K807" s="11" t="n">
        <v>44729</v>
      </c>
      <c r="L807" s="7" t="inlineStr">
        <is>
          <t>roll following on the LME panel calendar</t>
        </is>
      </c>
      <c r="N807" s="7" t="inlineStr">
        <is>
          <t>PROXY</t>
        </is>
      </c>
      <c r="O807" s="9" t="n">
        <v>2791469.97</v>
      </c>
      <c r="P807" s="9" t="n">
        <v>2791469.97</v>
      </c>
      <c r="U807" s="7" t="inlineStr">
        <is>
          <t>DERIVED_IN_WORKBOOK</t>
        </is>
      </c>
      <c r="V807" s="8">
        <f>SUMIFS(Cashflows!$R$1043:$R$1393,Cashflows!$B$1043:$B$1393,$C807,Cashflows!$C$1043:$C$1393,$K807)</f>
        <v/>
      </c>
      <c r="W807" s="8">
        <f>IF($G807="INR",1,INDEX(Market_Daily!$F$6:$F$256,MATCH($K807,Market_Daily!$A$6:$A$256,0)))</f>
        <v/>
      </c>
      <c r="X807" s="8">
        <f>$V807*$W807</f>
        <v/>
      </c>
      <c r="Y807" s="18">
        <f>$X807-$P807</f>
        <v/>
      </c>
      <c r="Z807" s="8">
        <f>IF(ABS($Y807)&lt;=tol_cashflow_inr,"PASS","FAIL")</f>
        <v/>
      </c>
      <c r="AA807" s="7" t="inlineStr">
        <is>
          <t>direction x lots x lot_kg x (F(s) - F(s-1))</t>
        </is>
      </c>
    </row>
    <row r="808">
      <c r="A808" s="7" t="inlineStr">
        <is>
          <t>T07</t>
        </is>
      </c>
      <c r="B808" s="7" t="inlineStr">
        <is>
          <t>MCX:T07-MCX-1</t>
        </is>
      </c>
      <c r="C808" s="7" t="inlineStr">
        <is>
          <t>T07-MCX-1</t>
        </is>
      </c>
      <c r="D808" s="7" t="inlineStr">
        <is>
          <t>MCX_INITIAL_MARGIN</t>
        </is>
      </c>
      <c r="E808" s="7" t="inlineStr">
        <is>
          <t>MCX_INITIAL_MARGIN</t>
        </is>
      </c>
      <c r="F808" s="7" t="inlineStr">
        <is>
          <t>BS</t>
        </is>
      </c>
      <c r="G808" s="7" t="inlineStr">
        <is>
          <t>INR</t>
        </is>
      </c>
      <c r="H808" s="11" t="n">
        <v>44706</v>
      </c>
      <c r="I808" s="11" t="n">
        <v>44732</v>
      </c>
      <c r="J808" s="11" t="n">
        <v>44732</v>
      </c>
      <c r="K808" s="11" t="n">
        <v>44732</v>
      </c>
      <c r="L808" s="7" t="inlineStr">
        <is>
          <t>roll following on the LME panel calendar</t>
        </is>
      </c>
      <c r="N808" s="7" t="inlineStr">
        <is>
          <t>PROXY</t>
        </is>
      </c>
      <c r="O808" s="9" t="n">
        <v>173654.58</v>
      </c>
      <c r="P808" s="9" t="n">
        <v>173654.58</v>
      </c>
      <c r="U808" s="7" t="inlineStr">
        <is>
          <t>DERIVED_IN_WORKBOOK</t>
        </is>
      </c>
      <c r="V808" s="8">
        <f>-SUMIFS(Cashflows!$W$1043:$W$1393,Cashflows!$B$1043:$B$1393,$C808,Cashflows!$C$1043:$C$1393,$K808)</f>
        <v/>
      </c>
      <c r="W808" s="8">
        <f>IF($G808="INR",1,INDEX(Market_Daily!$F$6:$F$256,MATCH($K808,Market_Daily!$A$6:$A$256,0)))</f>
        <v/>
      </c>
      <c r="X808" s="8">
        <f>$V808*$W808</f>
        <v/>
      </c>
      <c r="Y808" s="18">
        <f>$X808-$P808</f>
        <v/>
      </c>
      <c r="Z808" s="8">
        <f>IF(ABS($Y808)&lt;=tol_cashflow_inr,"PASS","FAIL")</f>
        <v/>
      </c>
      <c r="AA808" s="7" t="inlineStr">
        <is>
          <t>-d(lots x lot_kg x F(s) x mcx_al_margin_used_frac)</t>
        </is>
      </c>
    </row>
    <row r="809">
      <c r="A809" s="7" t="inlineStr">
        <is>
          <t>T07</t>
        </is>
      </c>
      <c r="B809" s="7" t="inlineStr">
        <is>
          <t>MCX:T07-MCX-1</t>
        </is>
      </c>
      <c r="C809" s="7" t="inlineStr">
        <is>
          <t>T07-MCX-1</t>
        </is>
      </c>
      <c r="D809" s="7" t="inlineStr">
        <is>
          <t>MCX_VARIATION_MARGIN</t>
        </is>
      </c>
      <c r="E809" s="7" t="inlineStr">
        <is>
          <t>MCX_VARIATION_MARGIN</t>
        </is>
      </c>
      <c r="F809" s="7" t="inlineStr">
        <is>
          <t>PNL</t>
        </is>
      </c>
      <c r="G809" s="7" t="inlineStr">
        <is>
          <t>INR</t>
        </is>
      </c>
      <c r="H809" s="11" t="n">
        <v>44706</v>
      </c>
      <c r="I809" s="11" t="n">
        <v>44732</v>
      </c>
      <c r="J809" s="11" t="n">
        <v>44732</v>
      </c>
      <c r="K809" s="11" t="n">
        <v>44732</v>
      </c>
      <c r="L809" s="7" t="inlineStr">
        <is>
          <t>roll following on the LME panel calendar</t>
        </is>
      </c>
      <c r="N809" s="7" t="inlineStr">
        <is>
          <t>PROXY</t>
        </is>
      </c>
      <c r="O809" s="9" t="n">
        <v>1736545.82</v>
      </c>
      <c r="P809" s="9" t="n">
        <v>1736545.82</v>
      </c>
      <c r="U809" s="7" t="inlineStr">
        <is>
          <t>DERIVED_IN_WORKBOOK</t>
        </is>
      </c>
      <c r="V809" s="8">
        <f>SUMIFS(Cashflows!$R$1043:$R$1393,Cashflows!$B$1043:$B$1393,$C809,Cashflows!$C$1043:$C$1393,$K809)</f>
        <v/>
      </c>
      <c r="W809" s="8">
        <f>IF($G809="INR",1,INDEX(Market_Daily!$F$6:$F$256,MATCH($K809,Market_Daily!$A$6:$A$256,0)))</f>
        <v/>
      </c>
      <c r="X809" s="8">
        <f>$V809*$W809</f>
        <v/>
      </c>
      <c r="Y809" s="18">
        <f>$X809-$P809</f>
        <v/>
      </c>
      <c r="Z809" s="8">
        <f>IF(ABS($Y809)&lt;=tol_cashflow_inr,"PASS","FAIL")</f>
        <v/>
      </c>
      <c r="AA809" s="7" t="inlineStr">
        <is>
          <t>direction x lots x lot_kg x (F(s) - F(s-1))</t>
        </is>
      </c>
    </row>
    <row r="810">
      <c r="A810" s="7" t="inlineStr">
        <is>
          <t>T07</t>
        </is>
      </c>
      <c r="B810" s="7" t="inlineStr">
        <is>
          <t>MCX:T07-MCX-1</t>
        </is>
      </c>
      <c r="C810" s="7" t="inlineStr">
        <is>
          <t>T07-MCX-1</t>
        </is>
      </c>
      <c r="D810" s="7" t="inlineStr">
        <is>
          <t>MCX_INITIAL_MARGIN</t>
        </is>
      </c>
      <c r="E810" s="7" t="inlineStr">
        <is>
          <t>MCX_INITIAL_MARGIN</t>
        </is>
      </c>
      <c r="F810" s="7" t="inlineStr">
        <is>
          <t>BS</t>
        </is>
      </c>
      <c r="G810" s="7" t="inlineStr">
        <is>
          <t>INR</t>
        </is>
      </c>
      <c r="H810" s="11" t="n">
        <v>44706</v>
      </c>
      <c r="I810" s="11" t="n">
        <v>44733</v>
      </c>
      <c r="J810" s="11" t="n">
        <v>44733</v>
      </c>
      <c r="K810" s="11" t="n">
        <v>44733</v>
      </c>
      <c r="L810" s="7" t="inlineStr">
        <is>
          <t>roll following on the LME panel calendar</t>
        </is>
      </c>
      <c r="N810" s="7" t="inlineStr">
        <is>
          <t>PROXY</t>
        </is>
      </c>
      <c r="O810" s="9" t="n">
        <v>25697115.9</v>
      </c>
      <c r="P810" s="9" t="n">
        <v>25697115.9</v>
      </c>
      <c r="U810" s="7" t="inlineStr">
        <is>
          <t>DERIVED_IN_WORKBOOK</t>
        </is>
      </c>
      <c r="V810" s="8">
        <f>-SUMIFS(Cashflows!$W$1043:$W$1393,Cashflows!$B$1043:$B$1393,$C810,Cashflows!$C$1043:$C$1393,$K810)</f>
        <v/>
      </c>
      <c r="W810" s="8">
        <f>IF($G810="INR",1,INDEX(Market_Daily!$F$6:$F$256,MATCH($K810,Market_Daily!$A$6:$A$256,0)))</f>
        <v/>
      </c>
      <c r="X810" s="8">
        <f>$V810*$W810</f>
        <v/>
      </c>
      <c r="Y810" s="18">
        <f>$X810-$P810</f>
        <v/>
      </c>
      <c r="Z810" s="8">
        <f>IF(ABS($Y810)&lt;=tol_cashflow_inr,"PASS","FAIL")</f>
        <v/>
      </c>
      <c r="AA810" s="7" t="inlineStr">
        <is>
          <t>-d(lots x lot_kg x F(s) x mcx_al_margin_used_frac)</t>
        </is>
      </c>
    </row>
    <row r="811">
      <c r="A811" s="7" t="inlineStr">
        <is>
          <t>T07</t>
        </is>
      </c>
      <c r="B811" s="7" t="inlineStr">
        <is>
          <t>MCX:T07-MCX-1</t>
        </is>
      </c>
      <c r="C811" s="7" t="inlineStr">
        <is>
          <t>T07-MCX-1</t>
        </is>
      </c>
      <c r="D811" s="7" t="inlineStr">
        <is>
          <t>MCX_SLIPPAGE</t>
        </is>
      </c>
      <c r="E811" s="7" t="inlineStr">
        <is>
          <t>MCX_SLIPPAGE</t>
        </is>
      </c>
      <c r="F811" s="7" t="inlineStr">
        <is>
          <t>PNL</t>
        </is>
      </c>
      <c r="G811" s="7" t="inlineStr">
        <is>
          <t>INR</t>
        </is>
      </c>
      <c r="H811" s="11" t="n">
        <v>44733</v>
      </c>
      <c r="J811" s="11" t="n">
        <v>44733</v>
      </c>
      <c r="K811" s="11" t="n">
        <v>44733</v>
      </c>
      <c r="L811" s="7" t="inlineStr">
        <is>
          <t>roll following on the LME panel calendar</t>
        </is>
      </c>
      <c r="N811" s="7" t="inlineStr">
        <is>
          <t>ASSUMPTION</t>
        </is>
      </c>
      <c r="O811" s="9" t="n">
        <v>-123500</v>
      </c>
      <c r="P811" s="9" t="n">
        <v>-123500</v>
      </c>
      <c r="U811" s="7" t="inlineStr">
        <is>
          <t>DERIVED_IN_WORKBOOK</t>
        </is>
      </c>
      <c r="V811" s="8">
        <f>SUMIFS(Cashflows!$Z$1043:$Z$1393,Cashflows!$B$1043:$B$1393,$C811,Cashflows!$C$1043:$C$1393,$K811)</f>
        <v/>
      </c>
      <c r="W811" s="8">
        <f>IF($G811="INR",1,INDEX(Market_Daily!$F$6:$F$256,MATCH($K811,Market_Daily!$A$6:$A$256,0)))</f>
        <v/>
      </c>
      <c r="X811" s="8">
        <f>$V811*$W811</f>
        <v/>
      </c>
      <c r="Y811" s="18">
        <f>$X811-$P811</f>
        <v/>
      </c>
      <c r="Z811" s="8">
        <f>IF(ABS($Y811)&lt;=tol_cashflow_inr,"PASS","FAIL")</f>
        <v/>
      </c>
      <c r="AA811" s="7" t="inlineStr">
        <is>
          <t>-lots x lot_kg x mcx_slippage_ticks x tick</t>
        </is>
      </c>
    </row>
    <row r="812">
      <c r="A812" s="7" t="inlineStr">
        <is>
          <t>T07</t>
        </is>
      </c>
      <c r="B812" s="7" t="inlineStr">
        <is>
          <t>MCX:T07-MCX-1</t>
        </is>
      </c>
      <c r="C812" s="7" t="inlineStr">
        <is>
          <t>T07-MCX-1</t>
        </is>
      </c>
      <c r="D812" s="7" t="inlineStr">
        <is>
          <t>MCX_TRANSACTION_COST</t>
        </is>
      </c>
      <c r="E812" s="7" t="inlineStr">
        <is>
          <t>MCX_TRANSACTION_COST</t>
        </is>
      </c>
      <c r="F812" s="7" t="inlineStr">
        <is>
          <t>PNL</t>
        </is>
      </c>
      <c r="G812" s="7" t="inlineStr">
        <is>
          <t>INR</t>
        </is>
      </c>
      <c r="H812" s="11" t="n">
        <v>44733</v>
      </c>
      <c r="I812" s="11" t="n">
        <v>44733</v>
      </c>
      <c r="J812" s="11" t="n">
        <v>44733</v>
      </c>
      <c r="K812" s="11" t="n">
        <v>44733</v>
      </c>
      <c r="L812" s="7" t="inlineStr">
        <is>
          <t>roll following on the LME panel calendar</t>
        </is>
      </c>
      <c r="N812" s="7" t="inlineStr">
        <is>
          <t>ASSUMPTION</t>
        </is>
      </c>
      <c r="O812" s="9" t="n">
        <v>-79082.49000000001</v>
      </c>
      <c r="P812" s="9" t="n">
        <v>-79082.49000000001</v>
      </c>
      <c r="U812" s="7" t="inlineStr">
        <is>
          <t>DERIVED_IN_WORKBOOK</t>
        </is>
      </c>
      <c r="V812" s="8">
        <f>SUMIFS(Cashflows!$AA$1043:$AA$1393,Cashflows!$B$1043:$B$1393,$C812,Cashflows!$C$1043:$C$1393,$K812)</f>
        <v/>
      </c>
      <c r="W812" s="8">
        <f>IF($G812="INR",1,INDEX(Market_Daily!$F$6:$F$256,MATCH($K812,Market_Daily!$A$6:$A$256,0)))</f>
        <v/>
      </c>
      <c r="X812" s="8">
        <f>$V812*$W812</f>
        <v/>
      </c>
      <c r="Y812" s="18">
        <f>$X812-$P812</f>
        <v/>
      </c>
      <c r="Z812" s="8">
        <f>IF(ABS($Y812)&lt;=tol_cashflow_inr,"PASS","FAIL")</f>
        <v/>
      </c>
      <c r="AA812" s="7" t="inlineStr">
        <is>
          <t>-lots x lot_kg x fill x mcx_txn_cost_frac</t>
        </is>
      </c>
    </row>
    <row r="813">
      <c r="A813" s="7" t="inlineStr">
        <is>
          <t>T07</t>
        </is>
      </c>
      <c r="B813" s="7" t="inlineStr">
        <is>
          <t>MCX:T07-MCX-1</t>
        </is>
      </c>
      <c r="C813" s="7" t="inlineStr">
        <is>
          <t>T07-MCX-1</t>
        </is>
      </c>
      <c r="D813" s="7" t="inlineStr">
        <is>
          <t>MCX_VARIATION_MARGIN</t>
        </is>
      </c>
      <c r="E813" s="7" t="inlineStr">
        <is>
          <t>MCX_VARIATION_MARGIN</t>
        </is>
      </c>
      <c r="F813" s="7" t="inlineStr">
        <is>
          <t>PNL</t>
        </is>
      </c>
      <c r="G813" s="7" t="inlineStr">
        <is>
          <t>INR</t>
        </is>
      </c>
      <c r="H813" s="11" t="n">
        <v>44706</v>
      </c>
      <c r="I813" s="11" t="n">
        <v>44733</v>
      </c>
      <c r="J813" s="11" t="n">
        <v>44733</v>
      </c>
      <c r="K813" s="11" t="n">
        <v>44733</v>
      </c>
      <c r="L813" s="7" t="inlineStr">
        <is>
          <t>roll following on the LME panel calendar</t>
        </is>
      </c>
      <c r="N813" s="7" t="inlineStr">
        <is>
          <t>PROXY</t>
        </is>
      </c>
      <c r="O813" s="9" t="n">
        <v>-6513626.07</v>
      </c>
      <c r="P813" s="9" t="n">
        <v>-6513626.07</v>
      </c>
      <c r="U813" s="7" t="inlineStr">
        <is>
          <t>DERIVED_IN_WORKBOOK</t>
        </is>
      </c>
      <c r="V813" s="8">
        <f>SUMIFS(Cashflows!$R$1043:$R$1393,Cashflows!$B$1043:$B$1393,$C813,Cashflows!$C$1043:$C$1393,$K813)</f>
        <v/>
      </c>
      <c r="W813" s="8">
        <f>IF($G813="INR",1,INDEX(Market_Daily!$F$6:$F$256,MATCH($K813,Market_Daily!$A$6:$A$256,0)))</f>
        <v/>
      </c>
      <c r="X813" s="8">
        <f>$V813*$W813</f>
        <v/>
      </c>
      <c r="Y813" s="18">
        <f>$X813-$P813</f>
        <v/>
      </c>
      <c r="Z813" s="8">
        <f>IF(ABS($Y813)&lt;=tol_cashflow_inr,"PASS","FAIL")</f>
        <v/>
      </c>
      <c r="AA813" s="7" t="inlineStr">
        <is>
          <t>direction x lots x lot_kg x (F(s) - F(s-1))</t>
        </is>
      </c>
    </row>
    <row r="814">
      <c r="A814" s="7" t="inlineStr">
        <is>
          <t>T07</t>
        </is>
      </c>
      <c r="B814" s="7" t="inlineStr">
        <is>
          <t>MCX:T07-MCX-2</t>
        </is>
      </c>
      <c r="C814" s="7" t="inlineStr">
        <is>
          <t>T07-MCX-2</t>
        </is>
      </c>
      <c r="D814" s="7" t="inlineStr">
        <is>
          <t>MCX_INITIAL_MARGIN</t>
        </is>
      </c>
      <c r="E814" s="7" t="inlineStr">
        <is>
          <t>MCX_INITIAL_MARGIN</t>
        </is>
      </c>
      <c r="F814" s="7" t="inlineStr">
        <is>
          <t>BS</t>
        </is>
      </c>
      <c r="G814" s="7" t="inlineStr">
        <is>
          <t>INR</t>
        </is>
      </c>
      <c r="H814" s="11" t="n">
        <v>44733</v>
      </c>
      <c r="I814" s="11" t="n">
        <v>44733</v>
      </c>
      <c r="J814" s="11" t="n">
        <v>44733</v>
      </c>
      <c r="K814" s="11" t="n">
        <v>44733</v>
      </c>
      <c r="L814" s="7" t="inlineStr">
        <is>
          <t>roll following on the LME panel calendar</t>
        </is>
      </c>
      <c r="N814" s="7" t="inlineStr">
        <is>
          <t>PROXY</t>
        </is>
      </c>
      <c r="O814" s="9" t="n">
        <v>-26455963.95</v>
      </c>
      <c r="P814" s="9" t="n">
        <v>-26455963.95</v>
      </c>
      <c r="U814" s="7" t="inlineStr">
        <is>
          <t>DERIVED_IN_WORKBOOK</t>
        </is>
      </c>
      <c r="V814" s="8">
        <f>-SUMIFS(Cashflows!$W$1043:$W$1393,Cashflows!$B$1043:$B$1393,$C814,Cashflows!$C$1043:$C$1393,$K814)</f>
        <v/>
      </c>
      <c r="W814" s="8">
        <f>IF($G814="INR",1,INDEX(Market_Daily!$F$6:$F$256,MATCH($K814,Market_Daily!$A$6:$A$256,0)))</f>
        <v/>
      </c>
      <c r="X814" s="8">
        <f>$V814*$W814</f>
        <v/>
      </c>
      <c r="Y814" s="18">
        <f>$X814-$P814</f>
        <v/>
      </c>
      <c r="Z814" s="8">
        <f>IF(ABS($Y814)&lt;=tol_cashflow_inr,"PASS","FAIL")</f>
        <v/>
      </c>
      <c r="AA814" s="7" t="inlineStr">
        <is>
          <t>-d(lots x lot_kg x F(s) x mcx_al_margin_used_frac)</t>
        </is>
      </c>
    </row>
    <row r="815">
      <c r="A815" s="7" t="inlineStr">
        <is>
          <t>T07</t>
        </is>
      </c>
      <c r="B815" s="7" t="inlineStr">
        <is>
          <t>MCX:T07-MCX-2</t>
        </is>
      </c>
      <c r="C815" s="7" t="inlineStr">
        <is>
          <t>T07-MCX-2</t>
        </is>
      </c>
      <c r="D815" s="7" t="inlineStr">
        <is>
          <t>MCX_SLIPPAGE</t>
        </is>
      </c>
      <c r="E815" s="7" t="inlineStr">
        <is>
          <t>MCX_SLIPPAGE</t>
        </is>
      </c>
      <c r="F815" s="7" t="inlineStr">
        <is>
          <t>PNL</t>
        </is>
      </c>
      <c r="G815" s="7" t="inlineStr">
        <is>
          <t>INR</t>
        </is>
      </c>
      <c r="H815" s="11" t="n">
        <v>44733</v>
      </c>
      <c r="J815" s="11" t="n">
        <v>44733</v>
      </c>
      <c r="K815" s="11" t="n">
        <v>44733</v>
      </c>
      <c r="L815" s="7" t="inlineStr">
        <is>
          <t>roll following on the LME panel calendar</t>
        </is>
      </c>
      <c r="N815" s="7" t="inlineStr">
        <is>
          <t>ASSUMPTION</t>
        </is>
      </c>
      <c r="O815" s="9" t="n">
        <v>-123500</v>
      </c>
      <c r="P815" s="9" t="n">
        <v>-123500</v>
      </c>
      <c r="U815" s="7" t="inlineStr">
        <is>
          <t>DERIVED_IN_WORKBOOK</t>
        </is>
      </c>
      <c r="V815" s="8">
        <f>SUMIFS(Cashflows!$Z$1043:$Z$1393,Cashflows!$B$1043:$B$1393,$C815,Cashflows!$C$1043:$C$1393,$K815)</f>
        <v/>
      </c>
      <c r="W815" s="8">
        <f>IF($G815="INR",1,INDEX(Market_Daily!$F$6:$F$256,MATCH($K815,Market_Daily!$A$6:$A$256,0)))</f>
        <v/>
      </c>
      <c r="X815" s="8">
        <f>$V815*$W815</f>
        <v/>
      </c>
      <c r="Y815" s="18">
        <f>$X815-$P815</f>
        <v/>
      </c>
      <c r="Z815" s="8">
        <f>IF(ABS($Y815)&lt;=tol_cashflow_inr,"PASS","FAIL")</f>
        <v/>
      </c>
      <c r="AA815" s="7" t="inlineStr">
        <is>
          <t>-lots x lot_kg x mcx_slippage_ticks x tick</t>
        </is>
      </c>
    </row>
    <row r="816">
      <c r="A816" s="7" t="inlineStr">
        <is>
          <t>T07</t>
        </is>
      </c>
      <c r="B816" s="7" t="inlineStr">
        <is>
          <t>MCX:T07-MCX-2</t>
        </is>
      </c>
      <c r="C816" s="7" t="inlineStr">
        <is>
          <t>T07-MCX-2</t>
        </is>
      </c>
      <c r="D816" s="7" t="inlineStr">
        <is>
          <t>MCX_TRANSACTION_COST</t>
        </is>
      </c>
      <c r="E816" s="7" t="inlineStr">
        <is>
          <t>MCX_TRANSACTION_COST</t>
        </is>
      </c>
      <c r="F816" s="7" t="inlineStr">
        <is>
          <t>PNL</t>
        </is>
      </c>
      <c r="G816" s="7" t="inlineStr">
        <is>
          <t>INR</t>
        </is>
      </c>
      <c r="H816" s="11" t="n">
        <v>44733</v>
      </c>
      <c r="I816" s="11" t="n">
        <v>44733</v>
      </c>
      <c r="J816" s="11" t="n">
        <v>44733</v>
      </c>
      <c r="K816" s="11" t="n">
        <v>44733</v>
      </c>
      <c r="L816" s="7" t="inlineStr">
        <is>
          <t>roll following on the LME panel calendar</t>
        </is>
      </c>
      <c r="N816" s="7" t="inlineStr">
        <is>
          <t>ASSUMPTION</t>
        </is>
      </c>
      <c r="O816" s="9" t="n">
        <v>-79330.84</v>
      </c>
      <c r="P816" s="9" t="n">
        <v>-79330.84</v>
      </c>
      <c r="U816" s="7" t="inlineStr">
        <is>
          <t>DERIVED_IN_WORKBOOK</t>
        </is>
      </c>
      <c r="V816" s="8">
        <f>SUMIFS(Cashflows!$AA$1043:$AA$1393,Cashflows!$B$1043:$B$1393,$C816,Cashflows!$C$1043:$C$1393,$K816)</f>
        <v/>
      </c>
      <c r="W816" s="8">
        <f>IF($G816="INR",1,INDEX(Market_Daily!$F$6:$F$256,MATCH($K816,Market_Daily!$A$6:$A$256,0)))</f>
        <v/>
      </c>
      <c r="X816" s="8">
        <f>$V816*$W816</f>
        <v/>
      </c>
      <c r="Y816" s="18">
        <f>$X816-$P816</f>
        <v/>
      </c>
      <c r="Z816" s="8">
        <f>IF(ABS($Y816)&lt;=tol_cashflow_inr,"PASS","FAIL")</f>
        <v/>
      </c>
      <c r="AA816" s="7" t="inlineStr">
        <is>
          <t>-lots x lot_kg x fill x mcx_txn_cost_frac</t>
        </is>
      </c>
    </row>
    <row r="817">
      <c r="A817" s="7" t="inlineStr">
        <is>
          <t>T07</t>
        </is>
      </c>
      <c r="B817" s="7" t="inlineStr">
        <is>
          <t>MCX:T07-MCX-2</t>
        </is>
      </c>
      <c r="C817" s="7" t="inlineStr">
        <is>
          <t>T07-MCX-2</t>
        </is>
      </c>
      <c r="D817" s="7" t="inlineStr">
        <is>
          <t>MCX_VARIATION_MARGIN</t>
        </is>
      </c>
      <c r="E817" s="7" t="inlineStr">
        <is>
          <t>MCX_VARIATION_MARGIN</t>
        </is>
      </c>
      <c r="F817" s="7" t="inlineStr">
        <is>
          <t>PNL</t>
        </is>
      </c>
      <c r="G817" s="7" t="inlineStr">
        <is>
          <t>INR</t>
        </is>
      </c>
      <c r="H817" s="11" t="n">
        <v>44733</v>
      </c>
      <c r="I817" s="11" t="n">
        <v>44733</v>
      </c>
      <c r="J817" s="11" t="n">
        <v>44733</v>
      </c>
      <c r="K817" s="11" t="n">
        <v>44733</v>
      </c>
      <c r="L817" s="7" t="inlineStr">
        <is>
          <t>roll following on the LME panel calendar</t>
        </is>
      </c>
      <c r="N817" s="7" t="inlineStr">
        <is>
          <t>PROXY</t>
        </is>
      </c>
      <c r="O817" s="9" t="n">
        <v>-0</v>
      </c>
      <c r="P817" s="9" t="n">
        <v>-0</v>
      </c>
      <c r="U817" s="7" t="inlineStr">
        <is>
          <t>DERIVED_IN_WORKBOOK</t>
        </is>
      </c>
      <c r="V817" s="8">
        <f>SUMIFS(Cashflows!$R$1043:$R$1393,Cashflows!$B$1043:$B$1393,$C817,Cashflows!$C$1043:$C$1393,$K817)</f>
        <v/>
      </c>
      <c r="W817" s="8">
        <f>IF($G817="INR",1,INDEX(Market_Daily!$F$6:$F$256,MATCH($K817,Market_Daily!$A$6:$A$256,0)))</f>
        <v/>
      </c>
      <c r="X817" s="8">
        <f>$V817*$W817</f>
        <v/>
      </c>
      <c r="Y817" s="18">
        <f>$X817-$P817</f>
        <v/>
      </c>
      <c r="Z817" s="8">
        <f>IF(ABS($Y817)&lt;=tol_cashflow_inr,"PASS","FAIL")</f>
        <v/>
      </c>
      <c r="AA817" s="7" t="inlineStr">
        <is>
          <t>direction x lots x lot_kg x (F(entry) - entry settle) = 0 by construction</t>
        </is>
      </c>
    </row>
    <row r="818">
      <c r="A818" s="7" t="inlineStr">
        <is>
          <t>T07</t>
        </is>
      </c>
      <c r="B818" s="7" t="inlineStr">
        <is>
          <t>BILL_COMMISSION:L2</t>
        </is>
      </c>
      <c r="C818" s="7" t="inlineStr">
        <is>
          <t>L2</t>
        </is>
      </c>
      <c r="D818" s="7" t="inlineStr">
        <is>
          <t>IMPORT_BILL_COMMISSION</t>
        </is>
      </c>
      <c r="E818" s="7" t="inlineStr">
        <is>
          <t>IMPORT_BILL_COMMISSION</t>
        </is>
      </c>
      <c r="F818" s="7" t="inlineStr">
        <is>
          <t>PNL</t>
        </is>
      </c>
      <c r="G818" s="7" t="inlineStr">
        <is>
          <t>USD</t>
        </is>
      </c>
      <c r="H818" s="11" t="n">
        <v>44706</v>
      </c>
      <c r="I818" s="11" t="n">
        <v>44734</v>
      </c>
      <c r="J818" s="11" t="n">
        <v>44734</v>
      </c>
      <c r="K818" s="11" t="n">
        <v>44734</v>
      </c>
      <c r="L818" s="7" t="inlineStr">
        <is>
          <t>roll following on the LME panel calendar</t>
        </is>
      </c>
      <c r="N818" s="7" t="inlineStr">
        <is>
          <t>DIRECT</t>
        </is>
      </c>
      <c r="O818" s="9" t="n">
        <v>-2365.52</v>
      </c>
      <c r="P818" s="9" t="n">
        <v>-185283.69</v>
      </c>
      <c r="U818" s="7" t="inlineStr">
        <is>
          <t>PYTHON_LIFECYCLE</t>
        </is>
      </c>
      <c r="V818" s="8">
        <f>$O818</f>
        <v/>
      </c>
      <c r="W818" s="8">
        <f>IF($G818="INR",1,INDEX(Market_Daily!$F$6:$F$256,MATCH($K818,Market_Daily!$A$6:$A$256,0)))</f>
        <v/>
      </c>
      <c r="X818" s="8">
        <f>$V818*$W818</f>
        <v/>
      </c>
      <c r="Y818" s="18">
        <f>$X818-$P818</f>
        <v/>
      </c>
      <c r="Z818" s="8">
        <f>IF(ABS($Y818)&lt;=tol_cashflow_inr,"PASS","FAIL")</f>
        <v/>
      </c>
      <c r="AA818" s="7" t="inlineStr">
        <is>
          <t>-import_bill_commission_frac x bill_usd</t>
        </is>
      </c>
    </row>
    <row r="819">
      <c r="A819" s="7" t="inlineStr">
        <is>
          <t>T07</t>
        </is>
      </c>
      <c r="B819" s="7" t="inlineStr">
        <is>
          <t>FX:T07-FX-2</t>
        </is>
      </c>
      <c r="C819" s="7" t="inlineStr">
        <is>
          <t>T07-FX-2</t>
        </is>
      </c>
      <c r="D819" s="7" t="inlineStr">
        <is>
          <t>FX_FORWARD</t>
        </is>
      </c>
      <c r="E819" s="7" t="inlineStr">
        <is>
          <t>FX_FORWARD</t>
        </is>
      </c>
      <c r="F819" s="7" t="inlineStr">
        <is>
          <t>PNL</t>
        </is>
      </c>
      <c r="G819" s="7" t="inlineStr">
        <is>
          <t>INR</t>
        </is>
      </c>
      <c r="H819" s="11" t="n">
        <v>44727</v>
      </c>
      <c r="I819" s="11" t="n">
        <v>44734</v>
      </c>
      <c r="J819" s="11" t="n">
        <v>44734</v>
      </c>
      <c r="K819" s="11" t="n">
        <v>44734</v>
      </c>
      <c r="L819" s="7" t="inlineStr">
        <is>
          <t>roll following on the LME panel calendar</t>
        </is>
      </c>
      <c r="N819" s="7" t="inlineStr">
        <is>
          <t>PROXY</t>
        </is>
      </c>
      <c r="O819" s="9" t="n">
        <v>57852.84</v>
      </c>
      <c r="P819" s="9" t="n">
        <v>57852.84</v>
      </c>
      <c r="Q819" s="6" t="n">
        <v>1</v>
      </c>
      <c r="R819" s="13" t="n">
        <v>1971300</v>
      </c>
      <c r="S819" s="12" t="n">
        <v>44734</v>
      </c>
      <c r="T819" s="21" t="n">
        <v>78.297352</v>
      </c>
      <c r="U819" s="7" t="inlineStr">
        <is>
          <t>DERIVED_IN_WORKBOOK</t>
        </is>
      </c>
      <c r="V819" s="8">
        <f>$Q819*$R819*(IF($S819&lt;$K819,INDEX(Market_Daily!$F$6:$F$256,MATCH($S819,Market_Daily!$A$6:$A$256,1)),IF($S819=$K819,INDEX(Market_Daily!$F$6:$F$256,MATCH($K819,Market_Daily!$A$6:$A$256,0)),(INDEX(Market_Daily!$F$6:$F$256,MATCH($K819,Market_Daily!$A$6:$A$256,0))*(1+INDEX(Market_Daily!$I$6:$I$256,MATCH($K819,Market_Daily!$A$6:$A$256,0))*($S819-$K819)/day_count_inr)/(1+INDEX(Market_Daily!$J$6:$J$256,MATCH($K819,Market_Daily!$A$6:$A$256,0))*($S819-$K819)/day_count_usd))))-$T819)</f>
        <v/>
      </c>
      <c r="W819" s="8">
        <f>IF($G819="INR",1,INDEX(Market_Daily!$F$6:$F$256,MATCH($K819,Market_Daily!$A$6:$A$256,0)))</f>
        <v/>
      </c>
      <c r="X819" s="8">
        <f>$V819*$W819</f>
        <v/>
      </c>
      <c r="Y819" s="18">
        <f>$X819-$P819</f>
        <v/>
      </c>
      <c r="Z819" s="8">
        <f>IF(ABS($Y819)&lt;=tol_cashflow_inr,"PASS","FAIL")</f>
        <v/>
      </c>
      <c r="AA819" s="7" t="inlineStr">
        <is>
          <t>sign x notional x (X(tau, value_date) - K)</t>
        </is>
      </c>
    </row>
    <row r="820">
      <c r="A820" s="7" t="inlineStr">
        <is>
          <t>T07</t>
        </is>
      </c>
      <c r="B820" s="7" t="inlineStr">
        <is>
          <t>MCX:T07-MCX-2</t>
        </is>
      </c>
      <c r="C820" s="7" t="inlineStr">
        <is>
          <t>T07-MCX-2</t>
        </is>
      </c>
      <c r="D820" s="7" t="inlineStr">
        <is>
          <t>MCX_INITIAL_MARGIN</t>
        </is>
      </c>
      <c r="E820" s="7" t="inlineStr">
        <is>
          <t>MCX_INITIAL_MARGIN</t>
        </is>
      </c>
      <c r="F820" s="7" t="inlineStr">
        <is>
          <t>BS</t>
        </is>
      </c>
      <c r="G820" s="7" t="inlineStr">
        <is>
          <t>INR</t>
        </is>
      </c>
      <c r="H820" s="11" t="n">
        <v>44733</v>
      </c>
      <c r="I820" s="11" t="n">
        <v>44734</v>
      </c>
      <c r="J820" s="11" t="n">
        <v>44734</v>
      </c>
      <c r="K820" s="11" t="n">
        <v>44734</v>
      </c>
      <c r="L820" s="7" t="inlineStr">
        <is>
          <t>roll following on the LME panel calendar</t>
        </is>
      </c>
      <c r="N820" s="7" t="inlineStr">
        <is>
          <t>PROXY</t>
        </is>
      </c>
      <c r="O820" s="9" t="n">
        <v>609448.4</v>
      </c>
      <c r="P820" s="9" t="n">
        <v>609448.4</v>
      </c>
      <c r="U820" s="7" t="inlineStr">
        <is>
          <t>DERIVED_IN_WORKBOOK</t>
        </is>
      </c>
      <c r="V820" s="8">
        <f>-SUMIFS(Cashflows!$W$1043:$W$1393,Cashflows!$B$1043:$B$1393,$C820,Cashflows!$C$1043:$C$1393,$K820)</f>
        <v/>
      </c>
      <c r="W820" s="8">
        <f>IF($G820="INR",1,INDEX(Market_Daily!$F$6:$F$256,MATCH($K820,Market_Daily!$A$6:$A$256,0)))</f>
        <v/>
      </c>
      <c r="X820" s="8">
        <f>$V820*$W820</f>
        <v/>
      </c>
      <c r="Y820" s="18">
        <f>$X820-$P820</f>
        <v/>
      </c>
      <c r="Z820" s="8">
        <f>IF(ABS($Y820)&lt;=tol_cashflow_inr,"PASS","FAIL")</f>
        <v/>
      </c>
      <c r="AA820" s="7" t="inlineStr">
        <is>
          <t>-d(lots x lot_kg x F(s) x mcx_al_margin_used_frac)</t>
        </is>
      </c>
    </row>
    <row r="821">
      <c r="A821" s="7" t="inlineStr">
        <is>
          <t>T07</t>
        </is>
      </c>
      <c r="B821" s="7" t="inlineStr">
        <is>
          <t>MCX:T07-MCX-2</t>
        </is>
      </c>
      <c r="C821" s="7" t="inlineStr">
        <is>
          <t>T07-MCX-2</t>
        </is>
      </c>
      <c r="D821" s="7" t="inlineStr">
        <is>
          <t>MCX_VARIATION_MARGIN</t>
        </is>
      </c>
      <c r="E821" s="7" t="inlineStr">
        <is>
          <t>MCX_VARIATION_MARGIN</t>
        </is>
      </c>
      <c r="F821" s="7" t="inlineStr">
        <is>
          <t>PNL</t>
        </is>
      </c>
      <c r="G821" s="7" t="inlineStr">
        <is>
          <t>INR</t>
        </is>
      </c>
      <c r="H821" s="11" t="n">
        <v>44733</v>
      </c>
      <c r="I821" s="11" t="n">
        <v>44734</v>
      </c>
      <c r="J821" s="11" t="n">
        <v>44734</v>
      </c>
      <c r="K821" s="11" t="n">
        <v>44734</v>
      </c>
      <c r="L821" s="7" t="inlineStr">
        <is>
          <t>roll following on the LME panel calendar</t>
        </is>
      </c>
      <c r="N821" s="7" t="inlineStr">
        <is>
          <t>PROXY</t>
        </is>
      </c>
      <c r="O821" s="9" t="n">
        <v>6094484</v>
      </c>
      <c r="P821" s="9" t="n">
        <v>6094484</v>
      </c>
      <c r="U821" s="7" t="inlineStr">
        <is>
          <t>DERIVED_IN_WORKBOOK</t>
        </is>
      </c>
      <c r="V821" s="8">
        <f>SUMIFS(Cashflows!$R$1043:$R$1393,Cashflows!$B$1043:$B$1393,$C821,Cashflows!$C$1043:$C$1393,$K821)</f>
        <v/>
      </c>
      <c r="W821" s="8">
        <f>IF($G821="INR",1,INDEX(Market_Daily!$F$6:$F$256,MATCH($K821,Market_Daily!$A$6:$A$256,0)))</f>
        <v/>
      </c>
      <c r="X821" s="8">
        <f>$V821*$W821</f>
        <v/>
      </c>
      <c r="Y821" s="18">
        <f>$X821-$P821</f>
        <v/>
      </c>
      <c r="Z821" s="8">
        <f>IF(ABS($Y821)&lt;=tol_cashflow_inr,"PASS","FAIL")</f>
        <v/>
      </c>
      <c r="AA821" s="7" t="inlineStr">
        <is>
          <t>direction x lots x lot_kg x (F(s) - F(s-1))</t>
        </is>
      </c>
    </row>
    <row r="822">
      <c r="A822" s="7" t="inlineStr">
        <is>
          <t>T07</t>
        </is>
      </c>
      <c r="B822" s="7" t="inlineStr">
        <is>
          <t>PURCHASE:L2</t>
        </is>
      </c>
      <c r="C822" s="7" t="inlineStr">
        <is>
          <t>L2</t>
        </is>
      </c>
      <c r="D822" s="7" t="inlineStr">
        <is>
          <t>PURCHASE_INVOICE</t>
        </is>
      </c>
      <c r="E822" s="7" t="inlineStr">
        <is>
          <t>PURCHASE_INVOICE</t>
        </is>
      </c>
      <c r="F822" s="7" t="inlineStr">
        <is>
          <t>PNL</t>
        </is>
      </c>
      <c r="G822" s="7" t="inlineStr">
        <is>
          <t>USD</t>
        </is>
      </c>
      <c r="H822" s="11" t="n">
        <v>44706</v>
      </c>
      <c r="J822" s="11" t="n">
        <v>44734</v>
      </c>
      <c r="K822" s="11" t="n">
        <v>44734</v>
      </c>
      <c r="L822" s="7" t="inlineStr">
        <is>
          <t>roll following on the LME panel calendar</t>
        </is>
      </c>
      <c r="N822" s="7" t="inlineStr">
        <is>
          <t>SIM</t>
        </is>
      </c>
      <c r="O822" s="9" t="n">
        <v>-1971270</v>
      </c>
      <c r="P822" s="9" t="n">
        <v>-154403073.91</v>
      </c>
      <c r="U822" s="7" t="inlineStr">
        <is>
          <t>PYTHON_LIFECYCLE</t>
        </is>
      </c>
      <c r="V822" s="8">
        <f>$O822</f>
        <v/>
      </c>
      <c r="W822" s="8">
        <f>IF($G822="INR",1,INDEX(Market_Daily!$F$6:$F$256,MATCH($K822,Market_Daily!$A$6:$A$256,0)))</f>
        <v/>
      </c>
      <c r="X822" s="8">
        <f>$V822*$W822</f>
        <v/>
      </c>
      <c r="Y822" s="18">
        <f>$X822-$P822</f>
        <v/>
      </c>
      <c r="Z822" s="8">
        <f>IF(ABS($Y822)&lt;=tol_cashflow_inr,"PASS","FAIL")</f>
        <v/>
      </c>
      <c r="AA822" s="7" t="inlineStr">
        <is>
          <t>-q_bl x price_usd_t</t>
        </is>
      </c>
    </row>
    <row r="823">
      <c r="A823" s="7" t="inlineStr">
        <is>
          <t>T07</t>
        </is>
      </c>
      <c r="B823" s="7" t="inlineStr">
        <is>
          <t>MCX:T07-MCX-2</t>
        </is>
      </c>
      <c r="C823" s="7" t="inlineStr">
        <is>
          <t>T07-MCX-2</t>
        </is>
      </c>
      <c r="D823" s="7" t="inlineStr">
        <is>
          <t>MCX_INITIAL_MARGIN</t>
        </is>
      </c>
      <c r="E823" s="7" t="inlineStr">
        <is>
          <t>MCX_INITIAL_MARGIN</t>
        </is>
      </c>
      <c r="F823" s="7" t="inlineStr">
        <is>
          <t>BS</t>
        </is>
      </c>
      <c r="G823" s="7" t="inlineStr">
        <is>
          <t>INR</t>
        </is>
      </c>
      <c r="H823" s="11" t="n">
        <v>44733</v>
      </c>
      <c r="I823" s="11" t="n">
        <v>44735</v>
      </c>
      <c r="J823" s="11" t="n">
        <v>44735</v>
      </c>
      <c r="K823" s="11" t="n">
        <v>44735</v>
      </c>
      <c r="L823" s="7" t="inlineStr">
        <is>
          <t>roll following on the LME panel calendar</t>
        </is>
      </c>
      <c r="N823" s="7" t="inlineStr">
        <is>
          <t>PROXY</t>
        </is>
      </c>
      <c r="O823" s="9" t="n">
        <v>-241732.48</v>
      </c>
      <c r="P823" s="9" t="n">
        <v>-241732.48</v>
      </c>
      <c r="U823" s="7" t="inlineStr">
        <is>
          <t>DERIVED_IN_WORKBOOK</t>
        </is>
      </c>
      <c r="V823" s="8">
        <f>-SUMIFS(Cashflows!$W$1043:$W$1393,Cashflows!$B$1043:$B$1393,$C823,Cashflows!$C$1043:$C$1393,$K823)</f>
        <v/>
      </c>
      <c r="W823" s="8">
        <f>IF($G823="INR",1,INDEX(Market_Daily!$F$6:$F$256,MATCH($K823,Market_Daily!$A$6:$A$256,0)))</f>
        <v/>
      </c>
      <c r="X823" s="8">
        <f>$V823*$W823</f>
        <v/>
      </c>
      <c r="Y823" s="18">
        <f>$X823-$P823</f>
        <v/>
      </c>
      <c r="Z823" s="8">
        <f>IF(ABS($Y823)&lt;=tol_cashflow_inr,"PASS","FAIL")</f>
        <v/>
      </c>
      <c r="AA823" s="7" t="inlineStr">
        <is>
          <t>-d(lots x lot_kg x F(s) x mcx_al_margin_used_frac)</t>
        </is>
      </c>
    </row>
    <row r="824">
      <c r="A824" s="7" t="inlineStr">
        <is>
          <t>T07</t>
        </is>
      </c>
      <c r="B824" s="7" t="inlineStr">
        <is>
          <t>MCX:T07-MCX-2</t>
        </is>
      </c>
      <c r="C824" s="7" t="inlineStr">
        <is>
          <t>T07-MCX-2</t>
        </is>
      </c>
      <c r="D824" s="7" t="inlineStr">
        <is>
          <t>MCX_VARIATION_MARGIN</t>
        </is>
      </c>
      <c r="E824" s="7" t="inlineStr">
        <is>
          <t>MCX_VARIATION_MARGIN</t>
        </is>
      </c>
      <c r="F824" s="7" t="inlineStr">
        <is>
          <t>PNL</t>
        </is>
      </c>
      <c r="G824" s="7" t="inlineStr">
        <is>
          <t>INR</t>
        </is>
      </c>
      <c r="H824" s="11" t="n">
        <v>44733</v>
      </c>
      <c r="I824" s="11" t="n">
        <v>44735</v>
      </c>
      <c r="J824" s="11" t="n">
        <v>44735</v>
      </c>
      <c r="K824" s="11" t="n">
        <v>44735</v>
      </c>
      <c r="L824" s="7" t="inlineStr">
        <is>
          <t>roll following on the LME panel calendar</t>
        </is>
      </c>
      <c r="N824" s="7" t="inlineStr">
        <is>
          <t>PROXY</t>
        </is>
      </c>
      <c r="O824" s="9" t="n">
        <v>-2417324.78</v>
      </c>
      <c r="P824" s="9" t="n">
        <v>-2417324.78</v>
      </c>
      <c r="U824" s="7" t="inlineStr">
        <is>
          <t>DERIVED_IN_WORKBOOK</t>
        </is>
      </c>
      <c r="V824" s="8">
        <f>SUMIFS(Cashflows!$R$1043:$R$1393,Cashflows!$B$1043:$B$1393,$C824,Cashflows!$C$1043:$C$1393,$K824)</f>
        <v/>
      </c>
      <c r="W824" s="8">
        <f>IF($G824="INR",1,INDEX(Market_Daily!$F$6:$F$256,MATCH($K824,Market_Daily!$A$6:$A$256,0)))</f>
        <v/>
      </c>
      <c r="X824" s="8">
        <f>$V824*$W824</f>
        <v/>
      </c>
      <c r="Y824" s="18">
        <f>$X824-$P824</f>
        <v/>
      </c>
      <c r="Z824" s="8">
        <f>IF(ABS($Y824)&lt;=tol_cashflow_inr,"PASS","FAIL")</f>
        <v/>
      </c>
      <c r="AA824" s="7" t="inlineStr">
        <is>
          <t>direction x lots x lot_kg x (F(s) - F(s-1))</t>
        </is>
      </c>
    </row>
    <row r="825">
      <c r="A825" s="7" t="inlineStr">
        <is>
          <t>T07</t>
        </is>
      </c>
      <c r="B825" s="7" t="inlineStr">
        <is>
          <t>MCX:T07-MCX-2</t>
        </is>
      </c>
      <c r="C825" s="7" t="inlineStr">
        <is>
          <t>T07-MCX-2</t>
        </is>
      </c>
      <c r="D825" s="7" t="inlineStr">
        <is>
          <t>MCX_INITIAL_MARGIN</t>
        </is>
      </c>
      <c r="E825" s="7" t="inlineStr">
        <is>
          <t>MCX_INITIAL_MARGIN</t>
        </is>
      </c>
      <c r="F825" s="7" t="inlineStr">
        <is>
          <t>BS</t>
        </is>
      </c>
      <c r="G825" s="7" t="inlineStr">
        <is>
          <t>INR</t>
        </is>
      </c>
      <c r="H825" s="11" t="n">
        <v>44733</v>
      </c>
      <c r="I825" s="11" t="n">
        <v>44736</v>
      </c>
      <c r="J825" s="11" t="n">
        <v>44736</v>
      </c>
      <c r="K825" s="11" t="n">
        <v>44736</v>
      </c>
      <c r="L825" s="7" t="inlineStr">
        <is>
          <t>roll following on the LME panel calendar</t>
        </is>
      </c>
      <c r="N825" s="7" t="inlineStr">
        <is>
          <t>PROXY</t>
        </is>
      </c>
      <c r="O825" s="9" t="n">
        <v>464287.06</v>
      </c>
      <c r="P825" s="9" t="n">
        <v>464287.06</v>
      </c>
      <c r="U825" s="7" t="inlineStr">
        <is>
          <t>DERIVED_IN_WORKBOOK</t>
        </is>
      </c>
      <c r="V825" s="8">
        <f>-SUMIFS(Cashflows!$W$1043:$W$1393,Cashflows!$B$1043:$B$1393,$C825,Cashflows!$C$1043:$C$1393,$K825)</f>
        <v/>
      </c>
      <c r="W825" s="8">
        <f>IF($G825="INR",1,INDEX(Market_Daily!$F$6:$F$256,MATCH($K825,Market_Daily!$A$6:$A$256,0)))</f>
        <v/>
      </c>
      <c r="X825" s="8">
        <f>$V825*$W825</f>
        <v/>
      </c>
      <c r="Y825" s="18">
        <f>$X825-$P825</f>
        <v/>
      </c>
      <c r="Z825" s="8">
        <f>IF(ABS($Y825)&lt;=tol_cashflow_inr,"PASS","FAIL")</f>
        <v/>
      </c>
      <c r="AA825" s="7" t="inlineStr">
        <is>
          <t>-d(lots x lot_kg x F(s) x mcx_al_margin_used_frac)</t>
        </is>
      </c>
    </row>
    <row r="826">
      <c r="A826" s="7" t="inlineStr">
        <is>
          <t>T07</t>
        </is>
      </c>
      <c r="B826" s="7" t="inlineStr">
        <is>
          <t>MCX:T07-MCX-2</t>
        </is>
      </c>
      <c r="C826" s="7" t="inlineStr">
        <is>
          <t>T07-MCX-2</t>
        </is>
      </c>
      <c r="D826" s="7" t="inlineStr">
        <is>
          <t>MCX_VARIATION_MARGIN</t>
        </is>
      </c>
      <c r="E826" s="7" t="inlineStr">
        <is>
          <t>MCX_VARIATION_MARGIN</t>
        </is>
      </c>
      <c r="F826" s="7" t="inlineStr">
        <is>
          <t>PNL</t>
        </is>
      </c>
      <c r="G826" s="7" t="inlineStr">
        <is>
          <t>INR</t>
        </is>
      </c>
      <c r="H826" s="11" t="n">
        <v>44733</v>
      </c>
      <c r="I826" s="11" t="n">
        <v>44736</v>
      </c>
      <c r="J826" s="11" t="n">
        <v>44736</v>
      </c>
      <c r="K826" s="11" t="n">
        <v>44736</v>
      </c>
      <c r="L826" s="7" t="inlineStr">
        <is>
          <t>roll following on the LME panel calendar</t>
        </is>
      </c>
      <c r="N826" s="7" t="inlineStr">
        <is>
          <t>PROXY</t>
        </is>
      </c>
      <c r="O826" s="9" t="n">
        <v>4642870.64</v>
      </c>
      <c r="P826" s="9" t="n">
        <v>4642870.64</v>
      </c>
      <c r="U826" s="7" t="inlineStr">
        <is>
          <t>DERIVED_IN_WORKBOOK</t>
        </is>
      </c>
      <c r="V826" s="8">
        <f>SUMIFS(Cashflows!$R$1043:$R$1393,Cashflows!$B$1043:$B$1393,$C826,Cashflows!$C$1043:$C$1393,$K826)</f>
        <v/>
      </c>
      <c r="W826" s="8">
        <f>IF($G826="INR",1,INDEX(Market_Daily!$F$6:$F$256,MATCH($K826,Market_Daily!$A$6:$A$256,0)))</f>
        <v/>
      </c>
      <c r="X826" s="8">
        <f>$V826*$W826</f>
        <v/>
      </c>
      <c r="Y826" s="18">
        <f>$X826-$P826</f>
        <v/>
      </c>
      <c r="Z826" s="8">
        <f>IF(ABS($Y826)&lt;=tol_cashflow_inr,"PASS","FAIL")</f>
        <v/>
      </c>
      <c r="AA826" s="7" t="inlineStr">
        <is>
          <t>direction x lots x lot_kg x (F(s) - F(s-1))</t>
        </is>
      </c>
    </row>
    <row r="827">
      <c r="A827" s="7" t="inlineStr">
        <is>
          <t>T07</t>
        </is>
      </c>
      <c r="B827" s="7" t="inlineStr">
        <is>
          <t>MCX:T07-MCX-2</t>
        </is>
      </c>
      <c r="C827" s="7" t="inlineStr">
        <is>
          <t>T07-MCX-2</t>
        </is>
      </c>
      <c r="D827" s="7" t="inlineStr">
        <is>
          <t>MCX_INITIAL_MARGIN</t>
        </is>
      </c>
      <c r="E827" s="7" t="inlineStr">
        <is>
          <t>MCX_INITIAL_MARGIN</t>
        </is>
      </c>
      <c r="F827" s="7" t="inlineStr">
        <is>
          <t>BS</t>
        </is>
      </c>
      <c r="G827" s="7" t="inlineStr">
        <is>
          <t>INR</t>
        </is>
      </c>
      <c r="H827" s="11" t="n">
        <v>44733</v>
      </c>
      <c r="I827" s="11" t="n">
        <v>44739</v>
      </c>
      <c r="J827" s="11" t="n">
        <v>44739</v>
      </c>
      <c r="K827" s="11" t="n">
        <v>44739</v>
      </c>
      <c r="L827" s="7" t="inlineStr">
        <is>
          <t>roll following on the LME panel calendar</t>
        </is>
      </c>
      <c r="N827" s="7" t="inlineStr">
        <is>
          <t>PROXY</t>
        </is>
      </c>
      <c r="O827" s="9" t="n">
        <v>-217252.24</v>
      </c>
      <c r="P827" s="9" t="n">
        <v>-217252.24</v>
      </c>
      <c r="U827" s="7" t="inlineStr">
        <is>
          <t>DERIVED_IN_WORKBOOK</t>
        </is>
      </c>
      <c r="V827" s="8">
        <f>-SUMIFS(Cashflows!$W$1043:$W$1393,Cashflows!$B$1043:$B$1393,$C827,Cashflows!$C$1043:$C$1393,$K827)</f>
        <v/>
      </c>
      <c r="W827" s="8">
        <f>IF($G827="INR",1,INDEX(Market_Daily!$F$6:$F$256,MATCH($K827,Market_Daily!$A$6:$A$256,0)))</f>
        <v/>
      </c>
      <c r="X827" s="8">
        <f>$V827*$W827</f>
        <v/>
      </c>
      <c r="Y827" s="18">
        <f>$X827-$P827</f>
        <v/>
      </c>
      <c r="Z827" s="8">
        <f>IF(ABS($Y827)&lt;=tol_cashflow_inr,"PASS","FAIL")</f>
        <v/>
      </c>
      <c r="AA827" s="7" t="inlineStr">
        <is>
          <t>-d(lots x lot_kg x F(s) x mcx_al_margin_used_frac)</t>
        </is>
      </c>
    </row>
    <row r="828">
      <c r="A828" s="7" t="inlineStr">
        <is>
          <t>T07</t>
        </is>
      </c>
      <c r="B828" s="7" t="inlineStr">
        <is>
          <t>MCX:T07-MCX-2</t>
        </is>
      </c>
      <c r="C828" s="7" t="inlineStr">
        <is>
          <t>T07-MCX-2</t>
        </is>
      </c>
      <c r="D828" s="7" t="inlineStr">
        <is>
          <t>MCX_VARIATION_MARGIN</t>
        </is>
      </c>
      <c r="E828" s="7" t="inlineStr">
        <is>
          <t>MCX_VARIATION_MARGIN</t>
        </is>
      </c>
      <c r="F828" s="7" t="inlineStr">
        <is>
          <t>PNL</t>
        </is>
      </c>
      <c r="G828" s="7" t="inlineStr">
        <is>
          <t>INR</t>
        </is>
      </c>
      <c r="H828" s="11" t="n">
        <v>44733</v>
      </c>
      <c r="I828" s="11" t="n">
        <v>44739</v>
      </c>
      <c r="J828" s="11" t="n">
        <v>44739</v>
      </c>
      <c r="K828" s="11" t="n">
        <v>44739</v>
      </c>
      <c r="L828" s="7" t="inlineStr">
        <is>
          <t>roll following on the LME panel calendar</t>
        </is>
      </c>
      <c r="N828" s="7" t="inlineStr">
        <is>
          <t>PROXY</t>
        </is>
      </c>
      <c r="O828" s="9" t="n">
        <v>-2172522.44</v>
      </c>
      <c r="P828" s="9" t="n">
        <v>-2172522.44</v>
      </c>
      <c r="U828" s="7" t="inlineStr">
        <is>
          <t>DERIVED_IN_WORKBOOK</t>
        </is>
      </c>
      <c r="V828" s="8">
        <f>SUMIFS(Cashflows!$R$1043:$R$1393,Cashflows!$B$1043:$B$1393,$C828,Cashflows!$C$1043:$C$1393,$K828)</f>
        <v/>
      </c>
      <c r="W828" s="8">
        <f>IF($G828="INR",1,INDEX(Market_Daily!$F$6:$F$256,MATCH($K828,Market_Daily!$A$6:$A$256,0)))</f>
        <v/>
      </c>
      <c r="X828" s="8">
        <f>$V828*$W828</f>
        <v/>
      </c>
      <c r="Y828" s="18">
        <f>$X828-$P828</f>
        <v/>
      </c>
      <c r="Z828" s="8">
        <f>IF(ABS($Y828)&lt;=tol_cashflow_inr,"PASS","FAIL")</f>
        <v/>
      </c>
      <c r="AA828" s="7" t="inlineStr">
        <is>
          <t>direction x lots x lot_kg x (F(s) - F(s-1))</t>
        </is>
      </c>
    </row>
    <row r="829">
      <c r="A829" s="7" t="inlineStr">
        <is>
          <t>T07</t>
        </is>
      </c>
      <c r="B829" s="7" t="inlineStr">
        <is>
          <t>MCX:T07-MCX-2</t>
        </is>
      </c>
      <c r="C829" s="7" t="inlineStr">
        <is>
          <t>T07-MCX-2</t>
        </is>
      </c>
      <c r="D829" s="7" t="inlineStr">
        <is>
          <t>MCX_INITIAL_MARGIN</t>
        </is>
      </c>
      <c r="E829" s="7" t="inlineStr">
        <is>
          <t>MCX_INITIAL_MARGIN</t>
        </is>
      </c>
      <c r="F829" s="7" t="inlineStr">
        <is>
          <t>BS</t>
        </is>
      </c>
      <c r="G829" s="7" t="inlineStr">
        <is>
          <t>INR</t>
        </is>
      </c>
      <c r="H829" s="11" t="n">
        <v>44733</v>
      </c>
      <c r="I829" s="11" t="n">
        <v>44740</v>
      </c>
      <c r="J829" s="11" t="n">
        <v>44740</v>
      </c>
      <c r="K829" s="11" t="n">
        <v>44740</v>
      </c>
      <c r="L829" s="7" t="inlineStr">
        <is>
          <t>roll following on the LME panel calendar</t>
        </is>
      </c>
      <c r="N829" s="7" t="inlineStr">
        <is>
          <t>PROXY</t>
        </is>
      </c>
      <c r="O829" s="9" t="n">
        <v>-670012.77</v>
      </c>
      <c r="P829" s="9" t="n">
        <v>-670012.77</v>
      </c>
      <c r="U829" s="7" t="inlineStr">
        <is>
          <t>DERIVED_IN_WORKBOOK</t>
        </is>
      </c>
      <c r="V829" s="8">
        <f>-SUMIFS(Cashflows!$W$1043:$W$1393,Cashflows!$B$1043:$B$1393,$C829,Cashflows!$C$1043:$C$1393,$K829)</f>
        <v/>
      </c>
      <c r="W829" s="8">
        <f>IF($G829="INR",1,INDEX(Market_Daily!$F$6:$F$256,MATCH($K829,Market_Daily!$A$6:$A$256,0)))</f>
        <v/>
      </c>
      <c r="X829" s="8">
        <f>$V829*$W829</f>
        <v/>
      </c>
      <c r="Y829" s="18">
        <f>$X829-$P829</f>
        <v/>
      </c>
      <c r="Z829" s="8">
        <f>IF(ABS($Y829)&lt;=tol_cashflow_inr,"PASS","FAIL")</f>
        <v/>
      </c>
      <c r="AA829" s="7" t="inlineStr">
        <is>
          <t>-d(lots x lot_kg x F(s) x mcx_al_margin_used_frac)</t>
        </is>
      </c>
    </row>
    <row r="830">
      <c r="A830" s="7" t="inlineStr">
        <is>
          <t>T07</t>
        </is>
      </c>
      <c r="B830" s="7" t="inlineStr">
        <is>
          <t>MCX:T07-MCX-2</t>
        </is>
      </c>
      <c r="C830" s="7" t="inlineStr">
        <is>
          <t>T07-MCX-2</t>
        </is>
      </c>
      <c r="D830" s="7" t="inlineStr">
        <is>
          <t>MCX_VARIATION_MARGIN</t>
        </is>
      </c>
      <c r="E830" s="7" t="inlineStr">
        <is>
          <t>MCX_VARIATION_MARGIN</t>
        </is>
      </c>
      <c r="F830" s="7" t="inlineStr">
        <is>
          <t>PNL</t>
        </is>
      </c>
      <c r="G830" s="7" t="inlineStr">
        <is>
          <t>INR</t>
        </is>
      </c>
      <c r="H830" s="11" t="n">
        <v>44733</v>
      </c>
      <c r="I830" s="11" t="n">
        <v>44740</v>
      </c>
      <c r="J830" s="11" t="n">
        <v>44740</v>
      </c>
      <c r="K830" s="11" t="n">
        <v>44740</v>
      </c>
      <c r="L830" s="7" t="inlineStr">
        <is>
          <t>roll following on the LME panel calendar</t>
        </is>
      </c>
      <c r="N830" s="7" t="inlineStr">
        <is>
          <t>PROXY</t>
        </is>
      </c>
      <c r="O830" s="9" t="n">
        <v>-6700127.66</v>
      </c>
      <c r="P830" s="9" t="n">
        <v>-6700127.66</v>
      </c>
      <c r="U830" s="7" t="inlineStr">
        <is>
          <t>DERIVED_IN_WORKBOOK</t>
        </is>
      </c>
      <c r="V830" s="8">
        <f>SUMIFS(Cashflows!$R$1043:$R$1393,Cashflows!$B$1043:$B$1393,$C830,Cashflows!$C$1043:$C$1393,$K830)</f>
        <v/>
      </c>
      <c r="W830" s="8">
        <f>IF($G830="INR",1,INDEX(Market_Daily!$F$6:$F$256,MATCH($K830,Market_Daily!$A$6:$A$256,0)))</f>
        <v/>
      </c>
      <c r="X830" s="8">
        <f>$V830*$W830</f>
        <v/>
      </c>
      <c r="Y830" s="18">
        <f>$X830-$P830</f>
        <v/>
      </c>
      <c r="Z830" s="8">
        <f>IF(ABS($Y830)&lt;=tol_cashflow_inr,"PASS","FAIL")</f>
        <v/>
      </c>
      <c r="AA830" s="7" t="inlineStr">
        <is>
          <t>direction x lots x lot_kg x (F(s) - F(s-1))</t>
        </is>
      </c>
    </row>
    <row r="831">
      <c r="A831" s="7" t="inlineStr">
        <is>
          <t>T07</t>
        </is>
      </c>
      <c r="B831" s="7" t="inlineStr">
        <is>
          <t>MCX:T07-MCX-2</t>
        </is>
      </c>
      <c r="C831" s="7" t="inlineStr">
        <is>
          <t>T07-MCX-2</t>
        </is>
      </c>
      <c r="D831" s="7" t="inlineStr">
        <is>
          <t>MCX_INITIAL_MARGIN</t>
        </is>
      </c>
      <c r="E831" s="7" t="inlineStr">
        <is>
          <t>MCX_INITIAL_MARGIN</t>
        </is>
      </c>
      <c r="F831" s="7" t="inlineStr">
        <is>
          <t>BS</t>
        </is>
      </c>
      <c r="G831" s="7" t="inlineStr">
        <is>
          <t>INR</t>
        </is>
      </c>
      <c r="H831" s="11" t="n">
        <v>44733</v>
      </c>
      <c r="I831" s="11" t="n">
        <v>44741</v>
      </c>
      <c r="J831" s="11" t="n">
        <v>44741</v>
      </c>
      <c r="K831" s="11" t="n">
        <v>44741</v>
      </c>
      <c r="L831" s="7" t="inlineStr">
        <is>
          <t>roll following on the LME panel calendar</t>
        </is>
      </c>
      <c r="N831" s="7" t="inlineStr">
        <is>
          <t>PROXY</t>
        </is>
      </c>
      <c r="O831" s="9" t="n">
        <v>520035.79</v>
      </c>
      <c r="P831" s="9" t="n">
        <v>520035.79</v>
      </c>
      <c r="U831" s="7" t="inlineStr">
        <is>
          <t>DERIVED_IN_WORKBOOK</t>
        </is>
      </c>
      <c r="V831" s="8">
        <f>-SUMIFS(Cashflows!$W$1043:$W$1393,Cashflows!$B$1043:$B$1393,$C831,Cashflows!$C$1043:$C$1393,$K831)</f>
        <v/>
      </c>
      <c r="W831" s="8">
        <f>IF($G831="INR",1,INDEX(Market_Daily!$F$6:$F$256,MATCH($K831,Market_Daily!$A$6:$A$256,0)))</f>
        <v/>
      </c>
      <c r="X831" s="8">
        <f>$V831*$W831</f>
        <v/>
      </c>
      <c r="Y831" s="18">
        <f>$X831-$P831</f>
        <v/>
      </c>
      <c r="Z831" s="8">
        <f>IF(ABS($Y831)&lt;=tol_cashflow_inr,"PASS","FAIL")</f>
        <v/>
      </c>
      <c r="AA831" s="7" t="inlineStr">
        <is>
          <t>-d(lots x lot_kg x F(s) x mcx_al_margin_used_frac)</t>
        </is>
      </c>
    </row>
    <row r="832">
      <c r="A832" s="7" t="inlineStr">
        <is>
          <t>T07</t>
        </is>
      </c>
      <c r="B832" s="7" t="inlineStr">
        <is>
          <t>MCX:T07-MCX-2</t>
        </is>
      </c>
      <c r="C832" s="7" t="inlineStr">
        <is>
          <t>T07-MCX-2</t>
        </is>
      </c>
      <c r="D832" s="7" t="inlineStr">
        <is>
          <t>MCX_VARIATION_MARGIN</t>
        </is>
      </c>
      <c r="E832" s="7" t="inlineStr">
        <is>
          <t>MCX_VARIATION_MARGIN</t>
        </is>
      </c>
      <c r="F832" s="7" t="inlineStr">
        <is>
          <t>PNL</t>
        </is>
      </c>
      <c r="G832" s="7" t="inlineStr">
        <is>
          <t>INR</t>
        </is>
      </c>
      <c r="H832" s="11" t="n">
        <v>44733</v>
      </c>
      <c r="I832" s="11" t="n">
        <v>44741</v>
      </c>
      <c r="J832" s="11" t="n">
        <v>44741</v>
      </c>
      <c r="K832" s="11" t="n">
        <v>44741</v>
      </c>
      <c r="L832" s="7" t="inlineStr">
        <is>
          <t>roll following on the LME panel calendar</t>
        </is>
      </c>
      <c r="N832" s="7" t="inlineStr">
        <is>
          <t>PROXY</t>
        </is>
      </c>
      <c r="O832" s="9" t="n">
        <v>5200357.94</v>
      </c>
      <c r="P832" s="9" t="n">
        <v>5200357.94</v>
      </c>
      <c r="U832" s="7" t="inlineStr">
        <is>
          <t>DERIVED_IN_WORKBOOK</t>
        </is>
      </c>
      <c r="V832" s="8">
        <f>SUMIFS(Cashflows!$R$1043:$R$1393,Cashflows!$B$1043:$B$1393,$C832,Cashflows!$C$1043:$C$1393,$K832)</f>
        <v/>
      </c>
      <c r="W832" s="8">
        <f>IF($G832="INR",1,INDEX(Market_Daily!$F$6:$F$256,MATCH($K832,Market_Daily!$A$6:$A$256,0)))</f>
        <v/>
      </c>
      <c r="X832" s="8">
        <f>$V832*$W832</f>
        <v/>
      </c>
      <c r="Y832" s="18">
        <f>$X832-$P832</f>
        <v/>
      </c>
      <c r="Z832" s="8">
        <f>IF(ABS($Y832)&lt;=tol_cashflow_inr,"PASS","FAIL")</f>
        <v/>
      </c>
      <c r="AA832" s="7" t="inlineStr">
        <is>
          <t>direction x lots x lot_kg x (F(s) - F(s-1))</t>
        </is>
      </c>
    </row>
    <row r="833">
      <c r="A833" s="7" t="inlineStr">
        <is>
          <t>T07</t>
        </is>
      </c>
      <c r="B833" s="7" t="inlineStr">
        <is>
          <t>MCX:T07-MCX-2</t>
        </is>
      </c>
      <c r="C833" s="7" t="inlineStr">
        <is>
          <t>T07-MCX-2</t>
        </is>
      </c>
      <c r="D833" s="7" t="inlineStr">
        <is>
          <t>MCX_INITIAL_MARGIN</t>
        </is>
      </c>
      <c r="E833" s="7" t="inlineStr">
        <is>
          <t>MCX_INITIAL_MARGIN</t>
        </is>
      </c>
      <c r="F833" s="7" t="inlineStr">
        <is>
          <t>BS</t>
        </is>
      </c>
      <c r="G833" s="7" t="inlineStr">
        <is>
          <t>INR</t>
        </is>
      </c>
      <c r="H833" s="11" t="n">
        <v>44733</v>
      </c>
      <c r="I833" s="11" t="n">
        <v>44742</v>
      </c>
      <c r="J833" s="11" t="n">
        <v>44742</v>
      </c>
      <c r="K833" s="11" t="n">
        <v>44742</v>
      </c>
      <c r="L833" s="7" t="inlineStr">
        <is>
          <t>roll following on the LME panel calendar</t>
        </is>
      </c>
      <c r="N833" s="7" t="inlineStr">
        <is>
          <t>PROXY</t>
        </is>
      </c>
      <c r="O833" s="9" t="n">
        <v>554837.76</v>
      </c>
      <c r="P833" s="9" t="n">
        <v>554837.76</v>
      </c>
      <c r="U833" s="7" t="inlineStr">
        <is>
          <t>DERIVED_IN_WORKBOOK</t>
        </is>
      </c>
      <c r="V833" s="8">
        <f>-SUMIFS(Cashflows!$W$1043:$W$1393,Cashflows!$B$1043:$B$1393,$C833,Cashflows!$C$1043:$C$1393,$K833)</f>
        <v/>
      </c>
      <c r="W833" s="8">
        <f>IF($G833="INR",1,INDEX(Market_Daily!$F$6:$F$256,MATCH($K833,Market_Daily!$A$6:$A$256,0)))</f>
        <v/>
      </c>
      <c r="X833" s="8">
        <f>$V833*$W833</f>
        <v/>
      </c>
      <c r="Y833" s="18">
        <f>$X833-$P833</f>
        <v/>
      </c>
      <c r="Z833" s="8">
        <f>IF(ABS($Y833)&lt;=tol_cashflow_inr,"PASS","FAIL")</f>
        <v/>
      </c>
      <c r="AA833" s="7" t="inlineStr">
        <is>
          <t>-d(lots x lot_kg x F(s) x mcx_al_margin_used_frac)</t>
        </is>
      </c>
    </row>
    <row r="834">
      <c r="A834" s="7" t="inlineStr">
        <is>
          <t>T07</t>
        </is>
      </c>
      <c r="B834" s="7" t="inlineStr">
        <is>
          <t>MCX:T07-MCX-2</t>
        </is>
      </c>
      <c r="C834" s="7" t="inlineStr">
        <is>
          <t>T07-MCX-2</t>
        </is>
      </c>
      <c r="D834" s="7" t="inlineStr">
        <is>
          <t>MCX_VARIATION_MARGIN</t>
        </is>
      </c>
      <c r="E834" s="7" t="inlineStr">
        <is>
          <t>MCX_VARIATION_MARGIN</t>
        </is>
      </c>
      <c r="F834" s="7" t="inlineStr">
        <is>
          <t>PNL</t>
        </is>
      </c>
      <c r="G834" s="7" t="inlineStr">
        <is>
          <t>INR</t>
        </is>
      </c>
      <c r="H834" s="11" t="n">
        <v>44733</v>
      </c>
      <c r="I834" s="11" t="n">
        <v>44742</v>
      </c>
      <c r="J834" s="11" t="n">
        <v>44742</v>
      </c>
      <c r="K834" s="11" t="n">
        <v>44742</v>
      </c>
      <c r="L834" s="7" t="inlineStr">
        <is>
          <t>roll following on the LME panel calendar</t>
        </is>
      </c>
      <c r="N834" s="7" t="inlineStr">
        <is>
          <t>PROXY</t>
        </is>
      </c>
      <c r="O834" s="9" t="n">
        <v>5548377.6</v>
      </c>
      <c r="P834" s="9" t="n">
        <v>5548377.6</v>
      </c>
      <c r="U834" s="7" t="inlineStr">
        <is>
          <t>DERIVED_IN_WORKBOOK</t>
        </is>
      </c>
      <c r="V834" s="8">
        <f>SUMIFS(Cashflows!$R$1043:$R$1393,Cashflows!$B$1043:$B$1393,$C834,Cashflows!$C$1043:$C$1393,$K834)</f>
        <v/>
      </c>
      <c r="W834" s="8">
        <f>IF($G834="INR",1,INDEX(Market_Daily!$F$6:$F$256,MATCH($K834,Market_Daily!$A$6:$A$256,0)))</f>
        <v/>
      </c>
      <c r="X834" s="8">
        <f>$V834*$W834</f>
        <v/>
      </c>
      <c r="Y834" s="18">
        <f>$X834-$P834</f>
        <v/>
      </c>
      <c r="Z834" s="8">
        <f>IF(ABS($Y834)&lt;=tol_cashflow_inr,"PASS","FAIL")</f>
        <v/>
      </c>
      <c r="AA834" s="7" t="inlineStr">
        <is>
          <t>direction x lots x lot_kg x (F(s) - F(s-1))</t>
        </is>
      </c>
    </row>
    <row r="835">
      <c r="A835" s="7" t="inlineStr">
        <is>
          <t>T07</t>
        </is>
      </c>
      <c r="B835" s="7" t="inlineStr">
        <is>
          <t>MCX:T07-MCX-2</t>
        </is>
      </c>
      <c r="C835" s="7" t="inlineStr">
        <is>
          <t>T07-MCX-2</t>
        </is>
      </c>
      <c r="D835" s="7" t="inlineStr">
        <is>
          <t>MCX_INITIAL_MARGIN</t>
        </is>
      </c>
      <c r="E835" s="7" t="inlineStr">
        <is>
          <t>MCX_INITIAL_MARGIN</t>
        </is>
      </c>
      <c r="F835" s="7" t="inlineStr">
        <is>
          <t>BS</t>
        </is>
      </c>
      <c r="G835" s="7" t="inlineStr">
        <is>
          <t>INR</t>
        </is>
      </c>
      <c r="H835" s="11" t="n">
        <v>44733</v>
      </c>
      <c r="I835" s="11" t="n">
        <v>44743</v>
      </c>
      <c r="J835" s="11" t="n">
        <v>44743</v>
      </c>
      <c r="K835" s="11" t="n">
        <v>44743</v>
      </c>
      <c r="L835" s="7" t="inlineStr">
        <is>
          <t>roll following on the LME panel calendar</t>
        </is>
      </c>
      <c r="N835" s="7" t="inlineStr">
        <is>
          <t>PROXY</t>
        </is>
      </c>
      <c r="O835" s="9" t="n">
        <v>150066.82</v>
      </c>
      <c r="P835" s="9" t="n">
        <v>150066.82</v>
      </c>
      <c r="U835" s="7" t="inlineStr">
        <is>
          <t>DERIVED_IN_WORKBOOK</t>
        </is>
      </c>
      <c r="V835" s="8">
        <f>-SUMIFS(Cashflows!$W$1043:$W$1393,Cashflows!$B$1043:$B$1393,$C835,Cashflows!$C$1043:$C$1393,$K835)</f>
        <v/>
      </c>
      <c r="W835" s="8">
        <f>IF($G835="INR",1,INDEX(Market_Daily!$F$6:$F$256,MATCH($K835,Market_Daily!$A$6:$A$256,0)))</f>
        <v/>
      </c>
      <c r="X835" s="8">
        <f>$V835*$W835</f>
        <v/>
      </c>
      <c r="Y835" s="18">
        <f>$X835-$P835</f>
        <v/>
      </c>
      <c r="Z835" s="8">
        <f>IF(ABS($Y835)&lt;=tol_cashflow_inr,"PASS","FAIL")</f>
        <v/>
      </c>
      <c r="AA835" s="7" t="inlineStr">
        <is>
          <t>-d(lots x lot_kg x F(s) x mcx_al_margin_used_frac)</t>
        </is>
      </c>
    </row>
    <row r="836">
      <c r="A836" s="7" t="inlineStr">
        <is>
          <t>T07</t>
        </is>
      </c>
      <c r="B836" s="7" t="inlineStr">
        <is>
          <t>MCX:T07-MCX-2</t>
        </is>
      </c>
      <c r="C836" s="7" t="inlineStr">
        <is>
          <t>T07-MCX-2</t>
        </is>
      </c>
      <c r="D836" s="7" t="inlineStr">
        <is>
          <t>MCX_VARIATION_MARGIN</t>
        </is>
      </c>
      <c r="E836" s="7" t="inlineStr">
        <is>
          <t>MCX_VARIATION_MARGIN</t>
        </is>
      </c>
      <c r="F836" s="7" t="inlineStr">
        <is>
          <t>PNL</t>
        </is>
      </c>
      <c r="G836" s="7" t="inlineStr">
        <is>
          <t>INR</t>
        </is>
      </c>
      <c r="H836" s="11" t="n">
        <v>44733</v>
      </c>
      <c r="I836" s="11" t="n">
        <v>44743</v>
      </c>
      <c r="J836" s="11" t="n">
        <v>44743</v>
      </c>
      <c r="K836" s="11" t="n">
        <v>44743</v>
      </c>
      <c r="L836" s="7" t="inlineStr">
        <is>
          <t>roll following on the LME panel calendar</t>
        </is>
      </c>
      <c r="N836" s="7" t="inlineStr">
        <is>
          <t>PROXY</t>
        </is>
      </c>
      <c r="O836" s="9" t="n">
        <v>1500668.25</v>
      </c>
      <c r="P836" s="9" t="n">
        <v>1500668.25</v>
      </c>
      <c r="U836" s="7" t="inlineStr">
        <is>
          <t>DERIVED_IN_WORKBOOK</t>
        </is>
      </c>
      <c r="V836" s="8">
        <f>SUMIFS(Cashflows!$R$1043:$R$1393,Cashflows!$B$1043:$B$1393,$C836,Cashflows!$C$1043:$C$1393,$K836)</f>
        <v/>
      </c>
      <c r="W836" s="8">
        <f>IF($G836="INR",1,INDEX(Market_Daily!$F$6:$F$256,MATCH($K836,Market_Daily!$A$6:$A$256,0)))</f>
        <v/>
      </c>
      <c r="X836" s="8">
        <f>$V836*$W836</f>
        <v/>
      </c>
      <c r="Y836" s="18">
        <f>$X836-$P836</f>
        <v/>
      </c>
      <c r="Z836" s="8">
        <f>IF(ABS($Y836)&lt;=tol_cashflow_inr,"PASS","FAIL")</f>
        <v/>
      </c>
      <c r="AA836" s="7" t="inlineStr">
        <is>
          <t>direction x lots x lot_kg x (F(s) - F(s-1))</t>
        </is>
      </c>
    </row>
    <row r="837">
      <c r="A837" s="7" t="inlineStr">
        <is>
          <t>T07</t>
        </is>
      </c>
      <c r="B837" s="7" t="inlineStr">
        <is>
          <t>MCX:T07-MCX-2</t>
        </is>
      </c>
      <c r="C837" s="7" t="inlineStr">
        <is>
          <t>T07-MCX-2</t>
        </is>
      </c>
      <c r="D837" s="7" t="inlineStr">
        <is>
          <t>MCX_INITIAL_MARGIN</t>
        </is>
      </c>
      <c r="E837" s="7" t="inlineStr">
        <is>
          <t>MCX_INITIAL_MARGIN</t>
        </is>
      </c>
      <c r="F837" s="7" t="inlineStr">
        <is>
          <t>BS</t>
        </is>
      </c>
      <c r="G837" s="7" t="inlineStr">
        <is>
          <t>INR</t>
        </is>
      </c>
      <c r="H837" s="11" t="n">
        <v>44733</v>
      </c>
      <c r="I837" s="11" t="n">
        <v>44746</v>
      </c>
      <c r="J837" s="11" t="n">
        <v>44746</v>
      </c>
      <c r="K837" s="11" t="n">
        <v>44746</v>
      </c>
      <c r="L837" s="7" t="inlineStr">
        <is>
          <t>roll following on the LME panel calendar</t>
        </is>
      </c>
      <c r="N837" s="7" t="inlineStr">
        <is>
          <t>PROXY</t>
        </is>
      </c>
      <c r="O837" s="9" t="n">
        <v>-459814.37</v>
      </c>
      <c r="P837" s="9" t="n">
        <v>-459814.37</v>
      </c>
      <c r="U837" s="7" t="inlineStr">
        <is>
          <t>DERIVED_IN_WORKBOOK</t>
        </is>
      </c>
      <c r="V837" s="8">
        <f>-SUMIFS(Cashflows!$W$1043:$W$1393,Cashflows!$B$1043:$B$1393,$C837,Cashflows!$C$1043:$C$1393,$K837)</f>
        <v/>
      </c>
      <c r="W837" s="8">
        <f>IF($G837="INR",1,INDEX(Market_Daily!$F$6:$F$256,MATCH($K837,Market_Daily!$A$6:$A$256,0)))</f>
        <v/>
      </c>
      <c r="X837" s="8">
        <f>$V837*$W837</f>
        <v/>
      </c>
      <c r="Y837" s="18">
        <f>$X837-$P837</f>
        <v/>
      </c>
      <c r="Z837" s="8">
        <f>IF(ABS($Y837)&lt;=tol_cashflow_inr,"PASS","FAIL")</f>
        <v/>
      </c>
      <c r="AA837" s="7" t="inlineStr">
        <is>
          <t>-d(lots x lot_kg x F(s) x mcx_al_margin_used_frac)</t>
        </is>
      </c>
    </row>
    <row r="838">
      <c r="A838" s="7" t="inlineStr">
        <is>
          <t>T07</t>
        </is>
      </c>
      <c r="B838" s="7" t="inlineStr">
        <is>
          <t>MCX:T07-MCX-2</t>
        </is>
      </c>
      <c r="C838" s="7" t="inlineStr">
        <is>
          <t>T07-MCX-2</t>
        </is>
      </c>
      <c r="D838" s="7" t="inlineStr">
        <is>
          <t>MCX_VARIATION_MARGIN</t>
        </is>
      </c>
      <c r="E838" s="7" t="inlineStr">
        <is>
          <t>MCX_VARIATION_MARGIN</t>
        </is>
      </c>
      <c r="F838" s="7" t="inlineStr">
        <is>
          <t>PNL</t>
        </is>
      </c>
      <c r="G838" s="7" t="inlineStr">
        <is>
          <t>INR</t>
        </is>
      </c>
      <c r="H838" s="11" t="n">
        <v>44733</v>
      </c>
      <c r="I838" s="11" t="n">
        <v>44746</v>
      </c>
      <c r="J838" s="11" t="n">
        <v>44746</v>
      </c>
      <c r="K838" s="11" t="n">
        <v>44746</v>
      </c>
      <c r="L838" s="7" t="inlineStr">
        <is>
          <t>roll following on the LME panel calendar</t>
        </is>
      </c>
      <c r="N838" s="7" t="inlineStr">
        <is>
          <t>PROXY</t>
        </is>
      </c>
      <c r="O838" s="9" t="n">
        <v>-4598143.68</v>
      </c>
      <c r="P838" s="9" t="n">
        <v>-4598143.68</v>
      </c>
      <c r="U838" s="7" t="inlineStr">
        <is>
          <t>DERIVED_IN_WORKBOOK</t>
        </is>
      </c>
      <c r="V838" s="8">
        <f>SUMIFS(Cashflows!$R$1043:$R$1393,Cashflows!$B$1043:$B$1393,$C838,Cashflows!$C$1043:$C$1393,$K838)</f>
        <v/>
      </c>
      <c r="W838" s="8">
        <f>IF($G838="INR",1,INDEX(Market_Daily!$F$6:$F$256,MATCH($K838,Market_Daily!$A$6:$A$256,0)))</f>
        <v/>
      </c>
      <c r="X838" s="8">
        <f>$V838*$W838</f>
        <v/>
      </c>
      <c r="Y838" s="18">
        <f>$X838-$P838</f>
        <v/>
      </c>
      <c r="Z838" s="8">
        <f>IF(ABS($Y838)&lt;=tol_cashflow_inr,"PASS","FAIL")</f>
        <v/>
      </c>
      <c r="AA838" s="7" t="inlineStr">
        <is>
          <t>direction x lots x lot_kg x (F(s) - F(s-1))</t>
        </is>
      </c>
    </row>
    <row r="839">
      <c r="A839" s="7" t="inlineStr">
        <is>
          <t>T07</t>
        </is>
      </c>
      <c r="B839" s="7" t="inlineStr">
        <is>
          <t>MCX:T07-MCX-2</t>
        </is>
      </c>
      <c r="C839" s="7" t="inlineStr">
        <is>
          <t>T07-MCX-2</t>
        </is>
      </c>
      <c r="D839" s="7" t="inlineStr">
        <is>
          <t>MCX_INITIAL_MARGIN</t>
        </is>
      </c>
      <c r="E839" s="7" t="inlineStr">
        <is>
          <t>MCX_INITIAL_MARGIN</t>
        </is>
      </c>
      <c r="F839" s="7" t="inlineStr">
        <is>
          <t>BS</t>
        </is>
      </c>
      <c r="G839" s="7" t="inlineStr">
        <is>
          <t>INR</t>
        </is>
      </c>
      <c r="H839" s="11" t="n">
        <v>44733</v>
      </c>
      <c r="I839" s="11" t="n">
        <v>44747</v>
      </c>
      <c r="J839" s="11" t="n">
        <v>44747</v>
      </c>
      <c r="K839" s="11" t="n">
        <v>44747</v>
      </c>
      <c r="L839" s="7" t="inlineStr">
        <is>
          <t>roll following on the LME panel calendar</t>
        </is>
      </c>
      <c r="N839" s="7" t="inlineStr">
        <is>
          <t>PROXY</t>
        </is>
      </c>
      <c r="O839" s="9" t="n">
        <v>467513</v>
      </c>
      <c r="P839" s="9" t="n">
        <v>467513</v>
      </c>
      <c r="U839" s="7" t="inlineStr">
        <is>
          <t>DERIVED_IN_WORKBOOK</t>
        </is>
      </c>
      <c r="V839" s="8">
        <f>-SUMIFS(Cashflows!$W$1043:$W$1393,Cashflows!$B$1043:$B$1393,$C839,Cashflows!$C$1043:$C$1393,$K839)</f>
        <v/>
      </c>
      <c r="W839" s="8">
        <f>IF($G839="INR",1,INDEX(Market_Daily!$F$6:$F$256,MATCH($K839,Market_Daily!$A$6:$A$256,0)))</f>
        <v/>
      </c>
      <c r="X839" s="8">
        <f>$V839*$W839</f>
        <v/>
      </c>
      <c r="Y839" s="18">
        <f>$X839-$P839</f>
        <v/>
      </c>
      <c r="Z839" s="8">
        <f>IF(ABS($Y839)&lt;=tol_cashflow_inr,"PASS","FAIL")</f>
        <v/>
      </c>
      <c r="AA839" s="7" t="inlineStr">
        <is>
          <t>-d(lots x lot_kg x F(s) x mcx_al_margin_used_frac)</t>
        </is>
      </c>
    </row>
    <row r="840">
      <c r="A840" s="7" t="inlineStr">
        <is>
          <t>T07</t>
        </is>
      </c>
      <c r="B840" s="7" t="inlineStr">
        <is>
          <t>MCX:T07-MCX-2</t>
        </is>
      </c>
      <c r="C840" s="7" t="inlineStr">
        <is>
          <t>T07-MCX-2</t>
        </is>
      </c>
      <c r="D840" s="7" t="inlineStr">
        <is>
          <t>MCX_VARIATION_MARGIN</t>
        </is>
      </c>
      <c r="E840" s="7" t="inlineStr">
        <is>
          <t>MCX_VARIATION_MARGIN</t>
        </is>
      </c>
      <c r="F840" s="7" t="inlineStr">
        <is>
          <t>PNL</t>
        </is>
      </c>
      <c r="G840" s="7" t="inlineStr">
        <is>
          <t>INR</t>
        </is>
      </c>
      <c r="H840" s="11" t="n">
        <v>44733</v>
      </c>
      <c r="I840" s="11" t="n">
        <v>44747</v>
      </c>
      <c r="J840" s="11" t="n">
        <v>44747</v>
      </c>
      <c r="K840" s="11" t="n">
        <v>44747</v>
      </c>
      <c r="L840" s="7" t="inlineStr">
        <is>
          <t>roll following on the LME panel calendar</t>
        </is>
      </c>
      <c r="N840" s="7" t="inlineStr">
        <is>
          <t>PROXY</t>
        </is>
      </c>
      <c r="O840" s="9" t="n">
        <v>4675129.95</v>
      </c>
      <c r="P840" s="9" t="n">
        <v>4675129.95</v>
      </c>
      <c r="U840" s="7" t="inlineStr">
        <is>
          <t>DERIVED_IN_WORKBOOK</t>
        </is>
      </c>
      <c r="V840" s="8">
        <f>SUMIFS(Cashflows!$R$1043:$R$1393,Cashflows!$B$1043:$B$1393,$C840,Cashflows!$C$1043:$C$1393,$K840)</f>
        <v/>
      </c>
      <c r="W840" s="8">
        <f>IF($G840="INR",1,INDEX(Market_Daily!$F$6:$F$256,MATCH($K840,Market_Daily!$A$6:$A$256,0)))</f>
        <v/>
      </c>
      <c r="X840" s="8">
        <f>$V840*$W840</f>
        <v/>
      </c>
      <c r="Y840" s="18">
        <f>$X840-$P840</f>
        <v/>
      </c>
      <c r="Z840" s="8">
        <f>IF(ABS($Y840)&lt;=tol_cashflow_inr,"PASS","FAIL")</f>
        <v/>
      </c>
      <c r="AA840" s="7" t="inlineStr">
        <is>
          <t>direction x lots x lot_kg x (F(s) - F(s-1))</t>
        </is>
      </c>
    </row>
    <row r="841">
      <c r="A841" s="7" t="inlineStr">
        <is>
          <t>T07</t>
        </is>
      </c>
      <c r="B841" s="7" t="inlineStr">
        <is>
          <t>MCX:T07-MCX-2</t>
        </is>
      </c>
      <c r="C841" s="7" t="inlineStr">
        <is>
          <t>T07-MCX-2</t>
        </is>
      </c>
      <c r="D841" s="7" t="inlineStr">
        <is>
          <t>MCX_INITIAL_MARGIN</t>
        </is>
      </c>
      <c r="E841" s="7" t="inlineStr">
        <is>
          <t>MCX_INITIAL_MARGIN</t>
        </is>
      </c>
      <c r="F841" s="7" t="inlineStr">
        <is>
          <t>BS</t>
        </is>
      </c>
      <c r="G841" s="7" t="inlineStr">
        <is>
          <t>INR</t>
        </is>
      </c>
      <c r="H841" s="11" t="n">
        <v>44733</v>
      </c>
      <c r="I841" s="11" t="n">
        <v>44748</v>
      </c>
      <c r="J841" s="11" t="n">
        <v>44748</v>
      </c>
      <c r="K841" s="11" t="n">
        <v>44748</v>
      </c>
      <c r="L841" s="7" t="inlineStr">
        <is>
          <t>roll following on the LME panel calendar</t>
        </is>
      </c>
      <c r="N841" s="7" t="inlineStr">
        <is>
          <t>PROXY</t>
        </is>
      </c>
      <c r="O841" s="9" t="n">
        <v>249826.47</v>
      </c>
      <c r="P841" s="9" t="n">
        <v>249826.47</v>
      </c>
      <c r="U841" s="7" t="inlineStr">
        <is>
          <t>DERIVED_IN_WORKBOOK</t>
        </is>
      </c>
      <c r="V841" s="8">
        <f>-SUMIFS(Cashflows!$W$1043:$W$1393,Cashflows!$B$1043:$B$1393,$C841,Cashflows!$C$1043:$C$1393,$K841)</f>
        <v/>
      </c>
      <c r="W841" s="8">
        <f>IF($G841="INR",1,INDEX(Market_Daily!$F$6:$F$256,MATCH($K841,Market_Daily!$A$6:$A$256,0)))</f>
        <v/>
      </c>
      <c r="X841" s="8">
        <f>$V841*$W841</f>
        <v/>
      </c>
      <c r="Y841" s="18">
        <f>$X841-$P841</f>
        <v/>
      </c>
      <c r="Z841" s="8">
        <f>IF(ABS($Y841)&lt;=tol_cashflow_inr,"PASS","FAIL")</f>
        <v/>
      </c>
      <c r="AA841" s="7" t="inlineStr">
        <is>
          <t>-d(lots x lot_kg x F(s) x mcx_al_margin_used_frac)</t>
        </is>
      </c>
    </row>
    <row r="842">
      <c r="A842" s="7" t="inlineStr">
        <is>
          <t>T07</t>
        </is>
      </c>
      <c r="B842" s="7" t="inlineStr">
        <is>
          <t>MCX:T07-MCX-2</t>
        </is>
      </c>
      <c r="C842" s="7" t="inlineStr">
        <is>
          <t>T07-MCX-2</t>
        </is>
      </c>
      <c r="D842" s="7" t="inlineStr">
        <is>
          <t>MCX_VARIATION_MARGIN</t>
        </is>
      </c>
      <c r="E842" s="7" t="inlineStr">
        <is>
          <t>MCX_VARIATION_MARGIN</t>
        </is>
      </c>
      <c r="F842" s="7" t="inlineStr">
        <is>
          <t>PNL</t>
        </is>
      </c>
      <c r="G842" s="7" t="inlineStr">
        <is>
          <t>INR</t>
        </is>
      </c>
      <c r="H842" s="11" t="n">
        <v>44733</v>
      </c>
      <c r="I842" s="11" t="n">
        <v>44748</v>
      </c>
      <c r="J842" s="11" t="n">
        <v>44748</v>
      </c>
      <c r="K842" s="11" t="n">
        <v>44748</v>
      </c>
      <c r="L842" s="7" t="inlineStr">
        <is>
          <t>roll following on the LME panel calendar</t>
        </is>
      </c>
      <c r="N842" s="7" t="inlineStr">
        <is>
          <t>PROXY</t>
        </is>
      </c>
      <c r="O842" s="9" t="n">
        <v>2498264.66</v>
      </c>
      <c r="P842" s="9" t="n">
        <v>2498264.66</v>
      </c>
      <c r="U842" s="7" t="inlineStr">
        <is>
          <t>DERIVED_IN_WORKBOOK</t>
        </is>
      </c>
      <c r="V842" s="8">
        <f>SUMIFS(Cashflows!$R$1043:$R$1393,Cashflows!$B$1043:$B$1393,$C842,Cashflows!$C$1043:$C$1393,$K842)</f>
        <v/>
      </c>
      <c r="W842" s="8">
        <f>IF($G842="INR",1,INDEX(Market_Daily!$F$6:$F$256,MATCH($K842,Market_Daily!$A$6:$A$256,0)))</f>
        <v/>
      </c>
      <c r="X842" s="8">
        <f>$V842*$W842</f>
        <v/>
      </c>
      <c r="Y842" s="18">
        <f>$X842-$P842</f>
        <v/>
      </c>
      <c r="Z842" s="8">
        <f>IF(ABS($Y842)&lt;=tol_cashflow_inr,"PASS","FAIL")</f>
        <v/>
      </c>
      <c r="AA842" s="7" t="inlineStr">
        <is>
          <t>direction x lots x lot_kg x (F(s) - F(s-1))</t>
        </is>
      </c>
    </row>
    <row r="843">
      <c r="A843" s="7" t="inlineStr">
        <is>
          <t>T07</t>
        </is>
      </c>
      <c r="B843" s="7" t="inlineStr">
        <is>
          <t>MCX:T07-MCX-2</t>
        </is>
      </c>
      <c r="C843" s="7" t="inlineStr">
        <is>
          <t>T07-MCX-2</t>
        </is>
      </c>
      <c r="D843" s="7" t="inlineStr">
        <is>
          <t>MCX_INITIAL_MARGIN</t>
        </is>
      </c>
      <c r="E843" s="7" t="inlineStr">
        <is>
          <t>MCX_INITIAL_MARGIN</t>
        </is>
      </c>
      <c r="F843" s="7" t="inlineStr">
        <is>
          <t>BS</t>
        </is>
      </c>
      <c r="G843" s="7" t="inlineStr">
        <is>
          <t>INR</t>
        </is>
      </c>
      <c r="H843" s="11" t="n">
        <v>44733</v>
      </c>
      <c r="I843" s="11" t="n">
        <v>44749</v>
      </c>
      <c r="J843" s="11" t="n">
        <v>44749</v>
      </c>
      <c r="K843" s="11" t="n">
        <v>44749</v>
      </c>
      <c r="L843" s="7" t="inlineStr">
        <is>
          <t>roll following on the LME panel calendar</t>
        </is>
      </c>
      <c r="N843" s="7" t="inlineStr">
        <is>
          <t>PROXY</t>
        </is>
      </c>
      <c r="O843" s="9" t="n">
        <v>-641906.4</v>
      </c>
      <c r="P843" s="9" t="n">
        <v>-641906.4</v>
      </c>
      <c r="U843" s="7" t="inlineStr">
        <is>
          <t>DERIVED_IN_WORKBOOK</t>
        </is>
      </c>
      <c r="V843" s="8">
        <f>-SUMIFS(Cashflows!$W$1043:$W$1393,Cashflows!$B$1043:$B$1393,$C843,Cashflows!$C$1043:$C$1393,$K843)</f>
        <v/>
      </c>
      <c r="W843" s="8">
        <f>IF($G843="INR",1,INDEX(Market_Daily!$F$6:$F$256,MATCH($K843,Market_Daily!$A$6:$A$256,0)))</f>
        <v/>
      </c>
      <c r="X843" s="8">
        <f>$V843*$W843</f>
        <v/>
      </c>
      <c r="Y843" s="18">
        <f>$X843-$P843</f>
        <v/>
      </c>
      <c r="Z843" s="8">
        <f>IF(ABS($Y843)&lt;=tol_cashflow_inr,"PASS","FAIL")</f>
        <v/>
      </c>
      <c r="AA843" s="7" t="inlineStr">
        <is>
          <t>-d(lots x lot_kg x F(s) x mcx_al_margin_used_frac)</t>
        </is>
      </c>
    </row>
    <row r="844">
      <c r="A844" s="7" t="inlineStr">
        <is>
          <t>T07</t>
        </is>
      </c>
      <c r="B844" s="7" t="inlineStr">
        <is>
          <t>MCX:T07-MCX-2</t>
        </is>
      </c>
      <c r="C844" s="7" t="inlineStr">
        <is>
          <t>T07-MCX-2</t>
        </is>
      </c>
      <c r="D844" s="7" t="inlineStr">
        <is>
          <t>MCX_VARIATION_MARGIN</t>
        </is>
      </c>
      <c r="E844" s="7" t="inlineStr">
        <is>
          <t>MCX_VARIATION_MARGIN</t>
        </is>
      </c>
      <c r="F844" s="7" t="inlineStr">
        <is>
          <t>PNL</t>
        </is>
      </c>
      <c r="G844" s="7" t="inlineStr">
        <is>
          <t>INR</t>
        </is>
      </c>
      <c r="H844" s="11" t="n">
        <v>44733</v>
      </c>
      <c r="I844" s="11" t="n">
        <v>44749</v>
      </c>
      <c r="J844" s="11" t="n">
        <v>44749</v>
      </c>
      <c r="K844" s="11" t="n">
        <v>44749</v>
      </c>
      <c r="L844" s="7" t="inlineStr">
        <is>
          <t>roll following on the LME panel calendar</t>
        </is>
      </c>
      <c r="N844" s="7" t="inlineStr">
        <is>
          <t>PROXY</t>
        </is>
      </c>
      <c r="O844" s="9" t="n">
        <v>-6419064.04</v>
      </c>
      <c r="P844" s="9" t="n">
        <v>-6419064.04</v>
      </c>
      <c r="U844" s="7" t="inlineStr">
        <is>
          <t>DERIVED_IN_WORKBOOK</t>
        </is>
      </c>
      <c r="V844" s="8">
        <f>SUMIFS(Cashflows!$R$1043:$R$1393,Cashflows!$B$1043:$B$1393,$C844,Cashflows!$C$1043:$C$1393,$K844)</f>
        <v/>
      </c>
      <c r="W844" s="8">
        <f>IF($G844="INR",1,INDEX(Market_Daily!$F$6:$F$256,MATCH($K844,Market_Daily!$A$6:$A$256,0)))</f>
        <v/>
      </c>
      <c r="X844" s="8">
        <f>$V844*$W844</f>
        <v/>
      </c>
      <c r="Y844" s="18">
        <f>$X844-$P844</f>
        <v/>
      </c>
      <c r="Z844" s="8">
        <f>IF(ABS($Y844)&lt;=tol_cashflow_inr,"PASS","FAIL")</f>
        <v/>
      </c>
      <c r="AA844" s="7" t="inlineStr">
        <is>
          <t>direction x lots x lot_kg x (F(s) - F(s-1))</t>
        </is>
      </c>
    </row>
    <row r="845">
      <c r="A845" s="7" t="inlineStr">
        <is>
          <t>T07</t>
        </is>
      </c>
      <c r="B845" s="7" t="inlineStr">
        <is>
          <t>MCX:T07-MCX-2</t>
        </is>
      </c>
      <c r="C845" s="7" t="inlineStr">
        <is>
          <t>T07-MCX-2</t>
        </is>
      </c>
      <c r="D845" s="7" t="inlineStr">
        <is>
          <t>MCX_INITIAL_MARGIN</t>
        </is>
      </c>
      <c r="E845" s="7" t="inlineStr">
        <is>
          <t>MCX_INITIAL_MARGIN</t>
        </is>
      </c>
      <c r="F845" s="7" t="inlineStr">
        <is>
          <t>BS</t>
        </is>
      </c>
      <c r="G845" s="7" t="inlineStr">
        <is>
          <t>INR</t>
        </is>
      </c>
      <c r="H845" s="11" t="n">
        <v>44733</v>
      </c>
      <c r="I845" s="11" t="n">
        <v>44750</v>
      </c>
      <c r="J845" s="11" t="n">
        <v>44750</v>
      </c>
      <c r="K845" s="11" t="n">
        <v>44750</v>
      </c>
      <c r="L845" s="7" t="inlineStr">
        <is>
          <t>roll following on the LME panel calendar</t>
        </is>
      </c>
      <c r="N845" s="7" t="inlineStr">
        <is>
          <t>PROXY</t>
        </is>
      </c>
      <c r="O845" s="9" t="n">
        <v>175043.97</v>
      </c>
      <c r="P845" s="9" t="n">
        <v>175043.97</v>
      </c>
      <c r="U845" s="7" t="inlineStr">
        <is>
          <t>DERIVED_IN_WORKBOOK</t>
        </is>
      </c>
      <c r="V845" s="8">
        <f>-SUMIFS(Cashflows!$W$1043:$W$1393,Cashflows!$B$1043:$B$1393,$C845,Cashflows!$C$1043:$C$1393,$K845)</f>
        <v/>
      </c>
      <c r="W845" s="8">
        <f>IF($G845="INR",1,INDEX(Market_Daily!$F$6:$F$256,MATCH($K845,Market_Daily!$A$6:$A$256,0)))</f>
        <v/>
      </c>
      <c r="X845" s="8">
        <f>$V845*$W845</f>
        <v/>
      </c>
      <c r="Y845" s="18">
        <f>$X845-$P845</f>
        <v/>
      </c>
      <c r="Z845" s="8">
        <f>IF(ABS($Y845)&lt;=tol_cashflow_inr,"PASS","FAIL")</f>
        <v/>
      </c>
      <c r="AA845" s="7" t="inlineStr">
        <is>
          <t>-d(lots x lot_kg x F(s) x mcx_al_margin_used_frac)</t>
        </is>
      </c>
    </row>
    <row r="846">
      <c r="A846" s="7" t="inlineStr">
        <is>
          <t>T07</t>
        </is>
      </c>
      <c r="B846" s="7" t="inlineStr">
        <is>
          <t>MCX:T07-MCX-2</t>
        </is>
      </c>
      <c r="C846" s="7" t="inlineStr">
        <is>
          <t>T07-MCX-2</t>
        </is>
      </c>
      <c r="D846" s="7" t="inlineStr">
        <is>
          <t>MCX_VARIATION_MARGIN</t>
        </is>
      </c>
      <c r="E846" s="7" t="inlineStr">
        <is>
          <t>MCX_VARIATION_MARGIN</t>
        </is>
      </c>
      <c r="F846" s="7" t="inlineStr">
        <is>
          <t>PNL</t>
        </is>
      </c>
      <c r="G846" s="7" t="inlineStr">
        <is>
          <t>INR</t>
        </is>
      </c>
      <c r="H846" s="11" t="n">
        <v>44733</v>
      </c>
      <c r="I846" s="11" t="n">
        <v>44750</v>
      </c>
      <c r="J846" s="11" t="n">
        <v>44750</v>
      </c>
      <c r="K846" s="11" t="n">
        <v>44750</v>
      </c>
      <c r="L846" s="7" t="inlineStr">
        <is>
          <t>roll following on the LME panel calendar</t>
        </is>
      </c>
      <c r="N846" s="7" t="inlineStr">
        <is>
          <t>PROXY</t>
        </is>
      </c>
      <c r="O846" s="9" t="n">
        <v>1750439.66</v>
      </c>
      <c r="P846" s="9" t="n">
        <v>1750439.66</v>
      </c>
      <c r="U846" s="7" t="inlineStr">
        <is>
          <t>DERIVED_IN_WORKBOOK</t>
        </is>
      </c>
      <c r="V846" s="8">
        <f>SUMIFS(Cashflows!$R$1043:$R$1393,Cashflows!$B$1043:$B$1393,$C846,Cashflows!$C$1043:$C$1393,$K846)</f>
        <v/>
      </c>
      <c r="W846" s="8">
        <f>IF($G846="INR",1,INDEX(Market_Daily!$F$6:$F$256,MATCH($K846,Market_Daily!$A$6:$A$256,0)))</f>
        <v/>
      </c>
      <c r="X846" s="8">
        <f>$V846*$W846</f>
        <v/>
      </c>
      <c r="Y846" s="18">
        <f>$X846-$P846</f>
        <v/>
      </c>
      <c r="Z846" s="8">
        <f>IF(ABS($Y846)&lt;=tol_cashflow_inr,"PASS","FAIL")</f>
        <v/>
      </c>
      <c r="AA846" s="7" t="inlineStr">
        <is>
          <t>direction x lots x lot_kg x (F(s) - F(s-1))</t>
        </is>
      </c>
    </row>
    <row r="847">
      <c r="A847" s="7" t="inlineStr">
        <is>
          <t>T07</t>
        </is>
      </c>
      <c r="B847" s="7" t="inlineStr">
        <is>
          <t>MCX:T07-MCX-2</t>
        </is>
      </c>
      <c r="C847" s="7" t="inlineStr">
        <is>
          <t>T07-MCX-2</t>
        </is>
      </c>
      <c r="D847" s="7" t="inlineStr">
        <is>
          <t>MCX_INITIAL_MARGIN</t>
        </is>
      </c>
      <c r="E847" s="7" t="inlineStr">
        <is>
          <t>MCX_INITIAL_MARGIN</t>
        </is>
      </c>
      <c r="F847" s="7" t="inlineStr">
        <is>
          <t>BS</t>
        </is>
      </c>
      <c r="G847" s="7" t="inlineStr">
        <is>
          <t>INR</t>
        </is>
      </c>
      <c r="H847" s="11" t="n">
        <v>44733</v>
      </c>
      <c r="I847" s="11" t="n">
        <v>44753</v>
      </c>
      <c r="J847" s="11" t="n">
        <v>44753</v>
      </c>
      <c r="K847" s="11" t="n">
        <v>44753</v>
      </c>
      <c r="L847" s="7" t="inlineStr">
        <is>
          <t>roll following on the LME panel calendar</t>
        </is>
      </c>
      <c r="N847" s="7" t="inlineStr">
        <is>
          <t>PROXY</t>
        </is>
      </c>
      <c r="O847" s="9" t="n">
        <v>-248728.69</v>
      </c>
      <c r="P847" s="9" t="n">
        <v>-248728.69</v>
      </c>
      <c r="U847" s="7" t="inlineStr">
        <is>
          <t>DERIVED_IN_WORKBOOK</t>
        </is>
      </c>
      <c r="V847" s="8">
        <f>-SUMIFS(Cashflows!$W$1043:$W$1393,Cashflows!$B$1043:$B$1393,$C847,Cashflows!$C$1043:$C$1393,$K847)</f>
        <v/>
      </c>
      <c r="W847" s="8">
        <f>IF($G847="INR",1,INDEX(Market_Daily!$F$6:$F$256,MATCH($K847,Market_Daily!$A$6:$A$256,0)))</f>
        <v/>
      </c>
      <c r="X847" s="8">
        <f>$V847*$W847</f>
        <v/>
      </c>
      <c r="Y847" s="18">
        <f>$X847-$P847</f>
        <v/>
      </c>
      <c r="Z847" s="8">
        <f>IF(ABS($Y847)&lt;=tol_cashflow_inr,"PASS","FAIL")</f>
        <v/>
      </c>
      <c r="AA847" s="7" t="inlineStr">
        <is>
          <t>-d(lots x lot_kg x F(s) x mcx_al_margin_used_frac)</t>
        </is>
      </c>
    </row>
    <row r="848">
      <c r="A848" s="7" t="inlineStr">
        <is>
          <t>T07</t>
        </is>
      </c>
      <c r="B848" s="7" t="inlineStr">
        <is>
          <t>MCX:T07-MCX-2</t>
        </is>
      </c>
      <c r="C848" s="7" t="inlineStr">
        <is>
          <t>T07-MCX-2</t>
        </is>
      </c>
      <c r="D848" s="7" t="inlineStr">
        <is>
          <t>MCX_VARIATION_MARGIN</t>
        </is>
      </c>
      <c r="E848" s="7" t="inlineStr">
        <is>
          <t>MCX_VARIATION_MARGIN</t>
        </is>
      </c>
      <c r="F848" s="7" t="inlineStr">
        <is>
          <t>PNL</t>
        </is>
      </c>
      <c r="G848" s="7" t="inlineStr">
        <is>
          <t>INR</t>
        </is>
      </c>
      <c r="H848" s="11" t="n">
        <v>44733</v>
      </c>
      <c r="I848" s="11" t="n">
        <v>44753</v>
      </c>
      <c r="J848" s="11" t="n">
        <v>44753</v>
      </c>
      <c r="K848" s="11" t="n">
        <v>44753</v>
      </c>
      <c r="L848" s="7" t="inlineStr">
        <is>
          <t>roll following on the LME panel calendar</t>
        </is>
      </c>
      <c r="N848" s="7" t="inlineStr">
        <is>
          <t>PROXY</t>
        </is>
      </c>
      <c r="O848" s="9" t="n">
        <v>-2487286.91</v>
      </c>
      <c r="P848" s="9" t="n">
        <v>-2487286.91</v>
      </c>
      <c r="U848" s="7" t="inlineStr">
        <is>
          <t>DERIVED_IN_WORKBOOK</t>
        </is>
      </c>
      <c r="V848" s="8">
        <f>SUMIFS(Cashflows!$R$1043:$R$1393,Cashflows!$B$1043:$B$1393,$C848,Cashflows!$C$1043:$C$1393,$K848)</f>
        <v/>
      </c>
      <c r="W848" s="8">
        <f>IF($G848="INR",1,INDEX(Market_Daily!$F$6:$F$256,MATCH($K848,Market_Daily!$A$6:$A$256,0)))</f>
        <v/>
      </c>
      <c r="X848" s="8">
        <f>$V848*$W848</f>
        <v/>
      </c>
      <c r="Y848" s="18">
        <f>$X848-$P848</f>
        <v/>
      </c>
      <c r="Z848" s="8">
        <f>IF(ABS($Y848)&lt;=tol_cashflow_inr,"PASS","FAIL")</f>
        <v/>
      </c>
      <c r="AA848" s="7" t="inlineStr">
        <is>
          <t>direction x lots x lot_kg x (F(s) - F(s-1))</t>
        </is>
      </c>
    </row>
    <row r="849">
      <c r="A849" s="7" t="inlineStr">
        <is>
          <t>T07</t>
        </is>
      </c>
      <c r="B849" s="7" t="inlineStr">
        <is>
          <t>MCX:T07-MCX-2</t>
        </is>
      </c>
      <c r="C849" s="7" t="inlineStr">
        <is>
          <t>T07-MCX-2</t>
        </is>
      </c>
      <c r="D849" s="7" t="inlineStr">
        <is>
          <t>MCX_INITIAL_MARGIN</t>
        </is>
      </c>
      <c r="E849" s="7" t="inlineStr">
        <is>
          <t>MCX_INITIAL_MARGIN</t>
        </is>
      </c>
      <c r="F849" s="7" t="inlineStr">
        <is>
          <t>BS</t>
        </is>
      </c>
      <c r="G849" s="7" t="inlineStr">
        <is>
          <t>INR</t>
        </is>
      </c>
      <c r="H849" s="11" t="n">
        <v>44733</v>
      </c>
      <c r="I849" s="11" t="n">
        <v>44754</v>
      </c>
      <c r="J849" s="11" t="n">
        <v>44754</v>
      </c>
      <c r="K849" s="11" t="n">
        <v>44754</v>
      </c>
      <c r="L849" s="7" t="inlineStr">
        <is>
          <t>roll following on the LME panel calendar</t>
        </is>
      </c>
      <c r="N849" s="7" t="inlineStr">
        <is>
          <t>PROXY</t>
        </is>
      </c>
      <c r="O849" s="9" t="n">
        <v>601232.91</v>
      </c>
      <c r="P849" s="9" t="n">
        <v>601232.91</v>
      </c>
      <c r="U849" s="7" t="inlineStr">
        <is>
          <t>DERIVED_IN_WORKBOOK</t>
        </is>
      </c>
      <c r="V849" s="8">
        <f>-SUMIFS(Cashflows!$W$1043:$W$1393,Cashflows!$B$1043:$B$1393,$C849,Cashflows!$C$1043:$C$1393,$K849)</f>
        <v/>
      </c>
      <c r="W849" s="8">
        <f>IF($G849="INR",1,INDEX(Market_Daily!$F$6:$F$256,MATCH($K849,Market_Daily!$A$6:$A$256,0)))</f>
        <v/>
      </c>
      <c r="X849" s="8">
        <f>$V849*$W849</f>
        <v/>
      </c>
      <c r="Y849" s="18">
        <f>$X849-$P849</f>
        <v/>
      </c>
      <c r="Z849" s="8">
        <f>IF(ABS($Y849)&lt;=tol_cashflow_inr,"PASS","FAIL")</f>
        <v/>
      </c>
      <c r="AA849" s="7" t="inlineStr">
        <is>
          <t>-d(lots x lot_kg x F(s) x mcx_al_margin_used_frac)</t>
        </is>
      </c>
    </row>
    <row r="850">
      <c r="A850" s="7" t="inlineStr">
        <is>
          <t>T07</t>
        </is>
      </c>
      <c r="B850" s="7" t="inlineStr">
        <is>
          <t>MCX:T07-MCX-2</t>
        </is>
      </c>
      <c r="C850" s="7" t="inlineStr">
        <is>
          <t>T07-MCX-2</t>
        </is>
      </c>
      <c r="D850" s="7" t="inlineStr">
        <is>
          <t>MCX_VARIATION_MARGIN</t>
        </is>
      </c>
      <c r="E850" s="7" t="inlineStr">
        <is>
          <t>MCX_VARIATION_MARGIN</t>
        </is>
      </c>
      <c r="F850" s="7" t="inlineStr">
        <is>
          <t>PNL</t>
        </is>
      </c>
      <c r="G850" s="7" t="inlineStr">
        <is>
          <t>INR</t>
        </is>
      </c>
      <c r="H850" s="11" t="n">
        <v>44733</v>
      </c>
      <c r="I850" s="11" t="n">
        <v>44754</v>
      </c>
      <c r="J850" s="11" t="n">
        <v>44754</v>
      </c>
      <c r="K850" s="11" t="n">
        <v>44754</v>
      </c>
      <c r="L850" s="7" t="inlineStr">
        <is>
          <t>roll following on the LME panel calendar</t>
        </is>
      </c>
      <c r="N850" s="7" t="inlineStr">
        <is>
          <t>PROXY</t>
        </is>
      </c>
      <c r="O850" s="9" t="n">
        <v>6012329.14</v>
      </c>
      <c r="P850" s="9" t="n">
        <v>6012329.14</v>
      </c>
      <c r="U850" s="7" t="inlineStr">
        <is>
          <t>DERIVED_IN_WORKBOOK</t>
        </is>
      </c>
      <c r="V850" s="8">
        <f>SUMIFS(Cashflows!$R$1043:$R$1393,Cashflows!$B$1043:$B$1393,$C850,Cashflows!$C$1043:$C$1393,$K850)</f>
        <v/>
      </c>
      <c r="W850" s="8">
        <f>IF($G850="INR",1,INDEX(Market_Daily!$F$6:$F$256,MATCH($K850,Market_Daily!$A$6:$A$256,0)))</f>
        <v/>
      </c>
      <c r="X850" s="8">
        <f>$V850*$W850</f>
        <v/>
      </c>
      <c r="Y850" s="18">
        <f>$X850-$P850</f>
        <v/>
      </c>
      <c r="Z850" s="8">
        <f>IF(ABS($Y850)&lt;=tol_cashflow_inr,"PASS","FAIL")</f>
        <v/>
      </c>
      <c r="AA850" s="7" t="inlineStr">
        <is>
          <t>direction x lots x lot_kg x (F(s) - F(s-1))</t>
        </is>
      </c>
    </row>
    <row r="851">
      <c r="A851" s="7" t="inlineStr">
        <is>
          <t>T07</t>
        </is>
      </c>
      <c r="B851" s="7" t="inlineStr">
        <is>
          <t>MCX:T07-MCX-2</t>
        </is>
      </c>
      <c r="C851" s="7" t="inlineStr">
        <is>
          <t>T07-MCX-2</t>
        </is>
      </c>
      <c r="D851" s="7" t="inlineStr">
        <is>
          <t>MCX_INITIAL_MARGIN</t>
        </is>
      </c>
      <c r="E851" s="7" t="inlineStr">
        <is>
          <t>MCX_INITIAL_MARGIN</t>
        </is>
      </c>
      <c r="F851" s="7" t="inlineStr">
        <is>
          <t>BS</t>
        </is>
      </c>
      <c r="G851" s="7" t="inlineStr">
        <is>
          <t>INR</t>
        </is>
      </c>
      <c r="H851" s="11" t="n">
        <v>44733</v>
      </c>
      <c r="I851" s="11" t="n">
        <v>44755</v>
      </c>
      <c r="J851" s="11" t="n">
        <v>44755</v>
      </c>
      <c r="K851" s="11" t="n">
        <v>44755</v>
      </c>
      <c r="L851" s="7" t="inlineStr">
        <is>
          <t>roll following on the LME panel calendar</t>
        </is>
      </c>
      <c r="N851" s="7" t="inlineStr">
        <is>
          <t>PROXY</t>
        </is>
      </c>
      <c r="O851" s="9" t="n">
        <v>153241.08</v>
      </c>
      <c r="P851" s="9" t="n">
        <v>153241.08</v>
      </c>
      <c r="U851" s="7" t="inlineStr">
        <is>
          <t>DERIVED_IN_WORKBOOK</t>
        </is>
      </c>
      <c r="V851" s="8">
        <f>-SUMIFS(Cashflows!$W$1043:$W$1393,Cashflows!$B$1043:$B$1393,$C851,Cashflows!$C$1043:$C$1393,$K851)</f>
        <v/>
      </c>
      <c r="W851" s="8">
        <f>IF($G851="INR",1,INDEX(Market_Daily!$F$6:$F$256,MATCH($K851,Market_Daily!$A$6:$A$256,0)))</f>
        <v/>
      </c>
      <c r="X851" s="8">
        <f>$V851*$W851</f>
        <v/>
      </c>
      <c r="Y851" s="18">
        <f>$X851-$P851</f>
        <v/>
      </c>
      <c r="Z851" s="8">
        <f>IF(ABS($Y851)&lt;=tol_cashflow_inr,"PASS","FAIL")</f>
        <v/>
      </c>
      <c r="AA851" s="7" t="inlineStr">
        <is>
          <t>-d(lots x lot_kg x F(s) x mcx_al_margin_used_frac)</t>
        </is>
      </c>
    </row>
    <row r="852">
      <c r="A852" s="7" t="inlineStr">
        <is>
          <t>T07</t>
        </is>
      </c>
      <c r="B852" s="7" t="inlineStr">
        <is>
          <t>MCX:T07-MCX-2</t>
        </is>
      </c>
      <c r="C852" s="7" t="inlineStr">
        <is>
          <t>T07-MCX-2</t>
        </is>
      </c>
      <c r="D852" s="7" t="inlineStr">
        <is>
          <t>MCX_VARIATION_MARGIN</t>
        </is>
      </c>
      <c r="E852" s="7" t="inlineStr">
        <is>
          <t>MCX_VARIATION_MARGIN</t>
        </is>
      </c>
      <c r="F852" s="7" t="inlineStr">
        <is>
          <t>PNL</t>
        </is>
      </c>
      <c r="G852" s="7" t="inlineStr">
        <is>
          <t>INR</t>
        </is>
      </c>
      <c r="H852" s="11" t="n">
        <v>44733</v>
      </c>
      <c r="I852" s="11" t="n">
        <v>44755</v>
      </c>
      <c r="J852" s="11" t="n">
        <v>44755</v>
      </c>
      <c r="K852" s="11" t="n">
        <v>44755</v>
      </c>
      <c r="L852" s="7" t="inlineStr">
        <is>
          <t>roll following on the LME panel calendar</t>
        </is>
      </c>
      <c r="N852" s="7" t="inlineStr">
        <is>
          <t>PROXY</t>
        </is>
      </c>
      <c r="O852" s="9" t="n">
        <v>1532410.84</v>
      </c>
      <c r="P852" s="9" t="n">
        <v>1532410.84</v>
      </c>
      <c r="U852" s="7" t="inlineStr">
        <is>
          <t>DERIVED_IN_WORKBOOK</t>
        </is>
      </c>
      <c r="V852" s="8">
        <f>SUMIFS(Cashflows!$R$1043:$R$1393,Cashflows!$B$1043:$B$1393,$C852,Cashflows!$C$1043:$C$1393,$K852)</f>
        <v/>
      </c>
      <c r="W852" s="8">
        <f>IF($G852="INR",1,INDEX(Market_Daily!$F$6:$F$256,MATCH($K852,Market_Daily!$A$6:$A$256,0)))</f>
        <v/>
      </c>
      <c r="X852" s="8">
        <f>$V852*$W852</f>
        <v/>
      </c>
      <c r="Y852" s="18">
        <f>$X852-$P852</f>
        <v/>
      </c>
      <c r="Z852" s="8">
        <f>IF(ABS($Y852)&lt;=tol_cashflow_inr,"PASS","FAIL")</f>
        <v/>
      </c>
      <c r="AA852" s="7" t="inlineStr">
        <is>
          <t>direction x lots x lot_kg x (F(s) - F(s-1))</t>
        </is>
      </c>
    </row>
    <row r="853">
      <c r="A853" s="7" t="inlineStr">
        <is>
          <t>T07</t>
        </is>
      </c>
      <c r="B853" s="7" t="inlineStr">
        <is>
          <t>MCX:T07-MCX-2</t>
        </is>
      </c>
      <c r="C853" s="7" t="inlineStr">
        <is>
          <t>T07-MCX-2</t>
        </is>
      </c>
      <c r="D853" s="7" t="inlineStr">
        <is>
          <t>MCX_INITIAL_MARGIN</t>
        </is>
      </c>
      <c r="E853" s="7" t="inlineStr">
        <is>
          <t>MCX_INITIAL_MARGIN</t>
        </is>
      </c>
      <c r="F853" s="7" t="inlineStr">
        <is>
          <t>BS</t>
        </is>
      </c>
      <c r="G853" s="7" t="inlineStr">
        <is>
          <t>INR</t>
        </is>
      </c>
      <c r="H853" s="11" t="n">
        <v>44733</v>
      </c>
      <c r="I853" s="11" t="n">
        <v>44756</v>
      </c>
      <c r="J853" s="11" t="n">
        <v>44756</v>
      </c>
      <c r="K853" s="11" t="n">
        <v>44756</v>
      </c>
      <c r="L853" s="7" t="inlineStr">
        <is>
          <t>roll following on the LME panel calendar</t>
        </is>
      </c>
      <c r="N853" s="7" t="inlineStr">
        <is>
          <t>PROXY</t>
        </is>
      </c>
      <c r="O853" s="9" t="n">
        <v>15629.45</v>
      </c>
      <c r="P853" s="9" t="n">
        <v>15629.45</v>
      </c>
      <c r="U853" s="7" t="inlineStr">
        <is>
          <t>DERIVED_IN_WORKBOOK</t>
        </is>
      </c>
      <c r="V853" s="8">
        <f>-SUMIFS(Cashflows!$W$1043:$W$1393,Cashflows!$B$1043:$B$1393,$C853,Cashflows!$C$1043:$C$1393,$K853)</f>
        <v/>
      </c>
      <c r="W853" s="8">
        <f>IF($G853="INR",1,INDEX(Market_Daily!$F$6:$F$256,MATCH($K853,Market_Daily!$A$6:$A$256,0)))</f>
        <v/>
      </c>
      <c r="X853" s="8">
        <f>$V853*$W853</f>
        <v/>
      </c>
      <c r="Y853" s="18">
        <f>$X853-$P853</f>
        <v/>
      </c>
      <c r="Z853" s="8">
        <f>IF(ABS($Y853)&lt;=tol_cashflow_inr,"PASS","FAIL")</f>
        <v/>
      </c>
      <c r="AA853" s="7" t="inlineStr">
        <is>
          <t>-d(lots x lot_kg x F(s) x mcx_al_margin_used_frac)</t>
        </is>
      </c>
    </row>
    <row r="854">
      <c r="A854" s="7" t="inlineStr">
        <is>
          <t>T07</t>
        </is>
      </c>
      <c r="B854" s="7" t="inlineStr">
        <is>
          <t>MCX:T07-MCX-2</t>
        </is>
      </c>
      <c r="C854" s="7" t="inlineStr">
        <is>
          <t>T07-MCX-2</t>
        </is>
      </c>
      <c r="D854" s="7" t="inlineStr">
        <is>
          <t>MCX_VARIATION_MARGIN</t>
        </is>
      </c>
      <c r="E854" s="7" t="inlineStr">
        <is>
          <t>MCX_VARIATION_MARGIN</t>
        </is>
      </c>
      <c r="F854" s="7" t="inlineStr">
        <is>
          <t>PNL</t>
        </is>
      </c>
      <c r="G854" s="7" t="inlineStr">
        <is>
          <t>INR</t>
        </is>
      </c>
      <c r="H854" s="11" t="n">
        <v>44733</v>
      </c>
      <c r="I854" s="11" t="n">
        <v>44756</v>
      </c>
      <c r="J854" s="11" t="n">
        <v>44756</v>
      </c>
      <c r="K854" s="11" t="n">
        <v>44756</v>
      </c>
      <c r="L854" s="7" t="inlineStr">
        <is>
          <t>roll following on the LME panel calendar</t>
        </is>
      </c>
      <c r="N854" s="7" t="inlineStr">
        <is>
          <t>PROXY</t>
        </is>
      </c>
      <c r="O854" s="9" t="n">
        <v>156294.51</v>
      </c>
      <c r="P854" s="9" t="n">
        <v>156294.51</v>
      </c>
      <c r="U854" s="7" t="inlineStr">
        <is>
          <t>DERIVED_IN_WORKBOOK</t>
        </is>
      </c>
      <c r="V854" s="8">
        <f>SUMIFS(Cashflows!$R$1043:$R$1393,Cashflows!$B$1043:$B$1393,$C854,Cashflows!$C$1043:$C$1393,$K854)</f>
        <v/>
      </c>
      <c r="W854" s="8">
        <f>IF($G854="INR",1,INDEX(Market_Daily!$F$6:$F$256,MATCH($K854,Market_Daily!$A$6:$A$256,0)))</f>
        <v/>
      </c>
      <c r="X854" s="8">
        <f>$V854*$W854</f>
        <v/>
      </c>
      <c r="Y854" s="18">
        <f>$X854-$P854</f>
        <v/>
      </c>
      <c r="Z854" s="8">
        <f>IF(ABS($Y854)&lt;=tol_cashflow_inr,"PASS","FAIL")</f>
        <v/>
      </c>
      <c r="AA854" s="7" t="inlineStr">
        <is>
          <t>direction x lots x lot_kg x (F(s) - F(s-1))</t>
        </is>
      </c>
    </row>
    <row r="855">
      <c r="A855" s="7" t="inlineStr">
        <is>
          <t>T07</t>
        </is>
      </c>
      <c r="B855" s="7" t="inlineStr">
        <is>
          <t>MCX:T07-MCX-2</t>
        </is>
      </c>
      <c r="C855" s="7" t="inlineStr">
        <is>
          <t>T07-MCX-2</t>
        </is>
      </c>
      <c r="D855" s="7" t="inlineStr">
        <is>
          <t>MCX_INITIAL_MARGIN</t>
        </is>
      </c>
      <c r="E855" s="7" t="inlineStr">
        <is>
          <t>MCX_INITIAL_MARGIN</t>
        </is>
      </c>
      <c r="F855" s="7" t="inlineStr">
        <is>
          <t>BS</t>
        </is>
      </c>
      <c r="G855" s="7" t="inlineStr">
        <is>
          <t>INR</t>
        </is>
      </c>
      <c r="H855" s="11" t="n">
        <v>44733</v>
      </c>
      <c r="I855" s="11" t="n">
        <v>44757</v>
      </c>
      <c r="J855" s="11" t="n">
        <v>44757</v>
      </c>
      <c r="K855" s="11" t="n">
        <v>44757</v>
      </c>
      <c r="L855" s="7" t="inlineStr">
        <is>
          <t>roll following on the LME panel calendar</t>
        </is>
      </c>
      <c r="N855" s="7" t="inlineStr">
        <is>
          <t>PROXY</t>
        </is>
      </c>
      <c r="O855" s="9" t="n">
        <v>153916.4</v>
      </c>
      <c r="P855" s="9" t="n">
        <v>153916.4</v>
      </c>
      <c r="U855" s="7" t="inlineStr">
        <is>
          <t>DERIVED_IN_WORKBOOK</t>
        </is>
      </c>
      <c r="V855" s="8">
        <f>-SUMIFS(Cashflows!$W$1043:$W$1393,Cashflows!$B$1043:$B$1393,$C855,Cashflows!$C$1043:$C$1393,$K855)</f>
        <v/>
      </c>
      <c r="W855" s="8">
        <f>IF($G855="INR",1,INDEX(Market_Daily!$F$6:$F$256,MATCH($K855,Market_Daily!$A$6:$A$256,0)))</f>
        <v/>
      </c>
      <c r="X855" s="8">
        <f>$V855*$W855</f>
        <v/>
      </c>
      <c r="Y855" s="18">
        <f>$X855-$P855</f>
        <v/>
      </c>
      <c r="Z855" s="8">
        <f>IF(ABS($Y855)&lt;=tol_cashflow_inr,"PASS","FAIL")</f>
        <v/>
      </c>
      <c r="AA855" s="7" t="inlineStr">
        <is>
          <t>-d(lots x lot_kg x F(s) x mcx_al_margin_used_frac)</t>
        </is>
      </c>
    </row>
    <row r="856">
      <c r="A856" s="7" t="inlineStr">
        <is>
          <t>T07</t>
        </is>
      </c>
      <c r="B856" s="7" t="inlineStr">
        <is>
          <t>MCX:T07-MCX-2</t>
        </is>
      </c>
      <c r="C856" s="7" t="inlineStr">
        <is>
          <t>T07-MCX-2</t>
        </is>
      </c>
      <c r="D856" s="7" t="inlineStr">
        <is>
          <t>MCX_VARIATION_MARGIN</t>
        </is>
      </c>
      <c r="E856" s="7" t="inlineStr">
        <is>
          <t>MCX_VARIATION_MARGIN</t>
        </is>
      </c>
      <c r="F856" s="7" t="inlineStr">
        <is>
          <t>PNL</t>
        </is>
      </c>
      <c r="G856" s="7" t="inlineStr">
        <is>
          <t>INR</t>
        </is>
      </c>
      <c r="H856" s="11" t="n">
        <v>44733</v>
      </c>
      <c r="I856" s="11" t="n">
        <v>44757</v>
      </c>
      <c r="J856" s="11" t="n">
        <v>44757</v>
      </c>
      <c r="K856" s="11" t="n">
        <v>44757</v>
      </c>
      <c r="L856" s="7" t="inlineStr">
        <is>
          <t>roll following on the LME panel calendar</t>
        </is>
      </c>
      <c r="N856" s="7" t="inlineStr">
        <is>
          <t>PROXY</t>
        </is>
      </c>
      <c r="O856" s="9" t="n">
        <v>1539163.99</v>
      </c>
      <c r="P856" s="9" t="n">
        <v>1539163.99</v>
      </c>
      <c r="U856" s="7" t="inlineStr">
        <is>
          <t>DERIVED_IN_WORKBOOK</t>
        </is>
      </c>
      <c r="V856" s="8">
        <f>SUMIFS(Cashflows!$R$1043:$R$1393,Cashflows!$B$1043:$B$1393,$C856,Cashflows!$C$1043:$C$1393,$K856)</f>
        <v/>
      </c>
      <c r="W856" s="8">
        <f>IF($G856="INR",1,INDEX(Market_Daily!$F$6:$F$256,MATCH($K856,Market_Daily!$A$6:$A$256,0)))</f>
        <v/>
      </c>
      <c r="X856" s="8">
        <f>$V856*$W856</f>
        <v/>
      </c>
      <c r="Y856" s="18">
        <f>$X856-$P856</f>
        <v/>
      </c>
      <c r="Z856" s="8">
        <f>IF(ABS($Y856)&lt;=tol_cashflow_inr,"PASS","FAIL")</f>
        <v/>
      </c>
      <c r="AA856" s="7" t="inlineStr">
        <is>
          <t>direction x lots x lot_kg x (F(s) - F(s-1))</t>
        </is>
      </c>
    </row>
    <row r="857">
      <c r="A857" s="7" t="inlineStr">
        <is>
          <t>T07</t>
        </is>
      </c>
      <c r="B857" s="7" t="inlineStr">
        <is>
          <t>MCX:T07-MCX-2</t>
        </is>
      </c>
      <c r="C857" s="7" t="inlineStr">
        <is>
          <t>T07-MCX-2</t>
        </is>
      </c>
      <c r="D857" s="7" t="inlineStr">
        <is>
          <t>MCX_INITIAL_MARGIN</t>
        </is>
      </c>
      <c r="E857" s="7" t="inlineStr">
        <is>
          <t>MCX_INITIAL_MARGIN</t>
        </is>
      </c>
      <c r="F857" s="7" t="inlineStr">
        <is>
          <t>BS</t>
        </is>
      </c>
      <c r="G857" s="7" t="inlineStr">
        <is>
          <t>INR</t>
        </is>
      </c>
      <c r="H857" s="11" t="n">
        <v>44733</v>
      </c>
      <c r="I857" s="11" t="n">
        <v>44760</v>
      </c>
      <c r="J857" s="11" t="n">
        <v>44760</v>
      </c>
      <c r="K857" s="11" t="n">
        <v>44760</v>
      </c>
      <c r="L857" s="7" t="inlineStr">
        <is>
          <t>roll following on the LME panel calendar</t>
        </is>
      </c>
      <c r="N857" s="7" t="inlineStr">
        <is>
          <t>PROXY</t>
        </is>
      </c>
      <c r="O857" s="9" t="n">
        <v>-643581.64</v>
      </c>
      <c r="P857" s="9" t="n">
        <v>-643581.64</v>
      </c>
      <c r="U857" s="7" t="inlineStr">
        <is>
          <t>DERIVED_IN_WORKBOOK</t>
        </is>
      </c>
      <c r="V857" s="8">
        <f>-SUMIFS(Cashflows!$W$1043:$W$1393,Cashflows!$B$1043:$B$1393,$C857,Cashflows!$C$1043:$C$1393,$K857)</f>
        <v/>
      </c>
      <c r="W857" s="8">
        <f>IF($G857="INR",1,INDEX(Market_Daily!$F$6:$F$256,MATCH($K857,Market_Daily!$A$6:$A$256,0)))</f>
        <v/>
      </c>
      <c r="X857" s="8">
        <f>$V857*$W857</f>
        <v/>
      </c>
      <c r="Y857" s="18">
        <f>$X857-$P857</f>
        <v/>
      </c>
      <c r="Z857" s="8">
        <f>IF(ABS($Y857)&lt;=tol_cashflow_inr,"PASS","FAIL")</f>
        <v/>
      </c>
      <c r="AA857" s="7" t="inlineStr">
        <is>
          <t>-d(lots x lot_kg x F(s) x mcx_al_margin_used_frac)</t>
        </is>
      </c>
    </row>
    <row r="858">
      <c r="A858" s="7" t="inlineStr">
        <is>
          <t>T07</t>
        </is>
      </c>
      <c r="B858" s="7" t="inlineStr">
        <is>
          <t>MCX:T07-MCX-2</t>
        </is>
      </c>
      <c r="C858" s="7" t="inlineStr">
        <is>
          <t>T07-MCX-2</t>
        </is>
      </c>
      <c r="D858" s="7" t="inlineStr">
        <is>
          <t>MCX_VARIATION_MARGIN</t>
        </is>
      </c>
      <c r="E858" s="7" t="inlineStr">
        <is>
          <t>MCX_VARIATION_MARGIN</t>
        </is>
      </c>
      <c r="F858" s="7" t="inlineStr">
        <is>
          <t>PNL</t>
        </is>
      </c>
      <c r="G858" s="7" t="inlineStr">
        <is>
          <t>INR</t>
        </is>
      </c>
      <c r="H858" s="11" t="n">
        <v>44733</v>
      </c>
      <c r="I858" s="11" t="n">
        <v>44760</v>
      </c>
      <c r="J858" s="11" t="n">
        <v>44760</v>
      </c>
      <c r="K858" s="11" t="n">
        <v>44760</v>
      </c>
      <c r="L858" s="7" t="inlineStr">
        <is>
          <t>roll following on the LME panel calendar</t>
        </is>
      </c>
      <c r="N858" s="7" t="inlineStr">
        <is>
          <t>PROXY</t>
        </is>
      </c>
      <c r="O858" s="9" t="n">
        <v>-6435816.4</v>
      </c>
      <c r="P858" s="9" t="n">
        <v>-6435816.4</v>
      </c>
      <c r="U858" s="7" t="inlineStr">
        <is>
          <t>DERIVED_IN_WORKBOOK</t>
        </is>
      </c>
      <c r="V858" s="8">
        <f>SUMIFS(Cashflows!$R$1043:$R$1393,Cashflows!$B$1043:$B$1393,$C858,Cashflows!$C$1043:$C$1393,$K858)</f>
        <v/>
      </c>
      <c r="W858" s="8">
        <f>IF($G858="INR",1,INDEX(Market_Daily!$F$6:$F$256,MATCH($K858,Market_Daily!$A$6:$A$256,0)))</f>
        <v/>
      </c>
      <c r="X858" s="8">
        <f>$V858*$W858</f>
        <v/>
      </c>
      <c r="Y858" s="18">
        <f>$X858-$P858</f>
        <v/>
      </c>
      <c r="Z858" s="8">
        <f>IF(ABS($Y858)&lt;=tol_cashflow_inr,"PASS","FAIL")</f>
        <v/>
      </c>
      <c r="AA858" s="7" t="inlineStr">
        <is>
          <t>direction x lots x lot_kg x (F(s) - F(s-1))</t>
        </is>
      </c>
    </row>
    <row r="859">
      <c r="A859" s="7" t="inlineStr">
        <is>
          <t>T07</t>
        </is>
      </c>
      <c r="B859" s="7" t="inlineStr">
        <is>
          <t>DUTY:L1</t>
        </is>
      </c>
      <c r="C859" s="7" t="inlineStr">
        <is>
          <t>L1</t>
        </is>
      </c>
      <c r="D859" s="7" t="inlineStr">
        <is>
          <t>CUSTOMS_DUTY</t>
        </is>
      </c>
      <c r="E859" s="7" t="inlineStr">
        <is>
          <t>CUSTOMS_DUTY</t>
        </is>
      </c>
      <c r="F859" s="7" t="inlineStr">
        <is>
          <t>PNL</t>
        </is>
      </c>
      <c r="G859" s="7" t="inlineStr">
        <is>
          <t>INR</t>
        </is>
      </c>
      <c r="H859" s="11" t="n">
        <v>44706</v>
      </c>
      <c r="I859" s="11" t="n">
        <v>44761</v>
      </c>
      <c r="J859" s="11" t="n">
        <v>44761</v>
      </c>
      <c r="K859" s="11" t="n">
        <v>44761</v>
      </c>
      <c r="L859" s="7" t="inlineStr">
        <is>
          <t>roll following on the LME panel calendar</t>
        </is>
      </c>
      <c r="N859" s="7" t="inlineStr">
        <is>
          <t>DIRECT</t>
        </is>
      </c>
      <c r="O859" s="9" t="n">
        <v>-4524209.04</v>
      </c>
      <c r="P859" s="9" t="n">
        <v>-4524209.04</v>
      </c>
      <c r="U859" s="7" t="inlineStr">
        <is>
          <t>PYTHON_LIFECYCLE</t>
        </is>
      </c>
      <c r="V859" s="8">
        <f>$O859</f>
        <v/>
      </c>
      <c r="W859" s="8">
        <f>IF($G859="INR",1,INDEX(Market_Daily!$F$6:$F$256,MATCH($K859,Market_Daily!$A$6:$A$256,0)))</f>
        <v/>
      </c>
      <c r="X859" s="8">
        <f>$V859*$W859</f>
        <v/>
      </c>
      <c r="Y859" s="18">
        <f>$X859-$P859</f>
        <v/>
      </c>
      <c r="Z859" s="8">
        <f>IF(ABS($Y859)&lt;=tol_cashflow_inr,"PASS","FAIL")</f>
        <v/>
      </c>
      <c r="AA859" s="7" t="inlineStr">
        <is>
          <t>-assessable_inr x bcd_scrap_hs7602 x (1 + sws_rate_on_bcd)</t>
        </is>
      </c>
    </row>
    <row r="860">
      <c r="A860" s="7" t="inlineStr">
        <is>
          <t>T07</t>
        </is>
      </c>
      <c r="B860" s="7" t="inlineStr">
        <is>
          <t>IGST:L1</t>
        </is>
      </c>
      <c r="C860" s="7" t="inlineStr">
        <is>
          <t>L1</t>
        </is>
      </c>
      <c r="D860" s="7" t="inlineStr">
        <is>
          <t>IGST_IMPORT</t>
        </is>
      </c>
      <c r="E860" s="7" t="inlineStr">
        <is>
          <t>IGST_IMPORT</t>
        </is>
      </c>
      <c r="F860" s="7" t="inlineStr">
        <is>
          <t>BS</t>
        </is>
      </c>
      <c r="G860" s="7" t="inlineStr">
        <is>
          <t>INR</t>
        </is>
      </c>
      <c r="H860" s="11" t="n">
        <v>44706</v>
      </c>
      <c r="I860" s="11" t="n">
        <v>44761</v>
      </c>
      <c r="J860" s="11" t="n">
        <v>44761</v>
      </c>
      <c r="K860" s="11" t="n">
        <v>44761</v>
      </c>
      <c r="L860" s="7" t="inlineStr">
        <is>
          <t>roll following on the LME panel calendar</t>
        </is>
      </c>
      <c r="N860" s="7" t="inlineStr">
        <is>
          <t>DIRECT</t>
        </is>
      </c>
      <c r="O860" s="9" t="n">
        <v>-30427362.28</v>
      </c>
      <c r="P860" s="9" t="n">
        <v>-30427362.28</v>
      </c>
      <c r="U860" s="7" t="inlineStr">
        <is>
          <t>PYTHON_LIFECYCLE</t>
        </is>
      </c>
      <c r="V860" s="8">
        <f>$O860</f>
        <v/>
      </c>
      <c r="W860" s="8">
        <f>IF($G860="INR",1,INDEX(Market_Daily!$F$6:$F$256,MATCH($K860,Market_Daily!$A$6:$A$256,0)))</f>
        <v/>
      </c>
      <c r="X860" s="8">
        <f>$V860*$W860</f>
        <v/>
      </c>
      <c r="Y860" s="18">
        <f>$X860-$P860</f>
        <v/>
      </c>
      <c r="Z860" s="8">
        <f>IF(ABS($Y860)&lt;=tol_cashflow_inr,"PASS","FAIL")</f>
        <v/>
      </c>
      <c r="AA860" s="7" t="inlineStr">
        <is>
          <t>-(assessable + duty) x igst_rate_hs7602</t>
        </is>
      </c>
    </row>
    <row r="861">
      <c r="A861" s="7" t="inlineStr">
        <is>
          <t>T07</t>
        </is>
      </c>
      <c r="B861" s="7" t="inlineStr">
        <is>
          <t>MCX:T07-MCX-2</t>
        </is>
      </c>
      <c r="C861" s="7" t="inlineStr">
        <is>
          <t>T07-MCX-2</t>
        </is>
      </c>
      <c r="D861" s="7" t="inlineStr">
        <is>
          <t>MCX_INITIAL_MARGIN</t>
        </is>
      </c>
      <c r="E861" s="7" t="inlineStr">
        <is>
          <t>MCX_INITIAL_MARGIN</t>
        </is>
      </c>
      <c r="F861" s="7" t="inlineStr">
        <is>
          <t>BS</t>
        </is>
      </c>
      <c r="G861" s="7" t="inlineStr">
        <is>
          <t>INR</t>
        </is>
      </c>
      <c r="H861" s="11" t="n">
        <v>44733</v>
      </c>
      <c r="I861" s="11" t="n">
        <v>44761</v>
      </c>
      <c r="J861" s="11" t="n">
        <v>44761</v>
      </c>
      <c r="K861" s="11" t="n">
        <v>44761</v>
      </c>
      <c r="L861" s="7" t="inlineStr">
        <is>
          <t>roll following on the LME panel calendar</t>
        </is>
      </c>
      <c r="N861" s="7" t="inlineStr">
        <is>
          <t>PROXY</t>
        </is>
      </c>
      <c r="O861" s="9" t="n">
        <v>-350673.58</v>
      </c>
      <c r="P861" s="9" t="n">
        <v>-350673.58</v>
      </c>
      <c r="U861" s="7" t="inlineStr">
        <is>
          <t>DERIVED_IN_WORKBOOK</t>
        </is>
      </c>
      <c r="V861" s="8">
        <f>-SUMIFS(Cashflows!$W$1043:$W$1393,Cashflows!$B$1043:$B$1393,$C861,Cashflows!$C$1043:$C$1393,$K861)</f>
        <v/>
      </c>
      <c r="W861" s="8">
        <f>IF($G861="INR",1,INDEX(Market_Daily!$F$6:$F$256,MATCH($K861,Market_Daily!$A$6:$A$256,0)))</f>
        <v/>
      </c>
      <c r="X861" s="8">
        <f>$V861*$W861</f>
        <v/>
      </c>
      <c r="Y861" s="18">
        <f>$X861-$P861</f>
        <v/>
      </c>
      <c r="Z861" s="8">
        <f>IF(ABS($Y861)&lt;=tol_cashflow_inr,"PASS","FAIL")</f>
        <v/>
      </c>
      <c r="AA861" s="7" t="inlineStr">
        <is>
          <t>-d(lots x lot_kg x F(s) x mcx_al_margin_used_frac)</t>
        </is>
      </c>
    </row>
    <row r="862">
      <c r="A862" s="7" t="inlineStr">
        <is>
          <t>T07</t>
        </is>
      </c>
      <c r="B862" s="7" t="inlineStr">
        <is>
          <t>MCX:T07-MCX-2</t>
        </is>
      </c>
      <c r="C862" s="7" t="inlineStr">
        <is>
          <t>T07-MCX-2</t>
        </is>
      </c>
      <c r="D862" s="7" t="inlineStr">
        <is>
          <t>MCX_VARIATION_MARGIN</t>
        </is>
      </c>
      <c r="E862" s="7" t="inlineStr">
        <is>
          <t>MCX_VARIATION_MARGIN</t>
        </is>
      </c>
      <c r="F862" s="7" t="inlineStr">
        <is>
          <t>PNL</t>
        </is>
      </c>
      <c r="G862" s="7" t="inlineStr">
        <is>
          <t>INR</t>
        </is>
      </c>
      <c r="H862" s="11" t="n">
        <v>44733</v>
      </c>
      <c r="I862" s="11" t="n">
        <v>44761</v>
      </c>
      <c r="J862" s="11" t="n">
        <v>44761</v>
      </c>
      <c r="K862" s="11" t="n">
        <v>44761</v>
      </c>
      <c r="L862" s="7" t="inlineStr">
        <is>
          <t>roll following on the LME panel calendar</t>
        </is>
      </c>
      <c r="N862" s="7" t="inlineStr">
        <is>
          <t>PROXY</t>
        </is>
      </c>
      <c r="O862" s="9" t="n">
        <v>-3506735.84</v>
      </c>
      <c r="P862" s="9" t="n">
        <v>-3506735.84</v>
      </c>
      <c r="U862" s="7" t="inlineStr">
        <is>
          <t>DERIVED_IN_WORKBOOK</t>
        </is>
      </c>
      <c r="V862" s="8">
        <f>SUMIFS(Cashflows!$R$1043:$R$1393,Cashflows!$B$1043:$B$1393,$C862,Cashflows!$C$1043:$C$1393,$K862)</f>
        <v/>
      </c>
      <c r="W862" s="8">
        <f>IF($G862="INR",1,INDEX(Market_Daily!$F$6:$F$256,MATCH($K862,Market_Daily!$A$6:$A$256,0)))</f>
        <v/>
      </c>
      <c r="X862" s="8">
        <f>$V862*$W862</f>
        <v/>
      </c>
      <c r="Y862" s="18">
        <f>$X862-$P862</f>
        <v/>
      </c>
      <c r="Z862" s="8">
        <f>IF(ABS($Y862)&lt;=tol_cashflow_inr,"PASS","FAIL")</f>
        <v/>
      </c>
      <c r="AA862" s="7" t="inlineStr">
        <is>
          <t>direction x lots x lot_kg x (F(s) - F(s-1))</t>
        </is>
      </c>
    </row>
    <row r="863">
      <c r="A863" s="7" t="inlineStr">
        <is>
          <t>T07</t>
        </is>
      </c>
      <c r="B863" s="7" t="inlineStr">
        <is>
          <t>MCX:T07-MCX-2</t>
        </is>
      </c>
      <c r="C863" s="7" t="inlineStr">
        <is>
          <t>T07-MCX-2</t>
        </is>
      </c>
      <c r="D863" s="7" t="inlineStr">
        <is>
          <t>MCX_INITIAL_MARGIN</t>
        </is>
      </c>
      <c r="E863" s="7" t="inlineStr">
        <is>
          <t>MCX_INITIAL_MARGIN</t>
        </is>
      </c>
      <c r="F863" s="7" t="inlineStr">
        <is>
          <t>BS</t>
        </is>
      </c>
      <c r="G863" s="7" t="inlineStr">
        <is>
          <t>INR</t>
        </is>
      </c>
      <c r="H863" s="11" t="n">
        <v>44733</v>
      </c>
      <c r="I863" s="11" t="n">
        <v>44762</v>
      </c>
      <c r="J863" s="11" t="n">
        <v>44762</v>
      </c>
      <c r="K863" s="11" t="n">
        <v>44762</v>
      </c>
      <c r="L863" s="7" t="inlineStr">
        <is>
          <t>roll following on the LME panel calendar</t>
        </is>
      </c>
      <c r="N863" s="7" t="inlineStr">
        <is>
          <t>PROXY</t>
        </is>
      </c>
      <c r="O863" s="9" t="n">
        <v>25814587</v>
      </c>
      <c r="P863" s="9" t="n">
        <v>25814587</v>
      </c>
      <c r="U863" s="7" t="inlineStr">
        <is>
          <t>DERIVED_IN_WORKBOOK</t>
        </is>
      </c>
      <c r="V863" s="8">
        <f>-SUMIFS(Cashflows!$W$1043:$W$1393,Cashflows!$B$1043:$B$1393,$C863,Cashflows!$C$1043:$C$1393,$K863)</f>
        <v/>
      </c>
      <c r="W863" s="8">
        <f>IF($G863="INR",1,INDEX(Market_Daily!$F$6:$F$256,MATCH($K863,Market_Daily!$A$6:$A$256,0)))</f>
        <v/>
      </c>
      <c r="X863" s="8">
        <f>$V863*$W863</f>
        <v/>
      </c>
      <c r="Y863" s="18">
        <f>$X863-$P863</f>
        <v/>
      </c>
      <c r="Z863" s="8">
        <f>IF(ABS($Y863)&lt;=tol_cashflow_inr,"PASS","FAIL")</f>
        <v/>
      </c>
      <c r="AA863" s="7" t="inlineStr">
        <is>
          <t>-d(lots x lot_kg x F(s) x mcx_al_margin_used_frac)</t>
        </is>
      </c>
    </row>
    <row r="864">
      <c r="A864" s="7" t="inlineStr">
        <is>
          <t>T07</t>
        </is>
      </c>
      <c r="B864" s="7" t="inlineStr">
        <is>
          <t>MCX:T07-MCX-2</t>
        </is>
      </c>
      <c r="C864" s="7" t="inlineStr">
        <is>
          <t>T07-MCX-2</t>
        </is>
      </c>
      <c r="D864" s="7" t="inlineStr">
        <is>
          <t>MCX_SLIPPAGE</t>
        </is>
      </c>
      <c r="E864" s="7" t="inlineStr">
        <is>
          <t>MCX_SLIPPAGE</t>
        </is>
      </c>
      <c r="F864" s="7" t="inlineStr">
        <is>
          <t>PNL</t>
        </is>
      </c>
      <c r="G864" s="7" t="inlineStr">
        <is>
          <t>INR</t>
        </is>
      </c>
      <c r="H864" s="11" t="n">
        <v>44762</v>
      </c>
      <c r="J864" s="11" t="n">
        <v>44762</v>
      </c>
      <c r="K864" s="11" t="n">
        <v>44762</v>
      </c>
      <c r="L864" s="7" t="inlineStr">
        <is>
          <t>roll following on the LME panel calendar</t>
        </is>
      </c>
      <c r="N864" s="7" t="inlineStr">
        <is>
          <t>ASSUMPTION</t>
        </is>
      </c>
      <c r="O864" s="9" t="n">
        <v>-123500</v>
      </c>
      <c r="P864" s="9" t="n">
        <v>-123500</v>
      </c>
      <c r="U864" s="7" t="inlineStr">
        <is>
          <t>DERIVED_IN_WORKBOOK</t>
        </is>
      </c>
      <c r="V864" s="8">
        <f>SUMIFS(Cashflows!$Z$1043:$Z$1393,Cashflows!$B$1043:$B$1393,$C864,Cashflows!$C$1043:$C$1393,$K864)</f>
        <v/>
      </c>
      <c r="W864" s="8">
        <f>IF($G864="INR",1,INDEX(Market_Daily!$F$6:$F$256,MATCH($K864,Market_Daily!$A$6:$A$256,0)))</f>
        <v/>
      </c>
      <c r="X864" s="8">
        <f>$V864*$W864</f>
        <v/>
      </c>
      <c r="Y864" s="18">
        <f>$X864-$P864</f>
        <v/>
      </c>
      <c r="Z864" s="8">
        <f>IF(ABS($Y864)&lt;=tol_cashflow_inr,"PASS","FAIL")</f>
        <v/>
      </c>
      <c r="AA864" s="7" t="inlineStr">
        <is>
          <t>-lots x lot_kg x mcx_slippage_ticks x tick</t>
        </is>
      </c>
    </row>
    <row r="865">
      <c r="A865" s="7" t="inlineStr">
        <is>
          <t>T07</t>
        </is>
      </c>
      <c r="B865" s="7" t="inlineStr">
        <is>
          <t>MCX:T07-MCX-2</t>
        </is>
      </c>
      <c r="C865" s="7" t="inlineStr">
        <is>
          <t>T07-MCX-2</t>
        </is>
      </c>
      <c r="D865" s="7" t="inlineStr">
        <is>
          <t>MCX_TRANSACTION_COST</t>
        </is>
      </c>
      <c r="E865" s="7" t="inlineStr">
        <is>
          <t>MCX_TRANSACTION_COST</t>
        </is>
      </c>
      <c r="F865" s="7" t="inlineStr">
        <is>
          <t>PNL</t>
        </is>
      </c>
      <c r="G865" s="7" t="inlineStr">
        <is>
          <t>INR</t>
        </is>
      </c>
      <c r="H865" s="11" t="n">
        <v>44762</v>
      </c>
      <c r="I865" s="11" t="n">
        <v>44762</v>
      </c>
      <c r="J865" s="11" t="n">
        <v>44762</v>
      </c>
      <c r="K865" s="11" t="n">
        <v>44762</v>
      </c>
      <c r="L865" s="7" t="inlineStr">
        <is>
          <t>roll following on the LME panel calendar</t>
        </is>
      </c>
      <c r="N865" s="7" t="inlineStr">
        <is>
          <t>ASSUMPTION</t>
        </is>
      </c>
      <c r="O865" s="9" t="n">
        <v>-78964.63</v>
      </c>
      <c r="P865" s="9" t="n">
        <v>-78964.63</v>
      </c>
      <c r="U865" s="7" t="inlineStr">
        <is>
          <t>DERIVED_IN_WORKBOOK</t>
        </is>
      </c>
      <c r="V865" s="8">
        <f>SUMIFS(Cashflows!$AA$1043:$AA$1393,Cashflows!$B$1043:$B$1393,$C865,Cashflows!$C$1043:$C$1393,$K865)</f>
        <v/>
      </c>
      <c r="W865" s="8">
        <f>IF($G865="INR",1,INDEX(Market_Daily!$F$6:$F$256,MATCH($K865,Market_Daily!$A$6:$A$256,0)))</f>
        <v/>
      </c>
      <c r="X865" s="8">
        <f>$V865*$W865</f>
        <v/>
      </c>
      <c r="Y865" s="18">
        <f>$X865-$P865</f>
        <v/>
      </c>
      <c r="Z865" s="8">
        <f>IF(ABS($Y865)&lt;=tol_cashflow_inr,"PASS","FAIL")</f>
        <v/>
      </c>
      <c r="AA865" s="7" t="inlineStr">
        <is>
          <t>-lots x lot_kg x fill x mcx_txn_cost_frac</t>
        </is>
      </c>
    </row>
    <row r="866">
      <c r="A866" s="7" t="inlineStr">
        <is>
          <t>T07</t>
        </is>
      </c>
      <c r="B866" s="7" t="inlineStr">
        <is>
          <t>MCX:T07-MCX-2</t>
        </is>
      </c>
      <c r="C866" s="7" t="inlineStr">
        <is>
          <t>T07-MCX-2</t>
        </is>
      </c>
      <c r="D866" s="7" t="inlineStr">
        <is>
          <t>MCX_VARIATION_MARGIN</t>
        </is>
      </c>
      <c r="E866" s="7" t="inlineStr">
        <is>
          <t>MCX_VARIATION_MARGIN</t>
        </is>
      </c>
      <c r="F866" s="7" t="inlineStr">
        <is>
          <t>PNL</t>
        </is>
      </c>
      <c r="G866" s="7" t="inlineStr">
        <is>
          <t>INR</t>
        </is>
      </c>
      <c r="H866" s="11" t="n">
        <v>44733</v>
      </c>
      <c r="I866" s="11" t="n">
        <v>44762</v>
      </c>
      <c r="J866" s="11" t="n">
        <v>44762</v>
      </c>
      <c r="K866" s="11" t="n">
        <v>44762</v>
      </c>
      <c r="L866" s="7" t="inlineStr">
        <is>
          <t>roll following on the LME panel calendar</t>
        </is>
      </c>
      <c r="N866" s="7" t="inlineStr">
        <is>
          <t>PROXY</t>
        </is>
      </c>
      <c r="O866" s="9" t="n">
        <v>-4946070.72</v>
      </c>
      <c r="P866" s="9" t="n">
        <v>-4946070.72</v>
      </c>
      <c r="U866" s="7" t="inlineStr">
        <is>
          <t>DERIVED_IN_WORKBOOK</t>
        </is>
      </c>
      <c r="V866" s="8">
        <f>SUMIFS(Cashflows!$R$1043:$R$1393,Cashflows!$B$1043:$B$1393,$C866,Cashflows!$C$1043:$C$1393,$K866)</f>
        <v/>
      </c>
      <c r="W866" s="8">
        <f>IF($G866="INR",1,INDEX(Market_Daily!$F$6:$F$256,MATCH($K866,Market_Daily!$A$6:$A$256,0)))</f>
        <v/>
      </c>
      <c r="X866" s="8">
        <f>$V866*$W866</f>
        <v/>
      </c>
      <c r="Y866" s="18">
        <f>$X866-$P866</f>
        <v/>
      </c>
      <c r="Z866" s="8">
        <f>IF(ABS($Y866)&lt;=tol_cashflow_inr,"PASS","FAIL")</f>
        <v/>
      </c>
      <c r="AA866" s="7" t="inlineStr">
        <is>
          <t>direction x lots x lot_kg x (F(s) - F(s-1))</t>
        </is>
      </c>
    </row>
    <row r="867">
      <c r="A867" s="7" t="inlineStr">
        <is>
          <t>T07</t>
        </is>
      </c>
      <c r="B867" s="7" t="inlineStr">
        <is>
          <t>MCX:T07-MCX-3</t>
        </is>
      </c>
      <c r="C867" s="7" t="inlineStr">
        <is>
          <t>T07-MCX-3</t>
        </is>
      </c>
      <c r="D867" s="7" t="inlineStr">
        <is>
          <t>MCX_INITIAL_MARGIN</t>
        </is>
      </c>
      <c r="E867" s="7" t="inlineStr">
        <is>
          <t>MCX_INITIAL_MARGIN</t>
        </is>
      </c>
      <c r="F867" s="7" t="inlineStr">
        <is>
          <t>BS</t>
        </is>
      </c>
      <c r="G867" s="7" t="inlineStr">
        <is>
          <t>INR</t>
        </is>
      </c>
      <c r="H867" s="11" t="n">
        <v>44762</v>
      </c>
      <c r="I867" s="11" t="n">
        <v>44762</v>
      </c>
      <c r="J867" s="11" t="n">
        <v>44762</v>
      </c>
      <c r="K867" s="11" t="n">
        <v>44762</v>
      </c>
      <c r="L867" s="7" t="inlineStr">
        <is>
          <t>roll following on the LME panel calendar</t>
        </is>
      </c>
      <c r="N867" s="7" t="inlineStr">
        <is>
          <t>PROXY</t>
        </is>
      </c>
      <c r="O867" s="9" t="n">
        <v>-26435382.12</v>
      </c>
      <c r="P867" s="9" t="n">
        <v>-26435382.12</v>
      </c>
      <c r="U867" s="7" t="inlineStr">
        <is>
          <t>DERIVED_IN_WORKBOOK</t>
        </is>
      </c>
      <c r="V867" s="8">
        <f>-SUMIFS(Cashflows!$W$1043:$W$1393,Cashflows!$B$1043:$B$1393,$C867,Cashflows!$C$1043:$C$1393,$K867)</f>
        <v/>
      </c>
      <c r="W867" s="8">
        <f>IF($G867="INR",1,INDEX(Market_Daily!$F$6:$F$256,MATCH($K867,Market_Daily!$A$6:$A$256,0)))</f>
        <v/>
      </c>
      <c r="X867" s="8">
        <f>$V867*$W867</f>
        <v/>
      </c>
      <c r="Y867" s="18">
        <f>$X867-$P867</f>
        <v/>
      </c>
      <c r="Z867" s="8">
        <f>IF(ABS($Y867)&lt;=tol_cashflow_inr,"PASS","FAIL")</f>
        <v/>
      </c>
      <c r="AA867" s="7" t="inlineStr">
        <is>
          <t>-d(lots x lot_kg x F(s) x mcx_al_margin_used_frac)</t>
        </is>
      </c>
    </row>
    <row r="868">
      <c r="A868" s="7" t="inlineStr">
        <is>
          <t>T07</t>
        </is>
      </c>
      <c r="B868" s="7" t="inlineStr">
        <is>
          <t>MCX:T07-MCX-3</t>
        </is>
      </c>
      <c r="C868" s="7" t="inlineStr">
        <is>
          <t>T07-MCX-3</t>
        </is>
      </c>
      <c r="D868" s="7" t="inlineStr">
        <is>
          <t>MCX_SLIPPAGE</t>
        </is>
      </c>
      <c r="E868" s="7" t="inlineStr">
        <is>
          <t>MCX_SLIPPAGE</t>
        </is>
      </c>
      <c r="F868" s="7" t="inlineStr">
        <is>
          <t>PNL</t>
        </is>
      </c>
      <c r="G868" s="7" t="inlineStr">
        <is>
          <t>INR</t>
        </is>
      </c>
      <c r="H868" s="11" t="n">
        <v>44762</v>
      </c>
      <c r="J868" s="11" t="n">
        <v>44762</v>
      </c>
      <c r="K868" s="11" t="n">
        <v>44762</v>
      </c>
      <c r="L868" s="7" t="inlineStr">
        <is>
          <t>roll following on the LME panel calendar</t>
        </is>
      </c>
      <c r="N868" s="7" t="inlineStr">
        <is>
          <t>ASSUMPTION</t>
        </is>
      </c>
      <c r="O868" s="9" t="n">
        <v>-123500</v>
      </c>
      <c r="P868" s="9" t="n">
        <v>-123500</v>
      </c>
      <c r="U868" s="7" t="inlineStr">
        <is>
          <t>DERIVED_IN_WORKBOOK</t>
        </is>
      </c>
      <c r="V868" s="8">
        <f>SUMIFS(Cashflows!$Z$1043:$Z$1393,Cashflows!$B$1043:$B$1393,$C868,Cashflows!$C$1043:$C$1393,$K868)</f>
        <v/>
      </c>
      <c r="W868" s="8">
        <f>IF($G868="INR",1,INDEX(Market_Daily!$F$6:$F$256,MATCH($K868,Market_Daily!$A$6:$A$256,0)))</f>
        <v/>
      </c>
      <c r="X868" s="8">
        <f>$V868*$W868</f>
        <v/>
      </c>
      <c r="Y868" s="18">
        <f>$X868-$P868</f>
        <v/>
      </c>
      <c r="Z868" s="8">
        <f>IF(ABS($Y868)&lt;=tol_cashflow_inr,"PASS","FAIL")</f>
        <v/>
      </c>
      <c r="AA868" s="7" t="inlineStr">
        <is>
          <t>-lots x lot_kg x mcx_slippage_ticks x tick</t>
        </is>
      </c>
    </row>
    <row r="869">
      <c r="A869" s="7" t="inlineStr">
        <is>
          <t>T07</t>
        </is>
      </c>
      <c r="B869" s="7" t="inlineStr">
        <is>
          <t>MCX:T07-MCX-3</t>
        </is>
      </c>
      <c r="C869" s="7" t="inlineStr">
        <is>
          <t>T07-MCX-3</t>
        </is>
      </c>
      <c r="D869" s="7" t="inlineStr">
        <is>
          <t>MCX_TRANSACTION_COST</t>
        </is>
      </c>
      <c r="E869" s="7" t="inlineStr">
        <is>
          <t>MCX_TRANSACTION_COST</t>
        </is>
      </c>
      <c r="F869" s="7" t="inlineStr">
        <is>
          <t>PNL</t>
        </is>
      </c>
      <c r="G869" s="7" t="inlineStr">
        <is>
          <t>INR</t>
        </is>
      </c>
      <c r="H869" s="11" t="n">
        <v>44762</v>
      </c>
      <c r="I869" s="11" t="n">
        <v>44762</v>
      </c>
      <c r="J869" s="11" t="n">
        <v>44762</v>
      </c>
      <c r="K869" s="11" t="n">
        <v>44762</v>
      </c>
      <c r="L869" s="7" t="inlineStr">
        <is>
          <t>roll following on the LME panel calendar</t>
        </is>
      </c>
      <c r="N869" s="7" t="inlineStr">
        <is>
          <t>ASSUMPTION</t>
        </is>
      </c>
      <c r="O869" s="9" t="n">
        <v>-79269.10000000001</v>
      </c>
      <c r="P869" s="9" t="n">
        <v>-79269.10000000001</v>
      </c>
      <c r="U869" s="7" t="inlineStr">
        <is>
          <t>DERIVED_IN_WORKBOOK</t>
        </is>
      </c>
      <c r="V869" s="8">
        <f>SUMIFS(Cashflows!$AA$1043:$AA$1393,Cashflows!$B$1043:$B$1393,$C869,Cashflows!$C$1043:$C$1393,$K869)</f>
        <v/>
      </c>
      <c r="W869" s="8">
        <f>IF($G869="INR",1,INDEX(Market_Daily!$F$6:$F$256,MATCH($K869,Market_Daily!$A$6:$A$256,0)))</f>
        <v/>
      </c>
      <c r="X869" s="8">
        <f>$V869*$W869</f>
        <v/>
      </c>
      <c r="Y869" s="18">
        <f>$X869-$P869</f>
        <v/>
      </c>
      <c r="Z869" s="8">
        <f>IF(ABS($Y869)&lt;=tol_cashflow_inr,"PASS","FAIL")</f>
        <v/>
      </c>
      <c r="AA869" s="7" t="inlineStr">
        <is>
          <t>-lots x lot_kg x fill x mcx_txn_cost_frac</t>
        </is>
      </c>
    </row>
    <row r="870">
      <c r="A870" s="7" t="inlineStr">
        <is>
          <t>T07</t>
        </is>
      </c>
      <c r="B870" s="7" t="inlineStr">
        <is>
          <t>MCX:T07-MCX-3</t>
        </is>
      </c>
      <c r="C870" s="7" t="inlineStr">
        <is>
          <t>T07-MCX-3</t>
        </is>
      </c>
      <c r="D870" s="7" t="inlineStr">
        <is>
          <t>MCX_VARIATION_MARGIN</t>
        </is>
      </c>
      <c r="E870" s="7" t="inlineStr">
        <is>
          <t>MCX_VARIATION_MARGIN</t>
        </is>
      </c>
      <c r="F870" s="7" t="inlineStr">
        <is>
          <t>PNL</t>
        </is>
      </c>
      <c r="G870" s="7" t="inlineStr">
        <is>
          <t>INR</t>
        </is>
      </c>
      <c r="H870" s="11" t="n">
        <v>44762</v>
      </c>
      <c r="I870" s="11" t="n">
        <v>44762</v>
      </c>
      <c r="J870" s="11" t="n">
        <v>44762</v>
      </c>
      <c r="K870" s="11" t="n">
        <v>44762</v>
      </c>
      <c r="L870" s="7" t="inlineStr">
        <is>
          <t>roll following on the LME panel calendar</t>
        </is>
      </c>
      <c r="N870" s="7" t="inlineStr">
        <is>
          <t>PROXY</t>
        </is>
      </c>
      <c r="O870" s="9" t="n">
        <v>-0</v>
      </c>
      <c r="P870" s="9" t="n">
        <v>-0</v>
      </c>
      <c r="U870" s="7" t="inlineStr">
        <is>
          <t>DERIVED_IN_WORKBOOK</t>
        </is>
      </c>
      <c r="V870" s="8">
        <f>SUMIFS(Cashflows!$R$1043:$R$1393,Cashflows!$B$1043:$B$1393,$C870,Cashflows!$C$1043:$C$1393,$K870)</f>
        <v/>
      </c>
      <c r="W870" s="8">
        <f>IF($G870="INR",1,INDEX(Market_Daily!$F$6:$F$256,MATCH($K870,Market_Daily!$A$6:$A$256,0)))</f>
        <v/>
      </c>
      <c r="X870" s="8">
        <f>$V870*$W870</f>
        <v/>
      </c>
      <c r="Y870" s="18">
        <f>$X870-$P870</f>
        <v/>
      </c>
      <c r="Z870" s="8">
        <f>IF(ABS($Y870)&lt;=tol_cashflow_inr,"PASS","FAIL")</f>
        <v/>
      </c>
      <c r="AA870" s="7" t="inlineStr">
        <is>
          <t>direction x lots x lot_kg x (F(entry) - entry settle) = 0 by construction</t>
        </is>
      </c>
    </row>
    <row r="871">
      <c r="A871" s="7" t="inlineStr">
        <is>
          <t>T07</t>
        </is>
      </c>
      <c r="B871" s="7" t="inlineStr">
        <is>
          <t>MCX:T07-MCX-3</t>
        </is>
      </c>
      <c r="C871" s="7" t="inlineStr">
        <is>
          <t>T07-MCX-3</t>
        </is>
      </c>
      <c r="D871" s="7" t="inlineStr">
        <is>
          <t>MCX_INITIAL_MARGIN</t>
        </is>
      </c>
      <c r="E871" s="7" t="inlineStr">
        <is>
          <t>MCX_INITIAL_MARGIN</t>
        </is>
      </c>
      <c r="F871" s="7" t="inlineStr">
        <is>
          <t>BS</t>
        </is>
      </c>
      <c r="G871" s="7" t="inlineStr">
        <is>
          <t>INR</t>
        </is>
      </c>
      <c r="H871" s="11" t="n">
        <v>44762</v>
      </c>
      <c r="I871" s="11" t="n">
        <v>44763</v>
      </c>
      <c r="J871" s="11" t="n">
        <v>44763</v>
      </c>
      <c r="K871" s="11" t="n">
        <v>44763</v>
      </c>
      <c r="L871" s="7" t="inlineStr">
        <is>
          <t>roll following on the LME panel calendar</t>
        </is>
      </c>
      <c r="N871" s="7" t="inlineStr">
        <is>
          <t>PROXY</t>
        </is>
      </c>
      <c r="O871" s="9" t="n">
        <v>379340.07</v>
      </c>
      <c r="P871" s="9" t="n">
        <v>379340.07</v>
      </c>
      <c r="U871" s="7" t="inlineStr">
        <is>
          <t>DERIVED_IN_WORKBOOK</t>
        </is>
      </c>
      <c r="V871" s="8">
        <f>-SUMIFS(Cashflows!$W$1043:$W$1393,Cashflows!$B$1043:$B$1393,$C871,Cashflows!$C$1043:$C$1393,$K871)</f>
        <v/>
      </c>
      <c r="W871" s="8">
        <f>IF($G871="INR",1,INDEX(Market_Daily!$F$6:$F$256,MATCH($K871,Market_Daily!$A$6:$A$256,0)))</f>
        <v/>
      </c>
      <c r="X871" s="8">
        <f>$V871*$W871</f>
        <v/>
      </c>
      <c r="Y871" s="18">
        <f>$X871-$P871</f>
        <v/>
      </c>
      <c r="Z871" s="8">
        <f>IF(ABS($Y871)&lt;=tol_cashflow_inr,"PASS","FAIL")</f>
        <v/>
      </c>
      <c r="AA871" s="7" t="inlineStr">
        <is>
          <t>-d(lots x lot_kg x F(s) x mcx_al_margin_used_frac)</t>
        </is>
      </c>
    </row>
    <row r="872">
      <c r="A872" s="7" t="inlineStr">
        <is>
          <t>T07</t>
        </is>
      </c>
      <c r="B872" s="7" t="inlineStr">
        <is>
          <t>MCX:T07-MCX-3</t>
        </is>
      </c>
      <c r="C872" s="7" t="inlineStr">
        <is>
          <t>T07-MCX-3</t>
        </is>
      </c>
      <c r="D872" s="7" t="inlineStr">
        <is>
          <t>MCX_VARIATION_MARGIN</t>
        </is>
      </c>
      <c r="E872" s="7" t="inlineStr">
        <is>
          <t>MCX_VARIATION_MARGIN</t>
        </is>
      </c>
      <c r="F872" s="7" t="inlineStr">
        <is>
          <t>PNL</t>
        </is>
      </c>
      <c r="G872" s="7" t="inlineStr">
        <is>
          <t>INR</t>
        </is>
      </c>
      <c r="H872" s="11" t="n">
        <v>44762</v>
      </c>
      <c r="I872" s="11" t="n">
        <v>44763</v>
      </c>
      <c r="J872" s="11" t="n">
        <v>44763</v>
      </c>
      <c r="K872" s="11" t="n">
        <v>44763</v>
      </c>
      <c r="L872" s="7" t="inlineStr">
        <is>
          <t>roll following on the LME panel calendar</t>
        </is>
      </c>
      <c r="N872" s="7" t="inlineStr">
        <is>
          <t>PROXY</t>
        </is>
      </c>
      <c r="O872" s="9" t="n">
        <v>3793400.68</v>
      </c>
      <c r="P872" s="9" t="n">
        <v>3793400.68</v>
      </c>
      <c r="U872" s="7" t="inlineStr">
        <is>
          <t>DERIVED_IN_WORKBOOK</t>
        </is>
      </c>
      <c r="V872" s="8">
        <f>SUMIFS(Cashflows!$R$1043:$R$1393,Cashflows!$B$1043:$B$1393,$C872,Cashflows!$C$1043:$C$1393,$K872)</f>
        <v/>
      </c>
      <c r="W872" s="8">
        <f>IF($G872="INR",1,INDEX(Market_Daily!$F$6:$F$256,MATCH($K872,Market_Daily!$A$6:$A$256,0)))</f>
        <v/>
      </c>
      <c r="X872" s="8">
        <f>$V872*$W872</f>
        <v/>
      </c>
      <c r="Y872" s="18">
        <f>$X872-$P872</f>
        <v/>
      </c>
      <c r="Z872" s="8">
        <f>IF(ABS($Y872)&lt;=tol_cashflow_inr,"PASS","FAIL")</f>
        <v/>
      </c>
      <c r="AA872" s="7" t="inlineStr">
        <is>
          <t>direction x lots x lot_kg x (F(s) - F(s-1))</t>
        </is>
      </c>
    </row>
    <row r="873">
      <c r="A873" s="7" t="inlineStr">
        <is>
          <t>T07</t>
        </is>
      </c>
      <c r="B873" s="7" t="inlineStr">
        <is>
          <t>MCX:T07-MCX-3</t>
        </is>
      </c>
      <c r="C873" s="7" t="inlineStr">
        <is>
          <t>T07-MCX-3</t>
        </is>
      </c>
      <c r="D873" s="7" t="inlineStr">
        <is>
          <t>MCX_INITIAL_MARGIN</t>
        </is>
      </c>
      <c r="E873" s="7" t="inlineStr">
        <is>
          <t>MCX_INITIAL_MARGIN</t>
        </is>
      </c>
      <c r="F873" s="7" t="inlineStr">
        <is>
          <t>BS</t>
        </is>
      </c>
      <c r="G873" s="7" t="inlineStr">
        <is>
          <t>INR</t>
        </is>
      </c>
      <c r="H873" s="11" t="n">
        <v>44762</v>
      </c>
      <c r="I873" s="11" t="n">
        <v>44764</v>
      </c>
      <c r="J873" s="11" t="n">
        <v>44764</v>
      </c>
      <c r="K873" s="11" t="n">
        <v>44764</v>
      </c>
      <c r="L873" s="7" t="inlineStr">
        <is>
          <t>roll following on the LME panel calendar</t>
        </is>
      </c>
      <c r="N873" s="7" t="inlineStr">
        <is>
          <t>PROXY</t>
        </is>
      </c>
      <c r="O873" s="9" t="n">
        <v>-362903.56</v>
      </c>
      <c r="P873" s="9" t="n">
        <v>-362903.56</v>
      </c>
      <c r="U873" s="7" t="inlineStr">
        <is>
          <t>DERIVED_IN_WORKBOOK</t>
        </is>
      </c>
      <c r="V873" s="8">
        <f>-SUMIFS(Cashflows!$W$1043:$W$1393,Cashflows!$B$1043:$B$1393,$C873,Cashflows!$C$1043:$C$1393,$K873)</f>
        <v/>
      </c>
      <c r="W873" s="8">
        <f>IF($G873="INR",1,INDEX(Market_Daily!$F$6:$F$256,MATCH($K873,Market_Daily!$A$6:$A$256,0)))</f>
        <v/>
      </c>
      <c r="X873" s="8">
        <f>$V873*$W873</f>
        <v/>
      </c>
      <c r="Y873" s="18">
        <f>$X873-$P873</f>
        <v/>
      </c>
      <c r="Z873" s="8">
        <f>IF(ABS($Y873)&lt;=tol_cashflow_inr,"PASS","FAIL")</f>
        <v/>
      </c>
      <c r="AA873" s="7" t="inlineStr">
        <is>
          <t>-d(lots x lot_kg x F(s) x mcx_al_margin_used_frac)</t>
        </is>
      </c>
    </row>
    <row r="874">
      <c r="A874" s="7" t="inlineStr">
        <is>
          <t>T07</t>
        </is>
      </c>
      <c r="B874" s="7" t="inlineStr">
        <is>
          <t>MCX:T07-MCX-3</t>
        </is>
      </c>
      <c r="C874" s="7" t="inlineStr">
        <is>
          <t>T07-MCX-3</t>
        </is>
      </c>
      <c r="D874" s="7" t="inlineStr">
        <is>
          <t>MCX_VARIATION_MARGIN</t>
        </is>
      </c>
      <c r="E874" s="7" t="inlineStr">
        <is>
          <t>MCX_VARIATION_MARGIN</t>
        </is>
      </c>
      <c r="F874" s="7" t="inlineStr">
        <is>
          <t>PNL</t>
        </is>
      </c>
      <c r="G874" s="7" t="inlineStr">
        <is>
          <t>INR</t>
        </is>
      </c>
      <c r="H874" s="11" t="n">
        <v>44762</v>
      </c>
      <c r="I874" s="11" t="n">
        <v>44764</v>
      </c>
      <c r="J874" s="11" t="n">
        <v>44764</v>
      </c>
      <c r="K874" s="11" t="n">
        <v>44764</v>
      </c>
      <c r="L874" s="7" t="inlineStr">
        <is>
          <t>roll following on the LME panel calendar</t>
        </is>
      </c>
      <c r="N874" s="7" t="inlineStr">
        <is>
          <t>PROXY</t>
        </is>
      </c>
      <c r="O874" s="9" t="n">
        <v>-3629035.65</v>
      </c>
      <c r="P874" s="9" t="n">
        <v>-3629035.65</v>
      </c>
      <c r="U874" s="7" t="inlineStr">
        <is>
          <t>DERIVED_IN_WORKBOOK</t>
        </is>
      </c>
      <c r="V874" s="8">
        <f>SUMIFS(Cashflows!$R$1043:$R$1393,Cashflows!$B$1043:$B$1393,$C874,Cashflows!$C$1043:$C$1393,$K874)</f>
        <v/>
      </c>
      <c r="W874" s="8">
        <f>IF($G874="INR",1,INDEX(Market_Daily!$F$6:$F$256,MATCH($K874,Market_Daily!$A$6:$A$256,0)))</f>
        <v/>
      </c>
      <c r="X874" s="8">
        <f>$V874*$W874</f>
        <v/>
      </c>
      <c r="Y874" s="18">
        <f>$X874-$P874</f>
        <v/>
      </c>
      <c r="Z874" s="8">
        <f>IF(ABS($Y874)&lt;=tol_cashflow_inr,"PASS","FAIL")</f>
        <v/>
      </c>
      <c r="AA874" s="7" t="inlineStr">
        <is>
          <t>direction x lots x lot_kg x (F(s) - F(s-1))</t>
        </is>
      </c>
    </row>
    <row r="875">
      <c r="A875" s="7" t="inlineStr">
        <is>
          <t>T07</t>
        </is>
      </c>
      <c r="B875" s="7" t="inlineStr">
        <is>
          <t>MCX:T07-MCX-3</t>
        </is>
      </c>
      <c r="C875" s="7" t="inlineStr">
        <is>
          <t>T07-MCX-3</t>
        </is>
      </c>
      <c r="D875" s="7" t="inlineStr">
        <is>
          <t>MCX_INITIAL_MARGIN</t>
        </is>
      </c>
      <c r="E875" s="7" t="inlineStr">
        <is>
          <t>MCX_INITIAL_MARGIN</t>
        </is>
      </c>
      <c r="F875" s="7" t="inlineStr">
        <is>
          <t>BS</t>
        </is>
      </c>
      <c r="G875" s="7" t="inlineStr">
        <is>
          <t>INR</t>
        </is>
      </c>
      <c r="H875" s="11" t="n">
        <v>44762</v>
      </c>
      <c r="I875" s="11" t="n">
        <v>44767</v>
      </c>
      <c r="J875" s="11" t="n">
        <v>44767</v>
      </c>
      <c r="K875" s="11" t="n">
        <v>44767</v>
      </c>
      <c r="L875" s="7" t="inlineStr">
        <is>
          <t>roll following on the LME panel calendar</t>
        </is>
      </c>
      <c r="N875" s="7" t="inlineStr">
        <is>
          <t>PROXY</t>
        </is>
      </c>
      <c r="O875" s="9" t="n">
        <v>344174.23</v>
      </c>
      <c r="P875" s="9" t="n">
        <v>344174.23</v>
      </c>
      <c r="U875" s="7" t="inlineStr">
        <is>
          <t>DERIVED_IN_WORKBOOK</t>
        </is>
      </c>
      <c r="V875" s="8">
        <f>-SUMIFS(Cashflows!$W$1043:$W$1393,Cashflows!$B$1043:$B$1393,$C875,Cashflows!$C$1043:$C$1393,$K875)</f>
        <v/>
      </c>
      <c r="W875" s="8">
        <f>IF($G875="INR",1,INDEX(Market_Daily!$F$6:$F$256,MATCH($K875,Market_Daily!$A$6:$A$256,0)))</f>
        <v/>
      </c>
      <c r="X875" s="8">
        <f>$V875*$W875</f>
        <v/>
      </c>
      <c r="Y875" s="18">
        <f>$X875-$P875</f>
        <v/>
      </c>
      <c r="Z875" s="8">
        <f>IF(ABS($Y875)&lt;=tol_cashflow_inr,"PASS","FAIL")</f>
        <v/>
      </c>
      <c r="AA875" s="7" t="inlineStr">
        <is>
          <t>-d(lots x lot_kg x F(s) x mcx_al_margin_used_frac)</t>
        </is>
      </c>
    </row>
    <row r="876">
      <c r="A876" s="7" t="inlineStr">
        <is>
          <t>T07</t>
        </is>
      </c>
      <c r="B876" s="7" t="inlineStr">
        <is>
          <t>MCX:T07-MCX-3</t>
        </is>
      </c>
      <c r="C876" s="7" t="inlineStr">
        <is>
          <t>T07-MCX-3</t>
        </is>
      </c>
      <c r="D876" s="7" t="inlineStr">
        <is>
          <t>MCX_VARIATION_MARGIN</t>
        </is>
      </c>
      <c r="E876" s="7" t="inlineStr">
        <is>
          <t>MCX_VARIATION_MARGIN</t>
        </is>
      </c>
      <c r="F876" s="7" t="inlineStr">
        <is>
          <t>PNL</t>
        </is>
      </c>
      <c r="G876" s="7" t="inlineStr">
        <is>
          <t>INR</t>
        </is>
      </c>
      <c r="H876" s="11" t="n">
        <v>44762</v>
      </c>
      <c r="I876" s="11" t="n">
        <v>44767</v>
      </c>
      <c r="J876" s="11" t="n">
        <v>44767</v>
      </c>
      <c r="K876" s="11" t="n">
        <v>44767</v>
      </c>
      <c r="L876" s="7" t="inlineStr">
        <is>
          <t>roll following on the LME panel calendar</t>
        </is>
      </c>
      <c r="N876" s="7" t="inlineStr">
        <is>
          <t>PROXY</t>
        </is>
      </c>
      <c r="O876" s="9" t="n">
        <v>3441742.32</v>
      </c>
      <c r="P876" s="9" t="n">
        <v>3441742.32</v>
      </c>
      <c r="U876" s="7" t="inlineStr">
        <is>
          <t>DERIVED_IN_WORKBOOK</t>
        </is>
      </c>
      <c r="V876" s="8">
        <f>SUMIFS(Cashflows!$R$1043:$R$1393,Cashflows!$B$1043:$B$1393,$C876,Cashflows!$C$1043:$C$1393,$K876)</f>
        <v/>
      </c>
      <c r="W876" s="8">
        <f>IF($G876="INR",1,INDEX(Market_Daily!$F$6:$F$256,MATCH($K876,Market_Daily!$A$6:$A$256,0)))</f>
        <v/>
      </c>
      <c r="X876" s="8">
        <f>$V876*$W876</f>
        <v/>
      </c>
      <c r="Y876" s="18">
        <f>$X876-$P876</f>
        <v/>
      </c>
      <c r="Z876" s="8">
        <f>IF(ABS($Y876)&lt;=tol_cashflow_inr,"PASS","FAIL")</f>
        <v/>
      </c>
      <c r="AA876" s="7" t="inlineStr">
        <is>
          <t>direction x lots x lot_kg x (F(s) - F(s-1))</t>
        </is>
      </c>
    </row>
    <row r="877">
      <c r="A877" s="7" t="inlineStr">
        <is>
          <t>T07</t>
        </is>
      </c>
      <c r="B877" s="7" t="inlineStr">
        <is>
          <t>DUTY:L2</t>
        </is>
      </c>
      <c r="C877" s="7" t="inlineStr">
        <is>
          <t>L2</t>
        </is>
      </c>
      <c r="D877" s="7" t="inlineStr">
        <is>
          <t>CUSTOMS_DUTY</t>
        </is>
      </c>
      <c r="E877" s="7" t="inlineStr">
        <is>
          <t>CUSTOMS_DUTY</t>
        </is>
      </c>
      <c r="F877" s="7" t="inlineStr">
        <is>
          <t>PNL</t>
        </is>
      </c>
      <c r="G877" s="7" t="inlineStr">
        <is>
          <t>INR</t>
        </is>
      </c>
      <c r="H877" s="11" t="n">
        <v>44706</v>
      </c>
      <c r="I877" s="11" t="n">
        <v>44768</v>
      </c>
      <c r="J877" s="11" t="n">
        <v>44768</v>
      </c>
      <c r="K877" s="11" t="n">
        <v>44768</v>
      </c>
      <c r="L877" s="7" t="inlineStr">
        <is>
          <t>roll following on the LME panel calendar</t>
        </is>
      </c>
      <c r="N877" s="7" t="inlineStr">
        <is>
          <t>DIRECT</t>
        </is>
      </c>
      <c r="O877" s="9" t="n">
        <v>-4583663.61</v>
      </c>
      <c r="P877" s="9" t="n">
        <v>-4583663.61</v>
      </c>
      <c r="U877" s="7" t="inlineStr">
        <is>
          <t>PYTHON_LIFECYCLE</t>
        </is>
      </c>
      <c r="V877" s="8">
        <f>$O877</f>
        <v/>
      </c>
      <c r="W877" s="8">
        <f>IF($G877="INR",1,INDEX(Market_Daily!$F$6:$F$256,MATCH($K877,Market_Daily!$A$6:$A$256,0)))</f>
        <v/>
      </c>
      <c r="X877" s="8">
        <f>$V877*$W877</f>
        <v/>
      </c>
      <c r="Y877" s="18">
        <f>$X877-$P877</f>
        <v/>
      </c>
      <c r="Z877" s="8">
        <f>IF(ABS($Y877)&lt;=tol_cashflow_inr,"PASS","FAIL")</f>
        <v/>
      </c>
      <c r="AA877" s="7" t="inlineStr">
        <is>
          <t>-assessable_inr x bcd_scrap_hs7602 x (1 + sws_rate_on_bcd)</t>
        </is>
      </c>
    </row>
    <row r="878">
      <c r="A878" s="7" t="inlineStr">
        <is>
          <t>T07</t>
        </is>
      </c>
      <c r="B878" s="7" t="inlineStr">
        <is>
          <t>IGST:L2</t>
        </is>
      </c>
      <c r="C878" s="7" t="inlineStr">
        <is>
          <t>L2</t>
        </is>
      </c>
      <c r="D878" s="7" t="inlineStr">
        <is>
          <t>IGST_IMPORT</t>
        </is>
      </c>
      <c r="E878" s="7" t="inlineStr">
        <is>
          <t>IGST_IMPORT</t>
        </is>
      </c>
      <c r="F878" s="7" t="inlineStr">
        <is>
          <t>BS</t>
        </is>
      </c>
      <c r="G878" s="7" t="inlineStr">
        <is>
          <t>INR</t>
        </is>
      </c>
      <c r="H878" s="11" t="n">
        <v>44706</v>
      </c>
      <c r="I878" s="11" t="n">
        <v>44768</v>
      </c>
      <c r="J878" s="11" t="n">
        <v>44768</v>
      </c>
      <c r="K878" s="11" t="n">
        <v>44768</v>
      </c>
      <c r="L878" s="7" t="inlineStr">
        <is>
          <t>roll following on the LME panel calendar</t>
        </is>
      </c>
      <c r="N878" s="7" t="inlineStr">
        <is>
          <t>DIRECT</t>
        </is>
      </c>
      <c r="O878" s="9" t="n">
        <v>-30827221.23</v>
      </c>
      <c r="P878" s="9" t="n">
        <v>-30827221.23</v>
      </c>
      <c r="U878" s="7" t="inlineStr">
        <is>
          <t>PYTHON_LIFECYCLE</t>
        </is>
      </c>
      <c r="V878" s="8">
        <f>$O878</f>
        <v/>
      </c>
      <c r="W878" s="8">
        <f>IF($G878="INR",1,INDEX(Market_Daily!$F$6:$F$256,MATCH($K878,Market_Daily!$A$6:$A$256,0)))</f>
        <v/>
      </c>
      <c r="X878" s="8">
        <f>$V878*$W878</f>
        <v/>
      </c>
      <c r="Y878" s="18">
        <f>$X878-$P878</f>
        <v/>
      </c>
      <c r="Z878" s="8">
        <f>IF(ABS($Y878)&lt;=tol_cashflow_inr,"PASS","FAIL")</f>
        <v/>
      </c>
      <c r="AA878" s="7" t="inlineStr">
        <is>
          <t>-(assessable + duty) x igst_rate_hs7602</t>
        </is>
      </c>
    </row>
    <row r="879">
      <c r="A879" s="7" t="inlineStr">
        <is>
          <t>T07</t>
        </is>
      </c>
      <c r="B879" s="7" t="inlineStr">
        <is>
          <t>MCX:T07-MCX-3</t>
        </is>
      </c>
      <c r="C879" s="7" t="inlineStr">
        <is>
          <t>T07-MCX-3</t>
        </is>
      </c>
      <c r="D879" s="7" t="inlineStr">
        <is>
          <t>MCX_INITIAL_MARGIN</t>
        </is>
      </c>
      <c r="E879" s="7" t="inlineStr">
        <is>
          <t>MCX_INITIAL_MARGIN</t>
        </is>
      </c>
      <c r="F879" s="7" t="inlineStr">
        <is>
          <t>BS</t>
        </is>
      </c>
      <c r="G879" s="7" t="inlineStr">
        <is>
          <t>INR</t>
        </is>
      </c>
      <c r="H879" s="11" t="n">
        <v>44762</v>
      </c>
      <c r="I879" s="11" t="n">
        <v>44768</v>
      </c>
      <c r="J879" s="11" t="n">
        <v>44768</v>
      </c>
      <c r="K879" s="11" t="n">
        <v>44768</v>
      </c>
      <c r="L879" s="7" t="inlineStr">
        <is>
          <t>roll following on the LME panel calendar</t>
        </is>
      </c>
      <c r="N879" s="7" t="inlineStr">
        <is>
          <t>PROXY</t>
        </is>
      </c>
      <c r="O879" s="9" t="n">
        <v>26074771.39</v>
      </c>
      <c r="P879" s="9" t="n">
        <v>26074771.39</v>
      </c>
      <c r="U879" s="7" t="inlineStr">
        <is>
          <t>DERIVED_IN_WORKBOOK</t>
        </is>
      </c>
      <c r="V879" s="8">
        <f>-SUMIFS(Cashflows!$W$1043:$W$1393,Cashflows!$B$1043:$B$1393,$C879,Cashflows!$C$1043:$C$1393,$K879)</f>
        <v/>
      </c>
      <c r="W879" s="8">
        <f>IF($G879="INR",1,INDEX(Market_Daily!$F$6:$F$256,MATCH($K879,Market_Daily!$A$6:$A$256,0)))</f>
        <v/>
      </c>
      <c r="X879" s="8">
        <f>$V879*$W879</f>
        <v/>
      </c>
      <c r="Y879" s="18">
        <f>$X879-$P879</f>
        <v/>
      </c>
      <c r="Z879" s="8">
        <f>IF(ABS($Y879)&lt;=tol_cashflow_inr,"PASS","FAIL")</f>
        <v/>
      </c>
      <c r="AA879" s="7" t="inlineStr">
        <is>
          <t>-d(lots x lot_kg x F(s) x mcx_al_margin_used_frac)</t>
        </is>
      </c>
    </row>
    <row r="880">
      <c r="A880" s="7" t="inlineStr">
        <is>
          <t>T07</t>
        </is>
      </c>
      <c r="B880" s="7" t="inlineStr">
        <is>
          <t>MCX:T07-MCX-3</t>
        </is>
      </c>
      <c r="C880" s="7" t="inlineStr">
        <is>
          <t>T07-MCX-3</t>
        </is>
      </c>
      <c r="D880" s="7" t="inlineStr">
        <is>
          <t>MCX_SLIPPAGE</t>
        </is>
      </c>
      <c r="E880" s="7" t="inlineStr">
        <is>
          <t>MCX_SLIPPAGE</t>
        </is>
      </c>
      <c r="F880" s="7" t="inlineStr">
        <is>
          <t>PNL</t>
        </is>
      </c>
      <c r="G880" s="7" t="inlineStr">
        <is>
          <t>INR</t>
        </is>
      </c>
      <c r="H880" s="11" t="n">
        <v>44768</v>
      </c>
      <c r="J880" s="11" t="n">
        <v>44768</v>
      </c>
      <c r="K880" s="11" t="n">
        <v>44768</v>
      </c>
      <c r="L880" s="7" t="inlineStr">
        <is>
          <t>roll following on the LME panel calendar</t>
        </is>
      </c>
      <c r="N880" s="7" t="inlineStr">
        <is>
          <t>ASSUMPTION</t>
        </is>
      </c>
      <c r="O880" s="9" t="n">
        <v>-123500</v>
      </c>
      <c r="P880" s="9" t="n">
        <v>-123500</v>
      </c>
      <c r="U880" s="7" t="inlineStr">
        <is>
          <t>DERIVED_IN_WORKBOOK</t>
        </is>
      </c>
      <c r="V880" s="8">
        <f>SUMIFS(Cashflows!$Z$1043:$Z$1393,Cashflows!$B$1043:$B$1393,$C880,Cashflows!$C$1043:$C$1393,$K880)</f>
        <v/>
      </c>
      <c r="W880" s="8">
        <f>IF($G880="INR",1,INDEX(Market_Daily!$F$6:$F$256,MATCH($K880,Market_Daily!$A$6:$A$256,0)))</f>
        <v/>
      </c>
      <c r="X880" s="8">
        <f>$V880*$W880</f>
        <v/>
      </c>
      <c r="Y880" s="18">
        <f>$X880-$P880</f>
        <v/>
      </c>
      <c r="Z880" s="8">
        <f>IF(ABS($Y880)&lt;=tol_cashflow_inr,"PASS","FAIL")</f>
        <v/>
      </c>
      <c r="AA880" s="7" t="inlineStr">
        <is>
          <t>-lots x lot_kg x mcx_slippage_ticks x tick</t>
        </is>
      </c>
    </row>
    <row r="881">
      <c r="A881" s="7" t="inlineStr">
        <is>
          <t>T07</t>
        </is>
      </c>
      <c r="B881" s="7" t="inlineStr">
        <is>
          <t>MCX:T07-MCX-3</t>
        </is>
      </c>
      <c r="C881" s="7" t="inlineStr">
        <is>
          <t>T07-MCX-3</t>
        </is>
      </c>
      <c r="D881" s="7" t="inlineStr">
        <is>
          <t>MCX_TRANSACTION_COST</t>
        </is>
      </c>
      <c r="E881" s="7" t="inlineStr">
        <is>
          <t>MCX_TRANSACTION_COST</t>
        </is>
      </c>
      <c r="F881" s="7" t="inlineStr">
        <is>
          <t>PNL</t>
        </is>
      </c>
      <c r="G881" s="7" t="inlineStr">
        <is>
          <t>INR</t>
        </is>
      </c>
      <c r="H881" s="11" t="n">
        <v>44768</v>
      </c>
      <c r="I881" s="11" t="n">
        <v>44768</v>
      </c>
      <c r="J881" s="11" t="n">
        <v>44768</v>
      </c>
      <c r="K881" s="11" t="n">
        <v>44768</v>
      </c>
      <c r="L881" s="7" t="inlineStr">
        <is>
          <t>roll following on the LME panel calendar</t>
        </is>
      </c>
      <c r="N881" s="7" t="inlineStr">
        <is>
          <t>ASSUMPTION</t>
        </is>
      </c>
      <c r="O881" s="9" t="n">
        <v>-78457.12</v>
      </c>
      <c r="P881" s="9" t="n">
        <v>-78457.12</v>
      </c>
      <c r="U881" s="7" t="inlineStr">
        <is>
          <t>DERIVED_IN_WORKBOOK</t>
        </is>
      </c>
      <c r="V881" s="8">
        <f>SUMIFS(Cashflows!$AA$1043:$AA$1393,Cashflows!$B$1043:$B$1393,$C881,Cashflows!$C$1043:$C$1393,$K881)</f>
        <v/>
      </c>
      <c r="W881" s="8">
        <f>IF($G881="INR",1,INDEX(Market_Daily!$F$6:$F$256,MATCH($K881,Market_Daily!$A$6:$A$256,0)))</f>
        <v/>
      </c>
      <c r="X881" s="8">
        <f>$V881*$W881</f>
        <v/>
      </c>
      <c r="Y881" s="18">
        <f>$X881-$P881</f>
        <v/>
      </c>
      <c r="Z881" s="8">
        <f>IF(ABS($Y881)&lt;=tol_cashflow_inr,"PASS","FAIL")</f>
        <v/>
      </c>
      <c r="AA881" s="7" t="inlineStr">
        <is>
          <t>-lots x lot_kg x fill x mcx_txn_cost_frac</t>
        </is>
      </c>
    </row>
    <row r="882">
      <c r="A882" s="7" t="inlineStr">
        <is>
          <t>T07</t>
        </is>
      </c>
      <c r="B882" s="7" t="inlineStr">
        <is>
          <t>MCX:T07-MCX-3</t>
        </is>
      </c>
      <c r="C882" s="7" t="inlineStr">
        <is>
          <t>T07-MCX-3</t>
        </is>
      </c>
      <c r="D882" s="7" t="inlineStr">
        <is>
          <t>MCX_VARIATION_MARGIN</t>
        </is>
      </c>
      <c r="E882" s="7" t="inlineStr">
        <is>
          <t>MCX_VARIATION_MARGIN</t>
        </is>
      </c>
      <c r="F882" s="7" t="inlineStr">
        <is>
          <t>PNL</t>
        </is>
      </c>
      <c r="G882" s="7" t="inlineStr">
        <is>
          <t>INR</t>
        </is>
      </c>
      <c r="H882" s="11" t="n">
        <v>44762</v>
      </c>
      <c r="I882" s="11" t="n">
        <v>44768</v>
      </c>
      <c r="J882" s="11" t="n">
        <v>44768</v>
      </c>
      <c r="K882" s="11" t="n">
        <v>44768</v>
      </c>
      <c r="L882" s="7" t="inlineStr">
        <is>
          <t>roll following on the LME panel calendar</t>
        </is>
      </c>
      <c r="N882" s="7" t="inlineStr">
        <is>
          <t>PROXY</t>
        </is>
      </c>
      <c r="O882" s="9" t="n">
        <v>-652520.26</v>
      </c>
      <c r="P882" s="9" t="n">
        <v>-652520.26</v>
      </c>
      <c r="U882" s="7" t="inlineStr">
        <is>
          <t>DERIVED_IN_WORKBOOK</t>
        </is>
      </c>
      <c r="V882" s="8">
        <f>SUMIFS(Cashflows!$R$1043:$R$1393,Cashflows!$B$1043:$B$1393,$C882,Cashflows!$C$1043:$C$1393,$K882)</f>
        <v/>
      </c>
      <c r="W882" s="8">
        <f>IF($G882="INR",1,INDEX(Market_Daily!$F$6:$F$256,MATCH($K882,Market_Daily!$A$6:$A$256,0)))</f>
        <v/>
      </c>
      <c r="X882" s="8">
        <f>$V882*$W882</f>
        <v/>
      </c>
      <c r="Y882" s="18">
        <f>$X882-$P882</f>
        <v/>
      </c>
      <c r="Z882" s="8">
        <f>IF(ABS($Y882)&lt;=tol_cashflow_inr,"PASS","FAIL")</f>
        <v/>
      </c>
      <c r="AA882" s="7" t="inlineStr">
        <is>
          <t>direction x lots x lot_kg x (F(s) - F(s-1))</t>
        </is>
      </c>
    </row>
    <row r="883">
      <c r="A883" s="7" t="inlineStr">
        <is>
          <t>T07</t>
        </is>
      </c>
      <c r="B883" s="7" t="inlineStr">
        <is>
          <t>DEMURRAGE:L1</t>
        </is>
      </c>
      <c r="C883" s="7" t="inlineStr">
        <is>
          <t>L1</t>
        </is>
      </c>
      <c r="D883" s="7" t="inlineStr">
        <is>
          <t>DEMURRAGE</t>
        </is>
      </c>
      <c r="E883" s="7" t="inlineStr">
        <is>
          <t>DEMURRAGE</t>
        </is>
      </c>
      <c r="F883" s="7" t="inlineStr">
        <is>
          <t>PNL</t>
        </is>
      </c>
      <c r="G883" s="7" t="inlineStr">
        <is>
          <t>USD</t>
        </is>
      </c>
      <c r="H883" s="11" t="n">
        <v>44706</v>
      </c>
      <c r="J883" s="11" t="n">
        <v>44776</v>
      </c>
      <c r="K883" s="11" t="n">
        <v>44776</v>
      </c>
      <c r="L883" s="7" t="inlineStr">
        <is>
          <t>roll following on the LME panel calendar</t>
        </is>
      </c>
      <c r="M883" s="7" t="inlineStr">
        <is>
          <t>T07-LOG-1</t>
        </is>
      </c>
      <c r="N883" s="7" t="inlineStr">
        <is>
          <t>SIM</t>
        </is>
      </c>
      <c r="O883" s="9" t="n">
        <v>-3150</v>
      </c>
      <c r="P883" s="9" t="n">
        <v>-249334.78</v>
      </c>
      <c r="U883" s="7" t="inlineStr">
        <is>
          <t>PYTHON_LIFECYCLE</t>
        </is>
      </c>
      <c r="V883" s="8">
        <f>$O883</f>
        <v/>
      </c>
      <c r="W883" s="8">
        <f>IF($G883="INR",1,INDEX(Market_Daily!$F$6:$F$256,MATCH($K883,Market_Daily!$A$6:$A$256,0)))</f>
        <v/>
      </c>
      <c r="X883" s="8">
        <f>$V883*$W883</f>
        <v/>
      </c>
      <c r="Y883" s="18">
        <f>$X883-$P883</f>
        <v/>
      </c>
      <c r="Z883" s="8">
        <f>IF(ABS($Y883)&lt;=tol_cashflow_inr,"PASS","FAIL")</f>
        <v/>
      </c>
      <c r="AA883" s="7" t="inlineStr">
        <is>
          <t>-cleared boxes x slabbed detention+ground rent over max(0, dwell - detention_free_days) (demurrage_slab1/2_days, demurrage_usd_per_box_day[_slab2/3])</t>
        </is>
      </c>
    </row>
    <row r="884">
      <c r="A884" s="7" t="inlineStr">
        <is>
          <t>T07</t>
        </is>
      </c>
      <c r="B884" s="7" t="inlineStr">
        <is>
          <t>PORT:L1</t>
        </is>
      </c>
      <c r="C884" s="7" t="inlineStr">
        <is>
          <t>L1</t>
        </is>
      </c>
      <c r="D884" s="7" t="inlineStr">
        <is>
          <t>PORT_CHARGES</t>
        </is>
      </c>
      <c r="E884" s="7" t="inlineStr">
        <is>
          <t>PORT_CHARGES</t>
        </is>
      </c>
      <c r="F884" s="7" t="inlineStr">
        <is>
          <t>PNL</t>
        </is>
      </c>
      <c r="G884" s="7" t="inlineStr">
        <is>
          <t>INR</t>
        </is>
      </c>
      <c r="H884" s="11" t="n">
        <v>44706</v>
      </c>
      <c r="J884" s="11" t="n">
        <v>44776</v>
      </c>
      <c r="K884" s="11" t="n">
        <v>44776</v>
      </c>
      <c r="L884" s="7" t="inlineStr">
        <is>
          <t>roll following on the LME panel calendar</t>
        </is>
      </c>
      <c r="N884" s="7" t="inlineStr">
        <is>
          <t>ASSUMPTION</t>
        </is>
      </c>
      <c r="O884" s="9" t="n">
        <v>-2504250</v>
      </c>
      <c r="P884" s="9" t="n">
        <v>-2504250</v>
      </c>
      <c r="U884" s="7" t="inlineStr">
        <is>
          <t>PYTHON_LIFECYCLE</t>
        </is>
      </c>
      <c r="V884" s="8">
        <f>$O884</f>
        <v/>
      </c>
      <c r="W884" s="8">
        <f>IF($G884="INR",1,INDEX(Market_Daily!$F$6:$F$256,MATCH($K884,Market_Daily!$A$6:$A$256,0)))</f>
        <v/>
      </c>
      <c r="X884" s="8">
        <f>$V884*$W884</f>
        <v/>
      </c>
      <c r="Y884" s="18">
        <f>$X884-$P884</f>
        <v/>
      </c>
      <c r="Z884" s="8">
        <f>IF(ABS($Y884)&lt;=tol_cashflow_inr,"PASS","FAIL")</f>
        <v/>
      </c>
      <c r="AA884" s="7" t="inlineStr">
        <is>
          <t>-port_cf_charges_inr_t x base_payload x cleared boxes</t>
        </is>
      </c>
    </row>
    <row r="885">
      <c r="A885" s="7" t="inlineStr">
        <is>
          <t>T07</t>
        </is>
      </c>
      <c r="B885" s="7" t="inlineStr">
        <is>
          <t>SALE:S1</t>
        </is>
      </c>
      <c r="C885" s="7" t="inlineStr">
        <is>
          <t>S1</t>
        </is>
      </c>
      <c r="D885" s="7" t="inlineStr">
        <is>
          <t>SALE_ADVANCE</t>
        </is>
      </c>
      <c r="E885" s="7" t="inlineStr">
        <is>
          <t>SALE_ADVANCE</t>
        </is>
      </c>
      <c r="F885" s="7" t="inlineStr">
        <is>
          <t>PNL</t>
        </is>
      </c>
      <c r="G885" s="7" t="inlineStr">
        <is>
          <t>INR</t>
        </is>
      </c>
      <c r="H885" s="11" t="n">
        <v>44768</v>
      </c>
      <c r="I885" s="11" t="n">
        <v>44785</v>
      </c>
      <c r="J885" s="11" t="n">
        <v>44819</v>
      </c>
      <c r="K885" s="11" t="n">
        <v>44785</v>
      </c>
      <c r="L885" s="7" t="inlineStr">
        <is>
          <t>roll following on the LME panel calendar</t>
        </is>
      </c>
      <c r="N885" s="7" t="inlineStr">
        <is>
          <t>SIM</t>
        </is>
      </c>
      <c r="O885" s="9" t="n">
        <v>219287250</v>
      </c>
      <c r="P885" s="9" t="n">
        <v>219287250</v>
      </c>
      <c r="U885" s="7" t="inlineStr">
        <is>
          <t>PYTHON_LIFECYCLE</t>
        </is>
      </c>
      <c r="V885" s="8">
        <f>$O885</f>
        <v/>
      </c>
      <c r="W885" s="8">
        <f>IF($G885="INR",1,INDEX(Market_Daily!$F$6:$F$256,MATCH($K885,Market_Daily!$A$6:$A$256,0)))</f>
        <v/>
      </c>
      <c r="X885" s="8">
        <f>$V885*$W885</f>
        <v/>
      </c>
      <c r="Y885" s="18">
        <f>$X885-$P885</f>
        <v/>
      </c>
      <c r="Z885" s="8">
        <f>IF(ABS($Y885)&lt;=tol_cashflow_inr,"PASS","FAIL")</f>
        <v/>
      </c>
      <c r="AA885" s="7" t="inlineStr">
        <is>
          <t>+advance_frac x q_plan x P_sale</t>
        </is>
      </c>
    </row>
    <row r="886">
      <c r="A886" s="7" t="inlineStr">
        <is>
          <t>T07</t>
        </is>
      </c>
      <c r="B886" s="7" t="inlineStr">
        <is>
          <t>DEMURRAGE:L2</t>
        </is>
      </c>
      <c r="C886" s="7" t="inlineStr">
        <is>
          <t>L2</t>
        </is>
      </c>
      <c r="D886" s="7" t="inlineStr">
        <is>
          <t>DEMURRAGE</t>
        </is>
      </c>
      <c r="E886" s="7" t="inlineStr">
        <is>
          <t>DEMURRAGE</t>
        </is>
      </c>
      <c r="F886" s="7" t="inlineStr">
        <is>
          <t>PNL</t>
        </is>
      </c>
      <c r="G886" s="7" t="inlineStr">
        <is>
          <t>USD</t>
        </is>
      </c>
      <c r="H886" s="11" t="n">
        <v>44706</v>
      </c>
      <c r="J886" s="11" t="n">
        <v>44789</v>
      </c>
      <c r="K886" s="11" t="n">
        <v>44789</v>
      </c>
      <c r="L886" s="7" t="inlineStr">
        <is>
          <t>roll following on the LME panel calendar</t>
        </is>
      </c>
      <c r="M886" s="7" t="inlineStr">
        <is>
          <t>T07-LOG-2</t>
        </is>
      </c>
      <c r="N886" s="7" t="inlineStr">
        <is>
          <t>SIM</t>
        </is>
      </c>
      <c r="O886" s="9" t="n">
        <v>-17325</v>
      </c>
      <c r="P886" s="9" t="n">
        <v>-1374482.34</v>
      </c>
      <c r="U886" s="7" t="inlineStr">
        <is>
          <t>PYTHON_LIFECYCLE</t>
        </is>
      </c>
      <c r="V886" s="8">
        <f>$O886</f>
        <v/>
      </c>
      <c r="W886" s="8">
        <f>IF($G886="INR",1,INDEX(Market_Daily!$F$6:$F$256,MATCH($K886,Market_Daily!$A$6:$A$256,0)))</f>
        <v/>
      </c>
      <c r="X886" s="8">
        <f>$V886*$W886</f>
        <v/>
      </c>
      <c r="Y886" s="18">
        <f>$X886-$P886</f>
        <v/>
      </c>
      <c r="Z886" s="8">
        <f>IF(ABS($Y886)&lt;=tol_cashflow_inr,"PASS","FAIL")</f>
        <v/>
      </c>
      <c r="AA886" s="7" t="inlineStr">
        <is>
          <t>-cleared boxes x slabbed detention+ground rent over max(0, dwell - detention_free_days) (demurrage_slab1/2_days, demurrage_usd_per_box_day[_slab2/3])</t>
        </is>
      </c>
    </row>
    <row r="887">
      <c r="A887" s="7" t="inlineStr">
        <is>
          <t>T07</t>
        </is>
      </c>
      <c r="B887" s="7" t="inlineStr">
        <is>
          <t>PORT:L2</t>
        </is>
      </c>
      <c r="C887" s="7" t="inlineStr">
        <is>
          <t>L2</t>
        </is>
      </c>
      <c r="D887" s="7" t="inlineStr">
        <is>
          <t>PORT_CHARGES</t>
        </is>
      </c>
      <c r="E887" s="7" t="inlineStr">
        <is>
          <t>PORT_CHARGES</t>
        </is>
      </c>
      <c r="F887" s="7" t="inlineStr">
        <is>
          <t>PNL</t>
        </is>
      </c>
      <c r="G887" s="7" t="inlineStr">
        <is>
          <t>INR</t>
        </is>
      </c>
      <c r="H887" s="11" t="n">
        <v>44706</v>
      </c>
      <c r="J887" s="11" t="n">
        <v>44789</v>
      </c>
      <c r="K887" s="11" t="n">
        <v>44789</v>
      </c>
      <c r="L887" s="7" t="inlineStr">
        <is>
          <t>roll following on the LME panel calendar</t>
        </is>
      </c>
      <c r="N887" s="7" t="inlineStr">
        <is>
          <t>ASSUMPTION</t>
        </is>
      </c>
      <c r="O887" s="9" t="n">
        <v>-2504250</v>
      </c>
      <c r="P887" s="9" t="n">
        <v>-2504250</v>
      </c>
      <c r="U887" s="7" t="inlineStr">
        <is>
          <t>PYTHON_LIFECYCLE</t>
        </is>
      </c>
      <c r="V887" s="8">
        <f>$O887</f>
        <v/>
      </c>
      <c r="W887" s="8">
        <f>IF($G887="INR",1,INDEX(Market_Daily!$F$6:$F$256,MATCH($K887,Market_Daily!$A$6:$A$256,0)))</f>
        <v/>
      </c>
      <c r="X887" s="8">
        <f>$V887*$W887</f>
        <v/>
      </c>
      <c r="Y887" s="18">
        <f>$X887-$P887</f>
        <v/>
      </c>
      <c r="Z887" s="8">
        <f>IF(ABS($Y887)&lt;=tol_cashflow_inr,"PASS","FAIL")</f>
        <v/>
      </c>
      <c r="AA887" s="7" t="inlineStr">
        <is>
          <t>-port_cf_charges_inr_t x base_payload x cleared boxes</t>
        </is>
      </c>
    </row>
    <row r="888">
      <c r="A888" s="7" t="inlineStr">
        <is>
          <t>T07</t>
        </is>
      </c>
      <c r="B888" s="7" t="inlineStr">
        <is>
          <t>CLAIM:L1</t>
        </is>
      </c>
      <c r="C888" s="7" t="inlineStr">
        <is>
          <t>L1</t>
        </is>
      </c>
      <c r="D888" s="7" t="inlineStr">
        <is>
          <t>QUALITY_CLAIM</t>
        </is>
      </c>
      <c r="E888" s="7" t="inlineStr">
        <is>
          <t>QUALITY_CLAIM</t>
        </is>
      </c>
      <c r="F888" s="7" t="inlineStr">
        <is>
          <t>PNL</t>
        </is>
      </c>
      <c r="G888" s="7" t="inlineStr">
        <is>
          <t>USD</t>
        </is>
      </c>
      <c r="H888" s="11" t="n">
        <v>44706</v>
      </c>
      <c r="I888" s="11" t="n">
        <v>44761</v>
      </c>
      <c r="J888" s="11" t="n">
        <v>44791</v>
      </c>
      <c r="K888" s="11" t="n">
        <v>44791</v>
      </c>
      <c r="L888" s="7" t="inlineStr">
        <is>
          <t>roll following on the LME panel calendar</t>
        </is>
      </c>
      <c r="M888" s="7" t="inlineStr">
        <is>
          <t>QUALITY:L1</t>
        </is>
      </c>
      <c r="N888" s="7" t="inlineStr">
        <is>
          <t>SIM</t>
        </is>
      </c>
      <c r="O888" s="9" t="n">
        <v>35801.02</v>
      </c>
      <c r="P888" s="9" t="n">
        <v>2850645.71</v>
      </c>
      <c r="U888" s="7" t="inlineStr">
        <is>
          <t>PYTHON_LIFECYCLE</t>
        </is>
      </c>
      <c r="V888" s="8">
        <f>$O888</f>
        <v/>
      </c>
      <c r="W888" s="8">
        <f>IF($G888="INR",1,INDEX(Market_Daily!$F$6:$F$256,MATCH($K888,Market_Daily!$A$6:$A$256,0)))</f>
        <v/>
      </c>
      <c r="X888" s="8">
        <f>$V888*$W888</f>
        <v/>
      </c>
      <c r="Y888" s="18">
        <f>$X888-$P888</f>
        <v/>
      </c>
      <c r="Z888" s="8">
        <f>IF(ABS($Y888)&lt;=tol_cashflow_inr,"PASS","FAIL")</f>
        <v/>
      </c>
      <c r="AA888" s="7" t="inlineStr">
        <is>
          <t>+recovery x (price x (q_rej + q_clr x ratio x m_ex + q_acc x disc) + rejected-box costs)</t>
        </is>
      </c>
    </row>
    <row r="889">
      <c r="A889" s="7" t="inlineStr">
        <is>
          <t>T07</t>
        </is>
      </c>
      <c r="B889" s="7" t="inlineStr">
        <is>
          <t>IGST:L1</t>
        </is>
      </c>
      <c r="C889" s="7" t="inlineStr">
        <is>
          <t>L1</t>
        </is>
      </c>
      <c r="D889" s="7" t="inlineStr">
        <is>
          <t>IGST_CREDIT</t>
        </is>
      </c>
      <c r="E889" s="7" t="inlineStr">
        <is>
          <t>IGST_CREDIT</t>
        </is>
      </c>
      <c r="F889" s="7" t="inlineStr">
        <is>
          <t>BS</t>
        </is>
      </c>
      <c r="G889" s="7" t="inlineStr">
        <is>
          <t>INR</t>
        </is>
      </c>
      <c r="H889" s="11" t="n">
        <v>44706</v>
      </c>
      <c r="I889" s="11" t="n">
        <v>44761</v>
      </c>
      <c r="J889" s="11" t="n">
        <v>44806</v>
      </c>
      <c r="K889" s="11" t="n">
        <v>44806</v>
      </c>
      <c r="L889" s="7" t="inlineStr">
        <is>
          <t>roll following on the LME panel calendar</t>
        </is>
      </c>
      <c r="N889" s="7" t="inlineStr">
        <is>
          <t>DIRECT</t>
        </is>
      </c>
      <c r="O889" s="9" t="n">
        <v>30427362.28</v>
      </c>
      <c r="P889" s="9" t="n">
        <v>30427362.28</v>
      </c>
      <c r="U889" s="7" t="inlineStr">
        <is>
          <t>PYTHON_LIFECYCLE</t>
        </is>
      </c>
      <c r="V889" s="8">
        <f>$O889</f>
        <v/>
      </c>
      <c r="W889" s="8">
        <f>IF($G889="INR",1,INDEX(Market_Daily!$F$6:$F$256,MATCH($K889,Market_Daily!$A$6:$A$256,0)))</f>
        <v/>
      </c>
      <c r="X889" s="8">
        <f>$V889*$W889</f>
        <v/>
      </c>
      <c r="Y889" s="18">
        <f>$X889-$P889</f>
        <v/>
      </c>
      <c r="Z889" s="8">
        <f>IF(ABS($Y889)&lt;=tol_cashflow_inr,"PASS","FAIL")</f>
        <v/>
      </c>
      <c r="AA889" s="7" t="inlineStr">
        <is>
          <t>+(assessable + duty) x igst_rate at igst_credit_lag_days</t>
        </is>
      </c>
    </row>
    <row r="890">
      <c r="A890" s="7" t="inlineStr">
        <is>
          <t>T07</t>
        </is>
      </c>
      <c r="B890" s="7" t="inlineStr">
        <is>
          <t>IGST:L2</t>
        </is>
      </c>
      <c r="C890" s="7" t="inlineStr">
        <is>
          <t>L2</t>
        </is>
      </c>
      <c r="D890" s="7" t="inlineStr">
        <is>
          <t>IGST_CREDIT</t>
        </is>
      </c>
      <c r="E890" s="7" t="inlineStr">
        <is>
          <t>IGST_CREDIT</t>
        </is>
      </c>
      <c r="F890" s="7" t="inlineStr">
        <is>
          <t>BS</t>
        </is>
      </c>
      <c r="G890" s="7" t="inlineStr">
        <is>
          <t>INR</t>
        </is>
      </c>
      <c r="H890" s="11" t="n">
        <v>44706</v>
      </c>
      <c r="I890" s="11" t="n">
        <v>44768</v>
      </c>
      <c r="J890" s="11" t="n">
        <v>44813</v>
      </c>
      <c r="K890" s="11" t="n">
        <v>44813</v>
      </c>
      <c r="L890" s="7" t="inlineStr">
        <is>
          <t>roll following on the LME panel calendar</t>
        </is>
      </c>
      <c r="N890" s="7" t="inlineStr">
        <is>
          <t>DIRECT</t>
        </is>
      </c>
      <c r="O890" s="9" t="n">
        <v>30827221.23</v>
      </c>
      <c r="P890" s="9" t="n">
        <v>30827221.23</v>
      </c>
      <c r="U890" s="7" t="inlineStr">
        <is>
          <t>PYTHON_LIFECYCLE</t>
        </is>
      </c>
      <c r="V890" s="8">
        <f>$O890</f>
        <v/>
      </c>
      <c r="W890" s="8">
        <f>IF($G890="INR",1,INDEX(Market_Daily!$F$6:$F$256,MATCH($K890,Market_Daily!$A$6:$A$256,0)))</f>
        <v/>
      </c>
      <c r="X890" s="8">
        <f>$V890*$W890</f>
        <v/>
      </c>
      <c r="Y890" s="18">
        <f>$X890-$P890</f>
        <v/>
      </c>
      <c r="Z890" s="8">
        <f>IF(ABS($Y890)&lt;=tol_cashflow_inr,"PASS","FAIL")</f>
        <v/>
      </c>
      <c r="AA890" s="7" t="inlineStr">
        <is>
          <t>+(assessable + duty) x igst_rate at igst_credit_lag_days</t>
        </is>
      </c>
    </row>
    <row r="891">
      <c r="A891" s="7" t="inlineStr">
        <is>
          <t>T07</t>
        </is>
      </c>
      <c r="B891" s="7" t="inlineStr">
        <is>
          <t>SALE:S1</t>
        </is>
      </c>
      <c r="C891" s="7" t="inlineStr">
        <is>
          <t>S1</t>
        </is>
      </c>
      <c r="D891" s="7" t="inlineStr">
        <is>
          <t>SALE_BALANCE</t>
        </is>
      </c>
      <c r="E891" s="7" t="inlineStr">
        <is>
          <t>SALE_BALANCE</t>
        </is>
      </c>
      <c r="F891" s="7" t="inlineStr">
        <is>
          <t>PNL</t>
        </is>
      </c>
      <c r="G891" s="7" t="inlineStr">
        <is>
          <t>INR</t>
        </is>
      </c>
      <c r="H891" s="11" t="n">
        <v>44768</v>
      </c>
      <c r="I891" s="11" t="n">
        <v>44768</v>
      </c>
      <c r="J891" s="11" t="n">
        <v>44819</v>
      </c>
      <c r="K891" s="11" t="n">
        <v>44845</v>
      </c>
      <c r="L891" s="7" t="inlineStr">
        <is>
          <t>roll following on the LME panel calendar</t>
        </is>
      </c>
      <c r="M891" s="7" t="inlineStr">
        <is>
          <t>T07-PAY-1</t>
        </is>
      </c>
      <c r="N891" s="7" t="inlineStr">
        <is>
          <t>SIM</t>
        </is>
      </c>
      <c r="O891" s="9" t="n">
        <v>89239103.02</v>
      </c>
      <c r="P891" s="9" t="n">
        <v>89239103.02</v>
      </c>
      <c r="U891" s="7" t="inlineStr">
        <is>
          <t>PYTHON_LIFECYCLE</t>
        </is>
      </c>
      <c r="V891" s="8">
        <f>$O891</f>
        <v/>
      </c>
      <c r="W891" s="8">
        <f>IF($G891="INR",1,INDEX(Market_Daily!$F$6:$F$256,MATCH($K891,Market_Daily!$A$6:$A$256,0)))</f>
        <v/>
      </c>
      <c r="X891" s="8">
        <f>$V891*$W891</f>
        <v/>
      </c>
      <c r="Y891" s="18">
        <f>$X891-$P891</f>
        <v/>
      </c>
      <c r="Z891" s="8">
        <f>IF(ABS($Y891)&lt;=tol_cashflow_inr,"PASS","FAIL")</f>
        <v/>
      </c>
      <c r="AA891" s="7" t="inlineStr">
        <is>
          <t>+q_acc x P_sale x (1 - disc passthrough) - advance</t>
        </is>
      </c>
    </row>
    <row r="892">
      <c r="A892" s="7" t="inlineStr">
        <is>
          <t>T08</t>
        </is>
      </c>
      <c r="B892" s="7" t="inlineStr">
        <is>
          <t>LC_FEES</t>
        </is>
      </c>
      <c r="D892" s="7" t="inlineStr">
        <is>
          <t>LC_OPENING_FEE</t>
        </is>
      </c>
      <c r="E892" s="7" t="inlineStr">
        <is>
          <t>LC_OPENING_FEE</t>
        </is>
      </c>
      <c r="F892" s="7" t="inlineStr">
        <is>
          <t>PNL</t>
        </is>
      </c>
      <c r="G892" s="7" t="inlineStr">
        <is>
          <t>USD</t>
        </is>
      </c>
      <c r="H892" s="11" t="n">
        <v>44720</v>
      </c>
      <c r="I892" s="11" t="n">
        <v>44722</v>
      </c>
      <c r="J892" s="11" t="n">
        <v>44722</v>
      </c>
      <c r="K892" s="11" t="n">
        <v>44722</v>
      </c>
      <c r="L892" s="7" t="inlineStr">
        <is>
          <t>roll following on the LME panel calendar</t>
        </is>
      </c>
      <c r="N892" s="7" t="inlineStr">
        <is>
          <t>DIRECT</t>
        </is>
      </c>
      <c r="O892" s="9" t="n">
        <v>-6235.95</v>
      </c>
      <c r="P892" s="9" t="n">
        <v>-485384.55</v>
      </c>
      <c r="U892" s="7" t="inlineStr">
        <is>
          <t>PYTHON_LIFECYCLE</t>
        </is>
      </c>
      <c r="V892" s="8">
        <f>$O892</f>
        <v/>
      </c>
      <c r="W892" s="8">
        <f>IF($G892="INR",1,INDEX(Market_Daily!$F$6:$F$256,MATCH($K892,Market_Daily!$A$6:$A$256,0)))</f>
        <v/>
      </c>
      <c r="X892" s="8">
        <f>$V892*$W892</f>
        <v/>
      </c>
      <c r="Y892" s="18">
        <f>$X892-$P892</f>
        <v/>
      </c>
      <c r="Z892" s="8">
        <f>IF(ABS($Y892)&lt;=tol_cashflow_inr,"PASS","FAIL")</f>
        <v/>
      </c>
      <c r="AA892" s="7" t="inlineStr">
        <is>
          <t>-lc_opening_fee_frac_per_month x ceil(validity/30) x lc_value_usd</t>
        </is>
      </c>
    </row>
    <row r="893">
      <c r="A893" s="7" t="inlineStr">
        <is>
          <t>T08</t>
        </is>
      </c>
      <c r="B893" s="7" t="inlineStr">
        <is>
          <t>INSURANCE:L1</t>
        </is>
      </c>
      <c r="C893" s="7" t="inlineStr">
        <is>
          <t>L1</t>
        </is>
      </c>
      <c r="D893" s="7" t="inlineStr">
        <is>
          <t>INSURANCE</t>
        </is>
      </c>
      <c r="E893" s="7" t="inlineStr">
        <is>
          <t>INSURANCE</t>
        </is>
      </c>
      <c r="F893" s="7" t="inlineStr">
        <is>
          <t>PNL</t>
        </is>
      </c>
      <c r="G893" s="7" t="inlineStr">
        <is>
          <t>USD</t>
        </is>
      </c>
      <c r="H893" s="11" t="n">
        <v>44720</v>
      </c>
      <c r="I893" s="11" t="n">
        <v>44734</v>
      </c>
      <c r="J893" s="11" t="n">
        <v>44734</v>
      </c>
      <c r="K893" s="11" t="n">
        <v>44734</v>
      </c>
      <c r="L893" s="7" t="inlineStr">
        <is>
          <t>roll following on the LME panel calendar</t>
        </is>
      </c>
      <c r="N893" s="7" t="inlineStr">
        <is>
          <t>ASSUMPTION</t>
        </is>
      </c>
      <c r="O893" s="9" t="n">
        <v>-1774.27</v>
      </c>
      <c r="P893" s="9" t="n">
        <v>-138972.38</v>
      </c>
      <c r="U893" s="7" t="inlineStr">
        <is>
          <t>PYTHON_LIFECYCLE</t>
        </is>
      </c>
      <c r="V893" s="8">
        <f>$O893</f>
        <v/>
      </c>
      <c r="W893" s="8">
        <f>IF($G893="INR",1,INDEX(Market_Daily!$F$6:$F$256,MATCH($K893,Market_Daily!$A$6:$A$256,0)))</f>
        <v/>
      </c>
      <c r="X893" s="8">
        <f>$V893*$W893</f>
        <v/>
      </c>
      <c r="Y893" s="18">
        <f>$X893-$P893</f>
        <v/>
      </c>
      <c r="Z893" s="8">
        <f>IF(ABS($Y893)&lt;=tol_cashflow_inr,"PASS","FAIL")</f>
        <v/>
      </c>
      <c r="AA893" s="7" t="inlineStr">
        <is>
          <t>-insurance_rate x insured_value_uplift x cfr_value_usd</t>
        </is>
      </c>
    </row>
    <row r="894">
      <c r="A894" s="7" t="inlineStr">
        <is>
          <t>T08</t>
        </is>
      </c>
      <c r="B894" s="7" t="inlineStr">
        <is>
          <t>BILL_COMMISSION:L1</t>
        </is>
      </c>
      <c r="C894" s="7" t="inlineStr">
        <is>
          <t>L1</t>
        </is>
      </c>
      <c r="D894" s="7" t="inlineStr">
        <is>
          <t>IMPORT_BILL_COMMISSION</t>
        </is>
      </c>
      <c r="E894" s="7" t="inlineStr">
        <is>
          <t>IMPORT_BILL_COMMISSION</t>
        </is>
      </c>
      <c r="F894" s="7" t="inlineStr">
        <is>
          <t>PNL</t>
        </is>
      </c>
      <c r="G894" s="7" t="inlineStr">
        <is>
          <t>USD</t>
        </is>
      </c>
      <c r="H894" s="11" t="n">
        <v>44720</v>
      </c>
      <c r="I894" s="11" t="n">
        <v>44741</v>
      </c>
      <c r="J894" s="11" t="n">
        <v>44741</v>
      </c>
      <c r="K894" s="11" t="n">
        <v>44741</v>
      </c>
      <c r="L894" s="7" t="inlineStr">
        <is>
          <t>roll following on the LME panel calendar</t>
        </is>
      </c>
      <c r="N894" s="7" t="inlineStr">
        <is>
          <t>DIRECT</t>
        </is>
      </c>
      <c r="O894" s="9" t="n">
        <v>-1838.78</v>
      </c>
      <c r="P894" s="9" t="n">
        <v>-145181.23</v>
      </c>
      <c r="U894" s="7" t="inlineStr">
        <is>
          <t>PYTHON_LIFECYCLE</t>
        </is>
      </c>
      <c r="V894" s="8">
        <f>$O894</f>
        <v/>
      </c>
      <c r="W894" s="8">
        <f>IF($G894="INR",1,INDEX(Market_Daily!$F$6:$F$256,MATCH($K894,Market_Daily!$A$6:$A$256,0)))</f>
        <v/>
      </c>
      <c r="X894" s="8">
        <f>$V894*$W894</f>
        <v/>
      </c>
      <c r="Y894" s="18">
        <f>$X894-$P894</f>
        <v/>
      </c>
      <c r="Z894" s="8">
        <f>IF(ABS($Y894)&lt;=tol_cashflow_inr,"PASS","FAIL")</f>
        <v/>
      </c>
      <c r="AA894" s="7" t="inlineStr">
        <is>
          <t>-import_bill_commission_frac x bill_usd</t>
        </is>
      </c>
    </row>
    <row r="895">
      <c r="A895" s="7" t="inlineStr">
        <is>
          <t>T08</t>
        </is>
      </c>
      <c r="B895" s="7" t="inlineStr">
        <is>
          <t>FX:T08-FX-1</t>
        </is>
      </c>
      <c r="C895" s="7" t="inlineStr">
        <is>
          <t>T08-FX-1</t>
        </is>
      </c>
      <c r="D895" s="7" t="inlineStr">
        <is>
          <t>FX_FORWARD</t>
        </is>
      </c>
      <c r="E895" s="7" t="inlineStr">
        <is>
          <t>FX_FORWARD</t>
        </is>
      </c>
      <c r="F895" s="7" t="inlineStr">
        <is>
          <t>PNL</t>
        </is>
      </c>
      <c r="G895" s="7" t="inlineStr">
        <is>
          <t>INR</t>
        </is>
      </c>
      <c r="H895" s="11" t="n">
        <v>44734</v>
      </c>
      <c r="I895" s="11" t="n">
        <v>44741</v>
      </c>
      <c r="J895" s="11" t="n">
        <v>44741</v>
      </c>
      <c r="K895" s="11" t="n">
        <v>44741</v>
      </c>
      <c r="L895" s="7" t="inlineStr">
        <is>
          <t>roll following on the LME panel calendar</t>
        </is>
      </c>
      <c r="N895" s="7" t="inlineStr">
        <is>
          <t>PROXY</t>
        </is>
      </c>
      <c r="O895" s="9" t="n">
        <v>728036.72</v>
      </c>
      <c r="P895" s="9" t="n">
        <v>728036.72</v>
      </c>
      <c r="Q895" s="6" t="n">
        <v>1</v>
      </c>
      <c r="R895" s="13" t="n">
        <v>1532300</v>
      </c>
      <c r="S895" s="12" t="n">
        <v>44741</v>
      </c>
      <c r="T895" s="21" t="n">
        <v>78.479873</v>
      </c>
      <c r="U895" s="7" t="inlineStr">
        <is>
          <t>DERIVED_IN_WORKBOOK</t>
        </is>
      </c>
      <c r="V895" s="8">
        <f>$Q895*$R895*(IF($S895&lt;$K895,INDEX(Market_Daily!$F$6:$F$256,MATCH($S895,Market_Daily!$A$6:$A$256,1)),IF($S895=$K895,INDEX(Market_Daily!$F$6:$F$256,MATCH($K895,Market_Daily!$A$6:$A$256,0)),(INDEX(Market_Daily!$F$6:$F$256,MATCH($K895,Market_Daily!$A$6:$A$256,0))*(1+INDEX(Market_Daily!$I$6:$I$256,MATCH($K895,Market_Daily!$A$6:$A$256,0))*($S895-$K895)/day_count_inr)/(1+INDEX(Market_Daily!$J$6:$J$256,MATCH($K895,Market_Daily!$A$6:$A$256,0))*($S895-$K895)/day_count_usd))))-$T895)</f>
        <v/>
      </c>
      <c r="W895" s="8">
        <f>IF($G895="INR",1,INDEX(Market_Daily!$F$6:$F$256,MATCH($K895,Market_Daily!$A$6:$A$256,0)))</f>
        <v/>
      </c>
      <c r="X895" s="8">
        <f>$V895*$W895</f>
        <v/>
      </c>
      <c r="Y895" s="18">
        <f>$X895-$P895</f>
        <v/>
      </c>
      <c r="Z895" s="8">
        <f>IF(ABS($Y895)&lt;=tol_cashflow_inr,"PASS","FAIL")</f>
        <v/>
      </c>
      <c r="AA895" s="7" t="inlineStr">
        <is>
          <t>sign x notional x (X(tau, value_date) - K)</t>
        </is>
      </c>
    </row>
    <row r="896">
      <c r="A896" s="7" t="inlineStr">
        <is>
          <t>T08</t>
        </is>
      </c>
      <c r="B896" s="7" t="inlineStr">
        <is>
          <t>INSURANCE:L2</t>
        </is>
      </c>
      <c r="C896" s="7" t="inlineStr">
        <is>
          <t>L2</t>
        </is>
      </c>
      <c r="D896" s="7" t="inlineStr">
        <is>
          <t>INSURANCE</t>
        </is>
      </c>
      <c r="E896" s="7" t="inlineStr">
        <is>
          <t>INSURANCE</t>
        </is>
      </c>
      <c r="F896" s="7" t="inlineStr">
        <is>
          <t>PNL</t>
        </is>
      </c>
      <c r="G896" s="7" t="inlineStr">
        <is>
          <t>USD</t>
        </is>
      </c>
      <c r="H896" s="11" t="n">
        <v>44720</v>
      </c>
      <c r="I896" s="11" t="n">
        <v>44741</v>
      </c>
      <c r="J896" s="11" t="n">
        <v>44741</v>
      </c>
      <c r="K896" s="11" t="n">
        <v>44741</v>
      </c>
      <c r="L896" s="7" t="inlineStr">
        <is>
          <t>roll following on the LME panel calendar</t>
        </is>
      </c>
      <c r="N896" s="7" t="inlineStr">
        <is>
          <t>ASSUMPTION</t>
        </is>
      </c>
      <c r="O896" s="9" t="n">
        <v>-1771.74</v>
      </c>
      <c r="P896" s="9" t="n">
        <v>-139887.47</v>
      </c>
      <c r="U896" s="7" t="inlineStr">
        <is>
          <t>PYTHON_LIFECYCLE</t>
        </is>
      </c>
      <c r="V896" s="8">
        <f>$O896</f>
        <v/>
      </c>
      <c r="W896" s="8">
        <f>IF($G896="INR",1,INDEX(Market_Daily!$F$6:$F$256,MATCH($K896,Market_Daily!$A$6:$A$256,0)))</f>
        <v/>
      </c>
      <c r="X896" s="8">
        <f>$V896*$W896</f>
        <v/>
      </c>
      <c r="Y896" s="18">
        <f>$X896-$P896</f>
        <v/>
      </c>
      <c r="Z896" s="8">
        <f>IF(ABS($Y896)&lt;=tol_cashflow_inr,"PASS","FAIL")</f>
        <v/>
      </c>
      <c r="AA896" s="7" t="inlineStr">
        <is>
          <t>-insurance_rate x insured_value_uplift x cfr_value_usd</t>
        </is>
      </c>
    </row>
    <row r="897">
      <c r="A897" s="7" t="inlineStr">
        <is>
          <t>T08</t>
        </is>
      </c>
      <c r="B897" s="7" t="inlineStr">
        <is>
          <t>PURCHASE:L1</t>
        </is>
      </c>
      <c r="C897" s="7" t="inlineStr">
        <is>
          <t>L1</t>
        </is>
      </c>
      <c r="D897" s="7" t="inlineStr">
        <is>
          <t>PURCHASE_PROVISIONAL</t>
        </is>
      </c>
      <c r="E897" s="7" t="inlineStr">
        <is>
          <t>PURCHASE_PROVISIONAL</t>
        </is>
      </c>
      <c r="F897" s="7" t="inlineStr">
        <is>
          <t>PNL</t>
        </is>
      </c>
      <c r="G897" s="7" t="inlineStr">
        <is>
          <t>USD</t>
        </is>
      </c>
      <c r="H897" s="11" t="n">
        <v>44720</v>
      </c>
      <c r="I897" s="11" t="n">
        <v>44734</v>
      </c>
      <c r="J897" s="11" t="n">
        <v>44741</v>
      </c>
      <c r="K897" s="11" t="n">
        <v>44741</v>
      </c>
      <c r="L897" s="7" t="inlineStr">
        <is>
          <t>roll following on the LME panel calendar</t>
        </is>
      </c>
      <c r="N897" s="7" t="inlineStr">
        <is>
          <t>DIRECT</t>
        </is>
      </c>
      <c r="O897" s="9" t="n">
        <v>-1532320.4</v>
      </c>
      <c r="P897" s="9" t="n">
        <v>-120984357.02</v>
      </c>
      <c r="U897" s="7" t="inlineStr">
        <is>
          <t>PYTHON_LIFECYCLE</t>
        </is>
      </c>
      <c r="V897" s="8">
        <f>$O897</f>
        <v/>
      </c>
      <c r="W897" s="8">
        <f>IF($G897="INR",1,INDEX(Market_Daily!$F$6:$F$256,MATCH($K897,Market_Daily!$A$6:$A$256,0)))</f>
        <v/>
      </c>
      <c r="X897" s="8">
        <f>$V897*$W897</f>
        <v/>
      </c>
      <c r="Y897" s="18">
        <f>$X897-$P897</f>
        <v/>
      </c>
      <c r="Z897" s="8">
        <f>IF(ABS($Y897)&lt;=tol_cashflow_inr,"PASS","FAIL")</f>
        <v/>
      </c>
      <c r="AA897" s="7" t="inlineStr">
        <is>
          <t>-provisional_frac x q_bl x (factor x cash(bl) + premium)</t>
        </is>
      </c>
    </row>
    <row r="898">
      <c r="A898" s="7" t="inlineStr">
        <is>
          <t>T08</t>
        </is>
      </c>
      <c r="B898" s="7" t="inlineStr">
        <is>
          <t>BILL_COMMISSION:L2</t>
        </is>
      </c>
      <c r="C898" s="7" t="inlineStr">
        <is>
          <t>L2</t>
        </is>
      </c>
      <c r="D898" s="7" t="inlineStr">
        <is>
          <t>IMPORT_BILL_COMMISSION</t>
        </is>
      </c>
      <c r="E898" s="7" t="inlineStr">
        <is>
          <t>IMPORT_BILL_COMMISSION</t>
        </is>
      </c>
      <c r="F898" s="7" t="inlineStr">
        <is>
          <t>PNL</t>
        </is>
      </c>
      <c r="G898" s="7" t="inlineStr">
        <is>
          <t>USD</t>
        </is>
      </c>
      <c r="H898" s="11" t="n">
        <v>44720</v>
      </c>
      <c r="I898" s="11" t="n">
        <v>44748</v>
      </c>
      <c r="J898" s="11" t="n">
        <v>44748</v>
      </c>
      <c r="K898" s="11" t="n">
        <v>44748</v>
      </c>
      <c r="L898" s="7" t="inlineStr">
        <is>
          <t>roll following on the LME panel calendar</t>
        </is>
      </c>
      <c r="N898" s="7" t="inlineStr">
        <is>
          <t>DIRECT</t>
        </is>
      </c>
      <c r="O898" s="9" t="n">
        <v>-1836.16</v>
      </c>
      <c r="P898" s="9" t="n">
        <v>-145298.37</v>
      </c>
      <c r="U898" s="7" t="inlineStr">
        <is>
          <t>PYTHON_LIFECYCLE</t>
        </is>
      </c>
      <c r="V898" s="8">
        <f>$O898</f>
        <v/>
      </c>
      <c r="W898" s="8">
        <f>IF($G898="INR",1,INDEX(Market_Daily!$F$6:$F$256,MATCH($K898,Market_Daily!$A$6:$A$256,0)))</f>
        <v/>
      </c>
      <c r="X898" s="8">
        <f>$V898*$W898</f>
        <v/>
      </c>
      <c r="Y898" s="18">
        <f>$X898-$P898</f>
        <v/>
      </c>
      <c r="Z898" s="8">
        <f>IF(ABS($Y898)&lt;=tol_cashflow_inr,"PASS","FAIL")</f>
        <v/>
      </c>
      <c r="AA898" s="7" t="inlineStr">
        <is>
          <t>-import_bill_commission_frac x bill_usd</t>
        </is>
      </c>
    </row>
    <row r="899">
      <c r="A899" s="7" t="inlineStr">
        <is>
          <t>T08</t>
        </is>
      </c>
      <c r="B899" s="7" t="inlineStr">
        <is>
          <t>FX:T08-FX-2</t>
        </is>
      </c>
      <c r="C899" s="7" t="inlineStr">
        <is>
          <t>T08-FX-2</t>
        </is>
      </c>
      <c r="D899" s="7" t="inlineStr">
        <is>
          <t>FX_FORWARD</t>
        </is>
      </c>
      <c r="E899" s="7" t="inlineStr">
        <is>
          <t>FX_FORWARD</t>
        </is>
      </c>
      <c r="F899" s="7" t="inlineStr">
        <is>
          <t>PNL</t>
        </is>
      </c>
      <c r="G899" s="7" t="inlineStr">
        <is>
          <t>INR</t>
        </is>
      </c>
      <c r="H899" s="11" t="n">
        <v>44741</v>
      </c>
      <c r="I899" s="11" t="n">
        <v>44748</v>
      </c>
      <c r="J899" s="11" t="n">
        <v>44748</v>
      </c>
      <c r="K899" s="11" t="n">
        <v>44748</v>
      </c>
      <c r="L899" s="7" t="inlineStr">
        <is>
          <t>roll following on the LME panel calendar</t>
        </is>
      </c>
      <c r="N899" s="7" t="inlineStr">
        <is>
          <t>PROXY</t>
        </is>
      </c>
      <c r="O899" s="9" t="n">
        <v>38747.71</v>
      </c>
      <c r="P899" s="9" t="n">
        <v>38747.71</v>
      </c>
      <c r="Q899" s="6" t="n">
        <v>1</v>
      </c>
      <c r="R899" s="13" t="n">
        <v>1530100</v>
      </c>
      <c r="S899" s="12" t="n">
        <v>44748</v>
      </c>
      <c r="T899" s="21" t="n">
        <v>79.106176</v>
      </c>
      <c r="U899" s="7" t="inlineStr">
        <is>
          <t>DERIVED_IN_WORKBOOK</t>
        </is>
      </c>
      <c r="V899" s="8">
        <f>$Q899*$R899*(IF($S899&lt;$K899,INDEX(Market_Daily!$F$6:$F$256,MATCH($S899,Market_Daily!$A$6:$A$256,1)),IF($S899=$K899,INDEX(Market_Daily!$F$6:$F$256,MATCH($K899,Market_Daily!$A$6:$A$256,0)),(INDEX(Market_Daily!$F$6:$F$256,MATCH($K899,Market_Daily!$A$6:$A$256,0))*(1+INDEX(Market_Daily!$I$6:$I$256,MATCH($K899,Market_Daily!$A$6:$A$256,0))*($S899-$K899)/day_count_inr)/(1+INDEX(Market_Daily!$J$6:$J$256,MATCH($K899,Market_Daily!$A$6:$A$256,0))*($S899-$K899)/day_count_usd))))-$T899)</f>
        <v/>
      </c>
      <c r="W899" s="8">
        <f>IF($G899="INR",1,INDEX(Market_Daily!$F$6:$F$256,MATCH($K899,Market_Daily!$A$6:$A$256,0)))</f>
        <v/>
      </c>
      <c r="X899" s="8">
        <f>$V899*$W899</f>
        <v/>
      </c>
      <c r="Y899" s="18">
        <f>$X899-$P899</f>
        <v/>
      </c>
      <c r="Z899" s="8">
        <f>IF(ABS($Y899)&lt;=tol_cashflow_inr,"PASS","FAIL")</f>
        <v/>
      </c>
      <c r="AA899" s="7" t="inlineStr">
        <is>
          <t>sign x notional x (X(tau, value_date) - K)</t>
        </is>
      </c>
    </row>
    <row r="900">
      <c r="A900" s="7" t="inlineStr">
        <is>
          <t>T08</t>
        </is>
      </c>
      <c r="B900" s="7" t="inlineStr">
        <is>
          <t>PURCHASE:L2</t>
        </is>
      </c>
      <c r="C900" s="7" t="inlineStr">
        <is>
          <t>L2</t>
        </is>
      </c>
      <c r="D900" s="7" t="inlineStr">
        <is>
          <t>PURCHASE_PROVISIONAL</t>
        </is>
      </c>
      <c r="E900" s="7" t="inlineStr">
        <is>
          <t>PURCHASE_PROVISIONAL</t>
        </is>
      </c>
      <c r="F900" s="7" t="inlineStr">
        <is>
          <t>PNL</t>
        </is>
      </c>
      <c r="G900" s="7" t="inlineStr">
        <is>
          <t>USD</t>
        </is>
      </c>
      <c r="H900" s="11" t="n">
        <v>44720</v>
      </c>
      <c r="I900" s="11" t="n">
        <v>44741</v>
      </c>
      <c r="J900" s="11" t="n">
        <v>44748</v>
      </c>
      <c r="K900" s="11" t="n">
        <v>44748</v>
      </c>
      <c r="L900" s="7" t="inlineStr">
        <is>
          <t>roll following on the LME panel calendar</t>
        </is>
      </c>
      <c r="N900" s="7" t="inlineStr">
        <is>
          <t>DIRECT</t>
        </is>
      </c>
      <c r="O900" s="9" t="n">
        <v>-1530136.27</v>
      </c>
      <c r="P900" s="9" t="n">
        <v>-121081978.41</v>
      </c>
      <c r="U900" s="7" t="inlineStr">
        <is>
          <t>PYTHON_LIFECYCLE</t>
        </is>
      </c>
      <c r="V900" s="8">
        <f>$O900</f>
        <v/>
      </c>
      <c r="W900" s="8">
        <f>IF($G900="INR",1,INDEX(Market_Daily!$F$6:$F$256,MATCH($K900,Market_Daily!$A$6:$A$256,0)))</f>
        <v/>
      </c>
      <c r="X900" s="8">
        <f>$V900*$W900</f>
        <v/>
      </c>
      <c r="Y900" s="18">
        <f>$X900-$P900</f>
        <v/>
      </c>
      <c r="Z900" s="8">
        <f>IF(ABS($Y900)&lt;=tol_cashflow_inr,"PASS","FAIL")</f>
        <v/>
      </c>
      <c r="AA900" s="7" t="inlineStr">
        <is>
          <t>-provisional_frac x q_bl x (factor x cash(bl) + premium)</t>
        </is>
      </c>
    </row>
    <row r="901">
      <c r="A901" s="7" t="inlineStr">
        <is>
          <t>T08</t>
        </is>
      </c>
      <c r="B901" s="7" t="inlineStr">
        <is>
          <t>MCX:T08-MCX-1</t>
        </is>
      </c>
      <c r="C901" s="7" t="inlineStr">
        <is>
          <t>T08-MCX-1</t>
        </is>
      </c>
      <c r="D901" s="7" t="inlineStr">
        <is>
          <t>MCX_INITIAL_MARGIN</t>
        </is>
      </c>
      <c r="E901" s="7" t="inlineStr">
        <is>
          <t>MCX_INITIAL_MARGIN</t>
        </is>
      </c>
      <c r="F901" s="7" t="inlineStr">
        <is>
          <t>BS</t>
        </is>
      </c>
      <c r="G901" s="7" t="inlineStr">
        <is>
          <t>INR</t>
        </is>
      </c>
      <c r="H901" s="11" t="n">
        <v>44757</v>
      </c>
      <c r="I901" s="11" t="n">
        <v>44757</v>
      </c>
      <c r="J901" s="11" t="n">
        <v>44757</v>
      </c>
      <c r="K901" s="11" t="n">
        <v>44757</v>
      </c>
      <c r="L901" s="7" t="inlineStr">
        <is>
          <t>roll following on the LME panel calendar</t>
        </is>
      </c>
      <c r="N901" s="7" t="inlineStr">
        <is>
          <t>PROXY</t>
        </is>
      </c>
      <c r="O901" s="9" t="n">
        <v>-23222822.77</v>
      </c>
      <c r="P901" s="9" t="n">
        <v>-23222822.77</v>
      </c>
      <c r="U901" s="7" t="inlineStr">
        <is>
          <t>DERIVED_IN_WORKBOOK</t>
        </is>
      </c>
      <c r="V901" s="8">
        <f>-SUMIFS(Cashflows!$W$1043:$W$1393,Cashflows!$B$1043:$B$1393,$C901,Cashflows!$C$1043:$C$1393,$K901)</f>
        <v/>
      </c>
      <c r="W901" s="8">
        <f>IF($G901="INR",1,INDEX(Market_Daily!$F$6:$F$256,MATCH($K901,Market_Daily!$A$6:$A$256,0)))</f>
        <v/>
      </c>
      <c r="X901" s="8">
        <f>$V901*$W901</f>
        <v/>
      </c>
      <c r="Y901" s="18">
        <f>$X901-$P901</f>
        <v/>
      </c>
      <c r="Z901" s="8">
        <f>IF(ABS($Y901)&lt;=tol_cashflow_inr,"PASS","FAIL")</f>
        <v/>
      </c>
      <c r="AA901" s="7" t="inlineStr">
        <is>
          <t>-d(lots x lot_kg x F(s) x mcx_al_margin_used_frac)</t>
        </is>
      </c>
    </row>
    <row r="902">
      <c r="A902" s="7" t="inlineStr">
        <is>
          <t>T08</t>
        </is>
      </c>
      <c r="B902" s="7" t="inlineStr">
        <is>
          <t>MCX:T08-MCX-1</t>
        </is>
      </c>
      <c r="C902" s="7" t="inlineStr">
        <is>
          <t>T08-MCX-1</t>
        </is>
      </c>
      <c r="D902" s="7" t="inlineStr">
        <is>
          <t>MCX_SLIPPAGE</t>
        </is>
      </c>
      <c r="E902" s="7" t="inlineStr">
        <is>
          <t>MCX_SLIPPAGE</t>
        </is>
      </c>
      <c r="F902" s="7" t="inlineStr">
        <is>
          <t>PNL</t>
        </is>
      </c>
      <c r="G902" s="7" t="inlineStr">
        <is>
          <t>INR</t>
        </is>
      </c>
      <c r="H902" s="11" t="n">
        <v>44757</v>
      </c>
      <c r="J902" s="11" t="n">
        <v>44757</v>
      </c>
      <c r="K902" s="11" t="n">
        <v>44757</v>
      </c>
      <c r="L902" s="7" t="inlineStr">
        <is>
          <t>roll following on the LME panel calendar</t>
        </is>
      </c>
      <c r="N902" s="7" t="inlineStr">
        <is>
          <t>ASSUMPTION</t>
        </is>
      </c>
      <c r="O902" s="9" t="n">
        <v>-115000</v>
      </c>
      <c r="P902" s="9" t="n">
        <v>-115000</v>
      </c>
      <c r="U902" s="7" t="inlineStr">
        <is>
          <t>DERIVED_IN_WORKBOOK</t>
        </is>
      </c>
      <c r="V902" s="8">
        <f>SUMIFS(Cashflows!$Z$1043:$Z$1393,Cashflows!$B$1043:$B$1393,$C902,Cashflows!$C$1043:$C$1393,$K902)</f>
        <v/>
      </c>
      <c r="W902" s="8">
        <f>IF($G902="INR",1,INDEX(Market_Daily!$F$6:$F$256,MATCH($K902,Market_Daily!$A$6:$A$256,0)))</f>
        <v/>
      </c>
      <c r="X902" s="8">
        <f>$V902*$W902</f>
        <v/>
      </c>
      <c r="Y902" s="18">
        <f>$X902-$P902</f>
        <v/>
      </c>
      <c r="Z902" s="8">
        <f>IF(ABS($Y902)&lt;=tol_cashflow_inr,"PASS","FAIL")</f>
        <v/>
      </c>
      <c r="AA902" s="7" t="inlineStr">
        <is>
          <t>-lots x lot_kg x mcx_slippage_ticks x tick</t>
        </is>
      </c>
    </row>
    <row r="903">
      <c r="A903" s="7" t="inlineStr">
        <is>
          <t>T08</t>
        </is>
      </c>
      <c r="B903" s="7" t="inlineStr">
        <is>
          <t>MCX:T08-MCX-1</t>
        </is>
      </c>
      <c r="C903" s="7" t="inlineStr">
        <is>
          <t>T08-MCX-1</t>
        </is>
      </c>
      <c r="D903" s="7" t="inlineStr">
        <is>
          <t>MCX_TRANSACTION_COST</t>
        </is>
      </c>
      <c r="E903" s="7" t="inlineStr">
        <is>
          <t>MCX_TRANSACTION_COST</t>
        </is>
      </c>
      <c r="F903" s="7" t="inlineStr">
        <is>
          <t>PNL</t>
        </is>
      </c>
      <c r="G903" s="7" t="inlineStr">
        <is>
          <t>INR</t>
        </is>
      </c>
      <c r="H903" s="11" t="n">
        <v>44757</v>
      </c>
      <c r="I903" s="11" t="n">
        <v>44757</v>
      </c>
      <c r="J903" s="11" t="n">
        <v>44757</v>
      </c>
      <c r="K903" s="11" t="n">
        <v>44757</v>
      </c>
      <c r="L903" s="7" t="inlineStr">
        <is>
          <t>roll following on the LME panel calendar</t>
        </is>
      </c>
      <c r="N903" s="7" t="inlineStr">
        <is>
          <t>ASSUMPTION</t>
        </is>
      </c>
      <c r="O903" s="9" t="n">
        <v>-69633.97</v>
      </c>
      <c r="P903" s="9" t="n">
        <v>-69633.97</v>
      </c>
      <c r="U903" s="7" t="inlineStr">
        <is>
          <t>DERIVED_IN_WORKBOOK</t>
        </is>
      </c>
      <c r="V903" s="8">
        <f>SUMIFS(Cashflows!$AA$1043:$AA$1393,Cashflows!$B$1043:$B$1393,$C903,Cashflows!$C$1043:$C$1393,$K903)</f>
        <v/>
      </c>
      <c r="W903" s="8">
        <f>IF($G903="INR",1,INDEX(Market_Daily!$F$6:$F$256,MATCH($K903,Market_Daily!$A$6:$A$256,0)))</f>
        <v/>
      </c>
      <c r="X903" s="8">
        <f>$V903*$W903</f>
        <v/>
      </c>
      <c r="Y903" s="18">
        <f>$X903-$P903</f>
        <v/>
      </c>
      <c r="Z903" s="8">
        <f>IF(ABS($Y903)&lt;=tol_cashflow_inr,"PASS","FAIL")</f>
        <v/>
      </c>
      <c r="AA903" s="7" t="inlineStr">
        <is>
          <t>-lots x lot_kg x fill x mcx_txn_cost_frac</t>
        </is>
      </c>
    </row>
    <row r="904">
      <c r="A904" s="7" t="inlineStr">
        <is>
          <t>T08</t>
        </is>
      </c>
      <c r="B904" s="7" t="inlineStr">
        <is>
          <t>MCX:T08-MCX-1</t>
        </is>
      </c>
      <c r="C904" s="7" t="inlineStr">
        <is>
          <t>T08-MCX-1</t>
        </is>
      </c>
      <c r="D904" s="7" t="inlineStr">
        <is>
          <t>MCX_VARIATION_MARGIN</t>
        </is>
      </c>
      <c r="E904" s="7" t="inlineStr">
        <is>
          <t>MCX_VARIATION_MARGIN</t>
        </is>
      </c>
      <c r="F904" s="7" t="inlineStr">
        <is>
          <t>PNL</t>
        </is>
      </c>
      <c r="G904" s="7" t="inlineStr">
        <is>
          <t>INR</t>
        </is>
      </c>
      <c r="H904" s="11" t="n">
        <v>44757</v>
      </c>
      <c r="I904" s="11" t="n">
        <v>44757</v>
      </c>
      <c r="J904" s="11" t="n">
        <v>44757</v>
      </c>
      <c r="K904" s="11" t="n">
        <v>44757</v>
      </c>
      <c r="L904" s="7" t="inlineStr">
        <is>
          <t>roll following on the LME panel calendar</t>
        </is>
      </c>
      <c r="N904" s="7" t="inlineStr">
        <is>
          <t>PROXY</t>
        </is>
      </c>
      <c r="O904" s="9" t="n">
        <v>-0</v>
      </c>
      <c r="P904" s="9" t="n">
        <v>-0</v>
      </c>
      <c r="U904" s="7" t="inlineStr">
        <is>
          <t>DERIVED_IN_WORKBOOK</t>
        </is>
      </c>
      <c r="V904" s="8">
        <f>SUMIFS(Cashflows!$R$1043:$R$1393,Cashflows!$B$1043:$B$1393,$C904,Cashflows!$C$1043:$C$1393,$K904)</f>
        <v/>
      </c>
      <c r="W904" s="8">
        <f>IF($G904="INR",1,INDEX(Market_Daily!$F$6:$F$256,MATCH($K904,Market_Daily!$A$6:$A$256,0)))</f>
        <v/>
      </c>
      <c r="X904" s="8">
        <f>$V904*$W904</f>
        <v/>
      </c>
      <c r="Y904" s="18">
        <f>$X904-$P904</f>
        <v/>
      </c>
      <c r="Z904" s="8">
        <f>IF(ABS($Y904)&lt;=tol_cashflow_inr,"PASS","FAIL")</f>
        <v/>
      </c>
      <c r="AA904" s="7" t="inlineStr">
        <is>
          <t>direction x lots x lot_kg x (F(entry) - entry settle) = 0 by construction</t>
        </is>
      </c>
    </row>
    <row r="905">
      <c r="A905" s="7" t="inlineStr">
        <is>
          <t>T08</t>
        </is>
      </c>
      <c r="B905" s="7" t="inlineStr">
        <is>
          <t>MCX:T08-MCX-1</t>
        </is>
      </c>
      <c r="C905" s="7" t="inlineStr">
        <is>
          <t>T08-MCX-1</t>
        </is>
      </c>
      <c r="D905" s="7" t="inlineStr">
        <is>
          <t>MCX_INITIAL_MARGIN</t>
        </is>
      </c>
      <c r="E905" s="7" t="inlineStr">
        <is>
          <t>MCX_INITIAL_MARGIN</t>
        </is>
      </c>
      <c r="F905" s="7" t="inlineStr">
        <is>
          <t>BS</t>
        </is>
      </c>
      <c r="G905" s="7" t="inlineStr">
        <is>
          <t>INR</t>
        </is>
      </c>
      <c r="H905" s="11" t="n">
        <v>44757</v>
      </c>
      <c r="I905" s="11" t="n">
        <v>44760</v>
      </c>
      <c r="J905" s="11" t="n">
        <v>44760</v>
      </c>
      <c r="K905" s="11" t="n">
        <v>44760</v>
      </c>
      <c r="L905" s="7" t="inlineStr">
        <is>
          <t>roll following on the LME panel calendar</t>
        </is>
      </c>
      <c r="N905" s="7" t="inlineStr">
        <is>
          <t>PROXY</t>
        </is>
      </c>
      <c r="O905" s="9" t="n">
        <v>-602208.39</v>
      </c>
      <c r="P905" s="9" t="n">
        <v>-602208.39</v>
      </c>
      <c r="U905" s="7" t="inlineStr">
        <is>
          <t>DERIVED_IN_WORKBOOK</t>
        </is>
      </c>
      <c r="V905" s="8">
        <f>-SUMIFS(Cashflows!$W$1043:$W$1393,Cashflows!$B$1043:$B$1393,$C905,Cashflows!$C$1043:$C$1393,$K905)</f>
        <v/>
      </c>
      <c r="W905" s="8">
        <f>IF($G905="INR",1,INDEX(Market_Daily!$F$6:$F$256,MATCH($K905,Market_Daily!$A$6:$A$256,0)))</f>
        <v/>
      </c>
      <c r="X905" s="8">
        <f>$V905*$W905</f>
        <v/>
      </c>
      <c r="Y905" s="18">
        <f>$X905-$P905</f>
        <v/>
      </c>
      <c r="Z905" s="8">
        <f>IF(ABS($Y905)&lt;=tol_cashflow_inr,"PASS","FAIL")</f>
        <v/>
      </c>
      <c r="AA905" s="7" t="inlineStr">
        <is>
          <t>-d(lots x lot_kg x F(s) x mcx_al_margin_used_frac)</t>
        </is>
      </c>
    </row>
    <row r="906">
      <c r="A906" s="7" t="inlineStr">
        <is>
          <t>T08</t>
        </is>
      </c>
      <c r="B906" s="7" t="inlineStr">
        <is>
          <t>MCX:T08-MCX-1</t>
        </is>
      </c>
      <c r="C906" s="7" t="inlineStr">
        <is>
          <t>T08-MCX-1</t>
        </is>
      </c>
      <c r="D906" s="7" t="inlineStr">
        <is>
          <t>MCX_VARIATION_MARGIN</t>
        </is>
      </c>
      <c r="E906" s="7" t="inlineStr">
        <is>
          <t>MCX_VARIATION_MARGIN</t>
        </is>
      </c>
      <c r="F906" s="7" t="inlineStr">
        <is>
          <t>PNL</t>
        </is>
      </c>
      <c r="G906" s="7" t="inlineStr">
        <is>
          <t>INR</t>
        </is>
      </c>
      <c r="H906" s="11" t="n">
        <v>44757</v>
      </c>
      <c r="I906" s="11" t="n">
        <v>44760</v>
      </c>
      <c r="J906" s="11" t="n">
        <v>44760</v>
      </c>
      <c r="K906" s="11" t="n">
        <v>44760</v>
      </c>
      <c r="L906" s="7" t="inlineStr">
        <is>
          <t>roll following on the LME panel calendar</t>
        </is>
      </c>
      <c r="N906" s="7" t="inlineStr">
        <is>
          <t>PROXY</t>
        </is>
      </c>
      <c r="O906" s="9" t="n">
        <v>-6022083.85</v>
      </c>
      <c r="P906" s="9" t="n">
        <v>-6022083.85</v>
      </c>
      <c r="U906" s="7" t="inlineStr">
        <is>
          <t>DERIVED_IN_WORKBOOK</t>
        </is>
      </c>
      <c r="V906" s="8">
        <f>SUMIFS(Cashflows!$R$1043:$R$1393,Cashflows!$B$1043:$B$1393,$C906,Cashflows!$C$1043:$C$1393,$K906)</f>
        <v/>
      </c>
      <c r="W906" s="8">
        <f>IF($G906="INR",1,INDEX(Market_Daily!$F$6:$F$256,MATCH($K906,Market_Daily!$A$6:$A$256,0)))</f>
        <v/>
      </c>
      <c r="X906" s="8">
        <f>$V906*$W906</f>
        <v/>
      </c>
      <c r="Y906" s="18">
        <f>$X906-$P906</f>
        <v/>
      </c>
      <c r="Z906" s="8">
        <f>IF(ABS($Y906)&lt;=tol_cashflow_inr,"PASS","FAIL")</f>
        <v/>
      </c>
      <c r="AA906" s="7" t="inlineStr">
        <is>
          <t>direction x lots x lot_kg x (F(s) - F(s-1))</t>
        </is>
      </c>
    </row>
    <row r="907">
      <c r="A907" s="7" t="inlineStr">
        <is>
          <t>T08</t>
        </is>
      </c>
      <c r="B907" s="7" t="inlineStr">
        <is>
          <t>MCX:T08-MCX-1</t>
        </is>
      </c>
      <c r="C907" s="7" t="inlineStr">
        <is>
          <t>T08-MCX-1</t>
        </is>
      </c>
      <c r="D907" s="7" t="inlineStr">
        <is>
          <t>MCX_INITIAL_MARGIN</t>
        </is>
      </c>
      <c r="E907" s="7" t="inlineStr">
        <is>
          <t>MCX_INITIAL_MARGIN</t>
        </is>
      </c>
      <c r="F907" s="7" t="inlineStr">
        <is>
          <t>BS</t>
        </is>
      </c>
      <c r="G907" s="7" t="inlineStr">
        <is>
          <t>INR</t>
        </is>
      </c>
      <c r="H907" s="11" t="n">
        <v>44757</v>
      </c>
      <c r="I907" s="11" t="n">
        <v>44761</v>
      </c>
      <c r="J907" s="11" t="n">
        <v>44761</v>
      </c>
      <c r="K907" s="11" t="n">
        <v>44761</v>
      </c>
      <c r="L907" s="7" t="inlineStr">
        <is>
          <t>roll following on the LME panel calendar</t>
        </is>
      </c>
      <c r="N907" s="7" t="inlineStr">
        <is>
          <t>PROXY</t>
        </is>
      </c>
      <c r="O907" s="9" t="n">
        <v>-328120.64</v>
      </c>
      <c r="P907" s="9" t="n">
        <v>-328120.64</v>
      </c>
      <c r="U907" s="7" t="inlineStr">
        <is>
          <t>DERIVED_IN_WORKBOOK</t>
        </is>
      </c>
      <c r="V907" s="8">
        <f>-SUMIFS(Cashflows!$W$1043:$W$1393,Cashflows!$B$1043:$B$1393,$C907,Cashflows!$C$1043:$C$1393,$K907)</f>
        <v/>
      </c>
      <c r="W907" s="8">
        <f>IF($G907="INR",1,INDEX(Market_Daily!$F$6:$F$256,MATCH($K907,Market_Daily!$A$6:$A$256,0)))</f>
        <v/>
      </c>
      <c r="X907" s="8">
        <f>$V907*$W907</f>
        <v/>
      </c>
      <c r="Y907" s="18">
        <f>$X907-$P907</f>
        <v/>
      </c>
      <c r="Z907" s="8">
        <f>IF(ABS($Y907)&lt;=tol_cashflow_inr,"PASS","FAIL")</f>
        <v/>
      </c>
      <c r="AA907" s="7" t="inlineStr">
        <is>
          <t>-d(lots x lot_kg x F(s) x mcx_al_margin_used_frac)</t>
        </is>
      </c>
    </row>
    <row r="908">
      <c r="A908" s="7" t="inlineStr">
        <is>
          <t>T08</t>
        </is>
      </c>
      <c r="B908" s="7" t="inlineStr">
        <is>
          <t>MCX:T08-MCX-1</t>
        </is>
      </c>
      <c r="C908" s="7" t="inlineStr">
        <is>
          <t>T08-MCX-1</t>
        </is>
      </c>
      <c r="D908" s="7" t="inlineStr">
        <is>
          <t>MCX_VARIATION_MARGIN</t>
        </is>
      </c>
      <c r="E908" s="7" t="inlineStr">
        <is>
          <t>MCX_VARIATION_MARGIN</t>
        </is>
      </c>
      <c r="F908" s="7" t="inlineStr">
        <is>
          <t>PNL</t>
        </is>
      </c>
      <c r="G908" s="7" t="inlineStr">
        <is>
          <t>INR</t>
        </is>
      </c>
      <c r="H908" s="11" t="n">
        <v>44757</v>
      </c>
      <c r="I908" s="11" t="n">
        <v>44761</v>
      </c>
      <c r="J908" s="11" t="n">
        <v>44761</v>
      </c>
      <c r="K908" s="11" t="n">
        <v>44761</v>
      </c>
      <c r="L908" s="7" t="inlineStr">
        <is>
          <t>roll following on the LME panel calendar</t>
        </is>
      </c>
      <c r="N908" s="7" t="inlineStr">
        <is>
          <t>PROXY</t>
        </is>
      </c>
      <c r="O908" s="9" t="n">
        <v>-3281206.4</v>
      </c>
      <c r="P908" s="9" t="n">
        <v>-3281206.4</v>
      </c>
      <c r="U908" s="7" t="inlineStr">
        <is>
          <t>DERIVED_IN_WORKBOOK</t>
        </is>
      </c>
      <c r="V908" s="8">
        <f>SUMIFS(Cashflows!$R$1043:$R$1393,Cashflows!$B$1043:$B$1393,$C908,Cashflows!$C$1043:$C$1393,$K908)</f>
        <v/>
      </c>
      <c r="W908" s="8">
        <f>IF($G908="INR",1,INDEX(Market_Daily!$F$6:$F$256,MATCH($K908,Market_Daily!$A$6:$A$256,0)))</f>
        <v/>
      </c>
      <c r="X908" s="8">
        <f>$V908*$W908</f>
        <v/>
      </c>
      <c r="Y908" s="18">
        <f>$X908-$P908</f>
        <v/>
      </c>
      <c r="Z908" s="8">
        <f>IF(ABS($Y908)&lt;=tol_cashflow_inr,"PASS","FAIL")</f>
        <v/>
      </c>
      <c r="AA908" s="7" t="inlineStr">
        <is>
          <t>direction x lots x lot_kg x (F(s) - F(s-1))</t>
        </is>
      </c>
    </row>
    <row r="909">
      <c r="A909" s="7" t="inlineStr">
        <is>
          <t>T08</t>
        </is>
      </c>
      <c r="B909" s="7" t="inlineStr">
        <is>
          <t>MCX:T08-MCX-1</t>
        </is>
      </c>
      <c r="C909" s="7" t="inlineStr">
        <is>
          <t>T08-MCX-1</t>
        </is>
      </c>
      <c r="D909" s="7" t="inlineStr">
        <is>
          <t>MCX_INITIAL_MARGIN</t>
        </is>
      </c>
      <c r="E909" s="7" t="inlineStr">
        <is>
          <t>MCX_INITIAL_MARGIN</t>
        </is>
      </c>
      <c r="F909" s="7" t="inlineStr">
        <is>
          <t>BS</t>
        </is>
      </c>
      <c r="G909" s="7" t="inlineStr">
        <is>
          <t>INR</t>
        </is>
      </c>
      <c r="H909" s="11" t="n">
        <v>44757</v>
      </c>
      <c r="I909" s="11" t="n">
        <v>44762</v>
      </c>
      <c r="J909" s="11" t="n">
        <v>44762</v>
      </c>
      <c r="K909" s="11" t="n">
        <v>44762</v>
      </c>
      <c r="L909" s="7" t="inlineStr">
        <is>
          <t>roll following on the LME panel calendar</t>
        </is>
      </c>
      <c r="N909" s="7" t="inlineStr">
        <is>
          <t>PROXY</t>
        </is>
      </c>
      <c r="O909" s="9" t="n">
        <v>-462791.08</v>
      </c>
      <c r="P909" s="9" t="n">
        <v>-462791.08</v>
      </c>
      <c r="U909" s="7" t="inlineStr">
        <is>
          <t>DERIVED_IN_WORKBOOK</t>
        </is>
      </c>
      <c r="V909" s="8">
        <f>-SUMIFS(Cashflows!$W$1043:$W$1393,Cashflows!$B$1043:$B$1393,$C909,Cashflows!$C$1043:$C$1393,$K909)</f>
        <v/>
      </c>
      <c r="W909" s="8">
        <f>IF($G909="INR",1,INDEX(Market_Daily!$F$6:$F$256,MATCH($K909,Market_Daily!$A$6:$A$256,0)))</f>
        <v/>
      </c>
      <c r="X909" s="8">
        <f>$V909*$W909</f>
        <v/>
      </c>
      <c r="Y909" s="18">
        <f>$X909-$P909</f>
        <v/>
      </c>
      <c r="Z909" s="8">
        <f>IF(ABS($Y909)&lt;=tol_cashflow_inr,"PASS","FAIL")</f>
        <v/>
      </c>
      <c r="AA909" s="7" t="inlineStr">
        <is>
          <t>-d(lots x lot_kg x F(s) x mcx_al_margin_used_frac)</t>
        </is>
      </c>
    </row>
    <row r="910">
      <c r="A910" s="7" t="inlineStr">
        <is>
          <t>T08</t>
        </is>
      </c>
      <c r="B910" s="7" t="inlineStr">
        <is>
          <t>MCX:T08-MCX-1</t>
        </is>
      </c>
      <c r="C910" s="7" t="inlineStr">
        <is>
          <t>T08-MCX-1</t>
        </is>
      </c>
      <c r="D910" s="7" t="inlineStr">
        <is>
          <t>MCX_VARIATION_MARGIN</t>
        </is>
      </c>
      <c r="E910" s="7" t="inlineStr">
        <is>
          <t>MCX_VARIATION_MARGIN</t>
        </is>
      </c>
      <c r="F910" s="7" t="inlineStr">
        <is>
          <t>PNL</t>
        </is>
      </c>
      <c r="G910" s="7" t="inlineStr">
        <is>
          <t>INR</t>
        </is>
      </c>
      <c r="H910" s="11" t="n">
        <v>44757</v>
      </c>
      <c r="I910" s="11" t="n">
        <v>44762</v>
      </c>
      <c r="J910" s="11" t="n">
        <v>44762</v>
      </c>
      <c r="K910" s="11" t="n">
        <v>44762</v>
      </c>
      <c r="L910" s="7" t="inlineStr">
        <is>
          <t>roll following on the LME panel calendar</t>
        </is>
      </c>
      <c r="N910" s="7" t="inlineStr">
        <is>
          <t>PROXY</t>
        </is>
      </c>
      <c r="O910" s="9" t="n">
        <v>-4627910.76</v>
      </c>
      <c r="P910" s="9" t="n">
        <v>-4627910.76</v>
      </c>
      <c r="U910" s="7" t="inlineStr">
        <is>
          <t>DERIVED_IN_WORKBOOK</t>
        </is>
      </c>
      <c r="V910" s="8">
        <f>SUMIFS(Cashflows!$R$1043:$R$1393,Cashflows!$B$1043:$B$1393,$C910,Cashflows!$C$1043:$C$1393,$K910)</f>
        <v/>
      </c>
      <c r="W910" s="8">
        <f>IF($G910="INR",1,INDEX(Market_Daily!$F$6:$F$256,MATCH($K910,Market_Daily!$A$6:$A$256,0)))</f>
        <v/>
      </c>
      <c r="X910" s="8">
        <f>$V910*$W910</f>
        <v/>
      </c>
      <c r="Y910" s="18">
        <f>$X910-$P910</f>
        <v/>
      </c>
      <c r="Z910" s="8">
        <f>IF(ABS($Y910)&lt;=tol_cashflow_inr,"PASS","FAIL")</f>
        <v/>
      </c>
      <c r="AA910" s="7" t="inlineStr">
        <is>
          <t>direction x lots x lot_kg x (F(s) - F(s-1))</t>
        </is>
      </c>
    </row>
    <row r="911">
      <c r="A911" s="7" t="inlineStr">
        <is>
          <t>T08</t>
        </is>
      </c>
      <c r="B911" s="7" t="inlineStr">
        <is>
          <t>MCX:T08-MCX-1</t>
        </is>
      </c>
      <c r="C911" s="7" t="inlineStr">
        <is>
          <t>T08-MCX-1</t>
        </is>
      </c>
      <c r="D911" s="7" t="inlineStr">
        <is>
          <t>MCX_INITIAL_MARGIN</t>
        </is>
      </c>
      <c r="E911" s="7" t="inlineStr">
        <is>
          <t>MCX_INITIAL_MARGIN</t>
        </is>
      </c>
      <c r="F911" s="7" t="inlineStr">
        <is>
          <t>BS</t>
        </is>
      </c>
      <c r="G911" s="7" t="inlineStr">
        <is>
          <t>INR</t>
        </is>
      </c>
      <c r="H911" s="11" t="n">
        <v>44757</v>
      </c>
      <c r="I911" s="11" t="n">
        <v>44763</v>
      </c>
      <c r="J911" s="11" t="n">
        <v>44763</v>
      </c>
      <c r="K911" s="11" t="n">
        <v>44763</v>
      </c>
      <c r="L911" s="7" t="inlineStr">
        <is>
          <t>roll following on the LME panel calendar</t>
        </is>
      </c>
      <c r="N911" s="7" t="inlineStr">
        <is>
          <t>PROXY</t>
        </is>
      </c>
      <c r="O911" s="9" t="n">
        <v>353231.64</v>
      </c>
      <c r="P911" s="9" t="n">
        <v>353231.64</v>
      </c>
      <c r="U911" s="7" t="inlineStr">
        <is>
          <t>DERIVED_IN_WORKBOOK</t>
        </is>
      </c>
      <c r="V911" s="8">
        <f>-SUMIFS(Cashflows!$W$1043:$W$1393,Cashflows!$B$1043:$B$1393,$C911,Cashflows!$C$1043:$C$1393,$K911)</f>
        <v/>
      </c>
      <c r="W911" s="8">
        <f>IF($G911="INR",1,INDEX(Market_Daily!$F$6:$F$256,MATCH($K911,Market_Daily!$A$6:$A$256,0)))</f>
        <v/>
      </c>
      <c r="X911" s="8">
        <f>$V911*$W911</f>
        <v/>
      </c>
      <c r="Y911" s="18">
        <f>$X911-$P911</f>
        <v/>
      </c>
      <c r="Z911" s="8">
        <f>IF(ABS($Y911)&lt;=tol_cashflow_inr,"PASS","FAIL")</f>
        <v/>
      </c>
      <c r="AA911" s="7" t="inlineStr">
        <is>
          <t>-d(lots x lot_kg x F(s) x mcx_al_margin_used_frac)</t>
        </is>
      </c>
    </row>
    <row r="912">
      <c r="A912" s="7" t="inlineStr">
        <is>
          <t>T08</t>
        </is>
      </c>
      <c r="B912" s="7" t="inlineStr">
        <is>
          <t>MCX:T08-MCX-1</t>
        </is>
      </c>
      <c r="C912" s="7" t="inlineStr">
        <is>
          <t>T08-MCX-1</t>
        </is>
      </c>
      <c r="D912" s="7" t="inlineStr">
        <is>
          <t>MCX_VARIATION_MARGIN</t>
        </is>
      </c>
      <c r="E912" s="7" t="inlineStr">
        <is>
          <t>MCX_VARIATION_MARGIN</t>
        </is>
      </c>
      <c r="F912" s="7" t="inlineStr">
        <is>
          <t>PNL</t>
        </is>
      </c>
      <c r="G912" s="7" t="inlineStr">
        <is>
          <t>INR</t>
        </is>
      </c>
      <c r="H912" s="11" t="n">
        <v>44757</v>
      </c>
      <c r="I912" s="11" t="n">
        <v>44763</v>
      </c>
      <c r="J912" s="11" t="n">
        <v>44763</v>
      </c>
      <c r="K912" s="11" t="n">
        <v>44763</v>
      </c>
      <c r="L912" s="7" t="inlineStr">
        <is>
          <t>roll following on the LME panel calendar</t>
        </is>
      </c>
      <c r="N912" s="7" t="inlineStr">
        <is>
          <t>PROXY</t>
        </is>
      </c>
      <c r="O912" s="9" t="n">
        <v>3532316.42</v>
      </c>
      <c r="P912" s="9" t="n">
        <v>3532316.42</v>
      </c>
      <c r="U912" s="7" t="inlineStr">
        <is>
          <t>DERIVED_IN_WORKBOOK</t>
        </is>
      </c>
      <c r="V912" s="8">
        <f>SUMIFS(Cashflows!$R$1043:$R$1393,Cashflows!$B$1043:$B$1393,$C912,Cashflows!$C$1043:$C$1393,$K912)</f>
        <v/>
      </c>
      <c r="W912" s="8">
        <f>IF($G912="INR",1,INDEX(Market_Daily!$F$6:$F$256,MATCH($K912,Market_Daily!$A$6:$A$256,0)))</f>
        <v/>
      </c>
      <c r="X912" s="8">
        <f>$V912*$W912</f>
        <v/>
      </c>
      <c r="Y912" s="18">
        <f>$X912-$P912</f>
        <v/>
      </c>
      <c r="Z912" s="8">
        <f>IF(ABS($Y912)&lt;=tol_cashflow_inr,"PASS","FAIL")</f>
        <v/>
      </c>
      <c r="AA912" s="7" t="inlineStr">
        <is>
          <t>direction x lots x lot_kg x (F(s) - F(s-1))</t>
        </is>
      </c>
    </row>
    <row r="913">
      <c r="A913" s="7" t="inlineStr">
        <is>
          <t>T08</t>
        </is>
      </c>
      <c r="B913" s="7" t="inlineStr">
        <is>
          <t>MCX:T08-MCX-1</t>
        </is>
      </c>
      <c r="C913" s="7" t="inlineStr">
        <is>
          <t>T08-MCX-1</t>
        </is>
      </c>
      <c r="D913" s="7" t="inlineStr">
        <is>
          <t>MCX_INITIAL_MARGIN</t>
        </is>
      </c>
      <c r="E913" s="7" t="inlineStr">
        <is>
          <t>MCX_INITIAL_MARGIN</t>
        </is>
      </c>
      <c r="F913" s="7" t="inlineStr">
        <is>
          <t>BS</t>
        </is>
      </c>
      <c r="G913" s="7" t="inlineStr">
        <is>
          <t>INR</t>
        </is>
      </c>
      <c r="H913" s="11" t="n">
        <v>44757</v>
      </c>
      <c r="I913" s="11" t="n">
        <v>44764</v>
      </c>
      <c r="J913" s="11" t="n">
        <v>44764</v>
      </c>
      <c r="K913" s="11" t="n">
        <v>44764</v>
      </c>
      <c r="L913" s="7" t="inlineStr">
        <is>
          <t>roll following on the LME panel calendar</t>
        </is>
      </c>
      <c r="N913" s="7" t="inlineStr">
        <is>
          <t>PROXY</t>
        </is>
      </c>
      <c r="O913" s="9" t="n">
        <v>-337926.4</v>
      </c>
      <c r="P913" s="9" t="n">
        <v>-337926.4</v>
      </c>
      <c r="U913" s="7" t="inlineStr">
        <is>
          <t>DERIVED_IN_WORKBOOK</t>
        </is>
      </c>
      <c r="V913" s="8">
        <f>-SUMIFS(Cashflows!$W$1043:$W$1393,Cashflows!$B$1043:$B$1393,$C913,Cashflows!$C$1043:$C$1393,$K913)</f>
        <v/>
      </c>
      <c r="W913" s="8">
        <f>IF($G913="INR",1,INDEX(Market_Daily!$F$6:$F$256,MATCH($K913,Market_Daily!$A$6:$A$256,0)))</f>
        <v/>
      </c>
      <c r="X913" s="8">
        <f>$V913*$W913</f>
        <v/>
      </c>
      <c r="Y913" s="18">
        <f>$X913-$P913</f>
        <v/>
      </c>
      <c r="Z913" s="8">
        <f>IF(ABS($Y913)&lt;=tol_cashflow_inr,"PASS","FAIL")</f>
        <v/>
      </c>
      <c r="AA913" s="7" t="inlineStr">
        <is>
          <t>-d(lots x lot_kg x F(s) x mcx_al_margin_used_frac)</t>
        </is>
      </c>
    </row>
    <row r="914">
      <c r="A914" s="7" t="inlineStr">
        <is>
          <t>T08</t>
        </is>
      </c>
      <c r="B914" s="7" t="inlineStr">
        <is>
          <t>MCX:T08-MCX-1</t>
        </is>
      </c>
      <c r="C914" s="7" t="inlineStr">
        <is>
          <t>T08-MCX-1</t>
        </is>
      </c>
      <c r="D914" s="7" t="inlineStr">
        <is>
          <t>MCX_VARIATION_MARGIN</t>
        </is>
      </c>
      <c r="E914" s="7" t="inlineStr">
        <is>
          <t>MCX_VARIATION_MARGIN</t>
        </is>
      </c>
      <c r="F914" s="7" t="inlineStr">
        <is>
          <t>PNL</t>
        </is>
      </c>
      <c r="G914" s="7" t="inlineStr">
        <is>
          <t>INR</t>
        </is>
      </c>
      <c r="H914" s="11" t="n">
        <v>44757</v>
      </c>
      <c r="I914" s="11" t="n">
        <v>44764</v>
      </c>
      <c r="J914" s="11" t="n">
        <v>44764</v>
      </c>
      <c r="K914" s="11" t="n">
        <v>44764</v>
      </c>
      <c r="L914" s="7" t="inlineStr">
        <is>
          <t>roll following on the LME panel calendar</t>
        </is>
      </c>
      <c r="N914" s="7" t="inlineStr">
        <is>
          <t>PROXY</t>
        </is>
      </c>
      <c r="O914" s="9" t="n">
        <v>-3379263.96</v>
      </c>
      <c r="P914" s="9" t="n">
        <v>-3379263.96</v>
      </c>
      <c r="U914" s="7" t="inlineStr">
        <is>
          <t>DERIVED_IN_WORKBOOK</t>
        </is>
      </c>
      <c r="V914" s="8">
        <f>SUMIFS(Cashflows!$R$1043:$R$1393,Cashflows!$B$1043:$B$1393,$C914,Cashflows!$C$1043:$C$1393,$K914)</f>
        <v/>
      </c>
      <c r="W914" s="8">
        <f>IF($G914="INR",1,INDEX(Market_Daily!$F$6:$F$256,MATCH($K914,Market_Daily!$A$6:$A$256,0)))</f>
        <v/>
      </c>
      <c r="X914" s="8">
        <f>$V914*$W914</f>
        <v/>
      </c>
      <c r="Y914" s="18">
        <f>$X914-$P914</f>
        <v/>
      </c>
      <c r="Z914" s="8">
        <f>IF(ABS($Y914)&lt;=tol_cashflow_inr,"PASS","FAIL")</f>
        <v/>
      </c>
      <c r="AA914" s="7" t="inlineStr">
        <is>
          <t>direction x lots x lot_kg x (F(s) - F(s-1))</t>
        </is>
      </c>
    </row>
    <row r="915">
      <c r="A915" s="7" t="inlineStr">
        <is>
          <t>T08</t>
        </is>
      </c>
      <c r="B915" s="7" t="inlineStr">
        <is>
          <t>MCX:T08-MCX-1</t>
        </is>
      </c>
      <c r="C915" s="7" t="inlineStr">
        <is>
          <t>T08-MCX-1</t>
        </is>
      </c>
      <c r="D915" s="7" t="inlineStr">
        <is>
          <t>MCX_INITIAL_MARGIN</t>
        </is>
      </c>
      <c r="E915" s="7" t="inlineStr">
        <is>
          <t>MCX_INITIAL_MARGIN</t>
        </is>
      </c>
      <c r="F915" s="7" t="inlineStr">
        <is>
          <t>BS</t>
        </is>
      </c>
      <c r="G915" s="7" t="inlineStr">
        <is>
          <t>INR</t>
        </is>
      </c>
      <c r="H915" s="11" t="n">
        <v>44757</v>
      </c>
      <c r="I915" s="11" t="n">
        <v>44767</v>
      </c>
      <c r="J915" s="11" t="n">
        <v>44767</v>
      </c>
      <c r="K915" s="11" t="n">
        <v>44767</v>
      </c>
      <c r="L915" s="7" t="inlineStr">
        <is>
          <t>roll following on the LME panel calendar</t>
        </is>
      </c>
      <c r="N915" s="7" t="inlineStr">
        <is>
          <t>PROXY</t>
        </is>
      </c>
      <c r="O915" s="9" t="n">
        <v>320486.13</v>
      </c>
      <c r="P915" s="9" t="n">
        <v>320486.13</v>
      </c>
      <c r="U915" s="7" t="inlineStr">
        <is>
          <t>DERIVED_IN_WORKBOOK</t>
        </is>
      </c>
      <c r="V915" s="8">
        <f>-SUMIFS(Cashflows!$W$1043:$W$1393,Cashflows!$B$1043:$B$1393,$C915,Cashflows!$C$1043:$C$1393,$K915)</f>
        <v/>
      </c>
      <c r="W915" s="8">
        <f>IF($G915="INR",1,INDEX(Market_Daily!$F$6:$F$256,MATCH($K915,Market_Daily!$A$6:$A$256,0)))</f>
        <v/>
      </c>
      <c r="X915" s="8">
        <f>$V915*$W915</f>
        <v/>
      </c>
      <c r="Y915" s="18">
        <f>$X915-$P915</f>
        <v/>
      </c>
      <c r="Z915" s="8">
        <f>IF(ABS($Y915)&lt;=tol_cashflow_inr,"PASS","FAIL")</f>
        <v/>
      </c>
      <c r="AA915" s="7" t="inlineStr">
        <is>
          <t>-d(lots x lot_kg x F(s) x mcx_al_margin_used_frac)</t>
        </is>
      </c>
    </row>
    <row r="916">
      <c r="A916" s="7" t="inlineStr">
        <is>
          <t>T08</t>
        </is>
      </c>
      <c r="B916" s="7" t="inlineStr">
        <is>
          <t>MCX:T08-MCX-1</t>
        </is>
      </c>
      <c r="C916" s="7" t="inlineStr">
        <is>
          <t>T08-MCX-1</t>
        </is>
      </c>
      <c r="D916" s="7" t="inlineStr">
        <is>
          <t>MCX_VARIATION_MARGIN</t>
        </is>
      </c>
      <c r="E916" s="7" t="inlineStr">
        <is>
          <t>MCX_VARIATION_MARGIN</t>
        </is>
      </c>
      <c r="F916" s="7" t="inlineStr">
        <is>
          <t>PNL</t>
        </is>
      </c>
      <c r="G916" s="7" t="inlineStr">
        <is>
          <t>INR</t>
        </is>
      </c>
      <c r="H916" s="11" t="n">
        <v>44757</v>
      </c>
      <c r="I916" s="11" t="n">
        <v>44767</v>
      </c>
      <c r="J916" s="11" t="n">
        <v>44767</v>
      </c>
      <c r="K916" s="11" t="n">
        <v>44767</v>
      </c>
      <c r="L916" s="7" t="inlineStr">
        <is>
          <t>roll following on the LME panel calendar</t>
        </is>
      </c>
      <c r="N916" s="7" t="inlineStr">
        <is>
          <t>PROXY</t>
        </is>
      </c>
      <c r="O916" s="9" t="n">
        <v>3204861.27</v>
      </c>
      <c r="P916" s="9" t="n">
        <v>3204861.27</v>
      </c>
      <c r="U916" s="7" t="inlineStr">
        <is>
          <t>DERIVED_IN_WORKBOOK</t>
        </is>
      </c>
      <c r="V916" s="8">
        <f>SUMIFS(Cashflows!$R$1043:$R$1393,Cashflows!$B$1043:$B$1393,$C916,Cashflows!$C$1043:$C$1393,$K916)</f>
        <v/>
      </c>
      <c r="W916" s="8">
        <f>IF($G916="INR",1,INDEX(Market_Daily!$F$6:$F$256,MATCH($K916,Market_Daily!$A$6:$A$256,0)))</f>
        <v/>
      </c>
      <c r="X916" s="8">
        <f>$V916*$W916</f>
        <v/>
      </c>
      <c r="Y916" s="18">
        <f>$X916-$P916</f>
        <v/>
      </c>
      <c r="Z916" s="8">
        <f>IF(ABS($Y916)&lt;=tol_cashflow_inr,"PASS","FAIL")</f>
        <v/>
      </c>
      <c r="AA916" s="7" t="inlineStr">
        <is>
          <t>direction x lots x lot_kg x (F(s) - F(s-1))</t>
        </is>
      </c>
    </row>
    <row r="917">
      <c r="A917" s="7" t="inlineStr">
        <is>
          <t>T08</t>
        </is>
      </c>
      <c r="B917" s="7" t="inlineStr">
        <is>
          <t>MCX:T08-MCX-1</t>
        </is>
      </c>
      <c r="C917" s="7" t="inlineStr">
        <is>
          <t>T08-MCX-1</t>
        </is>
      </c>
      <c r="D917" s="7" t="inlineStr">
        <is>
          <t>MCX_INITIAL_MARGIN</t>
        </is>
      </c>
      <c r="E917" s="7" t="inlineStr">
        <is>
          <t>MCX_INITIAL_MARGIN</t>
        </is>
      </c>
      <c r="F917" s="7" t="inlineStr">
        <is>
          <t>BS</t>
        </is>
      </c>
      <c r="G917" s="7" t="inlineStr">
        <is>
          <t>INR</t>
        </is>
      </c>
      <c r="H917" s="11" t="n">
        <v>44757</v>
      </c>
      <c r="I917" s="11" t="n">
        <v>44768</v>
      </c>
      <c r="J917" s="11" t="n">
        <v>44768</v>
      </c>
      <c r="K917" s="11" t="n">
        <v>44768</v>
      </c>
      <c r="L917" s="7" t="inlineStr">
        <is>
          <t>roll following on the LME panel calendar</t>
        </is>
      </c>
      <c r="N917" s="7" t="inlineStr">
        <is>
          <t>PROXY</t>
        </is>
      </c>
      <c r="O917" s="9" t="n">
        <v>-60761</v>
      </c>
      <c r="P917" s="9" t="n">
        <v>-60761</v>
      </c>
      <c r="U917" s="7" t="inlineStr">
        <is>
          <t>DERIVED_IN_WORKBOOK</t>
        </is>
      </c>
      <c r="V917" s="8">
        <f>-SUMIFS(Cashflows!$W$1043:$W$1393,Cashflows!$B$1043:$B$1393,$C917,Cashflows!$C$1043:$C$1393,$K917)</f>
        <v/>
      </c>
      <c r="W917" s="8">
        <f>IF($G917="INR",1,INDEX(Market_Daily!$F$6:$F$256,MATCH($K917,Market_Daily!$A$6:$A$256,0)))</f>
        <v/>
      </c>
      <c r="X917" s="8">
        <f>$V917*$W917</f>
        <v/>
      </c>
      <c r="Y917" s="18">
        <f>$X917-$P917</f>
        <v/>
      </c>
      <c r="Z917" s="8">
        <f>IF(ABS($Y917)&lt;=tol_cashflow_inr,"PASS","FAIL")</f>
        <v/>
      </c>
      <c r="AA917" s="7" t="inlineStr">
        <is>
          <t>-d(lots x lot_kg x F(s) x mcx_al_margin_used_frac)</t>
        </is>
      </c>
    </row>
    <row r="918">
      <c r="A918" s="7" t="inlineStr">
        <is>
          <t>T08</t>
        </is>
      </c>
      <c r="B918" s="7" t="inlineStr">
        <is>
          <t>MCX:T08-MCX-1</t>
        </is>
      </c>
      <c r="C918" s="7" t="inlineStr">
        <is>
          <t>T08-MCX-1</t>
        </is>
      </c>
      <c r="D918" s="7" t="inlineStr">
        <is>
          <t>MCX_VARIATION_MARGIN</t>
        </is>
      </c>
      <c r="E918" s="7" t="inlineStr">
        <is>
          <t>MCX_VARIATION_MARGIN</t>
        </is>
      </c>
      <c r="F918" s="7" t="inlineStr">
        <is>
          <t>PNL</t>
        </is>
      </c>
      <c r="G918" s="7" t="inlineStr">
        <is>
          <t>INR</t>
        </is>
      </c>
      <c r="H918" s="11" t="n">
        <v>44757</v>
      </c>
      <c r="I918" s="11" t="n">
        <v>44768</v>
      </c>
      <c r="J918" s="11" t="n">
        <v>44768</v>
      </c>
      <c r="K918" s="11" t="n">
        <v>44768</v>
      </c>
      <c r="L918" s="7" t="inlineStr">
        <is>
          <t>roll following on the LME panel calendar</t>
        </is>
      </c>
      <c r="N918" s="7" t="inlineStr">
        <is>
          <t>PROXY</t>
        </is>
      </c>
      <c r="O918" s="9" t="n">
        <v>-607609.96</v>
      </c>
      <c r="P918" s="9" t="n">
        <v>-607609.96</v>
      </c>
      <c r="U918" s="7" t="inlineStr">
        <is>
          <t>DERIVED_IN_WORKBOOK</t>
        </is>
      </c>
      <c r="V918" s="8">
        <f>SUMIFS(Cashflows!$R$1043:$R$1393,Cashflows!$B$1043:$B$1393,$C918,Cashflows!$C$1043:$C$1393,$K918)</f>
        <v/>
      </c>
      <c r="W918" s="8">
        <f>IF($G918="INR",1,INDEX(Market_Daily!$F$6:$F$256,MATCH($K918,Market_Daily!$A$6:$A$256,0)))</f>
        <v/>
      </c>
      <c r="X918" s="8">
        <f>$V918*$W918</f>
        <v/>
      </c>
      <c r="Y918" s="18">
        <f>$X918-$P918</f>
        <v/>
      </c>
      <c r="Z918" s="8">
        <f>IF(ABS($Y918)&lt;=tol_cashflow_inr,"PASS","FAIL")</f>
        <v/>
      </c>
      <c r="AA918" s="7" t="inlineStr">
        <is>
          <t>direction x lots x lot_kg x (F(s) - F(s-1))</t>
        </is>
      </c>
    </row>
    <row r="919">
      <c r="A919" s="7" t="inlineStr">
        <is>
          <t>T08</t>
        </is>
      </c>
      <c r="B919" s="7" t="inlineStr">
        <is>
          <t>MCX:T08-MCX-1</t>
        </is>
      </c>
      <c r="C919" s="7" t="inlineStr">
        <is>
          <t>T08-MCX-1</t>
        </is>
      </c>
      <c r="D919" s="7" t="inlineStr">
        <is>
          <t>MCX_INITIAL_MARGIN</t>
        </is>
      </c>
      <c r="E919" s="7" t="inlineStr">
        <is>
          <t>MCX_INITIAL_MARGIN</t>
        </is>
      </c>
      <c r="F919" s="7" t="inlineStr">
        <is>
          <t>BS</t>
        </is>
      </c>
      <c r="G919" s="7" t="inlineStr">
        <is>
          <t>INR</t>
        </is>
      </c>
      <c r="H919" s="11" t="n">
        <v>44757</v>
      </c>
      <c r="I919" s="11" t="n">
        <v>44769</v>
      </c>
      <c r="J919" s="11" t="n">
        <v>44769</v>
      </c>
      <c r="K919" s="11" t="n">
        <v>44769</v>
      </c>
      <c r="L919" s="7" t="inlineStr">
        <is>
          <t>roll following on the LME panel calendar</t>
        </is>
      </c>
      <c r="N919" s="7" t="inlineStr">
        <is>
          <t>PROXY</t>
        </is>
      </c>
      <c r="O919" s="9" t="n">
        <v>436525.79</v>
      </c>
      <c r="P919" s="9" t="n">
        <v>436525.79</v>
      </c>
      <c r="U919" s="7" t="inlineStr">
        <is>
          <t>DERIVED_IN_WORKBOOK</t>
        </is>
      </c>
      <c r="V919" s="8">
        <f>-SUMIFS(Cashflows!$W$1043:$W$1393,Cashflows!$B$1043:$B$1393,$C919,Cashflows!$C$1043:$C$1393,$K919)</f>
        <v/>
      </c>
      <c r="W919" s="8">
        <f>IF($G919="INR",1,INDEX(Market_Daily!$F$6:$F$256,MATCH($K919,Market_Daily!$A$6:$A$256,0)))</f>
        <v/>
      </c>
      <c r="X919" s="8">
        <f>$V919*$W919</f>
        <v/>
      </c>
      <c r="Y919" s="18">
        <f>$X919-$P919</f>
        <v/>
      </c>
      <c r="Z919" s="8">
        <f>IF(ABS($Y919)&lt;=tol_cashflow_inr,"PASS","FAIL")</f>
        <v/>
      </c>
      <c r="AA919" s="7" t="inlineStr">
        <is>
          <t>-d(lots x lot_kg x F(s) x mcx_al_margin_used_frac)</t>
        </is>
      </c>
    </row>
    <row r="920">
      <c r="A920" s="7" t="inlineStr">
        <is>
          <t>T08</t>
        </is>
      </c>
      <c r="B920" s="7" t="inlineStr">
        <is>
          <t>MCX:T08-MCX-1</t>
        </is>
      </c>
      <c r="C920" s="7" t="inlineStr">
        <is>
          <t>T08-MCX-1</t>
        </is>
      </c>
      <c r="D920" s="7" t="inlineStr">
        <is>
          <t>MCX_VARIATION_MARGIN</t>
        </is>
      </c>
      <c r="E920" s="7" t="inlineStr">
        <is>
          <t>MCX_VARIATION_MARGIN</t>
        </is>
      </c>
      <c r="F920" s="7" t="inlineStr">
        <is>
          <t>PNL</t>
        </is>
      </c>
      <c r="G920" s="7" t="inlineStr">
        <is>
          <t>INR</t>
        </is>
      </c>
      <c r="H920" s="11" t="n">
        <v>44757</v>
      </c>
      <c r="I920" s="11" t="n">
        <v>44769</v>
      </c>
      <c r="J920" s="11" t="n">
        <v>44769</v>
      </c>
      <c r="K920" s="11" t="n">
        <v>44769</v>
      </c>
      <c r="L920" s="7" t="inlineStr">
        <is>
          <t>roll following on the LME panel calendar</t>
        </is>
      </c>
      <c r="N920" s="7" t="inlineStr">
        <is>
          <t>PROXY</t>
        </is>
      </c>
      <c r="O920" s="9" t="n">
        <v>4365257.94</v>
      </c>
      <c r="P920" s="9" t="n">
        <v>4365257.94</v>
      </c>
      <c r="U920" s="7" t="inlineStr">
        <is>
          <t>DERIVED_IN_WORKBOOK</t>
        </is>
      </c>
      <c r="V920" s="8">
        <f>SUMIFS(Cashflows!$R$1043:$R$1393,Cashflows!$B$1043:$B$1393,$C920,Cashflows!$C$1043:$C$1393,$K920)</f>
        <v/>
      </c>
      <c r="W920" s="8">
        <f>IF($G920="INR",1,INDEX(Market_Daily!$F$6:$F$256,MATCH($K920,Market_Daily!$A$6:$A$256,0)))</f>
        <v/>
      </c>
      <c r="X920" s="8">
        <f>$V920*$W920</f>
        <v/>
      </c>
      <c r="Y920" s="18">
        <f>$X920-$P920</f>
        <v/>
      </c>
      <c r="Z920" s="8">
        <f>IF(ABS($Y920)&lt;=tol_cashflow_inr,"PASS","FAIL")</f>
        <v/>
      </c>
      <c r="AA920" s="7" t="inlineStr">
        <is>
          <t>direction x lots x lot_kg x (F(s) - F(s-1))</t>
        </is>
      </c>
    </row>
    <row r="921">
      <c r="A921" s="7" t="inlineStr">
        <is>
          <t>T08</t>
        </is>
      </c>
      <c r="B921" s="7" t="inlineStr">
        <is>
          <t>MCX:T08-MCX-1</t>
        </is>
      </c>
      <c r="C921" s="7" t="inlineStr">
        <is>
          <t>T08-MCX-1</t>
        </is>
      </c>
      <c r="D921" s="7" t="inlineStr">
        <is>
          <t>MCX_INITIAL_MARGIN</t>
        </is>
      </c>
      <c r="E921" s="7" t="inlineStr">
        <is>
          <t>MCX_INITIAL_MARGIN</t>
        </is>
      </c>
      <c r="F921" s="7" t="inlineStr">
        <is>
          <t>BS</t>
        </is>
      </c>
      <c r="G921" s="7" t="inlineStr">
        <is>
          <t>INR</t>
        </is>
      </c>
      <c r="H921" s="11" t="n">
        <v>44757</v>
      </c>
      <c r="I921" s="11" t="n">
        <v>44770</v>
      </c>
      <c r="J921" s="11" t="n">
        <v>44770</v>
      </c>
      <c r="K921" s="11" t="n">
        <v>44770</v>
      </c>
      <c r="L921" s="7" t="inlineStr">
        <is>
          <t>roll following on the LME panel calendar</t>
        </is>
      </c>
      <c r="N921" s="7" t="inlineStr">
        <is>
          <t>PROXY</t>
        </is>
      </c>
      <c r="O921" s="9" t="n">
        <v>-597991.63</v>
      </c>
      <c r="P921" s="9" t="n">
        <v>-597991.63</v>
      </c>
      <c r="U921" s="7" t="inlineStr">
        <is>
          <t>DERIVED_IN_WORKBOOK</t>
        </is>
      </c>
      <c r="V921" s="8">
        <f>-SUMIFS(Cashflows!$W$1043:$W$1393,Cashflows!$B$1043:$B$1393,$C921,Cashflows!$C$1043:$C$1393,$K921)</f>
        <v/>
      </c>
      <c r="W921" s="8">
        <f>IF($G921="INR",1,INDEX(Market_Daily!$F$6:$F$256,MATCH($K921,Market_Daily!$A$6:$A$256,0)))</f>
        <v/>
      </c>
      <c r="X921" s="8">
        <f>$V921*$W921</f>
        <v/>
      </c>
      <c r="Y921" s="18">
        <f>$X921-$P921</f>
        <v/>
      </c>
      <c r="Z921" s="8">
        <f>IF(ABS($Y921)&lt;=tol_cashflow_inr,"PASS","FAIL")</f>
        <v/>
      </c>
      <c r="AA921" s="7" t="inlineStr">
        <is>
          <t>-d(lots x lot_kg x F(s) x mcx_al_margin_used_frac)</t>
        </is>
      </c>
    </row>
    <row r="922">
      <c r="A922" s="7" t="inlineStr">
        <is>
          <t>T08</t>
        </is>
      </c>
      <c r="B922" s="7" t="inlineStr">
        <is>
          <t>MCX:T08-MCX-1</t>
        </is>
      </c>
      <c r="C922" s="7" t="inlineStr">
        <is>
          <t>T08-MCX-1</t>
        </is>
      </c>
      <c r="D922" s="7" t="inlineStr">
        <is>
          <t>MCX_VARIATION_MARGIN</t>
        </is>
      </c>
      <c r="E922" s="7" t="inlineStr">
        <is>
          <t>MCX_VARIATION_MARGIN</t>
        </is>
      </c>
      <c r="F922" s="7" t="inlineStr">
        <is>
          <t>PNL</t>
        </is>
      </c>
      <c r="G922" s="7" t="inlineStr">
        <is>
          <t>INR</t>
        </is>
      </c>
      <c r="H922" s="11" t="n">
        <v>44757</v>
      </c>
      <c r="I922" s="11" t="n">
        <v>44770</v>
      </c>
      <c r="J922" s="11" t="n">
        <v>44770</v>
      </c>
      <c r="K922" s="11" t="n">
        <v>44770</v>
      </c>
      <c r="L922" s="7" t="inlineStr">
        <is>
          <t>roll following on the LME panel calendar</t>
        </is>
      </c>
      <c r="N922" s="7" t="inlineStr">
        <is>
          <t>PROXY</t>
        </is>
      </c>
      <c r="O922" s="9" t="n">
        <v>-5979916.28</v>
      </c>
      <c r="P922" s="9" t="n">
        <v>-5979916.28</v>
      </c>
      <c r="U922" s="7" t="inlineStr">
        <is>
          <t>DERIVED_IN_WORKBOOK</t>
        </is>
      </c>
      <c r="V922" s="8">
        <f>SUMIFS(Cashflows!$R$1043:$R$1393,Cashflows!$B$1043:$B$1393,$C922,Cashflows!$C$1043:$C$1393,$K922)</f>
        <v/>
      </c>
      <c r="W922" s="8">
        <f>IF($G922="INR",1,INDEX(Market_Daily!$F$6:$F$256,MATCH($K922,Market_Daily!$A$6:$A$256,0)))</f>
        <v/>
      </c>
      <c r="X922" s="8">
        <f>$V922*$W922</f>
        <v/>
      </c>
      <c r="Y922" s="18">
        <f>$X922-$P922</f>
        <v/>
      </c>
      <c r="Z922" s="8">
        <f>IF(ABS($Y922)&lt;=tol_cashflow_inr,"PASS","FAIL")</f>
        <v/>
      </c>
      <c r="AA922" s="7" t="inlineStr">
        <is>
          <t>direction x lots x lot_kg x (F(s) - F(s-1))</t>
        </is>
      </c>
    </row>
    <row r="923">
      <c r="A923" s="7" t="inlineStr">
        <is>
          <t>T08</t>
        </is>
      </c>
      <c r="B923" s="7" t="inlineStr">
        <is>
          <t>MCX:T08-MCX-1</t>
        </is>
      </c>
      <c r="C923" s="7" t="inlineStr">
        <is>
          <t>T08-MCX-1</t>
        </is>
      </c>
      <c r="D923" s="7" t="inlineStr">
        <is>
          <t>MCX_INITIAL_MARGIN</t>
        </is>
      </c>
      <c r="E923" s="7" t="inlineStr">
        <is>
          <t>MCX_INITIAL_MARGIN</t>
        </is>
      </c>
      <c r="F923" s="7" t="inlineStr">
        <is>
          <t>BS</t>
        </is>
      </c>
      <c r="G923" s="7" t="inlineStr">
        <is>
          <t>INR</t>
        </is>
      </c>
      <c r="H923" s="11" t="n">
        <v>44757</v>
      </c>
      <c r="I923" s="11" t="n">
        <v>44771</v>
      </c>
      <c r="J923" s="11" t="n">
        <v>44771</v>
      </c>
      <c r="K923" s="11" t="n">
        <v>44771</v>
      </c>
      <c r="L923" s="7" t="inlineStr">
        <is>
          <t>roll following on the LME panel calendar</t>
        </is>
      </c>
      <c r="N923" s="7" t="inlineStr">
        <is>
          <t>PROXY</t>
        </is>
      </c>
      <c r="O923" s="9" t="n">
        <v>176771.35</v>
      </c>
      <c r="P923" s="9" t="n">
        <v>176771.35</v>
      </c>
      <c r="U923" s="7" t="inlineStr">
        <is>
          <t>DERIVED_IN_WORKBOOK</t>
        </is>
      </c>
      <c r="V923" s="8">
        <f>-SUMIFS(Cashflows!$W$1043:$W$1393,Cashflows!$B$1043:$B$1393,$C923,Cashflows!$C$1043:$C$1393,$K923)</f>
        <v/>
      </c>
      <c r="W923" s="8">
        <f>IF($G923="INR",1,INDEX(Market_Daily!$F$6:$F$256,MATCH($K923,Market_Daily!$A$6:$A$256,0)))</f>
        <v/>
      </c>
      <c r="X923" s="8">
        <f>$V923*$W923</f>
        <v/>
      </c>
      <c r="Y923" s="18">
        <f>$X923-$P923</f>
        <v/>
      </c>
      <c r="Z923" s="8">
        <f>IF(ABS($Y923)&lt;=tol_cashflow_inr,"PASS","FAIL")</f>
        <v/>
      </c>
      <c r="AA923" s="7" t="inlineStr">
        <is>
          <t>-d(lots x lot_kg x F(s) x mcx_al_margin_used_frac)</t>
        </is>
      </c>
    </row>
    <row r="924">
      <c r="A924" s="7" t="inlineStr">
        <is>
          <t>T08</t>
        </is>
      </c>
      <c r="B924" s="7" t="inlineStr">
        <is>
          <t>MCX:T08-MCX-1</t>
        </is>
      </c>
      <c r="C924" s="7" t="inlineStr">
        <is>
          <t>T08-MCX-1</t>
        </is>
      </c>
      <c r="D924" s="7" t="inlineStr">
        <is>
          <t>MCX_VARIATION_MARGIN</t>
        </is>
      </c>
      <c r="E924" s="7" t="inlineStr">
        <is>
          <t>MCX_VARIATION_MARGIN</t>
        </is>
      </c>
      <c r="F924" s="7" t="inlineStr">
        <is>
          <t>PNL</t>
        </is>
      </c>
      <c r="G924" s="7" t="inlineStr">
        <is>
          <t>INR</t>
        </is>
      </c>
      <c r="H924" s="11" t="n">
        <v>44757</v>
      </c>
      <c r="I924" s="11" t="n">
        <v>44771</v>
      </c>
      <c r="J924" s="11" t="n">
        <v>44771</v>
      </c>
      <c r="K924" s="11" t="n">
        <v>44771</v>
      </c>
      <c r="L924" s="7" t="inlineStr">
        <is>
          <t>roll following on the LME panel calendar</t>
        </is>
      </c>
      <c r="N924" s="7" t="inlineStr">
        <is>
          <t>PROXY</t>
        </is>
      </c>
      <c r="O924" s="9" t="n">
        <v>1767713.47</v>
      </c>
      <c r="P924" s="9" t="n">
        <v>1767713.47</v>
      </c>
      <c r="U924" s="7" t="inlineStr">
        <is>
          <t>DERIVED_IN_WORKBOOK</t>
        </is>
      </c>
      <c r="V924" s="8">
        <f>SUMIFS(Cashflows!$R$1043:$R$1393,Cashflows!$B$1043:$B$1393,$C924,Cashflows!$C$1043:$C$1393,$K924)</f>
        <v/>
      </c>
      <c r="W924" s="8">
        <f>IF($G924="INR",1,INDEX(Market_Daily!$F$6:$F$256,MATCH($K924,Market_Daily!$A$6:$A$256,0)))</f>
        <v/>
      </c>
      <c r="X924" s="8">
        <f>$V924*$W924</f>
        <v/>
      </c>
      <c r="Y924" s="18">
        <f>$X924-$P924</f>
        <v/>
      </c>
      <c r="Z924" s="8">
        <f>IF(ABS($Y924)&lt;=tol_cashflow_inr,"PASS","FAIL")</f>
        <v/>
      </c>
      <c r="AA924" s="7" t="inlineStr">
        <is>
          <t>direction x lots x lot_kg x (F(s) - F(s-1))</t>
        </is>
      </c>
    </row>
    <row r="925">
      <c r="A925" s="7" t="inlineStr">
        <is>
          <t>T08</t>
        </is>
      </c>
      <c r="B925" s="7" t="inlineStr">
        <is>
          <t>MCX:T08-MCX-1</t>
        </is>
      </c>
      <c r="C925" s="7" t="inlineStr">
        <is>
          <t>T08-MCX-1</t>
        </is>
      </c>
      <c r="D925" s="7" t="inlineStr">
        <is>
          <t>MCX_INITIAL_MARGIN</t>
        </is>
      </c>
      <c r="E925" s="7" t="inlineStr">
        <is>
          <t>MCX_INITIAL_MARGIN</t>
        </is>
      </c>
      <c r="F925" s="7" t="inlineStr">
        <is>
          <t>BS</t>
        </is>
      </c>
      <c r="G925" s="7" t="inlineStr">
        <is>
          <t>INR</t>
        </is>
      </c>
      <c r="H925" s="11" t="n">
        <v>44757</v>
      </c>
      <c r="I925" s="11" t="n">
        <v>44774</v>
      </c>
      <c r="J925" s="11" t="n">
        <v>44774</v>
      </c>
      <c r="K925" s="11" t="n">
        <v>44774</v>
      </c>
      <c r="L925" s="7" t="inlineStr">
        <is>
          <t>roll following on the LME panel calendar</t>
        </is>
      </c>
      <c r="N925" s="7" t="inlineStr">
        <is>
          <t>PROXY</t>
        </is>
      </c>
      <c r="O925" s="9" t="n">
        <v>-91379.98</v>
      </c>
      <c r="P925" s="9" t="n">
        <v>-91379.98</v>
      </c>
      <c r="U925" s="7" t="inlineStr">
        <is>
          <t>DERIVED_IN_WORKBOOK</t>
        </is>
      </c>
      <c r="V925" s="8">
        <f>-SUMIFS(Cashflows!$W$1043:$W$1393,Cashflows!$B$1043:$B$1393,$C925,Cashflows!$C$1043:$C$1393,$K925)</f>
        <v/>
      </c>
      <c r="W925" s="8">
        <f>IF($G925="INR",1,INDEX(Market_Daily!$F$6:$F$256,MATCH($K925,Market_Daily!$A$6:$A$256,0)))</f>
        <v/>
      </c>
      <c r="X925" s="8">
        <f>$V925*$W925</f>
        <v/>
      </c>
      <c r="Y925" s="18">
        <f>$X925-$P925</f>
        <v/>
      </c>
      <c r="Z925" s="8">
        <f>IF(ABS($Y925)&lt;=tol_cashflow_inr,"PASS","FAIL")</f>
        <v/>
      </c>
      <c r="AA925" s="7" t="inlineStr">
        <is>
          <t>-d(lots x lot_kg x F(s) x mcx_al_margin_used_frac)</t>
        </is>
      </c>
    </row>
    <row r="926">
      <c r="A926" s="7" t="inlineStr">
        <is>
          <t>T08</t>
        </is>
      </c>
      <c r="B926" s="7" t="inlineStr">
        <is>
          <t>MCX:T08-MCX-1</t>
        </is>
      </c>
      <c r="C926" s="7" t="inlineStr">
        <is>
          <t>T08-MCX-1</t>
        </is>
      </c>
      <c r="D926" s="7" t="inlineStr">
        <is>
          <t>MCX_VARIATION_MARGIN</t>
        </is>
      </c>
      <c r="E926" s="7" t="inlineStr">
        <is>
          <t>MCX_VARIATION_MARGIN</t>
        </is>
      </c>
      <c r="F926" s="7" t="inlineStr">
        <is>
          <t>PNL</t>
        </is>
      </c>
      <c r="G926" s="7" t="inlineStr">
        <is>
          <t>INR</t>
        </is>
      </c>
      <c r="H926" s="11" t="n">
        <v>44757</v>
      </c>
      <c r="I926" s="11" t="n">
        <v>44774</v>
      </c>
      <c r="J926" s="11" t="n">
        <v>44774</v>
      </c>
      <c r="K926" s="11" t="n">
        <v>44774</v>
      </c>
      <c r="L926" s="7" t="inlineStr">
        <is>
          <t>roll following on the LME panel calendar</t>
        </is>
      </c>
      <c r="N926" s="7" t="inlineStr">
        <is>
          <t>PROXY</t>
        </is>
      </c>
      <c r="O926" s="9" t="n">
        <v>-913799.8100000001</v>
      </c>
      <c r="P926" s="9" t="n">
        <v>-913799.8100000001</v>
      </c>
      <c r="U926" s="7" t="inlineStr">
        <is>
          <t>DERIVED_IN_WORKBOOK</t>
        </is>
      </c>
      <c r="V926" s="8">
        <f>SUMIFS(Cashflows!$R$1043:$R$1393,Cashflows!$B$1043:$B$1393,$C926,Cashflows!$C$1043:$C$1393,$K926)</f>
        <v/>
      </c>
      <c r="W926" s="8">
        <f>IF($G926="INR",1,INDEX(Market_Daily!$F$6:$F$256,MATCH($K926,Market_Daily!$A$6:$A$256,0)))</f>
        <v/>
      </c>
      <c r="X926" s="8">
        <f>$V926*$W926</f>
        <v/>
      </c>
      <c r="Y926" s="18">
        <f>$X926-$P926</f>
        <v/>
      </c>
      <c r="Z926" s="8">
        <f>IF(ABS($Y926)&lt;=tol_cashflow_inr,"PASS","FAIL")</f>
        <v/>
      </c>
      <c r="AA926" s="7" t="inlineStr">
        <is>
          <t>direction x lots x lot_kg x (F(s) - F(s-1))</t>
        </is>
      </c>
    </row>
    <row r="927">
      <c r="A927" s="7" t="inlineStr">
        <is>
          <t>T08</t>
        </is>
      </c>
      <c r="B927" s="7" t="inlineStr">
        <is>
          <t>MCX:T08-MCX-1</t>
        </is>
      </c>
      <c r="C927" s="7" t="inlineStr">
        <is>
          <t>T08-MCX-1</t>
        </is>
      </c>
      <c r="D927" s="7" t="inlineStr">
        <is>
          <t>MCX_INITIAL_MARGIN</t>
        </is>
      </c>
      <c r="E927" s="7" t="inlineStr">
        <is>
          <t>MCX_INITIAL_MARGIN</t>
        </is>
      </c>
      <c r="F927" s="7" t="inlineStr">
        <is>
          <t>BS</t>
        </is>
      </c>
      <c r="G927" s="7" t="inlineStr">
        <is>
          <t>INR</t>
        </is>
      </c>
      <c r="H927" s="11" t="n">
        <v>44757</v>
      </c>
      <c r="I927" s="11" t="n">
        <v>44775</v>
      </c>
      <c r="J927" s="11" t="n">
        <v>44775</v>
      </c>
      <c r="K927" s="11" t="n">
        <v>44775</v>
      </c>
      <c r="L927" s="7" t="inlineStr">
        <is>
          <t>roll following on the LME panel calendar</t>
        </is>
      </c>
      <c r="N927" s="7" t="inlineStr">
        <is>
          <t>PROXY</t>
        </is>
      </c>
      <c r="O927" s="9" t="n">
        <v>372077.7</v>
      </c>
      <c r="P927" s="9" t="n">
        <v>372077.7</v>
      </c>
      <c r="U927" s="7" t="inlineStr">
        <is>
          <t>DERIVED_IN_WORKBOOK</t>
        </is>
      </c>
      <c r="V927" s="8">
        <f>-SUMIFS(Cashflows!$W$1043:$W$1393,Cashflows!$B$1043:$B$1393,$C927,Cashflows!$C$1043:$C$1393,$K927)</f>
        <v/>
      </c>
      <c r="W927" s="8">
        <f>IF($G927="INR",1,INDEX(Market_Daily!$F$6:$F$256,MATCH($K927,Market_Daily!$A$6:$A$256,0)))</f>
        <v/>
      </c>
      <c r="X927" s="8">
        <f>$V927*$W927</f>
        <v/>
      </c>
      <c r="Y927" s="18">
        <f>$X927-$P927</f>
        <v/>
      </c>
      <c r="Z927" s="8">
        <f>IF(ABS($Y927)&lt;=tol_cashflow_inr,"PASS","FAIL")</f>
        <v/>
      </c>
      <c r="AA927" s="7" t="inlineStr">
        <is>
          <t>-d(lots x lot_kg x F(s) x mcx_al_margin_used_frac)</t>
        </is>
      </c>
    </row>
    <row r="928">
      <c r="A928" s="7" t="inlineStr">
        <is>
          <t>T08</t>
        </is>
      </c>
      <c r="B928" s="7" t="inlineStr">
        <is>
          <t>MCX:T08-MCX-1</t>
        </is>
      </c>
      <c r="C928" s="7" t="inlineStr">
        <is>
          <t>T08-MCX-1</t>
        </is>
      </c>
      <c r="D928" s="7" t="inlineStr">
        <is>
          <t>MCX_VARIATION_MARGIN</t>
        </is>
      </c>
      <c r="E928" s="7" t="inlineStr">
        <is>
          <t>MCX_VARIATION_MARGIN</t>
        </is>
      </c>
      <c r="F928" s="7" t="inlineStr">
        <is>
          <t>PNL</t>
        </is>
      </c>
      <c r="G928" s="7" t="inlineStr">
        <is>
          <t>INR</t>
        </is>
      </c>
      <c r="H928" s="11" t="n">
        <v>44757</v>
      </c>
      <c r="I928" s="11" t="n">
        <v>44775</v>
      </c>
      <c r="J928" s="11" t="n">
        <v>44775</v>
      </c>
      <c r="K928" s="11" t="n">
        <v>44775</v>
      </c>
      <c r="L928" s="7" t="inlineStr">
        <is>
          <t>roll following on the LME panel calendar</t>
        </is>
      </c>
      <c r="N928" s="7" t="inlineStr">
        <is>
          <t>PROXY</t>
        </is>
      </c>
      <c r="O928" s="9" t="n">
        <v>3720776.99</v>
      </c>
      <c r="P928" s="9" t="n">
        <v>3720776.99</v>
      </c>
      <c r="U928" s="7" t="inlineStr">
        <is>
          <t>DERIVED_IN_WORKBOOK</t>
        </is>
      </c>
      <c r="V928" s="8">
        <f>SUMIFS(Cashflows!$R$1043:$R$1393,Cashflows!$B$1043:$B$1393,$C928,Cashflows!$C$1043:$C$1393,$K928)</f>
        <v/>
      </c>
      <c r="W928" s="8">
        <f>IF($G928="INR",1,INDEX(Market_Daily!$F$6:$F$256,MATCH($K928,Market_Daily!$A$6:$A$256,0)))</f>
        <v/>
      </c>
      <c r="X928" s="8">
        <f>$V928*$W928</f>
        <v/>
      </c>
      <c r="Y928" s="18">
        <f>$X928-$P928</f>
        <v/>
      </c>
      <c r="Z928" s="8">
        <f>IF(ABS($Y928)&lt;=tol_cashflow_inr,"PASS","FAIL")</f>
        <v/>
      </c>
      <c r="AA928" s="7" t="inlineStr">
        <is>
          <t>direction x lots x lot_kg x (F(s) - F(s-1))</t>
        </is>
      </c>
    </row>
    <row r="929">
      <c r="A929" s="7" t="inlineStr">
        <is>
          <t>T08</t>
        </is>
      </c>
      <c r="B929" s="7" t="inlineStr">
        <is>
          <t>MCX:T08-MCX-1</t>
        </is>
      </c>
      <c r="C929" s="7" t="inlineStr">
        <is>
          <t>T08-MCX-1</t>
        </is>
      </c>
      <c r="D929" s="7" t="inlineStr">
        <is>
          <t>MCX_INITIAL_MARGIN</t>
        </is>
      </c>
      <c r="E929" s="7" t="inlineStr">
        <is>
          <t>MCX_INITIAL_MARGIN</t>
        </is>
      </c>
      <c r="F929" s="7" t="inlineStr">
        <is>
          <t>BS</t>
        </is>
      </c>
      <c r="G929" s="7" t="inlineStr">
        <is>
          <t>INR</t>
        </is>
      </c>
      <c r="H929" s="11" t="n">
        <v>44757</v>
      </c>
      <c r="I929" s="11" t="n">
        <v>44776</v>
      </c>
      <c r="J929" s="11" t="n">
        <v>44776</v>
      </c>
      <c r="K929" s="11" t="n">
        <v>44776</v>
      </c>
      <c r="L929" s="7" t="inlineStr">
        <is>
          <t>roll following on the LME panel calendar</t>
        </is>
      </c>
      <c r="N929" s="7" t="inlineStr">
        <is>
          <t>PROXY</t>
        </is>
      </c>
      <c r="O929" s="9" t="n">
        <v>273122.54</v>
      </c>
      <c r="P929" s="9" t="n">
        <v>273122.54</v>
      </c>
      <c r="U929" s="7" t="inlineStr">
        <is>
          <t>DERIVED_IN_WORKBOOK</t>
        </is>
      </c>
      <c r="V929" s="8">
        <f>-SUMIFS(Cashflows!$W$1043:$W$1393,Cashflows!$B$1043:$B$1393,$C929,Cashflows!$C$1043:$C$1393,$K929)</f>
        <v/>
      </c>
      <c r="W929" s="8">
        <f>IF($G929="INR",1,INDEX(Market_Daily!$F$6:$F$256,MATCH($K929,Market_Daily!$A$6:$A$256,0)))</f>
        <v/>
      </c>
      <c r="X929" s="8">
        <f>$V929*$W929</f>
        <v/>
      </c>
      <c r="Y929" s="18">
        <f>$X929-$P929</f>
        <v/>
      </c>
      <c r="Z929" s="8">
        <f>IF(ABS($Y929)&lt;=tol_cashflow_inr,"PASS","FAIL")</f>
        <v/>
      </c>
      <c r="AA929" s="7" t="inlineStr">
        <is>
          <t>-d(lots x lot_kg x F(s) x mcx_al_margin_used_frac)</t>
        </is>
      </c>
    </row>
    <row r="930">
      <c r="A930" s="7" t="inlineStr">
        <is>
          <t>T08</t>
        </is>
      </c>
      <c r="B930" s="7" t="inlineStr">
        <is>
          <t>MCX:T08-MCX-1</t>
        </is>
      </c>
      <c r="C930" s="7" t="inlineStr">
        <is>
          <t>T08-MCX-1</t>
        </is>
      </c>
      <c r="D930" s="7" t="inlineStr">
        <is>
          <t>MCX_VARIATION_MARGIN</t>
        </is>
      </c>
      <c r="E930" s="7" t="inlineStr">
        <is>
          <t>MCX_VARIATION_MARGIN</t>
        </is>
      </c>
      <c r="F930" s="7" t="inlineStr">
        <is>
          <t>PNL</t>
        </is>
      </c>
      <c r="G930" s="7" t="inlineStr">
        <is>
          <t>INR</t>
        </is>
      </c>
      <c r="H930" s="11" t="n">
        <v>44757</v>
      </c>
      <c r="I930" s="11" t="n">
        <v>44776</v>
      </c>
      <c r="J930" s="11" t="n">
        <v>44776</v>
      </c>
      <c r="K930" s="11" t="n">
        <v>44776</v>
      </c>
      <c r="L930" s="7" t="inlineStr">
        <is>
          <t>roll following on the LME panel calendar</t>
        </is>
      </c>
      <c r="N930" s="7" t="inlineStr">
        <is>
          <t>PROXY</t>
        </is>
      </c>
      <c r="O930" s="9" t="n">
        <v>2731225.38</v>
      </c>
      <c r="P930" s="9" t="n">
        <v>2731225.38</v>
      </c>
      <c r="U930" s="7" t="inlineStr">
        <is>
          <t>DERIVED_IN_WORKBOOK</t>
        </is>
      </c>
      <c r="V930" s="8">
        <f>SUMIFS(Cashflows!$R$1043:$R$1393,Cashflows!$B$1043:$B$1393,$C930,Cashflows!$C$1043:$C$1393,$K930)</f>
        <v/>
      </c>
      <c r="W930" s="8">
        <f>IF($G930="INR",1,INDEX(Market_Daily!$F$6:$F$256,MATCH($K930,Market_Daily!$A$6:$A$256,0)))</f>
        <v/>
      </c>
      <c r="X930" s="8">
        <f>$V930*$W930</f>
        <v/>
      </c>
      <c r="Y930" s="18">
        <f>$X930-$P930</f>
        <v/>
      </c>
      <c r="Z930" s="8">
        <f>IF(ABS($Y930)&lt;=tol_cashflow_inr,"PASS","FAIL")</f>
        <v/>
      </c>
      <c r="AA930" s="7" t="inlineStr">
        <is>
          <t>direction x lots x lot_kg x (F(s) - F(s-1))</t>
        </is>
      </c>
    </row>
    <row r="931">
      <c r="A931" s="7" t="inlineStr">
        <is>
          <t>T08</t>
        </is>
      </c>
      <c r="B931" s="7" t="inlineStr">
        <is>
          <t>MCX:T08-MCX-1</t>
        </is>
      </c>
      <c r="C931" s="7" t="inlineStr">
        <is>
          <t>T08-MCX-1</t>
        </is>
      </c>
      <c r="D931" s="7" t="inlineStr">
        <is>
          <t>MCX_INITIAL_MARGIN</t>
        </is>
      </c>
      <c r="E931" s="7" t="inlineStr">
        <is>
          <t>MCX_INITIAL_MARGIN</t>
        </is>
      </c>
      <c r="F931" s="7" t="inlineStr">
        <is>
          <t>BS</t>
        </is>
      </c>
      <c r="G931" s="7" t="inlineStr">
        <is>
          <t>INR</t>
        </is>
      </c>
      <c r="H931" s="11" t="n">
        <v>44757</v>
      </c>
      <c r="I931" s="11" t="n">
        <v>44777</v>
      </c>
      <c r="J931" s="11" t="n">
        <v>44777</v>
      </c>
      <c r="K931" s="11" t="n">
        <v>44777</v>
      </c>
      <c r="L931" s="7" t="inlineStr">
        <is>
          <t>roll following on the LME panel calendar</t>
        </is>
      </c>
      <c r="N931" s="7" t="inlineStr">
        <is>
          <t>PROXY</t>
        </is>
      </c>
      <c r="O931" s="9" t="n">
        <v>236306.78</v>
      </c>
      <c r="P931" s="9" t="n">
        <v>236306.78</v>
      </c>
      <c r="U931" s="7" t="inlineStr">
        <is>
          <t>DERIVED_IN_WORKBOOK</t>
        </is>
      </c>
      <c r="V931" s="8">
        <f>-SUMIFS(Cashflows!$W$1043:$W$1393,Cashflows!$B$1043:$B$1393,$C931,Cashflows!$C$1043:$C$1393,$K931)</f>
        <v/>
      </c>
      <c r="W931" s="8">
        <f>IF($G931="INR",1,INDEX(Market_Daily!$F$6:$F$256,MATCH($K931,Market_Daily!$A$6:$A$256,0)))</f>
        <v/>
      </c>
      <c r="X931" s="8">
        <f>$V931*$W931</f>
        <v/>
      </c>
      <c r="Y931" s="18">
        <f>$X931-$P931</f>
        <v/>
      </c>
      <c r="Z931" s="8">
        <f>IF(ABS($Y931)&lt;=tol_cashflow_inr,"PASS","FAIL")</f>
        <v/>
      </c>
      <c r="AA931" s="7" t="inlineStr">
        <is>
          <t>-d(lots x lot_kg x F(s) x mcx_al_margin_used_frac)</t>
        </is>
      </c>
    </row>
    <row r="932">
      <c r="A932" s="7" t="inlineStr">
        <is>
          <t>T08</t>
        </is>
      </c>
      <c r="B932" s="7" t="inlineStr">
        <is>
          <t>MCX:T08-MCX-1</t>
        </is>
      </c>
      <c r="C932" s="7" t="inlineStr">
        <is>
          <t>T08-MCX-1</t>
        </is>
      </c>
      <c r="D932" s="7" t="inlineStr">
        <is>
          <t>MCX_VARIATION_MARGIN</t>
        </is>
      </c>
      <c r="E932" s="7" t="inlineStr">
        <is>
          <t>MCX_VARIATION_MARGIN</t>
        </is>
      </c>
      <c r="F932" s="7" t="inlineStr">
        <is>
          <t>PNL</t>
        </is>
      </c>
      <c r="G932" s="7" t="inlineStr">
        <is>
          <t>INR</t>
        </is>
      </c>
      <c r="H932" s="11" t="n">
        <v>44757</v>
      </c>
      <c r="I932" s="11" t="n">
        <v>44777</v>
      </c>
      <c r="J932" s="11" t="n">
        <v>44777</v>
      </c>
      <c r="K932" s="11" t="n">
        <v>44777</v>
      </c>
      <c r="L932" s="7" t="inlineStr">
        <is>
          <t>roll following on the LME panel calendar</t>
        </is>
      </c>
      <c r="N932" s="7" t="inlineStr">
        <is>
          <t>PROXY</t>
        </is>
      </c>
      <c r="O932" s="9" t="n">
        <v>2363067.83</v>
      </c>
      <c r="P932" s="9" t="n">
        <v>2363067.83</v>
      </c>
      <c r="U932" s="7" t="inlineStr">
        <is>
          <t>DERIVED_IN_WORKBOOK</t>
        </is>
      </c>
      <c r="V932" s="8">
        <f>SUMIFS(Cashflows!$R$1043:$R$1393,Cashflows!$B$1043:$B$1393,$C932,Cashflows!$C$1043:$C$1393,$K932)</f>
        <v/>
      </c>
      <c r="W932" s="8">
        <f>IF($G932="INR",1,INDEX(Market_Daily!$F$6:$F$256,MATCH($K932,Market_Daily!$A$6:$A$256,0)))</f>
        <v/>
      </c>
      <c r="X932" s="8">
        <f>$V932*$W932</f>
        <v/>
      </c>
      <c r="Y932" s="18">
        <f>$X932-$P932</f>
        <v/>
      </c>
      <c r="Z932" s="8">
        <f>IF(ABS($Y932)&lt;=tol_cashflow_inr,"PASS","FAIL")</f>
        <v/>
      </c>
      <c r="AA932" s="7" t="inlineStr">
        <is>
          <t>direction x lots x lot_kg x (F(s) - F(s-1))</t>
        </is>
      </c>
    </row>
    <row r="933">
      <c r="A933" s="7" t="inlineStr">
        <is>
          <t>T08</t>
        </is>
      </c>
      <c r="B933" s="7" t="inlineStr">
        <is>
          <t>FX:T08-FX-3</t>
        </is>
      </c>
      <c r="C933" s="7" t="inlineStr">
        <is>
          <t>T08-FX-3</t>
        </is>
      </c>
      <c r="D933" s="7" t="inlineStr">
        <is>
          <t>FX_FORWARD</t>
        </is>
      </c>
      <c r="E933" s="7" t="inlineStr">
        <is>
          <t>FX_FORWARD</t>
        </is>
      </c>
      <c r="F933" s="7" t="inlineStr">
        <is>
          <t>PNL</t>
        </is>
      </c>
      <c r="G933" s="7" t="inlineStr">
        <is>
          <t>INR</t>
        </is>
      </c>
      <c r="H933" s="11" t="n">
        <v>44774</v>
      </c>
      <c r="I933" s="11" t="n">
        <v>44778</v>
      </c>
      <c r="J933" s="11" t="n">
        <v>44778</v>
      </c>
      <c r="K933" s="11" t="n">
        <v>44778</v>
      </c>
      <c r="L933" s="7" t="inlineStr">
        <is>
          <t>roll following on the LME panel calendar</t>
        </is>
      </c>
      <c r="N933" s="7" t="inlineStr">
        <is>
          <t>PROXY</t>
        </is>
      </c>
      <c r="O933" s="9" t="n">
        <v>-1065.64</v>
      </c>
      <c r="P933" s="9" t="n">
        <v>-1065.64</v>
      </c>
      <c r="Q933" s="6" t="n">
        <v>1</v>
      </c>
      <c r="R933" s="13" t="n">
        <v>90000</v>
      </c>
      <c r="S933" s="12" t="n">
        <v>44778</v>
      </c>
      <c r="T933" s="21" t="n">
        <v>79.21334</v>
      </c>
      <c r="U933" s="7" t="inlineStr">
        <is>
          <t>DERIVED_IN_WORKBOOK</t>
        </is>
      </c>
      <c r="V933" s="8">
        <f>$Q933*$R933*(IF($S933&lt;$K933,INDEX(Market_Daily!$F$6:$F$256,MATCH($S933,Market_Daily!$A$6:$A$256,1)),IF($S933=$K933,INDEX(Market_Daily!$F$6:$F$256,MATCH($K933,Market_Daily!$A$6:$A$256,0)),(INDEX(Market_Daily!$F$6:$F$256,MATCH($K933,Market_Daily!$A$6:$A$256,0))*(1+INDEX(Market_Daily!$I$6:$I$256,MATCH($K933,Market_Daily!$A$6:$A$256,0))*($S933-$K933)/day_count_inr)/(1+INDEX(Market_Daily!$J$6:$J$256,MATCH($K933,Market_Daily!$A$6:$A$256,0))*($S933-$K933)/day_count_usd))))-$T933)</f>
        <v/>
      </c>
      <c r="W933" s="8">
        <f>IF($G933="INR",1,INDEX(Market_Daily!$F$6:$F$256,MATCH($K933,Market_Daily!$A$6:$A$256,0)))</f>
        <v/>
      </c>
      <c r="X933" s="8">
        <f>$V933*$W933</f>
        <v/>
      </c>
      <c r="Y933" s="18">
        <f>$X933-$P933</f>
        <v/>
      </c>
      <c r="Z933" s="8">
        <f>IF(ABS($Y933)&lt;=tol_cashflow_inr,"PASS","FAIL")</f>
        <v/>
      </c>
      <c r="AA933" s="7" t="inlineStr">
        <is>
          <t>sign x notional x (X(tau, value_date) - K)</t>
        </is>
      </c>
    </row>
    <row r="934">
      <c r="A934" s="7" t="inlineStr">
        <is>
          <t>T08</t>
        </is>
      </c>
      <c r="B934" s="7" t="inlineStr">
        <is>
          <t>MCX:T08-MCX-1</t>
        </is>
      </c>
      <c r="C934" s="7" t="inlineStr">
        <is>
          <t>T08-MCX-1</t>
        </is>
      </c>
      <c r="D934" s="7" t="inlineStr">
        <is>
          <t>MCX_INITIAL_MARGIN</t>
        </is>
      </c>
      <c r="E934" s="7" t="inlineStr">
        <is>
          <t>MCX_INITIAL_MARGIN</t>
        </is>
      </c>
      <c r="F934" s="7" t="inlineStr">
        <is>
          <t>BS</t>
        </is>
      </c>
      <c r="G934" s="7" t="inlineStr">
        <is>
          <t>INR</t>
        </is>
      </c>
      <c r="H934" s="11" t="n">
        <v>44757</v>
      </c>
      <c r="I934" s="11" t="n">
        <v>44778</v>
      </c>
      <c r="J934" s="11" t="n">
        <v>44778</v>
      </c>
      <c r="K934" s="11" t="n">
        <v>44778</v>
      </c>
      <c r="L934" s="7" t="inlineStr">
        <is>
          <t>roll following on the LME panel calendar</t>
        </is>
      </c>
      <c r="N934" s="7" t="inlineStr">
        <is>
          <t>PROXY</t>
        </is>
      </c>
      <c r="O934" s="9" t="n">
        <v>-692879.77</v>
      </c>
      <c r="P934" s="9" t="n">
        <v>-692879.77</v>
      </c>
      <c r="U934" s="7" t="inlineStr">
        <is>
          <t>DERIVED_IN_WORKBOOK</t>
        </is>
      </c>
      <c r="V934" s="8">
        <f>-SUMIFS(Cashflows!$W$1043:$W$1393,Cashflows!$B$1043:$B$1393,$C934,Cashflows!$C$1043:$C$1393,$K934)</f>
        <v/>
      </c>
      <c r="W934" s="8">
        <f>IF($G934="INR",1,INDEX(Market_Daily!$F$6:$F$256,MATCH($K934,Market_Daily!$A$6:$A$256,0)))</f>
        <v/>
      </c>
      <c r="X934" s="8">
        <f>$V934*$W934</f>
        <v/>
      </c>
      <c r="Y934" s="18">
        <f>$X934-$P934</f>
        <v/>
      </c>
      <c r="Z934" s="8">
        <f>IF(ABS($Y934)&lt;=tol_cashflow_inr,"PASS","FAIL")</f>
        <v/>
      </c>
      <c r="AA934" s="7" t="inlineStr">
        <is>
          <t>-d(lots x lot_kg x F(s) x mcx_al_margin_used_frac)</t>
        </is>
      </c>
    </row>
    <row r="935">
      <c r="A935" s="7" t="inlineStr">
        <is>
          <t>T08</t>
        </is>
      </c>
      <c r="B935" s="7" t="inlineStr">
        <is>
          <t>MCX:T08-MCX-1</t>
        </is>
      </c>
      <c r="C935" s="7" t="inlineStr">
        <is>
          <t>T08-MCX-1</t>
        </is>
      </c>
      <c r="D935" s="7" t="inlineStr">
        <is>
          <t>MCX_VARIATION_MARGIN</t>
        </is>
      </c>
      <c r="E935" s="7" t="inlineStr">
        <is>
          <t>MCX_VARIATION_MARGIN</t>
        </is>
      </c>
      <c r="F935" s="7" t="inlineStr">
        <is>
          <t>PNL</t>
        </is>
      </c>
      <c r="G935" s="7" t="inlineStr">
        <is>
          <t>INR</t>
        </is>
      </c>
      <c r="H935" s="11" t="n">
        <v>44757</v>
      </c>
      <c r="I935" s="11" t="n">
        <v>44778</v>
      </c>
      <c r="J935" s="11" t="n">
        <v>44778</v>
      </c>
      <c r="K935" s="11" t="n">
        <v>44778</v>
      </c>
      <c r="L935" s="7" t="inlineStr">
        <is>
          <t>roll following on the LME panel calendar</t>
        </is>
      </c>
      <c r="N935" s="7" t="inlineStr">
        <is>
          <t>PROXY</t>
        </is>
      </c>
      <c r="O935" s="9" t="n">
        <v>-6928797.71</v>
      </c>
      <c r="P935" s="9" t="n">
        <v>-6928797.71</v>
      </c>
      <c r="U935" s="7" t="inlineStr">
        <is>
          <t>DERIVED_IN_WORKBOOK</t>
        </is>
      </c>
      <c r="V935" s="8">
        <f>SUMIFS(Cashflows!$R$1043:$R$1393,Cashflows!$B$1043:$B$1393,$C935,Cashflows!$C$1043:$C$1393,$K935)</f>
        <v/>
      </c>
      <c r="W935" s="8">
        <f>IF($G935="INR",1,INDEX(Market_Daily!$F$6:$F$256,MATCH($K935,Market_Daily!$A$6:$A$256,0)))</f>
        <v/>
      </c>
      <c r="X935" s="8">
        <f>$V935*$W935</f>
        <v/>
      </c>
      <c r="Y935" s="18">
        <f>$X935-$P935</f>
        <v/>
      </c>
      <c r="Z935" s="8">
        <f>IF(ABS($Y935)&lt;=tol_cashflow_inr,"PASS","FAIL")</f>
        <v/>
      </c>
      <c r="AA935" s="7" t="inlineStr">
        <is>
          <t>direction x lots x lot_kg x (F(s) - F(s-1))</t>
        </is>
      </c>
    </row>
    <row r="936">
      <c r="A936" s="7" t="inlineStr">
        <is>
          <t>T08</t>
        </is>
      </c>
      <c r="B936" s="7" t="inlineStr">
        <is>
          <t>MCX:T08-MCX-1</t>
        </is>
      </c>
      <c r="C936" s="7" t="inlineStr">
        <is>
          <t>T08-MCX-1</t>
        </is>
      </c>
      <c r="D936" s="7" t="inlineStr">
        <is>
          <t>MCX_INITIAL_MARGIN</t>
        </is>
      </c>
      <c r="E936" s="7" t="inlineStr">
        <is>
          <t>MCX_INITIAL_MARGIN</t>
        </is>
      </c>
      <c r="F936" s="7" t="inlineStr">
        <is>
          <t>BS</t>
        </is>
      </c>
      <c r="G936" s="7" t="inlineStr">
        <is>
          <t>INR</t>
        </is>
      </c>
      <c r="H936" s="11" t="n">
        <v>44757</v>
      </c>
      <c r="I936" s="11" t="n">
        <v>44781</v>
      </c>
      <c r="J936" s="11" t="n">
        <v>44781</v>
      </c>
      <c r="K936" s="11" t="n">
        <v>44781</v>
      </c>
      <c r="L936" s="7" t="inlineStr">
        <is>
          <t>roll following on the LME panel calendar</t>
        </is>
      </c>
      <c r="N936" s="7" t="inlineStr">
        <is>
          <t>PROXY</t>
        </is>
      </c>
      <c r="O936" s="9" t="n">
        <v>14062.77</v>
      </c>
      <c r="P936" s="9" t="n">
        <v>14062.77</v>
      </c>
      <c r="U936" s="7" t="inlineStr">
        <is>
          <t>DERIVED_IN_WORKBOOK</t>
        </is>
      </c>
      <c r="V936" s="8">
        <f>-SUMIFS(Cashflows!$W$1043:$W$1393,Cashflows!$B$1043:$B$1393,$C936,Cashflows!$C$1043:$C$1393,$K936)</f>
        <v/>
      </c>
      <c r="W936" s="8">
        <f>IF($G936="INR",1,INDEX(Market_Daily!$F$6:$F$256,MATCH($K936,Market_Daily!$A$6:$A$256,0)))</f>
        <v/>
      </c>
      <c r="X936" s="8">
        <f>$V936*$W936</f>
        <v/>
      </c>
      <c r="Y936" s="18">
        <f>$X936-$P936</f>
        <v/>
      </c>
      <c r="Z936" s="8">
        <f>IF(ABS($Y936)&lt;=tol_cashflow_inr,"PASS","FAIL")</f>
        <v/>
      </c>
      <c r="AA936" s="7" t="inlineStr">
        <is>
          <t>-d(lots x lot_kg x F(s) x mcx_al_margin_used_frac)</t>
        </is>
      </c>
    </row>
    <row r="937">
      <c r="A937" s="7" t="inlineStr">
        <is>
          <t>T08</t>
        </is>
      </c>
      <c r="B937" s="7" t="inlineStr">
        <is>
          <t>MCX:T08-MCX-1</t>
        </is>
      </c>
      <c r="C937" s="7" t="inlineStr">
        <is>
          <t>T08-MCX-1</t>
        </is>
      </c>
      <c r="D937" s="7" t="inlineStr">
        <is>
          <t>MCX_VARIATION_MARGIN</t>
        </is>
      </c>
      <c r="E937" s="7" t="inlineStr">
        <is>
          <t>MCX_VARIATION_MARGIN</t>
        </is>
      </c>
      <c r="F937" s="7" t="inlineStr">
        <is>
          <t>PNL</t>
        </is>
      </c>
      <c r="G937" s="7" t="inlineStr">
        <is>
          <t>INR</t>
        </is>
      </c>
      <c r="H937" s="11" t="n">
        <v>44757</v>
      </c>
      <c r="I937" s="11" t="n">
        <v>44781</v>
      </c>
      <c r="J937" s="11" t="n">
        <v>44781</v>
      </c>
      <c r="K937" s="11" t="n">
        <v>44781</v>
      </c>
      <c r="L937" s="7" t="inlineStr">
        <is>
          <t>roll following on the LME panel calendar</t>
        </is>
      </c>
      <c r="N937" s="7" t="inlineStr">
        <is>
          <t>PROXY</t>
        </is>
      </c>
      <c r="O937" s="9" t="n">
        <v>140627.73</v>
      </c>
      <c r="P937" s="9" t="n">
        <v>140627.73</v>
      </c>
      <c r="U937" s="7" t="inlineStr">
        <is>
          <t>DERIVED_IN_WORKBOOK</t>
        </is>
      </c>
      <c r="V937" s="8">
        <f>SUMIFS(Cashflows!$R$1043:$R$1393,Cashflows!$B$1043:$B$1393,$C937,Cashflows!$C$1043:$C$1393,$K937)</f>
        <v/>
      </c>
      <c r="W937" s="8">
        <f>IF($G937="INR",1,INDEX(Market_Daily!$F$6:$F$256,MATCH($K937,Market_Daily!$A$6:$A$256,0)))</f>
        <v/>
      </c>
      <c r="X937" s="8">
        <f>$V937*$W937</f>
        <v/>
      </c>
      <c r="Y937" s="18">
        <f>$X937-$P937</f>
        <v/>
      </c>
      <c r="Z937" s="8">
        <f>IF(ABS($Y937)&lt;=tol_cashflow_inr,"PASS","FAIL")</f>
        <v/>
      </c>
      <c r="AA937" s="7" t="inlineStr">
        <is>
          <t>direction x lots x lot_kg x (F(s) - F(s-1))</t>
        </is>
      </c>
    </row>
    <row r="938">
      <c r="A938" s="7" t="inlineStr">
        <is>
          <t>T08</t>
        </is>
      </c>
      <c r="B938" s="7" t="inlineStr">
        <is>
          <t>DUTY:L1</t>
        </is>
      </c>
      <c r="C938" s="7" t="inlineStr">
        <is>
          <t>L1</t>
        </is>
      </c>
      <c r="D938" s="7" t="inlineStr">
        <is>
          <t>CUSTOMS_DUTY</t>
        </is>
      </c>
      <c r="E938" s="7" t="inlineStr">
        <is>
          <t>CUSTOMS_DUTY</t>
        </is>
      </c>
      <c r="F938" s="7" t="inlineStr">
        <is>
          <t>PNL</t>
        </is>
      </c>
      <c r="G938" s="7" t="inlineStr">
        <is>
          <t>INR</t>
        </is>
      </c>
      <c r="H938" s="11" t="n">
        <v>44720</v>
      </c>
      <c r="I938" s="11" t="n">
        <v>44782</v>
      </c>
      <c r="J938" s="11" t="n">
        <v>44782</v>
      </c>
      <c r="K938" s="11" t="n">
        <v>44782</v>
      </c>
      <c r="L938" s="7" t="inlineStr">
        <is>
          <t>roll following on the LME panel calendar</t>
        </is>
      </c>
      <c r="N938" s="7" t="inlineStr">
        <is>
          <t>DIRECT</t>
        </is>
      </c>
      <c r="O938" s="9" t="n">
        <v>-3563536.19</v>
      </c>
      <c r="P938" s="9" t="n">
        <v>-3563536.19</v>
      </c>
      <c r="U938" s="7" t="inlineStr">
        <is>
          <t>PYTHON_LIFECYCLE</t>
        </is>
      </c>
      <c r="V938" s="8">
        <f>$O938</f>
        <v/>
      </c>
      <c r="W938" s="8">
        <f>IF($G938="INR",1,INDEX(Market_Daily!$F$6:$F$256,MATCH($K938,Market_Daily!$A$6:$A$256,0)))</f>
        <v/>
      </c>
      <c r="X938" s="8">
        <f>$V938*$W938</f>
        <v/>
      </c>
      <c r="Y938" s="18">
        <f>$X938-$P938</f>
        <v/>
      </c>
      <c r="Z938" s="8">
        <f>IF(ABS($Y938)&lt;=tol_cashflow_inr,"PASS","FAIL")</f>
        <v/>
      </c>
      <c r="AA938" s="7" t="inlineStr">
        <is>
          <t>-assessable_inr x bcd_scrap_hs7602 x (1 + sws_rate_on_bcd)</t>
        </is>
      </c>
    </row>
    <row r="939">
      <c r="A939" s="7" t="inlineStr">
        <is>
          <t>T08</t>
        </is>
      </c>
      <c r="B939" s="7" t="inlineStr">
        <is>
          <t>DUTY:L1</t>
        </is>
      </c>
      <c r="C939" s="7" t="inlineStr">
        <is>
          <t>L1</t>
        </is>
      </c>
      <c r="D939" s="7" t="inlineStr">
        <is>
          <t>CUSTOMS_DUTY_DIFFERENTIAL</t>
        </is>
      </c>
      <c r="E939" s="7" t="inlineStr">
        <is>
          <t>CUSTOMS_DUTY_DIFFERENTIAL</t>
        </is>
      </c>
      <c r="F939" s="7" t="inlineStr">
        <is>
          <t>PNL</t>
        </is>
      </c>
      <c r="G939" s="7" t="inlineStr">
        <is>
          <t>INR</t>
        </is>
      </c>
      <c r="H939" s="11" t="n">
        <v>44720</v>
      </c>
      <c r="I939" s="11" t="n">
        <v>44782</v>
      </c>
      <c r="J939" s="11" t="n">
        <v>44782</v>
      </c>
      <c r="K939" s="11" t="n">
        <v>44782</v>
      </c>
      <c r="L939" s="7" t="inlineStr">
        <is>
          <t>roll following on the LME panel calendar</t>
        </is>
      </c>
      <c r="N939" s="7" t="inlineStr">
        <is>
          <t>DIRECT</t>
        </is>
      </c>
      <c r="O939" s="9" t="n">
        <v>78263.66</v>
      </c>
      <c r="P939" s="9" t="n">
        <v>78263.66</v>
      </c>
      <c r="U939" s="7" t="inlineStr">
        <is>
          <t>PYTHON_LIFECYCLE</t>
        </is>
      </c>
      <c r="V939" s="8">
        <f>$O939</f>
        <v/>
      </c>
      <c r="W939" s="8">
        <f>IF($G939="INR",1,INDEX(Market_Daily!$F$6:$F$256,MATCH($K939,Market_Daily!$A$6:$A$256,0)))</f>
        <v/>
      </c>
      <c r="X939" s="8">
        <f>$V939*$W939</f>
        <v/>
      </c>
      <c r="Y939" s="18">
        <f>$X939-$P939</f>
        <v/>
      </c>
      <c r="Z939" s="8">
        <f>IF(ABS($Y939)&lt;=tol_cashflow_inr,"PASS","FAIL")</f>
        <v/>
      </c>
      <c r="AA939" s="7" t="inlineStr">
        <is>
          <t>-dAV x bcd x (1 + sws) on (P_final - P_provisional)</t>
        </is>
      </c>
    </row>
    <row r="940">
      <c r="A940" s="7" t="inlineStr">
        <is>
          <t>T08</t>
        </is>
      </c>
      <c r="B940" s="7" t="inlineStr">
        <is>
          <t>IGST:L1</t>
        </is>
      </c>
      <c r="C940" s="7" t="inlineStr">
        <is>
          <t>L1</t>
        </is>
      </c>
      <c r="D940" s="7" t="inlineStr">
        <is>
          <t>IGST_IMPORT</t>
        </is>
      </c>
      <c r="E940" s="7" t="inlineStr">
        <is>
          <t>IGST_IMPORT</t>
        </is>
      </c>
      <c r="F940" s="7" t="inlineStr">
        <is>
          <t>BS</t>
        </is>
      </c>
      <c r="G940" s="7" t="inlineStr">
        <is>
          <t>INR</t>
        </is>
      </c>
      <c r="H940" s="11" t="n">
        <v>44720</v>
      </c>
      <c r="I940" s="11" t="n">
        <v>44782</v>
      </c>
      <c r="J940" s="11" t="n">
        <v>44782</v>
      </c>
      <c r="K940" s="11" t="n">
        <v>44782</v>
      </c>
      <c r="L940" s="7" t="inlineStr">
        <is>
          <t>roll following on the LME panel calendar</t>
        </is>
      </c>
      <c r="N940" s="7" t="inlineStr">
        <is>
          <t>DIRECT</t>
        </is>
      </c>
      <c r="O940" s="9" t="n">
        <v>-23966400.68</v>
      </c>
      <c r="P940" s="9" t="n">
        <v>-23966400.68</v>
      </c>
      <c r="U940" s="7" t="inlineStr">
        <is>
          <t>PYTHON_LIFECYCLE</t>
        </is>
      </c>
      <c r="V940" s="8">
        <f>$O940</f>
        <v/>
      </c>
      <c r="W940" s="8">
        <f>IF($G940="INR",1,INDEX(Market_Daily!$F$6:$F$256,MATCH($K940,Market_Daily!$A$6:$A$256,0)))</f>
        <v/>
      </c>
      <c r="X940" s="8">
        <f>$V940*$W940</f>
        <v/>
      </c>
      <c r="Y940" s="18">
        <f>$X940-$P940</f>
        <v/>
      </c>
      <c r="Z940" s="8">
        <f>IF(ABS($Y940)&lt;=tol_cashflow_inr,"PASS","FAIL")</f>
        <v/>
      </c>
      <c r="AA940" s="7" t="inlineStr">
        <is>
          <t>-(assessable + duty) x igst_rate_hs7602</t>
        </is>
      </c>
    </row>
    <row r="941">
      <c r="A941" s="7" t="inlineStr">
        <is>
          <t>T08</t>
        </is>
      </c>
      <c r="B941" s="7" t="inlineStr">
        <is>
          <t>MCX:T08-MCX-1</t>
        </is>
      </c>
      <c r="C941" s="7" t="inlineStr">
        <is>
          <t>T08-MCX-1</t>
        </is>
      </c>
      <c r="D941" s="7" t="inlineStr">
        <is>
          <t>MCX_INITIAL_MARGIN</t>
        </is>
      </c>
      <c r="E941" s="7" t="inlineStr">
        <is>
          <t>MCX_INITIAL_MARGIN</t>
        </is>
      </c>
      <c r="F941" s="7" t="inlineStr">
        <is>
          <t>BS</t>
        </is>
      </c>
      <c r="G941" s="7" t="inlineStr">
        <is>
          <t>INR</t>
        </is>
      </c>
      <c r="H941" s="11" t="n">
        <v>44757</v>
      </c>
      <c r="I941" s="11" t="n">
        <v>44782</v>
      </c>
      <c r="J941" s="11" t="n">
        <v>44782</v>
      </c>
      <c r="K941" s="11" t="n">
        <v>44782</v>
      </c>
      <c r="L941" s="7" t="inlineStr">
        <is>
          <t>roll following on the LME panel calendar</t>
        </is>
      </c>
      <c r="N941" s="7" t="inlineStr">
        <is>
          <t>PROXY</t>
        </is>
      </c>
      <c r="O941" s="9" t="n">
        <v>-506471.11</v>
      </c>
      <c r="P941" s="9" t="n">
        <v>-506471.11</v>
      </c>
      <c r="U941" s="7" t="inlineStr">
        <is>
          <t>DERIVED_IN_WORKBOOK</t>
        </is>
      </c>
      <c r="V941" s="8">
        <f>-SUMIFS(Cashflows!$W$1043:$W$1393,Cashflows!$B$1043:$B$1393,$C941,Cashflows!$C$1043:$C$1393,$K941)</f>
        <v/>
      </c>
      <c r="W941" s="8">
        <f>IF($G941="INR",1,INDEX(Market_Daily!$F$6:$F$256,MATCH($K941,Market_Daily!$A$6:$A$256,0)))</f>
        <v/>
      </c>
      <c r="X941" s="8">
        <f>$V941*$W941</f>
        <v/>
      </c>
      <c r="Y941" s="18">
        <f>$X941-$P941</f>
        <v/>
      </c>
      <c r="Z941" s="8">
        <f>IF(ABS($Y941)&lt;=tol_cashflow_inr,"PASS","FAIL")</f>
        <v/>
      </c>
      <c r="AA941" s="7" t="inlineStr">
        <is>
          <t>-d(lots x lot_kg x F(s) x mcx_al_margin_used_frac)</t>
        </is>
      </c>
    </row>
    <row r="942">
      <c r="A942" s="7" t="inlineStr">
        <is>
          <t>T08</t>
        </is>
      </c>
      <c r="B942" s="7" t="inlineStr">
        <is>
          <t>MCX:T08-MCX-1</t>
        </is>
      </c>
      <c r="C942" s="7" t="inlineStr">
        <is>
          <t>T08-MCX-1</t>
        </is>
      </c>
      <c r="D942" s="7" t="inlineStr">
        <is>
          <t>MCX_VARIATION_MARGIN</t>
        </is>
      </c>
      <c r="E942" s="7" t="inlineStr">
        <is>
          <t>MCX_VARIATION_MARGIN</t>
        </is>
      </c>
      <c r="F942" s="7" t="inlineStr">
        <is>
          <t>PNL</t>
        </is>
      </c>
      <c r="G942" s="7" t="inlineStr">
        <is>
          <t>INR</t>
        </is>
      </c>
      <c r="H942" s="11" t="n">
        <v>44757</v>
      </c>
      <c r="I942" s="11" t="n">
        <v>44782</v>
      </c>
      <c r="J942" s="11" t="n">
        <v>44782</v>
      </c>
      <c r="K942" s="11" t="n">
        <v>44782</v>
      </c>
      <c r="L942" s="7" t="inlineStr">
        <is>
          <t>roll following on the LME panel calendar</t>
        </is>
      </c>
      <c r="N942" s="7" t="inlineStr">
        <is>
          <t>PROXY</t>
        </is>
      </c>
      <c r="O942" s="9" t="n">
        <v>-5064711.1</v>
      </c>
      <c r="P942" s="9" t="n">
        <v>-5064711.1</v>
      </c>
      <c r="U942" s="7" t="inlineStr">
        <is>
          <t>DERIVED_IN_WORKBOOK</t>
        </is>
      </c>
      <c r="V942" s="8">
        <f>SUMIFS(Cashflows!$R$1043:$R$1393,Cashflows!$B$1043:$B$1393,$C942,Cashflows!$C$1043:$C$1393,$K942)</f>
        <v/>
      </c>
      <c r="W942" s="8">
        <f>IF($G942="INR",1,INDEX(Market_Daily!$F$6:$F$256,MATCH($K942,Market_Daily!$A$6:$A$256,0)))</f>
        <v/>
      </c>
      <c r="X942" s="8">
        <f>$V942*$W942</f>
        <v/>
      </c>
      <c r="Y942" s="18">
        <f>$X942-$P942</f>
        <v/>
      </c>
      <c r="Z942" s="8">
        <f>IF(ABS($Y942)&lt;=tol_cashflow_inr,"PASS","FAIL")</f>
        <v/>
      </c>
      <c r="AA942" s="7" t="inlineStr">
        <is>
          <t>direction x lots x lot_kg x (F(s) - F(s-1))</t>
        </is>
      </c>
    </row>
    <row r="943">
      <c r="A943" s="7" t="inlineStr">
        <is>
          <t>T08</t>
        </is>
      </c>
      <c r="B943" s="7" t="inlineStr">
        <is>
          <t>PURCHASE:L1</t>
        </is>
      </c>
      <c r="C943" s="7" t="inlineStr">
        <is>
          <t>L1</t>
        </is>
      </c>
      <c r="D943" s="7" t="inlineStr">
        <is>
          <t>PURCHASE_FINAL</t>
        </is>
      </c>
      <c r="E943" s="7" t="inlineStr">
        <is>
          <t>PURCHASE_FINAL</t>
        </is>
      </c>
      <c r="F943" s="7" t="inlineStr">
        <is>
          <t>PNL</t>
        </is>
      </c>
      <c r="G943" s="7" t="inlineStr">
        <is>
          <t>USD</t>
        </is>
      </c>
      <c r="H943" s="11" t="n">
        <v>44720</v>
      </c>
      <c r="I943" s="11" t="n">
        <v>44782</v>
      </c>
      <c r="J943" s="11" t="n">
        <v>44782</v>
      </c>
      <c r="K943" s="11" t="n">
        <v>44782</v>
      </c>
      <c r="L943" s="7" t="inlineStr">
        <is>
          <t>roll following on the LME panel calendar</t>
        </is>
      </c>
      <c r="N943" s="7" t="inlineStr">
        <is>
          <t>DIRECT</t>
        </is>
      </c>
      <c r="O943" s="9" t="n">
        <v>-45223.84</v>
      </c>
      <c r="P943" s="9" t="n">
        <v>-3597316.94</v>
      </c>
      <c r="U943" s="7" t="inlineStr">
        <is>
          <t>PYTHON_LIFECYCLE</t>
        </is>
      </c>
      <c r="V943" s="8">
        <f>$O943</f>
        <v/>
      </c>
      <c r="W943" s="8">
        <f>IF($G943="INR",1,INDEX(Market_Daily!$F$6:$F$256,MATCH($K943,Market_Daily!$A$6:$A$256,0)))</f>
        <v/>
      </c>
      <c r="X943" s="8">
        <f>$V943*$W943</f>
        <v/>
      </c>
      <c r="Y943" s="18">
        <f>$X943-$P943</f>
        <v/>
      </c>
      <c r="Z943" s="8">
        <f>IF(ABS($Y943)&lt;=tol_cashflow_inr,"PASS","FAIL")</f>
        <v/>
      </c>
      <c r="AA943" s="7" t="inlineStr">
        <is>
          <t>-(q_acc x (factor x A_P + premium) x (1 - disc) - provisional)</t>
        </is>
      </c>
    </row>
    <row r="944">
      <c r="A944" s="7" t="inlineStr">
        <is>
          <t>T08</t>
        </is>
      </c>
      <c r="B944" s="7" t="inlineStr">
        <is>
          <t>MCX:T08-MCX-1</t>
        </is>
      </c>
      <c r="C944" s="7" t="inlineStr">
        <is>
          <t>T08-MCX-1</t>
        </is>
      </c>
      <c r="D944" s="7" t="inlineStr">
        <is>
          <t>MCX_INITIAL_MARGIN</t>
        </is>
      </c>
      <c r="E944" s="7" t="inlineStr">
        <is>
          <t>MCX_INITIAL_MARGIN</t>
        </is>
      </c>
      <c r="F944" s="7" t="inlineStr">
        <is>
          <t>BS</t>
        </is>
      </c>
      <c r="G944" s="7" t="inlineStr">
        <is>
          <t>INR</t>
        </is>
      </c>
      <c r="H944" s="11" t="n">
        <v>44757</v>
      </c>
      <c r="I944" s="11" t="n">
        <v>44783</v>
      </c>
      <c r="J944" s="11" t="n">
        <v>44783</v>
      </c>
      <c r="K944" s="11" t="n">
        <v>44783</v>
      </c>
      <c r="L944" s="7" t="inlineStr">
        <is>
          <t>roll following on the LME panel calendar</t>
        </is>
      </c>
      <c r="N944" s="7" t="inlineStr">
        <is>
          <t>PROXY</t>
        </is>
      </c>
      <c r="O944" s="9" t="n">
        <v>281495.39</v>
      </c>
      <c r="P944" s="9" t="n">
        <v>281495.39</v>
      </c>
      <c r="U944" s="7" t="inlineStr">
        <is>
          <t>DERIVED_IN_WORKBOOK</t>
        </is>
      </c>
      <c r="V944" s="8">
        <f>-SUMIFS(Cashflows!$W$1043:$W$1393,Cashflows!$B$1043:$B$1393,$C944,Cashflows!$C$1043:$C$1393,$K944)</f>
        <v/>
      </c>
      <c r="W944" s="8">
        <f>IF($G944="INR",1,INDEX(Market_Daily!$F$6:$F$256,MATCH($K944,Market_Daily!$A$6:$A$256,0)))</f>
        <v/>
      </c>
      <c r="X944" s="8">
        <f>$V944*$W944</f>
        <v/>
      </c>
      <c r="Y944" s="18">
        <f>$X944-$P944</f>
        <v/>
      </c>
      <c r="Z944" s="8">
        <f>IF(ABS($Y944)&lt;=tol_cashflow_inr,"PASS","FAIL")</f>
        <v/>
      </c>
      <c r="AA944" s="7" t="inlineStr">
        <is>
          <t>-d(lots x lot_kg x F(s) x mcx_al_margin_used_frac)</t>
        </is>
      </c>
    </row>
    <row r="945">
      <c r="A945" s="7" t="inlineStr">
        <is>
          <t>T08</t>
        </is>
      </c>
      <c r="B945" s="7" t="inlineStr">
        <is>
          <t>MCX:T08-MCX-1</t>
        </is>
      </c>
      <c r="C945" s="7" t="inlineStr">
        <is>
          <t>T08-MCX-1</t>
        </is>
      </c>
      <c r="D945" s="7" t="inlineStr">
        <is>
          <t>MCX_VARIATION_MARGIN</t>
        </is>
      </c>
      <c r="E945" s="7" t="inlineStr">
        <is>
          <t>MCX_VARIATION_MARGIN</t>
        </is>
      </c>
      <c r="F945" s="7" t="inlineStr">
        <is>
          <t>PNL</t>
        </is>
      </c>
      <c r="G945" s="7" t="inlineStr">
        <is>
          <t>INR</t>
        </is>
      </c>
      <c r="H945" s="11" t="n">
        <v>44757</v>
      </c>
      <c r="I945" s="11" t="n">
        <v>44783</v>
      </c>
      <c r="J945" s="11" t="n">
        <v>44783</v>
      </c>
      <c r="K945" s="11" t="n">
        <v>44783</v>
      </c>
      <c r="L945" s="7" t="inlineStr">
        <is>
          <t>roll following on the LME panel calendar</t>
        </is>
      </c>
      <c r="N945" s="7" t="inlineStr">
        <is>
          <t>PROXY</t>
        </is>
      </c>
      <c r="O945" s="9" t="n">
        <v>2814953.91</v>
      </c>
      <c r="P945" s="9" t="n">
        <v>2814953.91</v>
      </c>
      <c r="U945" s="7" t="inlineStr">
        <is>
          <t>DERIVED_IN_WORKBOOK</t>
        </is>
      </c>
      <c r="V945" s="8">
        <f>SUMIFS(Cashflows!$R$1043:$R$1393,Cashflows!$B$1043:$B$1393,$C945,Cashflows!$C$1043:$C$1393,$K945)</f>
        <v/>
      </c>
      <c r="W945" s="8">
        <f>IF($G945="INR",1,INDEX(Market_Daily!$F$6:$F$256,MATCH($K945,Market_Daily!$A$6:$A$256,0)))</f>
        <v/>
      </c>
      <c r="X945" s="8">
        <f>$V945*$W945</f>
        <v/>
      </c>
      <c r="Y945" s="18">
        <f>$X945-$P945</f>
        <v/>
      </c>
      <c r="Z945" s="8">
        <f>IF(ABS($Y945)&lt;=tol_cashflow_inr,"PASS","FAIL")</f>
        <v/>
      </c>
      <c r="AA945" s="7" t="inlineStr">
        <is>
          <t>direction x lots x lot_kg x (F(s) - F(s-1))</t>
        </is>
      </c>
    </row>
    <row r="946">
      <c r="A946" s="7" t="inlineStr">
        <is>
          <t>T08</t>
        </is>
      </c>
      <c r="B946" s="7" t="inlineStr">
        <is>
          <t>MCX:T08-MCX-1</t>
        </is>
      </c>
      <c r="C946" s="7" t="inlineStr">
        <is>
          <t>T08-MCX-1</t>
        </is>
      </c>
      <c r="D946" s="7" t="inlineStr">
        <is>
          <t>MCX_INITIAL_MARGIN</t>
        </is>
      </c>
      <c r="E946" s="7" t="inlineStr">
        <is>
          <t>MCX_INITIAL_MARGIN</t>
        </is>
      </c>
      <c r="F946" s="7" t="inlineStr">
        <is>
          <t>BS</t>
        </is>
      </c>
      <c r="G946" s="7" t="inlineStr">
        <is>
          <t>INR</t>
        </is>
      </c>
      <c r="H946" s="11" t="n">
        <v>44757</v>
      </c>
      <c r="I946" s="11" t="n">
        <v>44784</v>
      </c>
      <c r="J946" s="11" t="n">
        <v>44784</v>
      </c>
      <c r="K946" s="11" t="n">
        <v>44784</v>
      </c>
      <c r="L946" s="7" t="inlineStr">
        <is>
          <t>roll following on the LME panel calendar</t>
        </is>
      </c>
      <c r="N946" s="7" t="inlineStr">
        <is>
          <t>PROXY</t>
        </is>
      </c>
      <c r="O946" s="9" t="n">
        <v>-388647.75</v>
      </c>
      <c r="P946" s="9" t="n">
        <v>-388647.75</v>
      </c>
      <c r="U946" s="7" t="inlineStr">
        <is>
          <t>DERIVED_IN_WORKBOOK</t>
        </is>
      </c>
      <c r="V946" s="8">
        <f>-SUMIFS(Cashflows!$W$1043:$W$1393,Cashflows!$B$1043:$B$1393,$C946,Cashflows!$C$1043:$C$1393,$K946)</f>
        <v/>
      </c>
      <c r="W946" s="8">
        <f>IF($G946="INR",1,INDEX(Market_Daily!$F$6:$F$256,MATCH($K946,Market_Daily!$A$6:$A$256,0)))</f>
        <v/>
      </c>
      <c r="X946" s="8">
        <f>$V946*$W946</f>
        <v/>
      </c>
      <c r="Y946" s="18">
        <f>$X946-$P946</f>
        <v/>
      </c>
      <c r="Z946" s="8">
        <f>IF(ABS($Y946)&lt;=tol_cashflow_inr,"PASS","FAIL")</f>
        <v/>
      </c>
      <c r="AA946" s="7" t="inlineStr">
        <is>
          <t>-d(lots x lot_kg x F(s) x mcx_al_margin_used_frac)</t>
        </is>
      </c>
    </row>
    <row r="947">
      <c r="A947" s="7" t="inlineStr">
        <is>
          <t>T08</t>
        </is>
      </c>
      <c r="B947" s="7" t="inlineStr">
        <is>
          <t>MCX:T08-MCX-1</t>
        </is>
      </c>
      <c r="C947" s="7" t="inlineStr">
        <is>
          <t>T08-MCX-1</t>
        </is>
      </c>
      <c r="D947" s="7" t="inlineStr">
        <is>
          <t>MCX_VARIATION_MARGIN</t>
        </is>
      </c>
      <c r="E947" s="7" t="inlineStr">
        <is>
          <t>MCX_VARIATION_MARGIN</t>
        </is>
      </c>
      <c r="F947" s="7" t="inlineStr">
        <is>
          <t>PNL</t>
        </is>
      </c>
      <c r="G947" s="7" t="inlineStr">
        <is>
          <t>INR</t>
        </is>
      </c>
      <c r="H947" s="11" t="n">
        <v>44757</v>
      </c>
      <c r="I947" s="11" t="n">
        <v>44784</v>
      </c>
      <c r="J947" s="11" t="n">
        <v>44784</v>
      </c>
      <c r="K947" s="11" t="n">
        <v>44784</v>
      </c>
      <c r="L947" s="7" t="inlineStr">
        <is>
          <t>roll following on the LME panel calendar</t>
        </is>
      </c>
      <c r="N947" s="7" t="inlineStr">
        <is>
          <t>PROXY</t>
        </is>
      </c>
      <c r="O947" s="9" t="n">
        <v>-3886477.55</v>
      </c>
      <c r="P947" s="9" t="n">
        <v>-3886477.55</v>
      </c>
      <c r="U947" s="7" t="inlineStr">
        <is>
          <t>DERIVED_IN_WORKBOOK</t>
        </is>
      </c>
      <c r="V947" s="8">
        <f>SUMIFS(Cashflows!$R$1043:$R$1393,Cashflows!$B$1043:$B$1393,$C947,Cashflows!$C$1043:$C$1393,$K947)</f>
        <v/>
      </c>
      <c r="W947" s="8">
        <f>IF($G947="INR",1,INDEX(Market_Daily!$F$6:$F$256,MATCH($K947,Market_Daily!$A$6:$A$256,0)))</f>
        <v/>
      </c>
      <c r="X947" s="8">
        <f>$V947*$W947</f>
        <v/>
      </c>
      <c r="Y947" s="18">
        <f>$X947-$P947</f>
        <v/>
      </c>
      <c r="Z947" s="8">
        <f>IF(ABS($Y947)&lt;=tol_cashflow_inr,"PASS","FAIL")</f>
        <v/>
      </c>
      <c r="AA947" s="7" t="inlineStr">
        <is>
          <t>direction x lots x lot_kg x (F(s) - F(s-1))</t>
        </is>
      </c>
    </row>
    <row r="948">
      <c r="A948" s="7" t="inlineStr">
        <is>
          <t>T08</t>
        </is>
      </c>
      <c r="B948" s="7" t="inlineStr">
        <is>
          <t>MCX:T08-MCX-1</t>
        </is>
      </c>
      <c r="C948" s="7" t="inlineStr">
        <is>
          <t>T08-MCX-1</t>
        </is>
      </c>
      <c r="D948" s="7" t="inlineStr">
        <is>
          <t>MCX_INITIAL_MARGIN</t>
        </is>
      </c>
      <c r="E948" s="7" t="inlineStr">
        <is>
          <t>MCX_INITIAL_MARGIN</t>
        </is>
      </c>
      <c r="F948" s="7" t="inlineStr">
        <is>
          <t>BS</t>
        </is>
      </c>
      <c r="G948" s="7" t="inlineStr">
        <is>
          <t>INR</t>
        </is>
      </c>
      <c r="H948" s="11" t="n">
        <v>44757</v>
      </c>
      <c r="I948" s="11" t="n">
        <v>44785</v>
      </c>
      <c r="J948" s="11" t="n">
        <v>44785</v>
      </c>
      <c r="K948" s="11" t="n">
        <v>44785</v>
      </c>
      <c r="L948" s="7" t="inlineStr">
        <is>
          <t>roll following on the LME panel calendar</t>
        </is>
      </c>
      <c r="N948" s="7" t="inlineStr">
        <is>
          <t>PROXY</t>
        </is>
      </c>
      <c r="O948" s="9" t="n">
        <v>257782.29</v>
      </c>
      <c r="P948" s="9" t="n">
        <v>257782.29</v>
      </c>
      <c r="U948" s="7" t="inlineStr">
        <is>
          <t>DERIVED_IN_WORKBOOK</t>
        </is>
      </c>
      <c r="V948" s="8">
        <f>-SUMIFS(Cashflows!$W$1043:$W$1393,Cashflows!$B$1043:$B$1393,$C948,Cashflows!$C$1043:$C$1393,$K948)</f>
        <v/>
      </c>
      <c r="W948" s="8">
        <f>IF($G948="INR",1,INDEX(Market_Daily!$F$6:$F$256,MATCH($K948,Market_Daily!$A$6:$A$256,0)))</f>
        <v/>
      </c>
      <c r="X948" s="8">
        <f>$V948*$W948</f>
        <v/>
      </c>
      <c r="Y948" s="18">
        <f>$X948-$P948</f>
        <v/>
      </c>
      <c r="Z948" s="8">
        <f>IF(ABS($Y948)&lt;=tol_cashflow_inr,"PASS","FAIL")</f>
        <v/>
      </c>
      <c r="AA948" s="7" t="inlineStr">
        <is>
          <t>-d(lots x lot_kg x F(s) x mcx_al_margin_used_frac)</t>
        </is>
      </c>
    </row>
    <row r="949">
      <c r="A949" s="7" t="inlineStr">
        <is>
          <t>T08</t>
        </is>
      </c>
      <c r="B949" s="7" t="inlineStr">
        <is>
          <t>MCX:T08-MCX-1</t>
        </is>
      </c>
      <c r="C949" s="7" t="inlineStr">
        <is>
          <t>T08-MCX-1</t>
        </is>
      </c>
      <c r="D949" s="7" t="inlineStr">
        <is>
          <t>MCX_VARIATION_MARGIN</t>
        </is>
      </c>
      <c r="E949" s="7" t="inlineStr">
        <is>
          <t>MCX_VARIATION_MARGIN</t>
        </is>
      </c>
      <c r="F949" s="7" t="inlineStr">
        <is>
          <t>PNL</t>
        </is>
      </c>
      <c r="G949" s="7" t="inlineStr">
        <is>
          <t>INR</t>
        </is>
      </c>
      <c r="H949" s="11" t="n">
        <v>44757</v>
      </c>
      <c r="I949" s="11" t="n">
        <v>44785</v>
      </c>
      <c r="J949" s="11" t="n">
        <v>44785</v>
      </c>
      <c r="K949" s="11" t="n">
        <v>44785</v>
      </c>
      <c r="L949" s="7" t="inlineStr">
        <is>
          <t>roll following on the LME panel calendar</t>
        </is>
      </c>
      <c r="N949" s="7" t="inlineStr">
        <is>
          <t>PROXY</t>
        </is>
      </c>
      <c r="O949" s="9" t="n">
        <v>2577822.88</v>
      </c>
      <c r="P949" s="9" t="n">
        <v>2577822.88</v>
      </c>
      <c r="U949" s="7" t="inlineStr">
        <is>
          <t>DERIVED_IN_WORKBOOK</t>
        </is>
      </c>
      <c r="V949" s="8">
        <f>SUMIFS(Cashflows!$R$1043:$R$1393,Cashflows!$B$1043:$B$1393,$C949,Cashflows!$C$1043:$C$1393,$K949)</f>
        <v/>
      </c>
      <c r="W949" s="8">
        <f>IF($G949="INR",1,INDEX(Market_Daily!$F$6:$F$256,MATCH($K949,Market_Daily!$A$6:$A$256,0)))</f>
        <v/>
      </c>
      <c r="X949" s="8">
        <f>$V949*$W949</f>
        <v/>
      </c>
      <c r="Y949" s="18">
        <f>$X949-$P949</f>
        <v/>
      </c>
      <c r="Z949" s="8">
        <f>IF(ABS($Y949)&lt;=tol_cashflow_inr,"PASS","FAIL")</f>
        <v/>
      </c>
      <c r="AA949" s="7" t="inlineStr">
        <is>
          <t>direction x lots x lot_kg x (F(s) - F(s-1))</t>
        </is>
      </c>
    </row>
    <row r="950">
      <c r="A950" s="7" t="inlineStr">
        <is>
          <t>T08</t>
        </is>
      </c>
      <c r="B950" s="7" t="inlineStr">
        <is>
          <t>MCX:T08-MCX-1</t>
        </is>
      </c>
      <c r="C950" s="7" t="inlineStr">
        <is>
          <t>T08-MCX-1</t>
        </is>
      </c>
      <c r="D950" s="7" t="inlineStr">
        <is>
          <t>MCX_INITIAL_MARGIN</t>
        </is>
      </c>
      <c r="E950" s="7" t="inlineStr">
        <is>
          <t>MCX_INITIAL_MARGIN</t>
        </is>
      </c>
      <c r="F950" s="7" t="inlineStr">
        <is>
          <t>BS</t>
        </is>
      </c>
      <c r="G950" s="7" t="inlineStr">
        <is>
          <t>INR</t>
        </is>
      </c>
      <c r="H950" s="11" t="n">
        <v>44757</v>
      </c>
      <c r="I950" s="11" t="n">
        <v>44788</v>
      </c>
      <c r="J950" s="11" t="n">
        <v>44788</v>
      </c>
      <c r="K950" s="11" t="n">
        <v>44788</v>
      </c>
      <c r="L950" s="7" t="inlineStr">
        <is>
          <t>roll following on the LME panel calendar</t>
        </is>
      </c>
      <c r="N950" s="7" t="inlineStr">
        <is>
          <t>PROXY</t>
        </is>
      </c>
      <c r="O950" s="9" t="n">
        <v>860212.58</v>
      </c>
      <c r="P950" s="9" t="n">
        <v>860212.58</v>
      </c>
      <c r="U950" s="7" t="inlineStr">
        <is>
          <t>DERIVED_IN_WORKBOOK</t>
        </is>
      </c>
      <c r="V950" s="8">
        <f>-SUMIFS(Cashflows!$W$1043:$W$1393,Cashflows!$B$1043:$B$1393,$C950,Cashflows!$C$1043:$C$1393,$K950)</f>
        <v/>
      </c>
      <c r="W950" s="8">
        <f>IF($G950="INR",1,INDEX(Market_Daily!$F$6:$F$256,MATCH($K950,Market_Daily!$A$6:$A$256,0)))</f>
        <v/>
      </c>
      <c r="X950" s="8">
        <f>$V950*$W950</f>
        <v/>
      </c>
      <c r="Y950" s="18">
        <f>$X950-$P950</f>
        <v/>
      </c>
      <c r="Z950" s="8">
        <f>IF(ABS($Y950)&lt;=tol_cashflow_inr,"PASS","FAIL")</f>
        <v/>
      </c>
      <c r="AA950" s="7" t="inlineStr">
        <is>
          <t>-d(lots x lot_kg x F(s) x mcx_al_margin_used_frac)</t>
        </is>
      </c>
    </row>
    <row r="951">
      <c r="A951" s="7" t="inlineStr">
        <is>
          <t>T08</t>
        </is>
      </c>
      <c r="B951" s="7" t="inlineStr">
        <is>
          <t>MCX:T08-MCX-1</t>
        </is>
      </c>
      <c r="C951" s="7" t="inlineStr">
        <is>
          <t>T08-MCX-1</t>
        </is>
      </c>
      <c r="D951" s="7" t="inlineStr">
        <is>
          <t>MCX_VARIATION_MARGIN</t>
        </is>
      </c>
      <c r="E951" s="7" t="inlineStr">
        <is>
          <t>MCX_VARIATION_MARGIN</t>
        </is>
      </c>
      <c r="F951" s="7" t="inlineStr">
        <is>
          <t>PNL</t>
        </is>
      </c>
      <c r="G951" s="7" t="inlineStr">
        <is>
          <t>INR</t>
        </is>
      </c>
      <c r="H951" s="11" t="n">
        <v>44757</v>
      </c>
      <c r="I951" s="11" t="n">
        <v>44788</v>
      </c>
      <c r="J951" s="11" t="n">
        <v>44788</v>
      </c>
      <c r="K951" s="11" t="n">
        <v>44788</v>
      </c>
      <c r="L951" s="7" t="inlineStr">
        <is>
          <t>roll following on the LME panel calendar</t>
        </is>
      </c>
      <c r="N951" s="7" t="inlineStr">
        <is>
          <t>PROXY</t>
        </is>
      </c>
      <c r="O951" s="9" t="n">
        <v>8602125.789999999</v>
      </c>
      <c r="P951" s="9" t="n">
        <v>8602125.789999999</v>
      </c>
      <c r="U951" s="7" t="inlineStr">
        <is>
          <t>DERIVED_IN_WORKBOOK</t>
        </is>
      </c>
      <c r="V951" s="8">
        <f>SUMIFS(Cashflows!$R$1043:$R$1393,Cashflows!$B$1043:$B$1393,$C951,Cashflows!$C$1043:$C$1393,$K951)</f>
        <v/>
      </c>
      <c r="W951" s="8">
        <f>IF($G951="INR",1,INDEX(Market_Daily!$F$6:$F$256,MATCH($K951,Market_Daily!$A$6:$A$256,0)))</f>
        <v/>
      </c>
      <c r="X951" s="8">
        <f>$V951*$W951</f>
        <v/>
      </c>
      <c r="Y951" s="18">
        <f>$X951-$P951</f>
        <v/>
      </c>
      <c r="Z951" s="8">
        <f>IF(ABS($Y951)&lt;=tol_cashflow_inr,"PASS","FAIL")</f>
        <v/>
      </c>
      <c r="AA951" s="7" t="inlineStr">
        <is>
          <t>direction x lots x lot_kg x (F(s) - F(s-1))</t>
        </is>
      </c>
    </row>
    <row r="952">
      <c r="A952" s="7" t="inlineStr">
        <is>
          <t>T08</t>
        </is>
      </c>
      <c r="B952" s="7" t="inlineStr">
        <is>
          <t>DUTY:L2</t>
        </is>
      </c>
      <c r="C952" s="7" t="inlineStr">
        <is>
          <t>L2</t>
        </is>
      </c>
      <c r="D952" s="7" t="inlineStr">
        <is>
          <t>CUSTOMS_DUTY</t>
        </is>
      </c>
      <c r="E952" s="7" t="inlineStr">
        <is>
          <t>CUSTOMS_DUTY</t>
        </is>
      </c>
      <c r="F952" s="7" t="inlineStr">
        <is>
          <t>PNL</t>
        </is>
      </c>
      <c r="G952" s="7" t="inlineStr">
        <is>
          <t>INR</t>
        </is>
      </c>
      <c r="H952" s="11" t="n">
        <v>44720</v>
      </c>
      <c r="I952" s="11" t="n">
        <v>44789</v>
      </c>
      <c r="J952" s="11" t="n">
        <v>44789</v>
      </c>
      <c r="K952" s="11" t="n">
        <v>44789</v>
      </c>
      <c r="L952" s="7" t="inlineStr">
        <is>
          <t>roll following on the LME panel calendar</t>
        </is>
      </c>
      <c r="N952" s="7" t="inlineStr">
        <is>
          <t>DIRECT</t>
        </is>
      </c>
      <c r="O952" s="9" t="n">
        <v>-3469495.41</v>
      </c>
      <c r="P952" s="9" t="n">
        <v>-3469495.41</v>
      </c>
      <c r="U952" s="7" t="inlineStr">
        <is>
          <t>PYTHON_LIFECYCLE</t>
        </is>
      </c>
      <c r="V952" s="8">
        <f>$O952</f>
        <v/>
      </c>
      <c r="W952" s="8">
        <f>IF($G952="INR",1,INDEX(Market_Daily!$F$6:$F$256,MATCH($K952,Market_Daily!$A$6:$A$256,0)))</f>
        <v/>
      </c>
      <c r="X952" s="8">
        <f>$V952*$W952</f>
        <v/>
      </c>
      <c r="Y952" s="18">
        <f>$X952-$P952</f>
        <v/>
      </c>
      <c r="Z952" s="8">
        <f>IF(ABS($Y952)&lt;=tol_cashflow_inr,"PASS","FAIL")</f>
        <v/>
      </c>
      <c r="AA952" s="7" t="inlineStr">
        <is>
          <t>-assessable_inr x bcd_scrap_hs7602 x (1 + sws_rate_on_bcd)</t>
        </is>
      </c>
    </row>
    <row r="953">
      <c r="A953" s="7" t="inlineStr">
        <is>
          <t>T08</t>
        </is>
      </c>
      <c r="B953" s="7" t="inlineStr">
        <is>
          <t>DUTY:L2</t>
        </is>
      </c>
      <c r="C953" s="7" t="inlineStr">
        <is>
          <t>L2</t>
        </is>
      </c>
      <c r="D953" s="7" t="inlineStr">
        <is>
          <t>CUSTOMS_DUTY_DIFFERENTIAL</t>
        </is>
      </c>
      <c r="E953" s="7" t="inlineStr">
        <is>
          <t>CUSTOMS_DUTY_DIFFERENTIAL</t>
        </is>
      </c>
      <c r="F953" s="7" t="inlineStr">
        <is>
          <t>PNL</t>
        </is>
      </c>
      <c r="G953" s="7" t="inlineStr">
        <is>
          <t>INR</t>
        </is>
      </c>
      <c r="H953" s="11" t="n">
        <v>44720</v>
      </c>
      <c r="I953" s="11" t="n">
        <v>44789</v>
      </c>
      <c r="J953" s="11" t="n">
        <v>44789</v>
      </c>
      <c r="K953" s="11" t="n">
        <v>44789</v>
      </c>
      <c r="L953" s="7" t="inlineStr">
        <is>
          <t>roll following on the LME panel calendar</t>
        </is>
      </c>
      <c r="N953" s="7" t="inlineStr">
        <is>
          <t>DIRECT</t>
        </is>
      </c>
      <c r="O953" s="9" t="n">
        <v>71211.98</v>
      </c>
      <c r="P953" s="9" t="n">
        <v>71211.98</v>
      </c>
      <c r="U953" s="7" t="inlineStr">
        <is>
          <t>PYTHON_LIFECYCLE</t>
        </is>
      </c>
      <c r="V953" s="8">
        <f>$O953</f>
        <v/>
      </c>
      <c r="W953" s="8">
        <f>IF($G953="INR",1,INDEX(Market_Daily!$F$6:$F$256,MATCH($K953,Market_Daily!$A$6:$A$256,0)))</f>
        <v/>
      </c>
      <c r="X953" s="8">
        <f>$V953*$W953</f>
        <v/>
      </c>
      <c r="Y953" s="18">
        <f>$X953-$P953</f>
        <v/>
      </c>
      <c r="Z953" s="8">
        <f>IF(ABS($Y953)&lt;=tol_cashflow_inr,"PASS","FAIL")</f>
        <v/>
      </c>
      <c r="AA953" s="7" t="inlineStr">
        <is>
          <t>-dAV x bcd x (1 + sws) on (P_final - P_provisional)</t>
        </is>
      </c>
    </row>
    <row r="954">
      <c r="A954" s="7" t="inlineStr">
        <is>
          <t>T08</t>
        </is>
      </c>
      <c r="B954" s="7" t="inlineStr">
        <is>
          <t>IGST:L2</t>
        </is>
      </c>
      <c r="C954" s="7" t="inlineStr">
        <is>
          <t>L2</t>
        </is>
      </c>
      <c r="D954" s="7" t="inlineStr">
        <is>
          <t>IGST_IMPORT</t>
        </is>
      </c>
      <c r="E954" s="7" t="inlineStr">
        <is>
          <t>IGST_IMPORT</t>
        </is>
      </c>
      <c r="F954" s="7" t="inlineStr">
        <is>
          <t>BS</t>
        </is>
      </c>
      <c r="G954" s="7" t="inlineStr">
        <is>
          <t>INR</t>
        </is>
      </c>
      <c r="H954" s="11" t="n">
        <v>44720</v>
      </c>
      <c r="I954" s="11" t="n">
        <v>44789</v>
      </c>
      <c r="J954" s="11" t="n">
        <v>44789</v>
      </c>
      <c r="K954" s="11" t="n">
        <v>44789</v>
      </c>
      <c r="L954" s="7" t="inlineStr">
        <is>
          <t>roll following on the LME panel calendar</t>
        </is>
      </c>
      <c r="N954" s="7" t="inlineStr">
        <is>
          <t>DIRECT</t>
        </is>
      </c>
      <c r="O954" s="9" t="n">
        <v>-23333933.66</v>
      </c>
      <c r="P954" s="9" t="n">
        <v>-23333933.66</v>
      </c>
      <c r="U954" s="7" t="inlineStr">
        <is>
          <t>PYTHON_LIFECYCLE</t>
        </is>
      </c>
      <c r="V954" s="8">
        <f>$O954</f>
        <v/>
      </c>
      <c r="W954" s="8">
        <f>IF($G954="INR",1,INDEX(Market_Daily!$F$6:$F$256,MATCH($K954,Market_Daily!$A$6:$A$256,0)))</f>
        <v/>
      </c>
      <c r="X954" s="8">
        <f>$V954*$W954</f>
        <v/>
      </c>
      <c r="Y954" s="18">
        <f>$X954-$P954</f>
        <v/>
      </c>
      <c r="Z954" s="8">
        <f>IF(ABS($Y954)&lt;=tol_cashflow_inr,"PASS","FAIL")</f>
        <v/>
      </c>
      <c r="AA954" s="7" t="inlineStr">
        <is>
          <t>-(assessable + duty) x igst_rate_hs7602</t>
        </is>
      </c>
    </row>
    <row r="955">
      <c r="A955" s="7" t="inlineStr">
        <is>
          <t>T08</t>
        </is>
      </c>
      <c r="B955" s="7" t="inlineStr">
        <is>
          <t>MCX:T08-MCX-1</t>
        </is>
      </c>
      <c r="C955" s="7" t="inlineStr">
        <is>
          <t>T08-MCX-1</t>
        </is>
      </c>
      <c r="D955" s="7" t="inlineStr">
        <is>
          <t>MCX_INITIAL_MARGIN</t>
        </is>
      </c>
      <c r="E955" s="7" t="inlineStr">
        <is>
          <t>MCX_INITIAL_MARGIN</t>
        </is>
      </c>
      <c r="F955" s="7" t="inlineStr">
        <is>
          <t>BS</t>
        </is>
      </c>
      <c r="G955" s="7" t="inlineStr">
        <is>
          <t>INR</t>
        </is>
      </c>
      <c r="H955" s="11" t="n">
        <v>44757</v>
      </c>
      <c r="I955" s="11" t="n">
        <v>44789</v>
      </c>
      <c r="J955" s="11" t="n">
        <v>44789</v>
      </c>
      <c r="K955" s="11" t="n">
        <v>44789</v>
      </c>
      <c r="L955" s="7" t="inlineStr">
        <is>
          <t>roll following on the LME panel calendar</t>
        </is>
      </c>
      <c r="N955" s="7" t="inlineStr">
        <is>
          <t>PROXY</t>
        </is>
      </c>
      <c r="O955" s="9" t="n">
        <v>23709925.54</v>
      </c>
      <c r="P955" s="9" t="n">
        <v>23709925.54</v>
      </c>
      <c r="U955" s="7" t="inlineStr">
        <is>
          <t>DERIVED_IN_WORKBOOK</t>
        </is>
      </c>
      <c r="V955" s="8">
        <f>-SUMIFS(Cashflows!$W$1043:$W$1393,Cashflows!$B$1043:$B$1393,$C955,Cashflows!$C$1043:$C$1393,$K955)</f>
        <v/>
      </c>
      <c r="W955" s="8">
        <f>IF($G955="INR",1,INDEX(Market_Daily!$F$6:$F$256,MATCH($K955,Market_Daily!$A$6:$A$256,0)))</f>
        <v/>
      </c>
      <c r="X955" s="8">
        <f>$V955*$W955</f>
        <v/>
      </c>
      <c r="Y955" s="18">
        <f>$X955-$P955</f>
        <v/>
      </c>
      <c r="Z955" s="8">
        <f>IF(ABS($Y955)&lt;=tol_cashflow_inr,"PASS","FAIL")</f>
        <v/>
      </c>
      <c r="AA955" s="7" t="inlineStr">
        <is>
          <t>-d(lots x lot_kg x F(s) x mcx_al_margin_used_frac)</t>
        </is>
      </c>
    </row>
    <row r="956">
      <c r="A956" s="7" t="inlineStr">
        <is>
          <t>T08</t>
        </is>
      </c>
      <c r="B956" s="7" t="inlineStr">
        <is>
          <t>MCX:T08-MCX-1</t>
        </is>
      </c>
      <c r="C956" s="7" t="inlineStr">
        <is>
          <t>T08-MCX-1</t>
        </is>
      </c>
      <c r="D956" s="7" t="inlineStr">
        <is>
          <t>MCX_SLIPPAGE</t>
        </is>
      </c>
      <c r="E956" s="7" t="inlineStr">
        <is>
          <t>MCX_SLIPPAGE</t>
        </is>
      </c>
      <c r="F956" s="7" t="inlineStr">
        <is>
          <t>PNL</t>
        </is>
      </c>
      <c r="G956" s="7" t="inlineStr">
        <is>
          <t>INR</t>
        </is>
      </c>
      <c r="H956" s="11" t="n">
        <v>44789</v>
      </c>
      <c r="J956" s="11" t="n">
        <v>44789</v>
      </c>
      <c r="K956" s="11" t="n">
        <v>44789</v>
      </c>
      <c r="L956" s="7" t="inlineStr">
        <is>
          <t>roll following on the LME panel calendar</t>
        </is>
      </c>
      <c r="N956" s="7" t="inlineStr">
        <is>
          <t>ASSUMPTION</t>
        </is>
      </c>
      <c r="O956" s="9" t="n">
        <v>-115000</v>
      </c>
      <c r="P956" s="9" t="n">
        <v>-115000</v>
      </c>
      <c r="U956" s="7" t="inlineStr">
        <is>
          <t>DERIVED_IN_WORKBOOK</t>
        </is>
      </c>
      <c r="V956" s="8">
        <f>SUMIFS(Cashflows!$Z$1043:$Z$1393,Cashflows!$B$1043:$B$1393,$C956,Cashflows!$C$1043:$C$1393,$K956)</f>
        <v/>
      </c>
      <c r="W956" s="8">
        <f>IF($G956="INR",1,INDEX(Market_Daily!$F$6:$F$256,MATCH($K956,Market_Daily!$A$6:$A$256,0)))</f>
        <v/>
      </c>
      <c r="X956" s="8">
        <f>$V956*$W956</f>
        <v/>
      </c>
      <c r="Y956" s="18">
        <f>$X956-$P956</f>
        <v/>
      </c>
      <c r="Z956" s="8">
        <f>IF(ABS($Y956)&lt;=tol_cashflow_inr,"PASS","FAIL")</f>
        <v/>
      </c>
      <c r="AA956" s="7" t="inlineStr">
        <is>
          <t>-lots x lot_kg x mcx_slippage_ticks x tick</t>
        </is>
      </c>
    </row>
    <row r="957">
      <c r="A957" s="7" t="inlineStr">
        <is>
          <t>T08</t>
        </is>
      </c>
      <c r="B957" s="7" t="inlineStr">
        <is>
          <t>MCX:T08-MCX-1</t>
        </is>
      </c>
      <c r="C957" s="7" t="inlineStr">
        <is>
          <t>T08-MCX-1</t>
        </is>
      </c>
      <c r="D957" s="7" t="inlineStr">
        <is>
          <t>MCX_TRANSACTION_COST</t>
        </is>
      </c>
      <c r="E957" s="7" t="inlineStr">
        <is>
          <t>MCX_TRANSACTION_COST</t>
        </is>
      </c>
      <c r="F957" s="7" t="inlineStr">
        <is>
          <t>PNL</t>
        </is>
      </c>
      <c r="G957" s="7" t="inlineStr">
        <is>
          <t>INR</t>
        </is>
      </c>
      <c r="H957" s="11" t="n">
        <v>44789</v>
      </c>
      <c r="I957" s="11" t="n">
        <v>44789</v>
      </c>
      <c r="J957" s="11" t="n">
        <v>44789</v>
      </c>
      <c r="K957" s="11" t="n">
        <v>44789</v>
      </c>
      <c r="L957" s="7" t="inlineStr">
        <is>
          <t>roll following on the LME panel calendar</t>
        </is>
      </c>
      <c r="N957" s="7" t="inlineStr">
        <is>
          <t>ASSUMPTION</t>
        </is>
      </c>
      <c r="O957" s="9" t="n">
        <v>-72555.62</v>
      </c>
      <c r="P957" s="9" t="n">
        <v>-72555.62</v>
      </c>
      <c r="U957" s="7" t="inlineStr">
        <is>
          <t>DERIVED_IN_WORKBOOK</t>
        </is>
      </c>
      <c r="V957" s="8">
        <f>SUMIFS(Cashflows!$AA$1043:$AA$1393,Cashflows!$B$1043:$B$1393,$C957,Cashflows!$C$1043:$C$1393,$K957)</f>
        <v/>
      </c>
      <c r="W957" s="8">
        <f>IF($G957="INR",1,INDEX(Market_Daily!$F$6:$F$256,MATCH($K957,Market_Daily!$A$6:$A$256,0)))</f>
        <v/>
      </c>
      <c r="X957" s="8">
        <f>$V957*$W957</f>
        <v/>
      </c>
      <c r="Y957" s="18">
        <f>$X957-$P957</f>
        <v/>
      </c>
      <c r="Z957" s="8">
        <f>IF(ABS($Y957)&lt;=tol_cashflow_inr,"PASS","FAIL")</f>
        <v/>
      </c>
      <c r="AA957" s="7" t="inlineStr">
        <is>
          <t>-lots x lot_kg x fill x mcx_txn_cost_frac</t>
        </is>
      </c>
    </row>
    <row r="958">
      <c r="A958" s="7" t="inlineStr">
        <is>
          <t>T08</t>
        </is>
      </c>
      <c r="B958" s="7" t="inlineStr">
        <is>
          <t>MCX:T08-MCX-1</t>
        </is>
      </c>
      <c r="C958" s="7" t="inlineStr">
        <is>
          <t>T08-MCX-1</t>
        </is>
      </c>
      <c r="D958" s="7" t="inlineStr">
        <is>
          <t>MCX_VARIATION_MARGIN</t>
        </is>
      </c>
      <c r="E958" s="7" t="inlineStr">
        <is>
          <t>MCX_VARIATION_MARGIN</t>
        </is>
      </c>
      <c r="F958" s="7" t="inlineStr">
        <is>
          <t>PNL</t>
        </is>
      </c>
      <c r="G958" s="7" t="inlineStr">
        <is>
          <t>INR</t>
        </is>
      </c>
      <c r="H958" s="11" t="n">
        <v>44757</v>
      </c>
      <c r="I958" s="11" t="n">
        <v>44789</v>
      </c>
      <c r="J958" s="11" t="n">
        <v>44789</v>
      </c>
      <c r="K958" s="11" t="n">
        <v>44789</v>
      </c>
      <c r="L958" s="7" t="inlineStr">
        <is>
          <t>roll following on the LME panel calendar</t>
        </is>
      </c>
      <c r="N958" s="7" t="inlineStr">
        <is>
          <t>PROXY</t>
        </is>
      </c>
      <c r="O958" s="9" t="n">
        <v>-4637824.13</v>
      </c>
      <c r="P958" s="9" t="n">
        <v>-4637824.13</v>
      </c>
      <c r="U958" s="7" t="inlineStr">
        <is>
          <t>DERIVED_IN_WORKBOOK</t>
        </is>
      </c>
      <c r="V958" s="8">
        <f>SUMIFS(Cashflows!$R$1043:$R$1393,Cashflows!$B$1043:$B$1393,$C958,Cashflows!$C$1043:$C$1393,$K958)</f>
        <v/>
      </c>
      <c r="W958" s="8">
        <f>IF($G958="INR",1,INDEX(Market_Daily!$F$6:$F$256,MATCH($K958,Market_Daily!$A$6:$A$256,0)))</f>
        <v/>
      </c>
      <c r="X958" s="8">
        <f>$V958*$W958</f>
        <v/>
      </c>
      <c r="Y958" s="18">
        <f>$X958-$P958</f>
        <v/>
      </c>
      <c r="Z958" s="8">
        <f>IF(ABS($Y958)&lt;=tol_cashflow_inr,"PASS","FAIL")</f>
        <v/>
      </c>
      <c r="AA958" s="7" t="inlineStr">
        <is>
          <t>direction x lots x lot_kg x (F(s) - F(s-1))</t>
        </is>
      </c>
    </row>
    <row r="959">
      <c r="A959" s="7" t="inlineStr">
        <is>
          <t>T08</t>
        </is>
      </c>
      <c r="B959" s="7" t="inlineStr">
        <is>
          <t>PURCHASE:L2</t>
        </is>
      </c>
      <c r="C959" s="7" t="inlineStr">
        <is>
          <t>L2</t>
        </is>
      </c>
      <c r="D959" s="7" t="inlineStr">
        <is>
          <t>PURCHASE_FINAL</t>
        </is>
      </c>
      <c r="E959" s="7" t="inlineStr">
        <is>
          <t>PURCHASE_FINAL</t>
        </is>
      </c>
      <c r="F959" s="7" t="inlineStr">
        <is>
          <t>PNL</t>
        </is>
      </c>
      <c r="G959" s="7" t="inlineStr">
        <is>
          <t>USD</t>
        </is>
      </c>
      <c r="H959" s="11" t="n">
        <v>44720</v>
      </c>
      <c r="I959" s="11" t="n">
        <v>44789</v>
      </c>
      <c r="J959" s="11" t="n">
        <v>44789</v>
      </c>
      <c r="K959" s="11" t="n">
        <v>44789</v>
      </c>
      <c r="L959" s="7" t="inlineStr">
        <is>
          <t>roll following on the LME panel calendar</t>
        </is>
      </c>
      <c r="N959" s="7" t="inlineStr">
        <is>
          <t>DIRECT</t>
        </is>
      </c>
      <c r="O959" s="9" t="n">
        <v>4317.03</v>
      </c>
      <c r="P959" s="9" t="n">
        <v>342492.11</v>
      </c>
      <c r="U959" s="7" t="inlineStr">
        <is>
          <t>PYTHON_LIFECYCLE</t>
        </is>
      </c>
      <c r="V959" s="8">
        <f>$O959</f>
        <v/>
      </c>
      <c r="W959" s="8">
        <f>IF($G959="INR",1,INDEX(Market_Daily!$F$6:$F$256,MATCH($K959,Market_Daily!$A$6:$A$256,0)))</f>
        <v/>
      </c>
      <c r="X959" s="8">
        <f>$V959*$W959</f>
        <v/>
      </c>
      <c r="Y959" s="18">
        <f>$X959-$P959</f>
        <v/>
      </c>
      <c r="Z959" s="8">
        <f>IF(ABS($Y959)&lt;=tol_cashflow_inr,"PASS","FAIL")</f>
        <v/>
      </c>
      <c r="AA959" s="7" t="inlineStr">
        <is>
          <t>-(q_acc x (factor x A_P + premium) x (1 - disc) - provisional)</t>
        </is>
      </c>
    </row>
    <row r="960">
      <c r="A960" s="7" t="inlineStr">
        <is>
          <t>T08</t>
        </is>
      </c>
      <c r="B960" s="7" t="inlineStr">
        <is>
          <t>PORT:L1</t>
        </is>
      </c>
      <c r="C960" s="7" t="inlineStr">
        <is>
          <t>L1</t>
        </is>
      </c>
      <c r="D960" s="7" t="inlineStr">
        <is>
          <t>PORT_CHARGES</t>
        </is>
      </c>
      <c r="E960" s="7" t="inlineStr">
        <is>
          <t>PORT_CHARGES</t>
        </is>
      </c>
      <c r="F960" s="7" t="inlineStr">
        <is>
          <t>PNL</t>
        </is>
      </c>
      <c r="G960" s="7" t="inlineStr">
        <is>
          <t>INR</t>
        </is>
      </c>
      <c r="H960" s="11" t="n">
        <v>44720</v>
      </c>
      <c r="J960" s="11" t="n">
        <v>44791</v>
      </c>
      <c r="K960" s="11" t="n">
        <v>44791</v>
      </c>
      <c r="L960" s="7" t="inlineStr">
        <is>
          <t>roll following on the LME panel calendar</t>
        </is>
      </c>
      <c r="N960" s="7" t="inlineStr">
        <is>
          <t>ASSUMPTION</t>
        </is>
      </c>
      <c r="O960" s="9" t="n">
        <v>-2226000</v>
      </c>
      <c r="P960" s="9" t="n">
        <v>-2226000</v>
      </c>
      <c r="U960" s="7" t="inlineStr">
        <is>
          <t>PYTHON_LIFECYCLE</t>
        </is>
      </c>
      <c r="V960" s="8">
        <f>$O960</f>
        <v/>
      </c>
      <c r="W960" s="8">
        <f>IF($G960="INR",1,INDEX(Market_Daily!$F$6:$F$256,MATCH($K960,Market_Daily!$A$6:$A$256,0)))</f>
        <v/>
      </c>
      <c r="X960" s="8">
        <f>$V960*$W960</f>
        <v/>
      </c>
      <c r="Y960" s="18">
        <f>$X960-$P960</f>
        <v/>
      </c>
      <c r="Z960" s="8">
        <f>IF(ABS($Y960)&lt;=tol_cashflow_inr,"PASS","FAIL")</f>
        <v/>
      </c>
      <c r="AA960" s="7" t="inlineStr">
        <is>
          <t>-port_cf_charges_inr_t x base_payload x cleared boxes</t>
        </is>
      </c>
    </row>
    <row r="961">
      <c r="A961" s="7" t="inlineStr">
        <is>
          <t>T08</t>
        </is>
      </c>
      <c r="B961" s="7" t="inlineStr">
        <is>
          <t>DEMURRAGE:L2</t>
        </is>
      </c>
      <c r="C961" s="7" t="inlineStr">
        <is>
          <t>L2</t>
        </is>
      </c>
      <c r="D961" s="7" t="inlineStr">
        <is>
          <t>DEMURRAGE</t>
        </is>
      </c>
      <c r="E961" s="7" t="inlineStr">
        <is>
          <t>DEMURRAGE</t>
        </is>
      </c>
      <c r="F961" s="7" t="inlineStr">
        <is>
          <t>PNL</t>
        </is>
      </c>
      <c r="G961" s="7" t="inlineStr">
        <is>
          <t>USD</t>
        </is>
      </c>
      <c r="H961" s="11" t="n">
        <v>44720</v>
      </c>
      <c r="J961" s="11" t="n">
        <v>44812</v>
      </c>
      <c r="K961" s="11" t="n">
        <v>44812</v>
      </c>
      <c r="L961" s="7" t="inlineStr">
        <is>
          <t>roll following on the LME panel calendar</t>
        </is>
      </c>
      <c r="M961" s="7" t="inlineStr">
        <is>
          <t>T08-LOG-2|T08-LOG-3</t>
        </is>
      </c>
      <c r="N961" s="7" t="inlineStr">
        <is>
          <t>SIM</t>
        </is>
      </c>
      <c r="O961" s="9" t="n">
        <v>-20475</v>
      </c>
      <c r="P961" s="9" t="n">
        <v>-1631157.26</v>
      </c>
      <c r="U961" s="7" t="inlineStr">
        <is>
          <t>PYTHON_LIFECYCLE</t>
        </is>
      </c>
      <c r="V961" s="8">
        <f>$O961</f>
        <v/>
      </c>
      <c r="W961" s="8">
        <f>IF($G961="INR",1,INDEX(Market_Daily!$F$6:$F$256,MATCH($K961,Market_Daily!$A$6:$A$256,0)))</f>
        <v/>
      </c>
      <c r="X961" s="8">
        <f>$V961*$W961</f>
        <v/>
      </c>
      <c r="Y961" s="18">
        <f>$X961-$P961</f>
        <v/>
      </c>
      <c r="Z961" s="8">
        <f>IF(ABS($Y961)&lt;=tol_cashflow_inr,"PASS","FAIL")</f>
        <v/>
      </c>
      <c r="AA961" s="7" t="inlineStr">
        <is>
          <t>-cleared boxes x slabbed detention+ground rent over max(0, dwell - detention_free_days) (demurrage_slab1/2_days, demurrage_usd_per_box_day[_slab2/3])</t>
        </is>
      </c>
    </row>
    <row r="962">
      <c r="A962" s="7" t="inlineStr">
        <is>
          <t>T08</t>
        </is>
      </c>
      <c r="B962" s="7" t="inlineStr">
        <is>
          <t>PORT:L2</t>
        </is>
      </c>
      <c r="C962" s="7" t="inlineStr">
        <is>
          <t>L2</t>
        </is>
      </c>
      <c r="D962" s="7" t="inlineStr">
        <is>
          <t>PORT_CHARGES</t>
        </is>
      </c>
      <c r="E962" s="7" t="inlineStr">
        <is>
          <t>PORT_CHARGES</t>
        </is>
      </c>
      <c r="F962" s="7" t="inlineStr">
        <is>
          <t>PNL</t>
        </is>
      </c>
      <c r="G962" s="7" t="inlineStr">
        <is>
          <t>INR</t>
        </is>
      </c>
      <c r="H962" s="11" t="n">
        <v>44720</v>
      </c>
      <c r="J962" s="11" t="n">
        <v>44812</v>
      </c>
      <c r="K962" s="11" t="n">
        <v>44812</v>
      </c>
      <c r="L962" s="7" t="inlineStr">
        <is>
          <t>roll following on the LME panel calendar</t>
        </is>
      </c>
      <c r="N962" s="7" t="inlineStr">
        <is>
          <t>ASSUMPTION</t>
        </is>
      </c>
      <c r="O962" s="9" t="n">
        <v>-2170350</v>
      </c>
      <c r="P962" s="9" t="n">
        <v>-2170350</v>
      </c>
      <c r="U962" s="7" t="inlineStr">
        <is>
          <t>PYTHON_LIFECYCLE</t>
        </is>
      </c>
      <c r="V962" s="8">
        <f>$O962</f>
        <v/>
      </c>
      <c r="W962" s="8">
        <f>IF($G962="INR",1,INDEX(Market_Daily!$F$6:$F$256,MATCH($K962,Market_Daily!$A$6:$A$256,0)))</f>
        <v/>
      </c>
      <c r="X962" s="8">
        <f>$V962*$W962</f>
        <v/>
      </c>
      <c r="Y962" s="18">
        <f>$X962-$P962</f>
        <v/>
      </c>
      <c r="Z962" s="8">
        <f>IF(ABS($Y962)&lt;=tol_cashflow_inr,"PASS","FAIL")</f>
        <v/>
      </c>
      <c r="AA962" s="7" t="inlineStr">
        <is>
          <t>-port_cf_charges_inr_t x base_payload x cleared boxes</t>
        </is>
      </c>
    </row>
    <row r="963">
      <c r="A963" s="7" t="inlineStr">
        <is>
          <t>T08</t>
        </is>
      </c>
      <c r="B963" s="7" t="inlineStr">
        <is>
          <t>IGST:L1</t>
        </is>
      </c>
      <c r="C963" s="7" t="inlineStr">
        <is>
          <t>L1</t>
        </is>
      </c>
      <c r="D963" s="7" t="inlineStr">
        <is>
          <t>IGST_CREDIT</t>
        </is>
      </c>
      <c r="E963" s="7" t="inlineStr">
        <is>
          <t>IGST_CREDIT</t>
        </is>
      </c>
      <c r="F963" s="7" t="inlineStr">
        <is>
          <t>BS</t>
        </is>
      </c>
      <c r="G963" s="7" t="inlineStr">
        <is>
          <t>INR</t>
        </is>
      </c>
      <c r="H963" s="11" t="n">
        <v>44720</v>
      </c>
      <c r="I963" s="11" t="n">
        <v>44782</v>
      </c>
      <c r="J963" s="11" t="n">
        <v>44827</v>
      </c>
      <c r="K963" s="11" t="n">
        <v>44827</v>
      </c>
      <c r="L963" s="7" t="inlineStr">
        <is>
          <t>roll following on the LME panel calendar</t>
        </is>
      </c>
      <c r="N963" s="7" t="inlineStr">
        <is>
          <t>DIRECT</t>
        </is>
      </c>
      <c r="O963" s="9" t="n">
        <v>23966400.68</v>
      </c>
      <c r="P963" s="9" t="n">
        <v>23966400.68</v>
      </c>
      <c r="U963" s="7" t="inlineStr">
        <is>
          <t>PYTHON_LIFECYCLE</t>
        </is>
      </c>
      <c r="V963" s="8">
        <f>$O963</f>
        <v/>
      </c>
      <c r="W963" s="8">
        <f>IF($G963="INR",1,INDEX(Market_Daily!$F$6:$F$256,MATCH($K963,Market_Daily!$A$6:$A$256,0)))</f>
        <v/>
      </c>
      <c r="X963" s="8">
        <f>$V963*$W963</f>
        <v/>
      </c>
      <c r="Y963" s="18">
        <f>$X963-$P963</f>
        <v/>
      </c>
      <c r="Z963" s="8">
        <f>IF(ABS($Y963)&lt;=tol_cashflow_inr,"PASS","FAIL")</f>
        <v/>
      </c>
      <c r="AA963" s="7" t="inlineStr">
        <is>
          <t>+(assessable + duty) x igst_rate at igst_credit_lag_days</t>
        </is>
      </c>
    </row>
    <row r="964">
      <c r="A964" s="7" t="inlineStr">
        <is>
          <t>T08</t>
        </is>
      </c>
      <c r="B964" s="7" t="inlineStr">
        <is>
          <t>CLAIM:L2</t>
        </is>
      </c>
      <c r="C964" s="7" t="inlineStr">
        <is>
          <t>L2</t>
        </is>
      </c>
      <c r="D964" s="7" t="inlineStr">
        <is>
          <t>QUALITY_CLAIM</t>
        </is>
      </c>
      <c r="E964" s="7" t="inlineStr">
        <is>
          <t>QUALITY_CLAIM</t>
        </is>
      </c>
      <c r="F964" s="7" t="inlineStr">
        <is>
          <t>PNL</t>
        </is>
      </c>
      <c r="G964" s="7" t="inlineStr">
        <is>
          <t>USD</t>
        </is>
      </c>
      <c r="H964" s="11" t="n">
        <v>44720</v>
      </c>
      <c r="I964" s="11" t="n">
        <v>44789</v>
      </c>
      <c r="J964" s="11" t="n">
        <v>44833</v>
      </c>
      <c r="K964" s="11" t="n">
        <v>44833</v>
      </c>
      <c r="L964" s="7" t="inlineStr">
        <is>
          <t>roll following on the LME panel calendar</t>
        </is>
      </c>
      <c r="M964" s="7" t="inlineStr">
        <is>
          <t>QUALITY:L2</t>
        </is>
      </c>
      <c r="N964" s="7" t="inlineStr">
        <is>
          <t>SIM</t>
        </is>
      </c>
      <c r="O964" s="9" t="n">
        <v>-17252</v>
      </c>
      <c r="P964" s="9" t="n">
        <v>-1409772.86</v>
      </c>
      <c r="U964" s="7" t="inlineStr">
        <is>
          <t>PYTHON_LIFECYCLE</t>
        </is>
      </c>
      <c r="V964" s="8">
        <f>$O964</f>
        <v/>
      </c>
      <c r="W964" s="8">
        <f>IF($G964="INR",1,INDEX(Market_Daily!$F$6:$F$256,MATCH($K964,Market_Daily!$A$6:$A$256,0)))</f>
        <v/>
      </c>
      <c r="X964" s="8">
        <f>$V964*$W964</f>
        <v/>
      </c>
      <c r="Y964" s="18">
        <f>$X964-$P964</f>
        <v/>
      </c>
      <c r="Z964" s="8">
        <f>IF(ABS($Y964)&lt;=tol_cashflow_inr,"PASS","FAIL")</f>
        <v/>
      </c>
      <c r="AA964" s="7" t="inlineStr">
        <is>
          <t>+recovery x rejected-box costs - (1 - recovery) x P_final x (q_rej + q_clr x ratio x m_ex + q_acc x disc)  [deduction already set off in PURCHASE_FINAL]</t>
        </is>
      </c>
    </row>
    <row r="965">
      <c r="A965" s="7" t="inlineStr">
        <is>
          <t>T08</t>
        </is>
      </c>
      <c r="B965" s="7" t="inlineStr">
        <is>
          <t>REJECTED:L2</t>
        </is>
      </c>
      <c r="C965" s="7" t="inlineStr">
        <is>
          <t>L2</t>
        </is>
      </c>
      <c r="D965" s="7" t="inlineStr">
        <is>
          <t>REJECTED_BOX_COST</t>
        </is>
      </c>
      <c r="E965" s="7" t="inlineStr">
        <is>
          <t>REJECTED_BOX_COST</t>
        </is>
      </c>
      <c r="F965" s="7" t="inlineStr">
        <is>
          <t>PNL</t>
        </is>
      </c>
      <c r="G965" s="7" t="inlineStr">
        <is>
          <t>USD</t>
        </is>
      </c>
      <c r="H965" s="11" t="n">
        <v>44720</v>
      </c>
      <c r="I965" s="11" t="n">
        <v>44789</v>
      </c>
      <c r="J965" s="11" t="n">
        <v>44833</v>
      </c>
      <c r="K965" s="11" t="n">
        <v>44833</v>
      </c>
      <c r="L965" s="7" t="inlineStr">
        <is>
          <t>roll following on the LME panel calendar</t>
        </is>
      </c>
      <c r="M965" s="7" t="inlineStr">
        <is>
          <t>QUALITY:L2</t>
        </is>
      </c>
      <c r="N965" s="7" t="inlineStr">
        <is>
          <t>ASSUMPTION</t>
        </is>
      </c>
      <c r="O965" s="9" t="n">
        <v>-5730</v>
      </c>
      <c r="P965" s="9" t="n">
        <v>-468235.54</v>
      </c>
      <c r="U965" s="7" t="inlineStr">
        <is>
          <t>PYTHON_LIFECYCLE</t>
        </is>
      </c>
      <c r="V965" s="8">
        <f>$O965</f>
        <v/>
      </c>
      <c r="W965" s="8">
        <f>IF($G965="INR",1,INDEX(Market_Daily!$F$6:$F$256,MATCH($K965,Market_Daily!$A$6:$A$256,0)))</f>
        <v/>
      </c>
      <c r="X965" s="8">
        <f>$V965*$W965</f>
        <v/>
      </c>
      <c r="Y965" s="18">
        <f>$X965-$P965</f>
        <v/>
      </c>
      <c r="Z965" s="8">
        <f>IF(ABS($Y965)&lt;=tol_cashflow_inr,"PASS","FAIL")</f>
        <v/>
      </c>
      <c r="AA965" s="7" t="inlineStr">
        <is>
          <t>-rejected boxes x (rejected_box_reexport_cost_usd_per_box + slabbed detention over rejected_box_hold_days beyond detention_free_days)</t>
        </is>
      </c>
    </row>
    <row r="966">
      <c r="A966" s="7" t="inlineStr">
        <is>
          <t>T08</t>
        </is>
      </c>
      <c r="B966" s="7" t="inlineStr">
        <is>
          <t>IGST:L2</t>
        </is>
      </c>
      <c r="C966" s="7" t="inlineStr">
        <is>
          <t>L2</t>
        </is>
      </c>
      <c r="D966" s="7" t="inlineStr">
        <is>
          <t>IGST_CREDIT</t>
        </is>
      </c>
      <c r="E966" s="7" t="inlineStr">
        <is>
          <t>IGST_CREDIT</t>
        </is>
      </c>
      <c r="F966" s="7" t="inlineStr">
        <is>
          <t>BS</t>
        </is>
      </c>
      <c r="G966" s="7" t="inlineStr">
        <is>
          <t>INR</t>
        </is>
      </c>
      <c r="H966" s="11" t="n">
        <v>44720</v>
      </c>
      <c r="I966" s="11" t="n">
        <v>44789</v>
      </c>
      <c r="J966" s="11" t="n">
        <v>44834</v>
      </c>
      <c r="K966" s="11" t="n">
        <v>44834</v>
      </c>
      <c r="L966" s="7" t="inlineStr">
        <is>
          <t>roll following on the LME panel calendar</t>
        </is>
      </c>
      <c r="N966" s="7" t="inlineStr">
        <is>
          <t>DIRECT</t>
        </is>
      </c>
      <c r="O966" s="9" t="n">
        <v>23333933.66</v>
      </c>
      <c r="P966" s="9" t="n">
        <v>23333933.66</v>
      </c>
      <c r="U966" s="7" t="inlineStr">
        <is>
          <t>PYTHON_LIFECYCLE</t>
        </is>
      </c>
      <c r="V966" s="8">
        <f>$O966</f>
        <v/>
      </c>
      <c r="W966" s="8">
        <f>IF($G966="INR",1,INDEX(Market_Daily!$F$6:$F$256,MATCH($K966,Market_Daily!$A$6:$A$256,0)))</f>
        <v/>
      </c>
      <c r="X966" s="8">
        <f>$V966*$W966</f>
        <v/>
      </c>
      <c r="Y966" s="18">
        <f>$X966-$P966</f>
        <v/>
      </c>
      <c r="Z966" s="8">
        <f>IF(ABS($Y966)&lt;=tol_cashflow_inr,"PASS","FAIL")</f>
        <v/>
      </c>
      <c r="AA966" s="7" t="inlineStr">
        <is>
          <t>+(assessable + duty) x igst_rate at igst_credit_lag_days</t>
        </is>
      </c>
    </row>
    <row r="967">
      <c r="A967" s="7" t="inlineStr">
        <is>
          <t>T08</t>
        </is>
      </c>
      <c r="B967" s="7" t="inlineStr">
        <is>
          <t>SALE:S1</t>
        </is>
      </c>
      <c r="C967" s="7" t="inlineStr">
        <is>
          <t>S1</t>
        </is>
      </c>
      <c r="D967" s="7" t="inlineStr">
        <is>
          <t>SALE_BALANCE</t>
        </is>
      </c>
      <c r="E967" s="7" t="inlineStr">
        <is>
          <t>SALE_BALANCE</t>
        </is>
      </c>
      <c r="F967" s="7" t="inlineStr">
        <is>
          <t>PNL</t>
        </is>
      </c>
      <c r="G967" s="7" t="inlineStr">
        <is>
          <t>INR</t>
        </is>
      </c>
      <c r="H967" s="11" t="n">
        <v>44782</v>
      </c>
      <c r="I967" s="11" t="n">
        <v>44795</v>
      </c>
      <c r="J967" s="11" t="n">
        <v>44844</v>
      </c>
      <c r="K967" s="11" t="n">
        <v>44844</v>
      </c>
      <c r="L967" s="7" t="inlineStr">
        <is>
          <t>roll following on the LME panel calendar</t>
        </is>
      </c>
      <c r="N967" s="7" t="inlineStr">
        <is>
          <t>SIM</t>
        </is>
      </c>
      <c r="O967" s="9" t="n">
        <v>266516870.92</v>
      </c>
      <c r="P967" s="9" t="n">
        <v>266516870.92</v>
      </c>
      <c r="U967" s="7" t="inlineStr">
        <is>
          <t>PYTHON_LIFECYCLE</t>
        </is>
      </c>
      <c r="V967" s="8">
        <f>$O967</f>
        <v/>
      </c>
      <c r="W967" s="8">
        <f>IF($G967="INR",1,INDEX(Market_Daily!$F$6:$F$256,MATCH($K967,Market_Daily!$A$6:$A$256,0)))</f>
        <v/>
      </c>
      <c r="X967" s="8">
        <f>$V967*$W967</f>
        <v/>
      </c>
      <c r="Y967" s="18">
        <f>$X967-$P967</f>
        <v/>
      </c>
      <c r="Z967" s="8">
        <f>IF(ABS($Y967)&lt;=tol_cashflow_inr,"PASS","FAIL")</f>
        <v/>
      </c>
      <c r="AA967" s="7" t="inlineStr">
        <is>
          <t>+q_acc x P_sale x (1 - disc passthrough) - advance</t>
        </is>
      </c>
    </row>
    <row r="968">
      <c r="A968" s="7" t="inlineStr">
        <is>
          <t>T09</t>
        </is>
      </c>
      <c r="B968" s="7" t="inlineStr">
        <is>
          <t>MCX:T09-MCX-1</t>
        </is>
      </c>
      <c r="C968" s="7" t="inlineStr">
        <is>
          <t>T09-MCX-1</t>
        </is>
      </c>
      <c r="D968" s="7" t="inlineStr">
        <is>
          <t>MCX_INITIAL_MARGIN</t>
        </is>
      </c>
      <c r="E968" s="7" t="inlineStr">
        <is>
          <t>MCX_INITIAL_MARGIN</t>
        </is>
      </c>
      <c r="F968" s="7" t="inlineStr">
        <is>
          <t>BS</t>
        </is>
      </c>
      <c r="G968" s="7" t="inlineStr">
        <is>
          <t>INR</t>
        </is>
      </c>
      <c r="H968" s="11" t="n">
        <v>44776</v>
      </c>
      <c r="I968" s="11" t="n">
        <v>44776</v>
      </c>
      <c r="J968" s="11" t="n">
        <v>44776</v>
      </c>
      <c r="K968" s="11" t="n">
        <v>44776</v>
      </c>
      <c r="L968" s="7" t="inlineStr">
        <is>
          <t>roll following on the LME panel calendar</t>
        </is>
      </c>
      <c r="N968" s="7" t="inlineStr">
        <is>
          <t>PROXY</t>
        </is>
      </c>
      <c r="O968" s="9" t="n">
        <v>-16226828.33</v>
      </c>
      <c r="P968" s="9" t="n">
        <v>-16226828.33</v>
      </c>
      <c r="U968" s="7" t="inlineStr">
        <is>
          <t>DERIVED_IN_WORKBOOK</t>
        </is>
      </c>
      <c r="V968" s="8">
        <f>-SUMIFS(Cashflows!$W$1043:$W$1393,Cashflows!$B$1043:$B$1393,$C968,Cashflows!$C$1043:$C$1393,$K968)</f>
        <v/>
      </c>
      <c r="W968" s="8">
        <f>IF($G968="INR",1,INDEX(Market_Daily!$F$6:$F$256,MATCH($K968,Market_Daily!$A$6:$A$256,0)))</f>
        <v/>
      </c>
      <c r="X968" s="8">
        <f>$V968*$W968</f>
        <v/>
      </c>
      <c r="Y968" s="18">
        <f>$X968-$P968</f>
        <v/>
      </c>
      <c r="Z968" s="8">
        <f>IF(ABS($Y968)&lt;=tol_cashflow_inr,"PASS","FAIL")</f>
        <v/>
      </c>
      <c r="AA968" s="7" t="inlineStr">
        <is>
          <t>-d(lots x lot_kg x F(s) x mcx_al_margin_used_frac)</t>
        </is>
      </c>
    </row>
    <row r="969">
      <c r="A969" s="7" t="inlineStr">
        <is>
          <t>T09</t>
        </is>
      </c>
      <c r="B969" s="7" t="inlineStr">
        <is>
          <t>MCX:T09-MCX-1</t>
        </is>
      </c>
      <c r="C969" s="7" t="inlineStr">
        <is>
          <t>T09-MCX-1</t>
        </is>
      </c>
      <c r="D969" s="7" t="inlineStr">
        <is>
          <t>MCX_SLIPPAGE</t>
        </is>
      </c>
      <c r="E969" s="7" t="inlineStr">
        <is>
          <t>MCX_SLIPPAGE</t>
        </is>
      </c>
      <c r="F969" s="7" t="inlineStr">
        <is>
          <t>PNL</t>
        </is>
      </c>
      <c r="G969" s="7" t="inlineStr">
        <is>
          <t>INR</t>
        </is>
      </c>
      <c r="H969" s="11" t="n">
        <v>44776</v>
      </c>
      <c r="J969" s="11" t="n">
        <v>44776</v>
      </c>
      <c r="K969" s="11" t="n">
        <v>44776</v>
      </c>
      <c r="L969" s="7" t="inlineStr">
        <is>
          <t>roll following on the LME panel calendar</t>
        </is>
      </c>
      <c r="N969" s="7" t="inlineStr">
        <is>
          <t>ASSUMPTION</t>
        </is>
      </c>
      <c r="O969" s="9" t="n">
        <v>-78500</v>
      </c>
      <c r="P969" s="9" t="n">
        <v>-78500</v>
      </c>
      <c r="U969" s="7" t="inlineStr">
        <is>
          <t>DERIVED_IN_WORKBOOK</t>
        </is>
      </c>
      <c r="V969" s="8">
        <f>SUMIFS(Cashflows!$Z$1043:$Z$1393,Cashflows!$B$1043:$B$1393,$C969,Cashflows!$C$1043:$C$1393,$K969)</f>
        <v/>
      </c>
      <c r="W969" s="8">
        <f>IF($G969="INR",1,INDEX(Market_Daily!$F$6:$F$256,MATCH($K969,Market_Daily!$A$6:$A$256,0)))</f>
        <v/>
      </c>
      <c r="X969" s="8">
        <f>$V969*$W969</f>
        <v/>
      </c>
      <c r="Y969" s="18">
        <f>$X969-$P969</f>
        <v/>
      </c>
      <c r="Z969" s="8">
        <f>IF(ABS($Y969)&lt;=tol_cashflow_inr,"PASS","FAIL")</f>
        <v/>
      </c>
      <c r="AA969" s="7" t="inlineStr">
        <is>
          <t>-lots x lot_kg x mcx_slippage_ticks x tick</t>
        </is>
      </c>
    </row>
    <row r="970">
      <c r="A970" s="7" t="inlineStr">
        <is>
          <t>T09</t>
        </is>
      </c>
      <c r="B970" s="7" t="inlineStr">
        <is>
          <t>MCX:T09-MCX-1</t>
        </is>
      </c>
      <c r="C970" s="7" t="inlineStr">
        <is>
          <t>T09-MCX-1</t>
        </is>
      </c>
      <c r="D970" s="7" t="inlineStr">
        <is>
          <t>MCX_TRANSACTION_COST</t>
        </is>
      </c>
      <c r="E970" s="7" t="inlineStr">
        <is>
          <t>MCX_TRANSACTION_COST</t>
        </is>
      </c>
      <c r="F970" s="7" t="inlineStr">
        <is>
          <t>PNL</t>
        </is>
      </c>
      <c r="G970" s="7" t="inlineStr">
        <is>
          <t>INR</t>
        </is>
      </c>
      <c r="H970" s="11" t="n">
        <v>44776</v>
      </c>
      <c r="I970" s="11" t="n">
        <v>44776</v>
      </c>
      <c r="J970" s="11" t="n">
        <v>44776</v>
      </c>
      <c r="K970" s="11" t="n">
        <v>44776</v>
      </c>
      <c r="L970" s="7" t="inlineStr">
        <is>
          <t>roll following on the LME panel calendar</t>
        </is>
      </c>
      <c r="N970" s="7" t="inlineStr">
        <is>
          <t>ASSUMPTION</t>
        </is>
      </c>
      <c r="O970" s="9" t="n">
        <v>-48656.93</v>
      </c>
      <c r="P970" s="9" t="n">
        <v>-48656.93</v>
      </c>
      <c r="U970" s="7" t="inlineStr">
        <is>
          <t>DERIVED_IN_WORKBOOK</t>
        </is>
      </c>
      <c r="V970" s="8">
        <f>SUMIFS(Cashflows!$AA$1043:$AA$1393,Cashflows!$B$1043:$B$1393,$C970,Cashflows!$C$1043:$C$1393,$K970)</f>
        <v/>
      </c>
      <c r="W970" s="8">
        <f>IF($G970="INR",1,INDEX(Market_Daily!$F$6:$F$256,MATCH($K970,Market_Daily!$A$6:$A$256,0)))</f>
        <v/>
      </c>
      <c r="X970" s="8">
        <f>$V970*$W970</f>
        <v/>
      </c>
      <c r="Y970" s="18">
        <f>$X970-$P970</f>
        <v/>
      </c>
      <c r="Z970" s="8">
        <f>IF(ABS($Y970)&lt;=tol_cashflow_inr,"PASS","FAIL")</f>
        <v/>
      </c>
      <c r="AA970" s="7" t="inlineStr">
        <is>
          <t>-lots x lot_kg x fill x mcx_txn_cost_frac</t>
        </is>
      </c>
    </row>
    <row r="971">
      <c r="A971" s="7" t="inlineStr">
        <is>
          <t>T09</t>
        </is>
      </c>
      <c r="B971" s="7" t="inlineStr">
        <is>
          <t>MCX:T09-MCX-1</t>
        </is>
      </c>
      <c r="C971" s="7" t="inlineStr">
        <is>
          <t>T09-MCX-1</t>
        </is>
      </c>
      <c r="D971" s="7" t="inlineStr">
        <is>
          <t>MCX_VARIATION_MARGIN</t>
        </is>
      </c>
      <c r="E971" s="7" t="inlineStr">
        <is>
          <t>MCX_VARIATION_MARGIN</t>
        </is>
      </c>
      <c r="F971" s="7" t="inlineStr">
        <is>
          <t>PNL</t>
        </is>
      </c>
      <c r="G971" s="7" t="inlineStr">
        <is>
          <t>INR</t>
        </is>
      </c>
      <c r="H971" s="11" t="n">
        <v>44776</v>
      </c>
      <c r="I971" s="11" t="n">
        <v>44776</v>
      </c>
      <c r="J971" s="11" t="n">
        <v>44776</v>
      </c>
      <c r="K971" s="11" t="n">
        <v>44776</v>
      </c>
      <c r="L971" s="7" t="inlineStr">
        <is>
          <t>roll following on the LME panel calendar</t>
        </is>
      </c>
      <c r="N971" s="7" t="inlineStr">
        <is>
          <t>PROXY</t>
        </is>
      </c>
      <c r="O971" s="9" t="n">
        <v>-0</v>
      </c>
      <c r="P971" s="9" t="n">
        <v>-0</v>
      </c>
      <c r="U971" s="7" t="inlineStr">
        <is>
          <t>DERIVED_IN_WORKBOOK</t>
        </is>
      </c>
      <c r="V971" s="8">
        <f>SUMIFS(Cashflows!$R$1043:$R$1393,Cashflows!$B$1043:$B$1393,$C971,Cashflows!$C$1043:$C$1393,$K971)</f>
        <v/>
      </c>
      <c r="W971" s="8">
        <f>IF($G971="INR",1,INDEX(Market_Daily!$F$6:$F$256,MATCH($K971,Market_Daily!$A$6:$A$256,0)))</f>
        <v/>
      </c>
      <c r="X971" s="8">
        <f>$V971*$W971</f>
        <v/>
      </c>
      <c r="Y971" s="18">
        <f>$X971-$P971</f>
        <v/>
      </c>
      <c r="Z971" s="8">
        <f>IF(ABS($Y971)&lt;=tol_cashflow_inr,"PASS","FAIL")</f>
        <v/>
      </c>
      <c r="AA971" s="7" t="inlineStr">
        <is>
          <t>direction x lots x lot_kg x (F(entry) - entry settle) = 0 by construction</t>
        </is>
      </c>
    </row>
    <row r="972">
      <c r="A972" s="7" t="inlineStr">
        <is>
          <t>T09</t>
        </is>
      </c>
      <c r="B972" s="7" t="inlineStr">
        <is>
          <t>MCX:T09-MCX-1</t>
        </is>
      </c>
      <c r="C972" s="7" t="inlineStr">
        <is>
          <t>T09-MCX-1</t>
        </is>
      </c>
      <c r="D972" s="7" t="inlineStr">
        <is>
          <t>MCX_INITIAL_MARGIN</t>
        </is>
      </c>
      <c r="E972" s="7" t="inlineStr">
        <is>
          <t>MCX_INITIAL_MARGIN</t>
        </is>
      </c>
      <c r="F972" s="7" t="inlineStr">
        <is>
          <t>BS</t>
        </is>
      </c>
      <c r="G972" s="7" t="inlineStr">
        <is>
          <t>INR</t>
        </is>
      </c>
      <c r="H972" s="11" t="n">
        <v>44776</v>
      </c>
      <c r="I972" s="11" t="n">
        <v>44777</v>
      </c>
      <c r="J972" s="11" t="n">
        <v>44777</v>
      </c>
      <c r="K972" s="11" t="n">
        <v>44777</v>
      </c>
      <c r="L972" s="7" t="inlineStr">
        <is>
          <t>roll following on the LME panel calendar</t>
        </is>
      </c>
      <c r="N972" s="7" t="inlineStr">
        <is>
          <t>PROXY</t>
        </is>
      </c>
      <c r="O972" s="9" t="n">
        <v>161305.07</v>
      </c>
      <c r="P972" s="9" t="n">
        <v>161305.07</v>
      </c>
      <c r="U972" s="7" t="inlineStr">
        <is>
          <t>DERIVED_IN_WORKBOOK</t>
        </is>
      </c>
      <c r="V972" s="8">
        <f>-SUMIFS(Cashflows!$W$1043:$W$1393,Cashflows!$B$1043:$B$1393,$C972,Cashflows!$C$1043:$C$1393,$K972)</f>
        <v/>
      </c>
      <c r="W972" s="8">
        <f>IF($G972="INR",1,INDEX(Market_Daily!$F$6:$F$256,MATCH($K972,Market_Daily!$A$6:$A$256,0)))</f>
        <v/>
      </c>
      <c r="X972" s="8">
        <f>$V972*$W972</f>
        <v/>
      </c>
      <c r="Y972" s="18">
        <f>$X972-$P972</f>
        <v/>
      </c>
      <c r="Z972" s="8">
        <f>IF(ABS($Y972)&lt;=tol_cashflow_inr,"PASS","FAIL")</f>
        <v/>
      </c>
      <c r="AA972" s="7" t="inlineStr">
        <is>
          <t>-d(lots x lot_kg x F(s) x mcx_al_margin_used_frac)</t>
        </is>
      </c>
    </row>
    <row r="973">
      <c r="A973" s="7" t="inlineStr">
        <is>
          <t>T09</t>
        </is>
      </c>
      <c r="B973" s="7" t="inlineStr">
        <is>
          <t>MCX:T09-MCX-1</t>
        </is>
      </c>
      <c r="C973" s="7" t="inlineStr">
        <is>
          <t>T09-MCX-1</t>
        </is>
      </c>
      <c r="D973" s="7" t="inlineStr">
        <is>
          <t>MCX_VARIATION_MARGIN</t>
        </is>
      </c>
      <c r="E973" s="7" t="inlineStr">
        <is>
          <t>MCX_VARIATION_MARGIN</t>
        </is>
      </c>
      <c r="F973" s="7" t="inlineStr">
        <is>
          <t>PNL</t>
        </is>
      </c>
      <c r="G973" s="7" t="inlineStr">
        <is>
          <t>INR</t>
        </is>
      </c>
      <c r="H973" s="11" t="n">
        <v>44776</v>
      </c>
      <c r="I973" s="11" t="n">
        <v>44777</v>
      </c>
      <c r="J973" s="11" t="n">
        <v>44777</v>
      </c>
      <c r="K973" s="11" t="n">
        <v>44777</v>
      </c>
      <c r="L973" s="7" t="inlineStr">
        <is>
          <t>roll following on the LME panel calendar</t>
        </is>
      </c>
      <c r="N973" s="7" t="inlineStr">
        <is>
          <t>PROXY</t>
        </is>
      </c>
      <c r="O973" s="9" t="n">
        <v>1613050.65</v>
      </c>
      <c r="P973" s="9" t="n">
        <v>1613050.65</v>
      </c>
      <c r="U973" s="7" t="inlineStr">
        <is>
          <t>DERIVED_IN_WORKBOOK</t>
        </is>
      </c>
      <c r="V973" s="8">
        <f>SUMIFS(Cashflows!$R$1043:$R$1393,Cashflows!$B$1043:$B$1393,$C973,Cashflows!$C$1043:$C$1393,$K973)</f>
        <v/>
      </c>
      <c r="W973" s="8">
        <f>IF($G973="INR",1,INDEX(Market_Daily!$F$6:$F$256,MATCH($K973,Market_Daily!$A$6:$A$256,0)))</f>
        <v/>
      </c>
      <c r="X973" s="8">
        <f>$V973*$W973</f>
        <v/>
      </c>
      <c r="Y973" s="18">
        <f>$X973-$P973</f>
        <v/>
      </c>
      <c r="Z973" s="8">
        <f>IF(ABS($Y973)&lt;=tol_cashflow_inr,"PASS","FAIL")</f>
        <v/>
      </c>
      <c r="AA973" s="7" t="inlineStr">
        <is>
          <t>direction x lots x lot_kg x (F(s) - F(s-1))</t>
        </is>
      </c>
    </row>
    <row r="974">
      <c r="A974" s="7" t="inlineStr">
        <is>
          <t>T09</t>
        </is>
      </c>
      <c r="B974" s="7" t="inlineStr">
        <is>
          <t>LC_FEES</t>
        </is>
      </c>
      <c r="D974" s="7" t="inlineStr">
        <is>
          <t>LC_OPENING_FEE</t>
        </is>
      </c>
      <c r="E974" s="7" t="inlineStr">
        <is>
          <t>LC_OPENING_FEE</t>
        </is>
      </c>
      <c r="F974" s="7" t="inlineStr">
        <is>
          <t>PNL</t>
        </is>
      </c>
      <c r="G974" s="7" t="inlineStr">
        <is>
          <t>USD</t>
        </is>
      </c>
      <c r="H974" s="11" t="n">
        <v>44776</v>
      </c>
      <c r="I974" s="11" t="n">
        <v>44778</v>
      </c>
      <c r="J974" s="11" t="n">
        <v>44778</v>
      </c>
      <c r="K974" s="11" t="n">
        <v>44778</v>
      </c>
      <c r="L974" s="7" t="inlineStr">
        <is>
          <t>roll following on the LME panel calendar</t>
        </is>
      </c>
      <c r="N974" s="7" t="inlineStr">
        <is>
          <t>DIRECT</t>
        </is>
      </c>
      <c r="O974" s="9" t="n">
        <v>-3858.62</v>
      </c>
      <c r="P974" s="9" t="n">
        <v>-305608.81</v>
      </c>
      <c r="U974" s="7" t="inlineStr">
        <is>
          <t>PYTHON_LIFECYCLE</t>
        </is>
      </c>
      <c r="V974" s="8">
        <f>$O974</f>
        <v/>
      </c>
      <c r="W974" s="8">
        <f>IF($G974="INR",1,INDEX(Market_Daily!$F$6:$F$256,MATCH($K974,Market_Daily!$A$6:$A$256,0)))</f>
        <v/>
      </c>
      <c r="X974" s="8">
        <f>$V974*$W974</f>
        <v/>
      </c>
      <c r="Y974" s="18">
        <f>$X974-$P974</f>
        <v/>
      </c>
      <c r="Z974" s="8">
        <f>IF(ABS($Y974)&lt;=tol_cashflow_inr,"PASS","FAIL")</f>
        <v/>
      </c>
      <c r="AA974" s="7" t="inlineStr">
        <is>
          <t>-lc_opening_fee_frac_per_month x ceil(validity/30) x lc_value_usd</t>
        </is>
      </c>
    </row>
    <row r="975">
      <c r="A975" s="7" t="inlineStr">
        <is>
          <t>T09</t>
        </is>
      </c>
      <c r="B975" s="7" t="inlineStr">
        <is>
          <t>MCX:T09-MCX-1</t>
        </is>
      </c>
      <c r="C975" s="7" t="inlineStr">
        <is>
          <t>T09-MCX-1</t>
        </is>
      </c>
      <c r="D975" s="7" t="inlineStr">
        <is>
          <t>MCX_INITIAL_MARGIN</t>
        </is>
      </c>
      <c r="E975" s="7" t="inlineStr">
        <is>
          <t>MCX_INITIAL_MARGIN</t>
        </is>
      </c>
      <c r="F975" s="7" t="inlineStr">
        <is>
          <t>BS</t>
        </is>
      </c>
      <c r="G975" s="7" t="inlineStr">
        <is>
          <t>INR</t>
        </is>
      </c>
      <c r="H975" s="11" t="n">
        <v>44776</v>
      </c>
      <c r="I975" s="11" t="n">
        <v>44778</v>
      </c>
      <c r="J975" s="11" t="n">
        <v>44778</v>
      </c>
      <c r="K975" s="11" t="n">
        <v>44778</v>
      </c>
      <c r="L975" s="7" t="inlineStr">
        <is>
          <t>roll following on the LME panel calendar</t>
        </is>
      </c>
      <c r="N975" s="7" t="inlineStr">
        <is>
          <t>PROXY</t>
        </is>
      </c>
      <c r="O975" s="9" t="n">
        <v>-472965.76</v>
      </c>
      <c r="P975" s="9" t="n">
        <v>-472965.76</v>
      </c>
      <c r="U975" s="7" t="inlineStr">
        <is>
          <t>DERIVED_IN_WORKBOOK</t>
        </is>
      </c>
      <c r="V975" s="8">
        <f>-SUMIFS(Cashflows!$W$1043:$W$1393,Cashflows!$B$1043:$B$1393,$C975,Cashflows!$C$1043:$C$1393,$K975)</f>
        <v/>
      </c>
      <c r="W975" s="8">
        <f>IF($G975="INR",1,INDEX(Market_Daily!$F$6:$F$256,MATCH($K975,Market_Daily!$A$6:$A$256,0)))</f>
        <v/>
      </c>
      <c r="X975" s="8">
        <f>$V975*$W975</f>
        <v/>
      </c>
      <c r="Y975" s="18">
        <f>$X975-$P975</f>
        <v/>
      </c>
      <c r="Z975" s="8">
        <f>IF(ABS($Y975)&lt;=tol_cashflow_inr,"PASS","FAIL")</f>
        <v/>
      </c>
      <c r="AA975" s="7" t="inlineStr">
        <is>
          <t>-d(lots x lot_kg x F(s) x mcx_al_margin_used_frac)</t>
        </is>
      </c>
    </row>
    <row r="976">
      <c r="A976" s="7" t="inlineStr">
        <is>
          <t>T09</t>
        </is>
      </c>
      <c r="B976" s="7" t="inlineStr">
        <is>
          <t>MCX:T09-MCX-1</t>
        </is>
      </c>
      <c r="C976" s="7" t="inlineStr">
        <is>
          <t>T09-MCX-1</t>
        </is>
      </c>
      <c r="D976" s="7" t="inlineStr">
        <is>
          <t>MCX_VARIATION_MARGIN</t>
        </is>
      </c>
      <c r="E976" s="7" t="inlineStr">
        <is>
          <t>MCX_VARIATION_MARGIN</t>
        </is>
      </c>
      <c r="F976" s="7" t="inlineStr">
        <is>
          <t>PNL</t>
        </is>
      </c>
      <c r="G976" s="7" t="inlineStr">
        <is>
          <t>INR</t>
        </is>
      </c>
      <c r="H976" s="11" t="n">
        <v>44776</v>
      </c>
      <c r="I976" s="11" t="n">
        <v>44778</v>
      </c>
      <c r="J976" s="11" t="n">
        <v>44778</v>
      </c>
      <c r="K976" s="11" t="n">
        <v>44778</v>
      </c>
      <c r="L976" s="7" t="inlineStr">
        <is>
          <t>roll following on the LME panel calendar</t>
        </is>
      </c>
      <c r="N976" s="7" t="inlineStr">
        <is>
          <t>PROXY</t>
        </is>
      </c>
      <c r="O976" s="9" t="n">
        <v>-4729657.56</v>
      </c>
      <c r="P976" s="9" t="n">
        <v>-4729657.56</v>
      </c>
      <c r="U976" s="7" t="inlineStr">
        <is>
          <t>DERIVED_IN_WORKBOOK</t>
        </is>
      </c>
      <c r="V976" s="8">
        <f>SUMIFS(Cashflows!$R$1043:$R$1393,Cashflows!$B$1043:$B$1393,$C976,Cashflows!$C$1043:$C$1393,$K976)</f>
        <v/>
      </c>
      <c r="W976" s="8">
        <f>IF($G976="INR",1,INDEX(Market_Daily!$F$6:$F$256,MATCH($K976,Market_Daily!$A$6:$A$256,0)))</f>
        <v/>
      </c>
      <c r="X976" s="8">
        <f>$V976*$W976</f>
        <v/>
      </c>
      <c r="Y976" s="18">
        <f>$X976-$P976</f>
        <v/>
      </c>
      <c r="Z976" s="8">
        <f>IF(ABS($Y976)&lt;=tol_cashflow_inr,"PASS","FAIL")</f>
        <v/>
      </c>
      <c r="AA976" s="7" t="inlineStr">
        <is>
          <t>direction x lots x lot_kg x (F(s) - F(s-1))</t>
        </is>
      </c>
    </row>
    <row r="977">
      <c r="A977" s="7" t="inlineStr">
        <is>
          <t>T09</t>
        </is>
      </c>
      <c r="B977" s="7" t="inlineStr">
        <is>
          <t>MCX:T09-MCX-1</t>
        </is>
      </c>
      <c r="C977" s="7" t="inlineStr">
        <is>
          <t>T09-MCX-1</t>
        </is>
      </c>
      <c r="D977" s="7" t="inlineStr">
        <is>
          <t>MCX_INITIAL_MARGIN</t>
        </is>
      </c>
      <c r="E977" s="7" t="inlineStr">
        <is>
          <t>MCX_INITIAL_MARGIN</t>
        </is>
      </c>
      <c r="F977" s="7" t="inlineStr">
        <is>
          <t>BS</t>
        </is>
      </c>
      <c r="G977" s="7" t="inlineStr">
        <is>
          <t>INR</t>
        </is>
      </c>
      <c r="H977" s="11" t="n">
        <v>44776</v>
      </c>
      <c r="I977" s="11" t="n">
        <v>44781</v>
      </c>
      <c r="J977" s="11" t="n">
        <v>44781</v>
      </c>
      <c r="K977" s="11" t="n">
        <v>44781</v>
      </c>
      <c r="L977" s="7" t="inlineStr">
        <is>
          <t>roll following on the LME panel calendar</t>
        </is>
      </c>
      <c r="N977" s="7" t="inlineStr">
        <is>
          <t>PROXY</t>
        </is>
      </c>
      <c r="O977" s="9" t="n">
        <v>9599.370000000001</v>
      </c>
      <c r="P977" s="9" t="n">
        <v>9599.370000000001</v>
      </c>
      <c r="U977" s="7" t="inlineStr">
        <is>
          <t>DERIVED_IN_WORKBOOK</t>
        </is>
      </c>
      <c r="V977" s="8">
        <f>-SUMIFS(Cashflows!$W$1043:$W$1393,Cashflows!$B$1043:$B$1393,$C977,Cashflows!$C$1043:$C$1393,$K977)</f>
        <v/>
      </c>
      <c r="W977" s="8">
        <f>IF($G977="INR",1,INDEX(Market_Daily!$F$6:$F$256,MATCH($K977,Market_Daily!$A$6:$A$256,0)))</f>
        <v/>
      </c>
      <c r="X977" s="8">
        <f>$V977*$W977</f>
        <v/>
      </c>
      <c r="Y977" s="18">
        <f>$X977-$P977</f>
        <v/>
      </c>
      <c r="Z977" s="8">
        <f>IF(ABS($Y977)&lt;=tol_cashflow_inr,"PASS","FAIL")</f>
        <v/>
      </c>
      <c r="AA977" s="7" t="inlineStr">
        <is>
          <t>-d(lots x lot_kg x F(s) x mcx_al_margin_used_frac)</t>
        </is>
      </c>
    </row>
    <row r="978">
      <c r="A978" s="7" t="inlineStr">
        <is>
          <t>T09</t>
        </is>
      </c>
      <c r="B978" s="7" t="inlineStr">
        <is>
          <t>MCX:T09-MCX-1</t>
        </is>
      </c>
      <c r="C978" s="7" t="inlineStr">
        <is>
          <t>T09-MCX-1</t>
        </is>
      </c>
      <c r="D978" s="7" t="inlineStr">
        <is>
          <t>MCX_VARIATION_MARGIN</t>
        </is>
      </c>
      <c r="E978" s="7" t="inlineStr">
        <is>
          <t>MCX_VARIATION_MARGIN</t>
        </is>
      </c>
      <c r="F978" s="7" t="inlineStr">
        <is>
          <t>PNL</t>
        </is>
      </c>
      <c r="G978" s="7" t="inlineStr">
        <is>
          <t>INR</t>
        </is>
      </c>
      <c r="H978" s="11" t="n">
        <v>44776</v>
      </c>
      <c r="I978" s="11" t="n">
        <v>44781</v>
      </c>
      <c r="J978" s="11" t="n">
        <v>44781</v>
      </c>
      <c r="K978" s="11" t="n">
        <v>44781</v>
      </c>
      <c r="L978" s="7" t="inlineStr">
        <is>
          <t>roll following on the LME panel calendar</t>
        </is>
      </c>
      <c r="N978" s="7" t="inlineStr">
        <is>
          <t>PROXY</t>
        </is>
      </c>
      <c r="O978" s="9" t="n">
        <v>95993.71000000001</v>
      </c>
      <c r="P978" s="9" t="n">
        <v>95993.71000000001</v>
      </c>
      <c r="U978" s="7" t="inlineStr">
        <is>
          <t>DERIVED_IN_WORKBOOK</t>
        </is>
      </c>
      <c r="V978" s="8">
        <f>SUMIFS(Cashflows!$R$1043:$R$1393,Cashflows!$B$1043:$B$1393,$C978,Cashflows!$C$1043:$C$1393,$K978)</f>
        <v/>
      </c>
      <c r="W978" s="8">
        <f>IF($G978="INR",1,INDEX(Market_Daily!$F$6:$F$256,MATCH($K978,Market_Daily!$A$6:$A$256,0)))</f>
        <v/>
      </c>
      <c r="X978" s="8">
        <f>$V978*$W978</f>
        <v/>
      </c>
      <c r="Y978" s="18">
        <f>$X978-$P978</f>
        <v/>
      </c>
      <c r="Z978" s="8">
        <f>IF(ABS($Y978)&lt;=tol_cashflow_inr,"PASS","FAIL")</f>
        <v/>
      </c>
      <c r="AA978" s="7" t="inlineStr">
        <is>
          <t>direction x lots x lot_kg x (F(s) - F(s-1))</t>
        </is>
      </c>
    </row>
    <row r="979">
      <c r="A979" s="7" t="inlineStr">
        <is>
          <t>T09</t>
        </is>
      </c>
      <c r="B979" s="7" t="inlineStr">
        <is>
          <t>MCX:T09-MCX-1</t>
        </is>
      </c>
      <c r="C979" s="7" t="inlineStr">
        <is>
          <t>T09-MCX-1</t>
        </is>
      </c>
      <c r="D979" s="7" t="inlineStr">
        <is>
          <t>MCX_INITIAL_MARGIN</t>
        </is>
      </c>
      <c r="E979" s="7" t="inlineStr">
        <is>
          <t>MCX_INITIAL_MARGIN</t>
        </is>
      </c>
      <c r="F979" s="7" t="inlineStr">
        <is>
          <t>BS</t>
        </is>
      </c>
      <c r="G979" s="7" t="inlineStr">
        <is>
          <t>INR</t>
        </is>
      </c>
      <c r="H979" s="11" t="n">
        <v>44776</v>
      </c>
      <c r="I979" s="11" t="n">
        <v>44782</v>
      </c>
      <c r="J979" s="11" t="n">
        <v>44782</v>
      </c>
      <c r="K979" s="11" t="n">
        <v>44782</v>
      </c>
      <c r="L979" s="7" t="inlineStr">
        <is>
          <t>roll following on the LME panel calendar</t>
        </is>
      </c>
      <c r="N979" s="7" t="inlineStr">
        <is>
          <t>PROXY</t>
        </is>
      </c>
      <c r="O979" s="9" t="n">
        <v>-345721.58</v>
      </c>
      <c r="P979" s="9" t="n">
        <v>-345721.58</v>
      </c>
      <c r="U979" s="7" t="inlineStr">
        <is>
          <t>DERIVED_IN_WORKBOOK</t>
        </is>
      </c>
      <c r="V979" s="8">
        <f>-SUMIFS(Cashflows!$W$1043:$W$1393,Cashflows!$B$1043:$B$1393,$C979,Cashflows!$C$1043:$C$1393,$K979)</f>
        <v/>
      </c>
      <c r="W979" s="8">
        <f>IF($G979="INR",1,INDEX(Market_Daily!$F$6:$F$256,MATCH($K979,Market_Daily!$A$6:$A$256,0)))</f>
        <v/>
      </c>
      <c r="X979" s="8">
        <f>$V979*$W979</f>
        <v/>
      </c>
      <c r="Y979" s="18">
        <f>$X979-$P979</f>
        <v/>
      </c>
      <c r="Z979" s="8">
        <f>IF(ABS($Y979)&lt;=tol_cashflow_inr,"PASS","FAIL")</f>
        <v/>
      </c>
      <c r="AA979" s="7" t="inlineStr">
        <is>
          <t>-d(lots x lot_kg x F(s) x mcx_al_margin_used_frac)</t>
        </is>
      </c>
    </row>
    <row r="980">
      <c r="A980" s="7" t="inlineStr">
        <is>
          <t>T09</t>
        </is>
      </c>
      <c r="B980" s="7" t="inlineStr">
        <is>
          <t>MCX:T09-MCX-1</t>
        </is>
      </c>
      <c r="C980" s="7" t="inlineStr">
        <is>
          <t>T09-MCX-1</t>
        </is>
      </c>
      <c r="D980" s="7" t="inlineStr">
        <is>
          <t>MCX_VARIATION_MARGIN</t>
        </is>
      </c>
      <c r="E980" s="7" t="inlineStr">
        <is>
          <t>MCX_VARIATION_MARGIN</t>
        </is>
      </c>
      <c r="F980" s="7" t="inlineStr">
        <is>
          <t>PNL</t>
        </is>
      </c>
      <c r="G980" s="7" t="inlineStr">
        <is>
          <t>INR</t>
        </is>
      </c>
      <c r="H980" s="11" t="n">
        <v>44776</v>
      </c>
      <c r="I980" s="11" t="n">
        <v>44782</v>
      </c>
      <c r="J980" s="11" t="n">
        <v>44782</v>
      </c>
      <c r="K980" s="11" t="n">
        <v>44782</v>
      </c>
      <c r="L980" s="7" t="inlineStr">
        <is>
          <t>roll following on the LME panel calendar</t>
        </is>
      </c>
      <c r="N980" s="7" t="inlineStr">
        <is>
          <t>PROXY</t>
        </is>
      </c>
      <c r="O980" s="9" t="n">
        <v>-3457215.84</v>
      </c>
      <c r="P980" s="9" t="n">
        <v>-3457215.84</v>
      </c>
      <c r="U980" s="7" t="inlineStr">
        <is>
          <t>DERIVED_IN_WORKBOOK</t>
        </is>
      </c>
      <c r="V980" s="8">
        <f>SUMIFS(Cashflows!$R$1043:$R$1393,Cashflows!$B$1043:$B$1393,$C980,Cashflows!$C$1043:$C$1393,$K980)</f>
        <v/>
      </c>
      <c r="W980" s="8">
        <f>IF($G980="INR",1,INDEX(Market_Daily!$F$6:$F$256,MATCH($K980,Market_Daily!$A$6:$A$256,0)))</f>
        <v/>
      </c>
      <c r="X980" s="8">
        <f>$V980*$W980</f>
        <v/>
      </c>
      <c r="Y980" s="18">
        <f>$X980-$P980</f>
        <v/>
      </c>
      <c r="Z980" s="8">
        <f>IF(ABS($Y980)&lt;=tol_cashflow_inr,"PASS","FAIL")</f>
        <v/>
      </c>
      <c r="AA980" s="7" t="inlineStr">
        <is>
          <t>direction x lots x lot_kg x (F(s) - F(s-1))</t>
        </is>
      </c>
    </row>
    <row r="981">
      <c r="A981" s="7" t="inlineStr">
        <is>
          <t>T09</t>
        </is>
      </c>
      <c r="B981" s="7" t="inlineStr">
        <is>
          <t>MCX:T09-MCX-1</t>
        </is>
      </c>
      <c r="C981" s="7" t="inlineStr">
        <is>
          <t>T09-MCX-1</t>
        </is>
      </c>
      <c r="D981" s="7" t="inlineStr">
        <is>
          <t>MCX_INITIAL_MARGIN</t>
        </is>
      </c>
      <c r="E981" s="7" t="inlineStr">
        <is>
          <t>MCX_INITIAL_MARGIN</t>
        </is>
      </c>
      <c r="F981" s="7" t="inlineStr">
        <is>
          <t>BS</t>
        </is>
      </c>
      <c r="G981" s="7" t="inlineStr">
        <is>
          <t>INR</t>
        </is>
      </c>
      <c r="H981" s="11" t="n">
        <v>44776</v>
      </c>
      <c r="I981" s="11" t="n">
        <v>44783</v>
      </c>
      <c r="J981" s="11" t="n">
        <v>44783</v>
      </c>
      <c r="K981" s="11" t="n">
        <v>44783</v>
      </c>
      <c r="L981" s="7" t="inlineStr">
        <is>
          <t>roll following on the LME panel calendar</t>
        </is>
      </c>
      <c r="N981" s="7" t="inlineStr">
        <is>
          <t>PROXY</t>
        </is>
      </c>
      <c r="O981" s="9" t="n">
        <v>192151.2</v>
      </c>
      <c r="P981" s="9" t="n">
        <v>192151.2</v>
      </c>
      <c r="U981" s="7" t="inlineStr">
        <is>
          <t>DERIVED_IN_WORKBOOK</t>
        </is>
      </c>
      <c r="V981" s="8">
        <f>-SUMIFS(Cashflows!$W$1043:$W$1393,Cashflows!$B$1043:$B$1393,$C981,Cashflows!$C$1043:$C$1393,$K981)</f>
        <v/>
      </c>
      <c r="W981" s="8">
        <f>IF($G981="INR",1,INDEX(Market_Daily!$F$6:$F$256,MATCH($K981,Market_Daily!$A$6:$A$256,0)))</f>
        <v/>
      </c>
      <c r="X981" s="8">
        <f>$V981*$W981</f>
        <v/>
      </c>
      <c r="Y981" s="18">
        <f>$X981-$P981</f>
        <v/>
      </c>
      <c r="Z981" s="8">
        <f>IF(ABS($Y981)&lt;=tol_cashflow_inr,"PASS","FAIL")</f>
        <v/>
      </c>
      <c r="AA981" s="7" t="inlineStr">
        <is>
          <t>-d(lots x lot_kg x F(s) x mcx_al_margin_used_frac)</t>
        </is>
      </c>
    </row>
    <row r="982">
      <c r="A982" s="7" t="inlineStr">
        <is>
          <t>T09</t>
        </is>
      </c>
      <c r="B982" s="7" t="inlineStr">
        <is>
          <t>MCX:T09-MCX-1</t>
        </is>
      </c>
      <c r="C982" s="7" t="inlineStr">
        <is>
          <t>T09-MCX-1</t>
        </is>
      </c>
      <c r="D982" s="7" t="inlineStr">
        <is>
          <t>MCX_VARIATION_MARGIN</t>
        </is>
      </c>
      <c r="E982" s="7" t="inlineStr">
        <is>
          <t>MCX_VARIATION_MARGIN</t>
        </is>
      </c>
      <c r="F982" s="7" t="inlineStr">
        <is>
          <t>PNL</t>
        </is>
      </c>
      <c r="G982" s="7" t="inlineStr">
        <is>
          <t>INR</t>
        </is>
      </c>
      <c r="H982" s="11" t="n">
        <v>44776</v>
      </c>
      <c r="I982" s="11" t="n">
        <v>44783</v>
      </c>
      <c r="J982" s="11" t="n">
        <v>44783</v>
      </c>
      <c r="K982" s="11" t="n">
        <v>44783</v>
      </c>
      <c r="L982" s="7" t="inlineStr">
        <is>
          <t>roll following on the LME panel calendar</t>
        </is>
      </c>
      <c r="N982" s="7" t="inlineStr">
        <is>
          <t>PROXY</t>
        </is>
      </c>
      <c r="O982" s="9" t="n">
        <v>1921512.02</v>
      </c>
      <c r="P982" s="9" t="n">
        <v>1921512.02</v>
      </c>
      <c r="U982" s="7" t="inlineStr">
        <is>
          <t>DERIVED_IN_WORKBOOK</t>
        </is>
      </c>
      <c r="V982" s="8">
        <f>SUMIFS(Cashflows!$R$1043:$R$1393,Cashflows!$B$1043:$B$1393,$C982,Cashflows!$C$1043:$C$1393,$K982)</f>
        <v/>
      </c>
      <c r="W982" s="8">
        <f>IF($G982="INR",1,INDEX(Market_Daily!$F$6:$F$256,MATCH($K982,Market_Daily!$A$6:$A$256,0)))</f>
        <v/>
      </c>
      <c r="X982" s="8">
        <f>$V982*$W982</f>
        <v/>
      </c>
      <c r="Y982" s="18">
        <f>$X982-$P982</f>
        <v/>
      </c>
      <c r="Z982" s="8">
        <f>IF(ABS($Y982)&lt;=tol_cashflow_inr,"PASS","FAIL")</f>
        <v/>
      </c>
      <c r="AA982" s="7" t="inlineStr">
        <is>
          <t>direction x lots x lot_kg x (F(s) - F(s-1))</t>
        </is>
      </c>
    </row>
    <row r="983">
      <c r="A983" s="7" t="inlineStr">
        <is>
          <t>T09</t>
        </is>
      </c>
      <c r="B983" s="7" t="inlineStr">
        <is>
          <t>MCX:T09-MCX-1</t>
        </is>
      </c>
      <c r="C983" s="7" t="inlineStr">
        <is>
          <t>T09-MCX-1</t>
        </is>
      </c>
      <c r="D983" s="7" t="inlineStr">
        <is>
          <t>MCX_INITIAL_MARGIN</t>
        </is>
      </c>
      <c r="E983" s="7" t="inlineStr">
        <is>
          <t>MCX_INITIAL_MARGIN</t>
        </is>
      </c>
      <c r="F983" s="7" t="inlineStr">
        <is>
          <t>BS</t>
        </is>
      </c>
      <c r="G983" s="7" t="inlineStr">
        <is>
          <t>INR</t>
        </is>
      </c>
      <c r="H983" s="11" t="n">
        <v>44776</v>
      </c>
      <c r="I983" s="11" t="n">
        <v>44784</v>
      </c>
      <c r="J983" s="11" t="n">
        <v>44784</v>
      </c>
      <c r="K983" s="11" t="n">
        <v>44784</v>
      </c>
      <c r="L983" s="7" t="inlineStr">
        <is>
          <t>roll following on the LME panel calendar</t>
        </is>
      </c>
      <c r="N983" s="7" t="inlineStr">
        <is>
          <t>PROXY</t>
        </is>
      </c>
      <c r="O983" s="9" t="n">
        <v>-265294.34</v>
      </c>
      <c r="P983" s="9" t="n">
        <v>-265294.34</v>
      </c>
      <c r="U983" s="7" t="inlineStr">
        <is>
          <t>DERIVED_IN_WORKBOOK</t>
        </is>
      </c>
      <c r="V983" s="8">
        <f>-SUMIFS(Cashflows!$W$1043:$W$1393,Cashflows!$B$1043:$B$1393,$C983,Cashflows!$C$1043:$C$1393,$K983)</f>
        <v/>
      </c>
      <c r="W983" s="8">
        <f>IF($G983="INR",1,INDEX(Market_Daily!$F$6:$F$256,MATCH($K983,Market_Daily!$A$6:$A$256,0)))</f>
        <v/>
      </c>
      <c r="X983" s="8">
        <f>$V983*$W983</f>
        <v/>
      </c>
      <c r="Y983" s="18">
        <f>$X983-$P983</f>
        <v/>
      </c>
      <c r="Z983" s="8">
        <f>IF(ABS($Y983)&lt;=tol_cashflow_inr,"PASS","FAIL")</f>
        <v/>
      </c>
      <c r="AA983" s="7" t="inlineStr">
        <is>
          <t>-d(lots x lot_kg x F(s) x mcx_al_margin_used_frac)</t>
        </is>
      </c>
    </row>
    <row r="984">
      <c r="A984" s="7" t="inlineStr">
        <is>
          <t>T09</t>
        </is>
      </c>
      <c r="B984" s="7" t="inlineStr">
        <is>
          <t>MCX:T09-MCX-1</t>
        </is>
      </c>
      <c r="C984" s="7" t="inlineStr">
        <is>
          <t>T09-MCX-1</t>
        </is>
      </c>
      <c r="D984" s="7" t="inlineStr">
        <is>
          <t>MCX_VARIATION_MARGIN</t>
        </is>
      </c>
      <c r="E984" s="7" t="inlineStr">
        <is>
          <t>MCX_VARIATION_MARGIN</t>
        </is>
      </c>
      <c r="F984" s="7" t="inlineStr">
        <is>
          <t>PNL</t>
        </is>
      </c>
      <c r="G984" s="7" t="inlineStr">
        <is>
          <t>INR</t>
        </is>
      </c>
      <c r="H984" s="11" t="n">
        <v>44776</v>
      </c>
      <c r="I984" s="11" t="n">
        <v>44784</v>
      </c>
      <c r="J984" s="11" t="n">
        <v>44784</v>
      </c>
      <c r="K984" s="11" t="n">
        <v>44784</v>
      </c>
      <c r="L984" s="7" t="inlineStr">
        <is>
          <t>roll following on the LME panel calendar</t>
        </is>
      </c>
      <c r="N984" s="7" t="inlineStr">
        <is>
          <t>PROXY</t>
        </is>
      </c>
      <c r="O984" s="9" t="n">
        <v>-2652943.37</v>
      </c>
      <c r="P984" s="9" t="n">
        <v>-2652943.37</v>
      </c>
      <c r="U984" s="7" t="inlineStr">
        <is>
          <t>DERIVED_IN_WORKBOOK</t>
        </is>
      </c>
      <c r="V984" s="8">
        <f>SUMIFS(Cashflows!$R$1043:$R$1393,Cashflows!$B$1043:$B$1393,$C984,Cashflows!$C$1043:$C$1393,$K984)</f>
        <v/>
      </c>
      <c r="W984" s="8">
        <f>IF($G984="INR",1,INDEX(Market_Daily!$F$6:$F$256,MATCH($K984,Market_Daily!$A$6:$A$256,0)))</f>
        <v/>
      </c>
      <c r="X984" s="8">
        <f>$V984*$W984</f>
        <v/>
      </c>
      <c r="Y984" s="18">
        <f>$X984-$P984</f>
        <v/>
      </c>
      <c r="Z984" s="8">
        <f>IF(ABS($Y984)&lt;=tol_cashflow_inr,"PASS","FAIL")</f>
        <v/>
      </c>
      <c r="AA984" s="7" t="inlineStr">
        <is>
          <t>direction x lots x lot_kg x (F(s) - F(s-1))</t>
        </is>
      </c>
    </row>
    <row r="985">
      <c r="A985" s="7" t="inlineStr">
        <is>
          <t>T09</t>
        </is>
      </c>
      <c r="B985" s="7" t="inlineStr">
        <is>
          <t>MCX:T09-MCX-1</t>
        </is>
      </c>
      <c r="C985" s="7" t="inlineStr">
        <is>
          <t>T09-MCX-1</t>
        </is>
      </c>
      <c r="D985" s="7" t="inlineStr">
        <is>
          <t>MCX_INITIAL_MARGIN</t>
        </is>
      </c>
      <c r="E985" s="7" t="inlineStr">
        <is>
          <t>MCX_INITIAL_MARGIN</t>
        </is>
      </c>
      <c r="F985" s="7" t="inlineStr">
        <is>
          <t>BS</t>
        </is>
      </c>
      <c r="G985" s="7" t="inlineStr">
        <is>
          <t>INR</t>
        </is>
      </c>
      <c r="H985" s="11" t="n">
        <v>44776</v>
      </c>
      <c r="I985" s="11" t="n">
        <v>44785</v>
      </c>
      <c r="J985" s="11" t="n">
        <v>44785</v>
      </c>
      <c r="K985" s="11" t="n">
        <v>44785</v>
      </c>
      <c r="L985" s="7" t="inlineStr">
        <is>
          <t>roll following on the LME panel calendar</t>
        </is>
      </c>
      <c r="N985" s="7" t="inlineStr">
        <is>
          <t>PROXY</t>
        </is>
      </c>
      <c r="O985" s="9" t="n">
        <v>175964.43</v>
      </c>
      <c r="P985" s="9" t="n">
        <v>175964.43</v>
      </c>
      <c r="U985" s="7" t="inlineStr">
        <is>
          <t>DERIVED_IN_WORKBOOK</t>
        </is>
      </c>
      <c r="V985" s="8">
        <f>-SUMIFS(Cashflows!$W$1043:$W$1393,Cashflows!$B$1043:$B$1393,$C985,Cashflows!$C$1043:$C$1393,$K985)</f>
        <v/>
      </c>
      <c r="W985" s="8">
        <f>IF($G985="INR",1,INDEX(Market_Daily!$F$6:$F$256,MATCH($K985,Market_Daily!$A$6:$A$256,0)))</f>
        <v/>
      </c>
      <c r="X985" s="8">
        <f>$V985*$W985</f>
        <v/>
      </c>
      <c r="Y985" s="18">
        <f>$X985-$P985</f>
        <v/>
      </c>
      <c r="Z985" s="8">
        <f>IF(ABS($Y985)&lt;=tol_cashflow_inr,"PASS","FAIL")</f>
        <v/>
      </c>
      <c r="AA985" s="7" t="inlineStr">
        <is>
          <t>-d(lots x lot_kg x F(s) x mcx_al_margin_used_frac)</t>
        </is>
      </c>
    </row>
    <row r="986">
      <c r="A986" s="7" t="inlineStr">
        <is>
          <t>T09</t>
        </is>
      </c>
      <c r="B986" s="7" t="inlineStr">
        <is>
          <t>MCX:T09-MCX-1</t>
        </is>
      </c>
      <c r="C986" s="7" t="inlineStr">
        <is>
          <t>T09-MCX-1</t>
        </is>
      </c>
      <c r="D986" s="7" t="inlineStr">
        <is>
          <t>MCX_VARIATION_MARGIN</t>
        </is>
      </c>
      <c r="E986" s="7" t="inlineStr">
        <is>
          <t>MCX_VARIATION_MARGIN</t>
        </is>
      </c>
      <c r="F986" s="7" t="inlineStr">
        <is>
          <t>PNL</t>
        </is>
      </c>
      <c r="G986" s="7" t="inlineStr">
        <is>
          <t>INR</t>
        </is>
      </c>
      <c r="H986" s="11" t="n">
        <v>44776</v>
      </c>
      <c r="I986" s="11" t="n">
        <v>44785</v>
      </c>
      <c r="J986" s="11" t="n">
        <v>44785</v>
      </c>
      <c r="K986" s="11" t="n">
        <v>44785</v>
      </c>
      <c r="L986" s="7" t="inlineStr">
        <is>
          <t>roll following on the LME panel calendar</t>
        </is>
      </c>
      <c r="N986" s="7" t="inlineStr">
        <is>
          <t>PROXY</t>
        </is>
      </c>
      <c r="O986" s="9" t="n">
        <v>1759644.31</v>
      </c>
      <c r="P986" s="9" t="n">
        <v>1759644.31</v>
      </c>
      <c r="U986" s="7" t="inlineStr">
        <is>
          <t>DERIVED_IN_WORKBOOK</t>
        </is>
      </c>
      <c r="V986" s="8">
        <f>SUMIFS(Cashflows!$R$1043:$R$1393,Cashflows!$B$1043:$B$1393,$C986,Cashflows!$C$1043:$C$1393,$K986)</f>
        <v/>
      </c>
      <c r="W986" s="8">
        <f>IF($G986="INR",1,INDEX(Market_Daily!$F$6:$F$256,MATCH($K986,Market_Daily!$A$6:$A$256,0)))</f>
        <v/>
      </c>
      <c r="X986" s="8">
        <f>$V986*$W986</f>
        <v/>
      </c>
      <c r="Y986" s="18">
        <f>$X986-$P986</f>
        <v/>
      </c>
      <c r="Z986" s="8">
        <f>IF(ABS($Y986)&lt;=tol_cashflow_inr,"PASS","FAIL")</f>
        <v/>
      </c>
      <c r="AA986" s="7" t="inlineStr">
        <is>
          <t>direction x lots x lot_kg x (F(s) - F(s-1))</t>
        </is>
      </c>
    </row>
    <row r="987">
      <c r="A987" s="7" t="inlineStr">
        <is>
          <t>T09</t>
        </is>
      </c>
      <c r="B987" s="7" t="inlineStr">
        <is>
          <t>MCX:T09-MCX-1</t>
        </is>
      </c>
      <c r="C987" s="7" t="inlineStr">
        <is>
          <t>T09-MCX-1</t>
        </is>
      </c>
      <c r="D987" s="7" t="inlineStr">
        <is>
          <t>MCX_INITIAL_MARGIN</t>
        </is>
      </c>
      <c r="E987" s="7" t="inlineStr">
        <is>
          <t>MCX_INITIAL_MARGIN</t>
        </is>
      </c>
      <c r="F987" s="7" t="inlineStr">
        <is>
          <t>BS</t>
        </is>
      </c>
      <c r="G987" s="7" t="inlineStr">
        <is>
          <t>INR</t>
        </is>
      </c>
      <c r="H987" s="11" t="n">
        <v>44776</v>
      </c>
      <c r="I987" s="11" t="n">
        <v>44788</v>
      </c>
      <c r="J987" s="11" t="n">
        <v>44788</v>
      </c>
      <c r="K987" s="11" t="n">
        <v>44788</v>
      </c>
      <c r="L987" s="7" t="inlineStr">
        <is>
          <t>roll following on the LME panel calendar</t>
        </is>
      </c>
      <c r="N987" s="7" t="inlineStr">
        <is>
          <t>PROXY</t>
        </is>
      </c>
      <c r="O987" s="9" t="n">
        <v>587188.59</v>
      </c>
      <c r="P987" s="9" t="n">
        <v>587188.59</v>
      </c>
      <c r="U987" s="7" t="inlineStr">
        <is>
          <t>DERIVED_IN_WORKBOOK</t>
        </is>
      </c>
      <c r="V987" s="8">
        <f>-SUMIFS(Cashflows!$W$1043:$W$1393,Cashflows!$B$1043:$B$1393,$C987,Cashflows!$C$1043:$C$1393,$K987)</f>
        <v/>
      </c>
      <c r="W987" s="8">
        <f>IF($G987="INR",1,INDEX(Market_Daily!$F$6:$F$256,MATCH($K987,Market_Daily!$A$6:$A$256,0)))</f>
        <v/>
      </c>
      <c r="X987" s="8">
        <f>$V987*$W987</f>
        <v/>
      </c>
      <c r="Y987" s="18">
        <f>$X987-$P987</f>
        <v/>
      </c>
      <c r="Z987" s="8">
        <f>IF(ABS($Y987)&lt;=tol_cashflow_inr,"PASS","FAIL")</f>
        <v/>
      </c>
      <c r="AA987" s="7" t="inlineStr">
        <is>
          <t>-d(lots x lot_kg x F(s) x mcx_al_margin_used_frac)</t>
        </is>
      </c>
    </row>
    <row r="988">
      <c r="A988" s="7" t="inlineStr">
        <is>
          <t>T09</t>
        </is>
      </c>
      <c r="B988" s="7" t="inlineStr">
        <is>
          <t>MCX:T09-MCX-1</t>
        </is>
      </c>
      <c r="C988" s="7" t="inlineStr">
        <is>
          <t>T09-MCX-1</t>
        </is>
      </c>
      <c r="D988" s="7" t="inlineStr">
        <is>
          <t>MCX_VARIATION_MARGIN</t>
        </is>
      </c>
      <c r="E988" s="7" t="inlineStr">
        <is>
          <t>MCX_VARIATION_MARGIN</t>
        </is>
      </c>
      <c r="F988" s="7" t="inlineStr">
        <is>
          <t>PNL</t>
        </is>
      </c>
      <c r="G988" s="7" t="inlineStr">
        <is>
          <t>INR</t>
        </is>
      </c>
      <c r="H988" s="11" t="n">
        <v>44776</v>
      </c>
      <c r="I988" s="11" t="n">
        <v>44788</v>
      </c>
      <c r="J988" s="11" t="n">
        <v>44788</v>
      </c>
      <c r="K988" s="11" t="n">
        <v>44788</v>
      </c>
      <c r="L988" s="7" t="inlineStr">
        <is>
          <t>roll following on the LME panel calendar</t>
        </is>
      </c>
      <c r="N988" s="7" t="inlineStr">
        <is>
          <t>PROXY</t>
        </is>
      </c>
      <c r="O988" s="9" t="n">
        <v>5871885.86</v>
      </c>
      <c r="P988" s="9" t="n">
        <v>5871885.86</v>
      </c>
      <c r="U988" s="7" t="inlineStr">
        <is>
          <t>DERIVED_IN_WORKBOOK</t>
        </is>
      </c>
      <c r="V988" s="8">
        <f>SUMIFS(Cashflows!$R$1043:$R$1393,Cashflows!$B$1043:$B$1393,$C988,Cashflows!$C$1043:$C$1393,$K988)</f>
        <v/>
      </c>
      <c r="W988" s="8">
        <f>IF($G988="INR",1,INDEX(Market_Daily!$F$6:$F$256,MATCH($K988,Market_Daily!$A$6:$A$256,0)))</f>
        <v/>
      </c>
      <c r="X988" s="8">
        <f>$V988*$W988</f>
        <v/>
      </c>
      <c r="Y988" s="18">
        <f>$X988-$P988</f>
        <v/>
      </c>
      <c r="Z988" s="8">
        <f>IF(ABS($Y988)&lt;=tol_cashflow_inr,"PASS","FAIL")</f>
        <v/>
      </c>
      <c r="AA988" s="7" t="inlineStr">
        <is>
          <t>direction x lots x lot_kg x (F(s) - F(s-1))</t>
        </is>
      </c>
    </row>
    <row r="989">
      <c r="A989" s="7" t="inlineStr">
        <is>
          <t>T09</t>
        </is>
      </c>
      <c r="B989" s="7" t="inlineStr">
        <is>
          <t>MCX:T09-MCX-1</t>
        </is>
      </c>
      <c r="C989" s="7" t="inlineStr">
        <is>
          <t>T09-MCX-1</t>
        </is>
      </c>
      <c r="D989" s="7" t="inlineStr">
        <is>
          <t>MCX_INITIAL_MARGIN</t>
        </is>
      </c>
      <c r="E989" s="7" t="inlineStr">
        <is>
          <t>MCX_INITIAL_MARGIN</t>
        </is>
      </c>
      <c r="F989" s="7" t="inlineStr">
        <is>
          <t>BS</t>
        </is>
      </c>
      <c r="G989" s="7" t="inlineStr">
        <is>
          <t>INR</t>
        </is>
      </c>
      <c r="H989" s="11" t="n">
        <v>44776</v>
      </c>
      <c r="I989" s="11" t="n">
        <v>44789</v>
      </c>
      <c r="J989" s="11" t="n">
        <v>44789</v>
      </c>
      <c r="K989" s="11" t="n">
        <v>44789</v>
      </c>
      <c r="L989" s="7" t="inlineStr">
        <is>
          <t>roll following on the LME panel calendar</t>
        </is>
      </c>
      <c r="N989" s="7" t="inlineStr">
        <is>
          <t>PROXY</t>
        </is>
      </c>
      <c r="O989" s="9" t="n">
        <v>-316581.91</v>
      </c>
      <c r="P989" s="9" t="n">
        <v>-316581.91</v>
      </c>
      <c r="U989" s="7" t="inlineStr">
        <is>
          <t>DERIVED_IN_WORKBOOK</t>
        </is>
      </c>
      <c r="V989" s="8">
        <f>-SUMIFS(Cashflows!$W$1043:$W$1393,Cashflows!$B$1043:$B$1393,$C989,Cashflows!$C$1043:$C$1393,$K989)</f>
        <v/>
      </c>
      <c r="W989" s="8">
        <f>IF($G989="INR",1,INDEX(Market_Daily!$F$6:$F$256,MATCH($K989,Market_Daily!$A$6:$A$256,0)))</f>
        <v/>
      </c>
      <c r="X989" s="8">
        <f>$V989*$W989</f>
        <v/>
      </c>
      <c r="Y989" s="18">
        <f>$X989-$P989</f>
        <v/>
      </c>
      <c r="Z989" s="8">
        <f>IF(ABS($Y989)&lt;=tol_cashflow_inr,"PASS","FAIL")</f>
        <v/>
      </c>
      <c r="AA989" s="7" t="inlineStr">
        <is>
          <t>-d(lots x lot_kg x F(s) x mcx_al_margin_used_frac)</t>
        </is>
      </c>
    </row>
    <row r="990">
      <c r="A990" s="7" t="inlineStr">
        <is>
          <t>T09</t>
        </is>
      </c>
      <c r="B990" s="7" t="inlineStr">
        <is>
          <t>MCX:T09-MCX-1</t>
        </is>
      </c>
      <c r="C990" s="7" t="inlineStr">
        <is>
          <t>T09-MCX-1</t>
        </is>
      </c>
      <c r="D990" s="7" t="inlineStr">
        <is>
          <t>MCX_VARIATION_MARGIN</t>
        </is>
      </c>
      <c r="E990" s="7" t="inlineStr">
        <is>
          <t>MCX_VARIATION_MARGIN</t>
        </is>
      </c>
      <c r="F990" s="7" t="inlineStr">
        <is>
          <t>PNL</t>
        </is>
      </c>
      <c r="G990" s="7" t="inlineStr">
        <is>
          <t>INR</t>
        </is>
      </c>
      <c r="H990" s="11" t="n">
        <v>44776</v>
      </c>
      <c r="I990" s="11" t="n">
        <v>44789</v>
      </c>
      <c r="J990" s="11" t="n">
        <v>44789</v>
      </c>
      <c r="K990" s="11" t="n">
        <v>44789</v>
      </c>
      <c r="L990" s="7" t="inlineStr">
        <is>
          <t>roll following on the LME panel calendar</t>
        </is>
      </c>
      <c r="N990" s="7" t="inlineStr">
        <is>
          <t>PROXY</t>
        </is>
      </c>
      <c r="O990" s="9" t="n">
        <v>-3165819.08</v>
      </c>
      <c r="P990" s="9" t="n">
        <v>-3165819.08</v>
      </c>
      <c r="U990" s="7" t="inlineStr">
        <is>
          <t>DERIVED_IN_WORKBOOK</t>
        </is>
      </c>
      <c r="V990" s="8">
        <f>SUMIFS(Cashflows!$R$1043:$R$1393,Cashflows!$B$1043:$B$1393,$C990,Cashflows!$C$1043:$C$1393,$K990)</f>
        <v/>
      </c>
      <c r="W990" s="8">
        <f>IF($G990="INR",1,INDEX(Market_Daily!$F$6:$F$256,MATCH($K990,Market_Daily!$A$6:$A$256,0)))</f>
        <v/>
      </c>
      <c r="X990" s="8">
        <f>$V990*$W990</f>
        <v/>
      </c>
      <c r="Y990" s="18">
        <f>$X990-$P990</f>
        <v/>
      </c>
      <c r="Z990" s="8">
        <f>IF(ABS($Y990)&lt;=tol_cashflow_inr,"PASS","FAIL")</f>
        <v/>
      </c>
      <c r="AA990" s="7" t="inlineStr">
        <is>
          <t>direction x lots x lot_kg x (F(s) - F(s-1))</t>
        </is>
      </c>
    </row>
    <row r="991">
      <c r="A991" s="7" t="inlineStr">
        <is>
          <t>T09</t>
        </is>
      </c>
      <c r="B991" s="7" t="inlineStr">
        <is>
          <t>INSURANCE:L1</t>
        </is>
      </c>
      <c r="C991" s="7" t="inlineStr">
        <is>
          <t>L1</t>
        </is>
      </c>
      <c r="D991" s="7" t="inlineStr">
        <is>
          <t>INSURANCE</t>
        </is>
      </c>
      <c r="E991" s="7" t="inlineStr">
        <is>
          <t>INSURANCE</t>
        </is>
      </c>
      <c r="F991" s="7" t="inlineStr">
        <is>
          <t>PNL</t>
        </is>
      </c>
      <c r="G991" s="7" t="inlineStr">
        <is>
          <t>USD</t>
        </is>
      </c>
      <c r="H991" s="11" t="n">
        <v>44776</v>
      </c>
      <c r="I991" s="11" t="n">
        <v>44790</v>
      </c>
      <c r="J991" s="11" t="n">
        <v>44790</v>
      </c>
      <c r="K991" s="11" t="n">
        <v>44790</v>
      </c>
      <c r="L991" s="7" t="inlineStr">
        <is>
          <t>roll following on the LME panel calendar</t>
        </is>
      </c>
      <c r="N991" s="7" t="inlineStr">
        <is>
          <t>ASSUMPTION</t>
        </is>
      </c>
      <c r="O991" s="9" t="n">
        <v>-1205.82</v>
      </c>
      <c r="P991" s="9" t="n">
        <v>-95805.41</v>
      </c>
      <c r="U991" s="7" t="inlineStr">
        <is>
          <t>PYTHON_LIFECYCLE</t>
        </is>
      </c>
      <c r="V991" s="8">
        <f>$O991</f>
        <v/>
      </c>
      <c r="W991" s="8">
        <f>IF($G991="INR",1,INDEX(Market_Daily!$F$6:$F$256,MATCH($K991,Market_Daily!$A$6:$A$256,0)))</f>
        <v/>
      </c>
      <c r="X991" s="8">
        <f>$V991*$W991</f>
        <v/>
      </c>
      <c r="Y991" s="18">
        <f>$X991-$P991</f>
        <v/>
      </c>
      <c r="Z991" s="8">
        <f>IF(ABS($Y991)&lt;=tol_cashflow_inr,"PASS","FAIL")</f>
        <v/>
      </c>
      <c r="AA991" s="7" t="inlineStr">
        <is>
          <t>-insurance_rate x insured_value_uplift x cfr_value_usd</t>
        </is>
      </c>
    </row>
    <row r="992">
      <c r="A992" s="7" t="inlineStr">
        <is>
          <t>T09</t>
        </is>
      </c>
      <c r="B992" s="7" t="inlineStr">
        <is>
          <t>MCX:T09-MCX-1</t>
        </is>
      </c>
      <c r="C992" s="7" t="inlineStr">
        <is>
          <t>T09-MCX-1</t>
        </is>
      </c>
      <c r="D992" s="7" t="inlineStr">
        <is>
          <t>MCX_INITIAL_MARGIN</t>
        </is>
      </c>
      <c r="E992" s="7" t="inlineStr">
        <is>
          <t>MCX_INITIAL_MARGIN</t>
        </is>
      </c>
      <c r="F992" s="7" t="inlineStr">
        <is>
          <t>BS</t>
        </is>
      </c>
      <c r="G992" s="7" t="inlineStr">
        <is>
          <t>INR</t>
        </is>
      </c>
      <c r="H992" s="11" t="n">
        <v>44776</v>
      </c>
      <c r="I992" s="11" t="n">
        <v>44790</v>
      </c>
      <c r="J992" s="11" t="n">
        <v>44790</v>
      </c>
      <c r="K992" s="11" t="n">
        <v>44790</v>
      </c>
      <c r="L992" s="7" t="inlineStr">
        <is>
          <t>roll following on the LME panel calendar</t>
        </is>
      </c>
      <c r="N992" s="7" t="inlineStr">
        <is>
          <t>PROXY</t>
        </is>
      </c>
      <c r="O992" s="9" t="n">
        <v>167604.57</v>
      </c>
      <c r="P992" s="9" t="n">
        <v>167604.57</v>
      </c>
      <c r="U992" s="7" t="inlineStr">
        <is>
          <t>DERIVED_IN_WORKBOOK</t>
        </is>
      </c>
      <c r="V992" s="8">
        <f>-SUMIFS(Cashflows!$W$1043:$W$1393,Cashflows!$B$1043:$B$1393,$C992,Cashflows!$C$1043:$C$1393,$K992)</f>
        <v/>
      </c>
      <c r="W992" s="8">
        <f>IF($G992="INR",1,INDEX(Market_Daily!$F$6:$F$256,MATCH($K992,Market_Daily!$A$6:$A$256,0)))</f>
        <v/>
      </c>
      <c r="X992" s="8">
        <f>$V992*$W992</f>
        <v/>
      </c>
      <c r="Y992" s="18">
        <f>$X992-$P992</f>
        <v/>
      </c>
      <c r="Z992" s="8">
        <f>IF(ABS($Y992)&lt;=tol_cashflow_inr,"PASS","FAIL")</f>
        <v/>
      </c>
      <c r="AA992" s="7" t="inlineStr">
        <is>
          <t>-d(lots x lot_kg x F(s) x mcx_al_margin_used_frac)</t>
        </is>
      </c>
    </row>
    <row r="993">
      <c r="A993" s="7" t="inlineStr">
        <is>
          <t>T09</t>
        </is>
      </c>
      <c r="B993" s="7" t="inlineStr">
        <is>
          <t>MCX:T09-MCX-1</t>
        </is>
      </c>
      <c r="C993" s="7" t="inlineStr">
        <is>
          <t>T09-MCX-1</t>
        </is>
      </c>
      <c r="D993" s="7" t="inlineStr">
        <is>
          <t>MCX_VARIATION_MARGIN</t>
        </is>
      </c>
      <c r="E993" s="7" t="inlineStr">
        <is>
          <t>MCX_VARIATION_MARGIN</t>
        </is>
      </c>
      <c r="F993" s="7" t="inlineStr">
        <is>
          <t>PNL</t>
        </is>
      </c>
      <c r="G993" s="7" t="inlineStr">
        <is>
          <t>INR</t>
        </is>
      </c>
      <c r="H993" s="11" t="n">
        <v>44776</v>
      </c>
      <c r="I993" s="11" t="n">
        <v>44790</v>
      </c>
      <c r="J993" s="11" t="n">
        <v>44790</v>
      </c>
      <c r="K993" s="11" t="n">
        <v>44790</v>
      </c>
      <c r="L993" s="7" t="inlineStr">
        <is>
          <t>roll following on the LME panel calendar</t>
        </is>
      </c>
      <c r="N993" s="7" t="inlineStr">
        <is>
          <t>PROXY</t>
        </is>
      </c>
      <c r="O993" s="9" t="n">
        <v>1676045.69</v>
      </c>
      <c r="P993" s="9" t="n">
        <v>1676045.69</v>
      </c>
      <c r="U993" s="7" t="inlineStr">
        <is>
          <t>DERIVED_IN_WORKBOOK</t>
        </is>
      </c>
      <c r="V993" s="8">
        <f>SUMIFS(Cashflows!$R$1043:$R$1393,Cashflows!$B$1043:$B$1393,$C993,Cashflows!$C$1043:$C$1393,$K993)</f>
        <v/>
      </c>
      <c r="W993" s="8">
        <f>IF($G993="INR",1,INDEX(Market_Daily!$F$6:$F$256,MATCH($K993,Market_Daily!$A$6:$A$256,0)))</f>
        <v/>
      </c>
      <c r="X993" s="8">
        <f>$V993*$W993</f>
        <v/>
      </c>
      <c r="Y993" s="18">
        <f>$X993-$P993</f>
        <v/>
      </c>
      <c r="Z993" s="8">
        <f>IF(ABS($Y993)&lt;=tol_cashflow_inr,"PASS","FAIL")</f>
        <v/>
      </c>
      <c r="AA993" s="7" t="inlineStr">
        <is>
          <t>direction x lots x lot_kg x (F(s) - F(s-1))</t>
        </is>
      </c>
    </row>
    <row r="994">
      <c r="A994" s="7" t="inlineStr">
        <is>
          <t>T09</t>
        </is>
      </c>
      <c r="B994" s="7" t="inlineStr">
        <is>
          <t>PSIC:L1</t>
        </is>
      </c>
      <c r="C994" s="7" t="inlineStr">
        <is>
          <t>L1</t>
        </is>
      </c>
      <c r="D994" s="7" t="inlineStr">
        <is>
          <t>PSIC</t>
        </is>
      </c>
      <c r="E994" s="7" t="inlineStr">
        <is>
          <t>PSIC</t>
        </is>
      </c>
      <c r="F994" s="7" t="inlineStr">
        <is>
          <t>PNL</t>
        </is>
      </c>
      <c r="G994" s="7" t="inlineStr">
        <is>
          <t>USD</t>
        </is>
      </c>
      <c r="H994" s="11" t="n">
        <v>44776</v>
      </c>
      <c r="I994" s="11" t="n">
        <v>44790</v>
      </c>
      <c r="J994" s="11" t="n">
        <v>44790</v>
      </c>
      <c r="K994" s="11" t="n">
        <v>44790</v>
      </c>
      <c r="L994" s="7" t="inlineStr">
        <is>
          <t>roll following on the LME panel calendar</t>
        </is>
      </c>
      <c r="N994" s="7" t="inlineStr">
        <is>
          <t>ASSUMPTION</t>
        </is>
      </c>
      <c r="O994" s="9" t="n">
        <v>-960</v>
      </c>
      <c r="P994" s="9" t="n">
        <v>-76274.39999999999</v>
      </c>
      <c r="U994" s="7" t="inlineStr">
        <is>
          <t>PYTHON_LIFECYCLE</t>
        </is>
      </c>
      <c r="V994" s="8">
        <f>$O994</f>
        <v/>
      </c>
      <c r="W994" s="8">
        <f>IF($G994="INR",1,INDEX(Market_Daily!$F$6:$F$256,MATCH($K994,Market_Daily!$A$6:$A$256,0)))</f>
        <v/>
      </c>
      <c r="X994" s="8">
        <f>$V994*$W994</f>
        <v/>
      </c>
      <c r="Y994" s="18">
        <f>$X994-$P994</f>
        <v/>
      </c>
      <c r="Z994" s="8">
        <f>IF(ABS($Y994)&lt;=tol_cashflow_inr,"PASS","FAIL")</f>
        <v/>
      </c>
      <c r="AA994" s="7" t="inlineStr">
        <is>
          <t>-psic_cost_usd_per_box x boxes</t>
        </is>
      </c>
    </row>
    <row r="995">
      <c r="A995" s="7" t="inlineStr">
        <is>
          <t>T09</t>
        </is>
      </c>
      <c r="B995" s="7" t="inlineStr">
        <is>
          <t>MCX:T09-MCX-1</t>
        </is>
      </c>
      <c r="C995" s="7" t="inlineStr">
        <is>
          <t>T09-MCX-1</t>
        </is>
      </c>
      <c r="D995" s="7" t="inlineStr">
        <is>
          <t>MCX_INITIAL_MARGIN</t>
        </is>
      </c>
      <c r="E995" s="7" t="inlineStr">
        <is>
          <t>MCX_INITIAL_MARGIN</t>
        </is>
      </c>
      <c r="F995" s="7" t="inlineStr">
        <is>
          <t>BS</t>
        </is>
      </c>
      <c r="G995" s="7" t="inlineStr">
        <is>
          <t>INR</t>
        </is>
      </c>
      <c r="H995" s="11" t="n">
        <v>44776</v>
      </c>
      <c r="I995" s="11" t="n">
        <v>44791</v>
      </c>
      <c r="J995" s="11" t="n">
        <v>44791</v>
      </c>
      <c r="K995" s="11" t="n">
        <v>44791</v>
      </c>
      <c r="L995" s="7" t="inlineStr">
        <is>
          <t>roll following on the LME panel calendar</t>
        </is>
      </c>
      <c r="N995" s="7" t="inlineStr">
        <is>
          <t>PROXY</t>
        </is>
      </c>
      <c r="O995" s="9" t="n">
        <v>16333578.69</v>
      </c>
      <c r="P995" s="9" t="n">
        <v>16333578.69</v>
      </c>
      <c r="U995" s="7" t="inlineStr">
        <is>
          <t>DERIVED_IN_WORKBOOK</t>
        </is>
      </c>
      <c r="V995" s="8">
        <f>-SUMIFS(Cashflows!$W$1043:$W$1393,Cashflows!$B$1043:$B$1393,$C995,Cashflows!$C$1043:$C$1393,$K995)</f>
        <v/>
      </c>
      <c r="W995" s="8">
        <f>IF($G995="INR",1,INDEX(Market_Daily!$F$6:$F$256,MATCH($K995,Market_Daily!$A$6:$A$256,0)))</f>
        <v/>
      </c>
      <c r="X995" s="8">
        <f>$V995*$W995</f>
        <v/>
      </c>
      <c r="Y995" s="18">
        <f>$X995-$P995</f>
        <v/>
      </c>
      <c r="Z995" s="8">
        <f>IF(ABS($Y995)&lt;=tol_cashflow_inr,"PASS","FAIL")</f>
        <v/>
      </c>
      <c r="AA995" s="7" t="inlineStr">
        <is>
          <t>-d(lots x lot_kg x F(s) x mcx_al_margin_used_frac)</t>
        </is>
      </c>
    </row>
    <row r="996">
      <c r="A996" s="7" t="inlineStr">
        <is>
          <t>T09</t>
        </is>
      </c>
      <c r="B996" s="7" t="inlineStr">
        <is>
          <t>MCX:T09-MCX-1</t>
        </is>
      </c>
      <c r="C996" s="7" t="inlineStr">
        <is>
          <t>T09-MCX-1</t>
        </is>
      </c>
      <c r="D996" s="7" t="inlineStr">
        <is>
          <t>MCX_SLIPPAGE</t>
        </is>
      </c>
      <c r="E996" s="7" t="inlineStr">
        <is>
          <t>MCX_SLIPPAGE</t>
        </is>
      </c>
      <c r="F996" s="7" t="inlineStr">
        <is>
          <t>PNL</t>
        </is>
      </c>
      <c r="G996" s="7" t="inlineStr">
        <is>
          <t>INR</t>
        </is>
      </c>
      <c r="H996" s="11" t="n">
        <v>44791</v>
      </c>
      <c r="J996" s="11" t="n">
        <v>44791</v>
      </c>
      <c r="K996" s="11" t="n">
        <v>44791</v>
      </c>
      <c r="L996" s="7" t="inlineStr">
        <is>
          <t>roll following on the LME panel calendar</t>
        </is>
      </c>
      <c r="N996" s="7" t="inlineStr">
        <is>
          <t>ASSUMPTION</t>
        </is>
      </c>
      <c r="O996" s="9" t="n">
        <v>-78500</v>
      </c>
      <c r="P996" s="9" t="n">
        <v>-78500</v>
      </c>
      <c r="U996" s="7" t="inlineStr">
        <is>
          <t>DERIVED_IN_WORKBOOK</t>
        </is>
      </c>
      <c r="V996" s="8">
        <f>SUMIFS(Cashflows!$Z$1043:$Z$1393,Cashflows!$B$1043:$B$1393,$C996,Cashflows!$C$1043:$C$1393,$K996)</f>
        <v/>
      </c>
      <c r="W996" s="8">
        <f>IF($G996="INR",1,INDEX(Market_Daily!$F$6:$F$256,MATCH($K996,Market_Daily!$A$6:$A$256,0)))</f>
        <v/>
      </c>
      <c r="X996" s="8">
        <f>$V996*$W996</f>
        <v/>
      </c>
      <c r="Y996" s="18">
        <f>$X996-$P996</f>
        <v/>
      </c>
      <c r="Z996" s="8">
        <f>IF(ABS($Y996)&lt;=tol_cashflow_inr,"PASS","FAIL")</f>
        <v/>
      </c>
      <c r="AA996" s="7" t="inlineStr">
        <is>
          <t>-lots x lot_kg x mcx_slippage_ticks x tick</t>
        </is>
      </c>
    </row>
    <row r="997">
      <c r="A997" s="7" t="inlineStr">
        <is>
          <t>T09</t>
        </is>
      </c>
      <c r="B997" s="7" t="inlineStr">
        <is>
          <t>MCX:T09-MCX-1</t>
        </is>
      </c>
      <c r="C997" s="7" t="inlineStr">
        <is>
          <t>T09-MCX-1</t>
        </is>
      </c>
      <c r="D997" s="7" t="inlineStr">
        <is>
          <t>MCX_TRANSACTION_COST</t>
        </is>
      </c>
      <c r="E997" s="7" t="inlineStr">
        <is>
          <t>MCX_TRANSACTION_COST</t>
        </is>
      </c>
      <c r="F997" s="7" t="inlineStr">
        <is>
          <t>PNL</t>
        </is>
      </c>
      <c r="G997" s="7" t="inlineStr">
        <is>
          <t>INR</t>
        </is>
      </c>
      <c r="H997" s="11" t="n">
        <v>44791</v>
      </c>
      <c r="I997" s="11" t="n">
        <v>44791</v>
      </c>
      <c r="J997" s="11" t="n">
        <v>44791</v>
      </c>
      <c r="K997" s="11" t="n">
        <v>44791</v>
      </c>
      <c r="L997" s="7" t="inlineStr">
        <is>
          <t>roll following on the LME panel calendar</t>
        </is>
      </c>
      <c r="N997" s="7" t="inlineStr">
        <is>
          <t>ASSUMPTION</t>
        </is>
      </c>
      <c r="O997" s="9" t="n">
        <v>-49082.23</v>
      </c>
      <c r="P997" s="9" t="n">
        <v>-49082.23</v>
      </c>
      <c r="U997" s="7" t="inlineStr">
        <is>
          <t>DERIVED_IN_WORKBOOK</t>
        </is>
      </c>
      <c r="V997" s="8">
        <f>SUMIFS(Cashflows!$AA$1043:$AA$1393,Cashflows!$B$1043:$B$1393,$C997,Cashflows!$C$1043:$C$1393,$K997)</f>
        <v/>
      </c>
      <c r="W997" s="8">
        <f>IF($G997="INR",1,INDEX(Market_Daily!$F$6:$F$256,MATCH($K997,Market_Daily!$A$6:$A$256,0)))</f>
        <v/>
      </c>
      <c r="X997" s="8">
        <f>$V997*$W997</f>
        <v/>
      </c>
      <c r="Y997" s="18">
        <f>$X997-$P997</f>
        <v/>
      </c>
      <c r="Z997" s="8">
        <f>IF(ABS($Y997)&lt;=tol_cashflow_inr,"PASS","FAIL")</f>
        <v/>
      </c>
      <c r="AA997" s="7" t="inlineStr">
        <is>
          <t>-lots x lot_kg x fill x mcx_txn_cost_frac</t>
        </is>
      </c>
    </row>
    <row r="998">
      <c r="A998" s="7" t="inlineStr">
        <is>
          <t>T09</t>
        </is>
      </c>
      <c r="B998" s="7" t="inlineStr">
        <is>
          <t>MCX:T09-MCX-1</t>
        </is>
      </c>
      <c r="C998" s="7" t="inlineStr">
        <is>
          <t>T09-MCX-1</t>
        </is>
      </c>
      <c r="D998" s="7" t="inlineStr">
        <is>
          <t>MCX_VARIATION_MARGIN</t>
        </is>
      </c>
      <c r="E998" s="7" t="inlineStr">
        <is>
          <t>MCX_VARIATION_MARGIN</t>
        </is>
      </c>
      <c r="F998" s="7" t="inlineStr">
        <is>
          <t>PNL</t>
        </is>
      </c>
      <c r="G998" s="7" t="inlineStr">
        <is>
          <t>INR</t>
        </is>
      </c>
      <c r="H998" s="11" t="n">
        <v>44776</v>
      </c>
      <c r="I998" s="11" t="n">
        <v>44791</v>
      </c>
      <c r="J998" s="11" t="n">
        <v>44791</v>
      </c>
      <c r="K998" s="11" t="n">
        <v>44791</v>
      </c>
      <c r="L998" s="7" t="inlineStr">
        <is>
          <t>roll following on the LME panel calendar</t>
        </is>
      </c>
      <c r="N998" s="7" t="inlineStr">
        <is>
          <t>PROXY</t>
        </is>
      </c>
      <c r="O998" s="9" t="n">
        <v>-193155.51</v>
      </c>
      <c r="P998" s="9" t="n">
        <v>-193155.51</v>
      </c>
      <c r="U998" s="7" t="inlineStr">
        <is>
          <t>DERIVED_IN_WORKBOOK</t>
        </is>
      </c>
      <c r="V998" s="8">
        <f>SUMIFS(Cashflows!$R$1043:$R$1393,Cashflows!$B$1043:$B$1393,$C998,Cashflows!$C$1043:$C$1393,$K998)</f>
        <v/>
      </c>
      <c r="W998" s="8">
        <f>IF($G998="INR",1,INDEX(Market_Daily!$F$6:$F$256,MATCH($K998,Market_Daily!$A$6:$A$256,0)))</f>
        <v/>
      </c>
      <c r="X998" s="8">
        <f>$V998*$W998</f>
        <v/>
      </c>
      <c r="Y998" s="18">
        <f>$X998-$P998</f>
        <v/>
      </c>
      <c r="Z998" s="8">
        <f>IF(ABS($Y998)&lt;=tol_cashflow_inr,"PASS","FAIL")</f>
        <v/>
      </c>
      <c r="AA998" s="7" t="inlineStr">
        <is>
          <t>direction x lots x lot_kg x (F(s) - F(s-1))</t>
        </is>
      </c>
    </row>
    <row r="999">
      <c r="A999" s="7" t="inlineStr">
        <is>
          <t>T09</t>
        </is>
      </c>
      <c r="B999" s="7" t="inlineStr">
        <is>
          <t>MCX:T09-MCX-2</t>
        </is>
      </c>
      <c r="C999" s="7" t="inlineStr">
        <is>
          <t>T09-MCX-2</t>
        </is>
      </c>
      <c r="D999" s="7" t="inlineStr">
        <is>
          <t>MCX_INITIAL_MARGIN</t>
        </is>
      </c>
      <c r="E999" s="7" t="inlineStr">
        <is>
          <t>MCX_INITIAL_MARGIN</t>
        </is>
      </c>
      <c r="F999" s="7" t="inlineStr">
        <is>
          <t>BS</t>
        </is>
      </c>
      <c r="G999" s="7" t="inlineStr">
        <is>
          <t>INR</t>
        </is>
      </c>
      <c r="H999" s="11" t="n">
        <v>44791</v>
      </c>
      <c r="I999" s="11" t="n">
        <v>44791</v>
      </c>
      <c r="J999" s="11" t="n">
        <v>44791</v>
      </c>
      <c r="K999" s="11" t="n">
        <v>44791</v>
      </c>
      <c r="L999" s="7" t="inlineStr">
        <is>
          <t>roll following on the LME panel calendar</t>
        </is>
      </c>
      <c r="N999" s="7" t="inlineStr">
        <is>
          <t>PROXY</t>
        </is>
      </c>
      <c r="O999" s="9" t="n">
        <v>-16428585.5</v>
      </c>
      <c r="P999" s="9" t="n">
        <v>-16428585.5</v>
      </c>
      <c r="U999" s="7" t="inlineStr">
        <is>
          <t>DERIVED_IN_WORKBOOK</t>
        </is>
      </c>
      <c r="V999" s="8">
        <f>-SUMIFS(Cashflows!$W$1043:$W$1393,Cashflows!$B$1043:$B$1393,$C999,Cashflows!$C$1043:$C$1393,$K999)</f>
        <v/>
      </c>
      <c r="W999" s="8">
        <f>IF($G999="INR",1,INDEX(Market_Daily!$F$6:$F$256,MATCH($K999,Market_Daily!$A$6:$A$256,0)))</f>
        <v/>
      </c>
      <c r="X999" s="8">
        <f>$V999*$W999</f>
        <v/>
      </c>
      <c r="Y999" s="18">
        <f>$X999-$P999</f>
        <v/>
      </c>
      <c r="Z999" s="8">
        <f>IF(ABS($Y999)&lt;=tol_cashflow_inr,"PASS","FAIL")</f>
        <v/>
      </c>
      <c r="AA999" s="7" t="inlineStr">
        <is>
          <t>-d(lots x lot_kg x F(s) x mcx_al_margin_used_frac)</t>
        </is>
      </c>
    </row>
    <row r="1000">
      <c r="A1000" s="7" t="inlineStr">
        <is>
          <t>T09</t>
        </is>
      </c>
      <c r="B1000" s="7" t="inlineStr">
        <is>
          <t>MCX:T09-MCX-2</t>
        </is>
      </c>
      <c r="C1000" s="7" t="inlineStr">
        <is>
          <t>T09-MCX-2</t>
        </is>
      </c>
      <c r="D1000" s="7" t="inlineStr">
        <is>
          <t>MCX_SLIPPAGE</t>
        </is>
      </c>
      <c r="E1000" s="7" t="inlineStr">
        <is>
          <t>MCX_SLIPPAGE</t>
        </is>
      </c>
      <c r="F1000" s="7" t="inlineStr">
        <is>
          <t>PNL</t>
        </is>
      </c>
      <c r="G1000" s="7" t="inlineStr">
        <is>
          <t>INR</t>
        </is>
      </c>
      <c r="H1000" s="11" t="n">
        <v>44791</v>
      </c>
      <c r="J1000" s="11" t="n">
        <v>44791</v>
      </c>
      <c r="K1000" s="11" t="n">
        <v>44791</v>
      </c>
      <c r="L1000" s="7" t="inlineStr">
        <is>
          <t>roll following on the LME panel calendar</t>
        </is>
      </c>
      <c r="N1000" s="7" t="inlineStr">
        <is>
          <t>ASSUMPTION</t>
        </is>
      </c>
      <c r="O1000" s="9" t="n">
        <v>-78500</v>
      </c>
      <c r="P1000" s="9" t="n">
        <v>-78500</v>
      </c>
      <c r="U1000" s="7" t="inlineStr">
        <is>
          <t>DERIVED_IN_WORKBOOK</t>
        </is>
      </c>
      <c r="V1000" s="8">
        <f>SUMIFS(Cashflows!$Z$1043:$Z$1393,Cashflows!$B$1043:$B$1393,$C1000,Cashflows!$C$1043:$C$1393,$K1000)</f>
        <v/>
      </c>
      <c r="W1000" s="8">
        <f>IF($G1000="INR",1,INDEX(Market_Daily!$F$6:$F$256,MATCH($K1000,Market_Daily!$A$6:$A$256,0)))</f>
        <v/>
      </c>
      <c r="X1000" s="8">
        <f>$V1000*$W1000</f>
        <v/>
      </c>
      <c r="Y1000" s="18">
        <f>$X1000-$P1000</f>
        <v/>
      </c>
      <c r="Z1000" s="8">
        <f>IF(ABS($Y1000)&lt;=tol_cashflow_inr,"PASS","FAIL")</f>
        <v/>
      </c>
      <c r="AA1000" s="7" t="inlineStr">
        <is>
          <t>-lots x lot_kg x mcx_slippage_ticks x tick</t>
        </is>
      </c>
    </row>
    <row r="1001">
      <c r="A1001" s="7" t="inlineStr">
        <is>
          <t>T09</t>
        </is>
      </c>
      <c r="B1001" s="7" t="inlineStr">
        <is>
          <t>MCX:T09-MCX-2</t>
        </is>
      </c>
      <c r="C1001" s="7" t="inlineStr">
        <is>
          <t>T09-MCX-2</t>
        </is>
      </c>
      <c r="D1001" s="7" t="inlineStr">
        <is>
          <t>MCX_TRANSACTION_COST</t>
        </is>
      </c>
      <c r="E1001" s="7" t="inlineStr">
        <is>
          <t>MCX_TRANSACTION_COST</t>
        </is>
      </c>
      <c r="F1001" s="7" t="inlineStr">
        <is>
          <t>PNL</t>
        </is>
      </c>
      <c r="G1001" s="7" t="inlineStr">
        <is>
          <t>INR</t>
        </is>
      </c>
      <c r="H1001" s="11" t="n">
        <v>44791</v>
      </c>
      <c r="I1001" s="11" t="n">
        <v>44791</v>
      </c>
      <c r="J1001" s="11" t="n">
        <v>44791</v>
      </c>
      <c r="K1001" s="11" t="n">
        <v>44791</v>
      </c>
      <c r="L1001" s="7" t="inlineStr">
        <is>
          <t>roll following on the LME panel calendar</t>
        </is>
      </c>
      <c r="N1001" s="7" t="inlineStr">
        <is>
          <t>ASSUMPTION</t>
        </is>
      </c>
      <c r="O1001" s="9" t="n">
        <v>-49262.21</v>
      </c>
      <c r="P1001" s="9" t="n">
        <v>-49262.21</v>
      </c>
      <c r="U1001" s="7" t="inlineStr">
        <is>
          <t>DERIVED_IN_WORKBOOK</t>
        </is>
      </c>
      <c r="V1001" s="8">
        <f>SUMIFS(Cashflows!$AA$1043:$AA$1393,Cashflows!$B$1043:$B$1393,$C1001,Cashflows!$C$1043:$C$1393,$K1001)</f>
        <v/>
      </c>
      <c r="W1001" s="8">
        <f>IF($G1001="INR",1,INDEX(Market_Daily!$F$6:$F$256,MATCH($K1001,Market_Daily!$A$6:$A$256,0)))</f>
        <v/>
      </c>
      <c r="X1001" s="8">
        <f>$V1001*$W1001</f>
        <v/>
      </c>
      <c r="Y1001" s="18">
        <f>$X1001-$P1001</f>
        <v/>
      </c>
      <c r="Z1001" s="8">
        <f>IF(ABS($Y1001)&lt;=tol_cashflow_inr,"PASS","FAIL")</f>
        <v/>
      </c>
      <c r="AA1001" s="7" t="inlineStr">
        <is>
          <t>-lots x lot_kg x fill x mcx_txn_cost_frac</t>
        </is>
      </c>
    </row>
    <row r="1002">
      <c r="A1002" s="7" t="inlineStr">
        <is>
          <t>T09</t>
        </is>
      </c>
      <c r="B1002" s="7" t="inlineStr">
        <is>
          <t>MCX:T09-MCX-2</t>
        </is>
      </c>
      <c r="C1002" s="7" t="inlineStr">
        <is>
          <t>T09-MCX-2</t>
        </is>
      </c>
      <c r="D1002" s="7" t="inlineStr">
        <is>
          <t>MCX_VARIATION_MARGIN</t>
        </is>
      </c>
      <c r="E1002" s="7" t="inlineStr">
        <is>
          <t>MCX_VARIATION_MARGIN</t>
        </is>
      </c>
      <c r="F1002" s="7" t="inlineStr">
        <is>
          <t>PNL</t>
        </is>
      </c>
      <c r="G1002" s="7" t="inlineStr">
        <is>
          <t>INR</t>
        </is>
      </c>
      <c r="H1002" s="11" t="n">
        <v>44791</v>
      </c>
      <c r="I1002" s="11" t="n">
        <v>44791</v>
      </c>
      <c r="J1002" s="11" t="n">
        <v>44791</v>
      </c>
      <c r="K1002" s="11" t="n">
        <v>44791</v>
      </c>
      <c r="L1002" s="7" t="inlineStr">
        <is>
          <t>roll following on the LME panel calendar</t>
        </is>
      </c>
      <c r="N1002" s="7" t="inlineStr">
        <is>
          <t>PROXY</t>
        </is>
      </c>
      <c r="O1002" s="9" t="n">
        <v>-0</v>
      </c>
      <c r="P1002" s="9" t="n">
        <v>-0</v>
      </c>
      <c r="U1002" s="7" t="inlineStr">
        <is>
          <t>DERIVED_IN_WORKBOOK</t>
        </is>
      </c>
      <c r="V1002" s="8">
        <f>SUMIFS(Cashflows!$R$1043:$R$1393,Cashflows!$B$1043:$B$1393,$C1002,Cashflows!$C$1043:$C$1393,$K1002)</f>
        <v/>
      </c>
      <c r="W1002" s="8">
        <f>IF($G1002="INR",1,INDEX(Market_Daily!$F$6:$F$256,MATCH($K1002,Market_Daily!$A$6:$A$256,0)))</f>
        <v/>
      </c>
      <c r="X1002" s="8">
        <f>$V1002*$W1002</f>
        <v/>
      </c>
      <c r="Y1002" s="18">
        <f>$X1002-$P1002</f>
        <v/>
      </c>
      <c r="Z1002" s="8">
        <f>IF(ABS($Y1002)&lt;=tol_cashflow_inr,"PASS","FAIL")</f>
        <v/>
      </c>
      <c r="AA1002" s="7" t="inlineStr">
        <is>
          <t>direction x lots x lot_kg x (F(entry) - entry settle) = 0 by construction</t>
        </is>
      </c>
    </row>
    <row r="1003">
      <c r="A1003" s="7" t="inlineStr">
        <is>
          <t>T09</t>
        </is>
      </c>
      <c r="B1003" s="7" t="inlineStr">
        <is>
          <t>MCX:T09-MCX-2</t>
        </is>
      </c>
      <c r="C1003" s="7" t="inlineStr">
        <is>
          <t>T09-MCX-2</t>
        </is>
      </c>
      <c r="D1003" s="7" t="inlineStr">
        <is>
          <t>MCX_INITIAL_MARGIN</t>
        </is>
      </c>
      <c r="E1003" s="7" t="inlineStr">
        <is>
          <t>MCX_INITIAL_MARGIN</t>
        </is>
      </c>
      <c r="F1003" s="7" t="inlineStr">
        <is>
          <t>BS</t>
        </is>
      </c>
      <c r="G1003" s="7" t="inlineStr">
        <is>
          <t>INR</t>
        </is>
      </c>
      <c r="H1003" s="11" t="n">
        <v>44791</v>
      </c>
      <c r="I1003" s="11" t="n">
        <v>44792</v>
      </c>
      <c r="J1003" s="11" t="n">
        <v>44792</v>
      </c>
      <c r="K1003" s="11" t="n">
        <v>44792</v>
      </c>
      <c r="L1003" s="7" t="inlineStr">
        <is>
          <t>roll following on the LME panel calendar</t>
        </is>
      </c>
      <c r="N1003" s="7" t="inlineStr">
        <is>
          <t>PROXY</t>
        </is>
      </c>
      <c r="O1003" s="9" t="n">
        <v>198347.66</v>
      </c>
      <c r="P1003" s="9" t="n">
        <v>198347.66</v>
      </c>
      <c r="U1003" s="7" t="inlineStr">
        <is>
          <t>DERIVED_IN_WORKBOOK</t>
        </is>
      </c>
      <c r="V1003" s="8">
        <f>-SUMIFS(Cashflows!$W$1043:$W$1393,Cashflows!$B$1043:$B$1393,$C1003,Cashflows!$C$1043:$C$1393,$K1003)</f>
        <v/>
      </c>
      <c r="W1003" s="8">
        <f>IF($G1003="INR",1,INDEX(Market_Daily!$F$6:$F$256,MATCH($K1003,Market_Daily!$A$6:$A$256,0)))</f>
        <v/>
      </c>
      <c r="X1003" s="8">
        <f>$V1003*$W1003</f>
        <v/>
      </c>
      <c r="Y1003" s="18">
        <f>$X1003-$P1003</f>
        <v/>
      </c>
      <c r="Z1003" s="8">
        <f>IF(ABS($Y1003)&lt;=tol_cashflow_inr,"PASS","FAIL")</f>
        <v/>
      </c>
      <c r="AA1003" s="7" t="inlineStr">
        <is>
          <t>-d(lots x lot_kg x F(s) x mcx_al_margin_used_frac)</t>
        </is>
      </c>
    </row>
    <row r="1004">
      <c r="A1004" s="7" t="inlineStr">
        <is>
          <t>T09</t>
        </is>
      </c>
      <c r="B1004" s="7" t="inlineStr">
        <is>
          <t>MCX:T09-MCX-2</t>
        </is>
      </c>
      <c r="C1004" s="7" t="inlineStr">
        <is>
          <t>T09-MCX-2</t>
        </is>
      </c>
      <c r="D1004" s="7" t="inlineStr">
        <is>
          <t>MCX_VARIATION_MARGIN</t>
        </is>
      </c>
      <c r="E1004" s="7" t="inlineStr">
        <is>
          <t>MCX_VARIATION_MARGIN</t>
        </is>
      </c>
      <c r="F1004" s="7" t="inlineStr">
        <is>
          <t>PNL</t>
        </is>
      </c>
      <c r="G1004" s="7" t="inlineStr">
        <is>
          <t>INR</t>
        </is>
      </c>
      <c r="H1004" s="11" t="n">
        <v>44791</v>
      </c>
      <c r="I1004" s="11" t="n">
        <v>44792</v>
      </c>
      <c r="J1004" s="11" t="n">
        <v>44792</v>
      </c>
      <c r="K1004" s="11" t="n">
        <v>44792</v>
      </c>
      <c r="L1004" s="7" t="inlineStr">
        <is>
          <t>roll following on the LME panel calendar</t>
        </is>
      </c>
      <c r="N1004" s="7" t="inlineStr">
        <is>
          <t>PROXY</t>
        </is>
      </c>
      <c r="O1004" s="9" t="n">
        <v>1983476.61</v>
      </c>
      <c r="P1004" s="9" t="n">
        <v>1983476.61</v>
      </c>
      <c r="U1004" s="7" t="inlineStr">
        <is>
          <t>DERIVED_IN_WORKBOOK</t>
        </is>
      </c>
      <c r="V1004" s="8">
        <f>SUMIFS(Cashflows!$R$1043:$R$1393,Cashflows!$B$1043:$B$1393,$C1004,Cashflows!$C$1043:$C$1393,$K1004)</f>
        <v/>
      </c>
      <c r="W1004" s="8">
        <f>IF($G1004="INR",1,INDEX(Market_Daily!$F$6:$F$256,MATCH($K1004,Market_Daily!$A$6:$A$256,0)))</f>
        <v/>
      </c>
      <c r="X1004" s="8">
        <f>$V1004*$W1004</f>
        <v/>
      </c>
      <c r="Y1004" s="18">
        <f>$X1004-$P1004</f>
        <v/>
      </c>
      <c r="Z1004" s="8">
        <f>IF(ABS($Y1004)&lt;=tol_cashflow_inr,"PASS","FAIL")</f>
        <v/>
      </c>
      <c r="AA1004" s="7" t="inlineStr">
        <is>
          <t>direction x lots x lot_kg x (F(s) - F(s-1))</t>
        </is>
      </c>
    </row>
    <row r="1005">
      <c r="A1005" s="7" t="inlineStr">
        <is>
          <t>T09</t>
        </is>
      </c>
      <c r="B1005" s="7" t="inlineStr">
        <is>
          <t>MCX:T09-MCX-2</t>
        </is>
      </c>
      <c r="C1005" s="7" t="inlineStr">
        <is>
          <t>T09-MCX-2</t>
        </is>
      </c>
      <c r="D1005" s="7" t="inlineStr">
        <is>
          <t>MCX_INITIAL_MARGIN</t>
        </is>
      </c>
      <c r="E1005" s="7" t="inlineStr">
        <is>
          <t>MCX_INITIAL_MARGIN</t>
        </is>
      </c>
      <c r="F1005" s="7" t="inlineStr">
        <is>
          <t>BS</t>
        </is>
      </c>
      <c r="G1005" s="7" t="inlineStr">
        <is>
          <t>INR</t>
        </is>
      </c>
      <c r="H1005" s="11" t="n">
        <v>44791</v>
      </c>
      <c r="I1005" s="11" t="n">
        <v>44795</v>
      </c>
      <c r="J1005" s="11" t="n">
        <v>44795</v>
      </c>
      <c r="K1005" s="11" t="n">
        <v>44795</v>
      </c>
      <c r="L1005" s="7" t="inlineStr">
        <is>
          <t>roll following on the LME panel calendar</t>
        </is>
      </c>
      <c r="N1005" s="7" t="inlineStr">
        <is>
          <t>PROXY</t>
        </is>
      </c>
      <c r="O1005" s="9" t="n">
        <v>-68182.89999999999</v>
      </c>
      <c r="P1005" s="9" t="n">
        <v>-68182.89999999999</v>
      </c>
      <c r="U1005" s="7" t="inlineStr">
        <is>
          <t>DERIVED_IN_WORKBOOK</t>
        </is>
      </c>
      <c r="V1005" s="8">
        <f>-SUMIFS(Cashflows!$W$1043:$W$1393,Cashflows!$B$1043:$B$1393,$C1005,Cashflows!$C$1043:$C$1393,$K1005)</f>
        <v/>
      </c>
      <c r="W1005" s="8">
        <f>IF($G1005="INR",1,INDEX(Market_Daily!$F$6:$F$256,MATCH($K1005,Market_Daily!$A$6:$A$256,0)))</f>
        <v/>
      </c>
      <c r="X1005" s="8">
        <f>$V1005*$W1005</f>
        <v/>
      </c>
      <c r="Y1005" s="18">
        <f>$X1005-$P1005</f>
        <v/>
      </c>
      <c r="Z1005" s="8">
        <f>IF(ABS($Y1005)&lt;=tol_cashflow_inr,"PASS","FAIL")</f>
        <v/>
      </c>
      <c r="AA1005" s="7" t="inlineStr">
        <is>
          <t>-d(lots x lot_kg x F(s) x mcx_al_margin_used_frac)</t>
        </is>
      </c>
    </row>
    <row r="1006">
      <c r="A1006" s="7" t="inlineStr">
        <is>
          <t>T09</t>
        </is>
      </c>
      <c r="B1006" s="7" t="inlineStr">
        <is>
          <t>MCX:T09-MCX-2</t>
        </is>
      </c>
      <c r="C1006" s="7" t="inlineStr">
        <is>
          <t>T09-MCX-2</t>
        </is>
      </c>
      <c r="D1006" s="7" t="inlineStr">
        <is>
          <t>MCX_VARIATION_MARGIN</t>
        </is>
      </c>
      <c r="E1006" s="7" t="inlineStr">
        <is>
          <t>MCX_VARIATION_MARGIN</t>
        </is>
      </c>
      <c r="F1006" s="7" t="inlineStr">
        <is>
          <t>PNL</t>
        </is>
      </c>
      <c r="G1006" s="7" t="inlineStr">
        <is>
          <t>INR</t>
        </is>
      </c>
      <c r="H1006" s="11" t="n">
        <v>44791</v>
      </c>
      <c r="I1006" s="11" t="n">
        <v>44795</v>
      </c>
      <c r="J1006" s="11" t="n">
        <v>44795</v>
      </c>
      <c r="K1006" s="11" t="n">
        <v>44795</v>
      </c>
      <c r="L1006" s="7" t="inlineStr">
        <is>
          <t>roll following on the LME panel calendar</t>
        </is>
      </c>
      <c r="N1006" s="7" t="inlineStr">
        <is>
          <t>PROXY</t>
        </is>
      </c>
      <c r="O1006" s="9" t="n">
        <v>-681829</v>
      </c>
      <c r="P1006" s="9" t="n">
        <v>-681829</v>
      </c>
      <c r="U1006" s="7" t="inlineStr">
        <is>
          <t>DERIVED_IN_WORKBOOK</t>
        </is>
      </c>
      <c r="V1006" s="8">
        <f>SUMIFS(Cashflows!$R$1043:$R$1393,Cashflows!$B$1043:$B$1393,$C1006,Cashflows!$C$1043:$C$1393,$K1006)</f>
        <v/>
      </c>
      <c r="W1006" s="8">
        <f>IF($G1006="INR",1,INDEX(Market_Daily!$F$6:$F$256,MATCH($K1006,Market_Daily!$A$6:$A$256,0)))</f>
        <v/>
      </c>
      <c r="X1006" s="8">
        <f>$V1006*$W1006</f>
        <v/>
      </c>
      <c r="Y1006" s="18">
        <f>$X1006-$P1006</f>
        <v/>
      </c>
      <c r="Z1006" s="8">
        <f>IF(ABS($Y1006)&lt;=tol_cashflow_inr,"PASS","FAIL")</f>
        <v/>
      </c>
      <c r="AA1006" s="7" t="inlineStr">
        <is>
          <t>direction x lots x lot_kg x (F(s) - F(s-1))</t>
        </is>
      </c>
    </row>
    <row r="1007">
      <c r="A1007" s="7" t="inlineStr">
        <is>
          <t>T09</t>
        </is>
      </c>
      <c r="B1007" s="7" t="inlineStr">
        <is>
          <t>DUTY:L1</t>
        </is>
      </c>
      <c r="C1007" s="7" t="inlineStr">
        <is>
          <t>L1</t>
        </is>
      </c>
      <c r="D1007" s="7" t="inlineStr">
        <is>
          <t>CUSTOMS_DUTY</t>
        </is>
      </c>
      <c r="E1007" s="7" t="inlineStr">
        <is>
          <t>CUSTOMS_DUTY</t>
        </is>
      </c>
      <c r="F1007" s="7" t="inlineStr">
        <is>
          <t>PNL</t>
        </is>
      </c>
      <c r="G1007" s="7" t="inlineStr">
        <is>
          <t>INR</t>
        </is>
      </c>
      <c r="H1007" s="11" t="n">
        <v>44776</v>
      </c>
      <c r="I1007" s="11" t="n">
        <v>44796</v>
      </c>
      <c r="J1007" s="11" t="n">
        <v>44796</v>
      </c>
      <c r="K1007" s="11" t="n">
        <v>44796</v>
      </c>
      <c r="L1007" s="7" t="inlineStr">
        <is>
          <t>roll following on the LME panel calendar</t>
        </is>
      </c>
      <c r="N1007" s="7" t="inlineStr">
        <is>
          <t>DIRECT</t>
        </is>
      </c>
      <c r="O1007" s="9" t="n">
        <v>-2429382.13</v>
      </c>
      <c r="P1007" s="9" t="n">
        <v>-2429382.13</v>
      </c>
      <c r="U1007" s="7" t="inlineStr">
        <is>
          <t>PYTHON_LIFECYCLE</t>
        </is>
      </c>
      <c r="V1007" s="8">
        <f>$O1007</f>
        <v/>
      </c>
      <c r="W1007" s="8">
        <f>IF($G1007="INR",1,INDEX(Market_Daily!$F$6:$F$256,MATCH($K1007,Market_Daily!$A$6:$A$256,0)))</f>
        <v/>
      </c>
      <c r="X1007" s="8">
        <f>$V1007*$W1007</f>
        <v/>
      </c>
      <c r="Y1007" s="18">
        <f>$X1007-$P1007</f>
        <v/>
      </c>
      <c r="Z1007" s="8">
        <f>IF(ABS($Y1007)&lt;=tol_cashflow_inr,"PASS","FAIL")</f>
        <v/>
      </c>
      <c r="AA1007" s="7" t="inlineStr">
        <is>
          <t>-assessable_inr x bcd_scrap_hs7602 x (1 + sws_rate_on_bcd)</t>
        </is>
      </c>
    </row>
    <row r="1008">
      <c r="A1008" s="7" t="inlineStr">
        <is>
          <t>T09</t>
        </is>
      </c>
      <c r="B1008" s="7" t="inlineStr">
        <is>
          <t>IGST:L1</t>
        </is>
      </c>
      <c r="C1008" s="7" t="inlineStr">
        <is>
          <t>L1</t>
        </is>
      </c>
      <c r="D1008" s="7" t="inlineStr">
        <is>
          <t>IGST_IMPORT</t>
        </is>
      </c>
      <c r="E1008" s="7" t="inlineStr">
        <is>
          <t>IGST_IMPORT</t>
        </is>
      </c>
      <c r="F1008" s="7" t="inlineStr">
        <is>
          <t>BS</t>
        </is>
      </c>
      <c r="G1008" s="7" t="inlineStr">
        <is>
          <t>INR</t>
        </is>
      </c>
      <c r="H1008" s="11" t="n">
        <v>44776</v>
      </c>
      <c r="I1008" s="11" t="n">
        <v>44796</v>
      </c>
      <c r="J1008" s="11" t="n">
        <v>44796</v>
      </c>
      <c r="K1008" s="11" t="n">
        <v>44796</v>
      </c>
      <c r="L1008" s="7" t="inlineStr">
        <is>
          <t>roll following on the LME panel calendar</t>
        </is>
      </c>
      <c r="N1008" s="7" t="inlineStr">
        <is>
          <t>DIRECT</t>
        </is>
      </c>
      <c r="O1008" s="9" t="n">
        <v>-16338699.12</v>
      </c>
      <c r="P1008" s="9" t="n">
        <v>-16338699.12</v>
      </c>
      <c r="U1008" s="7" t="inlineStr">
        <is>
          <t>PYTHON_LIFECYCLE</t>
        </is>
      </c>
      <c r="V1008" s="8">
        <f>$O1008</f>
        <v/>
      </c>
      <c r="W1008" s="8">
        <f>IF($G1008="INR",1,INDEX(Market_Daily!$F$6:$F$256,MATCH($K1008,Market_Daily!$A$6:$A$256,0)))</f>
        <v/>
      </c>
      <c r="X1008" s="8">
        <f>$V1008*$W1008</f>
        <v/>
      </c>
      <c r="Y1008" s="18">
        <f>$X1008-$P1008</f>
        <v/>
      </c>
      <c r="Z1008" s="8">
        <f>IF(ABS($Y1008)&lt;=tol_cashflow_inr,"PASS","FAIL")</f>
        <v/>
      </c>
      <c r="AA1008" s="7" t="inlineStr">
        <is>
          <t>-(assessable + duty) x igst_rate_hs7602</t>
        </is>
      </c>
    </row>
    <row r="1009">
      <c r="A1009" s="7" t="inlineStr">
        <is>
          <t>T09</t>
        </is>
      </c>
      <c r="B1009" s="7" t="inlineStr">
        <is>
          <t>MCX:T09-MCX-2</t>
        </is>
      </c>
      <c r="C1009" s="7" t="inlineStr">
        <is>
          <t>T09-MCX-2</t>
        </is>
      </c>
      <c r="D1009" s="7" t="inlineStr">
        <is>
          <t>MCX_INITIAL_MARGIN</t>
        </is>
      </c>
      <c r="E1009" s="7" t="inlineStr">
        <is>
          <t>MCX_INITIAL_MARGIN</t>
        </is>
      </c>
      <c r="F1009" s="7" t="inlineStr">
        <is>
          <t>BS</t>
        </is>
      </c>
      <c r="G1009" s="7" t="inlineStr">
        <is>
          <t>INR</t>
        </is>
      </c>
      <c r="H1009" s="11" t="n">
        <v>44791</v>
      </c>
      <c r="I1009" s="11" t="n">
        <v>44796</v>
      </c>
      <c r="J1009" s="11" t="n">
        <v>44796</v>
      </c>
      <c r="K1009" s="11" t="n">
        <v>44796</v>
      </c>
      <c r="L1009" s="7" t="inlineStr">
        <is>
          <t>roll following on the LME panel calendar</t>
        </is>
      </c>
      <c r="N1009" s="7" t="inlineStr">
        <is>
          <t>PROXY</t>
        </is>
      </c>
      <c r="O1009" s="9" t="n">
        <v>-347680.97</v>
      </c>
      <c r="P1009" s="9" t="n">
        <v>-347680.97</v>
      </c>
      <c r="U1009" s="7" t="inlineStr">
        <is>
          <t>DERIVED_IN_WORKBOOK</t>
        </is>
      </c>
      <c r="V1009" s="8">
        <f>-SUMIFS(Cashflows!$W$1043:$W$1393,Cashflows!$B$1043:$B$1393,$C1009,Cashflows!$C$1043:$C$1393,$K1009)</f>
        <v/>
      </c>
      <c r="W1009" s="8">
        <f>IF($G1009="INR",1,INDEX(Market_Daily!$F$6:$F$256,MATCH($K1009,Market_Daily!$A$6:$A$256,0)))</f>
        <v/>
      </c>
      <c r="X1009" s="8">
        <f>$V1009*$W1009</f>
        <v/>
      </c>
      <c r="Y1009" s="18">
        <f>$X1009-$P1009</f>
        <v/>
      </c>
      <c r="Z1009" s="8">
        <f>IF(ABS($Y1009)&lt;=tol_cashflow_inr,"PASS","FAIL")</f>
        <v/>
      </c>
      <c r="AA1009" s="7" t="inlineStr">
        <is>
          <t>-d(lots x lot_kg x F(s) x mcx_al_margin_used_frac)</t>
        </is>
      </c>
    </row>
    <row r="1010">
      <c r="A1010" s="7" t="inlineStr">
        <is>
          <t>T09</t>
        </is>
      </c>
      <c r="B1010" s="7" t="inlineStr">
        <is>
          <t>MCX:T09-MCX-2</t>
        </is>
      </c>
      <c r="C1010" s="7" t="inlineStr">
        <is>
          <t>T09-MCX-2</t>
        </is>
      </c>
      <c r="D1010" s="7" t="inlineStr">
        <is>
          <t>MCX_VARIATION_MARGIN</t>
        </is>
      </c>
      <c r="E1010" s="7" t="inlineStr">
        <is>
          <t>MCX_VARIATION_MARGIN</t>
        </is>
      </c>
      <c r="F1010" s="7" t="inlineStr">
        <is>
          <t>PNL</t>
        </is>
      </c>
      <c r="G1010" s="7" t="inlineStr">
        <is>
          <t>INR</t>
        </is>
      </c>
      <c r="H1010" s="11" t="n">
        <v>44791</v>
      </c>
      <c r="I1010" s="11" t="n">
        <v>44796</v>
      </c>
      <c r="J1010" s="11" t="n">
        <v>44796</v>
      </c>
      <c r="K1010" s="11" t="n">
        <v>44796</v>
      </c>
      <c r="L1010" s="7" t="inlineStr">
        <is>
          <t>roll following on the LME panel calendar</t>
        </is>
      </c>
      <c r="N1010" s="7" t="inlineStr">
        <is>
          <t>PROXY</t>
        </is>
      </c>
      <c r="O1010" s="9" t="n">
        <v>-3476809.74</v>
      </c>
      <c r="P1010" s="9" t="n">
        <v>-3476809.74</v>
      </c>
      <c r="U1010" s="7" t="inlineStr">
        <is>
          <t>DERIVED_IN_WORKBOOK</t>
        </is>
      </c>
      <c r="V1010" s="8">
        <f>SUMIFS(Cashflows!$R$1043:$R$1393,Cashflows!$B$1043:$B$1393,$C1010,Cashflows!$C$1043:$C$1393,$K1010)</f>
        <v/>
      </c>
      <c r="W1010" s="8">
        <f>IF($G1010="INR",1,INDEX(Market_Daily!$F$6:$F$256,MATCH($K1010,Market_Daily!$A$6:$A$256,0)))</f>
        <v/>
      </c>
      <c r="X1010" s="8">
        <f>$V1010*$W1010</f>
        <v/>
      </c>
      <c r="Y1010" s="18">
        <f>$X1010-$P1010</f>
        <v/>
      </c>
      <c r="Z1010" s="8">
        <f>IF(ABS($Y1010)&lt;=tol_cashflow_inr,"PASS","FAIL")</f>
        <v/>
      </c>
      <c r="AA1010" s="7" t="inlineStr">
        <is>
          <t>direction x lots x lot_kg x (F(s) - F(s-1))</t>
        </is>
      </c>
    </row>
    <row r="1011">
      <c r="A1011" s="7" t="inlineStr">
        <is>
          <t>T09</t>
        </is>
      </c>
      <c r="B1011" s="7" t="inlineStr">
        <is>
          <t>INSURANCE:L2</t>
        </is>
      </c>
      <c r="C1011" s="7" t="inlineStr">
        <is>
          <t>L2</t>
        </is>
      </c>
      <c r="D1011" s="7" t="inlineStr">
        <is>
          <t>INSURANCE</t>
        </is>
      </c>
      <c r="E1011" s="7" t="inlineStr">
        <is>
          <t>INSURANCE</t>
        </is>
      </c>
      <c r="F1011" s="7" t="inlineStr">
        <is>
          <t>PNL</t>
        </is>
      </c>
      <c r="G1011" s="7" t="inlineStr">
        <is>
          <t>USD</t>
        </is>
      </c>
      <c r="H1011" s="11" t="n">
        <v>44776</v>
      </c>
      <c r="I1011" s="11" t="n">
        <v>44797</v>
      </c>
      <c r="J1011" s="11" t="n">
        <v>44797</v>
      </c>
      <c r="K1011" s="11" t="n">
        <v>44797</v>
      </c>
      <c r="L1011" s="7" t="inlineStr">
        <is>
          <t>roll following on the LME panel calendar</t>
        </is>
      </c>
      <c r="N1011" s="7" t="inlineStr">
        <is>
          <t>ASSUMPTION</t>
        </is>
      </c>
      <c r="O1011" s="9" t="n">
        <v>-1205.82</v>
      </c>
      <c r="P1011" s="9" t="n">
        <v>-96257.60000000001</v>
      </c>
      <c r="U1011" s="7" t="inlineStr">
        <is>
          <t>PYTHON_LIFECYCLE</t>
        </is>
      </c>
      <c r="V1011" s="8">
        <f>$O1011</f>
        <v/>
      </c>
      <c r="W1011" s="8">
        <f>IF($G1011="INR",1,INDEX(Market_Daily!$F$6:$F$256,MATCH($K1011,Market_Daily!$A$6:$A$256,0)))</f>
        <v/>
      </c>
      <c r="X1011" s="8">
        <f>$V1011*$W1011</f>
        <v/>
      </c>
      <c r="Y1011" s="18">
        <f>$X1011-$P1011</f>
        <v/>
      </c>
      <c r="Z1011" s="8">
        <f>IF(ABS($Y1011)&lt;=tol_cashflow_inr,"PASS","FAIL")</f>
        <v/>
      </c>
      <c r="AA1011" s="7" t="inlineStr">
        <is>
          <t>-insurance_rate x insured_value_uplift x cfr_value_usd</t>
        </is>
      </c>
    </row>
    <row r="1012">
      <c r="A1012" s="7" t="inlineStr">
        <is>
          <t>T09</t>
        </is>
      </c>
      <c r="B1012" s="7" t="inlineStr">
        <is>
          <t>LC_USANCE_FEE:L1</t>
        </is>
      </c>
      <c r="C1012" s="7" t="inlineStr">
        <is>
          <t>L1</t>
        </is>
      </c>
      <c r="D1012" s="7" t="inlineStr">
        <is>
          <t>LC_USANCE_FEE</t>
        </is>
      </c>
      <c r="E1012" s="7" t="inlineStr">
        <is>
          <t>LC_USANCE_FEE</t>
        </is>
      </c>
      <c r="F1012" s="7" t="inlineStr">
        <is>
          <t>PNL</t>
        </is>
      </c>
      <c r="G1012" s="7" t="inlineStr">
        <is>
          <t>USD</t>
        </is>
      </c>
      <c r="H1012" s="11" t="n">
        <v>44776</v>
      </c>
      <c r="I1012" s="11" t="n">
        <v>44797</v>
      </c>
      <c r="J1012" s="11" t="n">
        <v>44797</v>
      </c>
      <c r="K1012" s="11" t="n">
        <v>44797</v>
      </c>
      <c r="L1012" s="7" t="inlineStr">
        <is>
          <t>roll following on the LME panel calendar</t>
        </is>
      </c>
      <c r="N1012" s="7" t="inlineStr">
        <is>
          <t>DIRECT</t>
        </is>
      </c>
      <c r="O1012" s="9" t="n">
        <v>-1534.68</v>
      </c>
      <c r="P1012" s="9" t="n">
        <v>-122509.67</v>
      </c>
      <c r="U1012" s="7" t="inlineStr">
        <is>
          <t>PYTHON_LIFECYCLE</t>
        </is>
      </c>
      <c r="V1012" s="8">
        <f>$O1012</f>
        <v/>
      </c>
      <c r="W1012" s="8">
        <f>IF($G1012="INR",1,INDEX(Market_Daily!$F$6:$F$256,MATCH($K1012,Market_Daily!$A$6:$A$256,0)))</f>
        <v/>
      </c>
      <c r="X1012" s="8">
        <f>$V1012*$W1012</f>
        <v/>
      </c>
      <c r="Y1012" s="18">
        <f>$X1012-$P1012</f>
        <v/>
      </c>
      <c r="Z1012" s="8">
        <f>IF(ABS($Y1012)&lt;=tol_cashflow_inr,"PASS","FAIL")</f>
        <v/>
      </c>
      <c r="AA1012" s="7" t="inlineStr">
        <is>
          <t>-lc_usance_fee_frac_per_month x ceil(usance/30) x bill_usd</t>
        </is>
      </c>
    </row>
    <row r="1013">
      <c r="A1013" s="7" t="inlineStr">
        <is>
          <t>T09</t>
        </is>
      </c>
      <c r="B1013" s="7" t="inlineStr">
        <is>
          <t>MCX:T09-MCX-2</t>
        </is>
      </c>
      <c r="C1013" s="7" t="inlineStr">
        <is>
          <t>T09-MCX-2</t>
        </is>
      </c>
      <c r="D1013" s="7" t="inlineStr">
        <is>
          <t>MCX_INITIAL_MARGIN</t>
        </is>
      </c>
      <c r="E1013" s="7" t="inlineStr">
        <is>
          <t>MCX_INITIAL_MARGIN</t>
        </is>
      </c>
      <c r="F1013" s="7" t="inlineStr">
        <is>
          <t>BS</t>
        </is>
      </c>
      <c r="G1013" s="7" t="inlineStr">
        <is>
          <t>INR</t>
        </is>
      </c>
      <c r="H1013" s="11" t="n">
        <v>44791</v>
      </c>
      <c r="I1013" s="11" t="n">
        <v>44797</v>
      </c>
      <c r="J1013" s="11" t="n">
        <v>44797</v>
      </c>
      <c r="K1013" s="11" t="n">
        <v>44797</v>
      </c>
      <c r="L1013" s="7" t="inlineStr">
        <is>
          <t>roll following on the LME panel calendar</t>
        </is>
      </c>
      <c r="N1013" s="7" t="inlineStr">
        <is>
          <t>PROXY</t>
        </is>
      </c>
      <c r="O1013" s="9" t="n">
        <v>122627.83</v>
      </c>
      <c r="P1013" s="9" t="n">
        <v>122627.83</v>
      </c>
      <c r="U1013" s="7" t="inlineStr">
        <is>
          <t>DERIVED_IN_WORKBOOK</t>
        </is>
      </c>
      <c r="V1013" s="8">
        <f>-SUMIFS(Cashflows!$W$1043:$W$1393,Cashflows!$B$1043:$B$1393,$C1013,Cashflows!$C$1043:$C$1393,$K1013)</f>
        <v/>
      </c>
      <c r="W1013" s="8">
        <f>IF($G1013="INR",1,INDEX(Market_Daily!$F$6:$F$256,MATCH($K1013,Market_Daily!$A$6:$A$256,0)))</f>
        <v/>
      </c>
      <c r="X1013" s="8">
        <f>$V1013*$W1013</f>
        <v/>
      </c>
      <c r="Y1013" s="18">
        <f>$X1013-$P1013</f>
        <v/>
      </c>
      <c r="Z1013" s="8">
        <f>IF(ABS($Y1013)&lt;=tol_cashflow_inr,"PASS","FAIL")</f>
        <v/>
      </c>
      <c r="AA1013" s="7" t="inlineStr">
        <is>
          <t>-d(lots x lot_kg x F(s) x mcx_al_margin_used_frac)</t>
        </is>
      </c>
    </row>
    <row r="1014">
      <c r="A1014" s="7" t="inlineStr">
        <is>
          <t>T09</t>
        </is>
      </c>
      <c r="B1014" s="7" t="inlineStr">
        <is>
          <t>MCX:T09-MCX-2</t>
        </is>
      </c>
      <c r="C1014" s="7" t="inlineStr">
        <is>
          <t>T09-MCX-2</t>
        </is>
      </c>
      <c r="D1014" s="7" t="inlineStr">
        <is>
          <t>MCX_VARIATION_MARGIN</t>
        </is>
      </c>
      <c r="E1014" s="7" t="inlineStr">
        <is>
          <t>MCX_VARIATION_MARGIN</t>
        </is>
      </c>
      <c r="F1014" s="7" t="inlineStr">
        <is>
          <t>PNL</t>
        </is>
      </c>
      <c r="G1014" s="7" t="inlineStr">
        <is>
          <t>INR</t>
        </is>
      </c>
      <c r="H1014" s="11" t="n">
        <v>44791</v>
      </c>
      <c r="I1014" s="11" t="n">
        <v>44797</v>
      </c>
      <c r="J1014" s="11" t="n">
        <v>44797</v>
      </c>
      <c r="K1014" s="11" t="n">
        <v>44797</v>
      </c>
      <c r="L1014" s="7" t="inlineStr">
        <is>
          <t>roll following on the LME panel calendar</t>
        </is>
      </c>
      <c r="N1014" s="7" t="inlineStr">
        <is>
          <t>PROXY</t>
        </is>
      </c>
      <c r="O1014" s="9" t="n">
        <v>1226278.26</v>
      </c>
      <c r="P1014" s="9" t="n">
        <v>1226278.26</v>
      </c>
      <c r="U1014" s="7" t="inlineStr">
        <is>
          <t>DERIVED_IN_WORKBOOK</t>
        </is>
      </c>
      <c r="V1014" s="8">
        <f>SUMIFS(Cashflows!$R$1043:$R$1393,Cashflows!$B$1043:$B$1393,$C1014,Cashflows!$C$1043:$C$1393,$K1014)</f>
        <v/>
      </c>
      <c r="W1014" s="8">
        <f>IF($G1014="INR",1,INDEX(Market_Daily!$F$6:$F$256,MATCH($K1014,Market_Daily!$A$6:$A$256,0)))</f>
        <v/>
      </c>
      <c r="X1014" s="8">
        <f>$V1014*$W1014</f>
        <v/>
      </c>
      <c r="Y1014" s="18">
        <f>$X1014-$P1014</f>
        <v/>
      </c>
      <c r="Z1014" s="8">
        <f>IF(ABS($Y1014)&lt;=tol_cashflow_inr,"PASS","FAIL")</f>
        <v/>
      </c>
      <c r="AA1014" s="7" t="inlineStr">
        <is>
          <t>direction x lots x lot_kg x (F(s) - F(s-1))</t>
        </is>
      </c>
    </row>
    <row r="1015">
      <c r="A1015" s="7" t="inlineStr">
        <is>
          <t>T09</t>
        </is>
      </c>
      <c r="B1015" s="7" t="inlineStr">
        <is>
          <t>PSIC:L2</t>
        </is>
      </c>
      <c r="C1015" s="7" t="inlineStr">
        <is>
          <t>L2</t>
        </is>
      </c>
      <c r="D1015" s="7" t="inlineStr">
        <is>
          <t>PSIC</t>
        </is>
      </c>
      <c r="E1015" s="7" t="inlineStr">
        <is>
          <t>PSIC</t>
        </is>
      </c>
      <c r="F1015" s="7" t="inlineStr">
        <is>
          <t>PNL</t>
        </is>
      </c>
      <c r="G1015" s="7" t="inlineStr">
        <is>
          <t>USD</t>
        </is>
      </c>
      <c r="H1015" s="11" t="n">
        <v>44776</v>
      </c>
      <c r="I1015" s="11" t="n">
        <v>44797</v>
      </c>
      <c r="J1015" s="11" t="n">
        <v>44797</v>
      </c>
      <c r="K1015" s="11" t="n">
        <v>44797</v>
      </c>
      <c r="L1015" s="7" t="inlineStr">
        <is>
          <t>roll following on the LME panel calendar</t>
        </is>
      </c>
      <c r="N1015" s="7" t="inlineStr">
        <is>
          <t>ASSUMPTION</t>
        </is>
      </c>
      <c r="O1015" s="9" t="n">
        <v>-960</v>
      </c>
      <c r="P1015" s="9" t="n">
        <v>-76634.39999999999</v>
      </c>
      <c r="U1015" s="7" t="inlineStr">
        <is>
          <t>PYTHON_LIFECYCLE</t>
        </is>
      </c>
      <c r="V1015" s="8">
        <f>$O1015</f>
        <v/>
      </c>
      <c r="W1015" s="8">
        <f>IF($G1015="INR",1,INDEX(Market_Daily!$F$6:$F$256,MATCH($K1015,Market_Daily!$A$6:$A$256,0)))</f>
        <v/>
      </c>
      <c r="X1015" s="8">
        <f>$V1015*$W1015</f>
        <v/>
      </c>
      <c r="Y1015" s="18">
        <f>$X1015-$P1015</f>
        <v/>
      </c>
      <c r="Z1015" s="8">
        <f>IF(ABS($Y1015)&lt;=tol_cashflow_inr,"PASS","FAIL")</f>
        <v/>
      </c>
      <c r="AA1015" s="7" t="inlineStr">
        <is>
          <t>-psic_cost_usd_per_box x boxes</t>
        </is>
      </c>
    </row>
    <row r="1016">
      <c r="A1016" s="7" t="inlineStr">
        <is>
          <t>T09</t>
        </is>
      </c>
      <c r="B1016" s="7" t="inlineStr">
        <is>
          <t>MCX:T09-MCX-2</t>
        </is>
      </c>
      <c r="C1016" s="7" t="inlineStr">
        <is>
          <t>T09-MCX-2</t>
        </is>
      </c>
      <c r="D1016" s="7" t="inlineStr">
        <is>
          <t>MCX_INITIAL_MARGIN</t>
        </is>
      </c>
      <c r="E1016" s="7" t="inlineStr">
        <is>
          <t>MCX_INITIAL_MARGIN</t>
        </is>
      </c>
      <c r="F1016" s="7" t="inlineStr">
        <is>
          <t>BS</t>
        </is>
      </c>
      <c r="G1016" s="7" t="inlineStr">
        <is>
          <t>INR</t>
        </is>
      </c>
      <c r="H1016" s="11" t="n">
        <v>44791</v>
      </c>
      <c r="I1016" s="11" t="n">
        <v>44798</v>
      </c>
      <c r="J1016" s="11" t="n">
        <v>44798</v>
      </c>
      <c r="K1016" s="11" t="n">
        <v>44798</v>
      </c>
      <c r="L1016" s="7" t="inlineStr">
        <is>
          <t>roll following on the LME panel calendar</t>
        </is>
      </c>
      <c r="N1016" s="7" t="inlineStr">
        <is>
          <t>PROXY</t>
        </is>
      </c>
      <c r="O1016" s="9" t="n">
        <v>-151424.18</v>
      </c>
      <c r="P1016" s="9" t="n">
        <v>-151424.18</v>
      </c>
      <c r="U1016" s="7" t="inlineStr">
        <is>
          <t>DERIVED_IN_WORKBOOK</t>
        </is>
      </c>
      <c r="V1016" s="8">
        <f>-SUMIFS(Cashflows!$W$1043:$W$1393,Cashflows!$B$1043:$B$1393,$C1016,Cashflows!$C$1043:$C$1393,$K1016)</f>
        <v/>
      </c>
      <c r="W1016" s="8">
        <f>IF($G1016="INR",1,INDEX(Market_Daily!$F$6:$F$256,MATCH($K1016,Market_Daily!$A$6:$A$256,0)))</f>
        <v/>
      </c>
      <c r="X1016" s="8">
        <f>$V1016*$W1016</f>
        <v/>
      </c>
      <c r="Y1016" s="18">
        <f>$X1016-$P1016</f>
        <v/>
      </c>
      <c r="Z1016" s="8">
        <f>IF(ABS($Y1016)&lt;=tol_cashflow_inr,"PASS","FAIL")</f>
        <v/>
      </c>
      <c r="AA1016" s="7" t="inlineStr">
        <is>
          <t>-d(lots x lot_kg x F(s) x mcx_al_margin_used_frac)</t>
        </is>
      </c>
    </row>
    <row r="1017">
      <c r="A1017" s="7" t="inlineStr">
        <is>
          <t>T09</t>
        </is>
      </c>
      <c r="B1017" s="7" t="inlineStr">
        <is>
          <t>MCX:T09-MCX-2</t>
        </is>
      </c>
      <c r="C1017" s="7" t="inlineStr">
        <is>
          <t>T09-MCX-2</t>
        </is>
      </c>
      <c r="D1017" s="7" t="inlineStr">
        <is>
          <t>MCX_VARIATION_MARGIN</t>
        </is>
      </c>
      <c r="E1017" s="7" t="inlineStr">
        <is>
          <t>MCX_VARIATION_MARGIN</t>
        </is>
      </c>
      <c r="F1017" s="7" t="inlineStr">
        <is>
          <t>PNL</t>
        </is>
      </c>
      <c r="G1017" s="7" t="inlineStr">
        <is>
          <t>INR</t>
        </is>
      </c>
      <c r="H1017" s="11" t="n">
        <v>44791</v>
      </c>
      <c r="I1017" s="11" t="n">
        <v>44798</v>
      </c>
      <c r="J1017" s="11" t="n">
        <v>44798</v>
      </c>
      <c r="K1017" s="11" t="n">
        <v>44798</v>
      </c>
      <c r="L1017" s="7" t="inlineStr">
        <is>
          <t>roll following on the LME panel calendar</t>
        </is>
      </c>
      <c r="N1017" s="7" t="inlineStr">
        <is>
          <t>PROXY</t>
        </is>
      </c>
      <c r="O1017" s="9" t="n">
        <v>-1514241.82</v>
      </c>
      <c r="P1017" s="9" t="n">
        <v>-1514241.82</v>
      </c>
      <c r="U1017" s="7" t="inlineStr">
        <is>
          <t>DERIVED_IN_WORKBOOK</t>
        </is>
      </c>
      <c r="V1017" s="8">
        <f>SUMIFS(Cashflows!$R$1043:$R$1393,Cashflows!$B$1043:$B$1393,$C1017,Cashflows!$C$1043:$C$1393,$K1017)</f>
        <v/>
      </c>
      <c r="W1017" s="8">
        <f>IF($G1017="INR",1,INDEX(Market_Daily!$F$6:$F$256,MATCH($K1017,Market_Daily!$A$6:$A$256,0)))</f>
        <v/>
      </c>
      <c r="X1017" s="8">
        <f>$V1017*$W1017</f>
        <v/>
      </c>
      <c r="Y1017" s="18">
        <f>$X1017-$P1017</f>
        <v/>
      </c>
      <c r="Z1017" s="8">
        <f>IF(ABS($Y1017)&lt;=tol_cashflow_inr,"PASS","FAIL")</f>
        <v/>
      </c>
      <c r="AA1017" s="7" t="inlineStr">
        <is>
          <t>direction x lots x lot_kg x (F(s) - F(s-1))</t>
        </is>
      </c>
    </row>
    <row r="1018">
      <c r="A1018" s="7" t="inlineStr">
        <is>
          <t>T09</t>
        </is>
      </c>
      <c r="B1018" s="7" t="inlineStr">
        <is>
          <t>MCX:T09-MCX-2</t>
        </is>
      </c>
      <c r="C1018" s="7" t="inlineStr">
        <is>
          <t>T09-MCX-2</t>
        </is>
      </c>
      <c r="D1018" s="7" t="inlineStr">
        <is>
          <t>MCX_INITIAL_MARGIN</t>
        </is>
      </c>
      <c r="E1018" s="7" t="inlineStr">
        <is>
          <t>MCX_INITIAL_MARGIN</t>
        </is>
      </c>
      <c r="F1018" s="7" t="inlineStr">
        <is>
          <t>BS</t>
        </is>
      </c>
      <c r="G1018" s="7" t="inlineStr">
        <is>
          <t>INR</t>
        </is>
      </c>
      <c r="H1018" s="11" t="n">
        <v>44791</v>
      </c>
      <c r="I1018" s="11" t="n">
        <v>44799</v>
      </c>
      <c r="J1018" s="11" t="n">
        <v>44799</v>
      </c>
      <c r="K1018" s="11" t="n">
        <v>44799</v>
      </c>
      <c r="L1018" s="7" t="inlineStr">
        <is>
          <t>roll following on the LME panel calendar</t>
        </is>
      </c>
      <c r="N1018" s="7" t="inlineStr">
        <is>
          <t>PROXY</t>
        </is>
      </c>
      <c r="O1018" s="9" t="n">
        <v>16674898.06</v>
      </c>
      <c r="P1018" s="9" t="n">
        <v>16674898.06</v>
      </c>
      <c r="U1018" s="7" t="inlineStr">
        <is>
          <t>DERIVED_IN_WORKBOOK</t>
        </is>
      </c>
      <c r="V1018" s="8">
        <f>-SUMIFS(Cashflows!$W$1043:$W$1393,Cashflows!$B$1043:$B$1393,$C1018,Cashflows!$C$1043:$C$1393,$K1018)</f>
        <v/>
      </c>
      <c r="W1018" s="8">
        <f>IF($G1018="INR",1,INDEX(Market_Daily!$F$6:$F$256,MATCH($K1018,Market_Daily!$A$6:$A$256,0)))</f>
        <v/>
      </c>
      <c r="X1018" s="8">
        <f>$V1018*$W1018</f>
        <v/>
      </c>
      <c r="Y1018" s="18">
        <f>$X1018-$P1018</f>
        <v/>
      </c>
      <c r="Z1018" s="8">
        <f>IF(ABS($Y1018)&lt;=tol_cashflow_inr,"PASS","FAIL")</f>
        <v/>
      </c>
      <c r="AA1018" s="7" t="inlineStr">
        <is>
          <t>-d(lots x lot_kg x F(s) x mcx_al_margin_used_frac)</t>
        </is>
      </c>
    </row>
    <row r="1019">
      <c r="A1019" s="7" t="inlineStr">
        <is>
          <t>T09</t>
        </is>
      </c>
      <c r="B1019" s="7" t="inlineStr">
        <is>
          <t>MCX:T09-MCX-2</t>
        </is>
      </c>
      <c r="C1019" s="7" t="inlineStr">
        <is>
          <t>T09-MCX-2</t>
        </is>
      </c>
      <c r="D1019" s="7" t="inlineStr">
        <is>
          <t>MCX_SLIPPAGE</t>
        </is>
      </c>
      <c r="E1019" s="7" t="inlineStr">
        <is>
          <t>MCX_SLIPPAGE</t>
        </is>
      </c>
      <c r="F1019" s="7" t="inlineStr">
        <is>
          <t>PNL</t>
        </is>
      </c>
      <c r="G1019" s="7" t="inlineStr">
        <is>
          <t>INR</t>
        </is>
      </c>
      <c r="H1019" s="11" t="n">
        <v>44799</v>
      </c>
      <c r="J1019" s="11" t="n">
        <v>44799</v>
      </c>
      <c r="K1019" s="11" t="n">
        <v>44799</v>
      </c>
      <c r="L1019" s="7" t="inlineStr">
        <is>
          <t>roll following on the LME panel calendar</t>
        </is>
      </c>
      <c r="N1019" s="7" t="inlineStr">
        <is>
          <t>ASSUMPTION</t>
        </is>
      </c>
      <c r="O1019" s="9" t="n">
        <v>-78500</v>
      </c>
      <c r="P1019" s="9" t="n">
        <v>-78500</v>
      </c>
      <c r="U1019" s="7" t="inlineStr">
        <is>
          <t>DERIVED_IN_WORKBOOK</t>
        </is>
      </c>
      <c r="V1019" s="8">
        <f>SUMIFS(Cashflows!$Z$1043:$Z$1393,Cashflows!$B$1043:$B$1393,$C1019,Cashflows!$C$1043:$C$1393,$K1019)</f>
        <v/>
      </c>
      <c r="W1019" s="8">
        <f>IF($G1019="INR",1,INDEX(Market_Daily!$F$6:$F$256,MATCH($K1019,Market_Daily!$A$6:$A$256,0)))</f>
        <v/>
      </c>
      <c r="X1019" s="8">
        <f>$V1019*$W1019</f>
        <v/>
      </c>
      <c r="Y1019" s="18">
        <f>$X1019-$P1019</f>
        <v/>
      </c>
      <c r="Z1019" s="8">
        <f>IF(ABS($Y1019)&lt;=tol_cashflow_inr,"PASS","FAIL")</f>
        <v/>
      </c>
      <c r="AA1019" s="7" t="inlineStr">
        <is>
          <t>-lots x lot_kg x mcx_slippage_ticks x tick</t>
        </is>
      </c>
    </row>
    <row r="1020">
      <c r="A1020" s="7" t="inlineStr">
        <is>
          <t>T09</t>
        </is>
      </c>
      <c r="B1020" s="7" t="inlineStr">
        <is>
          <t>MCX:T09-MCX-2</t>
        </is>
      </c>
      <c r="C1020" s="7" t="inlineStr">
        <is>
          <t>T09-MCX-2</t>
        </is>
      </c>
      <c r="D1020" s="7" t="inlineStr">
        <is>
          <t>MCX_TRANSACTION_COST</t>
        </is>
      </c>
      <c r="E1020" s="7" t="inlineStr">
        <is>
          <t>MCX_TRANSACTION_COST</t>
        </is>
      </c>
      <c r="F1020" s="7" t="inlineStr">
        <is>
          <t>PNL</t>
        </is>
      </c>
      <c r="G1020" s="7" t="inlineStr">
        <is>
          <t>INR</t>
        </is>
      </c>
      <c r="H1020" s="11" t="n">
        <v>44799</v>
      </c>
      <c r="I1020" s="11" t="n">
        <v>44799</v>
      </c>
      <c r="J1020" s="11" t="n">
        <v>44799</v>
      </c>
      <c r="K1020" s="11" t="n">
        <v>44799</v>
      </c>
      <c r="L1020" s="7" t="inlineStr">
        <is>
          <t>roll following on the LME panel calendar</t>
        </is>
      </c>
      <c r="N1020" s="7" t="inlineStr">
        <is>
          <t>ASSUMPTION</t>
        </is>
      </c>
      <c r="O1020" s="9" t="n">
        <v>-51084.56</v>
      </c>
      <c r="P1020" s="9" t="n">
        <v>-51084.56</v>
      </c>
      <c r="U1020" s="7" t="inlineStr">
        <is>
          <t>DERIVED_IN_WORKBOOK</t>
        </is>
      </c>
      <c r="V1020" s="8">
        <f>SUMIFS(Cashflows!$AA$1043:$AA$1393,Cashflows!$B$1043:$B$1393,$C1020,Cashflows!$C$1043:$C$1393,$K1020)</f>
        <v/>
      </c>
      <c r="W1020" s="8">
        <f>IF($G1020="INR",1,INDEX(Market_Daily!$F$6:$F$256,MATCH($K1020,Market_Daily!$A$6:$A$256,0)))</f>
        <v/>
      </c>
      <c r="X1020" s="8">
        <f>$V1020*$W1020</f>
        <v/>
      </c>
      <c r="Y1020" s="18">
        <f>$X1020-$P1020</f>
        <v/>
      </c>
      <c r="Z1020" s="8">
        <f>IF(ABS($Y1020)&lt;=tol_cashflow_inr,"PASS","FAIL")</f>
        <v/>
      </c>
      <c r="AA1020" s="7" t="inlineStr">
        <is>
          <t>-lots x lot_kg x fill x mcx_txn_cost_frac</t>
        </is>
      </c>
    </row>
    <row r="1021">
      <c r="A1021" s="7" t="inlineStr">
        <is>
          <t>T09</t>
        </is>
      </c>
      <c r="B1021" s="7" t="inlineStr">
        <is>
          <t>MCX:T09-MCX-2</t>
        </is>
      </c>
      <c r="C1021" s="7" t="inlineStr">
        <is>
          <t>T09-MCX-2</t>
        </is>
      </c>
      <c r="D1021" s="7" t="inlineStr">
        <is>
          <t>MCX_VARIATION_MARGIN</t>
        </is>
      </c>
      <c r="E1021" s="7" t="inlineStr">
        <is>
          <t>MCX_VARIATION_MARGIN</t>
        </is>
      </c>
      <c r="F1021" s="7" t="inlineStr">
        <is>
          <t>PNL</t>
        </is>
      </c>
      <c r="G1021" s="7" t="inlineStr">
        <is>
          <t>INR</t>
        </is>
      </c>
      <c r="H1021" s="11" t="n">
        <v>44791</v>
      </c>
      <c r="I1021" s="11" t="n">
        <v>44799</v>
      </c>
      <c r="J1021" s="11" t="n">
        <v>44799</v>
      </c>
      <c r="K1021" s="11" t="n">
        <v>44799</v>
      </c>
      <c r="L1021" s="7" t="inlineStr">
        <is>
          <t>roll following on the LME panel calendar</t>
        </is>
      </c>
      <c r="N1021" s="7" t="inlineStr">
        <is>
          <t>PROXY</t>
        </is>
      </c>
      <c r="O1021" s="9" t="n">
        <v>-3454379.89</v>
      </c>
      <c r="P1021" s="9" t="n">
        <v>-3454379.89</v>
      </c>
      <c r="U1021" s="7" t="inlineStr">
        <is>
          <t>DERIVED_IN_WORKBOOK</t>
        </is>
      </c>
      <c r="V1021" s="8">
        <f>SUMIFS(Cashflows!$R$1043:$R$1393,Cashflows!$B$1043:$B$1393,$C1021,Cashflows!$C$1043:$C$1393,$K1021)</f>
        <v/>
      </c>
      <c r="W1021" s="8">
        <f>IF($G1021="INR",1,INDEX(Market_Daily!$F$6:$F$256,MATCH($K1021,Market_Daily!$A$6:$A$256,0)))</f>
        <v/>
      </c>
      <c r="X1021" s="8">
        <f>$V1021*$W1021</f>
        <v/>
      </c>
      <c r="Y1021" s="18">
        <f>$X1021-$P1021</f>
        <v/>
      </c>
      <c r="Z1021" s="8">
        <f>IF(ABS($Y1021)&lt;=tol_cashflow_inr,"PASS","FAIL")</f>
        <v/>
      </c>
      <c r="AA1021" s="7" t="inlineStr">
        <is>
          <t>direction x lots x lot_kg x (F(s) - F(s-1))</t>
        </is>
      </c>
    </row>
    <row r="1022">
      <c r="A1022" s="7" t="inlineStr">
        <is>
          <t>T09</t>
        </is>
      </c>
      <c r="B1022" s="7" t="inlineStr">
        <is>
          <t>DUTY:L2</t>
        </is>
      </c>
      <c r="C1022" s="7" t="inlineStr">
        <is>
          <t>L2</t>
        </is>
      </c>
      <c r="D1022" s="7" t="inlineStr">
        <is>
          <t>CUSTOMS_DUTY</t>
        </is>
      </c>
      <c r="E1022" s="7" t="inlineStr">
        <is>
          <t>CUSTOMS_DUTY</t>
        </is>
      </c>
      <c r="F1022" s="7" t="inlineStr">
        <is>
          <t>PNL</t>
        </is>
      </c>
      <c r="G1022" s="7" t="inlineStr">
        <is>
          <t>INR</t>
        </is>
      </c>
      <c r="H1022" s="11" t="n">
        <v>44776</v>
      </c>
      <c r="I1022" s="11" t="n">
        <v>44803</v>
      </c>
      <c r="J1022" s="11" t="n">
        <v>44803</v>
      </c>
      <c r="K1022" s="11" t="n">
        <v>44803</v>
      </c>
      <c r="L1022" s="7" t="inlineStr">
        <is>
          <t>roll following on the LME panel calendar</t>
        </is>
      </c>
      <c r="N1022" s="7" t="inlineStr">
        <is>
          <t>DIRECT</t>
        </is>
      </c>
      <c r="O1022" s="9" t="n">
        <v>-2429382.13</v>
      </c>
      <c r="P1022" s="9" t="n">
        <v>-2429382.13</v>
      </c>
      <c r="U1022" s="7" t="inlineStr">
        <is>
          <t>PYTHON_LIFECYCLE</t>
        </is>
      </c>
      <c r="V1022" s="8">
        <f>$O1022</f>
        <v/>
      </c>
      <c r="W1022" s="8">
        <f>IF($G1022="INR",1,INDEX(Market_Daily!$F$6:$F$256,MATCH($K1022,Market_Daily!$A$6:$A$256,0)))</f>
        <v/>
      </c>
      <c r="X1022" s="8">
        <f>$V1022*$W1022</f>
        <v/>
      </c>
      <c r="Y1022" s="18">
        <f>$X1022-$P1022</f>
        <v/>
      </c>
      <c r="Z1022" s="8">
        <f>IF(ABS($Y1022)&lt;=tol_cashflow_inr,"PASS","FAIL")</f>
        <v/>
      </c>
      <c r="AA1022" s="7" t="inlineStr">
        <is>
          <t>-assessable_inr x bcd_scrap_hs7602 x (1 + sws_rate_on_bcd)</t>
        </is>
      </c>
    </row>
    <row r="1023">
      <c r="A1023" s="7" t="inlineStr">
        <is>
          <t>T09</t>
        </is>
      </c>
      <c r="B1023" s="7" t="inlineStr">
        <is>
          <t>IGST:L2</t>
        </is>
      </c>
      <c r="C1023" s="7" t="inlineStr">
        <is>
          <t>L2</t>
        </is>
      </c>
      <c r="D1023" s="7" t="inlineStr">
        <is>
          <t>IGST_IMPORT</t>
        </is>
      </c>
      <c r="E1023" s="7" t="inlineStr">
        <is>
          <t>IGST_IMPORT</t>
        </is>
      </c>
      <c r="F1023" s="7" t="inlineStr">
        <is>
          <t>BS</t>
        </is>
      </c>
      <c r="G1023" s="7" t="inlineStr">
        <is>
          <t>INR</t>
        </is>
      </c>
      <c r="H1023" s="11" t="n">
        <v>44776</v>
      </c>
      <c r="I1023" s="11" t="n">
        <v>44803</v>
      </c>
      <c r="J1023" s="11" t="n">
        <v>44803</v>
      </c>
      <c r="K1023" s="11" t="n">
        <v>44803</v>
      </c>
      <c r="L1023" s="7" t="inlineStr">
        <is>
          <t>roll following on the LME panel calendar</t>
        </is>
      </c>
      <c r="N1023" s="7" t="inlineStr">
        <is>
          <t>DIRECT</t>
        </is>
      </c>
      <c r="O1023" s="9" t="n">
        <v>-16338699.12</v>
      </c>
      <c r="P1023" s="9" t="n">
        <v>-16338699.12</v>
      </c>
      <c r="U1023" s="7" t="inlineStr">
        <is>
          <t>PYTHON_LIFECYCLE</t>
        </is>
      </c>
      <c r="V1023" s="8">
        <f>$O1023</f>
        <v/>
      </c>
      <c r="W1023" s="8">
        <f>IF($G1023="INR",1,INDEX(Market_Daily!$F$6:$F$256,MATCH($K1023,Market_Daily!$A$6:$A$256,0)))</f>
        <v/>
      </c>
      <c r="X1023" s="8">
        <f>$V1023*$W1023</f>
        <v/>
      </c>
      <c r="Y1023" s="18">
        <f>$X1023-$P1023</f>
        <v/>
      </c>
      <c r="Z1023" s="8">
        <f>IF(ABS($Y1023)&lt;=tol_cashflow_inr,"PASS","FAIL")</f>
        <v/>
      </c>
      <c r="AA1023" s="7" t="inlineStr">
        <is>
          <t>-(assessable + duty) x igst_rate_hs7602</t>
        </is>
      </c>
    </row>
    <row r="1024">
      <c r="A1024" s="7" t="inlineStr">
        <is>
          <t>T09</t>
        </is>
      </c>
      <c r="B1024" s="7" t="inlineStr">
        <is>
          <t>LC_USANCE_FEE:L2</t>
        </is>
      </c>
      <c r="C1024" s="7" t="inlineStr">
        <is>
          <t>L2</t>
        </is>
      </c>
      <c r="D1024" s="7" t="inlineStr">
        <is>
          <t>LC_USANCE_FEE</t>
        </is>
      </c>
      <c r="E1024" s="7" t="inlineStr">
        <is>
          <t>LC_USANCE_FEE</t>
        </is>
      </c>
      <c r="F1024" s="7" t="inlineStr">
        <is>
          <t>PNL</t>
        </is>
      </c>
      <c r="G1024" s="7" t="inlineStr">
        <is>
          <t>USD</t>
        </is>
      </c>
      <c r="H1024" s="11" t="n">
        <v>44776</v>
      </c>
      <c r="I1024" s="11" t="n">
        <v>44804</v>
      </c>
      <c r="J1024" s="11" t="n">
        <v>44804</v>
      </c>
      <c r="K1024" s="11" t="n">
        <v>44804</v>
      </c>
      <c r="L1024" s="7" t="inlineStr">
        <is>
          <t>roll following on the LME panel calendar</t>
        </is>
      </c>
      <c r="N1024" s="7" t="inlineStr">
        <is>
          <t>DIRECT</t>
        </is>
      </c>
      <c r="O1024" s="9" t="n">
        <v>-1534.68</v>
      </c>
      <c r="P1024" s="9" t="n">
        <v>-122078.42</v>
      </c>
      <c r="U1024" s="7" t="inlineStr">
        <is>
          <t>PYTHON_LIFECYCLE</t>
        </is>
      </c>
      <c r="V1024" s="8">
        <f>$O1024</f>
        <v/>
      </c>
      <c r="W1024" s="8">
        <f>IF($G1024="INR",1,INDEX(Market_Daily!$F$6:$F$256,MATCH($K1024,Market_Daily!$A$6:$A$256,0)))</f>
        <v/>
      </c>
      <c r="X1024" s="8">
        <f>$V1024*$W1024</f>
        <v/>
      </c>
      <c r="Y1024" s="18">
        <f>$X1024-$P1024</f>
        <v/>
      </c>
      <c r="Z1024" s="8">
        <f>IF(ABS($Y1024)&lt;=tol_cashflow_inr,"PASS","FAIL")</f>
        <v/>
      </c>
      <c r="AA1024" s="7" t="inlineStr">
        <is>
          <t>-lc_usance_fee_frac_per_month x ceil(usance/30) x bill_usd</t>
        </is>
      </c>
    </row>
    <row r="1025">
      <c r="A1025" s="7" t="inlineStr">
        <is>
          <t>T09</t>
        </is>
      </c>
      <c r="B1025" s="7" t="inlineStr">
        <is>
          <t>SALE:S1</t>
        </is>
      </c>
      <c r="C1025" s="7" t="inlineStr">
        <is>
          <t>S1</t>
        </is>
      </c>
      <c r="D1025" s="7" t="inlineStr">
        <is>
          <t>SALE_ADVANCE</t>
        </is>
      </c>
      <c r="E1025" s="7" t="inlineStr">
        <is>
          <t>SALE_ADVANCE</t>
        </is>
      </c>
      <c r="F1025" s="7" t="inlineStr">
        <is>
          <t>PNL</t>
        </is>
      </c>
      <c r="G1025" s="7" t="inlineStr">
        <is>
          <t>INR</t>
        </is>
      </c>
      <c r="H1025" s="11" t="n">
        <v>44799</v>
      </c>
      <c r="I1025" s="11" t="n">
        <v>44804</v>
      </c>
      <c r="J1025" s="11" t="n">
        <v>44844</v>
      </c>
      <c r="K1025" s="11" t="n">
        <v>44804</v>
      </c>
      <c r="L1025" s="7" t="inlineStr">
        <is>
          <t>roll following on the LME panel calendar</t>
        </is>
      </c>
      <c r="N1025" s="7" t="inlineStr">
        <is>
          <t>SIM</t>
        </is>
      </c>
      <c r="O1025" s="9" t="n">
        <v>50550000</v>
      </c>
      <c r="P1025" s="9" t="n">
        <v>50550000</v>
      </c>
      <c r="U1025" s="7" t="inlineStr">
        <is>
          <t>PYTHON_LIFECYCLE</t>
        </is>
      </c>
      <c r="V1025" s="8">
        <f>$O1025</f>
        <v/>
      </c>
      <c r="W1025" s="8">
        <f>IF($G1025="INR",1,INDEX(Market_Daily!$F$6:$F$256,MATCH($K1025,Market_Daily!$A$6:$A$256,0)))</f>
        <v/>
      </c>
      <c r="X1025" s="8">
        <f>$V1025*$W1025</f>
        <v/>
      </c>
      <c r="Y1025" s="18">
        <f>$X1025-$P1025</f>
        <v/>
      </c>
      <c r="Z1025" s="8">
        <f>IF(ABS($Y1025)&lt;=tol_cashflow_inr,"PASS","FAIL")</f>
        <v/>
      </c>
      <c r="AA1025" s="7" t="inlineStr">
        <is>
          <t>+advance_frac x q_plan x P_sale</t>
        </is>
      </c>
    </row>
    <row r="1026">
      <c r="A1026" s="7" t="inlineStr">
        <is>
          <t>T09</t>
        </is>
      </c>
      <c r="B1026" s="7" t="inlineStr">
        <is>
          <t>PORT:L1</t>
        </is>
      </c>
      <c r="C1026" s="7" t="inlineStr">
        <is>
          <t>L1</t>
        </is>
      </c>
      <c r="D1026" s="7" t="inlineStr">
        <is>
          <t>PORT_CHARGES</t>
        </is>
      </c>
      <c r="E1026" s="7" t="inlineStr">
        <is>
          <t>PORT_CHARGES</t>
        </is>
      </c>
      <c r="F1026" s="7" t="inlineStr">
        <is>
          <t>PNL</t>
        </is>
      </c>
      <c r="G1026" s="7" t="inlineStr">
        <is>
          <t>INR</t>
        </is>
      </c>
      <c r="H1026" s="11" t="n">
        <v>44776</v>
      </c>
      <c r="J1026" s="11" t="n">
        <v>44805</v>
      </c>
      <c r="K1026" s="11" t="n">
        <v>44805</v>
      </c>
      <c r="L1026" s="7" t="inlineStr">
        <is>
          <t>roll following on the LME panel calendar</t>
        </is>
      </c>
      <c r="N1026" s="7" t="inlineStr">
        <is>
          <t>ASSUMPTION</t>
        </is>
      </c>
      <c r="O1026" s="9" t="n">
        <v>-960000</v>
      </c>
      <c r="P1026" s="9" t="n">
        <v>-960000</v>
      </c>
      <c r="U1026" s="7" t="inlineStr">
        <is>
          <t>PYTHON_LIFECYCLE</t>
        </is>
      </c>
      <c r="V1026" s="8">
        <f>$O1026</f>
        <v/>
      </c>
      <c r="W1026" s="8">
        <f>IF($G1026="INR",1,INDEX(Market_Daily!$F$6:$F$256,MATCH($K1026,Market_Daily!$A$6:$A$256,0)))</f>
        <v/>
      </c>
      <c r="X1026" s="8">
        <f>$V1026*$W1026</f>
        <v/>
      </c>
      <c r="Y1026" s="18">
        <f>$X1026-$P1026</f>
        <v/>
      </c>
      <c r="Z1026" s="8">
        <f>IF(ABS($Y1026)&lt;=tol_cashflow_inr,"PASS","FAIL")</f>
        <v/>
      </c>
      <c r="AA1026" s="7" t="inlineStr">
        <is>
          <t>-port_cf_charges_inr_t x base_payload x cleared boxes</t>
        </is>
      </c>
    </row>
    <row r="1027">
      <c r="A1027" s="7" t="inlineStr">
        <is>
          <t>T09</t>
        </is>
      </c>
      <c r="B1027" s="7" t="inlineStr">
        <is>
          <t>PORT:L2</t>
        </is>
      </c>
      <c r="C1027" s="7" t="inlineStr">
        <is>
          <t>L2</t>
        </is>
      </c>
      <c r="D1027" s="7" t="inlineStr">
        <is>
          <t>PORT_CHARGES</t>
        </is>
      </c>
      <c r="E1027" s="7" t="inlineStr">
        <is>
          <t>PORT_CHARGES</t>
        </is>
      </c>
      <c r="F1027" s="7" t="inlineStr">
        <is>
          <t>PNL</t>
        </is>
      </c>
      <c r="G1027" s="7" t="inlineStr">
        <is>
          <t>INR</t>
        </is>
      </c>
      <c r="H1027" s="11" t="n">
        <v>44776</v>
      </c>
      <c r="J1027" s="11" t="n">
        <v>44812</v>
      </c>
      <c r="K1027" s="11" t="n">
        <v>44812</v>
      </c>
      <c r="L1027" s="7" t="inlineStr">
        <is>
          <t>roll following on the LME panel calendar</t>
        </is>
      </c>
      <c r="N1027" s="7" t="inlineStr">
        <is>
          <t>ASSUMPTION</t>
        </is>
      </c>
      <c r="O1027" s="9" t="n">
        <v>-960000</v>
      </c>
      <c r="P1027" s="9" t="n">
        <v>-960000</v>
      </c>
      <c r="U1027" s="7" t="inlineStr">
        <is>
          <t>PYTHON_LIFECYCLE</t>
        </is>
      </c>
      <c r="V1027" s="8">
        <f>$O1027</f>
        <v/>
      </c>
      <c r="W1027" s="8">
        <f>IF($G1027="INR",1,INDEX(Market_Daily!$F$6:$F$256,MATCH($K1027,Market_Daily!$A$6:$A$256,0)))</f>
        <v/>
      </c>
      <c r="X1027" s="8">
        <f>$V1027*$W1027</f>
        <v/>
      </c>
      <c r="Y1027" s="18">
        <f>$X1027-$P1027</f>
        <v/>
      </c>
      <c r="Z1027" s="8">
        <f>IF(ABS($Y1027)&lt;=tol_cashflow_inr,"PASS","FAIL")</f>
        <v/>
      </c>
      <c r="AA1027" s="7" t="inlineStr">
        <is>
          <t>-port_cf_charges_inr_t x base_payload x cleared boxes</t>
        </is>
      </c>
    </row>
    <row r="1028">
      <c r="A1028" s="7" t="inlineStr">
        <is>
          <t>T09</t>
        </is>
      </c>
      <c r="B1028" s="7" t="inlineStr">
        <is>
          <t>IGST:L1</t>
        </is>
      </c>
      <c r="C1028" s="7" t="inlineStr">
        <is>
          <t>L1</t>
        </is>
      </c>
      <c r="D1028" s="7" t="inlineStr">
        <is>
          <t>IGST_CREDIT</t>
        </is>
      </c>
      <c r="E1028" s="7" t="inlineStr">
        <is>
          <t>IGST_CREDIT</t>
        </is>
      </c>
      <c r="F1028" s="7" t="inlineStr">
        <is>
          <t>BS</t>
        </is>
      </c>
      <c r="G1028" s="7" t="inlineStr">
        <is>
          <t>INR</t>
        </is>
      </c>
      <c r="H1028" s="11" t="n">
        <v>44776</v>
      </c>
      <c r="I1028" s="11" t="n">
        <v>44796</v>
      </c>
      <c r="J1028" s="11" t="n">
        <v>44841</v>
      </c>
      <c r="K1028" s="11" t="n">
        <v>44841</v>
      </c>
      <c r="L1028" s="7" t="inlineStr">
        <is>
          <t>roll following on the LME panel calendar</t>
        </is>
      </c>
      <c r="N1028" s="7" t="inlineStr">
        <is>
          <t>DIRECT</t>
        </is>
      </c>
      <c r="O1028" s="9" t="n">
        <v>16338699.12</v>
      </c>
      <c r="P1028" s="9" t="n">
        <v>16338699.12</v>
      </c>
      <c r="U1028" s="7" t="inlineStr">
        <is>
          <t>PYTHON_LIFECYCLE</t>
        </is>
      </c>
      <c r="V1028" s="8">
        <f>$O1028</f>
        <v/>
      </c>
      <c r="W1028" s="8">
        <f>IF($G1028="INR",1,INDEX(Market_Daily!$F$6:$F$256,MATCH($K1028,Market_Daily!$A$6:$A$256,0)))</f>
        <v/>
      </c>
      <c r="X1028" s="8">
        <f>$V1028*$W1028</f>
        <v/>
      </c>
      <c r="Y1028" s="18">
        <f>$X1028-$P1028</f>
        <v/>
      </c>
      <c r="Z1028" s="8">
        <f>IF(ABS($Y1028)&lt;=tol_cashflow_inr,"PASS","FAIL")</f>
        <v/>
      </c>
      <c r="AA1028" s="7" t="inlineStr">
        <is>
          <t>+(assessable + duty) x igst_rate at igst_credit_lag_days</t>
        </is>
      </c>
    </row>
    <row r="1029">
      <c r="A1029" s="7" t="inlineStr">
        <is>
          <t>T09</t>
        </is>
      </c>
      <c r="B1029" s="7" t="inlineStr">
        <is>
          <t>SALE:S1</t>
        </is>
      </c>
      <c r="C1029" s="7" t="inlineStr">
        <is>
          <t>S1</t>
        </is>
      </c>
      <c r="D1029" s="7" t="inlineStr">
        <is>
          <t>SALE_BALANCE</t>
        </is>
      </c>
      <c r="E1029" s="7" t="inlineStr">
        <is>
          <t>SALE_BALANCE</t>
        </is>
      </c>
      <c r="F1029" s="7" t="inlineStr">
        <is>
          <t>PNL</t>
        </is>
      </c>
      <c r="G1029" s="7" t="inlineStr">
        <is>
          <t>INR</t>
        </is>
      </c>
      <c r="H1029" s="11" t="n">
        <v>44799</v>
      </c>
      <c r="I1029" s="11" t="n">
        <v>44803</v>
      </c>
      <c r="J1029" s="11" t="n">
        <v>44844</v>
      </c>
      <c r="K1029" s="11" t="n">
        <v>44844</v>
      </c>
      <c r="L1029" s="7" t="inlineStr">
        <is>
          <t>roll following on the LME panel calendar</t>
        </is>
      </c>
      <c r="N1029" s="7" t="inlineStr">
        <is>
          <t>SIM</t>
        </is>
      </c>
      <c r="O1029" s="9" t="n">
        <v>151650000</v>
      </c>
      <c r="P1029" s="9" t="n">
        <v>151650000</v>
      </c>
      <c r="U1029" s="7" t="inlineStr">
        <is>
          <t>PYTHON_LIFECYCLE</t>
        </is>
      </c>
      <c r="V1029" s="8">
        <f>$O1029</f>
        <v/>
      </c>
      <c r="W1029" s="8">
        <f>IF($G1029="INR",1,INDEX(Market_Daily!$F$6:$F$256,MATCH($K1029,Market_Daily!$A$6:$A$256,0)))</f>
        <v/>
      </c>
      <c r="X1029" s="8">
        <f>$V1029*$W1029</f>
        <v/>
      </c>
      <c r="Y1029" s="18">
        <f>$X1029-$P1029</f>
        <v/>
      </c>
      <c r="Z1029" s="8">
        <f>IF(ABS($Y1029)&lt;=tol_cashflow_inr,"PASS","FAIL")</f>
        <v/>
      </c>
      <c r="AA1029" s="7" t="inlineStr">
        <is>
          <t>+q_acc x P_sale x (1 - disc passthrough) - advance</t>
        </is>
      </c>
    </row>
    <row r="1030">
      <c r="A1030" s="7" t="inlineStr">
        <is>
          <t>T09</t>
        </is>
      </c>
      <c r="B1030" s="7" t="inlineStr">
        <is>
          <t>IGST:L2</t>
        </is>
      </c>
      <c r="C1030" s="7" t="inlineStr">
        <is>
          <t>L2</t>
        </is>
      </c>
      <c r="D1030" s="7" t="inlineStr">
        <is>
          <t>IGST_CREDIT</t>
        </is>
      </c>
      <c r="E1030" s="7" t="inlineStr">
        <is>
          <t>IGST_CREDIT</t>
        </is>
      </c>
      <c r="F1030" s="7" t="inlineStr">
        <is>
          <t>BS</t>
        </is>
      </c>
      <c r="G1030" s="7" t="inlineStr">
        <is>
          <t>INR</t>
        </is>
      </c>
      <c r="H1030" s="11" t="n">
        <v>44776</v>
      </c>
      <c r="I1030" s="11" t="n">
        <v>44803</v>
      </c>
      <c r="J1030" s="11" t="n">
        <v>44848</v>
      </c>
      <c r="K1030" s="11" t="n">
        <v>44848</v>
      </c>
      <c r="L1030" s="7" t="inlineStr">
        <is>
          <t>roll following on the LME panel calendar</t>
        </is>
      </c>
      <c r="N1030" s="7" t="inlineStr">
        <is>
          <t>DIRECT</t>
        </is>
      </c>
      <c r="O1030" s="9" t="n">
        <v>16338699.12</v>
      </c>
      <c r="P1030" s="9" t="n">
        <v>16338699.12</v>
      </c>
      <c r="U1030" s="7" t="inlineStr">
        <is>
          <t>PYTHON_LIFECYCLE</t>
        </is>
      </c>
      <c r="V1030" s="8">
        <f>$O1030</f>
        <v/>
      </c>
      <c r="W1030" s="8">
        <f>IF($G1030="INR",1,INDEX(Market_Daily!$F$6:$F$256,MATCH($K1030,Market_Daily!$A$6:$A$256,0)))</f>
        <v/>
      </c>
      <c r="X1030" s="8">
        <f>$V1030*$W1030</f>
        <v/>
      </c>
      <c r="Y1030" s="18">
        <f>$X1030-$P1030</f>
        <v/>
      </c>
      <c r="Z1030" s="8">
        <f>IF(ABS($Y1030)&lt;=tol_cashflow_inr,"PASS","FAIL")</f>
        <v/>
      </c>
      <c r="AA1030" s="7" t="inlineStr">
        <is>
          <t>+(assessable + duty) x igst_rate at igst_credit_lag_days</t>
        </is>
      </c>
    </row>
    <row r="1031">
      <c r="A1031" s="7" t="inlineStr">
        <is>
          <t>T09</t>
        </is>
      </c>
      <c r="B1031" s="7" t="inlineStr">
        <is>
          <t>BILL_COMMISSION:L1</t>
        </is>
      </c>
      <c r="C1031" s="7" t="inlineStr">
        <is>
          <t>L1</t>
        </is>
      </c>
      <c r="D1031" s="7" t="inlineStr">
        <is>
          <t>IMPORT_BILL_COMMISSION</t>
        </is>
      </c>
      <c r="E1031" s="7" t="inlineStr">
        <is>
          <t>IMPORT_BILL_COMMISSION</t>
        </is>
      </c>
      <c r="F1031" s="7" t="inlineStr">
        <is>
          <t>PNL</t>
        </is>
      </c>
      <c r="G1031" s="7" t="inlineStr">
        <is>
          <t>USD</t>
        </is>
      </c>
      <c r="H1031" s="11" t="n">
        <v>44776</v>
      </c>
      <c r="I1031" s="11" t="n">
        <v>44851</v>
      </c>
      <c r="J1031" s="11" t="n">
        <v>44851</v>
      </c>
      <c r="K1031" s="11" t="n">
        <v>44851</v>
      </c>
      <c r="L1031" s="7" t="inlineStr">
        <is>
          <t>roll following on the LME panel calendar</t>
        </is>
      </c>
      <c r="N1031" s="7" t="inlineStr">
        <is>
          <t>DIRECT</t>
        </is>
      </c>
      <c r="O1031" s="9" t="n">
        <v>-1315.44</v>
      </c>
      <c r="P1031" s="9" t="n">
        <v>-108228.35</v>
      </c>
      <c r="U1031" s="7" t="inlineStr">
        <is>
          <t>PYTHON_LIFECYCLE</t>
        </is>
      </c>
      <c r="V1031" s="8">
        <f>$O1031</f>
        <v/>
      </c>
      <c r="W1031" s="8">
        <f>IF($G1031="INR",1,INDEX(Market_Daily!$F$6:$F$256,MATCH($K1031,Market_Daily!$A$6:$A$256,0)))</f>
        <v/>
      </c>
      <c r="X1031" s="8">
        <f>$V1031*$W1031</f>
        <v/>
      </c>
      <c r="Y1031" s="18">
        <f>$X1031-$P1031</f>
        <v/>
      </c>
      <c r="Z1031" s="8">
        <f>IF(ABS($Y1031)&lt;=tol_cashflow_inr,"PASS","FAIL")</f>
        <v/>
      </c>
      <c r="AA1031" s="7" t="inlineStr">
        <is>
          <t>-import_bill_commission_frac x bill_usd</t>
        </is>
      </c>
    </row>
    <row r="1032">
      <c r="A1032" s="7" t="inlineStr">
        <is>
          <t>T09</t>
        </is>
      </c>
      <c r="B1032" s="7" t="inlineStr">
        <is>
          <t>FX:T09-FX-1</t>
        </is>
      </c>
      <c r="C1032" s="7" t="inlineStr">
        <is>
          <t>T09-FX-1</t>
        </is>
      </c>
      <c r="D1032" s="7" t="inlineStr">
        <is>
          <t>FX_FORWARD</t>
        </is>
      </c>
      <c r="E1032" s="7" t="inlineStr">
        <is>
          <t>FX_FORWARD</t>
        </is>
      </c>
      <c r="F1032" s="7" t="inlineStr">
        <is>
          <t>PNL</t>
        </is>
      </c>
      <c r="G1032" s="7" t="inlineStr">
        <is>
          <t>INR</t>
        </is>
      </c>
      <c r="H1032" s="11" t="n">
        <v>44790</v>
      </c>
      <c r="I1032" s="11" t="n">
        <v>44851</v>
      </c>
      <c r="J1032" s="11" t="n">
        <v>44851</v>
      </c>
      <c r="K1032" s="11" t="n">
        <v>44851</v>
      </c>
      <c r="L1032" s="7" t="inlineStr">
        <is>
          <t>roll following on the LME panel calendar</t>
        </is>
      </c>
      <c r="N1032" s="7" t="inlineStr">
        <is>
          <t>PROXY</t>
        </is>
      </c>
      <c r="O1032" s="9" t="n">
        <v>2549677.86</v>
      </c>
      <c r="P1032" s="9" t="n">
        <v>2549677.86</v>
      </c>
      <c r="Q1032" s="6" t="n">
        <v>1</v>
      </c>
      <c r="R1032" s="13" t="n">
        <v>1096200</v>
      </c>
      <c r="S1032" s="12" t="n">
        <v>44851</v>
      </c>
      <c r="T1032" s="21" t="n">
        <v>79.949476</v>
      </c>
      <c r="U1032" s="7" t="inlineStr">
        <is>
          <t>DERIVED_IN_WORKBOOK</t>
        </is>
      </c>
      <c r="V1032" s="8">
        <f>$Q1032*$R1032*(IF($S1032&lt;$K1032,INDEX(Market_Daily!$F$6:$F$256,MATCH($S1032,Market_Daily!$A$6:$A$256,1)),IF($S1032=$K1032,INDEX(Market_Daily!$F$6:$F$256,MATCH($K1032,Market_Daily!$A$6:$A$256,0)),(INDEX(Market_Daily!$F$6:$F$256,MATCH($K1032,Market_Daily!$A$6:$A$256,0))*(1+INDEX(Market_Daily!$I$6:$I$256,MATCH($K1032,Market_Daily!$A$6:$A$256,0))*($S1032-$K1032)/day_count_inr)/(1+INDEX(Market_Daily!$J$6:$J$256,MATCH($K1032,Market_Daily!$A$6:$A$256,0))*($S1032-$K1032)/day_count_usd))))-$T1032)</f>
        <v/>
      </c>
      <c r="W1032" s="8">
        <f>IF($G1032="INR",1,INDEX(Market_Daily!$F$6:$F$256,MATCH($K1032,Market_Daily!$A$6:$A$256,0)))</f>
        <v/>
      </c>
      <c r="X1032" s="8">
        <f>$V1032*$W1032</f>
        <v/>
      </c>
      <c r="Y1032" s="18">
        <f>$X1032-$P1032</f>
        <v/>
      </c>
      <c r="Z1032" s="8">
        <f>IF(ABS($Y1032)&lt;=tol_cashflow_inr,"PASS","FAIL")</f>
        <v/>
      </c>
      <c r="AA1032" s="7" t="inlineStr">
        <is>
          <t>sign x notional x (X(tau, value_date) - K)</t>
        </is>
      </c>
    </row>
    <row r="1033">
      <c r="A1033" s="7" t="inlineStr">
        <is>
          <t>T09</t>
        </is>
      </c>
      <c r="B1033" s="7" t="inlineStr">
        <is>
          <t>PURCHASE:L1</t>
        </is>
      </c>
      <c r="C1033" s="7" t="inlineStr">
        <is>
          <t>L1</t>
        </is>
      </c>
      <c r="D1033" s="7" t="inlineStr">
        <is>
          <t>PURCHASE_INVOICE</t>
        </is>
      </c>
      <c r="E1033" s="7" t="inlineStr">
        <is>
          <t>PURCHASE_INVOICE</t>
        </is>
      </c>
      <c r="F1033" s="7" t="inlineStr">
        <is>
          <t>PNL</t>
        </is>
      </c>
      <c r="G1033" s="7" t="inlineStr">
        <is>
          <t>USD</t>
        </is>
      </c>
      <c r="H1033" s="11" t="n">
        <v>44776</v>
      </c>
      <c r="J1033" s="11" t="n">
        <v>44851</v>
      </c>
      <c r="K1033" s="11" t="n">
        <v>44851</v>
      </c>
      <c r="L1033" s="7" t="inlineStr">
        <is>
          <t>roll following on the LME panel calendar</t>
        </is>
      </c>
      <c r="N1033" s="7" t="inlineStr">
        <is>
          <t>SIM</t>
        </is>
      </c>
      <c r="O1033" s="9" t="n">
        <v>-1096200</v>
      </c>
      <c r="P1033" s="9" t="n">
        <v>-90190293.48</v>
      </c>
      <c r="U1033" s="7" t="inlineStr">
        <is>
          <t>PYTHON_LIFECYCLE</t>
        </is>
      </c>
      <c r="V1033" s="8">
        <f>$O1033</f>
        <v/>
      </c>
      <c r="W1033" s="8">
        <f>IF($G1033="INR",1,INDEX(Market_Daily!$F$6:$F$256,MATCH($K1033,Market_Daily!$A$6:$A$256,0)))</f>
        <v/>
      </c>
      <c r="X1033" s="8">
        <f>$V1033*$W1033</f>
        <v/>
      </c>
      <c r="Y1033" s="18">
        <f>$X1033-$P1033</f>
        <v/>
      </c>
      <c r="Z1033" s="8">
        <f>IF(ABS($Y1033)&lt;=tol_cashflow_inr,"PASS","FAIL")</f>
        <v/>
      </c>
      <c r="AA1033" s="7" t="inlineStr">
        <is>
          <t>-q_bl x price_usd_t</t>
        </is>
      </c>
    </row>
    <row r="1034">
      <c r="A1034" s="7" t="inlineStr">
        <is>
          <t>T09</t>
        </is>
      </c>
      <c r="B1034" s="7" t="inlineStr">
        <is>
          <t>USANCE_INTEREST:L1</t>
        </is>
      </c>
      <c r="C1034" s="7" t="inlineStr">
        <is>
          <t>L1</t>
        </is>
      </c>
      <c r="D1034" s="7" t="inlineStr">
        <is>
          <t>USANCE_INTEREST</t>
        </is>
      </c>
      <c r="E1034" s="7" t="inlineStr">
        <is>
          <t>USANCE_INTEREST</t>
        </is>
      </c>
      <c r="F1034" s="7" t="inlineStr">
        <is>
          <t>PNL</t>
        </is>
      </c>
      <c r="G1034" s="7" t="inlineStr">
        <is>
          <t>USD</t>
        </is>
      </c>
      <c r="H1034" s="11" t="n">
        <v>44776</v>
      </c>
      <c r="I1034" s="11" t="n">
        <v>44797</v>
      </c>
      <c r="J1034" s="11" t="n">
        <v>44851</v>
      </c>
      <c r="K1034" s="11" t="n">
        <v>44851</v>
      </c>
      <c r="L1034" s="7" t="inlineStr">
        <is>
          <t>roll following on the LME panel calendar</t>
        </is>
      </c>
      <c r="N1034" s="7" t="inlineStr">
        <is>
          <t>PROXY</t>
        </is>
      </c>
      <c r="O1034" s="9" t="n">
        <v>-7768.04</v>
      </c>
      <c r="P1034" s="9" t="n">
        <v>-639118.48</v>
      </c>
      <c r="U1034" s="7" t="inlineStr">
        <is>
          <t>PYTHON_LIFECYCLE</t>
        </is>
      </c>
      <c r="V1034" s="8">
        <f>$O1034</f>
        <v/>
      </c>
      <c r="W1034" s="8">
        <f>IF($G1034="INR",1,INDEX(Market_Daily!$F$6:$F$256,MATCH($K1034,Market_Daily!$A$6:$A$256,0)))</f>
        <v/>
      </c>
      <c r="X1034" s="8">
        <f>$V1034*$W1034</f>
        <v/>
      </c>
      <c r="Y1034" s="18">
        <f>$X1034-$P1034</f>
        <v/>
      </c>
      <c r="Z1034" s="8">
        <f>IF(ABS($Y1034)&lt;=tol_cashflow_inr,"PASS","FAIL")</f>
        <v/>
      </c>
      <c r="AA1034" s="7" t="inlineStr">
        <is>
          <t>-bill_usd x (usd_rate_3m_pa@acceptance + usance_interest_spread_pa) x days/360</t>
        </is>
      </c>
    </row>
    <row r="1035">
      <c r="A1035" s="7" t="inlineStr">
        <is>
          <t>T09</t>
        </is>
      </c>
      <c r="B1035" s="7" t="inlineStr">
        <is>
          <t>BILL_COMMISSION:L2</t>
        </is>
      </c>
      <c r="C1035" s="7" t="inlineStr">
        <is>
          <t>L2</t>
        </is>
      </c>
      <c r="D1035" s="7" t="inlineStr">
        <is>
          <t>IMPORT_BILL_COMMISSION</t>
        </is>
      </c>
      <c r="E1035" s="7" t="inlineStr">
        <is>
          <t>IMPORT_BILL_COMMISSION</t>
        </is>
      </c>
      <c r="F1035" s="7" t="inlineStr">
        <is>
          <t>PNL</t>
        </is>
      </c>
      <c r="G1035" s="7" t="inlineStr">
        <is>
          <t>USD</t>
        </is>
      </c>
      <c r="H1035" s="11" t="n">
        <v>44776</v>
      </c>
      <c r="I1035" s="11" t="n">
        <v>44858</v>
      </c>
      <c r="J1035" s="11" t="n">
        <v>44858</v>
      </c>
      <c r="K1035" s="11" t="n">
        <v>44858</v>
      </c>
      <c r="L1035" s="7" t="inlineStr">
        <is>
          <t>roll following on the LME panel calendar</t>
        </is>
      </c>
      <c r="N1035" s="7" t="inlineStr">
        <is>
          <t>DIRECT</t>
        </is>
      </c>
      <c r="O1035" s="9" t="n">
        <v>-1315.44</v>
      </c>
      <c r="P1035" s="9" t="n">
        <v>-108890.15</v>
      </c>
      <c r="U1035" s="7" t="inlineStr">
        <is>
          <t>PYTHON_LIFECYCLE</t>
        </is>
      </c>
      <c r="V1035" s="8">
        <f>$O1035</f>
        <v/>
      </c>
      <c r="W1035" s="8">
        <f>IF($G1035="INR",1,INDEX(Market_Daily!$F$6:$F$256,MATCH($K1035,Market_Daily!$A$6:$A$256,0)))</f>
        <v/>
      </c>
      <c r="X1035" s="8">
        <f>$V1035*$W1035</f>
        <v/>
      </c>
      <c r="Y1035" s="18">
        <f>$X1035-$P1035</f>
        <v/>
      </c>
      <c r="Z1035" s="8">
        <f>IF(ABS($Y1035)&lt;=tol_cashflow_inr,"PASS","FAIL")</f>
        <v/>
      </c>
      <c r="AA1035" s="7" t="inlineStr">
        <is>
          <t>-import_bill_commission_frac x bill_usd</t>
        </is>
      </c>
    </row>
    <row r="1036">
      <c r="A1036" s="7" t="inlineStr">
        <is>
          <t>T09</t>
        </is>
      </c>
      <c r="B1036" s="7" t="inlineStr">
        <is>
          <t>FX:T09-FX-2</t>
        </is>
      </c>
      <c r="C1036" s="7" t="inlineStr">
        <is>
          <t>T09-FX-2</t>
        </is>
      </c>
      <c r="D1036" s="7" t="inlineStr">
        <is>
          <t>FX_FORWARD</t>
        </is>
      </c>
      <c r="E1036" s="7" t="inlineStr">
        <is>
          <t>FX_FORWARD</t>
        </is>
      </c>
      <c r="F1036" s="7" t="inlineStr">
        <is>
          <t>PNL</t>
        </is>
      </c>
      <c r="G1036" s="7" t="inlineStr">
        <is>
          <t>INR</t>
        </is>
      </c>
      <c r="H1036" s="11" t="n">
        <v>44797</v>
      </c>
      <c r="I1036" s="11" t="n">
        <v>44858</v>
      </c>
      <c r="J1036" s="11" t="n">
        <v>44858</v>
      </c>
      <c r="K1036" s="11" t="n">
        <v>44858</v>
      </c>
      <c r="L1036" s="7" t="inlineStr">
        <is>
          <t>roll following on the LME panel calendar</t>
        </is>
      </c>
      <c r="N1036" s="7" t="inlineStr">
        <is>
          <t>PROXY</t>
        </is>
      </c>
      <c r="O1036" s="9" t="n">
        <v>2709999.26</v>
      </c>
      <c r="P1036" s="9" t="n">
        <v>2709999.26</v>
      </c>
      <c r="Q1036" s="6" t="n">
        <v>1</v>
      </c>
      <c r="R1036" s="13" t="n">
        <v>1096200</v>
      </c>
      <c r="S1036" s="12" t="n">
        <v>44858</v>
      </c>
      <c r="T1036" s="21" t="n">
        <v>80.306324</v>
      </c>
      <c r="U1036" s="7" t="inlineStr">
        <is>
          <t>DERIVED_IN_WORKBOOK</t>
        </is>
      </c>
      <c r="V1036" s="8">
        <f>$Q1036*$R1036*(IF($S1036&lt;$K1036,INDEX(Market_Daily!$F$6:$F$256,MATCH($S1036,Market_Daily!$A$6:$A$256,1)),IF($S1036=$K1036,INDEX(Market_Daily!$F$6:$F$256,MATCH($K1036,Market_Daily!$A$6:$A$256,0)),(INDEX(Market_Daily!$F$6:$F$256,MATCH($K1036,Market_Daily!$A$6:$A$256,0))*(1+INDEX(Market_Daily!$I$6:$I$256,MATCH($K1036,Market_Daily!$A$6:$A$256,0))*($S1036-$K1036)/day_count_inr)/(1+INDEX(Market_Daily!$J$6:$J$256,MATCH($K1036,Market_Daily!$A$6:$A$256,0))*($S1036-$K1036)/day_count_usd))))-$T1036)</f>
        <v/>
      </c>
      <c r="W1036" s="8">
        <f>IF($G1036="INR",1,INDEX(Market_Daily!$F$6:$F$256,MATCH($K1036,Market_Daily!$A$6:$A$256,0)))</f>
        <v/>
      </c>
      <c r="X1036" s="8">
        <f>$V1036*$W1036</f>
        <v/>
      </c>
      <c r="Y1036" s="18">
        <f>$X1036-$P1036</f>
        <v/>
      </c>
      <c r="Z1036" s="8">
        <f>IF(ABS($Y1036)&lt;=tol_cashflow_inr,"PASS","FAIL")</f>
        <v/>
      </c>
      <c r="AA1036" s="7" t="inlineStr">
        <is>
          <t>sign x notional x (X(tau, value_date) - K)</t>
        </is>
      </c>
    </row>
    <row r="1037">
      <c r="A1037" s="7" t="inlineStr">
        <is>
          <t>T09</t>
        </is>
      </c>
      <c r="B1037" s="7" t="inlineStr">
        <is>
          <t>PURCHASE:L2</t>
        </is>
      </c>
      <c r="C1037" s="7" t="inlineStr">
        <is>
          <t>L2</t>
        </is>
      </c>
      <c r="D1037" s="7" t="inlineStr">
        <is>
          <t>PURCHASE_INVOICE</t>
        </is>
      </c>
      <c r="E1037" s="7" t="inlineStr">
        <is>
          <t>PURCHASE_INVOICE</t>
        </is>
      </c>
      <c r="F1037" s="7" t="inlineStr">
        <is>
          <t>PNL</t>
        </is>
      </c>
      <c r="G1037" s="7" t="inlineStr">
        <is>
          <t>USD</t>
        </is>
      </c>
      <c r="H1037" s="11" t="n">
        <v>44776</v>
      </c>
      <c r="J1037" s="11" t="n">
        <v>44858</v>
      </c>
      <c r="K1037" s="11" t="n">
        <v>44858</v>
      </c>
      <c r="L1037" s="7" t="inlineStr">
        <is>
          <t>roll following on the LME panel calendar</t>
        </is>
      </c>
      <c r="N1037" s="7" t="inlineStr">
        <is>
          <t>SIM</t>
        </is>
      </c>
      <c r="O1037" s="9" t="n">
        <v>-1096200</v>
      </c>
      <c r="P1037" s="9" t="n">
        <v>-90741791.7</v>
      </c>
      <c r="U1037" s="7" t="inlineStr">
        <is>
          <t>PYTHON_LIFECYCLE</t>
        </is>
      </c>
      <c r="V1037" s="8">
        <f>$O1037</f>
        <v/>
      </c>
      <c r="W1037" s="8">
        <f>IF($G1037="INR",1,INDEX(Market_Daily!$F$6:$F$256,MATCH($K1037,Market_Daily!$A$6:$A$256,0)))</f>
        <v/>
      </c>
      <c r="X1037" s="8">
        <f>$V1037*$W1037</f>
        <v/>
      </c>
      <c r="Y1037" s="18">
        <f>$X1037-$P1037</f>
        <v/>
      </c>
      <c r="Z1037" s="8">
        <f>IF(ABS($Y1037)&lt;=tol_cashflow_inr,"PASS","FAIL")</f>
        <v/>
      </c>
      <c r="AA1037" s="7" t="inlineStr">
        <is>
          <t>-q_bl x price_usd_t</t>
        </is>
      </c>
    </row>
    <row r="1038">
      <c r="A1038" s="7" t="inlineStr">
        <is>
          <t>T09</t>
        </is>
      </c>
      <c r="B1038" s="7" t="inlineStr">
        <is>
          <t>USANCE_INTEREST:L2</t>
        </is>
      </c>
      <c r="C1038" s="7" t="inlineStr">
        <is>
          <t>L2</t>
        </is>
      </c>
      <c r="D1038" s="7" t="inlineStr">
        <is>
          <t>USANCE_INTEREST</t>
        </is>
      </c>
      <c r="E1038" s="7" t="inlineStr">
        <is>
          <t>USANCE_INTEREST</t>
        </is>
      </c>
      <c r="F1038" s="7" t="inlineStr">
        <is>
          <t>PNL</t>
        </is>
      </c>
      <c r="G1038" s="7" t="inlineStr">
        <is>
          <t>USD</t>
        </is>
      </c>
      <c r="H1038" s="11" t="n">
        <v>44776</v>
      </c>
      <c r="I1038" s="11" t="n">
        <v>44804</v>
      </c>
      <c r="J1038" s="11" t="n">
        <v>44858</v>
      </c>
      <c r="K1038" s="11" t="n">
        <v>44858</v>
      </c>
      <c r="L1038" s="7" t="inlineStr">
        <is>
          <t>roll following on the LME panel calendar</t>
        </is>
      </c>
      <c r="N1038" s="7" t="inlineStr">
        <is>
          <t>PROXY</t>
        </is>
      </c>
      <c r="O1038" s="9" t="n">
        <v>-8020.35</v>
      </c>
      <c r="P1038" s="9" t="n">
        <v>-663912.3199999999</v>
      </c>
      <c r="U1038" s="7" t="inlineStr">
        <is>
          <t>PYTHON_LIFECYCLE</t>
        </is>
      </c>
      <c r="V1038" s="8">
        <f>$O1038</f>
        <v/>
      </c>
      <c r="W1038" s="8">
        <f>IF($G1038="INR",1,INDEX(Market_Daily!$F$6:$F$256,MATCH($K1038,Market_Daily!$A$6:$A$256,0)))</f>
        <v/>
      </c>
      <c r="X1038" s="8">
        <f>$V1038*$W1038</f>
        <v/>
      </c>
      <c r="Y1038" s="18">
        <f>$X1038-$P1038</f>
        <v/>
      </c>
      <c r="Z1038" s="8">
        <f>IF(ABS($Y1038)&lt;=tol_cashflow_inr,"PASS","FAIL")</f>
        <v/>
      </c>
      <c r="AA1038" s="7" t="inlineStr">
        <is>
          <t>-bill_usd x (usd_rate_3m_pa@acceptance + usance_interest_spread_pa) x days/360</t>
        </is>
      </c>
    </row>
    <row r="1040">
      <c r="A1040" s="4" t="inlineStr">
        <is>
          <t>2. MCX margin schedule — variation margin, initial margin and charges, derived from Market_Daily (MASTER_SPEC Table 5 row 3.4)</t>
        </is>
      </c>
    </row>
    <row r="1042" ht="30" customHeight="1">
      <c r="A1042" s="5" t="inlineStr">
        <is>
          <t>trade_id</t>
        </is>
      </c>
      <c r="B1042" s="5" t="inlineStr">
        <is>
          <t>hedge_id</t>
        </is>
      </c>
      <c r="C1042" s="5" t="inlineStr">
        <is>
          <t>date</t>
        </is>
      </c>
      <c r="D1042" s="5" t="inlineStr">
        <is>
          <t>contract_month</t>
        </is>
      </c>
      <c r="E1042" s="5" t="inlineStr">
        <is>
          <t>direction</t>
        </is>
      </c>
      <c r="F1042" s="5" t="inlineStr">
        <is>
          <t>action</t>
        </is>
      </c>
      <c r="G1042" s="5" t="inlineStr">
        <is>
          <t>in_window</t>
        </is>
      </c>
      <c r="H1042" s="5" t="inlineStr">
        <is>
          <t>lots_signed</t>
        </is>
      </c>
      <c r="I1042" s="5" t="inlineStr">
        <is>
          <t>lot_mt</t>
        </is>
      </c>
      <c r="J1042" s="5" t="inlineStr">
        <is>
          <t>is_opening</t>
        </is>
      </c>
      <c r="K1042" s="5" t="inlineStr">
        <is>
          <t>is_closing</t>
        </is>
      </c>
      <c r="L1042" s="5" t="inlineStr">
        <is>
          <t>desk_buys</t>
        </is>
      </c>
      <c r="M1042" s="5" t="inlineStr">
        <is>
          <t>settle_inr_kg</t>
        </is>
      </c>
      <c r="N1042" s="5" t="inlineStr">
        <is>
          <t>panel_settle_inr_kg</t>
        </is>
      </c>
      <c r="O1042" s="5" t="inlineStr">
        <is>
          <t>basis_vs_panel_inr_kg</t>
        </is>
      </c>
      <c r="P1042" s="5" t="inlineStr">
        <is>
          <t>prev_settle_inr_kg</t>
        </is>
      </c>
      <c r="Q1042" s="5" t="inlineStr">
        <is>
          <t>fill_inr_kg</t>
        </is>
      </c>
      <c r="R1042" s="5" t="inlineStr">
        <is>
          <t>vm_inr</t>
        </is>
      </c>
      <c r="S1042" s="5" t="inlineStr">
        <is>
          <t>cum_vm_inr</t>
        </is>
      </c>
      <c r="T1042" s="5" t="inlineStr">
        <is>
          <t>contract_value_inr</t>
        </is>
      </c>
      <c r="U1042" s="5" t="inlineStr">
        <is>
          <t>im_required_inr</t>
        </is>
      </c>
      <c r="V1042" s="5" t="inlineStr">
        <is>
          <t>prev_im_required_inr</t>
        </is>
      </c>
      <c r="W1042" s="5" t="inlineStr">
        <is>
          <t>im_change_inr</t>
        </is>
      </c>
      <c r="X1042" s="5" t="inlineStr">
        <is>
          <t>im_stress_012_inr</t>
        </is>
      </c>
      <c r="Y1042" s="5" t="inlineStr">
        <is>
          <t>im_stress_015_inr</t>
        </is>
      </c>
      <c r="Z1042" s="5" t="inlineStr">
        <is>
          <t>slippage_inr</t>
        </is>
      </c>
      <c r="AA1042" s="5" t="inlineStr">
        <is>
          <t>txn_charge_inr</t>
        </is>
      </c>
      <c r="AB1042" s="5" t="inlineStr">
        <is>
          <t>txn_total_inr</t>
        </is>
      </c>
      <c r="AC1042" s="5" t="inlineStr">
        <is>
          <t>net_margin_cash_inr</t>
        </is>
      </c>
      <c r="AD1042" s="5" t="inlineStr">
        <is>
          <t>cum_margin_cash_inr</t>
        </is>
      </c>
      <c r="AE1042" s="5" t="inlineStr">
        <is>
          <t>py_vm_inr</t>
        </is>
      </c>
      <c r="AF1042" s="5" t="inlineStr">
        <is>
          <t>py_im_required_inr</t>
        </is>
      </c>
      <c r="AG1042" s="5" t="inlineStr">
        <is>
          <t>py_txn_cost_inr</t>
        </is>
      </c>
      <c r="AH1042" s="5" t="inlineStr">
        <is>
          <t>py_net_margin_cash_inr</t>
        </is>
      </c>
      <c r="AI1042" s="5" t="inlineStr">
        <is>
          <t>py_funding_on_margin_inr</t>
        </is>
      </c>
      <c r="AJ1042" s="5" t="inlineStr">
        <is>
          <t>diff_vm_inr</t>
        </is>
      </c>
      <c r="AK1042" s="5" t="inlineStr">
        <is>
          <t>diff_im_inr</t>
        </is>
      </c>
      <c r="AL1042" s="5" t="inlineStr">
        <is>
          <t>diff_net_margin_inr</t>
        </is>
      </c>
      <c r="AM1042" s="5" t="inlineStr">
        <is>
          <t>check</t>
        </is>
      </c>
    </row>
    <row r="1043">
      <c r="A1043" s="7" t="inlineStr">
        <is>
          <t>T01</t>
        </is>
      </c>
      <c r="B1043" s="7" t="inlineStr">
        <is>
          <t>T01-MCX-1</t>
        </is>
      </c>
      <c r="C1043" s="11" t="n">
        <v>44629</v>
      </c>
      <c r="D1043" s="7" t="n">
        <v>202204</v>
      </c>
      <c r="E1043" s="7" t="inlineStr">
        <is>
          <t>SELL</t>
        </is>
      </c>
      <c r="F1043" s="7" t="inlineStr">
        <is>
          <t>entry</t>
        </is>
      </c>
      <c r="G1043" s="17" t="b">
        <v>1</v>
      </c>
      <c r="H1043" s="6" t="n">
        <v>-200</v>
      </c>
      <c r="I1043" s="13" t="n">
        <v>5</v>
      </c>
      <c r="J1043" s="8">
        <f>OR($F1043="entry",$F1043="roll_in")</f>
        <v/>
      </c>
      <c r="K1043" s="8">
        <f>OR($F1043="exit",$F1043="roll_out")</f>
        <v/>
      </c>
      <c r="L1043" s="8">
        <f>OR(AND($E1043="SELL",$K1043),AND($E1043="BUY",$J1043))</f>
        <v/>
      </c>
      <c r="M1043" s="16">
        <f>((INDEX(Market_Daily!$B$6:$B$256,MATCH($C1043,Market_Daily!$A$6:$A$256,0))*INDEX(Market_Daily!$F$6:$F$256,MATCH($C1043,Market_Daily!$A$6:$A$256,0))/kg_per_mt*(1+bcd_primary_al_hs7601*(1+sws_rate_on_bcd))+mcx_domestic_premium_inr_kg)*(1+INDEX(Market_Daily!$I$6:$I$256,MATCH($C1043,Market_Daily!$A$6:$A$256,0))*MAX(0,INDEX(mcx_expiries,MATCH($D1043,mcx_months,0))-$C1043)/day_count_inr))</f>
        <v/>
      </c>
      <c r="N1043" s="16">
        <f>IF(INDEX(Market_Daily!$S$6:$S$256,MATCH($C1043,Market_Daily!$A$6:$A$256,0))=$D1043,INDEX(Market_Daily!$M$6:$M$256,MATCH($C1043,Market_Daily!$A$6:$A$256,0)),IF(INDEX(Market_Daily!$T$6:$T$256,MATCH($C1043,Market_Daily!$A$6:$A$256,0))=$D1043,INDEX(Market_Daily!$N$6:$N$256,MATCH($C1043,Market_Daily!$A$6:$A$256,0)),NA()))</f>
        <v/>
      </c>
      <c r="O1043" s="16">
        <f>$N1043-$M1043</f>
        <v/>
      </c>
      <c r="P1043" s="16">
        <f>""</f>
        <v/>
      </c>
      <c r="Q1043" s="16">
        <f>$M1043+IF($L1043,1,-1)*mcx_slippage_ticks*mcx_al_tick_inr_kg</f>
        <v/>
      </c>
      <c r="R1043" s="18">
        <f>0</f>
        <v/>
      </c>
      <c r="S1043" s="18">
        <f>$R1043</f>
        <v/>
      </c>
      <c r="T1043" s="18">
        <f>ABS($H1043)*$I1043*kg_per_mt*$M1043</f>
        <v/>
      </c>
      <c r="U1043" s="18">
        <f>IF($K1043,0,$T1043*mcx_al_margin_used_frac)</f>
        <v/>
      </c>
      <c r="V1043" s="18">
        <f>0</f>
        <v/>
      </c>
      <c r="W1043" s="18">
        <f>$U1043-$V1043</f>
        <v/>
      </c>
      <c r="X1043" s="18">
        <f>IF($K1043,0,$T1043*0.12)</f>
        <v/>
      </c>
      <c r="Y1043" s="18">
        <f>IF($K1043,0,$T1043*0.15)</f>
        <v/>
      </c>
      <c r="Z1043" s="18">
        <f>IF($F1043="hold",0,-ABS($H1043)*$I1043*kg_per_mt*mcx_slippage_ticks*mcx_al_tick_inr_kg)</f>
        <v/>
      </c>
      <c r="AA1043" s="18">
        <f>IF($F1043="hold",0,-ABS($H1043)*$I1043*kg_per_mt*$Q1043*mcx_txn_cost_frac)</f>
        <v/>
      </c>
      <c r="AB1043" s="18">
        <f>$Z1043+$AA1043</f>
        <v/>
      </c>
      <c r="AC1043" s="18">
        <f>$R1043-$W1043+$AB1043</f>
        <v/>
      </c>
      <c r="AD1043" s="18">
        <f>$AC1043</f>
        <v/>
      </c>
      <c r="AE1043" s="23" t="n">
        <v>0</v>
      </c>
      <c r="AF1043" s="23" t="n">
        <v>29440498.35</v>
      </c>
      <c r="AG1043" s="23" t="n">
        <v>-188291.5</v>
      </c>
      <c r="AH1043" s="23" t="n">
        <v>-29628789.84</v>
      </c>
      <c r="AI1043" s="23" t="n">
        <v>0</v>
      </c>
      <c r="AJ1043" s="18">
        <f>$R1043-$AE1043</f>
        <v/>
      </c>
      <c r="AK1043" s="18">
        <f>$U1043-$AF1043</f>
        <v/>
      </c>
      <c r="AL1043" s="18">
        <f>$AC1043-$AH1043</f>
        <v/>
      </c>
      <c r="AM1043" s="8">
        <f>IF(AND(ABS($AJ1043)&lt;=tol_mcx_inr,ABS($AK1043)&lt;=tol_mcx_inr,ABS($AL1043)&lt;=tol_mcx_inr),"PASS","FAIL")</f>
        <v/>
      </c>
    </row>
    <row r="1044">
      <c r="A1044" s="7" t="inlineStr">
        <is>
          <t>T01</t>
        </is>
      </c>
      <c r="B1044" s="7" t="inlineStr">
        <is>
          <t>T01-MCX-1</t>
        </is>
      </c>
      <c r="C1044" s="11" t="n">
        <v>44630</v>
      </c>
      <c r="D1044" s="7" t="n">
        <v>202204</v>
      </c>
      <c r="E1044" s="7" t="inlineStr">
        <is>
          <t>SELL</t>
        </is>
      </c>
      <c r="F1044" s="7" t="inlineStr">
        <is>
          <t>hold</t>
        </is>
      </c>
      <c r="G1044" s="17" t="b">
        <v>1</v>
      </c>
      <c r="H1044" s="6" t="n">
        <v>-200</v>
      </c>
      <c r="I1044" s="13" t="n">
        <v>5</v>
      </c>
      <c r="J1044" s="8">
        <f>OR($F1044="entry",$F1044="roll_in")</f>
        <v/>
      </c>
      <c r="K1044" s="8">
        <f>OR($F1044="exit",$F1044="roll_out")</f>
        <v/>
      </c>
      <c r="L1044" s="8">
        <f>OR(AND($E1044="SELL",$K1044),AND($E1044="BUY",$J1044))</f>
        <v/>
      </c>
      <c r="M1044" s="16">
        <f>((INDEX(Market_Daily!$B$6:$B$256,MATCH($C1044,Market_Daily!$A$6:$A$256,0))*INDEX(Market_Daily!$F$6:$F$256,MATCH($C1044,Market_Daily!$A$6:$A$256,0))/kg_per_mt*(1+bcd_primary_al_hs7601*(1+sws_rate_on_bcd))+mcx_domestic_premium_inr_kg)*(1+INDEX(Market_Daily!$I$6:$I$256,MATCH($C1044,Market_Daily!$A$6:$A$256,0))*MAX(0,INDEX(mcx_expiries,MATCH($D1044,mcx_months,0))-$C1044)/day_count_inr))</f>
        <v/>
      </c>
      <c r="N1044" s="16">
        <f>IF(INDEX(Market_Daily!$S$6:$S$256,MATCH($C1044,Market_Daily!$A$6:$A$256,0))=$D1044,INDEX(Market_Daily!$M$6:$M$256,MATCH($C1044,Market_Daily!$A$6:$A$256,0)),IF(INDEX(Market_Daily!$T$6:$T$256,MATCH($C1044,Market_Daily!$A$6:$A$256,0))=$D1044,INDEX(Market_Daily!$N$6:$N$256,MATCH($C1044,Market_Daily!$A$6:$A$256,0)),NA()))</f>
        <v/>
      </c>
      <c r="O1044" s="16">
        <f>$N1044-$M1044</f>
        <v/>
      </c>
      <c r="P1044" s="16">
        <f>IF(($B1043=$B1044),$M1043,"")</f>
        <v/>
      </c>
      <c r="Q1044" s="16">
        <f>$M1044+IF($L1044,1,-1)*mcx_slippage_ticks*mcx_al_tick_inr_kg</f>
        <v/>
      </c>
      <c r="R1044" s="18">
        <f>IF(($B1043=$B1044),$H1044*$I1044*kg_per_mt*($M1044-$M1043),0)</f>
        <v/>
      </c>
      <c r="S1044" s="18">
        <f>IF(($B1043=$B1044),$S1043,0)+$R1044</f>
        <v/>
      </c>
      <c r="T1044" s="18">
        <f>ABS($H1044)*$I1044*kg_per_mt*$M1044</f>
        <v/>
      </c>
      <c r="U1044" s="18">
        <f>IF($K1044,0,$T1044*mcx_al_margin_used_frac)</f>
        <v/>
      </c>
      <c r="V1044" s="18">
        <f>IF(($B1043=$B1044),$U1043,0)</f>
        <v/>
      </c>
      <c r="W1044" s="18">
        <f>$U1044-$V1044</f>
        <v/>
      </c>
      <c r="X1044" s="18">
        <f>IF($K1044,0,$T1044*0.12)</f>
        <v/>
      </c>
      <c r="Y1044" s="18">
        <f>IF($K1044,0,$T1044*0.15)</f>
        <v/>
      </c>
      <c r="Z1044" s="18">
        <f>IF($F1044="hold",0,-ABS($H1044)*$I1044*kg_per_mt*mcx_slippage_ticks*mcx_al_tick_inr_kg)</f>
        <v/>
      </c>
      <c r="AA1044" s="18">
        <f>IF($F1044="hold",0,-ABS($H1044)*$I1044*kg_per_mt*$Q1044*mcx_txn_cost_frac)</f>
        <v/>
      </c>
      <c r="AB1044" s="18">
        <f>$Z1044+$AA1044</f>
        <v/>
      </c>
      <c r="AC1044" s="18">
        <f>$R1044-$W1044+$AB1044</f>
        <v/>
      </c>
      <c r="AD1044" s="18">
        <f>IF(($B1043=$B1044),$AD1043,0)+$AC1044</f>
        <v/>
      </c>
      <c r="AE1044" s="23" t="n">
        <v>795370.63</v>
      </c>
      <c r="AF1044" s="23" t="n">
        <v>29360961.29</v>
      </c>
      <c r="AG1044" s="23" t="n">
        <v>0</v>
      </c>
      <c r="AH1044" s="23" t="n">
        <v>874907.6899999999</v>
      </c>
      <c r="AI1044" s="23" t="n">
        <v>-7711.6</v>
      </c>
      <c r="AJ1044" s="18">
        <f>$R1044-$AE1044</f>
        <v/>
      </c>
      <c r="AK1044" s="18">
        <f>$U1044-$AF1044</f>
        <v/>
      </c>
      <c r="AL1044" s="18">
        <f>$AC1044-$AH1044</f>
        <v/>
      </c>
      <c r="AM1044" s="8">
        <f>IF(AND(ABS($AJ1044)&lt;=tol_mcx_inr,ABS($AK1044)&lt;=tol_mcx_inr,ABS($AL1044)&lt;=tol_mcx_inr),"PASS","FAIL")</f>
        <v/>
      </c>
    </row>
    <row r="1045">
      <c r="A1045" s="7" t="inlineStr">
        <is>
          <t>T01</t>
        </is>
      </c>
      <c r="B1045" s="7" t="inlineStr">
        <is>
          <t>T01-MCX-1</t>
        </is>
      </c>
      <c r="C1045" s="11" t="n">
        <v>44631</v>
      </c>
      <c r="D1045" s="7" t="n">
        <v>202204</v>
      </c>
      <c r="E1045" s="7" t="inlineStr">
        <is>
          <t>SELL</t>
        </is>
      </c>
      <c r="F1045" s="7" t="inlineStr">
        <is>
          <t>hold</t>
        </is>
      </c>
      <c r="G1045" s="17" t="b">
        <v>1</v>
      </c>
      <c r="H1045" s="6" t="n">
        <v>-200</v>
      </c>
      <c r="I1045" s="13" t="n">
        <v>5</v>
      </c>
      <c r="J1045" s="8">
        <f>OR($F1045="entry",$F1045="roll_in")</f>
        <v/>
      </c>
      <c r="K1045" s="8">
        <f>OR($F1045="exit",$F1045="roll_out")</f>
        <v/>
      </c>
      <c r="L1045" s="8">
        <f>OR(AND($E1045="SELL",$K1045),AND($E1045="BUY",$J1045))</f>
        <v/>
      </c>
      <c r="M1045" s="16">
        <f>((INDEX(Market_Daily!$B$6:$B$256,MATCH($C1045,Market_Daily!$A$6:$A$256,0))*INDEX(Market_Daily!$F$6:$F$256,MATCH($C1045,Market_Daily!$A$6:$A$256,0))/kg_per_mt*(1+bcd_primary_al_hs7601*(1+sws_rate_on_bcd))+mcx_domestic_premium_inr_kg)*(1+INDEX(Market_Daily!$I$6:$I$256,MATCH($C1045,Market_Daily!$A$6:$A$256,0))*MAX(0,INDEX(mcx_expiries,MATCH($D1045,mcx_months,0))-$C1045)/day_count_inr))</f>
        <v/>
      </c>
      <c r="N1045" s="16">
        <f>IF(INDEX(Market_Daily!$S$6:$S$256,MATCH($C1045,Market_Daily!$A$6:$A$256,0))=$D1045,INDEX(Market_Daily!$M$6:$M$256,MATCH($C1045,Market_Daily!$A$6:$A$256,0)),IF(INDEX(Market_Daily!$T$6:$T$256,MATCH($C1045,Market_Daily!$A$6:$A$256,0))=$D1045,INDEX(Market_Daily!$N$6:$N$256,MATCH($C1045,Market_Daily!$A$6:$A$256,0)),NA()))</f>
        <v/>
      </c>
      <c r="O1045" s="16">
        <f>$N1045-$M1045</f>
        <v/>
      </c>
      <c r="P1045" s="16">
        <f>IF(($B1044=$B1045),$M1044,"")</f>
        <v/>
      </c>
      <c r="Q1045" s="16">
        <f>$M1045+IF($L1045,1,-1)*mcx_slippage_ticks*mcx_al_tick_inr_kg</f>
        <v/>
      </c>
      <c r="R1045" s="18">
        <f>IF(($B1044=$B1045),$H1045*$I1045*kg_per_mt*($M1045-$M1044),0)</f>
        <v/>
      </c>
      <c r="S1045" s="18">
        <f>IF(($B1044=$B1045),$S1044,0)+$R1045</f>
        <v/>
      </c>
      <c r="T1045" s="18">
        <f>ABS($H1045)*$I1045*kg_per_mt*$M1045</f>
        <v/>
      </c>
      <c r="U1045" s="18">
        <f>IF($K1045,0,$T1045*mcx_al_margin_used_frac)</f>
        <v/>
      </c>
      <c r="V1045" s="18">
        <f>IF(($B1044=$B1045),$U1044,0)</f>
        <v/>
      </c>
      <c r="W1045" s="18">
        <f>$U1045-$V1045</f>
        <v/>
      </c>
      <c r="X1045" s="18">
        <f>IF($K1045,0,$T1045*0.12)</f>
        <v/>
      </c>
      <c r="Y1045" s="18">
        <f>IF($K1045,0,$T1045*0.15)</f>
        <v/>
      </c>
      <c r="Z1045" s="18">
        <f>IF($F1045="hold",0,-ABS($H1045)*$I1045*kg_per_mt*mcx_slippage_ticks*mcx_al_tick_inr_kg)</f>
        <v/>
      </c>
      <c r="AA1045" s="18">
        <f>IF($F1045="hold",0,-ABS($H1045)*$I1045*kg_per_mt*$Q1045*mcx_txn_cost_frac)</f>
        <v/>
      </c>
      <c r="AB1045" s="18">
        <f>$Z1045+$AA1045</f>
        <v/>
      </c>
      <c r="AC1045" s="18">
        <f>$R1045-$W1045+$AB1045</f>
        <v/>
      </c>
      <c r="AD1045" s="18">
        <f>IF(($B1044=$B1045),$AD1044,0)+$AC1045</f>
        <v/>
      </c>
      <c r="AE1045" s="23" t="n">
        <v>4925779.69</v>
      </c>
      <c r="AF1045" s="23" t="n">
        <v>28868383.32</v>
      </c>
      <c r="AG1045" s="23" t="n">
        <v>0</v>
      </c>
      <c r="AH1045" s="23" t="n">
        <v>5418357.66</v>
      </c>
      <c r="AI1045" s="23" t="n">
        <v>-7483.89</v>
      </c>
      <c r="AJ1045" s="18">
        <f>$R1045-$AE1045</f>
        <v/>
      </c>
      <c r="AK1045" s="18">
        <f>$U1045-$AF1045</f>
        <v/>
      </c>
      <c r="AL1045" s="18">
        <f>$AC1045-$AH1045</f>
        <v/>
      </c>
      <c r="AM1045" s="8">
        <f>IF(AND(ABS($AJ1045)&lt;=tol_mcx_inr,ABS($AK1045)&lt;=tol_mcx_inr,ABS($AL1045)&lt;=tol_mcx_inr),"PASS","FAIL")</f>
        <v/>
      </c>
    </row>
    <row r="1046">
      <c r="A1046" s="7" t="inlineStr">
        <is>
          <t>T01</t>
        </is>
      </c>
      <c r="B1046" s="7" t="inlineStr">
        <is>
          <t>T01-MCX-1</t>
        </is>
      </c>
      <c r="C1046" s="11" t="n">
        <v>44634</v>
      </c>
      <c r="D1046" s="7" t="n">
        <v>202204</v>
      </c>
      <c r="E1046" s="7" t="inlineStr">
        <is>
          <t>SELL</t>
        </is>
      </c>
      <c r="F1046" s="7" t="inlineStr">
        <is>
          <t>hold</t>
        </is>
      </c>
      <c r="G1046" s="17" t="b">
        <v>1</v>
      </c>
      <c r="H1046" s="6" t="n">
        <v>-200</v>
      </c>
      <c r="I1046" s="13" t="n">
        <v>5</v>
      </c>
      <c r="J1046" s="8">
        <f>OR($F1046="entry",$F1046="roll_in")</f>
        <v/>
      </c>
      <c r="K1046" s="8">
        <f>OR($F1046="exit",$F1046="roll_out")</f>
        <v/>
      </c>
      <c r="L1046" s="8">
        <f>OR(AND($E1046="SELL",$K1046),AND($E1046="BUY",$J1046))</f>
        <v/>
      </c>
      <c r="M1046" s="16">
        <f>((INDEX(Market_Daily!$B$6:$B$256,MATCH($C1046,Market_Daily!$A$6:$A$256,0))*INDEX(Market_Daily!$F$6:$F$256,MATCH($C1046,Market_Daily!$A$6:$A$256,0))/kg_per_mt*(1+bcd_primary_al_hs7601*(1+sws_rate_on_bcd))+mcx_domestic_premium_inr_kg)*(1+INDEX(Market_Daily!$I$6:$I$256,MATCH($C1046,Market_Daily!$A$6:$A$256,0))*MAX(0,INDEX(mcx_expiries,MATCH($D1046,mcx_months,0))-$C1046)/day_count_inr))</f>
        <v/>
      </c>
      <c r="N1046" s="16">
        <f>IF(INDEX(Market_Daily!$S$6:$S$256,MATCH($C1046,Market_Daily!$A$6:$A$256,0))=$D1046,INDEX(Market_Daily!$M$6:$M$256,MATCH($C1046,Market_Daily!$A$6:$A$256,0)),IF(INDEX(Market_Daily!$T$6:$T$256,MATCH($C1046,Market_Daily!$A$6:$A$256,0))=$D1046,INDEX(Market_Daily!$N$6:$N$256,MATCH($C1046,Market_Daily!$A$6:$A$256,0)),NA()))</f>
        <v/>
      </c>
      <c r="O1046" s="16">
        <f>$N1046-$M1046</f>
        <v/>
      </c>
      <c r="P1046" s="16">
        <f>IF(($B1045=$B1046),$M1045,"")</f>
        <v/>
      </c>
      <c r="Q1046" s="16">
        <f>$M1046+IF($L1046,1,-1)*mcx_slippage_ticks*mcx_al_tick_inr_kg</f>
        <v/>
      </c>
      <c r="R1046" s="18">
        <f>IF(($B1045=$B1046),$H1046*$I1046*kg_per_mt*($M1046-$M1045),0)</f>
        <v/>
      </c>
      <c r="S1046" s="18">
        <f>IF(($B1045=$B1046),$S1045,0)+$R1046</f>
        <v/>
      </c>
      <c r="T1046" s="18">
        <f>ABS($H1046)*$I1046*kg_per_mt*$M1046</f>
        <v/>
      </c>
      <c r="U1046" s="18">
        <f>IF($K1046,0,$T1046*mcx_al_margin_used_frac)</f>
        <v/>
      </c>
      <c r="V1046" s="18">
        <f>IF(($B1045=$B1046),$U1045,0)</f>
        <v/>
      </c>
      <c r="W1046" s="18">
        <f>$U1046-$V1046</f>
        <v/>
      </c>
      <c r="X1046" s="18">
        <f>IF($K1046,0,$T1046*0.12)</f>
        <v/>
      </c>
      <c r="Y1046" s="18">
        <f>IF($K1046,0,$T1046*0.15)</f>
        <v/>
      </c>
      <c r="Z1046" s="18">
        <f>IF($F1046="hold",0,-ABS($H1046)*$I1046*kg_per_mt*mcx_slippage_ticks*mcx_al_tick_inr_kg)</f>
        <v/>
      </c>
      <c r="AA1046" s="18">
        <f>IF($F1046="hold",0,-ABS($H1046)*$I1046*kg_per_mt*$Q1046*mcx_txn_cost_frac)</f>
        <v/>
      </c>
      <c r="AB1046" s="18">
        <f>$Z1046+$AA1046</f>
        <v/>
      </c>
      <c r="AC1046" s="18">
        <f>$R1046-$W1046+$AB1046</f>
        <v/>
      </c>
      <c r="AD1046" s="18">
        <f>IF(($B1045=$B1046),$AD1045,0)+$AC1046</f>
        <v/>
      </c>
      <c r="AE1046" s="23" t="n">
        <v>5574025.23</v>
      </c>
      <c r="AF1046" s="23" t="n">
        <v>28310980.79</v>
      </c>
      <c r="AG1046" s="23" t="n">
        <v>0</v>
      </c>
      <c r="AH1046" s="23" t="n">
        <v>6131427.76</v>
      </c>
      <c r="AI1046" s="23" t="n">
        <v>-18220.89</v>
      </c>
      <c r="AJ1046" s="18">
        <f>$R1046-$AE1046</f>
        <v/>
      </c>
      <c r="AK1046" s="18">
        <f>$U1046-$AF1046</f>
        <v/>
      </c>
      <c r="AL1046" s="18">
        <f>$AC1046-$AH1046</f>
        <v/>
      </c>
      <c r="AM1046" s="8">
        <f>IF(AND(ABS($AJ1046)&lt;=tol_mcx_inr,ABS($AK1046)&lt;=tol_mcx_inr,ABS($AL1046)&lt;=tol_mcx_inr),"PASS","FAIL")</f>
        <v/>
      </c>
    </row>
    <row r="1047">
      <c r="A1047" s="7" t="inlineStr">
        <is>
          <t>T01</t>
        </is>
      </c>
      <c r="B1047" s="7" t="inlineStr">
        <is>
          <t>T01-MCX-1</t>
        </is>
      </c>
      <c r="C1047" s="11" t="n">
        <v>44635</v>
      </c>
      <c r="D1047" s="7" t="n">
        <v>202204</v>
      </c>
      <c r="E1047" s="7" t="inlineStr">
        <is>
          <t>SELL</t>
        </is>
      </c>
      <c r="F1047" s="7" t="inlineStr">
        <is>
          <t>hold</t>
        </is>
      </c>
      <c r="G1047" s="17" t="b">
        <v>1</v>
      </c>
      <c r="H1047" s="6" t="n">
        <v>-200</v>
      </c>
      <c r="I1047" s="13" t="n">
        <v>5</v>
      </c>
      <c r="J1047" s="8">
        <f>OR($F1047="entry",$F1047="roll_in")</f>
        <v/>
      </c>
      <c r="K1047" s="8">
        <f>OR($F1047="exit",$F1047="roll_out")</f>
        <v/>
      </c>
      <c r="L1047" s="8">
        <f>OR(AND($E1047="SELL",$K1047),AND($E1047="BUY",$J1047))</f>
        <v/>
      </c>
      <c r="M1047" s="16">
        <f>((INDEX(Market_Daily!$B$6:$B$256,MATCH($C1047,Market_Daily!$A$6:$A$256,0))*INDEX(Market_Daily!$F$6:$F$256,MATCH($C1047,Market_Daily!$A$6:$A$256,0))/kg_per_mt*(1+bcd_primary_al_hs7601*(1+sws_rate_on_bcd))+mcx_domestic_premium_inr_kg)*(1+INDEX(Market_Daily!$I$6:$I$256,MATCH($C1047,Market_Daily!$A$6:$A$256,0))*MAX(0,INDEX(mcx_expiries,MATCH($D1047,mcx_months,0))-$C1047)/day_count_inr))</f>
        <v/>
      </c>
      <c r="N1047" s="16">
        <f>IF(INDEX(Market_Daily!$S$6:$S$256,MATCH($C1047,Market_Daily!$A$6:$A$256,0))=$D1047,INDEX(Market_Daily!$M$6:$M$256,MATCH($C1047,Market_Daily!$A$6:$A$256,0)),IF(INDEX(Market_Daily!$T$6:$T$256,MATCH($C1047,Market_Daily!$A$6:$A$256,0))=$D1047,INDEX(Market_Daily!$N$6:$N$256,MATCH($C1047,Market_Daily!$A$6:$A$256,0)),NA()))</f>
        <v/>
      </c>
      <c r="O1047" s="16">
        <f>$N1047-$M1047</f>
        <v/>
      </c>
      <c r="P1047" s="16">
        <f>IF(($B1046=$B1047),$M1046,"")</f>
        <v/>
      </c>
      <c r="Q1047" s="16">
        <f>$M1047+IF($L1047,1,-1)*mcx_slippage_ticks*mcx_al_tick_inr_kg</f>
        <v/>
      </c>
      <c r="R1047" s="18">
        <f>IF(($B1046=$B1047),$H1047*$I1047*kg_per_mt*($M1047-$M1046),0)</f>
        <v/>
      </c>
      <c r="S1047" s="18">
        <f>IF(($B1046=$B1047),$S1046,0)+$R1047</f>
        <v/>
      </c>
      <c r="T1047" s="18">
        <f>ABS($H1047)*$I1047*kg_per_mt*$M1047</f>
        <v/>
      </c>
      <c r="U1047" s="18">
        <f>IF($K1047,0,$T1047*mcx_al_margin_used_frac)</f>
        <v/>
      </c>
      <c r="V1047" s="18">
        <f>IF(($B1046=$B1047),$U1046,0)</f>
        <v/>
      </c>
      <c r="W1047" s="18">
        <f>$U1047-$V1047</f>
        <v/>
      </c>
      <c r="X1047" s="18">
        <f>IF($K1047,0,$T1047*0.12)</f>
        <v/>
      </c>
      <c r="Y1047" s="18">
        <f>IF($K1047,0,$T1047*0.15)</f>
        <v/>
      </c>
      <c r="Z1047" s="18">
        <f>IF($F1047="hold",0,-ABS($H1047)*$I1047*kg_per_mt*mcx_slippage_ticks*mcx_al_tick_inr_kg)</f>
        <v/>
      </c>
      <c r="AA1047" s="18">
        <f>IF($F1047="hold",0,-ABS($H1047)*$I1047*kg_per_mt*$Q1047*mcx_txn_cost_frac)</f>
        <v/>
      </c>
      <c r="AB1047" s="18">
        <f>$Z1047+$AA1047</f>
        <v/>
      </c>
      <c r="AC1047" s="18">
        <f>$R1047-$W1047+$AB1047</f>
        <v/>
      </c>
      <c r="AD1047" s="18">
        <f>IF(($B1046=$B1047),$AD1046,0)+$AC1047</f>
        <v/>
      </c>
      <c r="AE1047" s="23" t="n">
        <v>15822924.77</v>
      </c>
      <c r="AF1047" s="23" t="n">
        <v>26728688.32</v>
      </c>
      <c r="AG1047" s="23" t="n">
        <v>0</v>
      </c>
      <c r="AH1047" s="23" t="n">
        <v>17405217.25</v>
      </c>
      <c r="AI1047" s="23" t="n">
        <v>-4477.78</v>
      </c>
      <c r="AJ1047" s="18">
        <f>$R1047-$AE1047</f>
        <v/>
      </c>
      <c r="AK1047" s="18">
        <f>$U1047-$AF1047</f>
        <v/>
      </c>
      <c r="AL1047" s="18">
        <f>$AC1047-$AH1047</f>
        <v/>
      </c>
      <c r="AM1047" s="8">
        <f>IF(AND(ABS($AJ1047)&lt;=tol_mcx_inr,ABS($AK1047)&lt;=tol_mcx_inr,ABS($AL1047)&lt;=tol_mcx_inr),"PASS","FAIL")</f>
        <v/>
      </c>
    </row>
    <row r="1048">
      <c r="A1048" s="7" t="inlineStr">
        <is>
          <t>T01</t>
        </is>
      </c>
      <c r="B1048" s="7" t="inlineStr">
        <is>
          <t>T01-MCX-1</t>
        </is>
      </c>
      <c r="C1048" s="11" t="n">
        <v>44636</v>
      </c>
      <c r="D1048" s="7" t="n">
        <v>202204</v>
      </c>
      <c r="E1048" s="7" t="inlineStr">
        <is>
          <t>SELL</t>
        </is>
      </c>
      <c r="F1048" s="7" t="inlineStr">
        <is>
          <t>hold</t>
        </is>
      </c>
      <c r="G1048" s="17" t="b">
        <v>1</v>
      </c>
      <c r="H1048" s="6" t="n">
        <v>-200</v>
      </c>
      <c r="I1048" s="13" t="n">
        <v>5</v>
      </c>
      <c r="J1048" s="8">
        <f>OR($F1048="entry",$F1048="roll_in")</f>
        <v/>
      </c>
      <c r="K1048" s="8">
        <f>OR($F1048="exit",$F1048="roll_out")</f>
        <v/>
      </c>
      <c r="L1048" s="8">
        <f>OR(AND($E1048="SELL",$K1048),AND($E1048="BUY",$J1048))</f>
        <v/>
      </c>
      <c r="M1048" s="16">
        <f>((INDEX(Market_Daily!$B$6:$B$256,MATCH($C1048,Market_Daily!$A$6:$A$256,0))*INDEX(Market_Daily!$F$6:$F$256,MATCH($C1048,Market_Daily!$A$6:$A$256,0))/kg_per_mt*(1+bcd_primary_al_hs7601*(1+sws_rate_on_bcd))+mcx_domestic_premium_inr_kg)*(1+INDEX(Market_Daily!$I$6:$I$256,MATCH($C1048,Market_Daily!$A$6:$A$256,0))*MAX(0,INDEX(mcx_expiries,MATCH($D1048,mcx_months,0))-$C1048)/day_count_inr))</f>
        <v/>
      </c>
      <c r="N1048" s="16">
        <f>IF(INDEX(Market_Daily!$S$6:$S$256,MATCH($C1048,Market_Daily!$A$6:$A$256,0))=$D1048,INDEX(Market_Daily!$M$6:$M$256,MATCH($C1048,Market_Daily!$A$6:$A$256,0)),IF(INDEX(Market_Daily!$T$6:$T$256,MATCH($C1048,Market_Daily!$A$6:$A$256,0))=$D1048,INDEX(Market_Daily!$N$6:$N$256,MATCH($C1048,Market_Daily!$A$6:$A$256,0)),NA()))</f>
        <v/>
      </c>
      <c r="O1048" s="16">
        <f>$N1048-$M1048</f>
        <v/>
      </c>
      <c r="P1048" s="16">
        <f>IF(($B1047=$B1048),$M1047,"")</f>
        <v/>
      </c>
      <c r="Q1048" s="16">
        <f>$M1048+IF($L1048,1,-1)*mcx_slippage_ticks*mcx_al_tick_inr_kg</f>
        <v/>
      </c>
      <c r="R1048" s="18">
        <f>IF(($B1047=$B1048),$H1048*$I1048*kg_per_mt*($M1048-$M1047),0)</f>
        <v/>
      </c>
      <c r="S1048" s="18">
        <f>IF(($B1047=$B1048),$S1047,0)+$R1048</f>
        <v/>
      </c>
      <c r="T1048" s="18">
        <f>ABS($H1048)*$I1048*kg_per_mt*$M1048</f>
        <v/>
      </c>
      <c r="U1048" s="18">
        <f>IF($K1048,0,$T1048*mcx_al_margin_used_frac)</f>
        <v/>
      </c>
      <c r="V1048" s="18">
        <f>IF(($B1047=$B1048),$U1047,0)</f>
        <v/>
      </c>
      <c r="W1048" s="18">
        <f>$U1048-$V1048</f>
        <v/>
      </c>
      <c r="X1048" s="18">
        <f>IF($K1048,0,$T1048*0.12)</f>
        <v/>
      </c>
      <c r="Y1048" s="18">
        <f>IF($K1048,0,$T1048*0.15)</f>
        <v/>
      </c>
      <c r="Z1048" s="18">
        <f>IF($F1048="hold",0,-ABS($H1048)*$I1048*kg_per_mt*mcx_slippage_ticks*mcx_al_tick_inr_kg)</f>
        <v/>
      </c>
      <c r="AA1048" s="18">
        <f>IF($F1048="hold",0,-ABS($H1048)*$I1048*kg_per_mt*$Q1048*mcx_txn_cost_frac)</f>
        <v/>
      </c>
      <c r="AB1048" s="18">
        <f>$Z1048+$AA1048</f>
        <v/>
      </c>
      <c r="AC1048" s="18">
        <f>$R1048-$W1048+$AB1048</f>
        <v/>
      </c>
      <c r="AD1048" s="18">
        <f>IF(($B1047=$B1048),$AD1047,0)+$AC1048</f>
        <v/>
      </c>
      <c r="AE1048" s="23" t="n">
        <v>-6676529.02</v>
      </c>
      <c r="AF1048" s="23" t="n">
        <v>27396341.22</v>
      </c>
      <c r="AG1048" s="23" t="n">
        <v>0</v>
      </c>
      <c r="AH1048" s="23" t="n">
        <v>-7344181.92</v>
      </c>
      <c r="AI1048" s="23" t="n">
        <v>52.35</v>
      </c>
      <c r="AJ1048" s="18">
        <f>$R1048-$AE1048</f>
        <v/>
      </c>
      <c r="AK1048" s="18">
        <f>$U1048-$AF1048</f>
        <v/>
      </c>
      <c r="AL1048" s="18">
        <f>$AC1048-$AH1048</f>
        <v/>
      </c>
      <c r="AM1048" s="8">
        <f>IF(AND(ABS($AJ1048)&lt;=tol_mcx_inr,ABS($AK1048)&lt;=tol_mcx_inr,ABS($AL1048)&lt;=tol_mcx_inr),"PASS","FAIL")</f>
        <v/>
      </c>
    </row>
    <row r="1049">
      <c r="A1049" s="7" t="inlineStr">
        <is>
          <t>T01</t>
        </is>
      </c>
      <c r="B1049" s="7" t="inlineStr">
        <is>
          <t>T01-MCX-1</t>
        </is>
      </c>
      <c r="C1049" s="11" t="n">
        <v>44637</v>
      </c>
      <c r="D1049" s="7" t="n">
        <v>202204</v>
      </c>
      <c r="E1049" s="7" t="inlineStr">
        <is>
          <t>SELL</t>
        </is>
      </c>
      <c r="F1049" s="7" t="inlineStr">
        <is>
          <t>hold</t>
        </is>
      </c>
      <c r="G1049" s="17" t="b">
        <v>1</v>
      </c>
      <c r="H1049" s="6" t="n">
        <v>-200</v>
      </c>
      <c r="I1049" s="13" t="n">
        <v>5</v>
      </c>
      <c r="J1049" s="8">
        <f>OR($F1049="entry",$F1049="roll_in")</f>
        <v/>
      </c>
      <c r="K1049" s="8">
        <f>OR($F1049="exit",$F1049="roll_out")</f>
        <v/>
      </c>
      <c r="L1049" s="8">
        <f>OR(AND($E1049="SELL",$K1049),AND($E1049="BUY",$J1049))</f>
        <v/>
      </c>
      <c r="M1049" s="16">
        <f>((INDEX(Market_Daily!$B$6:$B$256,MATCH($C1049,Market_Daily!$A$6:$A$256,0))*INDEX(Market_Daily!$F$6:$F$256,MATCH($C1049,Market_Daily!$A$6:$A$256,0))/kg_per_mt*(1+bcd_primary_al_hs7601*(1+sws_rate_on_bcd))+mcx_domestic_premium_inr_kg)*(1+INDEX(Market_Daily!$I$6:$I$256,MATCH($C1049,Market_Daily!$A$6:$A$256,0))*MAX(0,INDEX(mcx_expiries,MATCH($D1049,mcx_months,0))-$C1049)/day_count_inr))</f>
        <v/>
      </c>
      <c r="N1049" s="16">
        <f>IF(INDEX(Market_Daily!$S$6:$S$256,MATCH($C1049,Market_Daily!$A$6:$A$256,0))=$D1049,INDEX(Market_Daily!$M$6:$M$256,MATCH($C1049,Market_Daily!$A$6:$A$256,0)),IF(INDEX(Market_Daily!$T$6:$T$256,MATCH($C1049,Market_Daily!$A$6:$A$256,0))=$D1049,INDEX(Market_Daily!$N$6:$N$256,MATCH($C1049,Market_Daily!$A$6:$A$256,0)),NA()))</f>
        <v/>
      </c>
      <c r="O1049" s="16">
        <f>$N1049-$M1049</f>
        <v/>
      </c>
      <c r="P1049" s="16">
        <f>IF(($B1048=$B1049),$M1048,"")</f>
        <v/>
      </c>
      <c r="Q1049" s="16">
        <f>$M1049+IF($L1049,1,-1)*mcx_slippage_ticks*mcx_al_tick_inr_kg</f>
        <v/>
      </c>
      <c r="R1049" s="18">
        <f>IF(($B1048=$B1049),$H1049*$I1049*kg_per_mt*($M1049-$M1048),0)</f>
        <v/>
      </c>
      <c r="S1049" s="18">
        <f>IF(($B1048=$B1049),$S1048,0)+$R1049</f>
        <v/>
      </c>
      <c r="T1049" s="18">
        <f>ABS($H1049)*$I1049*kg_per_mt*$M1049</f>
        <v/>
      </c>
      <c r="U1049" s="18">
        <f>IF($K1049,0,$T1049*mcx_al_margin_used_frac)</f>
        <v/>
      </c>
      <c r="V1049" s="18">
        <f>IF(($B1048=$B1049),$U1048,0)</f>
        <v/>
      </c>
      <c r="W1049" s="18">
        <f>$U1049-$V1049</f>
        <v/>
      </c>
      <c r="X1049" s="18">
        <f>IF($K1049,0,$T1049*0.12)</f>
        <v/>
      </c>
      <c r="Y1049" s="18">
        <f>IF($K1049,0,$T1049*0.15)</f>
        <v/>
      </c>
      <c r="Z1049" s="18">
        <f>IF($F1049="hold",0,-ABS($H1049)*$I1049*kg_per_mt*mcx_slippage_ticks*mcx_al_tick_inr_kg)</f>
        <v/>
      </c>
      <c r="AA1049" s="18">
        <f>IF($F1049="hold",0,-ABS($H1049)*$I1049*kg_per_mt*$Q1049*mcx_txn_cost_frac)</f>
        <v/>
      </c>
      <c r="AB1049" s="18">
        <f>$Z1049+$AA1049</f>
        <v/>
      </c>
      <c r="AC1049" s="18">
        <f>$R1049-$W1049+$AB1049</f>
        <v/>
      </c>
      <c r="AD1049" s="18">
        <f>IF(($B1048=$B1049),$AD1048,0)+$AC1049</f>
        <v/>
      </c>
      <c r="AE1049" s="23" t="n">
        <v>2721316.14</v>
      </c>
      <c r="AF1049" s="23" t="n">
        <v>27124209.6</v>
      </c>
      <c r="AG1049" s="23" t="n">
        <v>0</v>
      </c>
      <c r="AH1049" s="23" t="n">
        <v>2993447.75</v>
      </c>
      <c r="AI1049" s="23" t="n">
        <v>-1859.15</v>
      </c>
      <c r="AJ1049" s="18">
        <f>$R1049-$AE1049</f>
        <v/>
      </c>
      <c r="AK1049" s="18">
        <f>$U1049-$AF1049</f>
        <v/>
      </c>
      <c r="AL1049" s="18">
        <f>$AC1049-$AH1049</f>
        <v/>
      </c>
      <c r="AM1049" s="8">
        <f>IF(AND(ABS($AJ1049)&lt;=tol_mcx_inr,ABS($AK1049)&lt;=tol_mcx_inr,ABS($AL1049)&lt;=tol_mcx_inr),"PASS","FAIL")</f>
        <v/>
      </c>
    </row>
    <row r="1050">
      <c r="A1050" s="7" t="inlineStr">
        <is>
          <t>T01</t>
        </is>
      </c>
      <c r="B1050" s="7" t="inlineStr">
        <is>
          <t>T01-MCX-1</t>
        </is>
      </c>
      <c r="C1050" s="11" t="n">
        <v>44638</v>
      </c>
      <c r="D1050" s="7" t="n">
        <v>202204</v>
      </c>
      <c r="E1050" s="7" t="inlineStr">
        <is>
          <t>SELL</t>
        </is>
      </c>
      <c r="F1050" s="7" t="inlineStr">
        <is>
          <t>hold</t>
        </is>
      </c>
      <c r="G1050" s="17" t="b">
        <v>1</v>
      </c>
      <c r="H1050" s="6" t="n">
        <v>-200</v>
      </c>
      <c r="I1050" s="13" t="n">
        <v>5</v>
      </c>
      <c r="J1050" s="8">
        <f>OR($F1050="entry",$F1050="roll_in")</f>
        <v/>
      </c>
      <c r="K1050" s="8">
        <f>OR($F1050="exit",$F1050="roll_out")</f>
        <v/>
      </c>
      <c r="L1050" s="8">
        <f>OR(AND($E1050="SELL",$K1050),AND($E1050="BUY",$J1050))</f>
        <v/>
      </c>
      <c r="M1050" s="16">
        <f>((INDEX(Market_Daily!$B$6:$B$256,MATCH($C1050,Market_Daily!$A$6:$A$256,0))*INDEX(Market_Daily!$F$6:$F$256,MATCH($C1050,Market_Daily!$A$6:$A$256,0))/kg_per_mt*(1+bcd_primary_al_hs7601*(1+sws_rate_on_bcd))+mcx_domestic_premium_inr_kg)*(1+INDEX(Market_Daily!$I$6:$I$256,MATCH($C1050,Market_Daily!$A$6:$A$256,0))*MAX(0,INDEX(mcx_expiries,MATCH($D1050,mcx_months,0))-$C1050)/day_count_inr))</f>
        <v/>
      </c>
      <c r="N1050" s="16">
        <f>IF(INDEX(Market_Daily!$S$6:$S$256,MATCH($C1050,Market_Daily!$A$6:$A$256,0))=$D1050,INDEX(Market_Daily!$M$6:$M$256,MATCH($C1050,Market_Daily!$A$6:$A$256,0)),IF(INDEX(Market_Daily!$T$6:$T$256,MATCH($C1050,Market_Daily!$A$6:$A$256,0))=$D1050,INDEX(Market_Daily!$N$6:$N$256,MATCH($C1050,Market_Daily!$A$6:$A$256,0)),NA()))</f>
        <v/>
      </c>
      <c r="O1050" s="16">
        <f>$N1050-$M1050</f>
        <v/>
      </c>
      <c r="P1050" s="16">
        <f>IF(($B1049=$B1050),$M1049,"")</f>
        <v/>
      </c>
      <c r="Q1050" s="16">
        <f>$M1050+IF($L1050,1,-1)*mcx_slippage_ticks*mcx_al_tick_inr_kg</f>
        <v/>
      </c>
      <c r="R1050" s="18">
        <f>IF(($B1049=$B1050),$H1050*$I1050*kg_per_mt*($M1050-$M1049),0)</f>
        <v/>
      </c>
      <c r="S1050" s="18">
        <f>IF(($B1049=$B1050),$S1049,0)+$R1050</f>
        <v/>
      </c>
      <c r="T1050" s="18">
        <f>ABS($H1050)*$I1050*kg_per_mt*$M1050</f>
        <v/>
      </c>
      <c r="U1050" s="18">
        <f>IF($K1050,0,$T1050*mcx_al_margin_used_frac)</f>
        <v/>
      </c>
      <c r="V1050" s="18">
        <f>IF(($B1049=$B1050),$U1049,0)</f>
        <v/>
      </c>
      <c r="W1050" s="18">
        <f>$U1050-$V1050</f>
        <v/>
      </c>
      <c r="X1050" s="18">
        <f>IF($K1050,0,$T1050*0.12)</f>
        <v/>
      </c>
      <c r="Y1050" s="18">
        <f>IF($K1050,0,$T1050*0.15)</f>
        <v/>
      </c>
      <c r="Z1050" s="18">
        <f>IF($F1050="hold",0,-ABS($H1050)*$I1050*kg_per_mt*mcx_slippage_ticks*mcx_al_tick_inr_kg)</f>
        <v/>
      </c>
      <c r="AA1050" s="18">
        <f>IF($F1050="hold",0,-ABS($H1050)*$I1050*kg_per_mt*$Q1050*mcx_txn_cost_frac)</f>
        <v/>
      </c>
      <c r="AB1050" s="18">
        <f>$Z1050+$AA1050</f>
        <v/>
      </c>
      <c r="AC1050" s="18">
        <f>$R1050-$W1050+$AB1050</f>
        <v/>
      </c>
      <c r="AD1050" s="18">
        <f>IF(($B1049=$B1050),$AD1049,0)+$AC1050</f>
        <v/>
      </c>
      <c r="AE1050" s="23" t="n">
        <v>-8487744.390000001</v>
      </c>
      <c r="AF1050" s="23" t="n">
        <v>27972984.04</v>
      </c>
      <c r="AG1050" s="23" t="n">
        <v>0</v>
      </c>
      <c r="AH1050" s="23" t="n">
        <v>-9336518.83</v>
      </c>
      <c r="AI1050" s="23" t="n">
        <v>-1080.04</v>
      </c>
      <c r="AJ1050" s="18">
        <f>$R1050-$AE1050</f>
        <v/>
      </c>
      <c r="AK1050" s="18">
        <f>$U1050-$AF1050</f>
        <v/>
      </c>
      <c r="AL1050" s="18">
        <f>$AC1050-$AH1050</f>
        <v/>
      </c>
      <c r="AM1050" s="8">
        <f>IF(AND(ABS($AJ1050)&lt;=tol_mcx_inr,ABS($AK1050)&lt;=tol_mcx_inr,ABS($AL1050)&lt;=tol_mcx_inr),"PASS","FAIL")</f>
        <v/>
      </c>
    </row>
    <row r="1051">
      <c r="A1051" s="7" t="inlineStr">
        <is>
          <t>T01</t>
        </is>
      </c>
      <c r="B1051" s="7" t="inlineStr">
        <is>
          <t>T01-MCX-1</t>
        </is>
      </c>
      <c r="C1051" s="11" t="n">
        <v>44641</v>
      </c>
      <c r="D1051" s="7" t="n">
        <v>202204</v>
      </c>
      <c r="E1051" s="7" t="inlineStr">
        <is>
          <t>SELL</t>
        </is>
      </c>
      <c r="F1051" s="7" t="inlineStr">
        <is>
          <t>hold</t>
        </is>
      </c>
      <c r="G1051" s="17" t="b">
        <v>1</v>
      </c>
      <c r="H1051" s="6" t="n">
        <v>-200</v>
      </c>
      <c r="I1051" s="13" t="n">
        <v>5</v>
      </c>
      <c r="J1051" s="8">
        <f>OR($F1051="entry",$F1051="roll_in")</f>
        <v/>
      </c>
      <c r="K1051" s="8">
        <f>OR($F1051="exit",$F1051="roll_out")</f>
        <v/>
      </c>
      <c r="L1051" s="8">
        <f>OR(AND($E1051="SELL",$K1051),AND($E1051="BUY",$J1051))</f>
        <v/>
      </c>
      <c r="M1051" s="16">
        <f>((INDEX(Market_Daily!$B$6:$B$256,MATCH($C1051,Market_Daily!$A$6:$A$256,0))*INDEX(Market_Daily!$F$6:$F$256,MATCH($C1051,Market_Daily!$A$6:$A$256,0))/kg_per_mt*(1+bcd_primary_al_hs7601*(1+sws_rate_on_bcd))+mcx_domestic_premium_inr_kg)*(1+INDEX(Market_Daily!$I$6:$I$256,MATCH($C1051,Market_Daily!$A$6:$A$256,0))*MAX(0,INDEX(mcx_expiries,MATCH($D1051,mcx_months,0))-$C1051)/day_count_inr))</f>
        <v/>
      </c>
      <c r="N1051" s="16">
        <f>IF(INDEX(Market_Daily!$S$6:$S$256,MATCH($C1051,Market_Daily!$A$6:$A$256,0))=$D1051,INDEX(Market_Daily!$M$6:$M$256,MATCH($C1051,Market_Daily!$A$6:$A$256,0)),IF(INDEX(Market_Daily!$T$6:$T$256,MATCH($C1051,Market_Daily!$A$6:$A$256,0))=$D1051,INDEX(Market_Daily!$N$6:$N$256,MATCH($C1051,Market_Daily!$A$6:$A$256,0)),NA()))</f>
        <v/>
      </c>
      <c r="O1051" s="16">
        <f>$N1051-$M1051</f>
        <v/>
      </c>
      <c r="P1051" s="16">
        <f>IF(($B1050=$B1051),$M1050,"")</f>
        <v/>
      </c>
      <c r="Q1051" s="16">
        <f>$M1051+IF($L1051,1,-1)*mcx_slippage_ticks*mcx_al_tick_inr_kg</f>
        <v/>
      </c>
      <c r="R1051" s="18">
        <f>IF(($B1050=$B1051),$H1051*$I1051*kg_per_mt*($M1051-$M1050),0)</f>
        <v/>
      </c>
      <c r="S1051" s="18">
        <f>IF(($B1050=$B1051),$S1050,0)+$R1051</f>
        <v/>
      </c>
      <c r="T1051" s="18">
        <f>ABS($H1051)*$I1051*kg_per_mt*$M1051</f>
        <v/>
      </c>
      <c r="U1051" s="18">
        <f>IF($K1051,0,$T1051*mcx_al_margin_used_frac)</f>
        <v/>
      </c>
      <c r="V1051" s="18">
        <f>IF(($B1050=$B1051),$U1050,0)</f>
        <v/>
      </c>
      <c r="W1051" s="18">
        <f>$U1051-$V1051</f>
        <v/>
      </c>
      <c r="X1051" s="18">
        <f>IF($K1051,0,$T1051*0.12)</f>
        <v/>
      </c>
      <c r="Y1051" s="18">
        <f>IF($K1051,0,$T1051*0.15)</f>
        <v/>
      </c>
      <c r="Z1051" s="18">
        <f>IF($F1051="hold",0,-ABS($H1051)*$I1051*kg_per_mt*mcx_slippage_ticks*mcx_al_tick_inr_kg)</f>
        <v/>
      </c>
      <c r="AA1051" s="18">
        <f>IF($F1051="hold",0,-ABS($H1051)*$I1051*kg_per_mt*$Q1051*mcx_txn_cost_frac)</f>
        <v/>
      </c>
      <c r="AB1051" s="18">
        <f>$Z1051+$AA1051</f>
        <v/>
      </c>
      <c r="AC1051" s="18">
        <f>$R1051-$W1051+$AB1051</f>
        <v/>
      </c>
      <c r="AD1051" s="18">
        <f>IF(($B1050=$B1051),$AD1050,0)+$AC1051</f>
        <v/>
      </c>
      <c r="AE1051" s="23" t="n">
        <v>-11885826.29</v>
      </c>
      <c r="AF1051" s="23" t="n">
        <v>29161566.67</v>
      </c>
      <c r="AG1051" s="23" t="n">
        <v>0</v>
      </c>
      <c r="AH1051" s="23" t="n">
        <v>-13074408.92</v>
      </c>
      <c r="AI1051" s="23" t="n">
        <v>-10530.27</v>
      </c>
      <c r="AJ1051" s="18">
        <f>$R1051-$AE1051</f>
        <v/>
      </c>
      <c r="AK1051" s="18">
        <f>$U1051-$AF1051</f>
        <v/>
      </c>
      <c r="AL1051" s="18">
        <f>$AC1051-$AH1051</f>
        <v/>
      </c>
      <c r="AM1051" s="8">
        <f>IF(AND(ABS($AJ1051)&lt;=tol_mcx_inr,ABS($AK1051)&lt;=tol_mcx_inr,ABS($AL1051)&lt;=tol_mcx_inr),"PASS","FAIL")</f>
        <v/>
      </c>
    </row>
    <row r="1052">
      <c r="A1052" s="7" t="inlineStr">
        <is>
          <t>T01</t>
        </is>
      </c>
      <c r="B1052" s="7" t="inlineStr">
        <is>
          <t>T01-MCX-1</t>
        </is>
      </c>
      <c r="C1052" s="11" t="n">
        <v>44642</v>
      </c>
      <c r="D1052" s="7" t="n">
        <v>202204</v>
      </c>
      <c r="E1052" s="7" t="inlineStr">
        <is>
          <t>SELL</t>
        </is>
      </c>
      <c r="F1052" s="7" t="inlineStr">
        <is>
          <t>hold</t>
        </is>
      </c>
      <c r="G1052" s="17" t="b">
        <v>1</v>
      </c>
      <c r="H1052" s="6" t="n">
        <v>-200</v>
      </c>
      <c r="I1052" s="13" t="n">
        <v>5</v>
      </c>
      <c r="J1052" s="8">
        <f>OR($F1052="entry",$F1052="roll_in")</f>
        <v/>
      </c>
      <c r="K1052" s="8">
        <f>OR($F1052="exit",$F1052="roll_out")</f>
        <v/>
      </c>
      <c r="L1052" s="8">
        <f>OR(AND($E1052="SELL",$K1052),AND($E1052="BUY",$J1052))</f>
        <v/>
      </c>
      <c r="M1052" s="16">
        <f>((INDEX(Market_Daily!$B$6:$B$256,MATCH($C1052,Market_Daily!$A$6:$A$256,0))*INDEX(Market_Daily!$F$6:$F$256,MATCH($C1052,Market_Daily!$A$6:$A$256,0))/kg_per_mt*(1+bcd_primary_al_hs7601*(1+sws_rate_on_bcd))+mcx_domestic_premium_inr_kg)*(1+INDEX(Market_Daily!$I$6:$I$256,MATCH($C1052,Market_Daily!$A$6:$A$256,0))*MAX(0,INDEX(mcx_expiries,MATCH($D1052,mcx_months,0))-$C1052)/day_count_inr))</f>
        <v/>
      </c>
      <c r="N1052" s="16">
        <f>IF(INDEX(Market_Daily!$S$6:$S$256,MATCH($C1052,Market_Daily!$A$6:$A$256,0))=$D1052,INDEX(Market_Daily!$M$6:$M$256,MATCH($C1052,Market_Daily!$A$6:$A$256,0)),IF(INDEX(Market_Daily!$T$6:$T$256,MATCH($C1052,Market_Daily!$A$6:$A$256,0))=$D1052,INDEX(Market_Daily!$N$6:$N$256,MATCH($C1052,Market_Daily!$A$6:$A$256,0)),NA()))</f>
        <v/>
      </c>
      <c r="O1052" s="16">
        <f>$N1052-$M1052</f>
        <v/>
      </c>
      <c r="P1052" s="16">
        <f>IF(($B1051=$B1052),$M1051,"")</f>
        <v/>
      </c>
      <c r="Q1052" s="16">
        <f>$M1052+IF($L1052,1,-1)*mcx_slippage_ticks*mcx_al_tick_inr_kg</f>
        <v/>
      </c>
      <c r="R1052" s="18">
        <f>IF(($B1051=$B1052),$H1052*$I1052*kg_per_mt*($M1052-$M1051),0)</f>
        <v/>
      </c>
      <c r="S1052" s="18">
        <f>IF(($B1051=$B1052),$S1051,0)+$R1052</f>
        <v/>
      </c>
      <c r="T1052" s="18">
        <f>ABS($H1052)*$I1052*kg_per_mt*$M1052</f>
        <v/>
      </c>
      <c r="U1052" s="18">
        <f>IF($K1052,0,$T1052*mcx_al_margin_used_frac)</f>
        <v/>
      </c>
      <c r="V1052" s="18">
        <f>IF(($B1051=$B1052),$U1051,0)</f>
        <v/>
      </c>
      <c r="W1052" s="18">
        <f>$U1052-$V1052</f>
        <v/>
      </c>
      <c r="X1052" s="18">
        <f>IF($K1052,0,$T1052*0.12)</f>
        <v/>
      </c>
      <c r="Y1052" s="18">
        <f>IF($K1052,0,$T1052*0.15)</f>
        <v/>
      </c>
      <c r="Z1052" s="18">
        <f>IF($F1052="hold",0,-ABS($H1052)*$I1052*kg_per_mt*mcx_slippage_ticks*mcx_al_tick_inr_kg)</f>
        <v/>
      </c>
      <c r="AA1052" s="18">
        <f>IF($F1052="hold",0,-ABS($H1052)*$I1052*kg_per_mt*$Q1052*mcx_txn_cost_frac)</f>
        <v/>
      </c>
      <c r="AB1052" s="18">
        <f>$Z1052+$AA1052</f>
        <v/>
      </c>
      <c r="AC1052" s="18">
        <f>$R1052-$W1052+$AB1052</f>
        <v/>
      </c>
      <c r="AD1052" s="18">
        <f>IF(($B1051=$B1052),$AD1051,0)+$AC1052</f>
        <v/>
      </c>
      <c r="AE1052" s="23" t="n">
        <v>-2095672.72</v>
      </c>
      <c r="AF1052" s="23" t="n">
        <v>29371133.94</v>
      </c>
      <c r="AG1052" s="23" t="n">
        <v>0</v>
      </c>
      <c r="AH1052" s="23" t="n">
        <v>-2305239.99</v>
      </c>
      <c r="AI1052" s="23" t="n">
        <v>-6913.02</v>
      </c>
      <c r="AJ1052" s="18">
        <f>$R1052-$AE1052</f>
        <v/>
      </c>
      <c r="AK1052" s="18">
        <f>$U1052-$AF1052</f>
        <v/>
      </c>
      <c r="AL1052" s="18">
        <f>$AC1052-$AH1052</f>
        <v/>
      </c>
      <c r="AM1052" s="8">
        <f>IF(AND(ABS($AJ1052)&lt;=tol_mcx_inr,ABS($AK1052)&lt;=tol_mcx_inr,ABS($AL1052)&lt;=tol_mcx_inr),"PASS","FAIL")</f>
        <v/>
      </c>
    </row>
    <row r="1053">
      <c r="A1053" s="7" t="inlineStr">
        <is>
          <t>T01</t>
        </is>
      </c>
      <c r="B1053" s="7" t="inlineStr">
        <is>
          <t>T01-MCX-1</t>
        </is>
      </c>
      <c r="C1053" s="11" t="n">
        <v>44643</v>
      </c>
      <c r="D1053" s="7" t="n">
        <v>202204</v>
      </c>
      <c r="E1053" s="7" t="inlineStr">
        <is>
          <t>SELL</t>
        </is>
      </c>
      <c r="F1053" s="7" t="inlineStr">
        <is>
          <t>hold</t>
        </is>
      </c>
      <c r="G1053" s="17" t="b">
        <v>1</v>
      </c>
      <c r="H1053" s="6" t="n">
        <v>-200</v>
      </c>
      <c r="I1053" s="13" t="n">
        <v>5</v>
      </c>
      <c r="J1053" s="8">
        <f>OR($F1053="entry",$F1053="roll_in")</f>
        <v/>
      </c>
      <c r="K1053" s="8">
        <f>OR($F1053="exit",$F1053="roll_out")</f>
        <v/>
      </c>
      <c r="L1053" s="8">
        <f>OR(AND($E1053="SELL",$K1053),AND($E1053="BUY",$J1053))</f>
        <v/>
      </c>
      <c r="M1053" s="16">
        <f>((INDEX(Market_Daily!$B$6:$B$256,MATCH($C1053,Market_Daily!$A$6:$A$256,0))*INDEX(Market_Daily!$F$6:$F$256,MATCH($C1053,Market_Daily!$A$6:$A$256,0))/kg_per_mt*(1+bcd_primary_al_hs7601*(1+sws_rate_on_bcd))+mcx_domestic_premium_inr_kg)*(1+INDEX(Market_Daily!$I$6:$I$256,MATCH($C1053,Market_Daily!$A$6:$A$256,0))*MAX(0,INDEX(mcx_expiries,MATCH($D1053,mcx_months,0))-$C1053)/day_count_inr))</f>
        <v/>
      </c>
      <c r="N1053" s="16">
        <f>IF(INDEX(Market_Daily!$S$6:$S$256,MATCH($C1053,Market_Daily!$A$6:$A$256,0))=$D1053,INDEX(Market_Daily!$M$6:$M$256,MATCH($C1053,Market_Daily!$A$6:$A$256,0)),IF(INDEX(Market_Daily!$T$6:$T$256,MATCH($C1053,Market_Daily!$A$6:$A$256,0))=$D1053,INDEX(Market_Daily!$N$6:$N$256,MATCH($C1053,Market_Daily!$A$6:$A$256,0)),NA()))</f>
        <v/>
      </c>
      <c r="O1053" s="16">
        <f>$N1053-$M1053</f>
        <v/>
      </c>
      <c r="P1053" s="16">
        <f>IF(($B1052=$B1053),$M1052,"")</f>
        <v/>
      </c>
      <c r="Q1053" s="16">
        <f>$M1053+IF($L1053,1,-1)*mcx_slippage_ticks*mcx_al_tick_inr_kg</f>
        <v/>
      </c>
      <c r="R1053" s="18">
        <f>IF(($B1052=$B1053),$H1053*$I1053*kg_per_mt*($M1053-$M1052),0)</f>
        <v/>
      </c>
      <c r="S1053" s="18">
        <f>IF(($B1052=$B1053),$S1052,0)+$R1053</f>
        <v/>
      </c>
      <c r="T1053" s="18">
        <f>ABS($H1053)*$I1053*kg_per_mt*$M1053</f>
        <v/>
      </c>
      <c r="U1053" s="18">
        <f>IF($K1053,0,$T1053*mcx_al_margin_used_frac)</f>
        <v/>
      </c>
      <c r="V1053" s="18">
        <f>IF(($B1052=$B1053),$U1052,0)</f>
        <v/>
      </c>
      <c r="W1053" s="18">
        <f>$U1053-$V1053</f>
        <v/>
      </c>
      <c r="X1053" s="18">
        <f>IF($K1053,0,$T1053*0.12)</f>
        <v/>
      </c>
      <c r="Y1053" s="18">
        <f>IF($K1053,0,$T1053*0.15)</f>
        <v/>
      </c>
      <c r="Z1053" s="18">
        <f>IF($F1053="hold",0,-ABS($H1053)*$I1053*kg_per_mt*mcx_slippage_ticks*mcx_al_tick_inr_kg)</f>
        <v/>
      </c>
      <c r="AA1053" s="18">
        <f>IF($F1053="hold",0,-ABS($H1053)*$I1053*kg_per_mt*$Q1053*mcx_txn_cost_frac)</f>
        <v/>
      </c>
      <c r="AB1053" s="18">
        <f>$Z1053+$AA1053</f>
        <v/>
      </c>
      <c r="AC1053" s="18">
        <f>$R1053-$W1053+$AB1053</f>
        <v/>
      </c>
      <c r="AD1053" s="18">
        <f>IF(($B1052=$B1053),$AD1052,0)+$AC1053</f>
        <v/>
      </c>
      <c r="AE1053" s="23" t="n">
        <v>-1987606.28</v>
      </c>
      <c r="AF1053" s="23" t="n">
        <v>29569894.57</v>
      </c>
      <c r="AG1053" s="23" t="n">
        <v>0</v>
      </c>
      <c r="AH1053" s="23" t="n">
        <v>-2186366.91</v>
      </c>
      <c r="AI1053" s="23" t="n">
        <v>-7513.01</v>
      </c>
      <c r="AJ1053" s="18">
        <f>$R1053-$AE1053</f>
        <v/>
      </c>
      <c r="AK1053" s="18">
        <f>$U1053-$AF1053</f>
        <v/>
      </c>
      <c r="AL1053" s="18">
        <f>$AC1053-$AH1053</f>
        <v/>
      </c>
      <c r="AM1053" s="8">
        <f>IF(AND(ABS($AJ1053)&lt;=tol_mcx_inr,ABS($AK1053)&lt;=tol_mcx_inr,ABS($AL1053)&lt;=tol_mcx_inr),"PASS","FAIL")</f>
        <v/>
      </c>
    </row>
    <row r="1054">
      <c r="A1054" s="7" t="inlineStr">
        <is>
          <t>T01</t>
        </is>
      </c>
      <c r="B1054" s="7" t="inlineStr">
        <is>
          <t>T01-MCX-1</t>
        </is>
      </c>
      <c r="C1054" s="11" t="n">
        <v>44644</v>
      </c>
      <c r="D1054" s="7" t="n">
        <v>202204</v>
      </c>
      <c r="E1054" s="7" t="inlineStr">
        <is>
          <t>SELL</t>
        </is>
      </c>
      <c r="F1054" s="7" t="inlineStr">
        <is>
          <t>hold</t>
        </is>
      </c>
      <c r="G1054" s="17" t="b">
        <v>1</v>
      </c>
      <c r="H1054" s="6" t="n">
        <v>-200</v>
      </c>
      <c r="I1054" s="13" t="n">
        <v>5</v>
      </c>
      <c r="J1054" s="8">
        <f>OR($F1054="entry",$F1054="roll_in")</f>
        <v/>
      </c>
      <c r="K1054" s="8">
        <f>OR($F1054="exit",$F1054="roll_out")</f>
        <v/>
      </c>
      <c r="L1054" s="8">
        <f>OR(AND($E1054="SELL",$K1054),AND($E1054="BUY",$J1054))</f>
        <v/>
      </c>
      <c r="M1054" s="16">
        <f>((INDEX(Market_Daily!$B$6:$B$256,MATCH($C1054,Market_Daily!$A$6:$A$256,0))*INDEX(Market_Daily!$F$6:$F$256,MATCH($C1054,Market_Daily!$A$6:$A$256,0))/kg_per_mt*(1+bcd_primary_al_hs7601*(1+sws_rate_on_bcd))+mcx_domestic_premium_inr_kg)*(1+INDEX(Market_Daily!$I$6:$I$256,MATCH($C1054,Market_Daily!$A$6:$A$256,0))*MAX(0,INDEX(mcx_expiries,MATCH($D1054,mcx_months,0))-$C1054)/day_count_inr))</f>
        <v/>
      </c>
      <c r="N1054" s="16">
        <f>IF(INDEX(Market_Daily!$S$6:$S$256,MATCH($C1054,Market_Daily!$A$6:$A$256,0))=$D1054,INDEX(Market_Daily!$M$6:$M$256,MATCH($C1054,Market_Daily!$A$6:$A$256,0)),IF(INDEX(Market_Daily!$T$6:$T$256,MATCH($C1054,Market_Daily!$A$6:$A$256,0))=$D1054,INDEX(Market_Daily!$N$6:$N$256,MATCH($C1054,Market_Daily!$A$6:$A$256,0)),NA()))</f>
        <v/>
      </c>
      <c r="O1054" s="16">
        <f>$N1054-$M1054</f>
        <v/>
      </c>
      <c r="P1054" s="16">
        <f>IF(($B1053=$B1054),$M1053,"")</f>
        <v/>
      </c>
      <c r="Q1054" s="16">
        <f>$M1054+IF($L1054,1,-1)*mcx_slippage_ticks*mcx_al_tick_inr_kg</f>
        <v/>
      </c>
      <c r="R1054" s="18">
        <f>IF(($B1053=$B1054),$H1054*$I1054*kg_per_mt*($M1054-$M1053),0)</f>
        <v/>
      </c>
      <c r="S1054" s="18">
        <f>IF(($B1053=$B1054),$S1053,0)+$R1054</f>
        <v/>
      </c>
      <c r="T1054" s="18">
        <f>ABS($H1054)*$I1054*kg_per_mt*$M1054</f>
        <v/>
      </c>
      <c r="U1054" s="18">
        <f>IF($K1054,0,$T1054*mcx_al_margin_used_frac)</f>
        <v/>
      </c>
      <c r="V1054" s="18">
        <f>IF(($B1053=$B1054),$U1053,0)</f>
        <v/>
      </c>
      <c r="W1054" s="18">
        <f>$U1054-$V1054</f>
        <v/>
      </c>
      <c r="X1054" s="18">
        <f>IF($K1054,0,$T1054*0.12)</f>
        <v/>
      </c>
      <c r="Y1054" s="18">
        <f>IF($K1054,0,$T1054*0.15)</f>
        <v/>
      </c>
      <c r="Z1054" s="18">
        <f>IF($F1054="hold",0,-ABS($H1054)*$I1054*kg_per_mt*mcx_slippage_ticks*mcx_al_tick_inr_kg)</f>
        <v/>
      </c>
      <c r="AA1054" s="18">
        <f>IF($F1054="hold",0,-ABS($H1054)*$I1054*kg_per_mt*$Q1054*mcx_txn_cost_frac)</f>
        <v/>
      </c>
      <c r="AB1054" s="18">
        <f>$Z1054+$AA1054</f>
        <v/>
      </c>
      <c r="AC1054" s="18">
        <f>$R1054-$W1054+$AB1054</f>
        <v/>
      </c>
      <c r="AD1054" s="18">
        <f>IF(($B1053=$B1054),$AD1053,0)+$AC1054</f>
        <v/>
      </c>
      <c r="AE1054" s="23" t="n">
        <v>-8480004.439999999</v>
      </c>
      <c r="AF1054" s="23" t="n">
        <v>30417895.02</v>
      </c>
      <c r="AG1054" s="23" t="n">
        <v>0</v>
      </c>
      <c r="AH1054" s="23" t="n">
        <v>-9328004.880000001</v>
      </c>
      <c r="AI1054" s="23" t="n">
        <v>-8082.07</v>
      </c>
      <c r="AJ1054" s="18">
        <f>$R1054-$AE1054</f>
        <v/>
      </c>
      <c r="AK1054" s="18">
        <f>$U1054-$AF1054</f>
        <v/>
      </c>
      <c r="AL1054" s="18">
        <f>$AC1054-$AH1054</f>
        <v/>
      </c>
      <c r="AM1054" s="8">
        <f>IF(AND(ABS($AJ1054)&lt;=tol_mcx_inr,ABS($AK1054)&lt;=tol_mcx_inr,ABS($AL1054)&lt;=tol_mcx_inr),"PASS","FAIL")</f>
        <v/>
      </c>
    </row>
    <row r="1055">
      <c r="A1055" s="7" t="inlineStr">
        <is>
          <t>T01</t>
        </is>
      </c>
      <c r="B1055" s="7" t="inlineStr">
        <is>
          <t>T01-MCX-1</t>
        </is>
      </c>
      <c r="C1055" s="11" t="n">
        <v>44645</v>
      </c>
      <c r="D1055" s="7" t="n">
        <v>202204</v>
      </c>
      <c r="E1055" s="7" t="inlineStr">
        <is>
          <t>SELL</t>
        </is>
      </c>
      <c r="F1055" s="7" t="inlineStr">
        <is>
          <t>hold</t>
        </is>
      </c>
      <c r="G1055" s="17" t="b">
        <v>1</v>
      </c>
      <c r="H1055" s="6" t="n">
        <v>-200</v>
      </c>
      <c r="I1055" s="13" t="n">
        <v>5</v>
      </c>
      <c r="J1055" s="8">
        <f>OR($F1055="entry",$F1055="roll_in")</f>
        <v/>
      </c>
      <c r="K1055" s="8">
        <f>OR($F1055="exit",$F1055="roll_out")</f>
        <v/>
      </c>
      <c r="L1055" s="8">
        <f>OR(AND($E1055="SELL",$K1055),AND($E1055="BUY",$J1055))</f>
        <v/>
      </c>
      <c r="M1055" s="16">
        <f>((INDEX(Market_Daily!$B$6:$B$256,MATCH($C1055,Market_Daily!$A$6:$A$256,0))*INDEX(Market_Daily!$F$6:$F$256,MATCH($C1055,Market_Daily!$A$6:$A$256,0))/kg_per_mt*(1+bcd_primary_al_hs7601*(1+sws_rate_on_bcd))+mcx_domestic_premium_inr_kg)*(1+INDEX(Market_Daily!$I$6:$I$256,MATCH($C1055,Market_Daily!$A$6:$A$256,0))*MAX(0,INDEX(mcx_expiries,MATCH($D1055,mcx_months,0))-$C1055)/day_count_inr))</f>
        <v/>
      </c>
      <c r="N1055" s="16">
        <f>IF(INDEX(Market_Daily!$S$6:$S$256,MATCH($C1055,Market_Daily!$A$6:$A$256,0))=$D1055,INDEX(Market_Daily!$M$6:$M$256,MATCH($C1055,Market_Daily!$A$6:$A$256,0)),IF(INDEX(Market_Daily!$T$6:$T$256,MATCH($C1055,Market_Daily!$A$6:$A$256,0))=$D1055,INDEX(Market_Daily!$N$6:$N$256,MATCH($C1055,Market_Daily!$A$6:$A$256,0)),NA()))</f>
        <v/>
      </c>
      <c r="O1055" s="16">
        <f>$N1055-$M1055</f>
        <v/>
      </c>
      <c r="P1055" s="16">
        <f>IF(($B1054=$B1055),$M1054,"")</f>
        <v/>
      </c>
      <c r="Q1055" s="16">
        <f>$M1055+IF($L1055,1,-1)*mcx_slippage_ticks*mcx_al_tick_inr_kg</f>
        <v/>
      </c>
      <c r="R1055" s="18">
        <f>IF(($B1054=$B1055),$H1055*$I1055*kg_per_mt*($M1055-$M1054),0)</f>
        <v/>
      </c>
      <c r="S1055" s="18">
        <f>IF(($B1054=$B1055),$S1054,0)+$R1055</f>
        <v/>
      </c>
      <c r="T1055" s="18">
        <f>ABS($H1055)*$I1055*kg_per_mt*$M1055</f>
        <v/>
      </c>
      <c r="U1055" s="18">
        <f>IF($K1055,0,$T1055*mcx_al_margin_used_frac)</f>
        <v/>
      </c>
      <c r="V1055" s="18">
        <f>IF(($B1054=$B1055),$U1054,0)</f>
        <v/>
      </c>
      <c r="W1055" s="18">
        <f>$U1055-$V1055</f>
        <v/>
      </c>
      <c r="X1055" s="18">
        <f>IF($K1055,0,$T1055*0.12)</f>
        <v/>
      </c>
      <c r="Y1055" s="18">
        <f>IF($K1055,0,$T1055*0.15)</f>
        <v/>
      </c>
      <c r="Z1055" s="18">
        <f>IF($F1055="hold",0,-ABS($H1055)*$I1055*kg_per_mt*mcx_slippage_ticks*mcx_al_tick_inr_kg)</f>
        <v/>
      </c>
      <c r="AA1055" s="18">
        <f>IF($F1055="hold",0,-ABS($H1055)*$I1055*kg_per_mt*$Q1055*mcx_txn_cost_frac)</f>
        <v/>
      </c>
      <c r="AB1055" s="18">
        <f>$Z1055+$AA1055</f>
        <v/>
      </c>
      <c r="AC1055" s="18">
        <f>$R1055-$W1055+$AB1055</f>
        <v/>
      </c>
      <c r="AD1055" s="18">
        <f>IF(($B1054=$B1055),$AD1054,0)+$AC1055</f>
        <v/>
      </c>
      <c r="AE1055" s="23" t="n">
        <v>7600264.38</v>
      </c>
      <c r="AF1055" s="23" t="n">
        <v>29657868.58</v>
      </c>
      <c r="AG1055" s="23" t="n">
        <v>0</v>
      </c>
      <c r="AH1055" s="23" t="n">
        <v>8360290.81</v>
      </c>
      <c r="AI1055" s="23" t="n">
        <v>-10509.9</v>
      </c>
      <c r="AJ1055" s="18">
        <f>$R1055-$AE1055</f>
        <v/>
      </c>
      <c r="AK1055" s="18">
        <f>$U1055-$AF1055</f>
        <v/>
      </c>
      <c r="AL1055" s="18">
        <f>$AC1055-$AH1055</f>
        <v/>
      </c>
      <c r="AM1055" s="8">
        <f>IF(AND(ABS($AJ1055)&lt;=tol_mcx_inr,ABS($AK1055)&lt;=tol_mcx_inr,ABS($AL1055)&lt;=tol_mcx_inr),"PASS","FAIL")</f>
        <v/>
      </c>
    </row>
    <row r="1056">
      <c r="A1056" s="7" t="inlineStr">
        <is>
          <t>T01</t>
        </is>
      </c>
      <c r="B1056" s="7" t="inlineStr">
        <is>
          <t>T01-MCX-1</t>
        </is>
      </c>
      <c r="C1056" s="11" t="n">
        <v>44648</v>
      </c>
      <c r="D1056" s="7" t="n">
        <v>202204</v>
      </c>
      <c r="E1056" s="7" t="inlineStr">
        <is>
          <t>SELL</t>
        </is>
      </c>
      <c r="F1056" s="7" t="inlineStr">
        <is>
          <t>hold</t>
        </is>
      </c>
      <c r="G1056" s="17" t="b">
        <v>1</v>
      </c>
      <c r="H1056" s="6" t="n">
        <v>-200</v>
      </c>
      <c r="I1056" s="13" t="n">
        <v>5</v>
      </c>
      <c r="J1056" s="8">
        <f>OR($F1056="entry",$F1056="roll_in")</f>
        <v/>
      </c>
      <c r="K1056" s="8">
        <f>OR($F1056="exit",$F1056="roll_out")</f>
        <v/>
      </c>
      <c r="L1056" s="8">
        <f>OR(AND($E1056="SELL",$K1056),AND($E1056="BUY",$J1056))</f>
        <v/>
      </c>
      <c r="M1056" s="16">
        <f>((INDEX(Market_Daily!$B$6:$B$256,MATCH($C1056,Market_Daily!$A$6:$A$256,0))*INDEX(Market_Daily!$F$6:$F$256,MATCH($C1056,Market_Daily!$A$6:$A$256,0))/kg_per_mt*(1+bcd_primary_al_hs7601*(1+sws_rate_on_bcd))+mcx_domestic_premium_inr_kg)*(1+INDEX(Market_Daily!$I$6:$I$256,MATCH($C1056,Market_Daily!$A$6:$A$256,0))*MAX(0,INDEX(mcx_expiries,MATCH($D1056,mcx_months,0))-$C1056)/day_count_inr))</f>
        <v/>
      </c>
      <c r="N1056" s="16">
        <f>IF(INDEX(Market_Daily!$S$6:$S$256,MATCH($C1056,Market_Daily!$A$6:$A$256,0))=$D1056,INDEX(Market_Daily!$M$6:$M$256,MATCH($C1056,Market_Daily!$A$6:$A$256,0)),IF(INDEX(Market_Daily!$T$6:$T$256,MATCH($C1056,Market_Daily!$A$6:$A$256,0))=$D1056,INDEX(Market_Daily!$N$6:$N$256,MATCH($C1056,Market_Daily!$A$6:$A$256,0)),NA()))</f>
        <v/>
      </c>
      <c r="O1056" s="16">
        <f>$N1056-$M1056</f>
        <v/>
      </c>
      <c r="P1056" s="16">
        <f>IF(($B1055=$B1056),$M1055,"")</f>
        <v/>
      </c>
      <c r="Q1056" s="16">
        <f>$M1056+IF($L1056,1,-1)*mcx_slippage_ticks*mcx_al_tick_inr_kg</f>
        <v/>
      </c>
      <c r="R1056" s="18">
        <f>IF(($B1055=$B1056),$H1056*$I1056*kg_per_mt*($M1056-$M1055),0)</f>
        <v/>
      </c>
      <c r="S1056" s="18">
        <f>IF(($B1055=$B1056),$S1055,0)+$R1056</f>
        <v/>
      </c>
      <c r="T1056" s="18">
        <f>ABS($H1056)*$I1056*kg_per_mt*$M1056</f>
        <v/>
      </c>
      <c r="U1056" s="18">
        <f>IF($K1056,0,$T1056*mcx_al_margin_used_frac)</f>
        <v/>
      </c>
      <c r="V1056" s="18">
        <f>IF(($B1055=$B1056),$U1055,0)</f>
        <v/>
      </c>
      <c r="W1056" s="18">
        <f>$U1056-$V1056</f>
        <v/>
      </c>
      <c r="X1056" s="18">
        <f>IF($K1056,0,$T1056*0.12)</f>
        <v/>
      </c>
      <c r="Y1056" s="18">
        <f>IF($K1056,0,$T1056*0.15)</f>
        <v/>
      </c>
      <c r="Z1056" s="18">
        <f>IF($F1056="hold",0,-ABS($H1056)*$I1056*kg_per_mt*mcx_slippage_ticks*mcx_al_tick_inr_kg)</f>
        <v/>
      </c>
      <c r="AA1056" s="18">
        <f>IF($F1056="hold",0,-ABS($H1056)*$I1056*kg_per_mt*$Q1056*mcx_txn_cost_frac)</f>
        <v/>
      </c>
      <c r="AB1056" s="18">
        <f>$Z1056+$AA1056</f>
        <v/>
      </c>
      <c r="AC1056" s="18">
        <f>$R1056-$W1056+$AB1056</f>
        <v/>
      </c>
      <c r="AD1056" s="18">
        <f>IF(($B1055=$B1056),$AD1055,0)+$AC1056</f>
        <v/>
      </c>
      <c r="AE1056" s="23" t="n">
        <v>-1573285.24</v>
      </c>
      <c r="AF1056" s="23" t="n">
        <v>29815197.1</v>
      </c>
      <c r="AG1056" s="23" t="n">
        <v>0</v>
      </c>
      <c r="AH1056" s="23" t="n">
        <v>-1730613.76</v>
      </c>
      <c r="AI1056" s="23" t="n">
        <v>-25001.81</v>
      </c>
      <c r="AJ1056" s="18">
        <f>$R1056-$AE1056</f>
        <v/>
      </c>
      <c r="AK1056" s="18">
        <f>$U1056-$AF1056</f>
        <v/>
      </c>
      <c r="AL1056" s="18">
        <f>$AC1056-$AH1056</f>
        <v/>
      </c>
      <c r="AM1056" s="8">
        <f>IF(AND(ABS($AJ1056)&lt;=tol_mcx_inr,ABS($AK1056)&lt;=tol_mcx_inr,ABS($AL1056)&lt;=tol_mcx_inr),"PASS","FAIL")</f>
        <v/>
      </c>
    </row>
    <row r="1057">
      <c r="A1057" s="7" t="inlineStr">
        <is>
          <t>T01</t>
        </is>
      </c>
      <c r="B1057" s="7" t="inlineStr">
        <is>
          <t>T01-MCX-1</t>
        </is>
      </c>
      <c r="C1057" s="11" t="n">
        <v>44649</v>
      </c>
      <c r="D1057" s="7" t="n">
        <v>202204</v>
      </c>
      <c r="E1057" s="7" t="inlineStr">
        <is>
          <t>SELL</t>
        </is>
      </c>
      <c r="F1057" s="7" t="inlineStr">
        <is>
          <t>hold</t>
        </is>
      </c>
      <c r="G1057" s="17" t="b">
        <v>1</v>
      </c>
      <c r="H1057" s="6" t="n">
        <v>-200</v>
      </c>
      <c r="I1057" s="13" t="n">
        <v>5</v>
      </c>
      <c r="J1057" s="8">
        <f>OR($F1057="entry",$F1057="roll_in")</f>
        <v/>
      </c>
      <c r="K1057" s="8">
        <f>OR($F1057="exit",$F1057="roll_out")</f>
        <v/>
      </c>
      <c r="L1057" s="8">
        <f>OR(AND($E1057="SELL",$K1057),AND($E1057="BUY",$J1057))</f>
        <v/>
      </c>
      <c r="M1057" s="16">
        <f>((INDEX(Market_Daily!$B$6:$B$256,MATCH($C1057,Market_Daily!$A$6:$A$256,0))*INDEX(Market_Daily!$F$6:$F$256,MATCH($C1057,Market_Daily!$A$6:$A$256,0))/kg_per_mt*(1+bcd_primary_al_hs7601*(1+sws_rate_on_bcd))+mcx_domestic_premium_inr_kg)*(1+INDEX(Market_Daily!$I$6:$I$256,MATCH($C1057,Market_Daily!$A$6:$A$256,0))*MAX(0,INDEX(mcx_expiries,MATCH($D1057,mcx_months,0))-$C1057)/day_count_inr))</f>
        <v/>
      </c>
      <c r="N1057" s="16">
        <f>IF(INDEX(Market_Daily!$S$6:$S$256,MATCH($C1057,Market_Daily!$A$6:$A$256,0))=$D1057,INDEX(Market_Daily!$M$6:$M$256,MATCH($C1057,Market_Daily!$A$6:$A$256,0)),IF(INDEX(Market_Daily!$T$6:$T$256,MATCH($C1057,Market_Daily!$A$6:$A$256,0))=$D1057,INDEX(Market_Daily!$N$6:$N$256,MATCH($C1057,Market_Daily!$A$6:$A$256,0)),NA()))</f>
        <v/>
      </c>
      <c r="O1057" s="16">
        <f>$N1057-$M1057</f>
        <v/>
      </c>
      <c r="P1057" s="16">
        <f>IF(($B1056=$B1057),$M1056,"")</f>
        <v/>
      </c>
      <c r="Q1057" s="16">
        <f>$M1057+IF($L1057,1,-1)*mcx_slippage_ticks*mcx_al_tick_inr_kg</f>
        <v/>
      </c>
      <c r="R1057" s="18">
        <f>IF(($B1056=$B1057),$H1057*$I1057*kg_per_mt*($M1057-$M1056),0)</f>
        <v/>
      </c>
      <c r="S1057" s="18">
        <f>IF(($B1056=$B1057),$S1056,0)+$R1057</f>
        <v/>
      </c>
      <c r="T1057" s="18">
        <f>ABS($H1057)*$I1057*kg_per_mt*$M1057</f>
        <v/>
      </c>
      <c r="U1057" s="18">
        <f>IF($K1057,0,$T1057*mcx_al_margin_used_frac)</f>
        <v/>
      </c>
      <c r="V1057" s="18">
        <f>IF(($B1056=$B1057),$U1056,0)</f>
        <v/>
      </c>
      <c r="W1057" s="18">
        <f>$U1057-$V1057</f>
        <v/>
      </c>
      <c r="X1057" s="18">
        <f>IF($K1057,0,$T1057*0.12)</f>
        <v/>
      </c>
      <c r="Y1057" s="18">
        <f>IF($K1057,0,$T1057*0.15)</f>
        <v/>
      </c>
      <c r="Z1057" s="18">
        <f>IF($F1057="hold",0,-ABS($H1057)*$I1057*kg_per_mt*mcx_slippage_ticks*mcx_al_tick_inr_kg)</f>
        <v/>
      </c>
      <c r="AA1057" s="18">
        <f>IF($F1057="hold",0,-ABS($H1057)*$I1057*kg_per_mt*$Q1057*mcx_txn_cost_frac)</f>
        <v/>
      </c>
      <c r="AB1057" s="18">
        <f>$Z1057+$AA1057</f>
        <v/>
      </c>
      <c r="AC1057" s="18">
        <f>$R1057-$W1057+$AB1057</f>
        <v/>
      </c>
      <c r="AD1057" s="18">
        <f>IF(($B1056=$B1057),$AD1056,0)+$AC1057</f>
        <v/>
      </c>
      <c r="AE1057" s="23" t="n">
        <v>3406196.81</v>
      </c>
      <c r="AF1057" s="23" t="n">
        <v>29474577.42</v>
      </c>
      <c r="AG1057" s="23" t="n">
        <v>0</v>
      </c>
      <c r="AH1057" s="23" t="n">
        <v>3746816.49</v>
      </c>
      <c r="AI1057" s="23" t="n">
        <v>-8784.370000000001</v>
      </c>
      <c r="AJ1057" s="18">
        <f>$R1057-$AE1057</f>
        <v/>
      </c>
      <c r="AK1057" s="18">
        <f>$U1057-$AF1057</f>
        <v/>
      </c>
      <c r="AL1057" s="18">
        <f>$AC1057-$AH1057</f>
        <v/>
      </c>
      <c r="AM1057" s="8">
        <f>IF(AND(ABS($AJ1057)&lt;=tol_mcx_inr,ABS($AK1057)&lt;=tol_mcx_inr,ABS($AL1057)&lt;=tol_mcx_inr),"PASS","FAIL")</f>
        <v/>
      </c>
    </row>
    <row r="1058">
      <c r="A1058" s="7" t="inlineStr">
        <is>
          <t>T01</t>
        </is>
      </c>
      <c r="B1058" s="7" t="inlineStr">
        <is>
          <t>T01-MCX-1</t>
        </is>
      </c>
      <c r="C1058" s="11" t="n">
        <v>44650</v>
      </c>
      <c r="D1058" s="7" t="n">
        <v>202204</v>
      </c>
      <c r="E1058" s="7" t="inlineStr">
        <is>
          <t>SELL</t>
        </is>
      </c>
      <c r="F1058" s="7" t="inlineStr">
        <is>
          <t>hold</t>
        </is>
      </c>
      <c r="G1058" s="17" t="b">
        <v>1</v>
      </c>
      <c r="H1058" s="6" t="n">
        <v>-200</v>
      </c>
      <c r="I1058" s="13" t="n">
        <v>5</v>
      </c>
      <c r="J1058" s="8">
        <f>OR($F1058="entry",$F1058="roll_in")</f>
        <v/>
      </c>
      <c r="K1058" s="8">
        <f>OR($F1058="exit",$F1058="roll_out")</f>
        <v/>
      </c>
      <c r="L1058" s="8">
        <f>OR(AND($E1058="SELL",$K1058),AND($E1058="BUY",$J1058))</f>
        <v/>
      </c>
      <c r="M1058" s="16">
        <f>((INDEX(Market_Daily!$B$6:$B$256,MATCH($C1058,Market_Daily!$A$6:$A$256,0))*INDEX(Market_Daily!$F$6:$F$256,MATCH($C1058,Market_Daily!$A$6:$A$256,0))/kg_per_mt*(1+bcd_primary_al_hs7601*(1+sws_rate_on_bcd))+mcx_domestic_premium_inr_kg)*(1+INDEX(Market_Daily!$I$6:$I$256,MATCH($C1058,Market_Daily!$A$6:$A$256,0))*MAX(0,INDEX(mcx_expiries,MATCH($D1058,mcx_months,0))-$C1058)/day_count_inr))</f>
        <v/>
      </c>
      <c r="N1058" s="16">
        <f>IF(INDEX(Market_Daily!$S$6:$S$256,MATCH($C1058,Market_Daily!$A$6:$A$256,0))=$D1058,INDEX(Market_Daily!$M$6:$M$256,MATCH($C1058,Market_Daily!$A$6:$A$256,0)),IF(INDEX(Market_Daily!$T$6:$T$256,MATCH($C1058,Market_Daily!$A$6:$A$256,0))=$D1058,INDEX(Market_Daily!$N$6:$N$256,MATCH($C1058,Market_Daily!$A$6:$A$256,0)),NA()))</f>
        <v/>
      </c>
      <c r="O1058" s="16">
        <f>$N1058-$M1058</f>
        <v/>
      </c>
      <c r="P1058" s="16">
        <f>IF(($B1057=$B1058),$M1057,"")</f>
        <v/>
      </c>
      <c r="Q1058" s="16">
        <f>$M1058+IF($L1058,1,-1)*mcx_slippage_ticks*mcx_al_tick_inr_kg</f>
        <v/>
      </c>
      <c r="R1058" s="18">
        <f>IF(($B1057=$B1058),$H1058*$I1058*kg_per_mt*($M1058-$M1057),0)</f>
        <v/>
      </c>
      <c r="S1058" s="18">
        <f>IF(($B1057=$B1058),$S1057,0)+$R1058</f>
        <v/>
      </c>
      <c r="T1058" s="18">
        <f>ABS($H1058)*$I1058*kg_per_mt*$M1058</f>
        <v/>
      </c>
      <c r="U1058" s="18">
        <f>IF($K1058,0,$T1058*mcx_al_margin_used_frac)</f>
        <v/>
      </c>
      <c r="V1058" s="18">
        <f>IF(($B1057=$B1058),$U1057,0)</f>
        <v/>
      </c>
      <c r="W1058" s="18">
        <f>$U1058-$V1058</f>
        <v/>
      </c>
      <c r="X1058" s="18">
        <f>IF($K1058,0,$T1058*0.12)</f>
        <v/>
      </c>
      <c r="Y1058" s="18">
        <f>IF($K1058,0,$T1058*0.15)</f>
        <v/>
      </c>
      <c r="Z1058" s="18">
        <f>IF($F1058="hold",0,-ABS($H1058)*$I1058*kg_per_mt*mcx_slippage_ticks*mcx_al_tick_inr_kg)</f>
        <v/>
      </c>
      <c r="AA1058" s="18">
        <f>IF($F1058="hold",0,-ABS($H1058)*$I1058*kg_per_mt*$Q1058*mcx_txn_cost_frac)</f>
        <v/>
      </c>
      <c r="AB1058" s="18">
        <f>$Z1058+$AA1058</f>
        <v/>
      </c>
      <c r="AC1058" s="18">
        <f>$R1058-$W1058+$AB1058</f>
        <v/>
      </c>
      <c r="AD1058" s="18">
        <f>IF(($B1057=$B1058),$AD1057,0)+$AC1058</f>
        <v/>
      </c>
      <c r="AE1058" s="23" t="n">
        <v>5853964.62</v>
      </c>
      <c r="AF1058" s="23" t="n">
        <v>28889180.96</v>
      </c>
      <c r="AG1058" s="23" t="n">
        <v>0</v>
      </c>
      <c r="AH1058" s="23" t="n">
        <v>6439361.08</v>
      </c>
      <c r="AI1058" s="23" t="n">
        <v>-7809.17</v>
      </c>
      <c r="AJ1058" s="18">
        <f>$R1058-$AE1058</f>
        <v/>
      </c>
      <c r="AK1058" s="18">
        <f>$U1058-$AF1058</f>
        <v/>
      </c>
      <c r="AL1058" s="18">
        <f>$AC1058-$AH1058</f>
        <v/>
      </c>
      <c r="AM1058" s="8">
        <f>IF(AND(ABS($AJ1058)&lt;=tol_mcx_inr,ABS($AK1058)&lt;=tol_mcx_inr,ABS($AL1058)&lt;=tol_mcx_inr),"PASS","FAIL")</f>
        <v/>
      </c>
    </row>
    <row r="1059">
      <c r="A1059" s="7" t="inlineStr">
        <is>
          <t>T01</t>
        </is>
      </c>
      <c r="B1059" s="7" t="inlineStr">
        <is>
          <t>T01-MCX-1</t>
        </is>
      </c>
      <c r="C1059" s="11" t="n">
        <v>44651</v>
      </c>
      <c r="D1059" s="7" t="n">
        <v>202204</v>
      </c>
      <c r="E1059" s="7" t="inlineStr">
        <is>
          <t>SELL</t>
        </is>
      </c>
      <c r="F1059" s="7" t="inlineStr">
        <is>
          <t>hold</t>
        </is>
      </c>
      <c r="G1059" s="17" t="b">
        <v>1</v>
      </c>
      <c r="H1059" s="6" t="n">
        <v>-200</v>
      </c>
      <c r="I1059" s="13" t="n">
        <v>5</v>
      </c>
      <c r="J1059" s="8">
        <f>OR($F1059="entry",$F1059="roll_in")</f>
        <v/>
      </c>
      <c r="K1059" s="8">
        <f>OR($F1059="exit",$F1059="roll_out")</f>
        <v/>
      </c>
      <c r="L1059" s="8">
        <f>OR(AND($E1059="SELL",$K1059),AND($E1059="BUY",$J1059))</f>
        <v/>
      </c>
      <c r="M1059" s="16">
        <f>((INDEX(Market_Daily!$B$6:$B$256,MATCH($C1059,Market_Daily!$A$6:$A$256,0))*INDEX(Market_Daily!$F$6:$F$256,MATCH($C1059,Market_Daily!$A$6:$A$256,0))/kg_per_mt*(1+bcd_primary_al_hs7601*(1+sws_rate_on_bcd))+mcx_domestic_premium_inr_kg)*(1+INDEX(Market_Daily!$I$6:$I$256,MATCH($C1059,Market_Daily!$A$6:$A$256,0))*MAX(0,INDEX(mcx_expiries,MATCH($D1059,mcx_months,0))-$C1059)/day_count_inr))</f>
        <v/>
      </c>
      <c r="N1059" s="16">
        <f>IF(INDEX(Market_Daily!$S$6:$S$256,MATCH($C1059,Market_Daily!$A$6:$A$256,0))=$D1059,INDEX(Market_Daily!$M$6:$M$256,MATCH($C1059,Market_Daily!$A$6:$A$256,0)),IF(INDEX(Market_Daily!$T$6:$T$256,MATCH($C1059,Market_Daily!$A$6:$A$256,0))=$D1059,INDEX(Market_Daily!$N$6:$N$256,MATCH($C1059,Market_Daily!$A$6:$A$256,0)),NA()))</f>
        <v/>
      </c>
      <c r="O1059" s="16">
        <f>$N1059-$M1059</f>
        <v/>
      </c>
      <c r="P1059" s="16">
        <f>IF(($B1058=$B1059),$M1058,"")</f>
        <v/>
      </c>
      <c r="Q1059" s="16">
        <f>$M1059+IF($L1059,1,-1)*mcx_slippage_ticks*mcx_al_tick_inr_kg</f>
        <v/>
      </c>
      <c r="R1059" s="18">
        <f>IF(($B1058=$B1059),$H1059*$I1059*kg_per_mt*($M1059-$M1058),0)</f>
        <v/>
      </c>
      <c r="S1059" s="18">
        <f>IF(($B1058=$B1059),$S1058,0)+$R1059</f>
        <v/>
      </c>
      <c r="T1059" s="18">
        <f>ABS($H1059)*$I1059*kg_per_mt*$M1059</f>
        <v/>
      </c>
      <c r="U1059" s="18">
        <f>IF($K1059,0,$T1059*mcx_al_margin_used_frac)</f>
        <v/>
      </c>
      <c r="V1059" s="18">
        <f>IF(($B1058=$B1059),$U1058,0)</f>
        <v/>
      </c>
      <c r="W1059" s="18">
        <f>$U1059-$V1059</f>
        <v/>
      </c>
      <c r="X1059" s="18">
        <f>IF($K1059,0,$T1059*0.12)</f>
        <v/>
      </c>
      <c r="Y1059" s="18">
        <f>IF($K1059,0,$T1059*0.15)</f>
        <v/>
      </c>
      <c r="Z1059" s="18">
        <f>IF($F1059="hold",0,-ABS($H1059)*$I1059*kg_per_mt*mcx_slippage_ticks*mcx_al_tick_inr_kg)</f>
        <v/>
      </c>
      <c r="AA1059" s="18">
        <f>IF($F1059="hold",0,-ABS($H1059)*$I1059*kg_per_mt*$Q1059*mcx_txn_cost_frac)</f>
        <v/>
      </c>
      <c r="AB1059" s="18">
        <f>$Z1059+$AA1059</f>
        <v/>
      </c>
      <c r="AC1059" s="18">
        <f>$R1059-$W1059+$AB1059</f>
        <v/>
      </c>
      <c r="AD1059" s="18">
        <f>IF(($B1058=$B1059),$AD1058,0)+$AC1059</f>
        <v/>
      </c>
      <c r="AE1059" s="23" t="n">
        <v>634754.76</v>
      </c>
      <c r="AF1059" s="23" t="n">
        <v>28825705.48</v>
      </c>
      <c r="AG1059" s="23" t="n">
        <v>0</v>
      </c>
      <c r="AH1059" s="23" t="n">
        <v>698230.23</v>
      </c>
      <c r="AI1059" s="23" t="n">
        <v>-6133.17</v>
      </c>
      <c r="AJ1059" s="18">
        <f>$R1059-$AE1059</f>
        <v/>
      </c>
      <c r="AK1059" s="18">
        <f>$U1059-$AF1059</f>
        <v/>
      </c>
      <c r="AL1059" s="18">
        <f>$AC1059-$AH1059</f>
        <v/>
      </c>
      <c r="AM1059" s="8">
        <f>IF(AND(ABS($AJ1059)&lt;=tol_mcx_inr,ABS($AK1059)&lt;=tol_mcx_inr,ABS($AL1059)&lt;=tol_mcx_inr),"PASS","FAIL")</f>
        <v/>
      </c>
    </row>
    <row r="1060">
      <c r="A1060" s="7" t="inlineStr">
        <is>
          <t>T01</t>
        </is>
      </c>
      <c r="B1060" s="7" t="inlineStr">
        <is>
          <t>T01-MCX-1</t>
        </is>
      </c>
      <c r="C1060" s="11" t="n">
        <v>44652</v>
      </c>
      <c r="D1060" s="7" t="n">
        <v>202204</v>
      </c>
      <c r="E1060" s="7" t="inlineStr">
        <is>
          <t>SELL</t>
        </is>
      </c>
      <c r="F1060" s="7" t="inlineStr">
        <is>
          <t>hold</t>
        </is>
      </c>
      <c r="G1060" s="17" t="b">
        <v>1</v>
      </c>
      <c r="H1060" s="6" t="n">
        <v>-200</v>
      </c>
      <c r="I1060" s="13" t="n">
        <v>5</v>
      </c>
      <c r="J1060" s="8">
        <f>OR($F1060="entry",$F1060="roll_in")</f>
        <v/>
      </c>
      <c r="K1060" s="8">
        <f>OR($F1060="exit",$F1060="roll_out")</f>
        <v/>
      </c>
      <c r="L1060" s="8">
        <f>OR(AND($E1060="SELL",$K1060),AND($E1060="BUY",$J1060))</f>
        <v/>
      </c>
      <c r="M1060" s="16">
        <f>((INDEX(Market_Daily!$B$6:$B$256,MATCH($C1060,Market_Daily!$A$6:$A$256,0))*INDEX(Market_Daily!$F$6:$F$256,MATCH($C1060,Market_Daily!$A$6:$A$256,0))/kg_per_mt*(1+bcd_primary_al_hs7601*(1+sws_rate_on_bcd))+mcx_domestic_premium_inr_kg)*(1+INDEX(Market_Daily!$I$6:$I$256,MATCH($C1060,Market_Daily!$A$6:$A$256,0))*MAX(0,INDEX(mcx_expiries,MATCH($D1060,mcx_months,0))-$C1060)/day_count_inr))</f>
        <v/>
      </c>
      <c r="N1060" s="16">
        <f>IF(INDEX(Market_Daily!$S$6:$S$256,MATCH($C1060,Market_Daily!$A$6:$A$256,0))=$D1060,INDEX(Market_Daily!$M$6:$M$256,MATCH($C1060,Market_Daily!$A$6:$A$256,0)),IF(INDEX(Market_Daily!$T$6:$T$256,MATCH($C1060,Market_Daily!$A$6:$A$256,0))=$D1060,INDEX(Market_Daily!$N$6:$N$256,MATCH($C1060,Market_Daily!$A$6:$A$256,0)),NA()))</f>
        <v/>
      </c>
      <c r="O1060" s="16">
        <f>$N1060-$M1060</f>
        <v/>
      </c>
      <c r="P1060" s="16">
        <f>IF(($B1059=$B1060),$M1059,"")</f>
        <v/>
      </c>
      <c r="Q1060" s="16">
        <f>$M1060+IF($L1060,1,-1)*mcx_slippage_ticks*mcx_al_tick_inr_kg</f>
        <v/>
      </c>
      <c r="R1060" s="18">
        <f>IF(($B1059=$B1060),$H1060*$I1060*kg_per_mt*($M1060-$M1059),0)</f>
        <v/>
      </c>
      <c r="S1060" s="18">
        <f>IF(($B1059=$B1060),$S1059,0)+$R1060</f>
        <v/>
      </c>
      <c r="T1060" s="18">
        <f>ABS($H1060)*$I1060*kg_per_mt*$M1060</f>
        <v/>
      </c>
      <c r="U1060" s="18">
        <f>IF($K1060,0,$T1060*mcx_al_margin_used_frac)</f>
        <v/>
      </c>
      <c r="V1060" s="18">
        <f>IF(($B1059=$B1060),$U1059,0)</f>
        <v/>
      </c>
      <c r="W1060" s="18">
        <f>$U1060-$V1060</f>
        <v/>
      </c>
      <c r="X1060" s="18">
        <f>IF($K1060,0,$T1060*0.12)</f>
        <v/>
      </c>
      <c r="Y1060" s="18">
        <f>IF($K1060,0,$T1060*0.15)</f>
        <v/>
      </c>
      <c r="Z1060" s="18">
        <f>IF($F1060="hold",0,-ABS($H1060)*$I1060*kg_per_mt*mcx_slippage_ticks*mcx_al_tick_inr_kg)</f>
        <v/>
      </c>
      <c r="AA1060" s="18">
        <f>IF($F1060="hold",0,-ABS($H1060)*$I1060*kg_per_mt*$Q1060*mcx_txn_cost_frac)</f>
        <v/>
      </c>
      <c r="AB1060" s="18">
        <f>$Z1060+$AA1060</f>
        <v/>
      </c>
      <c r="AC1060" s="18">
        <f>$R1060-$W1060+$AB1060</f>
        <v/>
      </c>
      <c r="AD1060" s="18">
        <f>IF(($B1059=$B1060),$AD1059,0)+$AC1060</f>
        <v/>
      </c>
      <c r="AE1060" s="23" t="n">
        <v>883681.63</v>
      </c>
      <c r="AF1060" s="23" t="n">
        <v>28737337.32</v>
      </c>
      <c r="AG1060" s="23" t="n">
        <v>0</v>
      </c>
      <c r="AH1060" s="23" t="n">
        <v>972049.79</v>
      </c>
      <c r="AI1060" s="23" t="n">
        <v>-5951.44</v>
      </c>
      <c r="AJ1060" s="18">
        <f>$R1060-$AE1060</f>
        <v/>
      </c>
      <c r="AK1060" s="18">
        <f>$U1060-$AF1060</f>
        <v/>
      </c>
      <c r="AL1060" s="18">
        <f>$AC1060-$AH1060</f>
        <v/>
      </c>
      <c r="AM1060" s="8">
        <f>IF(AND(ABS($AJ1060)&lt;=tol_mcx_inr,ABS($AK1060)&lt;=tol_mcx_inr,ABS($AL1060)&lt;=tol_mcx_inr),"PASS","FAIL")</f>
        <v/>
      </c>
    </row>
    <row r="1061">
      <c r="A1061" s="7" t="inlineStr">
        <is>
          <t>T01</t>
        </is>
      </c>
      <c r="B1061" s="7" t="inlineStr">
        <is>
          <t>T01-MCX-1</t>
        </is>
      </c>
      <c r="C1061" s="11" t="n">
        <v>44655</v>
      </c>
      <c r="D1061" s="7" t="n">
        <v>202204</v>
      </c>
      <c r="E1061" s="7" t="inlineStr">
        <is>
          <t>SELL</t>
        </is>
      </c>
      <c r="F1061" s="7" t="inlineStr">
        <is>
          <t>hold</t>
        </is>
      </c>
      <c r="G1061" s="17" t="b">
        <v>1</v>
      </c>
      <c r="H1061" s="6" t="n">
        <v>-200</v>
      </c>
      <c r="I1061" s="13" t="n">
        <v>5</v>
      </c>
      <c r="J1061" s="8">
        <f>OR($F1061="entry",$F1061="roll_in")</f>
        <v/>
      </c>
      <c r="K1061" s="8">
        <f>OR($F1061="exit",$F1061="roll_out")</f>
        <v/>
      </c>
      <c r="L1061" s="8">
        <f>OR(AND($E1061="SELL",$K1061),AND($E1061="BUY",$J1061))</f>
        <v/>
      </c>
      <c r="M1061" s="16">
        <f>((INDEX(Market_Daily!$B$6:$B$256,MATCH($C1061,Market_Daily!$A$6:$A$256,0))*INDEX(Market_Daily!$F$6:$F$256,MATCH($C1061,Market_Daily!$A$6:$A$256,0))/kg_per_mt*(1+bcd_primary_al_hs7601*(1+sws_rate_on_bcd))+mcx_domestic_premium_inr_kg)*(1+INDEX(Market_Daily!$I$6:$I$256,MATCH($C1061,Market_Daily!$A$6:$A$256,0))*MAX(0,INDEX(mcx_expiries,MATCH($D1061,mcx_months,0))-$C1061)/day_count_inr))</f>
        <v/>
      </c>
      <c r="N1061" s="16">
        <f>IF(INDEX(Market_Daily!$S$6:$S$256,MATCH($C1061,Market_Daily!$A$6:$A$256,0))=$D1061,INDEX(Market_Daily!$M$6:$M$256,MATCH($C1061,Market_Daily!$A$6:$A$256,0)),IF(INDEX(Market_Daily!$T$6:$T$256,MATCH($C1061,Market_Daily!$A$6:$A$256,0))=$D1061,INDEX(Market_Daily!$N$6:$N$256,MATCH($C1061,Market_Daily!$A$6:$A$256,0)),NA()))</f>
        <v/>
      </c>
      <c r="O1061" s="16">
        <f>$N1061-$M1061</f>
        <v/>
      </c>
      <c r="P1061" s="16">
        <f>IF(($B1060=$B1061),$M1060,"")</f>
        <v/>
      </c>
      <c r="Q1061" s="16">
        <f>$M1061+IF($L1061,1,-1)*mcx_slippage_ticks*mcx_al_tick_inr_kg</f>
        <v/>
      </c>
      <c r="R1061" s="18">
        <f>IF(($B1060=$B1061),$H1061*$I1061*kg_per_mt*($M1061-$M1060),0)</f>
        <v/>
      </c>
      <c r="S1061" s="18">
        <f>IF(($B1060=$B1061),$S1060,0)+$R1061</f>
        <v/>
      </c>
      <c r="T1061" s="18">
        <f>ABS($H1061)*$I1061*kg_per_mt*$M1061</f>
        <v/>
      </c>
      <c r="U1061" s="18">
        <f>IF($K1061,0,$T1061*mcx_al_margin_used_frac)</f>
        <v/>
      </c>
      <c r="V1061" s="18">
        <f>IF(($B1060=$B1061),$U1060,0)</f>
        <v/>
      </c>
      <c r="W1061" s="18">
        <f>$U1061-$V1061</f>
        <v/>
      </c>
      <c r="X1061" s="18">
        <f>IF($K1061,0,$T1061*0.12)</f>
        <v/>
      </c>
      <c r="Y1061" s="18">
        <f>IF($K1061,0,$T1061*0.15)</f>
        <v/>
      </c>
      <c r="Z1061" s="18">
        <f>IF($F1061="hold",0,-ABS($H1061)*$I1061*kg_per_mt*mcx_slippage_ticks*mcx_al_tick_inr_kg)</f>
        <v/>
      </c>
      <c r="AA1061" s="18">
        <f>IF($F1061="hold",0,-ABS($H1061)*$I1061*kg_per_mt*$Q1061*mcx_txn_cost_frac)</f>
        <v/>
      </c>
      <c r="AB1061" s="18">
        <f>$Z1061+$AA1061</f>
        <v/>
      </c>
      <c r="AC1061" s="18">
        <f>$R1061-$W1061+$AB1061</f>
        <v/>
      </c>
      <c r="AD1061" s="18">
        <f>IF(($B1060=$B1061),$AD1060,0)+$AC1061</f>
        <v/>
      </c>
      <c r="AE1061" s="23" t="n">
        <v>5039960.72</v>
      </c>
      <c r="AF1061" s="23" t="n">
        <v>28233341.25</v>
      </c>
      <c r="AG1061" s="23" t="n">
        <v>0</v>
      </c>
      <c r="AH1061" s="23" t="n">
        <v>5543956.79</v>
      </c>
      <c r="AI1061" s="23" t="n">
        <v>-17095.33</v>
      </c>
      <c r="AJ1061" s="18">
        <f>$R1061-$AE1061</f>
        <v/>
      </c>
      <c r="AK1061" s="18">
        <f>$U1061-$AF1061</f>
        <v/>
      </c>
      <c r="AL1061" s="18">
        <f>$AC1061-$AH1061</f>
        <v/>
      </c>
      <c r="AM1061" s="8">
        <f>IF(AND(ABS($AJ1061)&lt;=tol_mcx_inr,ABS($AK1061)&lt;=tol_mcx_inr,ABS($AL1061)&lt;=tol_mcx_inr),"PASS","FAIL")</f>
        <v/>
      </c>
    </row>
    <row r="1062">
      <c r="A1062" s="7" t="inlineStr">
        <is>
          <t>T01</t>
        </is>
      </c>
      <c r="B1062" s="7" t="inlineStr">
        <is>
          <t>T01-MCX-1</t>
        </is>
      </c>
      <c r="C1062" s="11" t="n">
        <v>44656</v>
      </c>
      <c r="D1062" s="7" t="n">
        <v>202204</v>
      </c>
      <c r="E1062" s="7" t="inlineStr">
        <is>
          <t>SELL</t>
        </is>
      </c>
      <c r="F1062" s="7" t="inlineStr">
        <is>
          <t>hold</t>
        </is>
      </c>
      <c r="G1062" s="17" t="b">
        <v>1</v>
      </c>
      <c r="H1062" s="6" t="n">
        <v>-200</v>
      </c>
      <c r="I1062" s="13" t="n">
        <v>5</v>
      </c>
      <c r="J1062" s="8">
        <f>OR($F1062="entry",$F1062="roll_in")</f>
        <v/>
      </c>
      <c r="K1062" s="8">
        <f>OR($F1062="exit",$F1062="roll_out")</f>
        <v/>
      </c>
      <c r="L1062" s="8">
        <f>OR(AND($E1062="SELL",$K1062),AND($E1062="BUY",$J1062))</f>
        <v/>
      </c>
      <c r="M1062" s="16">
        <f>((INDEX(Market_Daily!$B$6:$B$256,MATCH($C1062,Market_Daily!$A$6:$A$256,0))*INDEX(Market_Daily!$F$6:$F$256,MATCH($C1062,Market_Daily!$A$6:$A$256,0))/kg_per_mt*(1+bcd_primary_al_hs7601*(1+sws_rate_on_bcd))+mcx_domestic_premium_inr_kg)*(1+INDEX(Market_Daily!$I$6:$I$256,MATCH($C1062,Market_Daily!$A$6:$A$256,0))*MAX(0,INDEX(mcx_expiries,MATCH($D1062,mcx_months,0))-$C1062)/day_count_inr))</f>
        <v/>
      </c>
      <c r="N1062" s="16">
        <f>IF(INDEX(Market_Daily!$S$6:$S$256,MATCH($C1062,Market_Daily!$A$6:$A$256,0))=$D1062,INDEX(Market_Daily!$M$6:$M$256,MATCH($C1062,Market_Daily!$A$6:$A$256,0)),IF(INDEX(Market_Daily!$T$6:$T$256,MATCH($C1062,Market_Daily!$A$6:$A$256,0))=$D1062,INDEX(Market_Daily!$N$6:$N$256,MATCH($C1062,Market_Daily!$A$6:$A$256,0)),NA()))</f>
        <v/>
      </c>
      <c r="O1062" s="16">
        <f>$N1062-$M1062</f>
        <v/>
      </c>
      <c r="P1062" s="16">
        <f>IF(($B1061=$B1062),$M1061,"")</f>
        <v/>
      </c>
      <c r="Q1062" s="16">
        <f>$M1062+IF($L1062,1,-1)*mcx_slippage_ticks*mcx_al_tick_inr_kg</f>
        <v/>
      </c>
      <c r="R1062" s="18">
        <f>IF(($B1061=$B1062),$H1062*$I1062*kg_per_mt*($M1062-$M1061),0)</f>
        <v/>
      </c>
      <c r="S1062" s="18">
        <f>IF(($B1061=$B1062),$S1061,0)+$R1062</f>
        <v/>
      </c>
      <c r="T1062" s="18">
        <f>ABS($H1062)*$I1062*kg_per_mt*$M1062</f>
        <v/>
      </c>
      <c r="U1062" s="18">
        <f>IF($K1062,0,$T1062*mcx_al_margin_used_frac)</f>
        <v/>
      </c>
      <c r="V1062" s="18">
        <f>IF(($B1061=$B1062),$U1061,0)</f>
        <v/>
      </c>
      <c r="W1062" s="18">
        <f>$U1062-$V1062</f>
        <v/>
      </c>
      <c r="X1062" s="18">
        <f>IF($K1062,0,$T1062*0.12)</f>
        <v/>
      </c>
      <c r="Y1062" s="18">
        <f>IF($K1062,0,$T1062*0.15)</f>
        <v/>
      </c>
      <c r="Z1062" s="18">
        <f>IF($F1062="hold",0,-ABS($H1062)*$I1062*kg_per_mt*mcx_slippage_ticks*mcx_al_tick_inr_kg)</f>
        <v/>
      </c>
      <c r="AA1062" s="18">
        <f>IF($F1062="hold",0,-ABS($H1062)*$I1062*kg_per_mt*$Q1062*mcx_txn_cost_frac)</f>
        <v/>
      </c>
      <c r="AB1062" s="18">
        <f>$Z1062+$AA1062</f>
        <v/>
      </c>
      <c r="AC1062" s="18">
        <f>$R1062-$W1062+$AB1062</f>
        <v/>
      </c>
      <c r="AD1062" s="18">
        <f>IF(($B1061=$B1062),$AD1061,0)+$AC1062</f>
        <v/>
      </c>
      <c r="AE1062" s="23" t="n">
        <v>3120858.67</v>
      </c>
      <c r="AF1062" s="23" t="n">
        <v>27921255.38</v>
      </c>
      <c r="AG1062" s="23" t="n">
        <v>0</v>
      </c>
      <c r="AH1062" s="23" t="n">
        <v>3432944.54</v>
      </c>
      <c r="AI1062" s="23" t="n">
        <v>-4255.5</v>
      </c>
      <c r="AJ1062" s="18">
        <f>$R1062-$AE1062</f>
        <v/>
      </c>
      <c r="AK1062" s="18">
        <f>$U1062-$AF1062</f>
        <v/>
      </c>
      <c r="AL1062" s="18">
        <f>$AC1062-$AH1062</f>
        <v/>
      </c>
      <c r="AM1062" s="8">
        <f>IF(AND(ABS($AJ1062)&lt;=tol_mcx_inr,ABS($AK1062)&lt;=tol_mcx_inr,ABS($AL1062)&lt;=tol_mcx_inr),"PASS","FAIL")</f>
        <v/>
      </c>
    </row>
    <row r="1063">
      <c r="A1063" s="7" t="inlineStr">
        <is>
          <t>T01</t>
        </is>
      </c>
      <c r="B1063" s="7" t="inlineStr">
        <is>
          <t>T01-MCX-1</t>
        </is>
      </c>
      <c r="C1063" s="11" t="n">
        <v>44657</v>
      </c>
      <c r="D1063" s="7" t="n">
        <v>202204</v>
      </c>
      <c r="E1063" s="7" t="inlineStr">
        <is>
          <t>SELL</t>
        </is>
      </c>
      <c r="F1063" s="7" t="inlineStr">
        <is>
          <t>hold</t>
        </is>
      </c>
      <c r="G1063" s="17" t="b">
        <v>1</v>
      </c>
      <c r="H1063" s="6" t="n">
        <v>-200</v>
      </c>
      <c r="I1063" s="13" t="n">
        <v>5</v>
      </c>
      <c r="J1063" s="8">
        <f>OR($F1063="entry",$F1063="roll_in")</f>
        <v/>
      </c>
      <c r="K1063" s="8">
        <f>OR($F1063="exit",$F1063="roll_out")</f>
        <v/>
      </c>
      <c r="L1063" s="8">
        <f>OR(AND($E1063="SELL",$K1063),AND($E1063="BUY",$J1063))</f>
        <v/>
      </c>
      <c r="M1063" s="16">
        <f>((INDEX(Market_Daily!$B$6:$B$256,MATCH($C1063,Market_Daily!$A$6:$A$256,0))*INDEX(Market_Daily!$F$6:$F$256,MATCH($C1063,Market_Daily!$A$6:$A$256,0))/kg_per_mt*(1+bcd_primary_al_hs7601*(1+sws_rate_on_bcd))+mcx_domestic_premium_inr_kg)*(1+INDEX(Market_Daily!$I$6:$I$256,MATCH($C1063,Market_Daily!$A$6:$A$256,0))*MAX(0,INDEX(mcx_expiries,MATCH($D1063,mcx_months,0))-$C1063)/day_count_inr))</f>
        <v/>
      </c>
      <c r="N1063" s="16">
        <f>IF(INDEX(Market_Daily!$S$6:$S$256,MATCH($C1063,Market_Daily!$A$6:$A$256,0))=$D1063,INDEX(Market_Daily!$M$6:$M$256,MATCH($C1063,Market_Daily!$A$6:$A$256,0)),IF(INDEX(Market_Daily!$T$6:$T$256,MATCH($C1063,Market_Daily!$A$6:$A$256,0))=$D1063,INDEX(Market_Daily!$N$6:$N$256,MATCH($C1063,Market_Daily!$A$6:$A$256,0)),NA()))</f>
        <v/>
      </c>
      <c r="O1063" s="16">
        <f>$N1063-$M1063</f>
        <v/>
      </c>
      <c r="P1063" s="16">
        <f>IF(($B1062=$B1063),$M1062,"")</f>
        <v/>
      </c>
      <c r="Q1063" s="16">
        <f>$M1063+IF($L1063,1,-1)*mcx_slippage_ticks*mcx_al_tick_inr_kg</f>
        <v/>
      </c>
      <c r="R1063" s="18">
        <f>IF(($B1062=$B1063),$H1063*$I1063*kg_per_mt*($M1063-$M1062),0)</f>
        <v/>
      </c>
      <c r="S1063" s="18">
        <f>IF(($B1062=$B1063),$S1062,0)+$R1063</f>
        <v/>
      </c>
      <c r="T1063" s="18">
        <f>ABS($H1063)*$I1063*kg_per_mt*$M1063</f>
        <v/>
      </c>
      <c r="U1063" s="18">
        <f>IF($K1063,0,$T1063*mcx_al_margin_used_frac)</f>
        <v/>
      </c>
      <c r="V1063" s="18">
        <f>IF(($B1062=$B1063),$U1062,0)</f>
        <v/>
      </c>
      <c r="W1063" s="18">
        <f>$U1063-$V1063</f>
        <v/>
      </c>
      <c r="X1063" s="18">
        <f>IF($K1063,0,$T1063*0.12)</f>
        <v/>
      </c>
      <c r="Y1063" s="18">
        <f>IF($K1063,0,$T1063*0.15)</f>
        <v/>
      </c>
      <c r="Z1063" s="18">
        <f>IF($F1063="hold",0,-ABS($H1063)*$I1063*kg_per_mt*mcx_slippage_ticks*mcx_al_tick_inr_kg)</f>
        <v/>
      </c>
      <c r="AA1063" s="18">
        <f>IF($F1063="hold",0,-ABS($H1063)*$I1063*kg_per_mt*$Q1063*mcx_txn_cost_frac)</f>
        <v/>
      </c>
      <c r="AB1063" s="18">
        <f>$Z1063+$AA1063</f>
        <v/>
      </c>
      <c r="AC1063" s="18">
        <f>$R1063-$W1063+$AB1063</f>
        <v/>
      </c>
      <c r="AD1063" s="18">
        <f>IF(($B1062=$B1063),$AD1062,0)+$AC1063</f>
        <v/>
      </c>
      <c r="AE1063" s="23" t="n">
        <v>-4167633.89</v>
      </c>
      <c r="AF1063" s="23" t="n">
        <v>28338018.77</v>
      </c>
      <c r="AG1063" s="23" t="n">
        <v>0</v>
      </c>
      <c r="AH1063" s="23" t="n">
        <v>-4584397.28</v>
      </c>
      <c r="AI1063" s="23" t="n">
        <v>-3361.99</v>
      </c>
      <c r="AJ1063" s="18">
        <f>$R1063-$AE1063</f>
        <v/>
      </c>
      <c r="AK1063" s="18">
        <f>$U1063-$AF1063</f>
        <v/>
      </c>
      <c r="AL1063" s="18">
        <f>$AC1063-$AH1063</f>
        <v/>
      </c>
      <c r="AM1063" s="8">
        <f>IF(AND(ABS($AJ1063)&lt;=tol_mcx_inr,ABS($AK1063)&lt;=tol_mcx_inr,ABS($AL1063)&lt;=tol_mcx_inr),"PASS","FAIL")</f>
        <v/>
      </c>
    </row>
    <row r="1064">
      <c r="A1064" s="7" t="inlineStr">
        <is>
          <t>T01</t>
        </is>
      </c>
      <c r="B1064" s="7" t="inlineStr">
        <is>
          <t>T01-MCX-1</t>
        </is>
      </c>
      <c r="C1064" s="11" t="n">
        <v>44658</v>
      </c>
      <c r="D1064" s="7" t="n">
        <v>202204</v>
      </c>
      <c r="E1064" s="7" t="inlineStr">
        <is>
          <t>SELL</t>
        </is>
      </c>
      <c r="F1064" s="7" t="inlineStr">
        <is>
          <t>hold</t>
        </is>
      </c>
      <c r="G1064" s="17" t="b">
        <v>1</v>
      </c>
      <c r="H1064" s="6" t="n">
        <v>-200</v>
      </c>
      <c r="I1064" s="13" t="n">
        <v>5</v>
      </c>
      <c r="J1064" s="8">
        <f>OR($F1064="entry",$F1064="roll_in")</f>
        <v/>
      </c>
      <c r="K1064" s="8">
        <f>OR($F1064="exit",$F1064="roll_out")</f>
        <v/>
      </c>
      <c r="L1064" s="8">
        <f>OR(AND($E1064="SELL",$K1064),AND($E1064="BUY",$J1064))</f>
        <v/>
      </c>
      <c r="M1064" s="16">
        <f>((INDEX(Market_Daily!$B$6:$B$256,MATCH($C1064,Market_Daily!$A$6:$A$256,0))*INDEX(Market_Daily!$F$6:$F$256,MATCH($C1064,Market_Daily!$A$6:$A$256,0))/kg_per_mt*(1+bcd_primary_al_hs7601*(1+sws_rate_on_bcd))+mcx_domestic_premium_inr_kg)*(1+INDEX(Market_Daily!$I$6:$I$256,MATCH($C1064,Market_Daily!$A$6:$A$256,0))*MAX(0,INDEX(mcx_expiries,MATCH($D1064,mcx_months,0))-$C1064)/day_count_inr))</f>
        <v/>
      </c>
      <c r="N1064" s="16">
        <f>IF(INDEX(Market_Daily!$S$6:$S$256,MATCH($C1064,Market_Daily!$A$6:$A$256,0))=$D1064,INDEX(Market_Daily!$M$6:$M$256,MATCH($C1064,Market_Daily!$A$6:$A$256,0)),IF(INDEX(Market_Daily!$T$6:$T$256,MATCH($C1064,Market_Daily!$A$6:$A$256,0))=$D1064,INDEX(Market_Daily!$N$6:$N$256,MATCH($C1064,Market_Daily!$A$6:$A$256,0)),NA()))</f>
        <v/>
      </c>
      <c r="O1064" s="16">
        <f>$N1064-$M1064</f>
        <v/>
      </c>
      <c r="P1064" s="16">
        <f>IF(($B1063=$B1064),$M1063,"")</f>
        <v/>
      </c>
      <c r="Q1064" s="16">
        <f>$M1064+IF($L1064,1,-1)*mcx_slippage_ticks*mcx_al_tick_inr_kg</f>
        <v/>
      </c>
      <c r="R1064" s="18">
        <f>IF(($B1063=$B1064),$H1064*$I1064*kg_per_mt*($M1064-$M1063),0)</f>
        <v/>
      </c>
      <c r="S1064" s="18">
        <f>IF(($B1063=$B1064),$S1063,0)+$R1064</f>
        <v/>
      </c>
      <c r="T1064" s="18">
        <f>ABS($H1064)*$I1064*kg_per_mt*$M1064</f>
        <v/>
      </c>
      <c r="U1064" s="18">
        <f>IF($K1064,0,$T1064*mcx_al_margin_used_frac)</f>
        <v/>
      </c>
      <c r="V1064" s="18">
        <f>IF(($B1063=$B1064),$U1063,0)</f>
        <v/>
      </c>
      <c r="W1064" s="18">
        <f>$U1064-$V1064</f>
        <v/>
      </c>
      <c r="X1064" s="18">
        <f>IF($K1064,0,$T1064*0.12)</f>
        <v/>
      </c>
      <c r="Y1064" s="18">
        <f>IF($K1064,0,$T1064*0.15)</f>
        <v/>
      </c>
      <c r="Z1064" s="18">
        <f>IF($F1064="hold",0,-ABS($H1064)*$I1064*kg_per_mt*mcx_slippage_ticks*mcx_al_tick_inr_kg)</f>
        <v/>
      </c>
      <c r="AA1064" s="18">
        <f>IF($F1064="hold",0,-ABS($H1064)*$I1064*kg_per_mt*$Q1064*mcx_txn_cost_frac)</f>
        <v/>
      </c>
      <c r="AB1064" s="18">
        <f>$Z1064+$AA1064</f>
        <v/>
      </c>
      <c r="AC1064" s="18">
        <f>$R1064-$W1064+$AB1064</f>
        <v/>
      </c>
      <c r="AD1064" s="18">
        <f>IF(($B1063=$B1064),$AD1063,0)+$AC1064</f>
        <v/>
      </c>
      <c r="AE1064" s="23" t="n">
        <v>7488667.94</v>
      </c>
      <c r="AF1064" s="23" t="n">
        <v>27589151.98</v>
      </c>
      <c r="AG1064" s="23" t="n">
        <v>0</v>
      </c>
      <c r="AH1064" s="23" t="n">
        <v>8237534.74</v>
      </c>
      <c r="AI1064" s="23" t="n">
        <v>-4555.19</v>
      </c>
      <c r="AJ1064" s="18">
        <f>$R1064-$AE1064</f>
        <v/>
      </c>
      <c r="AK1064" s="18">
        <f>$U1064-$AF1064</f>
        <v/>
      </c>
      <c r="AL1064" s="18">
        <f>$AC1064-$AH1064</f>
        <v/>
      </c>
      <c r="AM1064" s="8">
        <f>IF(AND(ABS($AJ1064)&lt;=tol_mcx_inr,ABS($AK1064)&lt;=tol_mcx_inr,ABS($AL1064)&lt;=tol_mcx_inr),"PASS","FAIL")</f>
        <v/>
      </c>
    </row>
    <row r="1065">
      <c r="A1065" s="7" t="inlineStr">
        <is>
          <t>T01</t>
        </is>
      </c>
      <c r="B1065" s="7" t="inlineStr">
        <is>
          <t>T01-MCX-1</t>
        </is>
      </c>
      <c r="C1065" s="11" t="n">
        <v>44659</v>
      </c>
      <c r="D1065" s="7" t="n">
        <v>202204</v>
      </c>
      <c r="E1065" s="7" t="inlineStr">
        <is>
          <t>SELL</t>
        </is>
      </c>
      <c r="F1065" s="7" t="inlineStr">
        <is>
          <t>hold</t>
        </is>
      </c>
      <c r="G1065" s="17" t="b">
        <v>1</v>
      </c>
      <c r="H1065" s="6" t="n">
        <v>-200</v>
      </c>
      <c r="I1065" s="13" t="n">
        <v>5</v>
      </c>
      <c r="J1065" s="8">
        <f>OR($F1065="entry",$F1065="roll_in")</f>
        <v/>
      </c>
      <c r="K1065" s="8">
        <f>OR($F1065="exit",$F1065="roll_out")</f>
        <v/>
      </c>
      <c r="L1065" s="8">
        <f>OR(AND($E1065="SELL",$K1065),AND($E1065="BUY",$J1065))</f>
        <v/>
      </c>
      <c r="M1065" s="16">
        <f>((INDEX(Market_Daily!$B$6:$B$256,MATCH($C1065,Market_Daily!$A$6:$A$256,0))*INDEX(Market_Daily!$F$6:$F$256,MATCH($C1065,Market_Daily!$A$6:$A$256,0))/kg_per_mt*(1+bcd_primary_al_hs7601*(1+sws_rate_on_bcd))+mcx_domestic_premium_inr_kg)*(1+INDEX(Market_Daily!$I$6:$I$256,MATCH($C1065,Market_Daily!$A$6:$A$256,0))*MAX(0,INDEX(mcx_expiries,MATCH($D1065,mcx_months,0))-$C1065)/day_count_inr))</f>
        <v/>
      </c>
      <c r="N1065" s="16">
        <f>IF(INDEX(Market_Daily!$S$6:$S$256,MATCH($C1065,Market_Daily!$A$6:$A$256,0))=$D1065,INDEX(Market_Daily!$M$6:$M$256,MATCH($C1065,Market_Daily!$A$6:$A$256,0)),IF(INDEX(Market_Daily!$T$6:$T$256,MATCH($C1065,Market_Daily!$A$6:$A$256,0))=$D1065,INDEX(Market_Daily!$N$6:$N$256,MATCH($C1065,Market_Daily!$A$6:$A$256,0)),NA()))</f>
        <v/>
      </c>
      <c r="O1065" s="16">
        <f>$N1065-$M1065</f>
        <v/>
      </c>
      <c r="P1065" s="16">
        <f>IF(($B1064=$B1065),$M1064,"")</f>
        <v/>
      </c>
      <c r="Q1065" s="16">
        <f>$M1065+IF($L1065,1,-1)*mcx_slippage_ticks*mcx_al_tick_inr_kg</f>
        <v/>
      </c>
      <c r="R1065" s="18">
        <f>IF(($B1064=$B1065),$H1065*$I1065*kg_per_mt*($M1065-$M1064),0)</f>
        <v/>
      </c>
      <c r="S1065" s="18">
        <f>IF(($B1064=$B1065),$S1064,0)+$R1065</f>
        <v/>
      </c>
      <c r="T1065" s="18">
        <f>ABS($H1065)*$I1065*kg_per_mt*$M1065</f>
        <v/>
      </c>
      <c r="U1065" s="18">
        <f>IF($K1065,0,$T1065*mcx_al_margin_used_frac)</f>
        <v/>
      </c>
      <c r="V1065" s="18">
        <f>IF(($B1064=$B1065),$U1064,0)</f>
        <v/>
      </c>
      <c r="W1065" s="18">
        <f>$U1065-$V1065</f>
        <v/>
      </c>
      <c r="X1065" s="18">
        <f>IF($K1065,0,$T1065*0.12)</f>
        <v/>
      </c>
      <c r="Y1065" s="18">
        <f>IF($K1065,0,$T1065*0.15)</f>
        <v/>
      </c>
      <c r="Z1065" s="18">
        <f>IF($F1065="hold",0,-ABS($H1065)*$I1065*kg_per_mt*mcx_slippage_ticks*mcx_al_tick_inr_kg)</f>
        <v/>
      </c>
      <c r="AA1065" s="18">
        <f>IF($F1065="hold",0,-ABS($H1065)*$I1065*kg_per_mt*$Q1065*mcx_txn_cost_frac)</f>
        <v/>
      </c>
      <c r="AB1065" s="18">
        <f>$Z1065+$AA1065</f>
        <v/>
      </c>
      <c r="AC1065" s="18">
        <f>$R1065-$W1065+$AB1065</f>
        <v/>
      </c>
      <c r="AD1065" s="18">
        <f>IF(($B1064=$B1065),$AD1064,0)+$AC1065</f>
        <v/>
      </c>
      <c r="AE1065" s="23" t="n">
        <v>-3521800.15</v>
      </c>
      <c r="AF1065" s="23" t="n">
        <v>27941331.99</v>
      </c>
      <c r="AG1065" s="23" t="n">
        <v>0</v>
      </c>
      <c r="AH1065" s="23" t="n">
        <v>-3873980.16</v>
      </c>
      <c r="AI1065" s="23" t="n">
        <v>-2411.17</v>
      </c>
      <c r="AJ1065" s="18">
        <f>$R1065-$AE1065</f>
        <v/>
      </c>
      <c r="AK1065" s="18">
        <f>$U1065-$AF1065</f>
        <v/>
      </c>
      <c r="AL1065" s="18">
        <f>$AC1065-$AH1065</f>
        <v/>
      </c>
      <c r="AM1065" s="8">
        <f>IF(AND(ABS($AJ1065)&lt;=tol_mcx_inr,ABS($AK1065)&lt;=tol_mcx_inr,ABS($AL1065)&lt;=tol_mcx_inr),"PASS","FAIL")</f>
        <v/>
      </c>
    </row>
    <row r="1066">
      <c r="A1066" s="7" t="inlineStr">
        <is>
          <t>T01</t>
        </is>
      </c>
      <c r="B1066" s="7" t="inlineStr">
        <is>
          <t>T01-MCX-1</t>
        </is>
      </c>
      <c r="C1066" s="11" t="n">
        <v>44662</v>
      </c>
      <c r="D1066" s="7" t="n">
        <v>202204</v>
      </c>
      <c r="E1066" s="7" t="inlineStr">
        <is>
          <t>SELL</t>
        </is>
      </c>
      <c r="F1066" s="7" t="inlineStr">
        <is>
          <t>hold</t>
        </is>
      </c>
      <c r="G1066" s="17" t="b">
        <v>1</v>
      </c>
      <c r="H1066" s="6" t="n">
        <v>-200</v>
      </c>
      <c r="I1066" s="13" t="n">
        <v>5</v>
      </c>
      <c r="J1066" s="8">
        <f>OR($F1066="entry",$F1066="roll_in")</f>
        <v/>
      </c>
      <c r="K1066" s="8">
        <f>OR($F1066="exit",$F1066="roll_out")</f>
        <v/>
      </c>
      <c r="L1066" s="8">
        <f>OR(AND($E1066="SELL",$K1066),AND($E1066="BUY",$J1066))</f>
        <v/>
      </c>
      <c r="M1066" s="16">
        <f>((INDEX(Market_Daily!$B$6:$B$256,MATCH($C1066,Market_Daily!$A$6:$A$256,0))*INDEX(Market_Daily!$F$6:$F$256,MATCH($C1066,Market_Daily!$A$6:$A$256,0))/kg_per_mt*(1+bcd_primary_al_hs7601*(1+sws_rate_on_bcd))+mcx_domestic_premium_inr_kg)*(1+INDEX(Market_Daily!$I$6:$I$256,MATCH($C1066,Market_Daily!$A$6:$A$256,0))*MAX(0,INDEX(mcx_expiries,MATCH($D1066,mcx_months,0))-$C1066)/day_count_inr))</f>
        <v/>
      </c>
      <c r="N1066" s="16">
        <f>IF(INDEX(Market_Daily!$S$6:$S$256,MATCH($C1066,Market_Daily!$A$6:$A$256,0))=$D1066,INDEX(Market_Daily!$M$6:$M$256,MATCH($C1066,Market_Daily!$A$6:$A$256,0)),IF(INDEX(Market_Daily!$T$6:$T$256,MATCH($C1066,Market_Daily!$A$6:$A$256,0))=$D1066,INDEX(Market_Daily!$N$6:$N$256,MATCH($C1066,Market_Daily!$A$6:$A$256,0)),NA()))</f>
        <v/>
      </c>
      <c r="O1066" s="16">
        <f>$N1066-$M1066</f>
        <v/>
      </c>
      <c r="P1066" s="16">
        <f>IF(($B1065=$B1066),$M1065,"")</f>
        <v/>
      </c>
      <c r="Q1066" s="16">
        <f>$M1066+IF($L1066,1,-1)*mcx_slippage_ticks*mcx_al_tick_inr_kg</f>
        <v/>
      </c>
      <c r="R1066" s="18">
        <f>IF(($B1065=$B1066),$H1066*$I1066*kg_per_mt*($M1066-$M1065),0)</f>
        <v/>
      </c>
      <c r="S1066" s="18">
        <f>IF(($B1065=$B1066),$S1065,0)+$R1066</f>
        <v/>
      </c>
      <c r="T1066" s="18">
        <f>ABS($H1066)*$I1066*kg_per_mt*$M1066</f>
        <v/>
      </c>
      <c r="U1066" s="18">
        <f>IF($K1066,0,$T1066*mcx_al_margin_used_frac)</f>
        <v/>
      </c>
      <c r="V1066" s="18">
        <f>IF(($B1065=$B1066),$U1065,0)</f>
        <v/>
      </c>
      <c r="W1066" s="18">
        <f>$U1066-$V1066</f>
        <v/>
      </c>
      <c r="X1066" s="18">
        <f>IF($K1066,0,$T1066*0.12)</f>
        <v/>
      </c>
      <c r="Y1066" s="18">
        <f>IF($K1066,0,$T1066*0.15)</f>
        <v/>
      </c>
      <c r="Z1066" s="18">
        <f>IF($F1066="hold",0,-ABS($H1066)*$I1066*kg_per_mt*mcx_slippage_ticks*mcx_al_tick_inr_kg)</f>
        <v/>
      </c>
      <c r="AA1066" s="18">
        <f>IF($F1066="hold",0,-ABS($H1066)*$I1066*kg_per_mt*$Q1066*mcx_txn_cost_frac)</f>
        <v/>
      </c>
      <c r="AB1066" s="18">
        <f>$Z1066+$AA1066</f>
        <v/>
      </c>
      <c r="AC1066" s="18">
        <f>$R1066-$W1066+$AB1066</f>
        <v/>
      </c>
      <c r="AD1066" s="18">
        <f>IF(($B1065=$B1066),$AD1065,0)+$AC1066</f>
        <v/>
      </c>
      <c r="AE1066" s="23" t="n">
        <v>13218947.08</v>
      </c>
      <c r="AF1066" s="23" t="n">
        <v>26619437.28</v>
      </c>
      <c r="AG1066" s="23" t="n">
        <v>0</v>
      </c>
      <c r="AH1066" s="23" t="n">
        <v>14540841.79</v>
      </c>
      <c r="AI1066" s="23" t="n">
        <v>-10258.41</v>
      </c>
      <c r="AJ1066" s="18">
        <f>$R1066-$AE1066</f>
        <v/>
      </c>
      <c r="AK1066" s="18">
        <f>$U1066-$AF1066</f>
        <v/>
      </c>
      <c r="AL1066" s="18">
        <f>$AC1066-$AH1066</f>
        <v/>
      </c>
      <c r="AM1066" s="8">
        <f>IF(AND(ABS($AJ1066)&lt;=tol_mcx_inr,ABS($AK1066)&lt;=tol_mcx_inr,ABS($AL1066)&lt;=tol_mcx_inr),"PASS","FAIL")</f>
        <v/>
      </c>
    </row>
    <row r="1067">
      <c r="A1067" s="7" t="inlineStr">
        <is>
          <t>T01</t>
        </is>
      </c>
      <c r="B1067" s="7" t="inlineStr">
        <is>
          <t>T01-MCX-1</t>
        </is>
      </c>
      <c r="C1067" s="11" t="n">
        <v>44663</v>
      </c>
      <c r="D1067" s="7" t="n">
        <v>202204</v>
      </c>
      <c r="E1067" s="7" t="inlineStr">
        <is>
          <t>SELL</t>
        </is>
      </c>
      <c r="F1067" s="7" t="inlineStr">
        <is>
          <t>hold</t>
        </is>
      </c>
      <c r="G1067" s="17" t="b">
        <v>1</v>
      </c>
      <c r="H1067" s="6" t="n">
        <v>-200</v>
      </c>
      <c r="I1067" s="13" t="n">
        <v>5</v>
      </c>
      <c r="J1067" s="8">
        <f>OR($F1067="entry",$F1067="roll_in")</f>
        <v/>
      </c>
      <c r="K1067" s="8">
        <f>OR($F1067="exit",$F1067="roll_out")</f>
        <v/>
      </c>
      <c r="L1067" s="8">
        <f>OR(AND($E1067="SELL",$K1067),AND($E1067="BUY",$J1067))</f>
        <v/>
      </c>
      <c r="M1067" s="16">
        <f>((INDEX(Market_Daily!$B$6:$B$256,MATCH($C1067,Market_Daily!$A$6:$A$256,0))*INDEX(Market_Daily!$F$6:$F$256,MATCH($C1067,Market_Daily!$A$6:$A$256,0))/kg_per_mt*(1+bcd_primary_al_hs7601*(1+sws_rate_on_bcd))+mcx_domestic_premium_inr_kg)*(1+INDEX(Market_Daily!$I$6:$I$256,MATCH($C1067,Market_Daily!$A$6:$A$256,0))*MAX(0,INDEX(mcx_expiries,MATCH($D1067,mcx_months,0))-$C1067)/day_count_inr))</f>
        <v/>
      </c>
      <c r="N1067" s="16">
        <f>IF(INDEX(Market_Daily!$S$6:$S$256,MATCH($C1067,Market_Daily!$A$6:$A$256,0))=$D1067,INDEX(Market_Daily!$M$6:$M$256,MATCH($C1067,Market_Daily!$A$6:$A$256,0)),IF(INDEX(Market_Daily!$T$6:$T$256,MATCH($C1067,Market_Daily!$A$6:$A$256,0))=$D1067,INDEX(Market_Daily!$N$6:$N$256,MATCH($C1067,Market_Daily!$A$6:$A$256,0)),NA()))</f>
        <v/>
      </c>
      <c r="O1067" s="16">
        <f>$N1067-$M1067</f>
        <v/>
      </c>
      <c r="P1067" s="16">
        <f>IF(($B1066=$B1067),$M1066,"")</f>
        <v/>
      </c>
      <c r="Q1067" s="16">
        <f>$M1067+IF($L1067,1,-1)*mcx_slippage_ticks*mcx_al_tick_inr_kg</f>
        <v/>
      </c>
      <c r="R1067" s="18">
        <f>IF(($B1066=$B1067),$H1067*$I1067*kg_per_mt*($M1067-$M1066),0)</f>
        <v/>
      </c>
      <c r="S1067" s="18">
        <f>IF(($B1066=$B1067),$S1066,0)+$R1067</f>
        <v/>
      </c>
      <c r="T1067" s="18">
        <f>ABS($H1067)*$I1067*kg_per_mt*$M1067</f>
        <v/>
      </c>
      <c r="U1067" s="18">
        <f>IF($K1067,0,$T1067*mcx_al_margin_used_frac)</f>
        <v/>
      </c>
      <c r="V1067" s="18">
        <f>IF(($B1066=$B1067),$U1066,0)</f>
        <v/>
      </c>
      <c r="W1067" s="18">
        <f>$U1067-$V1067</f>
        <v/>
      </c>
      <c r="X1067" s="18">
        <f>IF($K1067,0,$T1067*0.12)</f>
        <v/>
      </c>
      <c r="Y1067" s="18">
        <f>IF($K1067,0,$T1067*0.15)</f>
        <v/>
      </c>
      <c r="Z1067" s="18">
        <f>IF($F1067="hold",0,-ABS($H1067)*$I1067*kg_per_mt*mcx_slippage_ticks*mcx_al_tick_inr_kg)</f>
        <v/>
      </c>
      <c r="AA1067" s="18">
        <f>IF($F1067="hold",0,-ABS($H1067)*$I1067*kg_per_mt*$Q1067*mcx_txn_cost_frac)</f>
        <v/>
      </c>
      <c r="AB1067" s="18">
        <f>$Z1067+$AA1067</f>
        <v/>
      </c>
      <c r="AC1067" s="18">
        <f>$R1067-$W1067+$AB1067</f>
        <v/>
      </c>
      <c r="AD1067" s="18">
        <f>IF(($B1066=$B1067),$AD1066,0)+$AC1067</f>
        <v/>
      </c>
      <c r="AE1067" s="23" t="n">
        <v>660620.16</v>
      </c>
      <c r="AF1067" s="23" t="n">
        <v>26553375.27</v>
      </c>
      <c r="AG1067" s="23" t="n">
        <v>0</v>
      </c>
      <c r="AH1067" s="23" t="n">
        <v>726682.17</v>
      </c>
      <c r="AI1067" s="23" t="n">
        <v>365.13</v>
      </c>
      <c r="AJ1067" s="18">
        <f>$R1067-$AE1067</f>
        <v/>
      </c>
      <c r="AK1067" s="18">
        <f>$U1067-$AF1067</f>
        <v/>
      </c>
      <c r="AL1067" s="18">
        <f>$AC1067-$AH1067</f>
        <v/>
      </c>
      <c r="AM1067" s="8">
        <f>IF(AND(ABS($AJ1067)&lt;=tol_mcx_inr,ABS($AK1067)&lt;=tol_mcx_inr,ABS($AL1067)&lt;=tol_mcx_inr),"PASS","FAIL")</f>
        <v/>
      </c>
    </row>
    <row r="1068">
      <c r="A1068" s="7" t="inlineStr">
        <is>
          <t>T01</t>
        </is>
      </c>
      <c r="B1068" s="7" t="inlineStr">
        <is>
          <t>T01-MCX-1</t>
        </is>
      </c>
      <c r="C1068" s="11" t="n">
        <v>44664</v>
      </c>
      <c r="D1068" s="7" t="n">
        <v>202204</v>
      </c>
      <c r="E1068" s="7" t="inlineStr">
        <is>
          <t>SELL</t>
        </is>
      </c>
      <c r="F1068" s="7" t="inlineStr">
        <is>
          <t>hold</t>
        </is>
      </c>
      <c r="G1068" s="17" t="b">
        <v>1</v>
      </c>
      <c r="H1068" s="6" t="n">
        <v>-200</v>
      </c>
      <c r="I1068" s="13" t="n">
        <v>5</v>
      </c>
      <c r="J1068" s="8">
        <f>OR($F1068="entry",$F1068="roll_in")</f>
        <v/>
      </c>
      <c r="K1068" s="8">
        <f>OR($F1068="exit",$F1068="roll_out")</f>
        <v/>
      </c>
      <c r="L1068" s="8">
        <f>OR(AND($E1068="SELL",$K1068),AND($E1068="BUY",$J1068))</f>
        <v/>
      </c>
      <c r="M1068" s="16">
        <f>((INDEX(Market_Daily!$B$6:$B$256,MATCH($C1068,Market_Daily!$A$6:$A$256,0))*INDEX(Market_Daily!$F$6:$F$256,MATCH($C1068,Market_Daily!$A$6:$A$256,0))/kg_per_mt*(1+bcd_primary_al_hs7601*(1+sws_rate_on_bcd))+mcx_domestic_premium_inr_kg)*(1+INDEX(Market_Daily!$I$6:$I$256,MATCH($C1068,Market_Daily!$A$6:$A$256,0))*MAX(0,INDEX(mcx_expiries,MATCH($D1068,mcx_months,0))-$C1068)/day_count_inr))</f>
        <v/>
      </c>
      <c r="N1068" s="16">
        <f>IF(INDEX(Market_Daily!$S$6:$S$256,MATCH($C1068,Market_Daily!$A$6:$A$256,0))=$D1068,INDEX(Market_Daily!$M$6:$M$256,MATCH($C1068,Market_Daily!$A$6:$A$256,0)),IF(INDEX(Market_Daily!$T$6:$T$256,MATCH($C1068,Market_Daily!$A$6:$A$256,0))=$D1068,INDEX(Market_Daily!$N$6:$N$256,MATCH($C1068,Market_Daily!$A$6:$A$256,0)),NA()))</f>
        <v/>
      </c>
      <c r="O1068" s="16">
        <f>$N1068-$M1068</f>
        <v/>
      </c>
      <c r="P1068" s="16">
        <f>IF(($B1067=$B1068),$M1067,"")</f>
        <v/>
      </c>
      <c r="Q1068" s="16">
        <f>$M1068+IF($L1068,1,-1)*mcx_slippage_ticks*mcx_al_tick_inr_kg</f>
        <v/>
      </c>
      <c r="R1068" s="18">
        <f>IF(($B1067=$B1068),$H1068*$I1068*kg_per_mt*($M1068-$M1067),0)</f>
        <v/>
      </c>
      <c r="S1068" s="18">
        <f>IF(($B1067=$B1068),$S1067,0)+$R1068</f>
        <v/>
      </c>
      <c r="T1068" s="18">
        <f>ABS($H1068)*$I1068*kg_per_mt*$M1068</f>
        <v/>
      </c>
      <c r="U1068" s="18">
        <f>IF($K1068,0,$T1068*mcx_al_margin_used_frac)</f>
        <v/>
      </c>
      <c r="V1068" s="18">
        <f>IF(($B1067=$B1068),$U1067,0)</f>
        <v/>
      </c>
      <c r="W1068" s="18">
        <f>$U1068-$V1068</f>
        <v/>
      </c>
      <c r="X1068" s="18">
        <f>IF($K1068,0,$T1068*0.12)</f>
        <v/>
      </c>
      <c r="Y1068" s="18">
        <f>IF($K1068,0,$T1068*0.15)</f>
        <v/>
      </c>
      <c r="Z1068" s="18">
        <f>IF($F1068="hold",0,-ABS($H1068)*$I1068*kg_per_mt*mcx_slippage_ticks*mcx_al_tick_inr_kg)</f>
        <v/>
      </c>
      <c r="AA1068" s="18">
        <f>IF($F1068="hold",0,-ABS($H1068)*$I1068*kg_per_mt*$Q1068*mcx_txn_cost_frac)</f>
        <v/>
      </c>
      <c r="AB1068" s="18">
        <f>$Z1068+$AA1068</f>
        <v/>
      </c>
      <c r="AC1068" s="18">
        <f>$R1068-$W1068+$AB1068</f>
        <v/>
      </c>
      <c r="AD1068" s="18">
        <f>IF(($B1067=$B1068),$AD1067,0)+$AC1068</f>
        <v/>
      </c>
      <c r="AE1068" s="23" t="n">
        <v>596160.92</v>
      </c>
      <c r="AF1068" s="23" t="n">
        <v>26493759.17</v>
      </c>
      <c r="AG1068" s="23" t="n">
        <v>0</v>
      </c>
      <c r="AH1068" s="23" t="n">
        <v>655777.02</v>
      </c>
      <c r="AI1068" s="23" t="n">
        <v>554.27</v>
      </c>
      <c r="AJ1068" s="18">
        <f>$R1068-$AE1068</f>
        <v/>
      </c>
      <c r="AK1068" s="18">
        <f>$U1068-$AF1068</f>
        <v/>
      </c>
      <c r="AL1068" s="18">
        <f>$AC1068-$AH1068</f>
        <v/>
      </c>
      <c r="AM1068" s="8">
        <f>IF(AND(ABS($AJ1068)&lt;=tol_mcx_inr,ABS($AK1068)&lt;=tol_mcx_inr,ABS($AL1068)&lt;=tol_mcx_inr),"PASS","FAIL")</f>
        <v/>
      </c>
    </row>
    <row r="1069">
      <c r="A1069" s="7" t="inlineStr">
        <is>
          <t>T01</t>
        </is>
      </c>
      <c r="B1069" s="7" t="inlineStr">
        <is>
          <t>T01-MCX-1</t>
        </is>
      </c>
      <c r="C1069" s="11" t="n">
        <v>44665</v>
      </c>
      <c r="D1069" s="7" t="n">
        <v>202204</v>
      </c>
      <c r="E1069" s="7" t="inlineStr">
        <is>
          <t>SELL</t>
        </is>
      </c>
      <c r="F1069" s="7" t="inlineStr">
        <is>
          <t>hold</t>
        </is>
      </c>
      <c r="G1069" s="17" t="b">
        <v>1</v>
      </c>
      <c r="H1069" s="6" t="n">
        <v>-200</v>
      </c>
      <c r="I1069" s="13" t="n">
        <v>5</v>
      </c>
      <c r="J1069" s="8">
        <f>OR($F1069="entry",$F1069="roll_in")</f>
        <v/>
      </c>
      <c r="K1069" s="8">
        <f>OR($F1069="exit",$F1069="roll_out")</f>
        <v/>
      </c>
      <c r="L1069" s="8">
        <f>OR(AND($E1069="SELL",$K1069),AND($E1069="BUY",$J1069))</f>
        <v/>
      </c>
      <c r="M1069" s="16">
        <f>((INDEX(Market_Daily!$B$6:$B$256,MATCH($C1069,Market_Daily!$A$6:$A$256,0))*INDEX(Market_Daily!$F$6:$F$256,MATCH($C1069,Market_Daily!$A$6:$A$256,0))/kg_per_mt*(1+bcd_primary_al_hs7601*(1+sws_rate_on_bcd))+mcx_domestic_premium_inr_kg)*(1+INDEX(Market_Daily!$I$6:$I$256,MATCH($C1069,Market_Daily!$A$6:$A$256,0))*MAX(0,INDEX(mcx_expiries,MATCH($D1069,mcx_months,0))-$C1069)/day_count_inr))</f>
        <v/>
      </c>
      <c r="N1069" s="16">
        <f>IF(INDEX(Market_Daily!$S$6:$S$256,MATCH($C1069,Market_Daily!$A$6:$A$256,0))=$D1069,INDEX(Market_Daily!$M$6:$M$256,MATCH($C1069,Market_Daily!$A$6:$A$256,0)),IF(INDEX(Market_Daily!$T$6:$T$256,MATCH($C1069,Market_Daily!$A$6:$A$256,0))=$D1069,INDEX(Market_Daily!$N$6:$N$256,MATCH($C1069,Market_Daily!$A$6:$A$256,0)),NA()))</f>
        <v/>
      </c>
      <c r="O1069" s="16">
        <f>$N1069-$M1069</f>
        <v/>
      </c>
      <c r="P1069" s="16">
        <f>IF(($B1068=$B1069),$M1068,"")</f>
        <v/>
      </c>
      <c r="Q1069" s="16">
        <f>$M1069+IF($L1069,1,-1)*mcx_slippage_ticks*mcx_al_tick_inr_kg</f>
        <v/>
      </c>
      <c r="R1069" s="18">
        <f>IF(($B1068=$B1069),$H1069*$I1069*kg_per_mt*($M1069-$M1068),0)</f>
        <v/>
      </c>
      <c r="S1069" s="18">
        <f>IF(($B1068=$B1069),$S1068,0)+$R1069</f>
        <v/>
      </c>
      <c r="T1069" s="18">
        <f>ABS($H1069)*$I1069*kg_per_mt*$M1069</f>
        <v/>
      </c>
      <c r="U1069" s="18">
        <f>IF($K1069,0,$T1069*mcx_al_margin_used_frac)</f>
        <v/>
      </c>
      <c r="V1069" s="18">
        <f>IF(($B1068=$B1069),$U1068,0)</f>
        <v/>
      </c>
      <c r="W1069" s="18">
        <f>$U1069-$V1069</f>
        <v/>
      </c>
      <c r="X1069" s="18">
        <f>IF($K1069,0,$T1069*0.12)</f>
        <v/>
      </c>
      <c r="Y1069" s="18">
        <f>IF($K1069,0,$T1069*0.15)</f>
        <v/>
      </c>
      <c r="Z1069" s="18">
        <f>IF($F1069="hold",0,-ABS($H1069)*$I1069*kg_per_mt*mcx_slippage_ticks*mcx_al_tick_inr_kg)</f>
        <v/>
      </c>
      <c r="AA1069" s="18">
        <f>IF($F1069="hold",0,-ABS($H1069)*$I1069*kg_per_mt*$Q1069*mcx_txn_cost_frac)</f>
        <v/>
      </c>
      <c r="AB1069" s="18">
        <f>$Z1069+$AA1069</f>
        <v/>
      </c>
      <c r="AC1069" s="18">
        <f>$R1069-$W1069+$AB1069</f>
        <v/>
      </c>
      <c r="AD1069" s="18">
        <f>IF(($B1068=$B1069),$AD1068,0)+$AC1069</f>
        <v/>
      </c>
      <c r="AE1069" s="23" t="n">
        <v>-2296842.88</v>
      </c>
      <c r="AF1069" s="23" t="n">
        <v>26723443.46</v>
      </c>
      <c r="AG1069" s="23" t="n">
        <v>0</v>
      </c>
      <c r="AH1069" s="23" t="n">
        <v>-2526527.17</v>
      </c>
      <c r="AI1069" s="23" t="n">
        <v>724.95</v>
      </c>
      <c r="AJ1069" s="18">
        <f>$R1069-$AE1069</f>
        <v/>
      </c>
      <c r="AK1069" s="18">
        <f>$U1069-$AF1069</f>
        <v/>
      </c>
      <c r="AL1069" s="18">
        <f>$AC1069-$AH1069</f>
        <v/>
      </c>
      <c r="AM1069" s="8">
        <f>IF(AND(ABS($AJ1069)&lt;=tol_mcx_inr,ABS($AK1069)&lt;=tol_mcx_inr,ABS($AL1069)&lt;=tol_mcx_inr),"PASS","FAIL")</f>
        <v/>
      </c>
    </row>
    <row r="1070">
      <c r="A1070" s="7" t="inlineStr">
        <is>
          <t>T01</t>
        </is>
      </c>
      <c r="B1070" s="7" t="inlineStr">
        <is>
          <t>T01-MCX-1</t>
        </is>
      </c>
      <c r="C1070" s="11" t="n">
        <v>44670</v>
      </c>
      <c r="D1070" s="7" t="n">
        <v>202204</v>
      </c>
      <c r="E1070" s="7" t="inlineStr">
        <is>
          <t>SELL</t>
        </is>
      </c>
      <c r="F1070" s="7" t="inlineStr">
        <is>
          <t>hold</t>
        </is>
      </c>
      <c r="G1070" s="17" t="b">
        <v>1</v>
      </c>
      <c r="H1070" s="6" t="n">
        <v>-200</v>
      </c>
      <c r="I1070" s="13" t="n">
        <v>5</v>
      </c>
      <c r="J1070" s="8">
        <f>OR($F1070="entry",$F1070="roll_in")</f>
        <v/>
      </c>
      <c r="K1070" s="8">
        <f>OR($F1070="exit",$F1070="roll_out")</f>
        <v/>
      </c>
      <c r="L1070" s="8">
        <f>OR(AND($E1070="SELL",$K1070),AND($E1070="BUY",$J1070))</f>
        <v/>
      </c>
      <c r="M1070" s="16">
        <f>((INDEX(Market_Daily!$B$6:$B$256,MATCH($C1070,Market_Daily!$A$6:$A$256,0))*INDEX(Market_Daily!$F$6:$F$256,MATCH($C1070,Market_Daily!$A$6:$A$256,0))/kg_per_mt*(1+bcd_primary_al_hs7601*(1+sws_rate_on_bcd))+mcx_domestic_premium_inr_kg)*(1+INDEX(Market_Daily!$I$6:$I$256,MATCH($C1070,Market_Daily!$A$6:$A$256,0))*MAX(0,INDEX(mcx_expiries,MATCH($D1070,mcx_months,0))-$C1070)/day_count_inr))</f>
        <v/>
      </c>
      <c r="N1070" s="16">
        <f>IF(INDEX(Market_Daily!$S$6:$S$256,MATCH($C1070,Market_Daily!$A$6:$A$256,0))=$D1070,INDEX(Market_Daily!$M$6:$M$256,MATCH($C1070,Market_Daily!$A$6:$A$256,0)),IF(INDEX(Market_Daily!$T$6:$T$256,MATCH($C1070,Market_Daily!$A$6:$A$256,0))=$D1070,INDEX(Market_Daily!$N$6:$N$256,MATCH($C1070,Market_Daily!$A$6:$A$256,0)),NA()))</f>
        <v/>
      </c>
      <c r="O1070" s="16">
        <f>$N1070-$M1070</f>
        <v/>
      </c>
      <c r="P1070" s="16">
        <f>IF(($B1069=$B1070),$M1069,"")</f>
        <v/>
      </c>
      <c r="Q1070" s="16">
        <f>$M1070+IF($L1070,1,-1)*mcx_slippage_ticks*mcx_al_tick_inr_kg</f>
        <v/>
      </c>
      <c r="R1070" s="18">
        <f>IF(($B1069=$B1070),$H1070*$I1070*kg_per_mt*($M1070-$M1069),0)</f>
        <v/>
      </c>
      <c r="S1070" s="18">
        <f>IF(($B1069=$B1070),$S1069,0)+$R1070</f>
        <v/>
      </c>
      <c r="T1070" s="18">
        <f>ABS($H1070)*$I1070*kg_per_mt*$M1070</f>
        <v/>
      </c>
      <c r="U1070" s="18">
        <f>IF($K1070,0,$T1070*mcx_al_margin_used_frac)</f>
        <v/>
      </c>
      <c r="V1070" s="18">
        <f>IF(($B1069=$B1070),$U1069,0)</f>
        <v/>
      </c>
      <c r="W1070" s="18">
        <f>$U1070-$V1070</f>
        <v/>
      </c>
      <c r="X1070" s="18">
        <f>IF($K1070,0,$T1070*0.12)</f>
        <v/>
      </c>
      <c r="Y1070" s="18">
        <f>IF($K1070,0,$T1070*0.15)</f>
        <v/>
      </c>
      <c r="Z1070" s="18">
        <f>IF($F1070="hold",0,-ABS($H1070)*$I1070*kg_per_mt*mcx_slippage_ticks*mcx_al_tick_inr_kg)</f>
        <v/>
      </c>
      <c r="AA1070" s="18">
        <f>IF($F1070="hold",0,-ABS($H1070)*$I1070*kg_per_mt*$Q1070*mcx_txn_cost_frac)</f>
        <v/>
      </c>
      <c r="AB1070" s="18">
        <f>$Z1070+$AA1070</f>
        <v/>
      </c>
      <c r="AC1070" s="18">
        <f>$R1070-$W1070+$AB1070</f>
        <v/>
      </c>
      <c r="AD1070" s="18">
        <f>IF(($B1069=$B1070),$AD1069,0)+$AC1070</f>
        <v/>
      </c>
      <c r="AE1070" s="23" t="n">
        <v>-7201472.77</v>
      </c>
      <c r="AF1070" s="23" t="n">
        <v>27443590.74</v>
      </c>
      <c r="AG1070" s="23" t="n">
        <v>0</v>
      </c>
      <c r="AH1070" s="23" t="n">
        <v>-7921620.05</v>
      </c>
      <c r="AI1070" s="23" t="n">
        <v>336.81</v>
      </c>
      <c r="AJ1070" s="18">
        <f>$R1070-$AE1070</f>
        <v/>
      </c>
      <c r="AK1070" s="18">
        <f>$U1070-$AF1070</f>
        <v/>
      </c>
      <c r="AL1070" s="18">
        <f>$AC1070-$AH1070</f>
        <v/>
      </c>
      <c r="AM1070" s="8">
        <f>IF(AND(ABS($AJ1070)&lt;=tol_mcx_inr,ABS($AK1070)&lt;=tol_mcx_inr,ABS($AL1070)&lt;=tol_mcx_inr),"PASS","FAIL")</f>
        <v/>
      </c>
    </row>
    <row r="1071">
      <c r="A1071" s="7" t="inlineStr">
        <is>
          <t>T01</t>
        </is>
      </c>
      <c r="B1071" s="7" t="inlineStr">
        <is>
          <t>T01-MCX-1</t>
        </is>
      </c>
      <c r="C1071" s="11" t="n">
        <v>44671</v>
      </c>
      <c r="D1071" s="7" t="n">
        <v>202204</v>
      </c>
      <c r="E1071" s="7" t="inlineStr">
        <is>
          <t>SELL</t>
        </is>
      </c>
      <c r="F1071" s="7" t="inlineStr">
        <is>
          <t>roll_out</t>
        </is>
      </c>
      <c r="G1071" s="17" t="b">
        <v>1</v>
      </c>
      <c r="H1071" s="6" t="n">
        <v>-200</v>
      </c>
      <c r="I1071" s="13" t="n">
        <v>5</v>
      </c>
      <c r="J1071" s="8">
        <f>OR($F1071="entry",$F1071="roll_in")</f>
        <v/>
      </c>
      <c r="K1071" s="8">
        <f>OR($F1071="exit",$F1071="roll_out")</f>
        <v/>
      </c>
      <c r="L1071" s="8">
        <f>OR(AND($E1071="SELL",$K1071),AND($E1071="BUY",$J1071))</f>
        <v/>
      </c>
      <c r="M1071" s="16">
        <f>((INDEX(Market_Daily!$B$6:$B$256,MATCH($C1071,Market_Daily!$A$6:$A$256,0))*INDEX(Market_Daily!$F$6:$F$256,MATCH($C1071,Market_Daily!$A$6:$A$256,0))/kg_per_mt*(1+bcd_primary_al_hs7601*(1+sws_rate_on_bcd))+mcx_domestic_premium_inr_kg)*(1+INDEX(Market_Daily!$I$6:$I$256,MATCH($C1071,Market_Daily!$A$6:$A$256,0))*MAX(0,INDEX(mcx_expiries,MATCH($D1071,mcx_months,0))-$C1071)/day_count_inr))</f>
        <v/>
      </c>
      <c r="N1071" s="16">
        <f>IF(INDEX(Market_Daily!$S$6:$S$256,MATCH($C1071,Market_Daily!$A$6:$A$256,0))=$D1071,INDEX(Market_Daily!$M$6:$M$256,MATCH($C1071,Market_Daily!$A$6:$A$256,0)),IF(INDEX(Market_Daily!$T$6:$T$256,MATCH($C1071,Market_Daily!$A$6:$A$256,0))=$D1071,INDEX(Market_Daily!$N$6:$N$256,MATCH($C1071,Market_Daily!$A$6:$A$256,0)),NA()))</f>
        <v/>
      </c>
      <c r="O1071" s="16">
        <f>$N1071-$M1071</f>
        <v/>
      </c>
      <c r="P1071" s="16">
        <f>IF(($B1070=$B1071),$M1070,"")</f>
        <v/>
      </c>
      <c r="Q1071" s="16">
        <f>$M1071+IF($L1071,1,-1)*mcx_slippage_ticks*mcx_al_tick_inr_kg</f>
        <v/>
      </c>
      <c r="R1071" s="18">
        <f>IF(($B1070=$B1071),$H1071*$I1071*kg_per_mt*($M1071-$M1070),0)</f>
        <v/>
      </c>
      <c r="S1071" s="18">
        <f>IF(($B1070=$B1071),$S1070,0)+$R1071</f>
        <v/>
      </c>
      <c r="T1071" s="18">
        <f>ABS($H1071)*$I1071*kg_per_mt*$M1071</f>
        <v/>
      </c>
      <c r="U1071" s="18">
        <f>IF($K1071,0,$T1071*mcx_al_margin_used_frac)</f>
        <v/>
      </c>
      <c r="V1071" s="18">
        <f>IF(($B1070=$B1071),$U1070,0)</f>
        <v/>
      </c>
      <c r="W1071" s="18">
        <f>$U1071-$V1071</f>
        <v/>
      </c>
      <c r="X1071" s="18">
        <f>IF($K1071,0,$T1071*0.12)</f>
        <v/>
      </c>
      <c r="Y1071" s="18">
        <f>IF($K1071,0,$T1071*0.15)</f>
        <v/>
      </c>
      <c r="Z1071" s="18">
        <f>IF($F1071="hold",0,-ABS($H1071)*$I1071*kg_per_mt*mcx_slippage_ticks*mcx_al_tick_inr_kg)</f>
        <v/>
      </c>
      <c r="AA1071" s="18">
        <f>IF($F1071="hold",0,-ABS($H1071)*$I1071*kg_per_mt*$Q1071*mcx_txn_cost_frac)</f>
        <v/>
      </c>
      <c r="AB1071" s="18">
        <f>$Z1071+$AA1071</f>
        <v/>
      </c>
      <c r="AC1071" s="18">
        <f>$R1071-$W1071+$AB1071</f>
        <v/>
      </c>
      <c r="AD1071" s="18">
        <f>IF(($B1070=$B1071),$AD1070,0)+$AC1071</f>
        <v/>
      </c>
      <c r="AE1071" s="23" t="n">
        <v>6563572.92</v>
      </c>
      <c r="AF1071" s="23" t="n">
        <v>0</v>
      </c>
      <c r="AG1071" s="23" t="n">
        <v>-180391.7</v>
      </c>
      <c r="AH1071" s="23" t="n">
        <v>33826771.96</v>
      </c>
      <c r="AI1071" s="23" t="n">
        <v>-2015.42</v>
      </c>
      <c r="AJ1071" s="18">
        <f>$R1071-$AE1071</f>
        <v/>
      </c>
      <c r="AK1071" s="18">
        <f>$U1071-$AF1071</f>
        <v/>
      </c>
      <c r="AL1071" s="18">
        <f>$AC1071-$AH1071</f>
        <v/>
      </c>
      <c r="AM1071" s="8">
        <f>IF(AND(ABS($AJ1071)&lt;=tol_mcx_inr,ABS($AK1071)&lt;=tol_mcx_inr,ABS($AL1071)&lt;=tol_mcx_inr),"PASS","FAIL")</f>
        <v/>
      </c>
    </row>
    <row r="1072">
      <c r="A1072" s="7" t="inlineStr">
        <is>
          <t>T01</t>
        </is>
      </c>
      <c r="B1072" s="7" t="inlineStr">
        <is>
          <t>T01-MCX-2</t>
        </is>
      </c>
      <c r="C1072" s="11" t="n">
        <v>44629</v>
      </c>
      <c r="D1072" s="7" t="n">
        <v>202204</v>
      </c>
      <c r="E1072" s="7" t="inlineStr">
        <is>
          <t>SELL</t>
        </is>
      </c>
      <c r="F1072" s="7" t="inlineStr">
        <is>
          <t>entry</t>
        </is>
      </c>
      <c r="G1072" s="17" t="b">
        <v>1</v>
      </c>
      <c r="H1072" s="6" t="n">
        <v>-100</v>
      </c>
      <c r="I1072" s="13" t="n">
        <v>5</v>
      </c>
      <c r="J1072" s="8">
        <f>OR($F1072="entry",$F1072="roll_in")</f>
        <v/>
      </c>
      <c r="K1072" s="8">
        <f>OR($F1072="exit",$F1072="roll_out")</f>
        <v/>
      </c>
      <c r="L1072" s="8">
        <f>OR(AND($E1072="SELL",$K1072),AND($E1072="BUY",$J1072))</f>
        <v/>
      </c>
      <c r="M1072" s="16">
        <f>((INDEX(Market_Daily!$B$6:$B$256,MATCH($C1072,Market_Daily!$A$6:$A$256,0))*INDEX(Market_Daily!$F$6:$F$256,MATCH($C1072,Market_Daily!$A$6:$A$256,0))/kg_per_mt*(1+bcd_primary_al_hs7601*(1+sws_rate_on_bcd))+mcx_domestic_premium_inr_kg)*(1+INDEX(Market_Daily!$I$6:$I$256,MATCH($C1072,Market_Daily!$A$6:$A$256,0))*MAX(0,INDEX(mcx_expiries,MATCH($D1072,mcx_months,0))-$C1072)/day_count_inr))</f>
        <v/>
      </c>
      <c r="N1072" s="16">
        <f>IF(INDEX(Market_Daily!$S$6:$S$256,MATCH($C1072,Market_Daily!$A$6:$A$256,0))=$D1072,INDEX(Market_Daily!$M$6:$M$256,MATCH($C1072,Market_Daily!$A$6:$A$256,0)),IF(INDEX(Market_Daily!$T$6:$T$256,MATCH($C1072,Market_Daily!$A$6:$A$256,0))=$D1072,INDEX(Market_Daily!$N$6:$N$256,MATCH($C1072,Market_Daily!$A$6:$A$256,0)),NA()))</f>
        <v/>
      </c>
      <c r="O1072" s="16">
        <f>$N1072-$M1072</f>
        <v/>
      </c>
      <c r="P1072" s="16">
        <f>IF(($B1071=$B1072),$M1071,"")</f>
        <v/>
      </c>
      <c r="Q1072" s="16">
        <f>$M1072+IF($L1072,1,-1)*mcx_slippage_ticks*mcx_al_tick_inr_kg</f>
        <v/>
      </c>
      <c r="R1072" s="18">
        <f>IF(($B1071=$B1072),$H1072*$I1072*kg_per_mt*($M1072-$M1071),0)</f>
        <v/>
      </c>
      <c r="S1072" s="18">
        <f>IF(($B1071=$B1072),$S1071,0)+$R1072</f>
        <v/>
      </c>
      <c r="T1072" s="18">
        <f>ABS($H1072)*$I1072*kg_per_mt*$M1072</f>
        <v/>
      </c>
      <c r="U1072" s="18">
        <f>IF($K1072,0,$T1072*mcx_al_margin_used_frac)</f>
        <v/>
      </c>
      <c r="V1072" s="18">
        <f>IF(($B1071=$B1072),$U1071,0)</f>
        <v/>
      </c>
      <c r="W1072" s="18">
        <f>$U1072-$V1072</f>
        <v/>
      </c>
      <c r="X1072" s="18">
        <f>IF($K1072,0,$T1072*0.12)</f>
        <v/>
      </c>
      <c r="Y1072" s="18">
        <f>IF($K1072,0,$T1072*0.15)</f>
        <v/>
      </c>
      <c r="Z1072" s="18">
        <f>IF($F1072="hold",0,-ABS($H1072)*$I1072*kg_per_mt*mcx_slippage_ticks*mcx_al_tick_inr_kg)</f>
        <v/>
      </c>
      <c r="AA1072" s="18">
        <f>IF($F1072="hold",0,-ABS($H1072)*$I1072*kg_per_mt*$Q1072*mcx_txn_cost_frac)</f>
        <v/>
      </c>
      <c r="AB1072" s="18">
        <f>$Z1072+$AA1072</f>
        <v/>
      </c>
      <c r="AC1072" s="18">
        <f>$R1072-$W1072+$AB1072</f>
        <v/>
      </c>
      <c r="AD1072" s="18">
        <f>IF(($B1071=$B1072),$AD1071,0)+$AC1072</f>
        <v/>
      </c>
      <c r="AE1072" s="23" t="n">
        <v>0</v>
      </c>
      <c r="AF1072" s="23" t="n">
        <v>14720249.17</v>
      </c>
      <c r="AG1072" s="23" t="n">
        <v>-94145.75</v>
      </c>
      <c r="AH1072" s="23" t="n">
        <v>-14814394.92</v>
      </c>
      <c r="AI1072" s="23" t="n">
        <v>0</v>
      </c>
      <c r="AJ1072" s="18">
        <f>$R1072-$AE1072</f>
        <v/>
      </c>
      <c r="AK1072" s="18">
        <f>$U1072-$AF1072</f>
        <v/>
      </c>
      <c r="AL1072" s="18">
        <f>$AC1072-$AH1072</f>
        <v/>
      </c>
      <c r="AM1072" s="8">
        <f>IF(AND(ABS($AJ1072)&lt;=tol_mcx_inr,ABS($AK1072)&lt;=tol_mcx_inr,ABS($AL1072)&lt;=tol_mcx_inr),"PASS","FAIL")</f>
        <v/>
      </c>
    </row>
    <row r="1073">
      <c r="A1073" s="7" t="inlineStr">
        <is>
          <t>T01</t>
        </is>
      </c>
      <c r="B1073" s="7" t="inlineStr">
        <is>
          <t>T01-MCX-2</t>
        </is>
      </c>
      <c r="C1073" s="11" t="n">
        <v>44630</v>
      </c>
      <c r="D1073" s="7" t="n">
        <v>202204</v>
      </c>
      <c r="E1073" s="7" t="inlineStr">
        <is>
          <t>SELL</t>
        </is>
      </c>
      <c r="F1073" s="7" t="inlineStr">
        <is>
          <t>hold</t>
        </is>
      </c>
      <c r="G1073" s="17" t="b">
        <v>1</v>
      </c>
      <c r="H1073" s="6" t="n">
        <v>-100</v>
      </c>
      <c r="I1073" s="13" t="n">
        <v>5</v>
      </c>
      <c r="J1073" s="8">
        <f>OR($F1073="entry",$F1073="roll_in")</f>
        <v/>
      </c>
      <c r="K1073" s="8">
        <f>OR($F1073="exit",$F1073="roll_out")</f>
        <v/>
      </c>
      <c r="L1073" s="8">
        <f>OR(AND($E1073="SELL",$K1073),AND($E1073="BUY",$J1073))</f>
        <v/>
      </c>
      <c r="M1073" s="16">
        <f>((INDEX(Market_Daily!$B$6:$B$256,MATCH($C1073,Market_Daily!$A$6:$A$256,0))*INDEX(Market_Daily!$F$6:$F$256,MATCH($C1073,Market_Daily!$A$6:$A$256,0))/kg_per_mt*(1+bcd_primary_al_hs7601*(1+sws_rate_on_bcd))+mcx_domestic_premium_inr_kg)*(1+INDEX(Market_Daily!$I$6:$I$256,MATCH($C1073,Market_Daily!$A$6:$A$256,0))*MAX(0,INDEX(mcx_expiries,MATCH($D1073,mcx_months,0))-$C1073)/day_count_inr))</f>
        <v/>
      </c>
      <c r="N1073" s="16">
        <f>IF(INDEX(Market_Daily!$S$6:$S$256,MATCH($C1073,Market_Daily!$A$6:$A$256,0))=$D1073,INDEX(Market_Daily!$M$6:$M$256,MATCH($C1073,Market_Daily!$A$6:$A$256,0)),IF(INDEX(Market_Daily!$T$6:$T$256,MATCH($C1073,Market_Daily!$A$6:$A$256,0))=$D1073,INDEX(Market_Daily!$N$6:$N$256,MATCH($C1073,Market_Daily!$A$6:$A$256,0)),NA()))</f>
        <v/>
      </c>
      <c r="O1073" s="16">
        <f>$N1073-$M1073</f>
        <v/>
      </c>
      <c r="P1073" s="16">
        <f>IF(($B1072=$B1073),$M1072,"")</f>
        <v/>
      </c>
      <c r="Q1073" s="16">
        <f>$M1073+IF($L1073,1,-1)*mcx_slippage_ticks*mcx_al_tick_inr_kg</f>
        <v/>
      </c>
      <c r="R1073" s="18">
        <f>IF(($B1072=$B1073),$H1073*$I1073*kg_per_mt*($M1073-$M1072),0)</f>
        <v/>
      </c>
      <c r="S1073" s="18">
        <f>IF(($B1072=$B1073),$S1072,0)+$R1073</f>
        <v/>
      </c>
      <c r="T1073" s="18">
        <f>ABS($H1073)*$I1073*kg_per_mt*$M1073</f>
        <v/>
      </c>
      <c r="U1073" s="18">
        <f>IF($K1073,0,$T1073*mcx_al_margin_used_frac)</f>
        <v/>
      </c>
      <c r="V1073" s="18">
        <f>IF(($B1072=$B1073),$U1072,0)</f>
        <v/>
      </c>
      <c r="W1073" s="18">
        <f>$U1073-$V1073</f>
        <v/>
      </c>
      <c r="X1073" s="18">
        <f>IF($K1073,0,$T1073*0.12)</f>
        <v/>
      </c>
      <c r="Y1073" s="18">
        <f>IF($K1073,0,$T1073*0.15)</f>
        <v/>
      </c>
      <c r="Z1073" s="18">
        <f>IF($F1073="hold",0,-ABS($H1073)*$I1073*kg_per_mt*mcx_slippage_ticks*mcx_al_tick_inr_kg)</f>
        <v/>
      </c>
      <c r="AA1073" s="18">
        <f>IF($F1073="hold",0,-ABS($H1073)*$I1073*kg_per_mt*$Q1073*mcx_txn_cost_frac)</f>
        <v/>
      </c>
      <c r="AB1073" s="18">
        <f>$Z1073+$AA1073</f>
        <v/>
      </c>
      <c r="AC1073" s="18">
        <f>$R1073-$W1073+$AB1073</f>
        <v/>
      </c>
      <c r="AD1073" s="18">
        <f>IF(($B1072=$B1073),$AD1072,0)+$AC1073</f>
        <v/>
      </c>
      <c r="AE1073" s="23" t="n">
        <v>397685.31</v>
      </c>
      <c r="AF1073" s="23" t="n">
        <v>14680480.64</v>
      </c>
      <c r="AG1073" s="23" t="n">
        <v>0</v>
      </c>
      <c r="AH1073" s="23" t="n">
        <v>437453.84</v>
      </c>
      <c r="AI1073" s="23" t="n">
        <v>-3855.8</v>
      </c>
      <c r="AJ1073" s="18">
        <f>$R1073-$AE1073</f>
        <v/>
      </c>
      <c r="AK1073" s="18">
        <f>$U1073-$AF1073</f>
        <v/>
      </c>
      <c r="AL1073" s="18">
        <f>$AC1073-$AH1073</f>
        <v/>
      </c>
      <c r="AM1073" s="8">
        <f>IF(AND(ABS($AJ1073)&lt;=tol_mcx_inr,ABS($AK1073)&lt;=tol_mcx_inr,ABS($AL1073)&lt;=tol_mcx_inr),"PASS","FAIL")</f>
        <v/>
      </c>
    </row>
    <row r="1074">
      <c r="A1074" s="7" t="inlineStr">
        <is>
          <t>T01</t>
        </is>
      </c>
      <c r="B1074" s="7" t="inlineStr">
        <is>
          <t>T01-MCX-2</t>
        </is>
      </c>
      <c r="C1074" s="11" t="n">
        <v>44631</v>
      </c>
      <c r="D1074" s="7" t="n">
        <v>202204</v>
      </c>
      <c r="E1074" s="7" t="inlineStr">
        <is>
          <t>SELL</t>
        </is>
      </c>
      <c r="F1074" s="7" t="inlineStr">
        <is>
          <t>hold</t>
        </is>
      </c>
      <c r="G1074" s="17" t="b">
        <v>1</v>
      </c>
      <c r="H1074" s="6" t="n">
        <v>-100</v>
      </c>
      <c r="I1074" s="13" t="n">
        <v>5</v>
      </c>
      <c r="J1074" s="8">
        <f>OR($F1074="entry",$F1074="roll_in")</f>
        <v/>
      </c>
      <c r="K1074" s="8">
        <f>OR($F1074="exit",$F1074="roll_out")</f>
        <v/>
      </c>
      <c r="L1074" s="8">
        <f>OR(AND($E1074="SELL",$K1074),AND($E1074="BUY",$J1074))</f>
        <v/>
      </c>
      <c r="M1074" s="16">
        <f>((INDEX(Market_Daily!$B$6:$B$256,MATCH($C1074,Market_Daily!$A$6:$A$256,0))*INDEX(Market_Daily!$F$6:$F$256,MATCH($C1074,Market_Daily!$A$6:$A$256,0))/kg_per_mt*(1+bcd_primary_al_hs7601*(1+sws_rate_on_bcd))+mcx_domestic_premium_inr_kg)*(1+INDEX(Market_Daily!$I$6:$I$256,MATCH($C1074,Market_Daily!$A$6:$A$256,0))*MAX(0,INDEX(mcx_expiries,MATCH($D1074,mcx_months,0))-$C1074)/day_count_inr))</f>
        <v/>
      </c>
      <c r="N1074" s="16">
        <f>IF(INDEX(Market_Daily!$S$6:$S$256,MATCH($C1074,Market_Daily!$A$6:$A$256,0))=$D1074,INDEX(Market_Daily!$M$6:$M$256,MATCH($C1074,Market_Daily!$A$6:$A$256,0)),IF(INDEX(Market_Daily!$T$6:$T$256,MATCH($C1074,Market_Daily!$A$6:$A$256,0))=$D1074,INDEX(Market_Daily!$N$6:$N$256,MATCH($C1074,Market_Daily!$A$6:$A$256,0)),NA()))</f>
        <v/>
      </c>
      <c r="O1074" s="16">
        <f>$N1074-$M1074</f>
        <v/>
      </c>
      <c r="P1074" s="16">
        <f>IF(($B1073=$B1074),$M1073,"")</f>
        <v/>
      </c>
      <c r="Q1074" s="16">
        <f>$M1074+IF($L1074,1,-1)*mcx_slippage_ticks*mcx_al_tick_inr_kg</f>
        <v/>
      </c>
      <c r="R1074" s="18">
        <f>IF(($B1073=$B1074),$H1074*$I1074*kg_per_mt*($M1074-$M1073),0)</f>
        <v/>
      </c>
      <c r="S1074" s="18">
        <f>IF(($B1073=$B1074),$S1073,0)+$R1074</f>
        <v/>
      </c>
      <c r="T1074" s="18">
        <f>ABS($H1074)*$I1074*kg_per_mt*$M1074</f>
        <v/>
      </c>
      <c r="U1074" s="18">
        <f>IF($K1074,0,$T1074*mcx_al_margin_used_frac)</f>
        <v/>
      </c>
      <c r="V1074" s="18">
        <f>IF(($B1073=$B1074),$U1073,0)</f>
        <v/>
      </c>
      <c r="W1074" s="18">
        <f>$U1074-$V1074</f>
        <v/>
      </c>
      <c r="X1074" s="18">
        <f>IF($K1074,0,$T1074*0.12)</f>
        <v/>
      </c>
      <c r="Y1074" s="18">
        <f>IF($K1074,0,$T1074*0.15)</f>
        <v/>
      </c>
      <c r="Z1074" s="18">
        <f>IF($F1074="hold",0,-ABS($H1074)*$I1074*kg_per_mt*mcx_slippage_ticks*mcx_al_tick_inr_kg)</f>
        <v/>
      </c>
      <c r="AA1074" s="18">
        <f>IF($F1074="hold",0,-ABS($H1074)*$I1074*kg_per_mt*$Q1074*mcx_txn_cost_frac)</f>
        <v/>
      </c>
      <c r="AB1074" s="18">
        <f>$Z1074+$AA1074</f>
        <v/>
      </c>
      <c r="AC1074" s="18">
        <f>$R1074-$W1074+$AB1074</f>
        <v/>
      </c>
      <c r="AD1074" s="18">
        <f>IF(($B1073=$B1074),$AD1073,0)+$AC1074</f>
        <v/>
      </c>
      <c r="AE1074" s="23" t="n">
        <v>2462889.85</v>
      </c>
      <c r="AF1074" s="23" t="n">
        <v>14434191.66</v>
      </c>
      <c r="AG1074" s="23" t="n">
        <v>0</v>
      </c>
      <c r="AH1074" s="23" t="n">
        <v>2709178.83</v>
      </c>
      <c r="AI1074" s="23" t="n">
        <v>-3741.94</v>
      </c>
      <c r="AJ1074" s="18">
        <f>$R1074-$AE1074</f>
        <v/>
      </c>
      <c r="AK1074" s="18">
        <f>$U1074-$AF1074</f>
        <v/>
      </c>
      <c r="AL1074" s="18">
        <f>$AC1074-$AH1074</f>
        <v/>
      </c>
      <c r="AM1074" s="8">
        <f>IF(AND(ABS($AJ1074)&lt;=tol_mcx_inr,ABS($AK1074)&lt;=tol_mcx_inr,ABS($AL1074)&lt;=tol_mcx_inr),"PASS","FAIL")</f>
        <v/>
      </c>
    </row>
    <row r="1075">
      <c r="A1075" s="7" t="inlineStr">
        <is>
          <t>T01</t>
        </is>
      </c>
      <c r="B1075" s="7" t="inlineStr">
        <is>
          <t>T01-MCX-2</t>
        </is>
      </c>
      <c r="C1075" s="11" t="n">
        <v>44634</v>
      </c>
      <c r="D1075" s="7" t="n">
        <v>202204</v>
      </c>
      <c r="E1075" s="7" t="inlineStr">
        <is>
          <t>SELL</t>
        </is>
      </c>
      <c r="F1075" s="7" t="inlineStr">
        <is>
          <t>hold</t>
        </is>
      </c>
      <c r="G1075" s="17" t="b">
        <v>1</v>
      </c>
      <c r="H1075" s="6" t="n">
        <v>-100</v>
      </c>
      <c r="I1075" s="13" t="n">
        <v>5</v>
      </c>
      <c r="J1075" s="8">
        <f>OR($F1075="entry",$F1075="roll_in")</f>
        <v/>
      </c>
      <c r="K1075" s="8">
        <f>OR($F1075="exit",$F1075="roll_out")</f>
        <v/>
      </c>
      <c r="L1075" s="8">
        <f>OR(AND($E1075="SELL",$K1075),AND($E1075="BUY",$J1075))</f>
        <v/>
      </c>
      <c r="M1075" s="16">
        <f>((INDEX(Market_Daily!$B$6:$B$256,MATCH($C1075,Market_Daily!$A$6:$A$256,0))*INDEX(Market_Daily!$F$6:$F$256,MATCH($C1075,Market_Daily!$A$6:$A$256,0))/kg_per_mt*(1+bcd_primary_al_hs7601*(1+sws_rate_on_bcd))+mcx_domestic_premium_inr_kg)*(1+INDEX(Market_Daily!$I$6:$I$256,MATCH($C1075,Market_Daily!$A$6:$A$256,0))*MAX(0,INDEX(mcx_expiries,MATCH($D1075,mcx_months,0))-$C1075)/day_count_inr))</f>
        <v/>
      </c>
      <c r="N1075" s="16">
        <f>IF(INDEX(Market_Daily!$S$6:$S$256,MATCH($C1075,Market_Daily!$A$6:$A$256,0))=$D1075,INDEX(Market_Daily!$M$6:$M$256,MATCH($C1075,Market_Daily!$A$6:$A$256,0)),IF(INDEX(Market_Daily!$T$6:$T$256,MATCH($C1075,Market_Daily!$A$6:$A$256,0))=$D1075,INDEX(Market_Daily!$N$6:$N$256,MATCH($C1075,Market_Daily!$A$6:$A$256,0)),NA()))</f>
        <v/>
      </c>
      <c r="O1075" s="16">
        <f>$N1075-$M1075</f>
        <v/>
      </c>
      <c r="P1075" s="16">
        <f>IF(($B1074=$B1075),$M1074,"")</f>
        <v/>
      </c>
      <c r="Q1075" s="16">
        <f>$M1075+IF($L1075,1,-1)*mcx_slippage_ticks*mcx_al_tick_inr_kg</f>
        <v/>
      </c>
      <c r="R1075" s="18">
        <f>IF(($B1074=$B1075),$H1075*$I1075*kg_per_mt*($M1075-$M1074),0)</f>
        <v/>
      </c>
      <c r="S1075" s="18">
        <f>IF(($B1074=$B1075),$S1074,0)+$R1075</f>
        <v/>
      </c>
      <c r="T1075" s="18">
        <f>ABS($H1075)*$I1075*kg_per_mt*$M1075</f>
        <v/>
      </c>
      <c r="U1075" s="18">
        <f>IF($K1075,0,$T1075*mcx_al_margin_used_frac)</f>
        <v/>
      </c>
      <c r="V1075" s="18">
        <f>IF(($B1074=$B1075),$U1074,0)</f>
        <v/>
      </c>
      <c r="W1075" s="18">
        <f>$U1075-$V1075</f>
        <v/>
      </c>
      <c r="X1075" s="18">
        <f>IF($K1075,0,$T1075*0.12)</f>
        <v/>
      </c>
      <c r="Y1075" s="18">
        <f>IF($K1075,0,$T1075*0.15)</f>
        <v/>
      </c>
      <c r="Z1075" s="18">
        <f>IF($F1075="hold",0,-ABS($H1075)*$I1075*kg_per_mt*mcx_slippage_ticks*mcx_al_tick_inr_kg)</f>
        <v/>
      </c>
      <c r="AA1075" s="18">
        <f>IF($F1075="hold",0,-ABS($H1075)*$I1075*kg_per_mt*$Q1075*mcx_txn_cost_frac)</f>
        <v/>
      </c>
      <c r="AB1075" s="18">
        <f>$Z1075+$AA1075</f>
        <v/>
      </c>
      <c r="AC1075" s="18">
        <f>$R1075-$W1075+$AB1075</f>
        <v/>
      </c>
      <c r="AD1075" s="18">
        <f>IF(($B1074=$B1075),$AD1074,0)+$AC1075</f>
        <v/>
      </c>
      <c r="AE1075" s="23" t="n">
        <v>2787012.62</v>
      </c>
      <c r="AF1075" s="23" t="n">
        <v>14155490.4</v>
      </c>
      <c r="AG1075" s="23" t="n">
        <v>0</v>
      </c>
      <c r="AH1075" s="23" t="n">
        <v>3065713.88</v>
      </c>
      <c r="AI1075" s="23" t="n">
        <v>-9110.440000000001</v>
      </c>
      <c r="AJ1075" s="18">
        <f>$R1075-$AE1075</f>
        <v/>
      </c>
      <c r="AK1075" s="18">
        <f>$U1075-$AF1075</f>
        <v/>
      </c>
      <c r="AL1075" s="18">
        <f>$AC1075-$AH1075</f>
        <v/>
      </c>
      <c r="AM1075" s="8">
        <f>IF(AND(ABS($AJ1075)&lt;=tol_mcx_inr,ABS($AK1075)&lt;=tol_mcx_inr,ABS($AL1075)&lt;=tol_mcx_inr),"PASS","FAIL")</f>
        <v/>
      </c>
    </row>
    <row r="1076">
      <c r="A1076" s="7" t="inlineStr">
        <is>
          <t>T01</t>
        </is>
      </c>
      <c r="B1076" s="7" t="inlineStr">
        <is>
          <t>T01-MCX-2</t>
        </is>
      </c>
      <c r="C1076" s="11" t="n">
        <v>44635</v>
      </c>
      <c r="D1076" s="7" t="n">
        <v>202204</v>
      </c>
      <c r="E1076" s="7" t="inlineStr">
        <is>
          <t>SELL</t>
        </is>
      </c>
      <c r="F1076" s="7" t="inlineStr">
        <is>
          <t>hold</t>
        </is>
      </c>
      <c r="G1076" s="17" t="b">
        <v>1</v>
      </c>
      <c r="H1076" s="6" t="n">
        <v>-100</v>
      </c>
      <c r="I1076" s="13" t="n">
        <v>5</v>
      </c>
      <c r="J1076" s="8">
        <f>OR($F1076="entry",$F1076="roll_in")</f>
        <v/>
      </c>
      <c r="K1076" s="8">
        <f>OR($F1076="exit",$F1076="roll_out")</f>
        <v/>
      </c>
      <c r="L1076" s="8">
        <f>OR(AND($E1076="SELL",$K1076),AND($E1076="BUY",$J1076))</f>
        <v/>
      </c>
      <c r="M1076" s="16">
        <f>((INDEX(Market_Daily!$B$6:$B$256,MATCH($C1076,Market_Daily!$A$6:$A$256,0))*INDEX(Market_Daily!$F$6:$F$256,MATCH($C1076,Market_Daily!$A$6:$A$256,0))/kg_per_mt*(1+bcd_primary_al_hs7601*(1+sws_rate_on_bcd))+mcx_domestic_premium_inr_kg)*(1+INDEX(Market_Daily!$I$6:$I$256,MATCH($C1076,Market_Daily!$A$6:$A$256,0))*MAX(0,INDEX(mcx_expiries,MATCH($D1076,mcx_months,0))-$C1076)/day_count_inr))</f>
        <v/>
      </c>
      <c r="N1076" s="16">
        <f>IF(INDEX(Market_Daily!$S$6:$S$256,MATCH($C1076,Market_Daily!$A$6:$A$256,0))=$D1076,INDEX(Market_Daily!$M$6:$M$256,MATCH($C1076,Market_Daily!$A$6:$A$256,0)),IF(INDEX(Market_Daily!$T$6:$T$256,MATCH($C1076,Market_Daily!$A$6:$A$256,0))=$D1076,INDEX(Market_Daily!$N$6:$N$256,MATCH($C1076,Market_Daily!$A$6:$A$256,0)),NA()))</f>
        <v/>
      </c>
      <c r="O1076" s="16">
        <f>$N1076-$M1076</f>
        <v/>
      </c>
      <c r="P1076" s="16">
        <f>IF(($B1075=$B1076),$M1075,"")</f>
        <v/>
      </c>
      <c r="Q1076" s="16">
        <f>$M1076+IF($L1076,1,-1)*mcx_slippage_ticks*mcx_al_tick_inr_kg</f>
        <v/>
      </c>
      <c r="R1076" s="18">
        <f>IF(($B1075=$B1076),$H1076*$I1076*kg_per_mt*($M1076-$M1075),0)</f>
        <v/>
      </c>
      <c r="S1076" s="18">
        <f>IF(($B1075=$B1076),$S1075,0)+$R1076</f>
        <v/>
      </c>
      <c r="T1076" s="18">
        <f>ABS($H1076)*$I1076*kg_per_mt*$M1076</f>
        <v/>
      </c>
      <c r="U1076" s="18">
        <f>IF($K1076,0,$T1076*mcx_al_margin_used_frac)</f>
        <v/>
      </c>
      <c r="V1076" s="18">
        <f>IF(($B1075=$B1076),$U1075,0)</f>
        <v/>
      </c>
      <c r="W1076" s="18">
        <f>$U1076-$V1076</f>
        <v/>
      </c>
      <c r="X1076" s="18">
        <f>IF($K1076,0,$T1076*0.12)</f>
        <v/>
      </c>
      <c r="Y1076" s="18">
        <f>IF($K1076,0,$T1076*0.15)</f>
        <v/>
      </c>
      <c r="Z1076" s="18">
        <f>IF($F1076="hold",0,-ABS($H1076)*$I1076*kg_per_mt*mcx_slippage_ticks*mcx_al_tick_inr_kg)</f>
        <v/>
      </c>
      <c r="AA1076" s="18">
        <f>IF($F1076="hold",0,-ABS($H1076)*$I1076*kg_per_mt*$Q1076*mcx_txn_cost_frac)</f>
        <v/>
      </c>
      <c r="AB1076" s="18">
        <f>$Z1076+$AA1076</f>
        <v/>
      </c>
      <c r="AC1076" s="18">
        <f>$R1076-$W1076+$AB1076</f>
        <v/>
      </c>
      <c r="AD1076" s="18">
        <f>IF(($B1075=$B1076),$AD1075,0)+$AC1076</f>
        <v/>
      </c>
      <c r="AE1076" s="23" t="n">
        <v>7911462.39</v>
      </c>
      <c r="AF1076" s="23" t="n">
        <v>13364344.16</v>
      </c>
      <c r="AG1076" s="23" t="n">
        <v>0</v>
      </c>
      <c r="AH1076" s="23" t="n">
        <v>8702608.619999999</v>
      </c>
      <c r="AI1076" s="23" t="n">
        <v>-2238.89</v>
      </c>
      <c r="AJ1076" s="18">
        <f>$R1076-$AE1076</f>
        <v/>
      </c>
      <c r="AK1076" s="18">
        <f>$U1076-$AF1076</f>
        <v/>
      </c>
      <c r="AL1076" s="18">
        <f>$AC1076-$AH1076</f>
        <v/>
      </c>
      <c r="AM1076" s="8">
        <f>IF(AND(ABS($AJ1076)&lt;=tol_mcx_inr,ABS($AK1076)&lt;=tol_mcx_inr,ABS($AL1076)&lt;=tol_mcx_inr),"PASS","FAIL")</f>
        <v/>
      </c>
    </row>
    <row r="1077">
      <c r="A1077" s="7" t="inlineStr">
        <is>
          <t>T01</t>
        </is>
      </c>
      <c r="B1077" s="7" t="inlineStr">
        <is>
          <t>T01-MCX-2</t>
        </is>
      </c>
      <c r="C1077" s="11" t="n">
        <v>44636</v>
      </c>
      <c r="D1077" s="7" t="n">
        <v>202204</v>
      </c>
      <c r="E1077" s="7" t="inlineStr">
        <is>
          <t>SELL</t>
        </is>
      </c>
      <c r="F1077" s="7" t="inlineStr">
        <is>
          <t>hold</t>
        </is>
      </c>
      <c r="G1077" s="17" t="b">
        <v>1</v>
      </c>
      <c r="H1077" s="6" t="n">
        <v>-100</v>
      </c>
      <c r="I1077" s="13" t="n">
        <v>5</v>
      </c>
      <c r="J1077" s="8">
        <f>OR($F1077="entry",$F1077="roll_in")</f>
        <v/>
      </c>
      <c r="K1077" s="8">
        <f>OR($F1077="exit",$F1077="roll_out")</f>
        <v/>
      </c>
      <c r="L1077" s="8">
        <f>OR(AND($E1077="SELL",$K1077),AND($E1077="BUY",$J1077))</f>
        <v/>
      </c>
      <c r="M1077" s="16">
        <f>((INDEX(Market_Daily!$B$6:$B$256,MATCH($C1077,Market_Daily!$A$6:$A$256,0))*INDEX(Market_Daily!$F$6:$F$256,MATCH($C1077,Market_Daily!$A$6:$A$256,0))/kg_per_mt*(1+bcd_primary_al_hs7601*(1+sws_rate_on_bcd))+mcx_domestic_premium_inr_kg)*(1+INDEX(Market_Daily!$I$6:$I$256,MATCH($C1077,Market_Daily!$A$6:$A$256,0))*MAX(0,INDEX(mcx_expiries,MATCH($D1077,mcx_months,0))-$C1077)/day_count_inr))</f>
        <v/>
      </c>
      <c r="N1077" s="16">
        <f>IF(INDEX(Market_Daily!$S$6:$S$256,MATCH($C1077,Market_Daily!$A$6:$A$256,0))=$D1077,INDEX(Market_Daily!$M$6:$M$256,MATCH($C1077,Market_Daily!$A$6:$A$256,0)),IF(INDEX(Market_Daily!$T$6:$T$256,MATCH($C1077,Market_Daily!$A$6:$A$256,0))=$D1077,INDEX(Market_Daily!$N$6:$N$256,MATCH($C1077,Market_Daily!$A$6:$A$256,0)),NA()))</f>
        <v/>
      </c>
      <c r="O1077" s="16">
        <f>$N1077-$M1077</f>
        <v/>
      </c>
      <c r="P1077" s="16">
        <f>IF(($B1076=$B1077),$M1076,"")</f>
        <v/>
      </c>
      <c r="Q1077" s="16">
        <f>$M1077+IF($L1077,1,-1)*mcx_slippage_ticks*mcx_al_tick_inr_kg</f>
        <v/>
      </c>
      <c r="R1077" s="18">
        <f>IF(($B1076=$B1077),$H1077*$I1077*kg_per_mt*($M1077-$M1076),0)</f>
        <v/>
      </c>
      <c r="S1077" s="18">
        <f>IF(($B1076=$B1077),$S1076,0)+$R1077</f>
        <v/>
      </c>
      <c r="T1077" s="18">
        <f>ABS($H1077)*$I1077*kg_per_mt*$M1077</f>
        <v/>
      </c>
      <c r="U1077" s="18">
        <f>IF($K1077,0,$T1077*mcx_al_margin_used_frac)</f>
        <v/>
      </c>
      <c r="V1077" s="18">
        <f>IF(($B1076=$B1077),$U1076,0)</f>
        <v/>
      </c>
      <c r="W1077" s="18">
        <f>$U1077-$V1077</f>
        <v/>
      </c>
      <c r="X1077" s="18">
        <f>IF($K1077,0,$T1077*0.12)</f>
        <v/>
      </c>
      <c r="Y1077" s="18">
        <f>IF($K1077,0,$T1077*0.15)</f>
        <v/>
      </c>
      <c r="Z1077" s="18">
        <f>IF($F1077="hold",0,-ABS($H1077)*$I1077*kg_per_mt*mcx_slippage_ticks*mcx_al_tick_inr_kg)</f>
        <v/>
      </c>
      <c r="AA1077" s="18">
        <f>IF($F1077="hold",0,-ABS($H1077)*$I1077*kg_per_mt*$Q1077*mcx_txn_cost_frac)</f>
        <v/>
      </c>
      <c r="AB1077" s="18">
        <f>$Z1077+$AA1077</f>
        <v/>
      </c>
      <c r="AC1077" s="18">
        <f>$R1077-$W1077+$AB1077</f>
        <v/>
      </c>
      <c r="AD1077" s="18">
        <f>IF(($B1076=$B1077),$AD1076,0)+$AC1077</f>
        <v/>
      </c>
      <c r="AE1077" s="23" t="n">
        <v>-3338264.51</v>
      </c>
      <c r="AF1077" s="23" t="n">
        <v>13698170.61</v>
      </c>
      <c r="AG1077" s="23" t="n">
        <v>0</v>
      </c>
      <c r="AH1077" s="23" t="n">
        <v>-3672090.96</v>
      </c>
      <c r="AI1077" s="23" t="n">
        <v>26.17</v>
      </c>
      <c r="AJ1077" s="18">
        <f>$R1077-$AE1077</f>
        <v/>
      </c>
      <c r="AK1077" s="18">
        <f>$U1077-$AF1077</f>
        <v/>
      </c>
      <c r="AL1077" s="18">
        <f>$AC1077-$AH1077</f>
        <v/>
      </c>
      <c r="AM1077" s="8">
        <f>IF(AND(ABS($AJ1077)&lt;=tol_mcx_inr,ABS($AK1077)&lt;=tol_mcx_inr,ABS($AL1077)&lt;=tol_mcx_inr),"PASS","FAIL")</f>
        <v/>
      </c>
    </row>
    <row r="1078">
      <c r="A1078" s="7" t="inlineStr">
        <is>
          <t>T01</t>
        </is>
      </c>
      <c r="B1078" s="7" t="inlineStr">
        <is>
          <t>T01-MCX-2</t>
        </is>
      </c>
      <c r="C1078" s="11" t="n">
        <v>44637</v>
      </c>
      <c r="D1078" s="7" t="n">
        <v>202204</v>
      </c>
      <c r="E1078" s="7" t="inlineStr">
        <is>
          <t>SELL</t>
        </is>
      </c>
      <c r="F1078" s="7" t="inlineStr">
        <is>
          <t>hold</t>
        </is>
      </c>
      <c r="G1078" s="17" t="b">
        <v>1</v>
      </c>
      <c r="H1078" s="6" t="n">
        <v>-100</v>
      </c>
      <c r="I1078" s="13" t="n">
        <v>5</v>
      </c>
      <c r="J1078" s="8">
        <f>OR($F1078="entry",$F1078="roll_in")</f>
        <v/>
      </c>
      <c r="K1078" s="8">
        <f>OR($F1078="exit",$F1078="roll_out")</f>
        <v/>
      </c>
      <c r="L1078" s="8">
        <f>OR(AND($E1078="SELL",$K1078),AND($E1078="BUY",$J1078))</f>
        <v/>
      </c>
      <c r="M1078" s="16">
        <f>((INDEX(Market_Daily!$B$6:$B$256,MATCH($C1078,Market_Daily!$A$6:$A$256,0))*INDEX(Market_Daily!$F$6:$F$256,MATCH($C1078,Market_Daily!$A$6:$A$256,0))/kg_per_mt*(1+bcd_primary_al_hs7601*(1+sws_rate_on_bcd))+mcx_domestic_premium_inr_kg)*(1+INDEX(Market_Daily!$I$6:$I$256,MATCH($C1078,Market_Daily!$A$6:$A$256,0))*MAX(0,INDEX(mcx_expiries,MATCH($D1078,mcx_months,0))-$C1078)/day_count_inr))</f>
        <v/>
      </c>
      <c r="N1078" s="16">
        <f>IF(INDEX(Market_Daily!$S$6:$S$256,MATCH($C1078,Market_Daily!$A$6:$A$256,0))=$D1078,INDEX(Market_Daily!$M$6:$M$256,MATCH($C1078,Market_Daily!$A$6:$A$256,0)),IF(INDEX(Market_Daily!$T$6:$T$256,MATCH($C1078,Market_Daily!$A$6:$A$256,0))=$D1078,INDEX(Market_Daily!$N$6:$N$256,MATCH($C1078,Market_Daily!$A$6:$A$256,0)),NA()))</f>
        <v/>
      </c>
      <c r="O1078" s="16">
        <f>$N1078-$M1078</f>
        <v/>
      </c>
      <c r="P1078" s="16">
        <f>IF(($B1077=$B1078),$M1077,"")</f>
        <v/>
      </c>
      <c r="Q1078" s="16">
        <f>$M1078+IF($L1078,1,-1)*mcx_slippage_ticks*mcx_al_tick_inr_kg</f>
        <v/>
      </c>
      <c r="R1078" s="18">
        <f>IF(($B1077=$B1078),$H1078*$I1078*kg_per_mt*($M1078-$M1077),0)</f>
        <v/>
      </c>
      <c r="S1078" s="18">
        <f>IF(($B1077=$B1078),$S1077,0)+$R1078</f>
        <v/>
      </c>
      <c r="T1078" s="18">
        <f>ABS($H1078)*$I1078*kg_per_mt*$M1078</f>
        <v/>
      </c>
      <c r="U1078" s="18">
        <f>IF($K1078,0,$T1078*mcx_al_margin_used_frac)</f>
        <v/>
      </c>
      <c r="V1078" s="18">
        <f>IF(($B1077=$B1078),$U1077,0)</f>
        <v/>
      </c>
      <c r="W1078" s="18">
        <f>$U1078-$V1078</f>
        <v/>
      </c>
      <c r="X1078" s="18">
        <f>IF($K1078,0,$T1078*0.12)</f>
        <v/>
      </c>
      <c r="Y1078" s="18">
        <f>IF($K1078,0,$T1078*0.15)</f>
        <v/>
      </c>
      <c r="Z1078" s="18">
        <f>IF($F1078="hold",0,-ABS($H1078)*$I1078*kg_per_mt*mcx_slippage_ticks*mcx_al_tick_inr_kg)</f>
        <v/>
      </c>
      <c r="AA1078" s="18">
        <f>IF($F1078="hold",0,-ABS($H1078)*$I1078*kg_per_mt*$Q1078*mcx_txn_cost_frac)</f>
        <v/>
      </c>
      <c r="AB1078" s="18">
        <f>$Z1078+$AA1078</f>
        <v/>
      </c>
      <c r="AC1078" s="18">
        <f>$R1078-$W1078+$AB1078</f>
        <v/>
      </c>
      <c r="AD1078" s="18">
        <f>IF(($B1077=$B1078),$AD1077,0)+$AC1078</f>
        <v/>
      </c>
      <c r="AE1078" s="23" t="n">
        <v>1360658.07</v>
      </c>
      <c r="AF1078" s="23" t="n">
        <v>13562104.8</v>
      </c>
      <c r="AG1078" s="23" t="n">
        <v>0</v>
      </c>
      <c r="AH1078" s="23" t="n">
        <v>1496723.87</v>
      </c>
      <c r="AI1078" s="23" t="n">
        <v>-929.58</v>
      </c>
      <c r="AJ1078" s="18">
        <f>$R1078-$AE1078</f>
        <v/>
      </c>
      <c r="AK1078" s="18">
        <f>$U1078-$AF1078</f>
        <v/>
      </c>
      <c r="AL1078" s="18">
        <f>$AC1078-$AH1078</f>
        <v/>
      </c>
      <c r="AM1078" s="8">
        <f>IF(AND(ABS($AJ1078)&lt;=tol_mcx_inr,ABS($AK1078)&lt;=tol_mcx_inr,ABS($AL1078)&lt;=tol_mcx_inr),"PASS","FAIL")</f>
        <v/>
      </c>
    </row>
    <row r="1079">
      <c r="A1079" s="7" t="inlineStr">
        <is>
          <t>T01</t>
        </is>
      </c>
      <c r="B1079" s="7" t="inlineStr">
        <is>
          <t>T01-MCX-2</t>
        </is>
      </c>
      <c r="C1079" s="11" t="n">
        <v>44638</v>
      </c>
      <c r="D1079" s="7" t="n">
        <v>202204</v>
      </c>
      <c r="E1079" s="7" t="inlineStr">
        <is>
          <t>SELL</t>
        </is>
      </c>
      <c r="F1079" s="7" t="inlineStr">
        <is>
          <t>hold</t>
        </is>
      </c>
      <c r="G1079" s="17" t="b">
        <v>1</v>
      </c>
      <c r="H1079" s="6" t="n">
        <v>-100</v>
      </c>
      <c r="I1079" s="13" t="n">
        <v>5</v>
      </c>
      <c r="J1079" s="8">
        <f>OR($F1079="entry",$F1079="roll_in")</f>
        <v/>
      </c>
      <c r="K1079" s="8">
        <f>OR($F1079="exit",$F1079="roll_out")</f>
        <v/>
      </c>
      <c r="L1079" s="8">
        <f>OR(AND($E1079="SELL",$K1079),AND($E1079="BUY",$J1079))</f>
        <v/>
      </c>
      <c r="M1079" s="16">
        <f>((INDEX(Market_Daily!$B$6:$B$256,MATCH($C1079,Market_Daily!$A$6:$A$256,0))*INDEX(Market_Daily!$F$6:$F$256,MATCH($C1079,Market_Daily!$A$6:$A$256,0))/kg_per_mt*(1+bcd_primary_al_hs7601*(1+sws_rate_on_bcd))+mcx_domestic_premium_inr_kg)*(1+INDEX(Market_Daily!$I$6:$I$256,MATCH($C1079,Market_Daily!$A$6:$A$256,0))*MAX(0,INDEX(mcx_expiries,MATCH($D1079,mcx_months,0))-$C1079)/day_count_inr))</f>
        <v/>
      </c>
      <c r="N1079" s="16">
        <f>IF(INDEX(Market_Daily!$S$6:$S$256,MATCH($C1079,Market_Daily!$A$6:$A$256,0))=$D1079,INDEX(Market_Daily!$M$6:$M$256,MATCH($C1079,Market_Daily!$A$6:$A$256,0)),IF(INDEX(Market_Daily!$T$6:$T$256,MATCH($C1079,Market_Daily!$A$6:$A$256,0))=$D1079,INDEX(Market_Daily!$N$6:$N$256,MATCH($C1079,Market_Daily!$A$6:$A$256,0)),NA()))</f>
        <v/>
      </c>
      <c r="O1079" s="16">
        <f>$N1079-$M1079</f>
        <v/>
      </c>
      <c r="P1079" s="16">
        <f>IF(($B1078=$B1079),$M1078,"")</f>
        <v/>
      </c>
      <c r="Q1079" s="16">
        <f>$M1079+IF($L1079,1,-1)*mcx_slippage_ticks*mcx_al_tick_inr_kg</f>
        <v/>
      </c>
      <c r="R1079" s="18">
        <f>IF(($B1078=$B1079),$H1079*$I1079*kg_per_mt*($M1079-$M1078),0)</f>
        <v/>
      </c>
      <c r="S1079" s="18">
        <f>IF(($B1078=$B1079),$S1078,0)+$R1079</f>
        <v/>
      </c>
      <c r="T1079" s="18">
        <f>ABS($H1079)*$I1079*kg_per_mt*$M1079</f>
        <v/>
      </c>
      <c r="U1079" s="18">
        <f>IF($K1079,0,$T1079*mcx_al_margin_used_frac)</f>
        <v/>
      </c>
      <c r="V1079" s="18">
        <f>IF(($B1078=$B1079),$U1078,0)</f>
        <v/>
      </c>
      <c r="W1079" s="18">
        <f>$U1079-$V1079</f>
        <v/>
      </c>
      <c r="X1079" s="18">
        <f>IF($K1079,0,$T1079*0.12)</f>
        <v/>
      </c>
      <c r="Y1079" s="18">
        <f>IF($K1079,0,$T1079*0.15)</f>
        <v/>
      </c>
      <c r="Z1079" s="18">
        <f>IF($F1079="hold",0,-ABS($H1079)*$I1079*kg_per_mt*mcx_slippage_ticks*mcx_al_tick_inr_kg)</f>
        <v/>
      </c>
      <c r="AA1079" s="18">
        <f>IF($F1079="hold",0,-ABS($H1079)*$I1079*kg_per_mt*$Q1079*mcx_txn_cost_frac)</f>
        <v/>
      </c>
      <c r="AB1079" s="18">
        <f>$Z1079+$AA1079</f>
        <v/>
      </c>
      <c r="AC1079" s="18">
        <f>$R1079-$W1079+$AB1079</f>
        <v/>
      </c>
      <c r="AD1079" s="18">
        <f>IF(($B1078=$B1079),$AD1078,0)+$AC1079</f>
        <v/>
      </c>
      <c r="AE1079" s="23" t="n">
        <v>-4243872.19</v>
      </c>
      <c r="AF1079" s="23" t="n">
        <v>13986492.02</v>
      </c>
      <c r="AG1079" s="23" t="n">
        <v>0</v>
      </c>
      <c r="AH1079" s="23" t="n">
        <v>-4668259.41</v>
      </c>
      <c r="AI1079" s="23" t="n">
        <v>-540.02</v>
      </c>
      <c r="AJ1079" s="18">
        <f>$R1079-$AE1079</f>
        <v/>
      </c>
      <c r="AK1079" s="18">
        <f>$U1079-$AF1079</f>
        <v/>
      </c>
      <c r="AL1079" s="18">
        <f>$AC1079-$AH1079</f>
        <v/>
      </c>
      <c r="AM1079" s="8">
        <f>IF(AND(ABS($AJ1079)&lt;=tol_mcx_inr,ABS($AK1079)&lt;=tol_mcx_inr,ABS($AL1079)&lt;=tol_mcx_inr),"PASS","FAIL")</f>
        <v/>
      </c>
    </row>
    <row r="1080">
      <c r="A1080" s="7" t="inlineStr">
        <is>
          <t>T01</t>
        </is>
      </c>
      <c r="B1080" s="7" t="inlineStr">
        <is>
          <t>T01-MCX-2</t>
        </is>
      </c>
      <c r="C1080" s="11" t="n">
        <v>44641</v>
      </c>
      <c r="D1080" s="7" t="n">
        <v>202204</v>
      </c>
      <c r="E1080" s="7" t="inlineStr">
        <is>
          <t>SELL</t>
        </is>
      </c>
      <c r="F1080" s="7" t="inlineStr">
        <is>
          <t>hold</t>
        </is>
      </c>
      <c r="G1080" s="17" t="b">
        <v>1</v>
      </c>
      <c r="H1080" s="6" t="n">
        <v>-100</v>
      </c>
      <c r="I1080" s="13" t="n">
        <v>5</v>
      </c>
      <c r="J1080" s="8">
        <f>OR($F1080="entry",$F1080="roll_in")</f>
        <v/>
      </c>
      <c r="K1080" s="8">
        <f>OR($F1080="exit",$F1080="roll_out")</f>
        <v/>
      </c>
      <c r="L1080" s="8">
        <f>OR(AND($E1080="SELL",$K1080),AND($E1080="BUY",$J1080))</f>
        <v/>
      </c>
      <c r="M1080" s="16">
        <f>((INDEX(Market_Daily!$B$6:$B$256,MATCH($C1080,Market_Daily!$A$6:$A$256,0))*INDEX(Market_Daily!$F$6:$F$256,MATCH($C1080,Market_Daily!$A$6:$A$256,0))/kg_per_mt*(1+bcd_primary_al_hs7601*(1+sws_rate_on_bcd))+mcx_domestic_premium_inr_kg)*(1+INDEX(Market_Daily!$I$6:$I$256,MATCH($C1080,Market_Daily!$A$6:$A$256,0))*MAX(0,INDEX(mcx_expiries,MATCH($D1080,mcx_months,0))-$C1080)/day_count_inr))</f>
        <v/>
      </c>
      <c r="N1080" s="16">
        <f>IF(INDEX(Market_Daily!$S$6:$S$256,MATCH($C1080,Market_Daily!$A$6:$A$256,0))=$D1080,INDEX(Market_Daily!$M$6:$M$256,MATCH($C1080,Market_Daily!$A$6:$A$256,0)),IF(INDEX(Market_Daily!$T$6:$T$256,MATCH($C1080,Market_Daily!$A$6:$A$256,0))=$D1080,INDEX(Market_Daily!$N$6:$N$256,MATCH($C1080,Market_Daily!$A$6:$A$256,0)),NA()))</f>
        <v/>
      </c>
      <c r="O1080" s="16">
        <f>$N1080-$M1080</f>
        <v/>
      </c>
      <c r="P1080" s="16">
        <f>IF(($B1079=$B1080),$M1079,"")</f>
        <v/>
      </c>
      <c r="Q1080" s="16">
        <f>$M1080+IF($L1080,1,-1)*mcx_slippage_ticks*mcx_al_tick_inr_kg</f>
        <v/>
      </c>
      <c r="R1080" s="18">
        <f>IF(($B1079=$B1080),$H1080*$I1080*kg_per_mt*($M1080-$M1079),0)</f>
        <v/>
      </c>
      <c r="S1080" s="18">
        <f>IF(($B1079=$B1080),$S1079,0)+$R1080</f>
        <v/>
      </c>
      <c r="T1080" s="18">
        <f>ABS($H1080)*$I1080*kg_per_mt*$M1080</f>
        <v/>
      </c>
      <c r="U1080" s="18">
        <f>IF($K1080,0,$T1080*mcx_al_margin_used_frac)</f>
        <v/>
      </c>
      <c r="V1080" s="18">
        <f>IF(($B1079=$B1080),$U1079,0)</f>
        <v/>
      </c>
      <c r="W1080" s="18">
        <f>$U1080-$V1080</f>
        <v/>
      </c>
      <c r="X1080" s="18">
        <f>IF($K1080,0,$T1080*0.12)</f>
        <v/>
      </c>
      <c r="Y1080" s="18">
        <f>IF($K1080,0,$T1080*0.15)</f>
        <v/>
      </c>
      <c r="Z1080" s="18">
        <f>IF($F1080="hold",0,-ABS($H1080)*$I1080*kg_per_mt*mcx_slippage_ticks*mcx_al_tick_inr_kg)</f>
        <v/>
      </c>
      <c r="AA1080" s="18">
        <f>IF($F1080="hold",0,-ABS($H1080)*$I1080*kg_per_mt*$Q1080*mcx_txn_cost_frac)</f>
        <v/>
      </c>
      <c r="AB1080" s="18">
        <f>$Z1080+$AA1080</f>
        <v/>
      </c>
      <c r="AC1080" s="18">
        <f>$R1080-$W1080+$AB1080</f>
        <v/>
      </c>
      <c r="AD1080" s="18">
        <f>IF(($B1079=$B1080),$AD1079,0)+$AC1080</f>
        <v/>
      </c>
      <c r="AE1080" s="23" t="n">
        <v>-5942913.15</v>
      </c>
      <c r="AF1080" s="23" t="n">
        <v>14580783.34</v>
      </c>
      <c r="AG1080" s="23" t="n">
        <v>0</v>
      </c>
      <c r="AH1080" s="23" t="n">
        <v>-6537204.46</v>
      </c>
      <c r="AI1080" s="23" t="n">
        <v>-5265.13</v>
      </c>
      <c r="AJ1080" s="18">
        <f>$R1080-$AE1080</f>
        <v/>
      </c>
      <c r="AK1080" s="18">
        <f>$U1080-$AF1080</f>
        <v/>
      </c>
      <c r="AL1080" s="18">
        <f>$AC1080-$AH1080</f>
        <v/>
      </c>
      <c r="AM1080" s="8">
        <f>IF(AND(ABS($AJ1080)&lt;=tol_mcx_inr,ABS($AK1080)&lt;=tol_mcx_inr,ABS($AL1080)&lt;=tol_mcx_inr),"PASS","FAIL")</f>
        <v/>
      </c>
    </row>
    <row r="1081">
      <c r="A1081" s="7" t="inlineStr">
        <is>
          <t>T01</t>
        </is>
      </c>
      <c r="B1081" s="7" t="inlineStr">
        <is>
          <t>T01-MCX-2</t>
        </is>
      </c>
      <c r="C1081" s="11" t="n">
        <v>44642</v>
      </c>
      <c r="D1081" s="7" t="n">
        <v>202204</v>
      </c>
      <c r="E1081" s="7" t="inlineStr">
        <is>
          <t>SELL</t>
        </is>
      </c>
      <c r="F1081" s="7" t="inlineStr">
        <is>
          <t>hold</t>
        </is>
      </c>
      <c r="G1081" s="17" t="b">
        <v>1</v>
      </c>
      <c r="H1081" s="6" t="n">
        <v>-100</v>
      </c>
      <c r="I1081" s="13" t="n">
        <v>5</v>
      </c>
      <c r="J1081" s="8">
        <f>OR($F1081="entry",$F1081="roll_in")</f>
        <v/>
      </c>
      <c r="K1081" s="8">
        <f>OR($F1081="exit",$F1081="roll_out")</f>
        <v/>
      </c>
      <c r="L1081" s="8">
        <f>OR(AND($E1081="SELL",$K1081),AND($E1081="BUY",$J1081))</f>
        <v/>
      </c>
      <c r="M1081" s="16">
        <f>((INDEX(Market_Daily!$B$6:$B$256,MATCH($C1081,Market_Daily!$A$6:$A$256,0))*INDEX(Market_Daily!$F$6:$F$256,MATCH($C1081,Market_Daily!$A$6:$A$256,0))/kg_per_mt*(1+bcd_primary_al_hs7601*(1+sws_rate_on_bcd))+mcx_domestic_premium_inr_kg)*(1+INDEX(Market_Daily!$I$6:$I$256,MATCH($C1081,Market_Daily!$A$6:$A$256,0))*MAX(0,INDEX(mcx_expiries,MATCH($D1081,mcx_months,0))-$C1081)/day_count_inr))</f>
        <v/>
      </c>
      <c r="N1081" s="16">
        <f>IF(INDEX(Market_Daily!$S$6:$S$256,MATCH($C1081,Market_Daily!$A$6:$A$256,0))=$D1081,INDEX(Market_Daily!$M$6:$M$256,MATCH($C1081,Market_Daily!$A$6:$A$256,0)),IF(INDEX(Market_Daily!$T$6:$T$256,MATCH($C1081,Market_Daily!$A$6:$A$256,0))=$D1081,INDEX(Market_Daily!$N$6:$N$256,MATCH($C1081,Market_Daily!$A$6:$A$256,0)),NA()))</f>
        <v/>
      </c>
      <c r="O1081" s="16">
        <f>$N1081-$M1081</f>
        <v/>
      </c>
      <c r="P1081" s="16">
        <f>IF(($B1080=$B1081),$M1080,"")</f>
        <v/>
      </c>
      <c r="Q1081" s="16">
        <f>$M1081+IF($L1081,1,-1)*mcx_slippage_ticks*mcx_al_tick_inr_kg</f>
        <v/>
      </c>
      <c r="R1081" s="18">
        <f>IF(($B1080=$B1081),$H1081*$I1081*kg_per_mt*($M1081-$M1080),0)</f>
        <v/>
      </c>
      <c r="S1081" s="18">
        <f>IF(($B1080=$B1081),$S1080,0)+$R1081</f>
        <v/>
      </c>
      <c r="T1081" s="18">
        <f>ABS($H1081)*$I1081*kg_per_mt*$M1081</f>
        <v/>
      </c>
      <c r="U1081" s="18">
        <f>IF($K1081,0,$T1081*mcx_al_margin_used_frac)</f>
        <v/>
      </c>
      <c r="V1081" s="18">
        <f>IF(($B1080=$B1081),$U1080,0)</f>
        <v/>
      </c>
      <c r="W1081" s="18">
        <f>$U1081-$V1081</f>
        <v/>
      </c>
      <c r="X1081" s="18">
        <f>IF($K1081,0,$T1081*0.12)</f>
        <v/>
      </c>
      <c r="Y1081" s="18">
        <f>IF($K1081,0,$T1081*0.15)</f>
        <v/>
      </c>
      <c r="Z1081" s="18">
        <f>IF($F1081="hold",0,-ABS($H1081)*$I1081*kg_per_mt*mcx_slippage_ticks*mcx_al_tick_inr_kg)</f>
        <v/>
      </c>
      <c r="AA1081" s="18">
        <f>IF($F1081="hold",0,-ABS($H1081)*$I1081*kg_per_mt*$Q1081*mcx_txn_cost_frac)</f>
        <v/>
      </c>
      <c r="AB1081" s="18">
        <f>$Z1081+$AA1081</f>
        <v/>
      </c>
      <c r="AC1081" s="18">
        <f>$R1081-$W1081+$AB1081</f>
        <v/>
      </c>
      <c r="AD1081" s="18">
        <f>IF(($B1080=$B1081),$AD1080,0)+$AC1081</f>
        <v/>
      </c>
      <c r="AE1081" s="23" t="n">
        <v>-1047836.36</v>
      </c>
      <c r="AF1081" s="23" t="n">
        <v>14685566.97</v>
      </c>
      <c r="AG1081" s="23" t="n">
        <v>0</v>
      </c>
      <c r="AH1081" s="23" t="n">
        <v>-1152619.99</v>
      </c>
      <c r="AI1081" s="23" t="n">
        <v>-3456.51</v>
      </c>
      <c r="AJ1081" s="18">
        <f>$R1081-$AE1081</f>
        <v/>
      </c>
      <c r="AK1081" s="18">
        <f>$U1081-$AF1081</f>
        <v/>
      </c>
      <c r="AL1081" s="18">
        <f>$AC1081-$AH1081</f>
        <v/>
      </c>
      <c r="AM1081" s="8">
        <f>IF(AND(ABS($AJ1081)&lt;=tol_mcx_inr,ABS($AK1081)&lt;=tol_mcx_inr,ABS($AL1081)&lt;=tol_mcx_inr),"PASS","FAIL")</f>
        <v/>
      </c>
    </row>
    <row r="1082">
      <c r="A1082" s="7" t="inlineStr">
        <is>
          <t>T01</t>
        </is>
      </c>
      <c r="B1082" s="7" t="inlineStr">
        <is>
          <t>T01-MCX-2</t>
        </is>
      </c>
      <c r="C1082" s="11" t="n">
        <v>44643</v>
      </c>
      <c r="D1082" s="7" t="n">
        <v>202204</v>
      </c>
      <c r="E1082" s="7" t="inlineStr">
        <is>
          <t>SELL</t>
        </is>
      </c>
      <c r="F1082" s="7" t="inlineStr">
        <is>
          <t>hold</t>
        </is>
      </c>
      <c r="G1082" s="17" t="b">
        <v>1</v>
      </c>
      <c r="H1082" s="6" t="n">
        <v>-100</v>
      </c>
      <c r="I1082" s="13" t="n">
        <v>5</v>
      </c>
      <c r="J1082" s="8">
        <f>OR($F1082="entry",$F1082="roll_in")</f>
        <v/>
      </c>
      <c r="K1082" s="8">
        <f>OR($F1082="exit",$F1082="roll_out")</f>
        <v/>
      </c>
      <c r="L1082" s="8">
        <f>OR(AND($E1082="SELL",$K1082),AND($E1082="BUY",$J1082))</f>
        <v/>
      </c>
      <c r="M1082" s="16">
        <f>((INDEX(Market_Daily!$B$6:$B$256,MATCH($C1082,Market_Daily!$A$6:$A$256,0))*INDEX(Market_Daily!$F$6:$F$256,MATCH($C1082,Market_Daily!$A$6:$A$256,0))/kg_per_mt*(1+bcd_primary_al_hs7601*(1+sws_rate_on_bcd))+mcx_domestic_premium_inr_kg)*(1+INDEX(Market_Daily!$I$6:$I$256,MATCH($C1082,Market_Daily!$A$6:$A$256,0))*MAX(0,INDEX(mcx_expiries,MATCH($D1082,mcx_months,0))-$C1082)/day_count_inr))</f>
        <v/>
      </c>
      <c r="N1082" s="16">
        <f>IF(INDEX(Market_Daily!$S$6:$S$256,MATCH($C1082,Market_Daily!$A$6:$A$256,0))=$D1082,INDEX(Market_Daily!$M$6:$M$256,MATCH($C1082,Market_Daily!$A$6:$A$256,0)),IF(INDEX(Market_Daily!$T$6:$T$256,MATCH($C1082,Market_Daily!$A$6:$A$256,0))=$D1082,INDEX(Market_Daily!$N$6:$N$256,MATCH($C1082,Market_Daily!$A$6:$A$256,0)),NA()))</f>
        <v/>
      </c>
      <c r="O1082" s="16">
        <f>$N1082-$M1082</f>
        <v/>
      </c>
      <c r="P1082" s="16">
        <f>IF(($B1081=$B1082),$M1081,"")</f>
        <v/>
      </c>
      <c r="Q1082" s="16">
        <f>$M1082+IF($L1082,1,-1)*mcx_slippage_ticks*mcx_al_tick_inr_kg</f>
        <v/>
      </c>
      <c r="R1082" s="18">
        <f>IF(($B1081=$B1082),$H1082*$I1082*kg_per_mt*($M1082-$M1081),0)</f>
        <v/>
      </c>
      <c r="S1082" s="18">
        <f>IF(($B1081=$B1082),$S1081,0)+$R1082</f>
        <v/>
      </c>
      <c r="T1082" s="18">
        <f>ABS($H1082)*$I1082*kg_per_mt*$M1082</f>
        <v/>
      </c>
      <c r="U1082" s="18">
        <f>IF($K1082,0,$T1082*mcx_al_margin_used_frac)</f>
        <v/>
      </c>
      <c r="V1082" s="18">
        <f>IF(($B1081=$B1082),$U1081,0)</f>
        <v/>
      </c>
      <c r="W1082" s="18">
        <f>$U1082-$V1082</f>
        <v/>
      </c>
      <c r="X1082" s="18">
        <f>IF($K1082,0,$T1082*0.12)</f>
        <v/>
      </c>
      <c r="Y1082" s="18">
        <f>IF($K1082,0,$T1082*0.15)</f>
        <v/>
      </c>
      <c r="Z1082" s="18">
        <f>IF($F1082="hold",0,-ABS($H1082)*$I1082*kg_per_mt*mcx_slippage_ticks*mcx_al_tick_inr_kg)</f>
        <v/>
      </c>
      <c r="AA1082" s="18">
        <f>IF($F1082="hold",0,-ABS($H1082)*$I1082*kg_per_mt*$Q1082*mcx_txn_cost_frac)</f>
        <v/>
      </c>
      <c r="AB1082" s="18">
        <f>$Z1082+$AA1082</f>
        <v/>
      </c>
      <c r="AC1082" s="18">
        <f>$R1082-$W1082+$AB1082</f>
        <v/>
      </c>
      <c r="AD1082" s="18">
        <f>IF(($B1081=$B1082),$AD1081,0)+$AC1082</f>
        <v/>
      </c>
      <c r="AE1082" s="23" t="n">
        <v>-993803.14</v>
      </c>
      <c r="AF1082" s="23" t="n">
        <v>14784947.29</v>
      </c>
      <c r="AG1082" s="23" t="n">
        <v>0</v>
      </c>
      <c r="AH1082" s="23" t="n">
        <v>-1093183.46</v>
      </c>
      <c r="AI1082" s="23" t="n">
        <v>-3756.51</v>
      </c>
      <c r="AJ1082" s="18">
        <f>$R1082-$AE1082</f>
        <v/>
      </c>
      <c r="AK1082" s="18">
        <f>$U1082-$AF1082</f>
        <v/>
      </c>
      <c r="AL1082" s="18">
        <f>$AC1082-$AH1082</f>
        <v/>
      </c>
      <c r="AM1082" s="8">
        <f>IF(AND(ABS($AJ1082)&lt;=tol_mcx_inr,ABS($AK1082)&lt;=tol_mcx_inr,ABS($AL1082)&lt;=tol_mcx_inr),"PASS","FAIL")</f>
        <v/>
      </c>
    </row>
    <row r="1083">
      <c r="A1083" s="7" t="inlineStr">
        <is>
          <t>T01</t>
        </is>
      </c>
      <c r="B1083" s="7" t="inlineStr">
        <is>
          <t>T01-MCX-2</t>
        </is>
      </c>
      <c r="C1083" s="11" t="n">
        <v>44644</v>
      </c>
      <c r="D1083" s="7" t="n">
        <v>202204</v>
      </c>
      <c r="E1083" s="7" t="inlineStr">
        <is>
          <t>SELL</t>
        </is>
      </c>
      <c r="F1083" s="7" t="inlineStr">
        <is>
          <t>hold</t>
        </is>
      </c>
      <c r="G1083" s="17" t="b">
        <v>1</v>
      </c>
      <c r="H1083" s="6" t="n">
        <v>-100</v>
      </c>
      <c r="I1083" s="13" t="n">
        <v>5</v>
      </c>
      <c r="J1083" s="8">
        <f>OR($F1083="entry",$F1083="roll_in")</f>
        <v/>
      </c>
      <c r="K1083" s="8">
        <f>OR($F1083="exit",$F1083="roll_out")</f>
        <v/>
      </c>
      <c r="L1083" s="8">
        <f>OR(AND($E1083="SELL",$K1083),AND($E1083="BUY",$J1083))</f>
        <v/>
      </c>
      <c r="M1083" s="16">
        <f>((INDEX(Market_Daily!$B$6:$B$256,MATCH($C1083,Market_Daily!$A$6:$A$256,0))*INDEX(Market_Daily!$F$6:$F$256,MATCH($C1083,Market_Daily!$A$6:$A$256,0))/kg_per_mt*(1+bcd_primary_al_hs7601*(1+sws_rate_on_bcd))+mcx_domestic_premium_inr_kg)*(1+INDEX(Market_Daily!$I$6:$I$256,MATCH($C1083,Market_Daily!$A$6:$A$256,0))*MAX(0,INDEX(mcx_expiries,MATCH($D1083,mcx_months,0))-$C1083)/day_count_inr))</f>
        <v/>
      </c>
      <c r="N1083" s="16">
        <f>IF(INDEX(Market_Daily!$S$6:$S$256,MATCH($C1083,Market_Daily!$A$6:$A$256,0))=$D1083,INDEX(Market_Daily!$M$6:$M$256,MATCH($C1083,Market_Daily!$A$6:$A$256,0)),IF(INDEX(Market_Daily!$T$6:$T$256,MATCH($C1083,Market_Daily!$A$6:$A$256,0))=$D1083,INDEX(Market_Daily!$N$6:$N$256,MATCH($C1083,Market_Daily!$A$6:$A$256,0)),NA()))</f>
        <v/>
      </c>
      <c r="O1083" s="16">
        <f>$N1083-$M1083</f>
        <v/>
      </c>
      <c r="P1083" s="16">
        <f>IF(($B1082=$B1083),$M1082,"")</f>
        <v/>
      </c>
      <c r="Q1083" s="16">
        <f>$M1083+IF($L1083,1,-1)*mcx_slippage_ticks*mcx_al_tick_inr_kg</f>
        <v/>
      </c>
      <c r="R1083" s="18">
        <f>IF(($B1082=$B1083),$H1083*$I1083*kg_per_mt*($M1083-$M1082),0)</f>
        <v/>
      </c>
      <c r="S1083" s="18">
        <f>IF(($B1082=$B1083),$S1082,0)+$R1083</f>
        <v/>
      </c>
      <c r="T1083" s="18">
        <f>ABS($H1083)*$I1083*kg_per_mt*$M1083</f>
        <v/>
      </c>
      <c r="U1083" s="18">
        <f>IF($K1083,0,$T1083*mcx_al_margin_used_frac)</f>
        <v/>
      </c>
      <c r="V1083" s="18">
        <f>IF(($B1082=$B1083),$U1082,0)</f>
        <v/>
      </c>
      <c r="W1083" s="18">
        <f>$U1083-$V1083</f>
        <v/>
      </c>
      <c r="X1083" s="18">
        <f>IF($K1083,0,$T1083*0.12)</f>
        <v/>
      </c>
      <c r="Y1083" s="18">
        <f>IF($K1083,0,$T1083*0.15)</f>
        <v/>
      </c>
      <c r="Z1083" s="18">
        <f>IF($F1083="hold",0,-ABS($H1083)*$I1083*kg_per_mt*mcx_slippage_ticks*mcx_al_tick_inr_kg)</f>
        <v/>
      </c>
      <c r="AA1083" s="18">
        <f>IF($F1083="hold",0,-ABS($H1083)*$I1083*kg_per_mt*$Q1083*mcx_txn_cost_frac)</f>
        <v/>
      </c>
      <c r="AB1083" s="18">
        <f>$Z1083+$AA1083</f>
        <v/>
      </c>
      <c r="AC1083" s="18">
        <f>$R1083-$W1083+$AB1083</f>
        <v/>
      </c>
      <c r="AD1083" s="18">
        <f>IF(($B1082=$B1083),$AD1082,0)+$AC1083</f>
        <v/>
      </c>
      <c r="AE1083" s="23" t="n">
        <v>-4240002.22</v>
      </c>
      <c r="AF1083" s="23" t="n">
        <v>15208947.51</v>
      </c>
      <c r="AG1083" s="23" t="n">
        <v>0</v>
      </c>
      <c r="AH1083" s="23" t="n">
        <v>-4664002.44</v>
      </c>
      <c r="AI1083" s="23" t="n">
        <v>-4041.03</v>
      </c>
      <c r="AJ1083" s="18">
        <f>$R1083-$AE1083</f>
        <v/>
      </c>
      <c r="AK1083" s="18">
        <f>$U1083-$AF1083</f>
        <v/>
      </c>
      <c r="AL1083" s="18">
        <f>$AC1083-$AH1083</f>
        <v/>
      </c>
      <c r="AM1083" s="8">
        <f>IF(AND(ABS($AJ1083)&lt;=tol_mcx_inr,ABS($AK1083)&lt;=tol_mcx_inr,ABS($AL1083)&lt;=tol_mcx_inr),"PASS","FAIL")</f>
        <v/>
      </c>
    </row>
    <row r="1084">
      <c r="A1084" s="7" t="inlineStr">
        <is>
          <t>T01</t>
        </is>
      </c>
      <c r="B1084" s="7" t="inlineStr">
        <is>
          <t>T01-MCX-2</t>
        </is>
      </c>
      <c r="C1084" s="11" t="n">
        <v>44645</v>
      </c>
      <c r="D1084" s="7" t="n">
        <v>202204</v>
      </c>
      <c r="E1084" s="7" t="inlineStr">
        <is>
          <t>SELL</t>
        </is>
      </c>
      <c r="F1084" s="7" t="inlineStr">
        <is>
          <t>hold</t>
        </is>
      </c>
      <c r="G1084" s="17" t="b">
        <v>1</v>
      </c>
      <c r="H1084" s="6" t="n">
        <v>-100</v>
      </c>
      <c r="I1084" s="13" t="n">
        <v>5</v>
      </c>
      <c r="J1084" s="8">
        <f>OR($F1084="entry",$F1084="roll_in")</f>
        <v/>
      </c>
      <c r="K1084" s="8">
        <f>OR($F1084="exit",$F1084="roll_out")</f>
        <v/>
      </c>
      <c r="L1084" s="8">
        <f>OR(AND($E1084="SELL",$K1084),AND($E1084="BUY",$J1084))</f>
        <v/>
      </c>
      <c r="M1084" s="16">
        <f>((INDEX(Market_Daily!$B$6:$B$256,MATCH($C1084,Market_Daily!$A$6:$A$256,0))*INDEX(Market_Daily!$F$6:$F$256,MATCH($C1084,Market_Daily!$A$6:$A$256,0))/kg_per_mt*(1+bcd_primary_al_hs7601*(1+sws_rate_on_bcd))+mcx_domestic_premium_inr_kg)*(1+INDEX(Market_Daily!$I$6:$I$256,MATCH($C1084,Market_Daily!$A$6:$A$256,0))*MAX(0,INDEX(mcx_expiries,MATCH($D1084,mcx_months,0))-$C1084)/day_count_inr))</f>
        <v/>
      </c>
      <c r="N1084" s="16">
        <f>IF(INDEX(Market_Daily!$S$6:$S$256,MATCH($C1084,Market_Daily!$A$6:$A$256,0))=$D1084,INDEX(Market_Daily!$M$6:$M$256,MATCH($C1084,Market_Daily!$A$6:$A$256,0)),IF(INDEX(Market_Daily!$T$6:$T$256,MATCH($C1084,Market_Daily!$A$6:$A$256,0))=$D1084,INDEX(Market_Daily!$N$6:$N$256,MATCH($C1084,Market_Daily!$A$6:$A$256,0)),NA()))</f>
        <v/>
      </c>
      <c r="O1084" s="16">
        <f>$N1084-$M1084</f>
        <v/>
      </c>
      <c r="P1084" s="16">
        <f>IF(($B1083=$B1084),$M1083,"")</f>
        <v/>
      </c>
      <c r="Q1084" s="16">
        <f>$M1084+IF($L1084,1,-1)*mcx_slippage_ticks*mcx_al_tick_inr_kg</f>
        <v/>
      </c>
      <c r="R1084" s="18">
        <f>IF(($B1083=$B1084),$H1084*$I1084*kg_per_mt*($M1084-$M1083),0)</f>
        <v/>
      </c>
      <c r="S1084" s="18">
        <f>IF(($B1083=$B1084),$S1083,0)+$R1084</f>
        <v/>
      </c>
      <c r="T1084" s="18">
        <f>ABS($H1084)*$I1084*kg_per_mt*$M1084</f>
        <v/>
      </c>
      <c r="U1084" s="18">
        <f>IF($K1084,0,$T1084*mcx_al_margin_used_frac)</f>
        <v/>
      </c>
      <c r="V1084" s="18">
        <f>IF(($B1083=$B1084),$U1083,0)</f>
        <v/>
      </c>
      <c r="W1084" s="18">
        <f>$U1084-$V1084</f>
        <v/>
      </c>
      <c r="X1084" s="18">
        <f>IF($K1084,0,$T1084*0.12)</f>
        <v/>
      </c>
      <c r="Y1084" s="18">
        <f>IF($K1084,0,$T1084*0.15)</f>
        <v/>
      </c>
      <c r="Z1084" s="18">
        <f>IF($F1084="hold",0,-ABS($H1084)*$I1084*kg_per_mt*mcx_slippage_ticks*mcx_al_tick_inr_kg)</f>
        <v/>
      </c>
      <c r="AA1084" s="18">
        <f>IF($F1084="hold",0,-ABS($H1084)*$I1084*kg_per_mt*$Q1084*mcx_txn_cost_frac)</f>
        <v/>
      </c>
      <c r="AB1084" s="18">
        <f>$Z1084+$AA1084</f>
        <v/>
      </c>
      <c r="AC1084" s="18">
        <f>$R1084-$W1084+$AB1084</f>
        <v/>
      </c>
      <c r="AD1084" s="18">
        <f>IF(($B1083=$B1084),$AD1083,0)+$AC1084</f>
        <v/>
      </c>
      <c r="AE1084" s="23" t="n">
        <v>3800132.19</v>
      </c>
      <c r="AF1084" s="23" t="n">
        <v>14828934.29</v>
      </c>
      <c r="AG1084" s="23" t="n">
        <v>0</v>
      </c>
      <c r="AH1084" s="23" t="n">
        <v>4180145.41</v>
      </c>
      <c r="AI1084" s="23" t="n">
        <v>-5254.95</v>
      </c>
      <c r="AJ1084" s="18">
        <f>$R1084-$AE1084</f>
        <v/>
      </c>
      <c r="AK1084" s="18">
        <f>$U1084-$AF1084</f>
        <v/>
      </c>
      <c r="AL1084" s="18">
        <f>$AC1084-$AH1084</f>
        <v/>
      </c>
      <c r="AM1084" s="8">
        <f>IF(AND(ABS($AJ1084)&lt;=tol_mcx_inr,ABS($AK1084)&lt;=tol_mcx_inr,ABS($AL1084)&lt;=tol_mcx_inr),"PASS","FAIL")</f>
        <v/>
      </c>
    </row>
    <row r="1085">
      <c r="A1085" s="7" t="inlineStr">
        <is>
          <t>T01</t>
        </is>
      </c>
      <c r="B1085" s="7" t="inlineStr">
        <is>
          <t>T01-MCX-2</t>
        </is>
      </c>
      <c r="C1085" s="11" t="n">
        <v>44648</v>
      </c>
      <c r="D1085" s="7" t="n">
        <v>202204</v>
      </c>
      <c r="E1085" s="7" t="inlineStr">
        <is>
          <t>SELL</t>
        </is>
      </c>
      <c r="F1085" s="7" t="inlineStr">
        <is>
          <t>hold</t>
        </is>
      </c>
      <c r="G1085" s="17" t="b">
        <v>1</v>
      </c>
      <c r="H1085" s="6" t="n">
        <v>-100</v>
      </c>
      <c r="I1085" s="13" t="n">
        <v>5</v>
      </c>
      <c r="J1085" s="8">
        <f>OR($F1085="entry",$F1085="roll_in")</f>
        <v/>
      </c>
      <c r="K1085" s="8">
        <f>OR($F1085="exit",$F1085="roll_out")</f>
        <v/>
      </c>
      <c r="L1085" s="8">
        <f>OR(AND($E1085="SELL",$K1085),AND($E1085="BUY",$J1085))</f>
        <v/>
      </c>
      <c r="M1085" s="16">
        <f>((INDEX(Market_Daily!$B$6:$B$256,MATCH($C1085,Market_Daily!$A$6:$A$256,0))*INDEX(Market_Daily!$F$6:$F$256,MATCH($C1085,Market_Daily!$A$6:$A$256,0))/kg_per_mt*(1+bcd_primary_al_hs7601*(1+sws_rate_on_bcd))+mcx_domestic_premium_inr_kg)*(1+INDEX(Market_Daily!$I$6:$I$256,MATCH($C1085,Market_Daily!$A$6:$A$256,0))*MAX(0,INDEX(mcx_expiries,MATCH($D1085,mcx_months,0))-$C1085)/day_count_inr))</f>
        <v/>
      </c>
      <c r="N1085" s="16">
        <f>IF(INDEX(Market_Daily!$S$6:$S$256,MATCH($C1085,Market_Daily!$A$6:$A$256,0))=$D1085,INDEX(Market_Daily!$M$6:$M$256,MATCH($C1085,Market_Daily!$A$6:$A$256,0)),IF(INDEX(Market_Daily!$T$6:$T$256,MATCH($C1085,Market_Daily!$A$6:$A$256,0))=$D1085,INDEX(Market_Daily!$N$6:$N$256,MATCH($C1085,Market_Daily!$A$6:$A$256,0)),NA()))</f>
        <v/>
      </c>
      <c r="O1085" s="16">
        <f>$N1085-$M1085</f>
        <v/>
      </c>
      <c r="P1085" s="16">
        <f>IF(($B1084=$B1085),$M1084,"")</f>
        <v/>
      </c>
      <c r="Q1085" s="16">
        <f>$M1085+IF($L1085,1,-1)*mcx_slippage_ticks*mcx_al_tick_inr_kg</f>
        <v/>
      </c>
      <c r="R1085" s="18">
        <f>IF(($B1084=$B1085),$H1085*$I1085*kg_per_mt*($M1085-$M1084),0)</f>
        <v/>
      </c>
      <c r="S1085" s="18">
        <f>IF(($B1084=$B1085),$S1084,0)+$R1085</f>
        <v/>
      </c>
      <c r="T1085" s="18">
        <f>ABS($H1085)*$I1085*kg_per_mt*$M1085</f>
        <v/>
      </c>
      <c r="U1085" s="18">
        <f>IF($K1085,0,$T1085*mcx_al_margin_used_frac)</f>
        <v/>
      </c>
      <c r="V1085" s="18">
        <f>IF(($B1084=$B1085),$U1084,0)</f>
        <v/>
      </c>
      <c r="W1085" s="18">
        <f>$U1085-$V1085</f>
        <v/>
      </c>
      <c r="X1085" s="18">
        <f>IF($K1085,0,$T1085*0.12)</f>
        <v/>
      </c>
      <c r="Y1085" s="18">
        <f>IF($K1085,0,$T1085*0.15)</f>
        <v/>
      </c>
      <c r="Z1085" s="18">
        <f>IF($F1085="hold",0,-ABS($H1085)*$I1085*kg_per_mt*mcx_slippage_ticks*mcx_al_tick_inr_kg)</f>
        <v/>
      </c>
      <c r="AA1085" s="18">
        <f>IF($F1085="hold",0,-ABS($H1085)*$I1085*kg_per_mt*$Q1085*mcx_txn_cost_frac)</f>
        <v/>
      </c>
      <c r="AB1085" s="18">
        <f>$Z1085+$AA1085</f>
        <v/>
      </c>
      <c r="AC1085" s="18">
        <f>$R1085-$W1085+$AB1085</f>
        <v/>
      </c>
      <c r="AD1085" s="18">
        <f>IF(($B1084=$B1085),$AD1084,0)+$AC1085</f>
        <v/>
      </c>
      <c r="AE1085" s="23" t="n">
        <v>-786642.62</v>
      </c>
      <c r="AF1085" s="23" t="n">
        <v>14907598.55</v>
      </c>
      <c r="AG1085" s="23" t="n">
        <v>0</v>
      </c>
      <c r="AH1085" s="23" t="n">
        <v>-865306.88</v>
      </c>
      <c r="AI1085" s="23" t="n">
        <v>-12500.91</v>
      </c>
      <c r="AJ1085" s="18">
        <f>$R1085-$AE1085</f>
        <v/>
      </c>
      <c r="AK1085" s="18">
        <f>$U1085-$AF1085</f>
        <v/>
      </c>
      <c r="AL1085" s="18">
        <f>$AC1085-$AH1085</f>
        <v/>
      </c>
      <c r="AM1085" s="8">
        <f>IF(AND(ABS($AJ1085)&lt;=tol_mcx_inr,ABS($AK1085)&lt;=tol_mcx_inr,ABS($AL1085)&lt;=tol_mcx_inr),"PASS","FAIL")</f>
        <v/>
      </c>
    </row>
    <row r="1086">
      <c r="A1086" s="7" t="inlineStr">
        <is>
          <t>T01</t>
        </is>
      </c>
      <c r="B1086" s="7" t="inlineStr">
        <is>
          <t>T01-MCX-2</t>
        </is>
      </c>
      <c r="C1086" s="11" t="n">
        <v>44649</v>
      </c>
      <c r="D1086" s="7" t="n">
        <v>202204</v>
      </c>
      <c r="E1086" s="7" t="inlineStr">
        <is>
          <t>SELL</t>
        </is>
      </c>
      <c r="F1086" s="7" t="inlineStr">
        <is>
          <t>hold</t>
        </is>
      </c>
      <c r="G1086" s="17" t="b">
        <v>1</v>
      </c>
      <c r="H1086" s="6" t="n">
        <v>-100</v>
      </c>
      <c r="I1086" s="13" t="n">
        <v>5</v>
      </c>
      <c r="J1086" s="8">
        <f>OR($F1086="entry",$F1086="roll_in")</f>
        <v/>
      </c>
      <c r="K1086" s="8">
        <f>OR($F1086="exit",$F1086="roll_out")</f>
        <v/>
      </c>
      <c r="L1086" s="8">
        <f>OR(AND($E1086="SELL",$K1086),AND($E1086="BUY",$J1086))</f>
        <v/>
      </c>
      <c r="M1086" s="16">
        <f>((INDEX(Market_Daily!$B$6:$B$256,MATCH($C1086,Market_Daily!$A$6:$A$256,0))*INDEX(Market_Daily!$F$6:$F$256,MATCH($C1086,Market_Daily!$A$6:$A$256,0))/kg_per_mt*(1+bcd_primary_al_hs7601*(1+sws_rate_on_bcd))+mcx_domestic_premium_inr_kg)*(1+INDEX(Market_Daily!$I$6:$I$256,MATCH($C1086,Market_Daily!$A$6:$A$256,0))*MAX(0,INDEX(mcx_expiries,MATCH($D1086,mcx_months,0))-$C1086)/day_count_inr))</f>
        <v/>
      </c>
      <c r="N1086" s="16">
        <f>IF(INDEX(Market_Daily!$S$6:$S$256,MATCH($C1086,Market_Daily!$A$6:$A$256,0))=$D1086,INDEX(Market_Daily!$M$6:$M$256,MATCH($C1086,Market_Daily!$A$6:$A$256,0)),IF(INDEX(Market_Daily!$T$6:$T$256,MATCH($C1086,Market_Daily!$A$6:$A$256,0))=$D1086,INDEX(Market_Daily!$N$6:$N$256,MATCH($C1086,Market_Daily!$A$6:$A$256,0)),NA()))</f>
        <v/>
      </c>
      <c r="O1086" s="16">
        <f>$N1086-$M1086</f>
        <v/>
      </c>
      <c r="P1086" s="16">
        <f>IF(($B1085=$B1086),$M1085,"")</f>
        <v/>
      </c>
      <c r="Q1086" s="16">
        <f>$M1086+IF($L1086,1,-1)*mcx_slippage_ticks*mcx_al_tick_inr_kg</f>
        <v/>
      </c>
      <c r="R1086" s="18">
        <f>IF(($B1085=$B1086),$H1086*$I1086*kg_per_mt*($M1086-$M1085),0)</f>
        <v/>
      </c>
      <c r="S1086" s="18">
        <f>IF(($B1085=$B1086),$S1085,0)+$R1086</f>
        <v/>
      </c>
      <c r="T1086" s="18">
        <f>ABS($H1086)*$I1086*kg_per_mt*$M1086</f>
        <v/>
      </c>
      <c r="U1086" s="18">
        <f>IF($K1086,0,$T1086*mcx_al_margin_used_frac)</f>
        <v/>
      </c>
      <c r="V1086" s="18">
        <f>IF(($B1085=$B1086),$U1085,0)</f>
        <v/>
      </c>
      <c r="W1086" s="18">
        <f>$U1086-$V1086</f>
        <v/>
      </c>
      <c r="X1086" s="18">
        <f>IF($K1086,0,$T1086*0.12)</f>
        <v/>
      </c>
      <c r="Y1086" s="18">
        <f>IF($K1086,0,$T1086*0.15)</f>
        <v/>
      </c>
      <c r="Z1086" s="18">
        <f>IF($F1086="hold",0,-ABS($H1086)*$I1086*kg_per_mt*mcx_slippage_ticks*mcx_al_tick_inr_kg)</f>
        <v/>
      </c>
      <c r="AA1086" s="18">
        <f>IF($F1086="hold",0,-ABS($H1086)*$I1086*kg_per_mt*$Q1086*mcx_txn_cost_frac)</f>
        <v/>
      </c>
      <c r="AB1086" s="18">
        <f>$Z1086+$AA1086</f>
        <v/>
      </c>
      <c r="AC1086" s="18">
        <f>$R1086-$W1086+$AB1086</f>
        <v/>
      </c>
      <c r="AD1086" s="18">
        <f>IF(($B1085=$B1086),$AD1085,0)+$AC1086</f>
        <v/>
      </c>
      <c r="AE1086" s="23" t="n">
        <v>1703098.4</v>
      </c>
      <c r="AF1086" s="23" t="n">
        <v>14737288.71</v>
      </c>
      <c r="AG1086" s="23" t="n">
        <v>0</v>
      </c>
      <c r="AH1086" s="23" t="n">
        <v>1873408.24</v>
      </c>
      <c r="AI1086" s="23" t="n">
        <v>-4392.19</v>
      </c>
      <c r="AJ1086" s="18">
        <f>$R1086-$AE1086</f>
        <v/>
      </c>
      <c r="AK1086" s="18">
        <f>$U1086-$AF1086</f>
        <v/>
      </c>
      <c r="AL1086" s="18">
        <f>$AC1086-$AH1086</f>
        <v/>
      </c>
      <c r="AM1086" s="8">
        <f>IF(AND(ABS($AJ1086)&lt;=tol_mcx_inr,ABS($AK1086)&lt;=tol_mcx_inr,ABS($AL1086)&lt;=tol_mcx_inr),"PASS","FAIL")</f>
        <v/>
      </c>
    </row>
    <row r="1087">
      <c r="A1087" s="7" t="inlineStr">
        <is>
          <t>T01</t>
        </is>
      </c>
      <c r="B1087" s="7" t="inlineStr">
        <is>
          <t>T01-MCX-2</t>
        </is>
      </c>
      <c r="C1087" s="11" t="n">
        <v>44650</v>
      </c>
      <c r="D1087" s="7" t="n">
        <v>202204</v>
      </c>
      <c r="E1087" s="7" t="inlineStr">
        <is>
          <t>SELL</t>
        </is>
      </c>
      <c r="F1087" s="7" t="inlineStr">
        <is>
          <t>hold</t>
        </is>
      </c>
      <c r="G1087" s="17" t="b">
        <v>1</v>
      </c>
      <c r="H1087" s="6" t="n">
        <v>-100</v>
      </c>
      <c r="I1087" s="13" t="n">
        <v>5</v>
      </c>
      <c r="J1087" s="8">
        <f>OR($F1087="entry",$F1087="roll_in")</f>
        <v/>
      </c>
      <c r="K1087" s="8">
        <f>OR($F1087="exit",$F1087="roll_out")</f>
        <v/>
      </c>
      <c r="L1087" s="8">
        <f>OR(AND($E1087="SELL",$K1087),AND($E1087="BUY",$J1087))</f>
        <v/>
      </c>
      <c r="M1087" s="16">
        <f>((INDEX(Market_Daily!$B$6:$B$256,MATCH($C1087,Market_Daily!$A$6:$A$256,0))*INDEX(Market_Daily!$F$6:$F$256,MATCH($C1087,Market_Daily!$A$6:$A$256,0))/kg_per_mt*(1+bcd_primary_al_hs7601*(1+sws_rate_on_bcd))+mcx_domestic_premium_inr_kg)*(1+INDEX(Market_Daily!$I$6:$I$256,MATCH($C1087,Market_Daily!$A$6:$A$256,0))*MAX(0,INDEX(mcx_expiries,MATCH($D1087,mcx_months,0))-$C1087)/day_count_inr))</f>
        <v/>
      </c>
      <c r="N1087" s="16">
        <f>IF(INDEX(Market_Daily!$S$6:$S$256,MATCH($C1087,Market_Daily!$A$6:$A$256,0))=$D1087,INDEX(Market_Daily!$M$6:$M$256,MATCH($C1087,Market_Daily!$A$6:$A$256,0)),IF(INDEX(Market_Daily!$T$6:$T$256,MATCH($C1087,Market_Daily!$A$6:$A$256,0))=$D1087,INDEX(Market_Daily!$N$6:$N$256,MATCH($C1087,Market_Daily!$A$6:$A$256,0)),NA()))</f>
        <v/>
      </c>
      <c r="O1087" s="16">
        <f>$N1087-$M1087</f>
        <v/>
      </c>
      <c r="P1087" s="16">
        <f>IF(($B1086=$B1087),$M1086,"")</f>
        <v/>
      </c>
      <c r="Q1087" s="16">
        <f>$M1087+IF($L1087,1,-1)*mcx_slippage_ticks*mcx_al_tick_inr_kg</f>
        <v/>
      </c>
      <c r="R1087" s="18">
        <f>IF(($B1086=$B1087),$H1087*$I1087*kg_per_mt*($M1087-$M1086),0)</f>
        <v/>
      </c>
      <c r="S1087" s="18">
        <f>IF(($B1086=$B1087),$S1086,0)+$R1087</f>
        <v/>
      </c>
      <c r="T1087" s="18">
        <f>ABS($H1087)*$I1087*kg_per_mt*$M1087</f>
        <v/>
      </c>
      <c r="U1087" s="18">
        <f>IF($K1087,0,$T1087*mcx_al_margin_used_frac)</f>
        <v/>
      </c>
      <c r="V1087" s="18">
        <f>IF(($B1086=$B1087),$U1086,0)</f>
        <v/>
      </c>
      <c r="W1087" s="18">
        <f>$U1087-$V1087</f>
        <v/>
      </c>
      <c r="X1087" s="18">
        <f>IF($K1087,0,$T1087*0.12)</f>
        <v/>
      </c>
      <c r="Y1087" s="18">
        <f>IF($K1087,0,$T1087*0.15)</f>
        <v/>
      </c>
      <c r="Z1087" s="18">
        <f>IF($F1087="hold",0,-ABS($H1087)*$I1087*kg_per_mt*mcx_slippage_ticks*mcx_al_tick_inr_kg)</f>
        <v/>
      </c>
      <c r="AA1087" s="18">
        <f>IF($F1087="hold",0,-ABS($H1087)*$I1087*kg_per_mt*$Q1087*mcx_txn_cost_frac)</f>
        <v/>
      </c>
      <c r="AB1087" s="18">
        <f>$Z1087+$AA1087</f>
        <v/>
      </c>
      <c r="AC1087" s="18">
        <f>$R1087-$W1087+$AB1087</f>
        <v/>
      </c>
      <c r="AD1087" s="18">
        <f>IF(($B1086=$B1087),$AD1086,0)+$AC1087</f>
        <v/>
      </c>
      <c r="AE1087" s="23" t="n">
        <v>2926982.31</v>
      </c>
      <c r="AF1087" s="23" t="n">
        <v>14444590.48</v>
      </c>
      <c r="AG1087" s="23" t="n">
        <v>0</v>
      </c>
      <c r="AH1087" s="23" t="n">
        <v>3219680.54</v>
      </c>
      <c r="AI1087" s="23" t="n">
        <v>-3904.59</v>
      </c>
      <c r="AJ1087" s="18">
        <f>$R1087-$AE1087</f>
        <v/>
      </c>
      <c r="AK1087" s="18">
        <f>$U1087-$AF1087</f>
        <v/>
      </c>
      <c r="AL1087" s="18">
        <f>$AC1087-$AH1087</f>
        <v/>
      </c>
      <c r="AM1087" s="8">
        <f>IF(AND(ABS($AJ1087)&lt;=tol_mcx_inr,ABS($AK1087)&lt;=tol_mcx_inr,ABS($AL1087)&lt;=tol_mcx_inr),"PASS","FAIL")</f>
        <v/>
      </c>
    </row>
    <row r="1088">
      <c r="A1088" s="7" t="inlineStr">
        <is>
          <t>T01</t>
        </is>
      </c>
      <c r="B1088" s="7" t="inlineStr">
        <is>
          <t>T01-MCX-2</t>
        </is>
      </c>
      <c r="C1088" s="11" t="n">
        <v>44651</v>
      </c>
      <c r="D1088" s="7" t="n">
        <v>202204</v>
      </c>
      <c r="E1088" s="7" t="inlineStr">
        <is>
          <t>SELL</t>
        </is>
      </c>
      <c r="F1088" s="7" t="inlineStr">
        <is>
          <t>hold</t>
        </is>
      </c>
      <c r="G1088" s="17" t="b">
        <v>1</v>
      </c>
      <c r="H1088" s="6" t="n">
        <v>-100</v>
      </c>
      <c r="I1088" s="13" t="n">
        <v>5</v>
      </c>
      <c r="J1088" s="8">
        <f>OR($F1088="entry",$F1088="roll_in")</f>
        <v/>
      </c>
      <c r="K1088" s="8">
        <f>OR($F1088="exit",$F1088="roll_out")</f>
        <v/>
      </c>
      <c r="L1088" s="8">
        <f>OR(AND($E1088="SELL",$K1088),AND($E1088="BUY",$J1088))</f>
        <v/>
      </c>
      <c r="M1088" s="16">
        <f>((INDEX(Market_Daily!$B$6:$B$256,MATCH($C1088,Market_Daily!$A$6:$A$256,0))*INDEX(Market_Daily!$F$6:$F$256,MATCH($C1088,Market_Daily!$A$6:$A$256,0))/kg_per_mt*(1+bcd_primary_al_hs7601*(1+sws_rate_on_bcd))+mcx_domestic_premium_inr_kg)*(1+INDEX(Market_Daily!$I$6:$I$256,MATCH($C1088,Market_Daily!$A$6:$A$256,0))*MAX(0,INDEX(mcx_expiries,MATCH($D1088,mcx_months,0))-$C1088)/day_count_inr))</f>
        <v/>
      </c>
      <c r="N1088" s="16">
        <f>IF(INDEX(Market_Daily!$S$6:$S$256,MATCH($C1088,Market_Daily!$A$6:$A$256,0))=$D1088,INDEX(Market_Daily!$M$6:$M$256,MATCH($C1088,Market_Daily!$A$6:$A$256,0)),IF(INDEX(Market_Daily!$T$6:$T$256,MATCH($C1088,Market_Daily!$A$6:$A$256,0))=$D1088,INDEX(Market_Daily!$N$6:$N$256,MATCH($C1088,Market_Daily!$A$6:$A$256,0)),NA()))</f>
        <v/>
      </c>
      <c r="O1088" s="16">
        <f>$N1088-$M1088</f>
        <v/>
      </c>
      <c r="P1088" s="16">
        <f>IF(($B1087=$B1088),$M1087,"")</f>
        <v/>
      </c>
      <c r="Q1088" s="16">
        <f>$M1088+IF($L1088,1,-1)*mcx_slippage_ticks*mcx_al_tick_inr_kg</f>
        <v/>
      </c>
      <c r="R1088" s="18">
        <f>IF(($B1087=$B1088),$H1088*$I1088*kg_per_mt*($M1088-$M1087),0)</f>
        <v/>
      </c>
      <c r="S1088" s="18">
        <f>IF(($B1087=$B1088),$S1087,0)+$R1088</f>
        <v/>
      </c>
      <c r="T1088" s="18">
        <f>ABS($H1088)*$I1088*kg_per_mt*$M1088</f>
        <v/>
      </c>
      <c r="U1088" s="18">
        <f>IF($K1088,0,$T1088*mcx_al_margin_used_frac)</f>
        <v/>
      </c>
      <c r="V1088" s="18">
        <f>IF(($B1087=$B1088),$U1087,0)</f>
        <v/>
      </c>
      <c r="W1088" s="18">
        <f>$U1088-$V1088</f>
        <v/>
      </c>
      <c r="X1088" s="18">
        <f>IF($K1088,0,$T1088*0.12)</f>
        <v/>
      </c>
      <c r="Y1088" s="18">
        <f>IF($K1088,0,$T1088*0.15)</f>
        <v/>
      </c>
      <c r="Z1088" s="18">
        <f>IF($F1088="hold",0,-ABS($H1088)*$I1088*kg_per_mt*mcx_slippage_ticks*mcx_al_tick_inr_kg)</f>
        <v/>
      </c>
      <c r="AA1088" s="18">
        <f>IF($F1088="hold",0,-ABS($H1088)*$I1088*kg_per_mt*$Q1088*mcx_txn_cost_frac)</f>
        <v/>
      </c>
      <c r="AB1088" s="18">
        <f>$Z1088+$AA1088</f>
        <v/>
      </c>
      <c r="AC1088" s="18">
        <f>$R1088-$W1088+$AB1088</f>
        <v/>
      </c>
      <c r="AD1088" s="18">
        <f>IF(($B1087=$B1088),$AD1087,0)+$AC1088</f>
        <v/>
      </c>
      <c r="AE1088" s="23" t="n">
        <v>317377.38</v>
      </c>
      <c r="AF1088" s="23" t="n">
        <v>14412852.74</v>
      </c>
      <c r="AG1088" s="23" t="n">
        <v>0</v>
      </c>
      <c r="AH1088" s="23" t="n">
        <v>349115.12</v>
      </c>
      <c r="AI1088" s="23" t="n">
        <v>-3066.59</v>
      </c>
      <c r="AJ1088" s="18">
        <f>$R1088-$AE1088</f>
        <v/>
      </c>
      <c r="AK1088" s="18">
        <f>$U1088-$AF1088</f>
        <v/>
      </c>
      <c r="AL1088" s="18">
        <f>$AC1088-$AH1088</f>
        <v/>
      </c>
      <c r="AM1088" s="8">
        <f>IF(AND(ABS($AJ1088)&lt;=tol_mcx_inr,ABS($AK1088)&lt;=tol_mcx_inr,ABS($AL1088)&lt;=tol_mcx_inr),"PASS","FAIL")</f>
        <v/>
      </c>
    </row>
    <row r="1089">
      <c r="A1089" s="7" t="inlineStr">
        <is>
          <t>T01</t>
        </is>
      </c>
      <c r="B1089" s="7" t="inlineStr">
        <is>
          <t>T01-MCX-2</t>
        </is>
      </c>
      <c r="C1089" s="11" t="n">
        <v>44652</v>
      </c>
      <c r="D1089" s="7" t="n">
        <v>202204</v>
      </c>
      <c r="E1089" s="7" t="inlineStr">
        <is>
          <t>SELL</t>
        </is>
      </c>
      <c r="F1089" s="7" t="inlineStr">
        <is>
          <t>hold</t>
        </is>
      </c>
      <c r="G1089" s="17" t="b">
        <v>1</v>
      </c>
      <c r="H1089" s="6" t="n">
        <v>-100</v>
      </c>
      <c r="I1089" s="13" t="n">
        <v>5</v>
      </c>
      <c r="J1089" s="8">
        <f>OR($F1089="entry",$F1089="roll_in")</f>
        <v/>
      </c>
      <c r="K1089" s="8">
        <f>OR($F1089="exit",$F1089="roll_out")</f>
        <v/>
      </c>
      <c r="L1089" s="8">
        <f>OR(AND($E1089="SELL",$K1089),AND($E1089="BUY",$J1089))</f>
        <v/>
      </c>
      <c r="M1089" s="16">
        <f>((INDEX(Market_Daily!$B$6:$B$256,MATCH($C1089,Market_Daily!$A$6:$A$256,0))*INDEX(Market_Daily!$F$6:$F$256,MATCH($C1089,Market_Daily!$A$6:$A$256,0))/kg_per_mt*(1+bcd_primary_al_hs7601*(1+sws_rate_on_bcd))+mcx_domestic_premium_inr_kg)*(1+INDEX(Market_Daily!$I$6:$I$256,MATCH($C1089,Market_Daily!$A$6:$A$256,0))*MAX(0,INDEX(mcx_expiries,MATCH($D1089,mcx_months,0))-$C1089)/day_count_inr))</f>
        <v/>
      </c>
      <c r="N1089" s="16">
        <f>IF(INDEX(Market_Daily!$S$6:$S$256,MATCH($C1089,Market_Daily!$A$6:$A$256,0))=$D1089,INDEX(Market_Daily!$M$6:$M$256,MATCH($C1089,Market_Daily!$A$6:$A$256,0)),IF(INDEX(Market_Daily!$T$6:$T$256,MATCH($C1089,Market_Daily!$A$6:$A$256,0))=$D1089,INDEX(Market_Daily!$N$6:$N$256,MATCH($C1089,Market_Daily!$A$6:$A$256,0)),NA()))</f>
        <v/>
      </c>
      <c r="O1089" s="16">
        <f>$N1089-$M1089</f>
        <v/>
      </c>
      <c r="P1089" s="16">
        <f>IF(($B1088=$B1089),$M1088,"")</f>
        <v/>
      </c>
      <c r="Q1089" s="16">
        <f>$M1089+IF($L1089,1,-1)*mcx_slippage_ticks*mcx_al_tick_inr_kg</f>
        <v/>
      </c>
      <c r="R1089" s="18">
        <f>IF(($B1088=$B1089),$H1089*$I1089*kg_per_mt*($M1089-$M1088),0)</f>
        <v/>
      </c>
      <c r="S1089" s="18">
        <f>IF(($B1088=$B1089),$S1088,0)+$R1089</f>
        <v/>
      </c>
      <c r="T1089" s="18">
        <f>ABS($H1089)*$I1089*kg_per_mt*$M1089</f>
        <v/>
      </c>
      <c r="U1089" s="18">
        <f>IF($K1089,0,$T1089*mcx_al_margin_used_frac)</f>
        <v/>
      </c>
      <c r="V1089" s="18">
        <f>IF(($B1088=$B1089),$U1088,0)</f>
        <v/>
      </c>
      <c r="W1089" s="18">
        <f>$U1089-$V1089</f>
        <v/>
      </c>
      <c r="X1089" s="18">
        <f>IF($K1089,0,$T1089*0.12)</f>
        <v/>
      </c>
      <c r="Y1089" s="18">
        <f>IF($K1089,0,$T1089*0.15)</f>
        <v/>
      </c>
      <c r="Z1089" s="18">
        <f>IF($F1089="hold",0,-ABS($H1089)*$I1089*kg_per_mt*mcx_slippage_ticks*mcx_al_tick_inr_kg)</f>
        <v/>
      </c>
      <c r="AA1089" s="18">
        <f>IF($F1089="hold",0,-ABS($H1089)*$I1089*kg_per_mt*$Q1089*mcx_txn_cost_frac)</f>
        <v/>
      </c>
      <c r="AB1089" s="18">
        <f>$Z1089+$AA1089</f>
        <v/>
      </c>
      <c r="AC1089" s="18">
        <f>$R1089-$W1089+$AB1089</f>
        <v/>
      </c>
      <c r="AD1089" s="18">
        <f>IF(($B1088=$B1089),$AD1088,0)+$AC1089</f>
        <v/>
      </c>
      <c r="AE1089" s="23" t="n">
        <v>441840.81</v>
      </c>
      <c r="AF1089" s="23" t="n">
        <v>14368668.66</v>
      </c>
      <c r="AG1089" s="23" t="n">
        <v>0</v>
      </c>
      <c r="AH1089" s="23" t="n">
        <v>486024.89</v>
      </c>
      <c r="AI1089" s="23" t="n">
        <v>-2975.72</v>
      </c>
      <c r="AJ1089" s="18">
        <f>$R1089-$AE1089</f>
        <v/>
      </c>
      <c r="AK1089" s="18">
        <f>$U1089-$AF1089</f>
        <v/>
      </c>
      <c r="AL1089" s="18">
        <f>$AC1089-$AH1089</f>
        <v/>
      </c>
      <c r="AM1089" s="8">
        <f>IF(AND(ABS($AJ1089)&lt;=tol_mcx_inr,ABS($AK1089)&lt;=tol_mcx_inr,ABS($AL1089)&lt;=tol_mcx_inr),"PASS","FAIL")</f>
        <v/>
      </c>
    </row>
    <row r="1090">
      <c r="A1090" s="7" t="inlineStr">
        <is>
          <t>T01</t>
        </is>
      </c>
      <c r="B1090" s="7" t="inlineStr">
        <is>
          <t>T01-MCX-2</t>
        </is>
      </c>
      <c r="C1090" s="11" t="n">
        <v>44655</v>
      </c>
      <c r="D1090" s="7" t="n">
        <v>202204</v>
      </c>
      <c r="E1090" s="7" t="inlineStr">
        <is>
          <t>SELL</t>
        </is>
      </c>
      <c r="F1090" s="7" t="inlineStr">
        <is>
          <t>hold</t>
        </is>
      </c>
      <c r="G1090" s="17" t="b">
        <v>1</v>
      </c>
      <c r="H1090" s="6" t="n">
        <v>-100</v>
      </c>
      <c r="I1090" s="13" t="n">
        <v>5</v>
      </c>
      <c r="J1090" s="8">
        <f>OR($F1090="entry",$F1090="roll_in")</f>
        <v/>
      </c>
      <c r="K1090" s="8">
        <f>OR($F1090="exit",$F1090="roll_out")</f>
        <v/>
      </c>
      <c r="L1090" s="8">
        <f>OR(AND($E1090="SELL",$K1090),AND($E1090="BUY",$J1090))</f>
        <v/>
      </c>
      <c r="M1090" s="16">
        <f>((INDEX(Market_Daily!$B$6:$B$256,MATCH($C1090,Market_Daily!$A$6:$A$256,0))*INDEX(Market_Daily!$F$6:$F$256,MATCH($C1090,Market_Daily!$A$6:$A$256,0))/kg_per_mt*(1+bcd_primary_al_hs7601*(1+sws_rate_on_bcd))+mcx_domestic_premium_inr_kg)*(1+INDEX(Market_Daily!$I$6:$I$256,MATCH($C1090,Market_Daily!$A$6:$A$256,0))*MAX(0,INDEX(mcx_expiries,MATCH($D1090,mcx_months,0))-$C1090)/day_count_inr))</f>
        <v/>
      </c>
      <c r="N1090" s="16">
        <f>IF(INDEX(Market_Daily!$S$6:$S$256,MATCH($C1090,Market_Daily!$A$6:$A$256,0))=$D1090,INDEX(Market_Daily!$M$6:$M$256,MATCH($C1090,Market_Daily!$A$6:$A$256,0)),IF(INDEX(Market_Daily!$T$6:$T$256,MATCH($C1090,Market_Daily!$A$6:$A$256,0))=$D1090,INDEX(Market_Daily!$N$6:$N$256,MATCH($C1090,Market_Daily!$A$6:$A$256,0)),NA()))</f>
        <v/>
      </c>
      <c r="O1090" s="16">
        <f>$N1090-$M1090</f>
        <v/>
      </c>
      <c r="P1090" s="16">
        <f>IF(($B1089=$B1090),$M1089,"")</f>
        <v/>
      </c>
      <c r="Q1090" s="16">
        <f>$M1090+IF($L1090,1,-1)*mcx_slippage_ticks*mcx_al_tick_inr_kg</f>
        <v/>
      </c>
      <c r="R1090" s="18">
        <f>IF(($B1089=$B1090),$H1090*$I1090*kg_per_mt*($M1090-$M1089),0)</f>
        <v/>
      </c>
      <c r="S1090" s="18">
        <f>IF(($B1089=$B1090),$S1089,0)+$R1090</f>
        <v/>
      </c>
      <c r="T1090" s="18">
        <f>ABS($H1090)*$I1090*kg_per_mt*$M1090</f>
        <v/>
      </c>
      <c r="U1090" s="18">
        <f>IF($K1090,0,$T1090*mcx_al_margin_used_frac)</f>
        <v/>
      </c>
      <c r="V1090" s="18">
        <f>IF(($B1089=$B1090),$U1089,0)</f>
        <v/>
      </c>
      <c r="W1090" s="18">
        <f>$U1090-$V1090</f>
        <v/>
      </c>
      <c r="X1090" s="18">
        <f>IF($K1090,0,$T1090*0.12)</f>
        <v/>
      </c>
      <c r="Y1090" s="18">
        <f>IF($K1090,0,$T1090*0.15)</f>
        <v/>
      </c>
      <c r="Z1090" s="18">
        <f>IF($F1090="hold",0,-ABS($H1090)*$I1090*kg_per_mt*mcx_slippage_ticks*mcx_al_tick_inr_kg)</f>
        <v/>
      </c>
      <c r="AA1090" s="18">
        <f>IF($F1090="hold",0,-ABS($H1090)*$I1090*kg_per_mt*$Q1090*mcx_txn_cost_frac)</f>
        <v/>
      </c>
      <c r="AB1090" s="18">
        <f>$Z1090+$AA1090</f>
        <v/>
      </c>
      <c r="AC1090" s="18">
        <f>$R1090-$W1090+$AB1090</f>
        <v/>
      </c>
      <c r="AD1090" s="18">
        <f>IF(($B1089=$B1090),$AD1089,0)+$AC1090</f>
        <v/>
      </c>
      <c r="AE1090" s="23" t="n">
        <v>2519980.36</v>
      </c>
      <c r="AF1090" s="23" t="n">
        <v>14116670.62</v>
      </c>
      <c r="AG1090" s="23" t="n">
        <v>0</v>
      </c>
      <c r="AH1090" s="23" t="n">
        <v>2771978.4</v>
      </c>
      <c r="AI1090" s="23" t="n">
        <v>-8547.66</v>
      </c>
      <c r="AJ1090" s="18">
        <f>$R1090-$AE1090</f>
        <v/>
      </c>
      <c r="AK1090" s="18">
        <f>$U1090-$AF1090</f>
        <v/>
      </c>
      <c r="AL1090" s="18">
        <f>$AC1090-$AH1090</f>
        <v/>
      </c>
      <c r="AM1090" s="8">
        <f>IF(AND(ABS($AJ1090)&lt;=tol_mcx_inr,ABS($AK1090)&lt;=tol_mcx_inr,ABS($AL1090)&lt;=tol_mcx_inr),"PASS","FAIL")</f>
        <v/>
      </c>
    </row>
    <row r="1091">
      <c r="A1091" s="7" t="inlineStr">
        <is>
          <t>T01</t>
        </is>
      </c>
      <c r="B1091" s="7" t="inlineStr">
        <is>
          <t>T01-MCX-2</t>
        </is>
      </c>
      <c r="C1091" s="11" t="n">
        <v>44656</v>
      </c>
      <c r="D1091" s="7" t="n">
        <v>202204</v>
      </c>
      <c r="E1091" s="7" t="inlineStr">
        <is>
          <t>SELL</t>
        </is>
      </c>
      <c r="F1091" s="7" t="inlineStr">
        <is>
          <t>hold</t>
        </is>
      </c>
      <c r="G1091" s="17" t="b">
        <v>1</v>
      </c>
      <c r="H1091" s="6" t="n">
        <v>-100</v>
      </c>
      <c r="I1091" s="13" t="n">
        <v>5</v>
      </c>
      <c r="J1091" s="8">
        <f>OR($F1091="entry",$F1091="roll_in")</f>
        <v/>
      </c>
      <c r="K1091" s="8">
        <f>OR($F1091="exit",$F1091="roll_out")</f>
        <v/>
      </c>
      <c r="L1091" s="8">
        <f>OR(AND($E1091="SELL",$K1091),AND($E1091="BUY",$J1091))</f>
        <v/>
      </c>
      <c r="M1091" s="16">
        <f>((INDEX(Market_Daily!$B$6:$B$256,MATCH($C1091,Market_Daily!$A$6:$A$256,0))*INDEX(Market_Daily!$F$6:$F$256,MATCH($C1091,Market_Daily!$A$6:$A$256,0))/kg_per_mt*(1+bcd_primary_al_hs7601*(1+sws_rate_on_bcd))+mcx_domestic_premium_inr_kg)*(1+INDEX(Market_Daily!$I$6:$I$256,MATCH($C1091,Market_Daily!$A$6:$A$256,0))*MAX(0,INDEX(mcx_expiries,MATCH($D1091,mcx_months,0))-$C1091)/day_count_inr))</f>
        <v/>
      </c>
      <c r="N1091" s="16">
        <f>IF(INDEX(Market_Daily!$S$6:$S$256,MATCH($C1091,Market_Daily!$A$6:$A$256,0))=$D1091,INDEX(Market_Daily!$M$6:$M$256,MATCH($C1091,Market_Daily!$A$6:$A$256,0)),IF(INDEX(Market_Daily!$T$6:$T$256,MATCH($C1091,Market_Daily!$A$6:$A$256,0))=$D1091,INDEX(Market_Daily!$N$6:$N$256,MATCH($C1091,Market_Daily!$A$6:$A$256,0)),NA()))</f>
        <v/>
      </c>
      <c r="O1091" s="16">
        <f>$N1091-$M1091</f>
        <v/>
      </c>
      <c r="P1091" s="16">
        <f>IF(($B1090=$B1091),$M1090,"")</f>
        <v/>
      </c>
      <c r="Q1091" s="16">
        <f>$M1091+IF($L1091,1,-1)*mcx_slippage_ticks*mcx_al_tick_inr_kg</f>
        <v/>
      </c>
      <c r="R1091" s="18">
        <f>IF(($B1090=$B1091),$H1091*$I1091*kg_per_mt*($M1091-$M1090),0)</f>
        <v/>
      </c>
      <c r="S1091" s="18">
        <f>IF(($B1090=$B1091),$S1090,0)+$R1091</f>
        <v/>
      </c>
      <c r="T1091" s="18">
        <f>ABS($H1091)*$I1091*kg_per_mt*$M1091</f>
        <v/>
      </c>
      <c r="U1091" s="18">
        <f>IF($K1091,0,$T1091*mcx_al_margin_used_frac)</f>
        <v/>
      </c>
      <c r="V1091" s="18">
        <f>IF(($B1090=$B1091),$U1090,0)</f>
        <v/>
      </c>
      <c r="W1091" s="18">
        <f>$U1091-$V1091</f>
        <v/>
      </c>
      <c r="X1091" s="18">
        <f>IF($K1091,0,$T1091*0.12)</f>
        <v/>
      </c>
      <c r="Y1091" s="18">
        <f>IF($K1091,0,$T1091*0.15)</f>
        <v/>
      </c>
      <c r="Z1091" s="18">
        <f>IF($F1091="hold",0,-ABS($H1091)*$I1091*kg_per_mt*mcx_slippage_ticks*mcx_al_tick_inr_kg)</f>
        <v/>
      </c>
      <c r="AA1091" s="18">
        <f>IF($F1091="hold",0,-ABS($H1091)*$I1091*kg_per_mt*$Q1091*mcx_txn_cost_frac)</f>
        <v/>
      </c>
      <c r="AB1091" s="18">
        <f>$Z1091+$AA1091</f>
        <v/>
      </c>
      <c r="AC1091" s="18">
        <f>$R1091-$W1091+$AB1091</f>
        <v/>
      </c>
      <c r="AD1091" s="18">
        <f>IF(($B1090=$B1091),$AD1090,0)+$AC1091</f>
        <v/>
      </c>
      <c r="AE1091" s="23" t="n">
        <v>1560429.34</v>
      </c>
      <c r="AF1091" s="23" t="n">
        <v>13960627.69</v>
      </c>
      <c r="AG1091" s="23" t="n">
        <v>0</v>
      </c>
      <c r="AH1091" s="23" t="n">
        <v>1716472.27</v>
      </c>
      <c r="AI1091" s="23" t="n">
        <v>-2127.75</v>
      </c>
      <c r="AJ1091" s="18">
        <f>$R1091-$AE1091</f>
        <v/>
      </c>
      <c r="AK1091" s="18">
        <f>$U1091-$AF1091</f>
        <v/>
      </c>
      <c r="AL1091" s="18">
        <f>$AC1091-$AH1091</f>
        <v/>
      </c>
      <c r="AM1091" s="8">
        <f>IF(AND(ABS($AJ1091)&lt;=tol_mcx_inr,ABS($AK1091)&lt;=tol_mcx_inr,ABS($AL1091)&lt;=tol_mcx_inr),"PASS","FAIL")</f>
        <v/>
      </c>
    </row>
    <row r="1092">
      <c r="A1092" s="7" t="inlineStr">
        <is>
          <t>T01</t>
        </is>
      </c>
      <c r="B1092" s="7" t="inlineStr">
        <is>
          <t>T01-MCX-2</t>
        </is>
      </c>
      <c r="C1092" s="11" t="n">
        <v>44657</v>
      </c>
      <c r="D1092" s="7" t="n">
        <v>202204</v>
      </c>
      <c r="E1092" s="7" t="inlineStr">
        <is>
          <t>SELL</t>
        </is>
      </c>
      <c r="F1092" s="7" t="inlineStr">
        <is>
          <t>hold</t>
        </is>
      </c>
      <c r="G1092" s="17" t="b">
        <v>1</v>
      </c>
      <c r="H1092" s="6" t="n">
        <v>-100</v>
      </c>
      <c r="I1092" s="13" t="n">
        <v>5</v>
      </c>
      <c r="J1092" s="8">
        <f>OR($F1092="entry",$F1092="roll_in")</f>
        <v/>
      </c>
      <c r="K1092" s="8">
        <f>OR($F1092="exit",$F1092="roll_out")</f>
        <v/>
      </c>
      <c r="L1092" s="8">
        <f>OR(AND($E1092="SELL",$K1092),AND($E1092="BUY",$J1092))</f>
        <v/>
      </c>
      <c r="M1092" s="16">
        <f>((INDEX(Market_Daily!$B$6:$B$256,MATCH($C1092,Market_Daily!$A$6:$A$256,0))*INDEX(Market_Daily!$F$6:$F$256,MATCH($C1092,Market_Daily!$A$6:$A$256,0))/kg_per_mt*(1+bcd_primary_al_hs7601*(1+sws_rate_on_bcd))+mcx_domestic_premium_inr_kg)*(1+INDEX(Market_Daily!$I$6:$I$256,MATCH($C1092,Market_Daily!$A$6:$A$256,0))*MAX(0,INDEX(mcx_expiries,MATCH($D1092,mcx_months,0))-$C1092)/day_count_inr))</f>
        <v/>
      </c>
      <c r="N1092" s="16">
        <f>IF(INDEX(Market_Daily!$S$6:$S$256,MATCH($C1092,Market_Daily!$A$6:$A$256,0))=$D1092,INDEX(Market_Daily!$M$6:$M$256,MATCH($C1092,Market_Daily!$A$6:$A$256,0)),IF(INDEX(Market_Daily!$T$6:$T$256,MATCH($C1092,Market_Daily!$A$6:$A$256,0))=$D1092,INDEX(Market_Daily!$N$6:$N$256,MATCH($C1092,Market_Daily!$A$6:$A$256,0)),NA()))</f>
        <v/>
      </c>
      <c r="O1092" s="16">
        <f>$N1092-$M1092</f>
        <v/>
      </c>
      <c r="P1092" s="16">
        <f>IF(($B1091=$B1092),$M1091,"")</f>
        <v/>
      </c>
      <c r="Q1092" s="16">
        <f>$M1092+IF($L1092,1,-1)*mcx_slippage_ticks*mcx_al_tick_inr_kg</f>
        <v/>
      </c>
      <c r="R1092" s="18">
        <f>IF(($B1091=$B1092),$H1092*$I1092*kg_per_mt*($M1092-$M1091),0)</f>
        <v/>
      </c>
      <c r="S1092" s="18">
        <f>IF(($B1091=$B1092),$S1091,0)+$R1092</f>
        <v/>
      </c>
      <c r="T1092" s="18">
        <f>ABS($H1092)*$I1092*kg_per_mt*$M1092</f>
        <v/>
      </c>
      <c r="U1092" s="18">
        <f>IF($K1092,0,$T1092*mcx_al_margin_used_frac)</f>
        <v/>
      </c>
      <c r="V1092" s="18">
        <f>IF(($B1091=$B1092),$U1091,0)</f>
        <v/>
      </c>
      <c r="W1092" s="18">
        <f>$U1092-$V1092</f>
        <v/>
      </c>
      <c r="X1092" s="18">
        <f>IF($K1092,0,$T1092*0.12)</f>
        <v/>
      </c>
      <c r="Y1092" s="18">
        <f>IF($K1092,0,$T1092*0.15)</f>
        <v/>
      </c>
      <c r="Z1092" s="18">
        <f>IF($F1092="hold",0,-ABS($H1092)*$I1092*kg_per_mt*mcx_slippage_ticks*mcx_al_tick_inr_kg)</f>
        <v/>
      </c>
      <c r="AA1092" s="18">
        <f>IF($F1092="hold",0,-ABS($H1092)*$I1092*kg_per_mt*$Q1092*mcx_txn_cost_frac)</f>
        <v/>
      </c>
      <c r="AB1092" s="18">
        <f>$Z1092+$AA1092</f>
        <v/>
      </c>
      <c r="AC1092" s="18">
        <f>$R1092-$W1092+$AB1092</f>
        <v/>
      </c>
      <c r="AD1092" s="18">
        <f>IF(($B1091=$B1092),$AD1091,0)+$AC1092</f>
        <v/>
      </c>
      <c r="AE1092" s="23" t="n">
        <v>-2083816.94</v>
      </c>
      <c r="AF1092" s="23" t="n">
        <v>14169009.39</v>
      </c>
      <c r="AG1092" s="23" t="n">
        <v>0</v>
      </c>
      <c r="AH1092" s="23" t="n">
        <v>-2292198.64</v>
      </c>
      <c r="AI1092" s="23" t="n">
        <v>-1680.99</v>
      </c>
      <c r="AJ1092" s="18">
        <f>$R1092-$AE1092</f>
        <v/>
      </c>
      <c r="AK1092" s="18">
        <f>$U1092-$AF1092</f>
        <v/>
      </c>
      <c r="AL1092" s="18">
        <f>$AC1092-$AH1092</f>
        <v/>
      </c>
      <c r="AM1092" s="8">
        <f>IF(AND(ABS($AJ1092)&lt;=tol_mcx_inr,ABS($AK1092)&lt;=tol_mcx_inr,ABS($AL1092)&lt;=tol_mcx_inr),"PASS","FAIL")</f>
        <v/>
      </c>
    </row>
    <row r="1093">
      <c r="A1093" s="7" t="inlineStr">
        <is>
          <t>T01</t>
        </is>
      </c>
      <c r="B1093" s="7" t="inlineStr">
        <is>
          <t>T01-MCX-2</t>
        </is>
      </c>
      <c r="C1093" s="11" t="n">
        <v>44658</v>
      </c>
      <c r="D1093" s="7" t="n">
        <v>202204</v>
      </c>
      <c r="E1093" s="7" t="inlineStr">
        <is>
          <t>SELL</t>
        </is>
      </c>
      <c r="F1093" s="7" t="inlineStr">
        <is>
          <t>hold</t>
        </is>
      </c>
      <c r="G1093" s="17" t="b">
        <v>1</v>
      </c>
      <c r="H1093" s="6" t="n">
        <v>-100</v>
      </c>
      <c r="I1093" s="13" t="n">
        <v>5</v>
      </c>
      <c r="J1093" s="8">
        <f>OR($F1093="entry",$F1093="roll_in")</f>
        <v/>
      </c>
      <c r="K1093" s="8">
        <f>OR($F1093="exit",$F1093="roll_out")</f>
        <v/>
      </c>
      <c r="L1093" s="8">
        <f>OR(AND($E1093="SELL",$K1093),AND($E1093="BUY",$J1093))</f>
        <v/>
      </c>
      <c r="M1093" s="16">
        <f>((INDEX(Market_Daily!$B$6:$B$256,MATCH($C1093,Market_Daily!$A$6:$A$256,0))*INDEX(Market_Daily!$F$6:$F$256,MATCH($C1093,Market_Daily!$A$6:$A$256,0))/kg_per_mt*(1+bcd_primary_al_hs7601*(1+sws_rate_on_bcd))+mcx_domestic_premium_inr_kg)*(1+INDEX(Market_Daily!$I$6:$I$256,MATCH($C1093,Market_Daily!$A$6:$A$256,0))*MAX(0,INDEX(mcx_expiries,MATCH($D1093,mcx_months,0))-$C1093)/day_count_inr))</f>
        <v/>
      </c>
      <c r="N1093" s="16">
        <f>IF(INDEX(Market_Daily!$S$6:$S$256,MATCH($C1093,Market_Daily!$A$6:$A$256,0))=$D1093,INDEX(Market_Daily!$M$6:$M$256,MATCH($C1093,Market_Daily!$A$6:$A$256,0)),IF(INDEX(Market_Daily!$T$6:$T$256,MATCH($C1093,Market_Daily!$A$6:$A$256,0))=$D1093,INDEX(Market_Daily!$N$6:$N$256,MATCH($C1093,Market_Daily!$A$6:$A$256,0)),NA()))</f>
        <v/>
      </c>
      <c r="O1093" s="16">
        <f>$N1093-$M1093</f>
        <v/>
      </c>
      <c r="P1093" s="16">
        <f>IF(($B1092=$B1093),$M1092,"")</f>
        <v/>
      </c>
      <c r="Q1093" s="16">
        <f>$M1093+IF($L1093,1,-1)*mcx_slippage_ticks*mcx_al_tick_inr_kg</f>
        <v/>
      </c>
      <c r="R1093" s="18">
        <f>IF(($B1092=$B1093),$H1093*$I1093*kg_per_mt*($M1093-$M1092),0)</f>
        <v/>
      </c>
      <c r="S1093" s="18">
        <f>IF(($B1092=$B1093),$S1092,0)+$R1093</f>
        <v/>
      </c>
      <c r="T1093" s="18">
        <f>ABS($H1093)*$I1093*kg_per_mt*$M1093</f>
        <v/>
      </c>
      <c r="U1093" s="18">
        <f>IF($K1093,0,$T1093*mcx_al_margin_used_frac)</f>
        <v/>
      </c>
      <c r="V1093" s="18">
        <f>IF(($B1092=$B1093),$U1092,0)</f>
        <v/>
      </c>
      <c r="W1093" s="18">
        <f>$U1093-$V1093</f>
        <v/>
      </c>
      <c r="X1093" s="18">
        <f>IF($K1093,0,$T1093*0.12)</f>
        <v/>
      </c>
      <c r="Y1093" s="18">
        <f>IF($K1093,0,$T1093*0.15)</f>
        <v/>
      </c>
      <c r="Z1093" s="18">
        <f>IF($F1093="hold",0,-ABS($H1093)*$I1093*kg_per_mt*mcx_slippage_ticks*mcx_al_tick_inr_kg)</f>
        <v/>
      </c>
      <c r="AA1093" s="18">
        <f>IF($F1093="hold",0,-ABS($H1093)*$I1093*kg_per_mt*$Q1093*mcx_txn_cost_frac)</f>
        <v/>
      </c>
      <c r="AB1093" s="18">
        <f>$Z1093+$AA1093</f>
        <v/>
      </c>
      <c r="AC1093" s="18">
        <f>$R1093-$W1093+$AB1093</f>
        <v/>
      </c>
      <c r="AD1093" s="18">
        <f>IF(($B1092=$B1093),$AD1092,0)+$AC1093</f>
        <v/>
      </c>
      <c r="AE1093" s="23" t="n">
        <v>3744333.97</v>
      </c>
      <c r="AF1093" s="23" t="n">
        <v>13794575.99</v>
      </c>
      <c r="AG1093" s="23" t="n">
        <v>0</v>
      </c>
      <c r="AH1093" s="23" t="n">
        <v>4118767.37</v>
      </c>
      <c r="AI1093" s="23" t="n">
        <v>-2277.59</v>
      </c>
      <c r="AJ1093" s="18">
        <f>$R1093-$AE1093</f>
        <v/>
      </c>
      <c r="AK1093" s="18">
        <f>$U1093-$AF1093</f>
        <v/>
      </c>
      <c r="AL1093" s="18">
        <f>$AC1093-$AH1093</f>
        <v/>
      </c>
      <c r="AM1093" s="8">
        <f>IF(AND(ABS($AJ1093)&lt;=tol_mcx_inr,ABS($AK1093)&lt;=tol_mcx_inr,ABS($AL1093)&lt;=tol_mcx_inr),"PASS","FAIL")</f>
        <v/>
      </c>
    </row>
    <row r="1094">
      <c r="A1094" s="7" t="inlineStr">
        <is>
          <t>T01</t>
        </is>
      </c>
      <c r="B1094" s="7" t="inlineStr">
        <is>
          <t>T01-MCX-2</t>
        </is>
      </c>
      <c r="C1094" s="11" t="n">
        <v>44659</v>
      </c>
      <c r="D1094" s="7" t="n">
        <v>202204</v>
      </c>
      <c r="E1094" s="7" t="inlineStr">
        <is>
          <t>SELL</t>
        </is>
      </c>
      <c r="F1094" s="7" t="inlineStr">
        <is>
          <t>hold</t>
        </is>
      </c>
      <c r="G1094" s="17" t="b">
        <v>1</v>
      </c>
      <c r="H1094" s="6" t="n">
        <v>-100</v>
      </c>
      <c r="I1094" s="13" t="n">
        <v>5</v>
      </c>
      <c r="J1094" s="8">
        <f>OR($F1094="entry",$F1094="roll_in")</f>
        <v/>
      </c>
      <c r="K1094" s="8">
        <f>OR($F1094="exit",$F1094="roll_out")</f>
        <v/>
      </c>
      <c r="L1094" s="8">
        <f>OR(AND($E1094="SELL",$K1094),AND($E1094="BUY",$J1094))</f>
        <v/>
      </c>
      <c r="M1094" s="16">
        <f>((INDEX(Market_Daily!$B$6:$B$256,MATCH($C1094,Market_Daily!$A$6:$A$256,0))*INDEX(Market_Daily!$F$6:$F$256,MATCH($C1094,Market_Daily!$A$6:$A$256,0))/kg_per_mt*(1+bcd_primary_al_hs7601*(1+sws_rate_on_bcd))+mcx_domestic_premium_inr_kg)*(1+INDEX(Market_Daily!$I$6:$I$256,MATCH($C1094,Market_Daily!$A$6:$A$256,0))*MAX(0,INDEX(mcx_expiries,MATCH($D1094,mcx_months,0))-$C1094)/day_count_inr))</f>
        <v/>
      </c>
      <c r="N1094" s="16">
        <f>IF(INDEX(Market_Daily!$S$6:$S$256,MATCH($C1094,Market_Daily!$A$6:$A$256,0))=$D1094,INDEX(Market_Daily!$M$6:$M$256,MATCH($C1094,Market_Daily!$A$6:$A$256,0)),IF(INDEX(Market_Daily!$T$6:$T$256,MATCH($C1094,Market_Daily!$A$6:$A$256,0))=$D1094,INDEX(Market_Daily!$N$6:$N$256,MATCH($C1094,Market_Daily!$A$6:$A$256,0)),NA()))</f>
        <v/>
      </c>
      <c r="O1094" s="16">
        <f>$N1094-$M1094</f>
        <v/>
      </c>
      <c r="P1094" s="16">
        <f>IF(($B1093=$B1094),$M1093,"")</f>
        <v/>
      </c>
      <c r="Q1094" s="16">
        <f>$M1094+IF($L1094,1,-1)*mcx_slippage_ticks*mcx_al_tick_inr_kg</f>
        <v/>
      </c>
      <c r="R1094" s="18">
        <f>IF(($B1093=$B1094),$H1094*$I1094*kg_per_mt*($M1094-$M1093),0)</f>
        <v/>
      </c>
      <c r="S1094" s="18">
        <f>IF(($B1093=$B1094),$S1093,0)+$R1094</f>
        <v/>
      </c>
      <c r="T1094" s="18">
        <f>ABS($H1094)*$I1094*kg_per_mt*$M1094</f>
        <v/>
      </c>
      <c r="U1094" s="18">
        <f>IF($K1094,0,$T1094*mcx_al_margin_used_frac)</f>
        <v/>
      </c>
      <c r="V1094" s="18">
        <f>IF(($B1093=$B1094),$U1093,0)</f>
        <v/>
      </c>
      <c r="W1094" s="18">
        <f>$U1094-$V1094</f>
        <v/>
      </c>
      <c r="X1094" s="18">
        <f>IF($K1094,0,$T1094*0.12)</f>
        <v/>
      </c>
      <c r="Y1094" s="18">
        <f>IF($K1094,0,$T1094*0.15)</f>
        <v/>
      </c>
      <c r="Z1094" s="18">
        <f>IF($F1094="hold",0,-ABS($H1094)*$I1094*kg_per_mt*mcx_slippage_ticks*mcx_al_tick_inr_kg)</f>
        <v/>
      </c>
      <c r="AA1094" s="18">
        <f>IF($F1094="hold",0,-ABS($H1094)*$I1094*kg_per_mt*$Q1094*mcx_txn_cost_frac)</f>
        <v/>
      </c>
      <c r="AB1094" s="18">
        <f>$Z1094+$AA1094</f>
        <v/>
      </c>
      <c r="AC1094" s="18">
        <f>$R1094-$W1094+$AB1094</f>
        <v/>
      </c>
      <c r="AD1094" s="18">
        <f>IF(($B1093=$B1094),$AD1093,0)+$AC1094</f>
        <v/>
      </c>
      <c r="AE1094" s="23" t="n">
        <v>-1760900.07</v>
      </c>
      <c r="AF1094" s="23" t="n">
        <v>13970666</v>
      </c>
      <c r="AG1094" s="23" t="n">
        <v>0</v>
      </c>
      <c r="AH1094" s="23" t="n">
        <v>-1936990.08</v>
      </c>
      <c r="AI1094" s="23" t="n">
        <v>-1205.59</v>
      </c>
      <c r="AJ1094" s="18">
        <f>$R1094-$AE1094</f>
        <v/>
      </c>
      <c r="AK1094" s="18">
        <f>$U1094-$AF1094</f>
        <v/>
      </c>
      <c r="AL1094" s="18">
        <f>$AC1094-$AH1094</f>
        <v/>
      </c>
      <c r="AM1094" s="8">
        <f>IF(AND(ABS($AJ1094)&lt;=tol_mcx_inr,ABS($AK1094)&lt;=tol_mcx_inr,ABS($AL1094)&lt;=tol_mcx_inr),"PASS","FAIL")</f>
        <v/>
      </c>
    </row>
    <row r="1095">
      <c r="A1095" s="7" t="inlineStr">
        <is>
          <t>T01</t>
        </is>
      </c>
      <c r="B1095" s="7" t="inlineStr">
        <is>
          <t>T01-MCX-2</t>
        </is>
      </c>
      <c r="C1095" s="11" t="n">
        <v>44662</v>
      </c>
      <c r="D1095" s="7" t="n">
        <v>202204</v>
      </c>
      <c r="E1095" s="7" t="inlineStr">
        <is>
          <t>SELL</t>
        </is>
      </c>
      <c r="F1095" s="7" t="inlineStr">
        <is>
          <t>hold</t>
        </is>
      </c>
      <c r="G1095" s="17" t="b">
        <v>1</v>
      </c>
      <c r="H1095" s="6" t="n">
        <v>-100</v>
      </c>
      <c r="I1095" s="13" t="n">
        <v>5</v>
      </c>
      <c r="J1095" s="8">
        <f>OR($F1095="entry",$F1095="roll_in")</f>
        <v/>
      </c>
      <c r="K1095" s="8">
        <f>OR($F1095="exit",$F1095="roll_out")</f>
        <v/>
      </c>
      <c r="L1095" s="8">
        <f>OR(AND($E1095="SELL",$K1095),AND($E1095="BUY",$J1095))</f>
        <v/>
      </c>
      <c r="M1095" s="16">
        <f>((INDEX(Market_Daily!$B$6:$B$256,MATCH($C1095,Market_Daily!$A$6:$A$256,0))*INDEX(Market_Daily!$F$6:$F$256,MATCH($C1095,Market_Daily!$A$6:$A$256,0))/kg_per_mt*(1+bcd_primary_al_hs7601*(1+sws_rate_on_bcd))+mcx_domestic_premium_inr_kg)*(1+INDEX(Market_Daily!$I$6:$I$256,MATCH($C1095,Market_Daily!$A$6:$A$256,0))*MAX(0,INDEX(mcx_expiries,MATCH($D1095,mcx_months,0))-$C1095)/day_count_inr))</f>
        <v/>
      </c>
      <c r="N1095" s="16">
        <f>IF(INDEX(Market_Daily!$S$6:$S$256,MATCH($C1095,Market_Daily!$A$6:$A$256,0))=$D1095,INDEX(Market_Daily!$M$6:$M$256,MATCH($C1095,Market_Daily!$A$6:$A$256,0)),IF(INDEX(Market_Daily!$T$6:$T$256,MATCH($C1095,Market_Daily!$A$6:$A$256,0))=$D1095,INDEX(Market_Daily!$N$6:$N$256,MATCH($C1095,Market_Daily!$A$6:$A$256,0)),NA()))</f>
        <v/>
      </c>
      <c r="O1095" s="16">
        <f>$N1095-$M1095</f>
        <v/>
      </c>
      <c r="P1095" s="16">
        <f>IF(($B1094=$B1095),$M1094,"")</f>
        <v/>
      </c>
      <c r="Q1095" s="16">
        <f>$M1095+IF($L1095,1,-1)*mcx_slippage_ticks*mcx_al_tick_inr_kg</f>
        <v/>
      </c>
      <c r="R1095" s="18">
        <f>IF(($B1094=$B1095),$H1095*$I1095*kg_per_mt*($M1095-$M1094),0)</f>
        <v/>
      </c>
      <c r="S1095" s="18">
        <f>IF(($B1094=$B1095),$S1094,0)+$R1095</f>
        <v/>
      </c>
      <c r="T1095" s="18">
        <f>ABS($H1095)*$I1095*kg_per_mt*$M1095</f>
        <v/>
      </c>
      <c r="U1095" s="18">
        <f>IF($K1095,0,$T1095*mcx_al_margin_used_frac)</f>
        <v/>
      </c>
      <c r="V1095" s="18">
        <f>IF(($B1094=$B1095),$U1094,0)</f>
        <v/>
      </c>
      <c r="W1095" s="18">
        <f>$U1095-$V1095</f>
        <v/>
      </c>
      <c r="X1095" s="18">
        <f>IF($K1095,0,$T1095*0.12)</f>
        <v/>
      </c>
      <c r="Y1095" s="18">
        <f>IF($K1095,0,$T1095*0.15)</f>
        <v/>
      </c>
      <c r="Z1095" s="18">
        <f>IF($F1095="hold",0,-ABS($H1095)*$I1095*kg_per_mt*mcx_slippage_ticks*mcx_al_tick_inr_kg)</f>
        <v/>
      </c>
      <c r="AA1095" s="18">
        <f>IF($F1095="hold",0,-ABS($H1095)*$I1095*kg_per_mt*$Q1095*mcx_txn_cost_frac)</f>
        <v/>
      </c>
      <c r="AB1095" s="18">
        <f>$Z1095+$AA1095</f>
        <v/>
      </c>
      <c r="AC1095" s="18">
        <f>$R1095-$W1095+$AB1095</f>
        <v/>
      </c>
      <c r="AD1095" s="18">
        <f>IF(($B1094=$B1095),$AD1094,0)+$AC1095</f>
        <v/>
      </c>
      <c r="AE1095" s="23" t="n">
        <v>6609473.54</v>
      </c>
      <c r="AF1095" s="23" t="n">
        <v>13309718.64</v>
      </c>
      <c r="AG1095" s="23" t="n">
        <v>0</v>
      </c>
      <c r="AH1095" s="23" t="n">
        <v>7270420.89</v>
      </c>
      <c r="AI1095" s="23" t="n">
        <v>-5129.2</v>
      </c>
      <c r="AJ1095" s="18">
        <f>$R1095-$AE1095</f>
        <v/>
      </c>
      <c r="AK1095" s="18">
        <f>$U1095-$AF1095</f>
        <v/>
      </c>
      <c r="AL1095" s="18">
        <f>$AC1095-$AH1095</f>
        <v/>
      </c>
      <c r="AM1095" s="8">
        <f>IF(AND(ABS($AJ1095)&lt;=tol_mcx_inr,ABS($AK1095)&lt;=tol_mcx_inr,ABS($AL1095)&lt;=tol_mcx_inr),"PASS","FAIL")</f>
        <v/>
      </c>
    </row>
    <row r="1096">
      <c r="A1096" s="7" t="inlineStr">
        <is>
          <t>T01</t>
        </is>
      </c>
      <c r="B1096" s="7" t="inlineStr">
        <is>
          <t>T01-MCX-2</t>
        </is>
      </c>
      <c r="C1096" s="11" t="n">
        <v>44663</v>
      </c>
      <c r="D1096" s="7" t="n">
        <v>202204</v>
      </c>
      <c r="E1096" s="7" t="inlineStr">
        <is>
          <t>SELL</t>
        </is>
      </c>
      <c r="F1096" s="7" t="inlineStr">
        <is>
          <t>hold</t>
        </is>
      </c>
      <c r="G1096" s="17" t="b">
        <v>1</v>
      </c>
      <c r="H1096" s="6" t="n">
        <v>-100</v>
      </c>
      <c r="I1096" s="13" t="n">
        <v>5</v>
      </c>
      <c r="J1096" s="8">
        <f>OR($F1096="entry",$F1096="roll_in")</f>
        <v/>
      </c>
      <c r="K1096" s="8">
        <f>OR($F1096="exit",$F1096="roll_out")</f>
        <v/>
      </c>
      <c r="L1096" s="8">
        <f>OR(AND($E1096="SELL",$K1096),AND($E1096="BUY",$J1096))</f>
        <v/>
      </c>
      <c r="M1096" s="16">
        <f>((INDEX(Market_Daily!$B$6:$B$256,MATCH($C1096,Market_Daily!$A$6:$A$256,0))*INDEX(Market_Daily!$F$6:$F$256,MATCH($C1096,Market_Daily!$A$6:$A$256,0))/kg_per_mt*(1+bcd_primary_al_hs7601*(1+sws_rate_on_bcd))+mcx_domestic_premium_inr_kg)*(1+INDEX(Market_Daily!$I$6:$I$256,MATCH($C1096,Market_Daily!$A$6:$A$256,0))*MAX(0,INDEX(mcx_expiries,MATCH($D1096,mcx_months,0))-$C1096)/day_count_inr))</f>
        <v/>
      </c>
      <c r="N1096" s="16">
        <f>IF(INDEX(Market_Daily!$S$6:$S$256,MATCH($C1096,Market_Daily!$A$6:$A$256,0))=$D1096,INDEX(Market_Daily!$M$6:$M$256,MATCH($C1096,Market_Daily!$A$6:$A$256,0)),IF(INDEX(Market_Daily!$T$6:$T$256,MATCH($C1096,Market_Daily!$A$6:$A$256,0))=$D1096,INDEX(Market_Daily!$N$6:$N$256,MATCH($C1096,Market_Daily!$A$6:$A$256,0)),NA()))</f>
        <v/>
      </c>
      <c r="O1096" s="16">
        <f>$N1096-$M1096</f>
        <v/>
      </c>
      <c r="P1096" s="16">
        <f>IF(($B1095=$B1096),$M1095,"")</f>
        <v/>
      </c>
      <c r="Q1096" s="16">
        <f>$M1096+IF($L1096,1,-1)*mcx_slippage_ticks*mcx_al_tick_inr_kg</f>
        <v/>
      </c>
      <c r="R1096" s="18">
        <f>IF(($B1095=$B1096),$H1096*$I1096*kg_per_mt*($M1096-$M1095),0)</f>
        <v/>
      </c>
      <c r="S1096" s="18">
        <f>IF(($B1095=$B1096),$S1095,0)+$R1096</f>
        <v/>
      </c>
      <c r="T1096" s="18">
        <f>ABS($H1096)*$I1096*kg_per_mt*$M1096</f>
        <v/>
      </c>
      <c r="U1096" s="18">
        <f>IF($K1096,0,$T1096*mcx_al_margin_used_frac)</f>
        <v/>
      </c>
      <c r="V1096" s="18">
        <f>IF(($B1095=$B1096),$U1095,0)</f>
        <v/>
      </c>
      <c r="W1096" s="18">
        <f>$U1096-$V1096</f>
        <v/>
      </c>
      <c r="X1096" s="18">
        <f>IF($K1096,0,$T1096*0.12)</f>
        <v/>
      </c>
      <c r="Y1096" s="18">
        <f>IF($K1096,0,$T1096*0.15)</f>
        <v/>
      </c>
      <c r="Z1096" s="18">
        <f>IF($F1096="hold",0,-ABS($H1096)*$I1096*kg_per_mt*mcx_slippage_ticks*mcx_al_tick_inr_kg)</f>
        <v/>
      </c>
      <c r="AA1096" s="18">
        <f>IF($F1096="hold",0,-ABS($H1096)*$I1096*kg_per_mt*$Q1096*mcx_txn_cost_frac)</f>
        <v/>
      </c>
      <c r="AB1096" s="18">
        <f>$Z1096+$AA1096</f>
        <v/>
      </c>
      <c r="AC1096" s="18">
        <f>$R1096-$W1096+$AB1096</f>
        <v/>
      </c>
      <c r="AD1096" s="18">
        <f>IF(($B1095=$B1096),$AD1095,0)+$AC1096</f>
        <v/>
      </c>
      <c r="AE1096" s="23" t="n">
        <v>330310.08</v>
      </c>
      <c r="AF1096" s="23" t="n">
        <v>13276687.63</v>
      </c>
      <c r="AG1096" s="23" t="n">
        <v>0</v>
      </c>
      <c r="AH1096" s="23" t="n">
        <v>363341.09</v>
      </c>
      <c r="AI1096" s="23" t="n">
        <v>182.57</v>
      </c>
      <c r="AJ1096" s="18">
        <f>$R1096-$AE1096</f>
        <v/>
      </c>
      <c r="AK1096" s="18">
        <f>$U1096-$AF1096</f>
        <v/>
      </c>
      <c r="AL1096" s="18">
        <f>$AC1096-$AH1096</f>
        <v/>
      </c>
      <c r="AM1096" s="8">
        <f>IF(AND(ABS($AJ1096)&lt;=tol_mcx_inr,ABS($AK1096)&lt;=tol_mcx_inr,ABS($AL1096)&lt;=tol_mcx_inr),"PASS","FAIL")</f>
        <v/>
      </c>
    </row>
    <row r="1097">
      <c r="A1097" s="7" t="inlineStr">
        <is>
          <t>T01</t>
        </is>
      </c>
      <c r="B1097" s="7" t="inlineStr">
        <is>
          <t>T01-MCX-2</t>
        </is>
      </c>
      <c r="C1097" s="11" t="n">
        <v>44664</v>
      </c>
      <c r="D1097" s="7" t="n">
        <v>202204</v>
      </c>
      <c r="E1097" s="7" t="inlineStr">
        <is>
          <t>SELL</t>
        </is>
      </c>
      <c r="F1097" s="7" t="inlineStr">
        <is>
          <t>hold</t>
        </is>
      </c>
      <c r="G1097" s="17" t="b">
        <v>1</v>
      </c>
      <c r="H1097" s="6" t="n">
        <v>-100</v>
      </c>
      <c r="I1097" s="13" t="n">
        <v>5</v>
      </c>
      <c r="J1097" s="8">
        <f>OR($F1097="entry",$F1097="roll_in")</f>
        <v/>
      </c>
      <c r="K1097" s="8">
        <f>OR($F1097="exit",$F1097="roll_out")</f>
        <v/>
      </c>
      <c r="L1097" s="8">
        <f>OR(AND($E1097="SELL",$K1097),AND($E1097="BUY",$J1097))</f>
        <v/>
      </c>
      <c r="M1097" s="16">
        <f>((INDEX(Market_Daily!$B$6:$B$256,MATCH($C1097,Market_Daily!$A$6:$A$256,0))*INDEX(Market_Daily!$F$6:$F$256,MATCH($C1097,Market_Daily!$A$6:$A$256,0))/kg_per_mt*(1+bcd_primary_al_hs7601*(1+sws_rate_on_bcd))+mcx_domestic_premium_inr_kg)*(1+INDEX(Market_Daily!$I$6:$I$256,MATCH($C1097,Market_Daily!$A$6:$A$256,0))*MAX(0,INDEX(mcx_expiries,MATCH($D1097,mcx_months,0))-$C1097)/day_count_inr))</f>
        <v/>
      </c>
      <c r="N1097" s="16">
        <f>IF(INDEX(Market_Daily!$S$6:$S$256,MATCH($C1097,Market_Daily!$A$6:$A$256,0))=$D1097,INDEX(Market_Daily!$M$6:$M$256,MATCH($C1097,Market_Daily!$A$6:$A$256,0)),IF(INDEX(Market_Daily!$T$6:$T$256,MATCH($C1097,Market_Daily!$A$6:$A$256,0))=$D1097,INDEX(Market_Daily!$N$6:$N$256,MATCH($C1097,Market_Daily!$A$6:$A$256,0)),NA()))</f>
        <v/>
      </c>
      <c r="O1097" s="16">
        <f>$N1097-$M1097</f>
        <v/>
      </c>
      <c r="P1097" s="16">
        <f>IF(($B1096=$B1097),$M1096,"")</f>
        <v/>
      </c>
      <c r="Q1097" s="16">
        <f>$M1097+IF($L1097,1,-1)*mcx_slippage_ticks*mcx_al_tick_inr_kg</f>
        <v/>
      </c>
      <c r="R1097" s="18">
        <f>IF(($B1096=$B1097),$H1097*$I1097*kg_per_mt*($M1097-$M1096),0)</f>
        <v/>
      </c>
      <c r="S1097" s="18">
        <f>IF(($B1096=$B1097),$S1096,0)+$R1097</f>
        <v/>
      </c>
      <c r="T1097" s="18">
        <f>ABS($H1097)*$I1097*kg_per_mt*$M1097</f>
        <v/>
      </c>
      <c r="U1097" s="18">
        <f>IF($K1097,0,$T1097*mcx_al_margin_used_frac)</f>
        <v/>
      </c>
      <c r="V1097" s="18">
        <f>IF(($B1096=$B1097),$U1096,0)</f>
        <v/>
      </c>
      <c r="W1097" s="18">
        <f>$U1097-$V1097</f>
        <v/>
      </c>
      <c r="X1097" s="18">
        <f>IF($K1097,0,$T1097*0.12)</f>
        <v/>
      </c>
      <c r="Y1097" s="18">
        <f>IF($K1097,0,$T1097*0.15)</f>
        <v/>
      </c>
      <c r="Z1097" s="18">
        <f>IF($F1097="hold",0,-ABS($H1097)*$I1097*kg_per_mt*mcx_slippage_ticks*mcx_al_tick_inr_kg)</f>
        <v/>
      </c>
      <c r="AA1097" s="18">
        <f>IF($F1097="hold",0,-ABS($H1097)*$I1097*kg_per_mt*$Q1097*mcx_txn_cost_frac)</f>
        <v/>
      </c>
      <c r="AB1097" s="18">
        <f>$Z1097+$AA1097</f>
        <v/>
      </c>
      <c r="AC1097" s="18">
        <f>$R1097-$W1097+$AB1097</f>
        <v/>
      </c>
      <c r="AD1097" s="18">
        <f>IF(($B1096=$B1097),$AD1096,0)+$AC1097</f>
        <v/>
      </c>
      <c r="AE1097" s="23" t="n">
        <v>298080.46</v>
      </c>
      <c r="AF1097" s="23" t="n">
        <v>13246879.59</v>
      </c>
      <c r="AG1097" s="23" t="n">
        <v>0</v>
      </c>
      <c r="AH1097" s="23" t="n">
        <v>327888.51</v>
      </c>
      <c r="AI1097" s="23" t="n">
        <v>277.14</v>
      </c>
      <c r="AJ1097" s="18">
        <f>$R1097-$AE1097</f>
        <v/>
      </c>
      <c r="AK1097" s="18">
        <f>$U1097-$AF1097</f>
        <v/>
      </c>
      <c r="AL1097" s="18">
        <f>$AC1097-$AH1097</f>
        <v/>
      </c>
      <c r="AM1097" s="8">
        <f>IF(AND(ABS($AJ1097)&lt;=tol_mcx_inr,ABS($AK1097)&lt;=tol_mcx_inr,ABS($AL1097)&lt;=tol_mcx_inr),"PASS","FAIL")</f>
        <v/>
      </c>
    </row>
    <row r="1098">
      <c r="A1098" s="7" t="inlineStr">
        <is>
          <t>T01</t>
        </is>
      </c>
      <c r="B1098" s="7" t="inlineStr">
        <is>
          <t>T01-MCX-2</t>
        </is>
      </c>
      <c r="C1098" s="11" t="n">
        <v>44665</v>
      </c>
      <c r="D1098" s="7" t="n">
        <v>202204</v>
      </c>
      <c r="E1098" s="7" t="inlineStr">
        <is>
          <t>SELL</t>
        </is>
      </c>
      <c r="F1098" s="7" t="inlineStr">
        <is>
          <t>hold</t>
        </is>
      </c>
      <c r="G1098" s="17" t="b">
        <v>1</v>
      </c>
      <c r="H1098" s="6" t="n">
        <v>-100</v>
      </c>
      <c r="I1098" s="13" t="n">
        <v>5</v>
      </c>
      <c r="J1098" s="8">
        <f>OR($F1098="entry",$F1098="roll_in")</f>
        <v/>
      </c>
      <c r="K1098" s="8">
        <f>OR($F1098="exit",$F1098="roll_out")</f>
        <v/>
      </c>
      <c r="L1098" s="8">
        <f>OR(AND($E1098="SELL",$K1098),AND($E1098="BUY",$J1098))</f>
        <v/>
      </c>
      <c r="M1098" s="16">
        <f>((INDEX(Market_Daily!$B$6:$B$256,MATCH($C1098,Market_Daily!$A$6:$A$256,0))*INDEX(Market_Daily!$F$6:$F$256,MATCH($C1098,Market_Daily!$A$6:$A$256,0))/kg_per_mt*(1+bcd_primary_al_hs7601*(1+sws_rate_on_bcd))+mcx_domestic_premium_inr_kg)*(1+INDEX(Market_Daily!$I$6:$I$256,MATCH($C1098,Market_Daily!$A$6:$A$256,0))*MAX(0,INDEX(mcx_expiries,MATCH($D1098,mcx_months,0))-$C1098)/day_count_inr))</f>
        <v/>
      </c>
      <c r="N1098" s="16">
        <f>IF(INDEX(Market_Daily!$S$6:$S$256,MATCH($C1098,Market_Daily!$A$6:$A$256,0))=$D1098,INDEX(Market_Daily!$M$6:$M$256,MATCH($C1098,Market_Daily!$A$6:$A$256,0)),IF(INDEX(Market_Daily!$T$6:$T$256,MATCH($C1098,Market_Daily!$A$6:$A$256,0))=$D1098,INDEX(Market_Daily!$N$6:$N$256,MATCH($C1098,Market_Daily!$A$6:$A$256,0)),NA()))</f>
        <v/>
      </c>
      <c r="O1098" s="16">
        <f>$N1098-$M1098</f>
        <v/>
      </c>
      <c r="P1098" s="16">
        <f>IF(($B1097=$B1098),$M1097,"")</f>
        <v/>
      </c>
      <c r="Q1098" s="16">
        <f>$M1098+IF($L1098,1,-1)*mcx_slippage_ticks*mcx_al_tick_inr_kg</f>
        <v/>
      </c>
      <c r="R1098" s="18">
        <f>IF(($B1097=$B1098),$H1098*$I1098*kg_per_mt*($M1098-$M1097),0)</f>
        <v/>
      </c>
      <c r="S1098" s="18">
        <f>IF(($B1097=$B1098),$S1097,0)+$R1098</f>
        <v/>
      </c>
      <c r="T1098" s="18">
        <f>ABS($H1098)*$I1098*kg_per_mt*$M1098</f>
        <v/>
      </c>
      <c r="U1098" s="18">
        <f>IF($K1098,0,$T1098*mcx_al_margin_used_frac)</f>
        <v/>
      </c>
      <c r="V1098" s="18">
        <f>IF(($B1097=$B1098),$U1097,0)</f>
        <v/>
      </c>
      <c r="W1098" s="18">
        <f>$U1098-$V1098</f>
        <v/>
      </c>
      <c r="X1098" s="18">
        <f>IF($K1098,0,$T1098*0.12)</f>
        <v/>
      </c>
      <c r="Y1098" s="18">
        <f>IF($K1098,0,$T1098*0.15)</f>
        <v/>
      </c>
      <c r="Z1098" s="18">
        <f>IF($F1098="hold",0,-ABS($H1098)*$I1098*kg_per_mt*mcx_slippage_ticks*mcx_al_tick_inr_kg)</f>
        <v/>
      </c>
      <c r="AA1098" s="18">
        <f>IF($F1098="hold",0,-ABS($H1098)*$I1098*kg_per_mt*$Q1098*mcx_txn_cost_frac)</f>
        <v/>
      </c>
      <c r="AB1098" s="18">
        <f>$Z1098+$AA1098</f>
        <v/>
      </c>
      <c r="AC1098" s="18">
        <f>$R1098-$W1098+$AB1098</f>
        <v/>
      </c>
      <c r="AD1098" s="18">
        <f>IF(($B1097=$B1098),$AD1097,0)+$AC1098</f>
        <v/>
      </c>
      <c r="AE1098" s="23" t="n">
        <v>-1148421.44</v>
      </c>
      <c r="AF1098" s="23" t="n">
        <v>13361721.73</v>
      </c>
      <c r="AG1098" s="23" t="n">
        <v>0</v>
      </c>
      <c r="AH1098" s="23" t="n">
        <v>-1263263.59</v>
      </c>
      <c r="AI1098" s="23" t="n">
        <v>362.48</v>
      </c>
      <c r="AJ1098" s="18">
        <f>$R1098-$AE1098</f>
        <v/>
      </c>
      <c r="AK1098" s="18">
        <f>$U1098-$AF1098</f>
        <v/>
      </c>
      <c r="AL1098" s="18">
        <f>$AC1098-$AH1098</f>
        <v/>
      </c>
      <c r="AM1098" s="8">
        <f>IF(AND(ABS($AJ1098)&lt;=tol_mcx_inr,ABS($AK1098)&lt;=tol_mcx_inr,ABS($AL1098)&lt;=tol_mcx_inr),"PASS","FAIL")</f>
        <v/>
      </c>
    </row>
    <row r="1099">
      <c r="A1099" s="7" t="inlineStr">
        <is>
          <t>T01</t>
        </is>
      </c>
      <c r="B1099" s="7" t="inlineStr">
        <is>
          <t>T01-MCX-2</t>
        </is>
      </c>
      <c r="C1099" s="11" t="n">
        <v>44670</v>
      </c>
      <c r="D1099" s="7" t="n">
        <v>202204</v>
      </c>
      <c r="E1099" s="7" t="inlineStr">
        <is>
          <t>SELL</t>
        </is>
      </c>
      <c r="F1099" s="7" t="inlineStr">
        <is>
          <t>hold</t>
        </is>
      </c>
      <c r="G1099" s="17" t="b">
        <v>1</v>
      </c>
      <c r="H1099" s="6" t="n">
        <v>-100</v>
      </c>
      <c r="I1099" s="13" t="n">
        <v>5</v>
      </c>
      <c r="J1099" s="8">
        <f>OR($F1099="entry",$F1099="roll_in")</f>
        <v/>
      </c>
      <c r="K1099" s="8">
        <f>OR($F1099="exit",$F1099="roll_out")</f>
        <v/>
      </c>
      <c r="L1099" s="8">
        <f>OR(AND($E1099="SELL",$K1099),AND($E1099="BUY",$J1099))</f>
        <v/>
      </c>
      <c r="M1099" s="16">
        <f>((INDEX(Market_Daily!$B$6:$B$256,MATCH($C1099,Market_Daily!$A$6:$A$256,0))*INDEX(Market_Daily!$F$6:$F$256,MATCH($C1099,Market_Daily!$A$6:$A$256,0))/kg_per_mt*(1+bcd_primary_al_hs7601*(1+sws_rate_on_bcd))+mcx_domestic_premium_inr_kg)*(1+INDEX(Market_Daily!$I$6:$I$256,MATCH($C1099,Market_Daily!$A$6:$A$256,0))*MAX(0,INDEX(mcx_expiries,MATCH($D1099,mcx_months,0))-$C1099)/day_count_inr))</f>
        <v/>
      </c>
      <c r="N1099" s="16">
        <f>IF(INDEX(Market_Daily!$S$6:$S$256,MATCH($C1099,Market_Daily!$A$6:$A$256,0))=$D1099,INDEX(Market_Daily!$M$6:$M$256,MATCH($C1099,Market_Daily!$A$6:$A$256,0)),IF(INDEX(Market_Daily!$T$6:$T$256,MATCH($C1099,Market_Daily!$A$6:$A$256,0))=$D1099,INDEX(Market_Daily!$N$6:$N$256,MATCH($C1099,Market_Daily!$A$6:$A$256,0)),NA()))</f>
        <v/>
      </c>
      <c r="O1099" s="16">
        <f>$N1099-$M1099</f>
        <v/>
      </c>
      <c r="P1099" s="16">
        <f>IF(($B1098=$B1099),$M1098,"")</f>
        <v/>
      </c>
      <c r="Q1099" s="16">
        <f>$M1099+IF($L1099,1,-1)*mcx_slippage_ticks*mcx_al_tick_inr_kg</f>
        <v/>
      </c>
      <c r="R1099" s="18">
        <f>IF(($B1098=$B1099),$H1099*$I1099*kg_per_mt*($M1099-$M1098),0)</f>
        <v/>
      </c>
      <c r="S1099" s="18">
        <f>IF(($B1098=$B1099),$S1098,0)+$R1099</f>
        <v/>
      </c>
      <c r="T1099" s="18">
        <f>ABS($H1099)*$I1099*kg_per_mt*$M1099</f>
        <v/>
      </c>
      <c r="U1099" s="18">
        <f>IF($K1099,0,$T1099*mcx_al_margin_used_frac)</f>
        <v/>
      </c>
      <c r="V1099" s="18">
        <f>IF(($B1098=$B1099),$U1098,0)</f>
        <v/>
      </c>
      <c r="W1099" s="18">
        <f>$U1099-$V1099</f>
        <v/>
      </c>
      <c r="X1099" s="18">
        <f>IF($K1099,0,$T1099*0.12)</f>
        <v/>
      </c>
      <c r="Y1099" s="18">
        <f>IF($K1099,0,$T1099*0.15)</f>
        <v/>
      </c>
      <c r="Z1099" s="18">
        <f>IF($F1099="hold",0,-ABS($H1099)*$I1099*kg_per_mt*mcx_slippage_ticks*mcx_al_tick_inr_kg)</f>
        <v/>
      </c>
      <c r="AA1099" s="18">
        <f>IF($F1099="hold",0,-ABS($H1099)*$I1099*kg_per_mt*$Q1099*mcx_txn_cost_frac)</f>
        <v/>
      </c>
      <c r="AB1099" s="18">
        <f>$Z1099+$AA1099</f>
        <v/>
      </c>
      <c r="AC1099" s="18">
        <f>$R1099-$W1099+$AB1099</f>
        <v/>
      </c>
      <c r="AD1099" s="18">
        <f>IF(($B1098=$B1099),$AD1098,0)+$AC1099</f>
        <v/>
      </c>
      <c r="AE1099" s="23" t="n">
        <v>-3600736.39</v>
      </c>
      <c r="AF1099" s="23" t="n">
        <v>13721795.37</v>
      </c>
      <c r="AG1099" s="23" t="n">
        <v>0</v>
      </c>
      <c r="AH1099" s="23" t="n">
        <v>-3960810.02</v>
      </c>
      <c r="AI1099" s="23" t="n">
        <v>168.41</v>
      </c>
      <c r="AJ1099" s="18">
        <f>$R1099-$AE1099</f>
        <v/>
      </c>
      <c r="AK1099" s="18">
        <f>$U1099-$AF1099</f>
        <v/>
      </c>
      <c r="AL1099" s="18">
        <f>$AC1099-$AH1099</f>
        <v/>
      </c>
      <c r="AM1099" s="8">
        <f>IF(AND(ABS($AJ1099)&lt;=tol_mcx_inr,ABS($AK1099)&lt;=tol_mcx_inr,ABS($AL1099)&lt;=tol_mcx_inr),"PASS","FAIL")</f>
        <v/>
      </c>
    </row>
    <row r="1100">
      <c r="A1100" s="7" t="inlineStr">
        <is>
          <t>T01</t>
        </is>
      </c>
      <c r="B1100" s="7" t="inlineStr">
        <is>
          <t>T01-MCX-2</t>
        </is>
      </c>
      <c r="C1100" s="11" t="n">
        <v>44671</v>
      </c>
      <c r="D1100" s="7" t="n">
        <v>202204</v>
      </c>
      <c r="E1100" s="7" t="inlineStr">
        <is>
          <t>SELL</t>
        </is>
      </c>
      <c r="F1100" s="7" t="inlineStr">
        <is>
          <t>roll_out</t>
        </is>
      </c>
      <c r="G1100" s="17" t="b">
        <v>1</v>
      </c>
      <c r="H1100" s="6" t="n">
        <v>-100</v>
      </c>
      <c r="I1100" s="13" t="n">
        <v>5</v>
      </c>
      <c r="J1100" s="8">
        <f>OR($F1100="entry",$F1100="roll_in")</f>
        <v/>
      </c>
      <c r="K1100" s="8">
        <f>OR($F1100="exit",$F1100="roll_out")</f>
        <v/>
      </c>
      <c r="L1100" s="8">
        <f>OR(AND($E1100="SELL",$K1100),AND($E1100="BUY",$J1100))</f>
        <v/>
      </c>
      <c r="M1100" s="16">
        <f>((INDEX(Market_Daily!$B$6:$B$256,MATCH($C1100,Market_Daily!$A$6:$A$256,0))*INDEX(Market_Daily!$F$6:$F$256,MATCH($C1100,Market_Daily!$A$6:$A$256,0))/kg_per_mt*(1+bcd_primary_al_hs7601*(1+sws_rate_on_bcd))+mcx_domestic_premium_inr_kg)*(1+INDEX(Market_Daily!$I$6:$I$256,MATCH($C1100,Market_Daily!$A$6:$A$256,0))*MAX(0,INDEX(mcx_expiries,MATCH($D1100,mcx_months,0))-$C1100)/day_count_inr))</f>
        <v/>
      </c>
      <c r="N1100" s="16">
        <f>IF(INDEX(Market_Daily!$S$6:$S$256,MATCH($C1100,Market_Daily!$A$6:$A$256,0))=$D1100,INDEX(Market_Daily!$M$6:$M$256,MATCH($C1100,Market_Daily!$A$6:$A$256,0)),IF(INDEX(Market_Daily!$T$6:$T$256,MATCH($C1100,Market_Daily!$A$6:$A$256,0))=$D1100,INDEX(Market_Daily!$N$6:$N$256,MATCH($C1100,Market_Daily!$A$6:$A$256,0)),NA()))</f>
        <v/>
      </c>
      <c r="O1100" s="16">
        <f>$N1100-$M1100</f>
        <v/>
      </c>
      <c r="P1100" s="16">
        <f>IF(($B1099=$B1100),$M1099,"")</f>
        <v/>
      </c>
      <c r="Q1100" s="16">
        <f>$M1100+IF($L1100,1,-1)*mcx_slippage_ticks*mcx_al_tick_inr_kg</f>
        <v/>
      </c>
      <c r="R1100" s="18">
        <f>IF(($B1099=$B1100),$H1100*$I1100*kg_per_mt*($M1100-$M1099),0)</f>
        <v/>
      </c>
      <c r="S1100" s="18">
        <f>IF(($B1099=$B1100),$S1099,0)+$R1100</f>
        <v/>
      </c>
      <c r="T1100" s="18">
        <f>ABS($H1100)*$I1100*kg_per_mt*$M1100</f>
        <v/>
      </c>
      <c r="U1100" s="18">
        <f>IF($K1100,0,$T1100*mcx_al_margin_used_frac)</f>
        <v/>
      </c>
      <c r="V1100" s="18">
        <f>IF(($B1099=$B1100),$U1099,0)</f>
        <v/>
      </c>
      <c r="W1100" s="18">
        <f>$U1100-$V1100</f>
        <v/>
      </c>
      <c r="X1100" s="18">
        <f>IF($K1100,0,$T1100*0.12)</f>
        <v/>
      </c>
      <c r="Y1100" s="18">
        <f>IF($K1100,0,$T1100*0.15)</f>
        <v/>
      </c>
      <c r="Z1100" s="18">
        <f>IF($F1100="hold",0,-ABS($H1100)*$I1100*kg_per_mt*mcx_slippage_ticks*mcx_al_tick_inr_kg)</f>
        <v/>
      </c>
      <c r="AA1100" s="18">
        <f>IF($F1100="hold",0,-ABS($H1100)*$I1100*kg_per_mt*$Q1100*mcx_txn_cost_frac)</f>
        <v/>
      </c>
      <c r="AB1100" s="18">
        <f>$Z1100+$AA1100</f>
        <v/>
      </c>
      <c r="AC1100" s="18">
        <f>$R1100-$W1100+$AB1100</f>
        <v/>
      </c>
      <c r="AD1100" s="18">
        <f>IF(($B1099=$B1100),$AD1099,0)+$AC1100</f>
        <v/>
      </c>
      <c r="AE1100" s="23" t="n">
        <v>3281786.46</v>
      </c>
      <c r="AF1100" s="23" t="n">
        <v>0</v>
      </c>
      <c r="AG1100" s="23" t="n">
        <v>-90195.85000000001</v>
      </c>
      <c r="AH1100" s="23" t="n">
        <v>16913385.98</v>
      </c>
      <c r="AI1100" s="23" t="n">
        <v>-1007.71</v>
      </c>
      <c r="AJ1100" s="18">
        <f>$R1100-$AE1100</f>
        <v/>
      </c>
      <c r="AK1100" s="18">
        <f>$U1100-$AF1100</f>
        <v/>
      </c>
      <c r="AL1100" s="18">
        <f>$AC1100-$AH1100</f>
        <v/>
      </c>
      <c r="AM1100" s="8">
        <f>IF(AND(ABS($AJ1100)&lt;=tol_mcx_inr,ABS($AK1100)&lt;=tol_mcx_inr,ABS($AL1100)&lt;=tol_mcx_inr),"PASS","FAIL")</f>
        <v/>
      </c>
    </row>
    <row r="1101">
      <c r="A1101" s="7" t="inlineStr">
        <is>
          <t>T01</t>
        </is>
      </c>
      <c r="B1101" s="7" t="inlineStr">
        <is>
          <t>T01-MCX-3</t>
        </is>
      </c>
      <c r="C1101" s="11" t="n">
        <v>44671</v>
      </c>
      <c r="D1101" s="7" t="n">
        <v>202205</v>
      </c>
      <c r="E1101" s="7" t="inlineStr">
        <is>
          <t>SELL</t>
        </is>
      </c>
      <c r="F1101" s="7" t="inlineStr">
        <is>
          <t>roll_in</t>
        </is>
      </c>
      <c r="G1101" s="17" t="b">
        <v>1</v>
      </c>
      <c r="H1101" s="6" t="n">
        <v>-200</v>
      </c>
      <c r="I1101" s="13" t="n">
        <v>5</v>
      </c>
      <c r="J1101" s="8">
        <f>OR($F1101="entry",$F1101="roll_in")</f>
        <v/>
      </c>
      <c r="K1101" s="8">
        <f>OR($F1101="exit",$F1101="roll_out")</f>
        <v/>
      </c>
      <c r="L1101" s="8">
        <f>OR(AND($E1101="SELL",$K1101),AND($E1101="BUY",$J1101))</f>
        <v/>
      </c>
      <c r="M1101" s="16">
        <f>((INDEX(Market_Daily!$B$6:$B$256,MATCH($C1101,Market_Daily!$A$6:$A$256,0))*INDEX(Market_Daily!$F$6:$F$256,MATCH($C1101,Market_Daily!$A$6:$A$256,0))/kg_per_mt*(1+bcd_primary_al_hs7601*(1+sws_rate_on_bcd))+mcx_domestic_premium_inr_kg)*(1+INDEX(Market_Daily!$I$6:$I$256,MATCH($C1101,Market_Daily!$A$6:$A$256,0))*MAX(0,INDEX(mcx_expiries,MATCH($D1101,mcx_months,0))-$C1101)/day_count_inr))</f>
        <v/>
      </c>
      <c r="N1101" s="16">
        <f>IF(INDEX(Market_Daily!$S$6:$S$256,MATCH($C1101,Market_Daily!$A$6:$A$256,0))=$D1101,INDEX(Market_Daily!$M$6:$M$256,MATCH($C1101,Market_Daily!$A$6:$A$256,0)),IF(INDEX(Market_Daily!$T$6:$T$256,MATCH($C1101,Market_Daily!$A$6:$A$256,0))=$D1101,INDEX(Market_Daily!$N$6:$N$256,MATCH($C1101,Market_Daily!$A$6:$A$256,0)),NA()))</f>
        <v/>
      </c>
      <c r="O1101" s="16">
        <f>$N1101-$M1101</f>
        <v/>
      </c>
      <c r="P1101" s="16">
        <f>IF(($B1100=$B1101),$M1100,"")</f>
        <v/>
      </c>
      <c r="Q1101" s="16">
        <f>$M1101+IF($L1101,1,-1)*mcx_slippage_ticks*mcx_al_tick_inr_kg</f>
        <v/>
      </c>
      <c r="R1101" s="18">
        <f>IF(($B1100=$B1101),$H1101*$I1101*kg_per_mt*($M1101-$M1100),0)</f>
        <v/>
      </c>
      <c r="S1101" s="18">
        <f>IF(($B1100=$B1101),$S1100,0)+$R1101</f>
        <v/>
      </c>
      <c r="T1101" s="18">
        <f>ABS($H1101)*$I1101*kg_per_mt*$M1101</f>
        <v/>
      </c>
      <c r="U1101" s="18">
        <f>IF($K1101,0,$T1101*mcx_al_margin_used_frac)</f>
        <v/>
      </c>
      <c r="V1101" s="18">
        <f>IF(($B1100=$B1101),$U1100,0)</f>
        <v/>
      </c>
      <c r="W1101" s="18">
        <f>$U1101-$V1101</f>
        <v/>
      </c>
      <c r="X1101" s="18">
        <f>IF($K1101,0,$T1101*0.12)</f>
        <v/>
      </c>
      <c r="Y1101" s="18">
        <f>IF($K1101,0,$T1101*0.15)</f>
        <v/>
      </c>
      <c r="Z1101" s="18">
        <f>IF($F1101="hold",0,-ABS($H1101)*$I1101*kg_per_mt*mcx_slippage_ticks*mcx_al_tick_inr_kg)</f>
        <v/>
      </c>
      <c r="AA1101" s="18">
        <f>IF($F1101="hold",0,-ABS($H1101)*$I1101*kg_per_mt*$Q1101*mcx_txn_cost_frac)</f>
        <v/>
      </c>
      <c r="AB1101" s="18">
        <f>$Z1101+$AA1101</f>
        <v/>
      </c>
      <c r="AC1101" s="18">
        <f>$R1101-$W1101+$AB1101</f>
        <v/>
      </c>
      <c r="AD1101" s="18">
        <f>IF(($B1100=$B1101),$AD1100,0)+$AC1101</f>
        <v/>
      </c>
      <c r="AE1101" s="23" t="n">
        <v>0</v>
      </c>
      <c r="AF1101" s="23" t="n">
        <v>26879333.48</v>
      </c>
      <c r="AG1101" s="23" t="n">
        <v>-180608</v>
      </c>
      <c r="AH1101" s="23" t="n">
        <v>-27059941.48</v>
      </c>
      <c r="AI1101" s="23" t="n">
        <v>0</v>
      </c>
      <c r="AJ1101" s="18">
        <f>$R1101-$AE1101</f>
        <v/>
      </c>
      <c r="AK1101" s="18">
        <f>$U1101-$AF1101</f>
        <v/>
      </c>
      <c r="AL1101" s="18">
        <f>$AC1101-$AH1101</f>
        <v/>
      </c>
      <c r="AM1101" s="8">
        <f>IF(AND(ABS($AJ1101)&lt;=tol_mcx_inr,ABS($AK1101)&lt;=tol_mcx_inr,ABS($AL1101)&lt;=tol_mcx_inr),"PASS","FAIL")</f>
        <v/>
      </c>
    </row>
    <row r="1102">
      <c r="A1102" s="7" t="inlineStr">
        <is>
          <t>T01</t>
        </is>
      </c>
      <c r="B1102" s="7" t="inlineStr">
        <is>
          <t>T01-MCX-3</t>
        </is>
      </c>
      <c r="C1102" s="11" t="n">
        <v>44672</v>
      </c>
      <c r="D1102" s="7" t="n">
        <v>202205</v>
      </c>
      <c r="E1102" s="7" t="inlineStr">
        <is>
          <t>SELL</t>
        </is>
      </c>
      <c r="F1102" s="7" t="inlineStr">
        <is>
          <t>hold</t>
        </is>
      </c>
      <c r="G1102" s="17" t="b">
        <v>1</v>
      </c>
      <c r="H1102" s="6" t="n">
        <v>-200</v>
      </c>
      <c r="I1102" s="13" t="n">
        <v>5</v>
      </c>
      <c r="J1102" s="8">
        <f>OR($F1102="entry",$F1102="roll_in")</f>
        <v/>
      </c>
      <c r="K1102" s="8">
        <f>OR($F1102="exit",$F1102="roll_out")</f>
        <v/>
      </c>
      <c r="L1102" s="8">
        <f>OR(AND($E1102="SELL",$K1102),AND($E1102="BUY",$J1102))</f>
        <v/>
      </c>
      <c r="M1102" s="16">
        <f>((INDEX(Market_Daily!$B$6:$B$256,MATCH($C1102,Market_Daily!$A$6:$A$256,0))*INDEX(Market_Daily!$F$6:$F$256,MATCH($C1102,Market_Daily!$A$6:$A$256,0))/kg_per_mt*(1+bcd_primary_al_hs7601*(1+sws_rate_on_bcd))+mcx_domestic_premium_inr_kg)*(1+INDEX(Market_Daily!$I$6:$I$256,MATCH($C1102,Market_Daily!$A$6:$A$256,0))*MAX(0,INDEX(mcx_expiries,MATCH($D1102,mcx_months,0))-$C1102)/day_count_inr))</f>
        <v/>
      </c>
      <c r="N1102" s="16">
        <f>IF(INDEX(Market_Daily!$S$6:$S$256,MATCH($C1102,Market_Daily!$A$6:$A$256,0))=$D1102,INDEX(Market_Daily!$M$6:$M$256,MATCH($C1102,Market_Daily!$A$6:$A$256,0)),IF(INDEX(Market_Daily!$T$6:$T$256,MATCH($C1102,Market_Daily!$A$6:$A$256,0))=$D1102,INDEX(Market_Daily!$N$6:$N$256,MATCH($C1102,Market_Daily!$A$6:$A$256,0)),NA()))</f>
        <v/>
      </c>
      <c r="O1102" s="16">
        <f>$N1102-$M1102</f>
        <v/>
      </c>
      <c r="P1102" s="16">
        <f>IF(($B1101=$B1102),$M1101,"")</f>
        <v/>
      </c>
      <c r="Q1102" s="16">
        <f>$M1102+IF($L1102,1,-1)*mcx_slippage_ticks*mcx_al_tick_inr_kg</f>
        <v/>
      </c>
      <c r="R1102" s="18">
        <f>IF(($B1101=$B1102),$H1102*$I1102*kg_per_mt*($M1102-$M1101),0)</f>
        <v/>
      </c>
      <c r="S1102" s="18">
        <f>IF(($B1101=$B1102),$S1101,0)+$R1102</f>
        <v/>
      </c>
      <c r="T1102" s="18">
        <f>ABS($H1102)*$I1102*kg_per_mt*$M1102</f>
        <v/>
      </c>
      <c r="U1102" s="18">
        <f>IF($K1102,0,$T1102*mcx_al_margin_used_frac)</f>
        <v/>
      </c>
      <c r="V1102" s="18">
        <f>IF(($B1101=$B1102),$U1101,0)</f>
        <v/>
      </c>
      <c r="W1102" s="18">
        <f>$U1102-$V1102</f>
        <v/>
      </c>
      <c r="X1102" s="18">
        <f>IF($K1102,0,$T1102*0.12)</f>
        <v/>
      </c>
      <c r="Y1102" s="18">
        <f>IF($K1102,0,$T1102*0.15)</f>
        <v/>
      </c>
      <c r="Z1102" s="18">
        <f>IF($F1102="hold",0,-ABS($H1102)*$I1102*kg_per_mt*mcx_slippage_ticks*mcx_al_tick_inr_kg)</f>
        <v/>
      </c>
      <c r="AA1102" s="18">
        <f>IF($F1102="hold",0,-ABS($H1102)*$I1102*kg_per_mt*$Q1102*mcx_txn_cost_frac)</f>
        <v/>
      </c>
      <c r="AB1102" s="18">
        <f>$Z1102+$AA1102</f>
        <v/>
      </c>
      <c r="AC1102" s="18">
        <f>$R1102-$W1102+$AB1102</f>
        <v/>
      </c>
      <c r="AD1102" s="18">
        <f>IF(($B1101=$B1102),$AD1101,0)+$AC1102</f>
        <v/>
      </c>
      <c r="AE1102" s="23" t="n">
        <v>-1455008.64</v>
      </c>
      <c r="AF1102" s="23" t="n">
        <v>27024834.35</v>
      </c>
      <c r="AG1102" s="23" t="n">
        <v>0</v>
      </c>
      <c r="AH1102" s="23" t="n">
        <v>-1600509.51</v>
      </c>
      <c r="AI1102" s="23" t="n">
        <v>-7117.14</v>
      </c>
      <c r="AJ1102" s="18">
        <f>$R1102-$AE1102</f>
        <v/>
      </c>
      <c r="AK1102" s="18">
        <f>$U1102-$AF1102</f>
        <v/>
      </c>
      <c r="AL1102" s="18">
        <f>$AC1102-$AH1102</f>
        <v/>
      </c>
      <c r="AM1102" s="8">
        <f>IF(AND(ABS($AJ1102)&lt;=tol_mcx_inr,ABS($AK1102)&lt;=tol_mcx_inr,ABS($AL1102)&lt;=tol_mcx_inr),"PASS","FAIL")</f>
        <v/>
      </c>
    </row>
    <row r="1103">
      <c r="A1103" s="7" t="inlineStr">
        <is>
          <t>T01</t>
        </is>
      </c>
      <c r="B1103" s="7" t="inlineStr">
        <is>
          <t>T01-MCX-3</t>
        </is>
      </c>
      <c r="C1103" s="11" t="n">
        <v>44673</v>
      </c>
      <c r="D1103" s="7" t="n">
        <v>202205</v>
      </c>
      <c r="E1103" s="7" t="inlineStr">
        <is>
          <t>SELL</t>
        </is>
      </c>
      <c r="F1103" s="7" t="inlineStr">
        <is>
          <t>hold</t>
        </is>
      </c>
      <c r="G1103" s="17" t="b">
        <v>1</v>
      </c>
      <c r="H1103" s="6" t="n">
        <v>-200</v>
      </c>
      <c r="I1103" s="13" t="n">
        <v>5</v>
      </c>
      <c r="J1103" s="8">
        <f>OR($F1103="entry",$F1103="roll_in")</f>
        <v/>
      </c>
      <c r="K1103" s="8">
        <f>OR($F1103="exit",$F1103="roll_out")</f>
        <v/>
      </c>
      <c r="L1103" s="8">
        <f>OR(AND($E1103="SELL",$K1103),AND($E1103="BUY",$J1103))</f>
        <v/>
      </c>
      <c r="M1103" s="16">
        <f>((INDEX(Market_Daily!$B$6:$B$256,MATCH($C1103,Market_Daily!$A$6:$A$256,0))*INDEX(Market_Daily!$F$6:$F$256,MATCH($C1103,Market_Daily!$A$6:$A$256,0))/kg_per_mt*(1+bcd_primary_al_hs7601*(1+sws_rate_on_bcd))+mcx_domestic_premium_inr_kg)*(1+INDEX(Market_Daily!$I$6:$I$256,MATCH($C1103,Market_Daily!$A$6:$A$256,0))*MAX(0,INDEX(mcx_expiries,MATCH($D1103,mcx_months,0))-$C1103)/day_count_inr))</f>
        <v/>
      </c>
      <c r="N1103" s="16">
        <f>IF(INDEX(Market_Daily!$S$6:$S$256,MATCH($C1103,Market_Daily!$A$6:$A$256,0))=$D1103,INDEX(Market_Daily!$M$6:$M$256,MATCH($C1103,Market_Daily!$A$6:$A$256,0)),IF(INDEX(Market_Daily!$T$6:$T$256,MATCH($C1103,Market_Daily!$A$6:$A$256,0))=$D1103,INDEX(Market_Daily!$N$6:$N$256,MATCH($C1103,Market_Daily!$A$6:$A$256,0)),NA()))</f>
        <v/>
      </c>
      <c r="O1103" s="16">
        <f>$N1103-$M1103</f>
        <v/>
      </c>
      <c r="P1103" s="16">
        <f>IF(($B1102=$B1103),$M1102,"")</f>
        <v/>
      </c>
      <c r="Q1103" s="16">
        <f>$M1103+IF($L1103,1,-1)*mcx_slippage_ticks*mcx_al_tick_inr_kg</f>
        <v/>
      </c>
      <c r="R1103" s="18">
        <f>IF(($B1102=$B1103),$H1103*$I1103*kg_per_mt*($M1103-$M1102),0)</f>
        <v/>
      </c>
      <c r="S1103" s="18">
        <f>IF(($B1102=$B1103),$S1102,0)+$R1103</f>
        <v/>
      </c>
      <c r="T1103" s="18">
        <f>ABS($H1103)*$I1103*kg_per_mt*$M1103</f>
        <v/>
      </c>
      <c r="U1103" s="18">
        <f>IF($K1103,0,$T1103*mcx_al_margin_used_frac)</f>
        <v/>
      </c>
      <c r="V1103" s="18">
        <f>IF(($B1102=$B1103),$U1102,0)</f>
        <v/>
      </c>
      <c r="W1103" s="18">
        <f>$U1103-$V1103</f>
        <v/>
      </c>
      <c r="X1103" s="18">
        <f>IF($K1103,0,$T1103*0.12)</f>
        <v/>
      </c>
      <c r="Y1103" s="18">
        <f>IF($K1103,0,$T1103*0.15)</f>
        <v/>
      </c>
      <c r="Z1103" s="18">
        <f>IF($F1103="hold",0,-ABS($H1103)*$I1103*kg_per_mt*mcx_slippage_ticks*mcx_al_tick_inr_kg)</f>
        <v/>
      </c>
      <c r="AA1103" s="18">
        <f>IF($F1103="hold",0,-ABS($H1103)*$I1103*kg_per_mt*$Q1103*mcx_txn_cost_frac)</f>
        <v/>
      </c>
      <c r="AB1103" s="18">
        <f>$Z1103+$AA1103</f>
        <v/>
      </c>
      <c r="AC1103" s="18">
        <f>$R1103-$W1103+$AB1103</f>
        <v/>
      </c>
      <c r="AD1103" s="18">
        <f>IF(($B1102=$B1103),$AD1102,0)+$AC1103</f>
        <v/>
      </c>
      <c r="AE1103" s="23" t="n">
        <v>663481.73</v>
      </c>
      <c r="AF1103" s="23" t="n">
        <v>26958486.17</v>
      </c>
      <c r="AG1103" s="23" t="n">
        <v>0</v>
      </c>
      <c r="AH1103" s="23" t="n">
        <v>729829.9</v>
      </c>
      <c r="AI1103" s="23" t="n">
        <v>-7538.09</v>
      </c>
      <c r="AJ1103" s="18">
        <f>$R1103-$AE1103</f>
        <v/>
      </c>
      <c r="AK1103" s="18">
        <f>$U1103-$AF1103</f>
        <v/>
      </c>
      <c r="AL1103" s="18">
        <f>$AC1103-$AH1103</f>
        <v/>
      </c>
      <c r="AM1103" s="8">
        <f>IF(AND(ABS($AJ1103)&lt;=tol_mcx_inr,ABS($AK1103)&lt;=tol_mcx_inr,ABS($AL1103)&lt;=tol_mcx_inr),"PASS","FAIL")</f>
        <v/>
      </c>
    </row>
    <row r="1104">
      <c r="A1104" s="7" t="inlineStr">
        <is>
          <t>T01</t>
        </is>
      </c>
      <c r="B1104" s="7" t="inlineStr">
        <is>
          <t>T01-MCX-3</t>
        </is>
      </c>
      <c r="C1104" s="11" t="n">
        <v>44676</v>
      </c>
      <c r="D1104" s="7" t="n">
        <v>202205</v>
      </c>
      <c r="E1104" s="7" t="inlineStr">
        <is>
          <t>SELL</t>
        </is>
      </c>
      <c r="F1104" s="7" t="inlineStr">
        <is>
          <t>exit</t>
        </is>
      </c>
      <c r="G1104" s="17" t="b">
        <v>1</v>
      </c>
      <c r="H1104" s="6" t="n">
        <v>-200</v>
      </c>
      <c r="I1104" s="13" t="n">
        <v>5</v>
      </c>
      <c r="J1104" s="8">
        <f>OR($F1104="entry",$F1104="roll_in")</f>
        <v/>
      </c>
      <c r="K1104" s="8">
        <f>OR($F1104="exit",$F1104="roll_out")</f>
        <v/>
      </c>
      <c r="L1104" s="8">
        <f>OR(AND($E1104="SELL",$K1104),AND($E1104="BUY",$J1104))</f>
        <v/>
      </c>
      <c r="M1104" s="16">
        <f>((INDEX(Market_Daily!$B$6:$B$256,MATCH($C1104,Market_Daily!$A$6:$A$256,0))*INDEX(Market_Daily!$F$6:$F$256,MATCH($C1104,Market_Daily!$A$6:$A$256,0))/kg_per_mt*(1+bcd_primary_al_hs7601*(1+sws_rate_on_bcd))+mcx_domestic_premium_inr_kg)*(1+INDEX(Market_Daily!$I$6:$I$256,MATCH($C1104,Market_Daily!$A$6:$A$256,0))*MAX(0,INDEX(mcx_expiries,MATCH($D1104,mcx_months,0))-$C1104)/day_count_inr))</f>
        <v/>
      </c>
      <c r="N1104" s="16">
        <f>IF(INDEX(Market_Daily!$S$6:$S$256,MATCH($C1104,Market_Daily!$A$6:$A$256,0))=$D1104,INDEX(Market_Daily!$M$6:$M$256,MATCH($C1104,Market_Daily!$A$6:$A$256,0)),IF(INDEX(Market_Daily!$T$6:$T$256,MATCH($C1104,Market_Daily!$A$6:$A$256,0))=$D1104,INDEX(Market_Daily!$N$6:$N$256,MATCH($C1104,Market_Daily!$A$6:$A$256,0)),NA()))</f>
        <v/>
      </c>
      <c r="O1104" s="16">
        <f>$N1104-$M1104</f>
        <v/>
      </c>
      <c r="P1104" s="16">
        <f>IF(($B1103=$B1104),$M1103,"")</f>
        <v/>
      </c>
      <c r="Q1104" s="16">
        <f>$M1104+IF($L1104,1,-1)*mcx_slippage_ticks*mcx_al_tick_inr_kg</f>
        <v/>
      </c>
      <c r="R1104" s="18">
        <f>IF(($B1103=$B1104),$H1104*$I1104*kg_per_mt*($M1104-$M1103),0)</f>
        <v/>
      </c>
      <c r="S1104" s="18">
        <f>IF(($B1103=$B1104),$S1103,0)+$R1104</f>
        <v/>
      </c>
      <c r="T1104" s="18">
        <f>ABS($H1104)*$I1104*kg_per_mt*$M1104</f>
        <v/>
      </c>
      <c r="U1104" s="18">
        <f>IF($K1104,0,$T1104*mcx_al_margin_used_frac)</f>
        <v/>
      </c>
      <c r="V1104" s="18">
        <f>IF(($B1103=$B1104),$U1103,0)</f>
        <v/>
      </c>
      <c r="W1104" s="18">
        <f>$U1104-$V1104</f>
        <v/>
      </c>
      <c r="X1104" s="18">
        <f>IF($K1104,0,$T1104*0.12)</f>
        <v/>
      </c>
      <c r="Y1104" s="18">
        <f>IF($K1104,0,$T1104*0.15)</f>
        <v/>
      </c>
      <c r="Z1104" s="18">
        <f>IF($F1104="hold",0,-ABS($H1104)*$I1104*kg_per_mt*mcx_slippage_ticks*mcx_al_tick_inr_kg)</f>
        <v/>
      </c>
      <c r="AA1104" s="18">
        <f>IF($F1104="hold",0,-ABS($H1104)*$I1104*kg_per_mt*$Q1104*mcx_txn_cost_frac)</f>
        <v/>
      </c>
      <c r="AB1104" s="18">
        <f>$Z1104+$AA1104</f>
        <v/>
      </c>
      <c r="AC1104" s="18">
        <f>$R1104-$W1104+$AB1104</f>
        <v/>
      </c>
      <c r="AD1104" s="18">
        <f>IF(($B1103=$B1104),$AD1103,0)+$AC1104</f>
        <v/>
      </c>
      <c r="AE1104" s="23" t="n">
        <v>12350769.42</v>
      </c>
      <c r="AF1104" s="23" t="n">
        <v>0</v>
      </c>
      <c r="AG1104" s="23" t="n">
        <v>-177200.23</v>
      </c>
      <c r="AH1104" s="23" t="n">
        <v>39132055.36</v>
      </c>
      <c r="AI1104" s="23" t="n">
        <v>-22038.41</v>
      </c>
      <c r="AJ1104" s="18">
        <f>$R1104-$AE1104</f>
        <v/>
      </c>
      <c r="AK1104" s="18">
        <f>$U1104-$AF1104</f>
        <v/>
      </c>
      <c r="AL1104" s="18">
        <f>$AC1104-$AH1104</f>
        <v/>
      </c>
      <c r="AM1104" s="8">
        <f>IF(AND(ABS($AJ1104)&lt;=tol_mcx_inr,ABS($AK1104)&lt;=tol_mcx_inr,ABS($AL1104)&lt;=tol_mcx_inr),"PASS","FAIL")</f>
        <v/>
      </c>
    </row>
    <row r="1105">
      <c r="A1105" s="7" t="inlineStr">
        <is>
          <t>T01</t>
        </is>
      </c>
      <c r="B1105" s="7" t="inlineStr">
        <is>
          <t>T01-MCX-4</t>
        </is>
      </c>
      <c r="C1105" s="11" t="n">
        <v>44671</v>
      </c>
      <c r="D1105" s="7" t="n">
        <v>202205</v>
      </c>
      <c r="E1105" s="7" t="inlineStr">
        <is>
          <t>SELL</t>
        </is>
      </c>
      <c r="F1105" s="7" t="inlineStr">
        <is>
          <t>roll_in</t>
        </is>
      </c>
      <c r="G1105" s="17" t="b">
        <v>1</v>
      </c>
      <c r="H1105" s="6" t="n">
        <v>-100</v>
      </c>
      <c r="I1105" s="13" t="n">
        <v>5</v>
      </c>
      <c r="J1105" s="8">
        <f>OR($F1105="entry",$F1105="roll_in")</f>
        <v/>
      </c>
      <c r="K1105" s="8">
        <f>OR($F1105="exit",$F1105="roll_out")</f>
        <v/>
      </c>
      <c r="L1105" s="8">
        <f>OR(AND($E1105="SELL",$K1105),AND($E1105="BUY",$J1105))</f>
        <v/>
      </c>
      <c r="M1105" s="16">
        <f>((INDEX(Market_Daily!$B$6:$B$256,MATCH($C1105,Market_Daily!$A$6:$A$256,0))*INDEX(Market_Daily!$F$6:$F$256,MATCH($C1105,Market_Daily!$A$6:$A$256,0))/kg_per_mt*(1+bcd_primary_al_hs7601*(1+sws_rate_on_bcd))+mcx_domestic_premium_inr_kg)*(1+INDEX(Market_Daily!$I$6:$I$256,MATCH($C1105,Market_Daily!$A$6:$A$256,0))*MAX(0,INDEX(mcx_expiries,MATCH($D1105,mcx_months,0))-$C1105)/day_count_inr))</f>
        <v/>
      </c>
      <c r="N1105" s="16">
        <f>IF(INDEX(Market_Daily!$S$6:$S$256,MATCH($C1105,Market_Daily!$A$6:$A$256,0))=$D1105,INDEX(Market_Daily!$M$6:$M$256,MATCH($C1105,Market_Daily!$A$6:$A$256,0)),IF(INDEX(Market_Daily!$T$6:$T$256,MATCH($C1105,Market_Daily!$A$6:$A$256,0))=$D1105,INDEX(Market_Daily!$N$6:$N$256,MATCH($C1105,Market_Daily!$A$6:$A$256,0)),NA()))</f>
        <v/>
      </c>
      <c r="O1105" s="16">
        <f>$N1105-$M1105</f>
        <v/>
      </c>
      <c r="P1105" s="16">
        <f>IF(($B1104=$B1105),$M1104,"")</f>
        <v/>
      </c>
      <c r="Q1105" s="16">
        <f>$M1105+IF($L1105,1,-1)*mcx_slippage_ticks*mcx_al_tick_inr_kg</f>
        <v/>
      </c>
      <c r="R1105" s="18">
        <f>IF(($B1104=$B1105),$H1105*$I1105*kg_per_mt*($M1105-$M1104),0)</f>
        <v/>
      </c>
      <c r="S1105" s="18">
        <f>IF(($B1104=$B1105),$S1104,0)+$R1105</f>
        <v/>
      </c>
      <c r="T1105" s="18">
        <f>ABS($H1105)*$I1105*kg_per_mt*$M1105</f>
        <v/>
      </c>
      <c r="U1105" s="18">
        <f>IF($K1105,0,$T1105*mcx_al_margin_used_frac)</f>
        <v/>
      </c>
      <c r="V1105" s="18">
        <f>IF(($B1104=$B1105),$U1104,0)</f>
        <v/>
      </c>
      <c r="W1105" s="18">
        <f>$U1105-$V1105</f>
        <v/>
      </c>
      <c r="X1105" s="18">
        <f>IF($K1105,0,$T1105*0.12)</f>
        <v/>
      </c>
      <c r="Y1105" s="18">
        <f>IF($K1105,0,$T1105*0.15)</f>
        <v/>
      </c>
      <c r="Z1105" s="18">
        <f>IF($F1105="hold",0,-ABS($H1105)*$I1105*kg_per_mt*mcx_slippage_ticks*mcx_al_tick_inr_kg)</f>
        <v/>
      </c>
      <c r="AA1105" s="18">
        <f>IF($F1105="hold",0,-ABS($H1105)*$I1105*kg_per_mt*$Q1105*mcx_txn_cost_frac)</f>
        <v/>
      </c>
      <c r="AB1105" s="18">
        <f>$Z1105+$AA1105</f>
        <v/>
      </c>
      <c r="AC1105" s="18">
        <f>$R1105-$W1105+$AB1105</f>
        <v/>
      </c>
      <c r="AD1105" s="18">
        <f>IF(($B1104=$B1105),$AD1104,0)+$AC1105</f>
        <v/>
      </c>
      <c r="AE1105" s="23" t="n">
        <v>0</v>
      </c>
      <c r="AF1105" s="23" t="n">
        <v>13439666.74</v>
      </c>
      <c r="AG1105" s="23" t="n">
        <v>-90304</v>
      </c>
      <c r="AH1105" s="23" t="n">
        <v>-13529970.74</v>
      </c>
      <c r="AI1105" s="23" t="n">
        <v>0</v>
      </c>
      <c r="AJ1105" s="18">
        <f>$R1105-$AE1105</f>
        <v/>
      </c>
      <c r="AK1105" s="18">
        <f>$U1105-$AF1105</f>
        <v/>
      </c>
      <c r="AL1105" s="18">
        <f>$AC1105-$AH1105</f>
        <v/>
      </c>
      <c r="AM1105" s="8">
        <f>IF(AND(ABS($AJ1105)&lt;=tol_mcx_inr,ABS($AK1105)&lt;=tol_mcx_inr,ABS($AL1105)&lt;=tol_mcx_inr),"PASS","FAIL")</f>
        <v/>
      </c>
    </row>
    <row r="1106">
      <c r="A1106" s="7" t="inlineStr">
        <is>
          <t>T01</t>
        </is>
      </c>
      <c r="B1106" s="7" t="inlineStr">
        <is>
          <t>T01-MCX-4</t>
        </is>
      </c>
      <c r="C1106" s="11" t="n">
        <v>44672</v>
      </c>
      <c r="D1106" s="7" t="n">
        <v>202205</v>
      </c>
      <c r="E1106" s="7" t="inlineStr">
        <is>
          <t>SELL</t>
        </is>
      </c>
      <c r="F1106" s="7" t="inlineStr">
        <is>
          <t>hold</t>
        </is>
      </c>
      <c r="G1106" s="17" t="b">
        <v>1</v>
      </c>
      <c r="H1106" s="6" t="n">
        <v>-100</v>
      </c>
      <c r="I1106" s="13" t="n">
        <v>5</v>
      </c>
      <c r="J1106" s="8">
        <f>OR($F1106="entry",$F1106="roll_in")</f>
        <v/>
      </c>
      <c r="K1106" s="8">
        <f>OR($F1106="exit",$F1106="roll_out")</f>
        <v/>
      </c>
      <c r="L1106" s="8">
        <f>OR(AND($E1106="SELL",$K1106),AND($E1106="BUY",$J1106))</f>
        <v/>
      </c>
      <c r="M1106" s="16">
        <f>((INDEX(Market_Daily!$B$6:$B$256,MATCH($C1106,Market_Daily!$A$6:$A$256,0))*INDEX(Market_Daily!$F$6:$F$256,MATCH($C1106,Market_Daily!$A$6:$A$256,0))/kg_per_mt*(1+bcd_primary_al_hs7601*(1+sws_rate_on_bcd))+mcx_domestic_premium_inr_kg)*(1+INDEX(Market_Daily!$I$6:$I$256,MATCH($C1106,Market_Daily!$A$6:$A$256,0))*MAX(0,INDEX(mcx_expiries,MATCH($D1106,mcx_months,0))-$C1106)/day_count_inr))</f>
        <v/>
      </c>
      <c r="N1106" s="16">
        <f>IF(INDEX(Market_Daily!$S$6:$S$256,MATCH($C1106,Market_Daily!$A$6:$A$256,0))=$D1106,INDEX(Market_Daily!$M$6:$M$256,MATCH($C1106,Market_Daily!$A$6:$A$256,0)),IF(INDEX(Market_Daily!$T$6:$T$256,MATCH($C1106,Market_Daily!$A$6:$A$256,0))=$D1106,INDEX(Market_Daily!$N$6:$N$256,MATCH($C1106,Market_Daily!$A$6:$A$256,0)),NA()))</f>
        <v/>
      </c>
      <c r="O1106" s="16">
        <f>$N1106-$M1106</f>
        <v/>
      </c>
      <c r="P1106" s="16">
        <f>IF(($B1105=$B1106),$M1105,"")</f>
        <v/>
      </c>
      <c r="Q1106" s="16">
        <f>$M1106+IF($L1106,1,-1)*mcx_slippage_ticks*mcx_al_tick_inr_kg</f>
        <v/>
      </c>
      <c r="R1106" s="18">
        <f>IF(($B1105=$B1106),$H1106*$I1106*kg_per_mt*($M1106-$M1105),0)</f>
        <v/>
      </c>
      <c r="S1106" s="18">
        <f>IF(($B1105=$B1106),$S1105,0)+$R1106</f>
        <v/>
      </c>
      <c r="T1106" s="18">
        <f>ABS($H1106)*$I1106*kg_per_mt*$M1106</f>
        <v/>
      </c>
      <c r="U1106" s="18">
        <f>IF($K1106,0,$T1106*mcx_al_margin_used_frac)</f>
        <v/>
      </c>
      <c r="V1106" s="18">
        <f>IF(($B1105=$B1106),$U1105,0)</f>
        <v/>
      </c>
      <c r="W1106" s="18">
        <f>$U1106-$V1106</f>
        <v/>
      </c>
      <c r="X1106" s="18">
        <f>IF($K1106,0,$T1106*0.12)</f>
        <v/>
      </c>
      <c r="Y1106" s="18">
        <f>IF($K1106,0,$T1106*0.15)</f>
        <v/>
      </c>
      <c r="Z1106" s="18">
        <f>IF($F1106="hold",0,-ABS($H1106)*$I1106*kg_per_mt*mcx_slippage_ticks*mcx_al_tick_inr_kg)</f>
        <v/>
      </c>
      <c r="AA1106" s="18">
        <f>IF($F1106="hold",0,-ABS($H1106)*$I1106*kg_per_mt*$Q1106*mcx_txn_cost_frac)</f>
        <v/>
      </c>
      <c r="AB1106" s="18">
        <f>$Z1106+$AA1106</f>
        <v/>
      </c>
      <c r="AC1106" s="18">
        <f>$R1106-$W1106+$AB1106</f>
        <v/>
      </c>
      <c r="AD1106" s="18">
        <f>IF(($B1105=$B1106),$AD1105,0)+$AC1106</f>
        <v/>
      </c>
      <c r="AE1106" s="23" t="n">
        <v>-727504.3199999999</v>
      </c>
      <c r="AF1106" s="23" t="n">
        <v>13512417.17</v>
      </c>
      <c r="AG1106" s="23" t="n">
        <v>0</v>
      </c>
      <c r="AH1106" s="23" t="n">
        <v>-800254.75</v>
      </c>
      <c r="AI1106" s="23" t="n">
        <v>-3558.57</v>
      </c>
      <c r="AJ1106" s="18">
        <f>$R1106-$AE1106</f>
        <v/>
      </c>
      <c r="AK1106" s="18">
        <f>$U1106-$AF1106</f>
        <v/>
      </c>
      <c r="AL1106" s="18">
        <f>$AC1106-$AH1106</f>
        <v/>
      </c>
      <c r="AM1106" s="8">
        <f>IF(AND(ABS($AJ1106)&lt;=tol_mcx_inr,ABS($AK1106)&lt;=tol_mcx_inr,ABS($AL1106)&lt;=tol_mcx_inr),"PASS","FAIL")</f>
        <v/>
      </c>
    </row>
    <row r="1107">
      <c r="A1107" s="7" t="inlineStr">
        <is>
          <t>T01</t>
        </is>
      </c>
      <c r="B1107" s="7" t="inlineStr">
        <is>
          <t>T01-MCX-4</t>
        </is>
      </c>
      <c r="C1107" s="11" t="n">
        <v>44673</v>
      </c>
      <c r="D1107" s="7" t="n">
        <v>202205</v>
      </c>
      <c r="E1107" s="7" t="inlineStr">
        <is>
          <t>SELL</t>
        </is>
      </c>
      <c r="F1107" s="7" t="inlineStr">
        <is>
          <t>hold</t>
        </is>
      </c>
      <c r="G1107" s="17" t="b">
        <v>1</v>
      </c>
      <c r="H1107" s="6" t="n">
        <v>-100</v>
      </c>
      <c r="I1107" s="13" t="n">
        <v>5</v>
      </c>
      <c r="J1107" s="8">
        <f>OR($F1107="entry",$F1107="roll_in")</f>
        <v/>
      </c>
      <c r="K1107" s="8">
        <f>OR($F1107="exit",$F1107="roll_out")</f>
        <v/>
      </c>
      <c r="L1107" s="8">
        <f>OR(AND($E1107="SELL",$K1107),AND($E1107="BUY",$J1107))</f>
        <v/>
      </c>
      <c r="M1107" s="16">
        <f>((INDEX(Market_Daily!$B$6:$B$256,MATCH($C1107,Market_Daily!$A$6:$A$256,0))*INDEX(Market_Daily!$F$6:$F$256,MATCH($C1107,Market_Daily!$A$6:$A$256,0))/kg_per_mt*(1+bcd_primary_al_hs7601*(1+sws_rate_on_bcd))+mcx_domestic_premium_inr_kg)*(1+INDEX(Market_Daily!$I$6:$I$256,MATCH($C1107,Market_Daily!$A$6:$A$256,0))*MAX(0,INDEX(mcx_expiries,MATCH($D1107,mcx_months,0))-$C1107)/day_count_inr))</f>
        <v/>
      </c>
      <c r="N1107" s="16">
        <f>IF(INDEX(Market_Daily!$S$6:$S$256,MATCH($C1107,Market_Daily!$A$6:$A$256,0))=$D1107,INDEX(Market_Daily!$M$6:$M$256,MATCH($C1107,Market_Daily!$A$6:$A$256,0)),IF(INDEX(Market_Daily!$T$6:$T$256,MATCH($C1107,Market_Daily!$A$6:$A$256,0))=$D1107,INDEX(Market_Daily!$N$6:$N$256,MATCH($C1107,Market_Daily!$A$6:$A$256,0)),NA()))</f>
        <v/>
      </c>
      <c r="O1107" s="16">
        <f>$N1107-$M1107</f>
        <v/>
      </c>
      <c r="P1107" s="16">
        <f>IF(($B1106=$B1107),$M1106,"")</f>
        <v/>
      </c>
      <c r="Q1107" s="16">
        <f>$M1107+IF($L1107,1,-1)*mcx_slippage_ticks*mcx_al_tick_inr_kg</f>
        <v/>
      </c>
      <c r="R1107" s="18">
        <f>IF(($B1106=$B1107),$H1107*$I1107*kg_per_mt*($M1107-$M1106),0)</f>
        <v/>
      </c>
      <c r="S1107" s="18">
        <f>IF(($B1106=$B1107),$S1106,0)+$R1107</f>
        <v/>
      </c>
      <c r="T1107" s="18">
        <f>ABS($H1107)*$I1107*kg_per_mt*$M1107</f>
        <v/>
      </c>
      <c r="U1107" s="18">
        <f>IF($K1107,0,$T1107*mcx_al_margin_used_frac)</f>
        <v/>
      </c>
      <c r="V1107" s="18">
        <f>IF(($B1106=$B1107),$U1106,0)</f>
        <v/>
      </c>
      <c r="W1107" s="18">
        <f>$U1107-$V1107</f>
        <v/>
      </c>
      <c r="X1107" s="18">
        <f>IF($K1107,0,$T1107*0.12)</f>
        <v/>
      </c>
      <c r="Y1107" s="18">
        <f>IF($K1107,0,$T1107*0.15)</f>
        <v/>
      </c>
      <c r="Z1107" s="18">
        <f>IF($F1107="hold",0,-ABS($H1107)*$I1107*kg_per_mt*mcx_slippage_ticks*mcx_al_tick_inr_kg)</f>
        <v/>
      </c>
      <c r="AA1107" s="18">
        <f>IF($F1107="hold",0,-ABS($H1107)*$I1107*kg_per_mt*$Q1107*mcx_txn_cost_frac)</f>
        <v/>
      </c>
      <c r="AB1107" s="18">
        <f>$Z1107+$AA1107</f>
        <v/>
      </c>
      <c r="AC1107" s="18">
        <f>$R1107-$W1107+$AB1107</f>
        <v/>
      </c>
      <c r="AD1107" s="18">
        <f>IF(($B1106=$B1107),$AD1106,0)+$AC1107</f>
        <v/>
      </c>
      <c r="AE1107" s="23" t="n">
        <v>331740.87</v>
      </c>
      <c r="AF1107" s="23" t="n">
        <v>13479243.09</v>
      </c>
      <c r="AG1107" s="23" t="n">
        <v>0</v>
      </c>
      <c r="AH1107" s="23" t="n">
        <v>364914.95</v>
      </c>
      <c r="AI1107" s="23" t="n">
        <v>-3769.05</v>
      </c>
      <c r="AJ1107" s="18">
        <f>$R1107-$AE1107</f>
        <v/>
      </c>
      <c r="AK1107" s="18">
        <f>$U1107-$AF1107</f>
        <v/>
      </c>
      <c r="AL1107" s="18">
        <f>$AC1107-$AH1107</f>
        <v/>
      </c>
      <c r="AM1107" s="8">
        <f>IF(AND(ABS($AJ1107)&lt;=tol_mcx_inr,ABS($AK1107)&lt;=tol_mcx_inr,ABS($AL1107)&lt;=tol_mcx_inr),"PASS","FAIL")</f>
        <v/>
      </c>
    </row>
    <row r="1108">
      <c r="A1108" s="7" t="inlineStr">
        <is>
          <t>T01</t>
        </is>
      </c>
      <c r="B1108" s="7" t="inlineStr">
        <is>
          <t>T01-MCX-4</t>
        </is>
      </c>
      <c r="C1108" s="11" t="n">
        <v>44676</v>
      </c>
      <c r="D1108" s="7" t="n">
        <v>202205</v>
      </c>
      <c r="E1108" s="7" t="inlineStr">
        <is>
          <t>SELL</t>
        </is>
      </c>
      <c r="F1108" s="7" t="inlineStr">
        <is>
          <t>hold</t>
        </is>
      </c>
      <c r="G1108" s="17" t="b">
        <v>1</v>
      </c>
      <c r="H1108" s="6" t="n">
        <v>-100</v>
      </c>
      <c r="I1108" s="13" t="n">
        <v>5</v>
      </c>
      <c r="J1108" s="8">
        <f>OR($F1108="entry",$F1108="roll_in")</f>
        <v/>
      </c>
      <c r="K1108" s="8">
        <f>OR($F1108="exit",$F1108="roll_out")</f>
        <v/>
      </c>
      <c r="L1108" s="8">
        <f>OR(AND($E1108="SELL",$K1108),AND($E1108="BUY",$J1108))</f>
        <v/>
      </c>
      <c r="M1108" s="16">
        <f>((INDEX(Market_Daily!$B$6:$B$256,MATCH($C1108,Market_Daily!$A$6:$A$256,0))*INDEX(Market_Daily!$F$6:$F$256,MATCH($C1108,Market_Daily!$A$6:$A$256,0))/kg_per_mt*(1+bcd_primary_al_hs7601*(1+sws_rate_on_bcd))+mcx_domestic_premium_inr_kg)*(1+INDEX(Market_Daily!$I$6:$I$256,MATCH($C1108,Market_Daily!$A$6:$A$256,0))*MAX(0,INDEX(mcx_expiries,MATCH($D1108,mcx_months,0))-$C1108)/day_count_inr))</f>
        <v/>
      </c>
      <c r="N1108" s="16">
        <f>IF(INDEX(Market_Daily!$S$6:$S$256,MATCH($C1108,Market_Daily!$A$6:$A$256,0))=$D1108,INDEX(Market_Daily!$M$6:$M$256,MATCH($C1108,Market_Daily!$A$6:$A$256,0)),IF(INDEX(Market_Daily!$T$6:$T$256,MATCH($C1108,Market_Daily!$A$6:$A$256,0))=$D1108,INDEX(Market_Daily!$N$6:$N$256,MATCH($C1108,Market_Daily!$A$6:$A$256,0)),NA()))</f>
        <v/>
      </c>
      <c r="O1108" s="16">
        <f>$N1108-$M1108</f>
        <v/>
      </c>
      <c r="P1108" s="16">
        <f>IF(($B1107=$B1108),$M1107,"")</f>
        <v/>
      </c>
      <c r="Q1108" s="16">
        <f>$M1108+IF($L1108,1,-1)*mcx_slippage_ticks*mcx_al_tick_inr_kg</f>
        <v/>
      </c>
      <c r="R1108" s="18">
        <f>IF(($B1107=$B1108),$H1108*$I1108*kg_per_mt*($M1108-$M1107),0)</f>
        <v/>
      </c>
      <c r="S1108" s="18">
        <f>IF(($B1107=$B1108),$S1107,0)+$R1108</f>
        <v/>
      </c>
      <c r="T1108" s="18">
        <f>ABS($H1108)*$I1108*kg_per_mt*$M1108</f>
        <v/>
      </c>
      <c r="U1108" s="18">
        <f>IF($K1108,0,$T1108*mcx_al_margin_used_frac)</f>
        <v/>
      </c>
      <c r="V1108" s="18">
        <f>IF(($B1107=$B1108),$U1107,0)</f>
        <v/>
      </c>
      <c r="W1108" s="18">
        <f>$U1108-$V1108</f>
        <v/>
      </c>
      <c r="X1108" s="18">
        <f>IF($K1108,0,$T1108*0.12)</f>
        <v/>
      </c>
      <c r="Y1108" s="18">
        <f>IF($K1108,0,$T1108*0.15)</f>
        <v/>
      </c>
      <c r="Z1108" s="18">
        <f>IF($F1108="hold",0,-ABS($H1108)*$I1108*kg_per_mt*mcx_slippage_ticks*mcx_al_tick_inr_kg)</f>
        <v/>
      </c>
      <c r="AA1108" s="18">
        <f>IF($F1108="hold",0,-ABS($H1108)*$I1108*kg_per_mt*$Q1108*mcx_txn_cost_frac)</f>
        <v/>
      </c>
      <c r="AB1108" s="18">
        <f>$Z1108+$AA1108</f>
        <v/>
      </c>
      <c r="AC1108" s="18">
        <f>$R1108-$W1108+$AB1108</f>
        <v/>
      </c>
      <c r="AD1108" s="18">
        <f>IF(($B1107=$B1108),$AD1107,0)+$AC1108</f>
        <v/>
      </c>
      <c r="AE1108" s="23" t="n">
        <v>6175384.71</v>
      </c>
      <c r="AF1108" s="23" t="n">
        <v>12861704.62</v>
      </c>
      <c r="AG1108" s="23" t="n">
        <v>0</v>
      </c>
      <c r="AH1108" s="23" t="n">
        <v>6792923.18</v>
      </c>
      <c r="AI1108" s="23" t="n">
        <v>-11019.2</v>
      </c>
      <c r="AJ1108" s="18">
        <f>$R1108-$AE1108</f>
        <v/>
      </c>
      <c r="AK1108" s="18">
        <f>$U1108-$AF1108</f>
        <v/>
      </c>
      <c r="AL1108" s="18">
        <f>$AC1108-$AH1108</f>
        <v/>
      </c>
      <c r="AM1108" s="8">
        <f>IF(AND(ABS($AJ1108)&lt;=tol_mcx_inr,ABS($AK1108)&lt;=tol_mcx_inr,ABS($AL1108)&lt;=tol_mcx_inr),"PASS","FAIL")</f>
        <v/>
      </c>
    </row>
    <row r="1109">
      <c r="A1109" s="7" t="inlineStr">
        <is>
          <t>T01</t>
        </is>
      </c>
      <c r="B1109" s="7" t="inlineStr">
        <is>
          <t>T01-MCX-4</t>
        </is>
      </c>
      <c r="C1109" s="11" t="n">
        <v>44677</v>
      </c>
      <c r="D1109" s="7" t="n">
        <v>202205</v>
      </c>
      <c r="E1109" s="7" t="inlineStr">
        <is>
          <t>SELL</t>
        </is>
      </c>
      <c r="F1109" s="7" t="inlineStr">
        <is>
          <t>hold</t>
        </is>
      </c>
      <c r="G1109" s="17" t="b">
        <v>1</v>
      </c>
      <c r="H1109" s="6" t="n">
        <v>-100</v>
      </c>
      <c r="I1109" s="13" t="n">
        <v>5</v>
      </c>
      <c r="J1109" s="8">
        <f>OR($F1109="entry",$F1109="roll_in")</f>
        <v/>
      </c>
      <c r="K1109" s="8">
        <f>OR($F1109="exit",$F1109="roll_out")</f>
        <v/>
      </c>
      <c r="L1109" s="8">
        <f>OR(AND($E1109="SELL",$K1109),AND($E1109="BUY",$J1109))</f>
        <v/>
      </c>
      <c r="M1109" s="16">
        <f>((INDEX(Market_Daily!$B$6:$B$256,MATCH($C1109,Market_Daily!$A$6:$A$256,0))*INDEX(Market_Daily!$F$6:$F$256,MATCH($C1109,Market_Daily!$A$6:$A$256,0))/kg_per_mt*(1+bcd_primary_al_hs7601*(1+sws_rate_on_bcd))+mcx_domestic_premium_inr_kg)*(1+INDEX(Market_Daily!$I$6:$I$256,MATCH($C1109,Market_Daily!$A$6:$A$256,0))*MAX(0,INDEX(mcx_expiries,MATCH($D1109,mcx_months,0))-$C1109)/day_count_inr))</f>
        <v/>
      </c>
      <c r="N1109" s="16">
        <f>IF(INDEX(Market_Daily!$S$6:$S$256,MATCH($C1109,Market_Daily!$A$6:$A$256,0))=$D1109,INDEX(Market_Daily!$M$6:$M$256,MATCH($C1109,Market_Daily!$A$6:$A$256,0)),IF(INDEX(Market_Daily!$T$6:$T$256,MATCH($C1109,Market_Daily!$A$6:$A$256,0))=$D1109,INDEX(Market_Daily!$N$6:$N$256,MATCH($C1109,Market_Daily!$A$6:$A$256,0)),NA()))</f>
        <v/>
      </c>
      <c r="O1109" s="16">
        <f>$N1109-$M1109</f>
        <v/>
      </c>
      <c r="P1109" s="16">
        <f>IF(($B1108=$B1109),$M1108,"")</f>
        <v/>
      </c>
      <c r="Q1109" s="16">
        <f>$M1109+IF($L1109,1,-1)*mcx_slippage_ticks*mcx_al_tick_inr_kg</f>
        <v/>
      </c>
      <c r="R1109" s="18">
        <f>IF(($B1108=$B1109),$H1109*$I1109*kg_per_mt*($M1109-$M1108),0)</f>
        <v/>
      </c>
      <c r="S1109" s="18">
        <f>IF(($B1108=$B1109),$S1108,0)+$R1109</f>
        <v/>
      </c>
      <c r="T1109" s="18">
        <f>ABS($H1109)*$I1109*kg_per_mt*$M1109</f>
        <v/>
      </c>
      <c r="U1109" s="18">
        <f>IF($K1109,0,$T1109*mcx_al_margin_used_frac)</f>
        <v/>
      </c>
      <c r="V1109" s="18">
        <f>IF(($B1108=$B1109),$U1108,0)</f>
        <v/>
      </c>
      <c r="W1109" s="18">
        <f>$U1109-$V1109</f>
        <v/>
      </c>
      <c r="X1109" s="18">
        <f>IF($K1109,0,$T1109*0.12)</f>
        <v/>
      </c>
      <c r="Y1109" s="18">
        <f>IF($K1109,0,$T1109*0.15)</f>
        <v/>
      </c>
      <c r="Z1109" s="18">
        <f>IF($F1109="hold",0,-ABS($H1109)*$I1109*kg_per_mt*mcx_slippage_ticks*mcx_al_tick_inr_kg)</f>
        <v/>
      </c>
      <c r="AA1109" s="18">
        <f>IF($F1109="hold",0,-ABS($H1109)*$I1109*kg_per_mt*$Q1109*mcx_txn_cost_frac)</f>
        <v/>
      </c>
      <c r="AB1109" s="18">
        <f>$Z1109+$AA1109</f>
        <v/>
      </c>
      <c r="AC1109" s="18">
        <f>$R1109-$W1109+$AB1109</f>
        <v/>
      </c>
      <c r="AD1109" s="18">
        <f>IF(($B1108=$B1109),$AD1108,0)+$AC1109</f>
        <v/>
      </c>
      <c r="AE1109" s="23" t="n">
        <v>-438701.53</v>
      </c>
      <c r="AF1109" s="23" t="n">
        <v>12905574.77</v>
      </c>
      <c r="AG1109" s="23" t="n">
        <v>0</v>
      </c>
      <c r="AH1109" s="23" t="n">
        <v>-482571.69</v>
      </c>
      <c r="AI1109" s="23" t="n">
        <v>-1886.44</v>
      </c>
      <c r="AJ1109" s="18">
        <f>$R1109-$AE1109</f>
        <v/>
      </c>
      <c r="AK1109" s="18">
        <f>$U1109-$AF1109</f>
        <v/>
      </c>
      <c r="AL1109" s="18">
        <f>$AC1109-$AH1109</f>
        <v/>
      </c>
      <c r="AM1109" s="8">
        <f>IF(AND(ABS($AJ1109)&lt;=tol_mcx_inr,ABS($AK1109)&lt;=tol_mcx_inr,ABS($AL1109)&lt;=tol_mcx_inr),"PASS","FAIL")</f>
        <v/>
      </c>
    </row>
    <row r="1110">
      <c r="A1110" s="7" t="inlineStr">
        <is>
          <t>T01</t>
        </is>
      </c>
      <c r="B1110" s="7" t="inlineStr">
        <is>
          <t>T01-MCX-4</t>
        </is>
      </c>
      <c r="C1110" s="11" t="n">
        <v>44678</v>
      </c>
      <c r="D1110" s="7" t="n">
        <v>202205</v>
      </c>
      <c r="E1110" s="7" t="inlineStr">
        <is>
          <t>SELL</t>
        </is>
      </c>
      <c r="F1110" s="7" t="inlineStr">
        <is>
          <t>hold</t>
        </is>
      </c>
      <c r="G1110" s="17" t="b">
        <v>1</v>
      </c>
      <c r="H1110" s="6" t="n">
        <v>-100</v>
      </c>
      <c r="I1110" s="13" t="n">
        <v>5</v>
      </c>
      <c r="J1110" s="8">
        <f>OR($F1110="entry",$F1110="roll_in")</f>
        <v/>
      </c>
      <c r="K1110" s="8">
        <f>OR($F1110="exit",$F1110="roll_out")</f>
        <v/>
      </c>
      <c r="L1110" s="8">
        <f>OR(AND($E1110="SELL",$K1110),AND($E1110="BUY",$J1110))</f>
        <v/>
      </c>
      <c r="M1110" s="16">
        <f>((INDEX(Market_Daily!$B$6:$B$256,MATCH($C1110,Market_Daily!$A$6:$A$256,0))*INDEX(Market_Daily!$F$6:$F$256,MATCH($C1110,Market_Daily!$A$6:$A$256,0))/kg_per_mt*(1+bcd_primary_al_hs7601*(1+sws_rate_on_bcd))+mcx_domestic_premium_inr_kg)*(1+INDEX(Market_Daily!$I$6:$I$256,MATCH($C1110,Market_Daily!$A$6:$A$256,0))*MAX(0,INDEX(mcx_expiries,MATCH($D1110,mcx_months,0))-$C1110)/day_count_inr))</f>
        <v/>
      </c>
      <c r="N1110" s="16">
        <f>IF(INDEX(Market_Daily!$S$6:$S$256,MATCH($C1110,Market_Daily!$A$6:$A$256,0))=$D1110,INDEX(Market_Daily!$M$6:$M$256,MATCH($C1110,Market_Daily!$A$6:$A$256,0)),IF(INDEX(Market_Daily!$T$6:$T$256,MATCH($C1110,Market_Daily!$A$6:$A$256,0))=$D1110,INDEX(Market_Daily!$N$6:$N$256,MATCH($C1110,Market_Daily!$A$6:$A$256,0)),NA()))</f>
        <v/>
      </c>
      <c r="O1110" s="16">
        <f>$N1110-$M1110</f>
        <v/>
      </c>
      <c r="P1110" s="16">
        <f>IF(($B1109=$B1110),$M1109,"")</f>
        <v/>
      </c>
      <c r="Q1110" s="16">
        <f>$M1110+IF($L1110,1,-1)*mcx_slippage_ticks*mcx_al_tick_inr_kg</f>
        <v/>
      </c>
      <c r="R1110" s="18">
        <f>IF(($B1109=$B1110),$H1110*$I1110*kg_per_mt*($M1110-$M1109),0)</f>
        <v/>
      </c>
      <c r="S1110" s="18">
        <f>IF(($B1109=$B1110),$S1109,0)+$R1110</f>
        <v/>
      </c>
      <c r="T1110" s="18">
        <f>ABS($H1110)*$I1110*kg_per_mt*$M1110</f>
        <v/>
      </c>
      <c r="U1110" s="18">
        <f>IF($K1110,0,$T1110*mcx_al_margin_used_frac)</f>
        <v/>
      </c>
      <c r="V1110" s="18">
        <f>IF(($B1109=$B1110),$U1109,0)</f>
        <v/>
      </c>
      <c r="W1110" s="18">
        <f>$U1110-$V1110</f>
        <v/>
      </c>
      <c r="X1110" s="18">
        <f>IF($K1110,0,$T1110*0.12)</f>
        <v/>
      </c>
      <c r="Y1110" s="18">
        <f>IF($K1110,0,$T1110*0.15)</f>
        <v/>
      </c>
      <c r="Z1110" s="18">
        <f>IF($F1110="hold",0,-ABS($H1110)*$I1110*kg_per_mt*mcx_slippage_ticks*mcx_al_tick_inr_kg)</f>
        <v/>
      </c>
      <c r="AA1110" s="18">
        <f>IF($F1110="hold",0,-ABS($H1110)*$I1110*kg_per_mt*$Q1110*mcx_txn_cost_frac)</f>
        <v/>
      </c>
      <c r="AB1110" s="18">
        <f>$Z1110+$AA1110</f>
        <v/>
      </c>
      <c r="AC1110" s="18">
        <f>$R1110-$W1110+$AB1110</f>
        <v/>
      </c>
      <c r="AD1110" s="18">
        <f>IF(($B1109=$B1110),$AD1109,0)+$AC1110</f>
        <v/>
      </c>
      <c r="AE1110" s="23" t="n">
        <v>52975.44</v>
      </c>
      <c r="AF1110" s="23" t="n">
        <v>12900277.23</v>
      </c>
      <c r="AG1110" s="23" t="n">
        <v>0</v>
      </c>
      <c r="AH1110" s="23" t="n">
        <v>58272.98</v>
      </c>
      <c r="AI1110" s="23" t="n">
        <v>-2013.36</v>
      </c>
      <c r="AJ1110" s="18">
        <f>$R1110-$AE1110</f>
        <v/>
      </c>
      <c r="AK1110" s="18">
        <f>$U1110-$AF1110</f>
        <v/>
      </c>
      <c r="AL1110" s="18">
        <f>$AC1110-$AH1110</f>
        <v/>
      </c>
      <c r="AM1110" s="8">
        <f>IF(AND(ABS($AJ1110)&lt;=tol_mcx_inr,ABS($AK1110)&lt;=tol_mcx_inr,ABS($AL1110)&lt;=tol_mcx_inr),"PASS","FAIL")</f>
        <v/>
      </c>
    </row>
    <row r="1111">
      <c r="A1111" s="7" t="inlineStr">
        <is>
          <t>T01</t>
        </is>
      </c>
      <c r="B1111" s="7" t="inlineStr">
        <is>
          <t>T01-MCX-4</t>
        </is>
      </c>
      <c r="C1111" s="11" t="n">
        <v>44679</v>
      </c>
      <c r="D1111" s="7" t="n">
        <v>202205</v>
      </c>
      <c r="E1111" s="7" t="inlineStr">
        <is>
          <t>SELL</t>
        </is>
      </c>
      <c r="F1111" s="7" t="inlineStr">
        <is>
          <t>hold</t>
        </is>
      </c>
      <c r="G1111" s="17" t="b">
        <v>1</v>
      </c>
      <c r="H1111" s="6" t="n">
        <v>-100</v>
      </c>
      <c r="I1111" s="13" t="n">
        <v>5</v>
      </c>
      <c r="J1111" s="8">
        <f>OR($F1111="entry",$F1111="roll_in")</f>
        <v/>
      </c>
      <c r="K1111" s="8">
        <f>OR($F1111="exit",$F1111="roll_out")</f>
        <v/>
      </c>
      <c r="L1111" s="8">
        <f>OR(AND($E1111="SELL",$K1111),AND($E1111="BUY",$J1111))</f>
        <v/>
      </c>
      <c r="M1111" s="16">
        <f>((INDEX(Market_Daily!$B$6:$B$256,MATCH($C1111,Market_Daily!$A$6:$A$256,0))*INDEX(Market_Daily!$F$6:$F$256,MATCH($C1111,Market_Daily!$A$6:$A$256,0))/kg_per_mt*(1+bcd_primary_al_hs7601*(1+sws_rate_on_bcd))+mcx_domestic_premium_inr_kg)*(1+INDEX(Market_Daily!$I$6:$I$256,MATCH($C1111,Market_Daily!$A$6:$A$256,0))*MAX(0,INDEX(mcx_expiries,MATCH($D1111,mcx_months,0))-$C1111)/day_count_inr))</f>
        <v/>
      </c>
      <c r="N1111" s="16">
        <f>IF(INDEX(Market_Daily!$S$6:$S$256,MATCH($C1111,Market_Daily!$A$6:$A$256,0))=$D1111,INDEX(Market_Daily!$M$6:$M$256,MATCH($C1111,Market_Daily!$A$6:$A$256,0)),IF(INDEX(Market_Daily!$T$6:$T$256,MATCH($C1111,Market_Daily!$A$6:$A$256,0))=$D1111,INDEX(Market_Daily!$N$6:$N$256,MATCH($C1111,Market_Daily!$A$6:$A$256,0)),NA()))</f>
        <v/>
      </c>
      <c r="O1111" s="16">
        <f>$N1111-$M1111</f>
        <v/>
      </c>
      <c r="P1111" s="16">
        <f>IF(($B1110=$B1111),$M1110,"")</f>
        <v/>
      </c>
      <c r="Q1111" s="16">
        <f>$M1111+IF($L1111,1,-1)*mcx_slippage_ticks*mcx_al_tick_inr_kg</f>
        <v/>
      </c>
      <c r="R1111" s="18">
        <f>IF(($B1110=$B1111),$H1111*$I1111*kg_per_mt*($M1111-$M1110),0)</f>
        <v/>
      </c>
      <c r="S1111" s="18">
        <f>IF(($B1110=$B1111),$S1110,0)+$R1111</f>
        <v/>
      </c>
      <c r="T1111" s="18">
        <f>ABS($H1111)*$I1111*kg_per_mt*$M1111</f>
        <v/>
      </c>
      <c r="U1111" s="18">
        <f>IF($K1111,0,$T1111*mcx_al_margin_used_frac)</f>
        <v/>
      </c>
      <c r="V1111" s="18">
        <f>IF(($B1110=$B1111),$U1110,0)</f>
        <v/>
      </c>
      <c r="W1111" s="18">
        <f>$U1111-$V1111</f>
        <v/>
      </c>
      <c r="X1111" s="18">
        <f>IF($K1111,0,$T1111*0.12)</f>
        <v/>
      </c>
      <c r="Y1111" s="18">
        <f>IF($K1111,0,$T1111*0.15)</f>
        <v/>
      </c>
      <c r="Z1111" s="18">
        <f>IF($F1111="hold",0,-ABS($H1111)*$I1111*kg_per_mt*mcx_slippage_ticks*mcx_al_tick_inr_kg)</f>
        <v/>
      </c>
      <c r="AA1111" s="18">
        <f>IF($F1111="hold",0,-ABS($H1111)*$I1111*kg_per_mt*$Q1111*mcx_txn_cost_frac)</f>
        <v/>
      </c>
      <c r="AB1111" s="18">
        <f>$Z1111+$AA1111</f>
        <v/>
      </c>
      <c r="AC1111" s="18">
        <f>$R1111-$W1111+$AB1111</f>
        <v/>
      </c>
      <c r="AD1111" s="18">
        <f>IF(($B1110=$B1111),$AD1110,0)+$AC1111</f>
        <v/>
      </c>
      <c r="AE1111" s="23" t="n">
        <v>1374416.53</v>
      </c>
      <c r="AF1111" s="23" t="n">
        <v>12762835.57</v>
      </c>
      <c r="AG1111" s="23" t="n">
        <v>0</v>
      </c>
      <c r="AH1111" s="23" t="n">
        <v>1511858.19</v>
      </c>
      <c r="AI1111" s="23" t="n">
        <v>-1998.03</v>
      </c>
      <c r="AJ1111" s="18">
        <f>$R1111-$AE1111</f>
        <v/>
      </c>
      <c r="AK1111" s="18">
        <f>$U1111-$AF1111</f>
        <v/>
      </c>
      <c r="AL1111" s="18">
        <f>$AC1111-$AH1111</f>
        <v/>
      </c>
      <c r="AM1111" s="8">
        <f>IF(AND(ABS($AJ1111)&lt;=tol_mcx_inr,ABS($AK1111)&lt;=tol_mcx_inr,ABS($AL1111)&lt;=tol_mcx_inr),"PASS","FAIL")</f>
        <v/>
      </c>
    </row>
    <row r="1112">
      <c r="A1112" s="7" t="inlineStr">
        <is>
          <t>T01</t>
        </is>
      </c>
      <c r="B1112" s="7" t="inlineStr">
        <is>
          <t>T01-MCX-4</t>
        </is>
      </c>
      <c r="C1112" s="11" t="n">
        <v>44680</v>
      </c>
      <c r="D1112" s="7" t="n">
        <v>202205</v>
      </c>
      <c r="E1112" s="7" t="inlineStr">
        <is>
          <t>SELL</t>
        </is>
      </c>
      <c r="F1112" s="7" t="inlineStr">
        <is>
          <t>hold</t>
        </is>
      </c>
      <c r="G1112" s="17" t="b">
        <v>1</v>
      </c>
      <c r="H1112" s="6" t="n">
        <v>-100</v>
      </c>
      <c r="I1112" s="13" t="n">
        <v>5</v>
      </c>
      <c r="J1112" s="8">
        <f>OR($F1112="entry",$F1112="roll_in")</f>
        <v/>
      </c>
      <c r="K1112" s="8">
        <f>OR($F1112="exit",$F1112="roll_out")</f>
        <v/>
      </c>
      <c r="L1112" s="8">
        <f>OR(AND($E1112="SELL",$K1112),AND($E1112="BUY",$J1112))</f>
        <v/>
      </c>
      <c r="M1112" s="16">
        <f>((INDEX(Market_Daily!$B$6:$B$256,MATCH($C1112,Market_Daily!$A$6:$A$256,0))*INDEX(Market_Daily!$F$6:$F$256,MATCH($C1112,Market_Daily!$A$6:$A$256,0))/kg_per_mt*(1+bcd_primary_al_hs7601*(1+sws_rate_on_bcd))+mcx_domestic_premium_inr_kg)*(1+INDEX(Market_Daily!$I$6:$I$256,MATCH($C1112,Market_Daily!$A$6:$A$256,0))*MAX(0,INDEX(mcx_expiries,MATCH($D1112,mcx_months,0))-$C1112)/day_count_inr))</f>
        <v/>
      </c>
      <c r="N1112" s="16">
        <f>IF(INDEX(Market_Daily!$S$6:$S$256,MATCH($C1112,Market_Daily!$A$6:$A$256,0))=$D1112,INDEX(Market_Daily!$M$6:$M$256,MATCH($C1112,Market_Daily!$A$6:$A$256,0)),IF(INDEX(Market_Daily!$T$6:$T$256,MATCH($C1112,Market_Daily!$A$6:$A$256,0))=$D1112,INDEX(Market_Daily!$N$6:$N$256,MATCH($C1112,Market_Daily!$A$6:$A$256,0)),NA()))</f>
        <v/>
      </c>
      <c r="O1112" s="16">
        <f>$N1112-$M1112</f>
        <v/>
      </c>
      <c r="P1112" s="16">
        <f>IF(($B1111=$B1112),$M1111,"")</f>
        <v/>
      </c>
      <c r="Q1112" s="16">
        <f>$M1112+IF($L1112,1,-1)*mcx_slippage_ticks*mcx_al_tick_inr_kg</f>
        <v/>
      </c>
      <c r="R1112" s="18">
        <f>IF(($B1111=$B1112),$H1112*$I1112*kg_per_mt*($M1112-$M1111),0)</f>
        <v/>
      </c>
      <c r="S1112" s="18">
        <f>IF(($B1111=$B1112),$S1111,0)+$R1112</f>
        <v/>
      </c>
      <c r="T1112" s="18">
        <f>ABS($H1112)*$I1112*kg_per_mt*$M1112</f>
        <v/>
      </c>
      <c r="U1112" s="18">
        <f>IF($K1112,0,$T1112*mcx_al_margin_used_frac)</f>
        <v/>
      </c>
      <c r="V1112" s="18">
        <f>IF(($B1111=$B1112),$U1111,0)</f>
        <v/>
      </c>
      <c r="W1112" s="18">
        <f>$U1112-$V1112</f>
        <v/>
      </c>
      <c r="X1112" s="18">
        <f>IF($K1112,0,$T1112*0.12)</f>
        <v/>
      </c>
      <c r="Y1112" s="18">
        <f>IF($K1112,0,$T1112*0.15)</f>
        <v/>
      </c>
      <c r="Z1112" s="18">
        <f>IF($F1112="hold",0,-ABS($H1112)*$I1112*kg_per_mt*mcx_slippage_ticks*mcx_al_tick_inr_kg)</f>
        <v/>
      </c>
      <c r="AA1112" s="18">
        <f>IF($F1112="hold",0,-ABS($H1112)*$I1112*kg_per_mt*$Q1112*mcx_txn_cost_frac)</f>
        <v/>
      </c>
      <c r="AB1112" s="18">
        <f>$Z1112+$AA1112</f>
        <v/>
      </c>
      <c r="AC1112" s="18">
        <f>$R1112-$W1112+$AB1112</f>
        <v/>
      </c>
      <c r="AD1112" s="18">
        <f>IF(($B1111=$B1112),$AD1111,0)+$AC1112</f>
        <v/>
      </c>
      <c r="AE1112" s="23" t="n">
        <v>1352713.83</v>
      </c>
      <c r="AF1112" s="23" t="n">
        <v>12627564.19</v>
      </c>
      <c r="AG1112" s="23" t="n">
        <v>0</v>
      </c>
      <c r="AH1112" s="23" t="n">
        <v>1487985.22</v>
      </c>
      <c r="AI1112" s="23" t="n">
        <v>-1600.39</v>
      </c>
      <c r="AJ1112" s="18">
        <f>$R1112-$AE1112</f>
        <v/>
      </c>
      <c r="AK1112" s="18">
        <f>$U1112-$AF1112</f>
        <v/>
      </c>
      <c r="AL1112" s="18">
        <f>$AC1112-$AH1112</f>
        <v/>
      </c>
      <c r="AM1112" s="8">
        <f>IF(AND(ABS($AJ1112)&lt;=tol_mcx_inr,ABS($AK1112)&lt;=tol_mcx_inr,ABS($AL1112)&lt;=tol_mcx_inr),"PASS","FAIL")</f>
        <v/>
      </c>
    </row>
    <row r="1113">
      <c r="A1113" s="7" t="inlineStr">
        <is>
          <t>T01</t>
        </is>
      </c>
      <c r="B1113" s="7" t="inlineStr">
        <is>
          <t>T01-MCX-4</t>
        </is>
      </c>
      <c r="C1113" s="11" t="n">
        <v>44684</v>
      </c>
      <c r="D1113" s="7" t="n">
        <v>202205</v>
      </c>
      <c r="E1113" s="7" t="inlineStr">
        <is>
          <t>SELL</t>
        </is>
      </c>
      <c r="F1113" s="7" t="inlineStr">
        <is>
          <t>hold</t>
        </is>
      </c>
      <c r="G1113" s="17" t="b">
        <v>1</v>
      </c>
      <c r="H1113" s="6" t="n">
        <v>-100</v>
      </c>
      <c r="I1113" s="13" t="n">
        <v>5</v>
      </c>
      <c r="J1113" s="8">
        <f>OR($F1113="entry",$F1113="roll_in")</f>
        <v/>
      </c>
      <c r="K1113" s="8">
        <f>OR($F1113="exit",$F1113="roll_out")</f>
        <v/>
      </c>
      <c r="L1113" s="8">
        <f>OR(AND($E1113="SELL",$K1113),AND($E1113="BUY",$J1113))</f>
        <v/>
      </c>
      <c r="M1113" s="16">
        <f>((INDEX(Market_Daily!$B$6:$B$256,MATCH($C1113,Market_Daily!$A$6:$A$256,0))*INDEX(Market_Daily!$F$6:$F$256,MATCH($C1113,Market_Daily!$A$6:$A$256,0))/kg_per_mt*(1+bcd_primary_al_hs7601*(1+sws_rate_on_bcd))+mcx_domestic_premium_inr_kg)*(1+INDEX(Market_Daily!$I$6:$I$256,MATCH($C1113,Market_Daily!$A$6:$A$256,0))*MAX(0,INDEX(mcx_expiries,MATCH($D1113,mcx_months,0))-$C1113)/day_count_inr))</f>
        <v/>
      </c>
      <c r="N1113" s="16">
        <f>IF(INDEX(Market_Daily!$S$6:$S$256,MATCH($C1113,Market_Daily!$A$6:$A$256,0))=$D1113,INDEX(Market_Daily!$M$6:$M$256,MATCH($C1113,Market_Daily!$A$6:$A$256,0)),IF(INDEX(Market_Daily!$T$6:$T$256,MATCH($C1113,Market_Daily!$A$6:$A$256,0))=$D1113,INDEX(Market_Daily!$N$6:$N$256,MATCH($C1113,Market_Daily!$A$6:$A$256,0)),NA()))</f>
        <v/>
      </c>
      <c r="O1113" s="16">
        <f>$N1113-$M1113</f>
        <v/>
      </c>
      <c r="P1113" s="16">
        <f>IF(($B1112=$B1113),$M1112,"")</f>
        <v/>
      </c>
      <c r="Q1113" s="16">
        <f>$M1113+IF($L1113,1,-1)*mcx_slippage_ticks*mcx_al_tick_inr_kg</f>
        <v/>
      </c>
      <c r="R1113" s="18">
        <f>IF(($B1112=$B1113),$H1113*$I1113*kg_per_mt*($M1113-$M1112),0)</f>
        <v/>
      </c>
      <c r="S1113" s="18">
        <f>IF(($B1112=$B1113),$S1112,0)+$R1113</f>
        <v/>
      </c>
      <c r="T1113" s="18">
        <f>ABS($H1113)*$I1113*kg_per_mt*$M1113</f>
        <v/>
      </c>
      <c r="U1113" s="18">
        <f>IF($K1113,0,$T1113*mcx_al_margin_used_frac)</f>
        <v/>
      </c>
      <c r="V1113" s="18">
        <f>IF(($B1112=$B1113),$U1112,0)</f>
        <v/>
      </c>
      <c r="W1113" s="18">
        <f>$U1113-$V1113</f>
        <v/>
      </c>
      <c r="X1113" s="18">
        <f>IF($K1113,0,$T1113*0.12)</f>
        <v/>
      </c>
      <c r="Y1113" s="18">
        <f>IF($K1113,0,$T1113*0.15)</f>
        <v/>
      </c>
      <c r="Z1113" s="18">
        <f>IF($F1113="hold",0,-ABS($H1113)*$I1113*kg_per_mt*mcx_slippage_ticks*mcx_al_tick_inr_kg)</f>
        <v/>
      </c>
      <c r="AA1113" s="18">
        <f>IF($F1113="hold",0,-ABS($H1113)*$I1113*kg_per_mt*$Q1113*mcx_txn_cost_frac)</f>
        <v/>
      </c>
      <c r="AB1113" s="18">
        <f>$Z1113+$AA1113</f>
        <v/>
      </c>
      <c r="AC1113" s="18">
        <f>$R1113-$W1113+$AB1113</f>
        <v/>
      </c>
      <c r="AD1113" s="18">
        <f>IF(($B1112=$B1113),$AD1112,0)+$AC1113</f>
        <v/>
      </c>
      <c r="AE1113" s="23" t="n">
        <v>5189681.29</v>
      </c>
      <c r="AF1113" s="23" t="n">
        <v>12108596.06</v>
      </c>
      <c r="AG1113" s="23" t="n">
        <v>0</v>
      </c>
      <c r="AH1113" s="23" t="n">
        <v>5708649.41</v>
      </c>
      <c r="AI1113" s="23" t="n">
        <v>-4836.13</v>
      </c>
      <c r="AJ1113" s="18">
        <f>$R1113-$AE1113</f>
        <v/>
      </c>
      <c r="AK1113" s="18">
        <f>$U1113-$AF1113</f>
        <v/>
      </c>
      <c r="AL1113" s="18">
        <f>$AC1113-$AH1113</f>
        <v/>
      </c>
      <c r="AM1113" s="8">
        <f>IF(AND(ABS($AJ1113)&lt;=tol_mcx_inr,ABS($AK1113)&lt;=tol_mcx_inr,ABS($AL1113)&lt;=tol_mcx_inr),"PASS","FAIL")</f>
        <v/>
      </c>
    </row>
    <row r="1114">
      <c r="A1114" s="7" t="inlineStr">
        <is>
          <t>T01</t>
        </is>
      </c>
      <c r="B1114" s="7" t="inlineStr">
        <is>
          <t>T01-MCX-4</t>
        </is>
      </c>
      <c r="C1114" s="11" t="n">
        <v>44685</v>
      </c>
      <c r="D1114" s="7" t="n">
        <v>202205</v>
      </c>
      <c r="E1114" s="7" t="inlineStr">
        <is>
          <t>SELL</t>
        </is>
      </c>
      <c r="F1114" s="7" t="inlineStr">
        <is>
          <t>hold</t>
        </is>
      </c>
      <c r="G1114" s="17" t="b">
        <v>1</v>
      </c>
      <c r="H1114" s="6" t="n">
        <v>-100</v>
      </c>
      <c r="I1114" s="13" t="n">
        <v>5</v>
      </c>
      <c r="J1114" s="8">
        <f>OR($F1114="entry",$F1114="roll_in")</f>
        <v/>
      </c>
      <c r="K1114" s="8">
        <f>OR($F1114="exit",$F1114="roll_out")</f>
        <v/>
      </c>
      <c r="L1114" s="8">
        <f>OR(AND($E1114="SELL",$K1114),AND($E1114="BUY",$J1114))</f>
        <v/>
      </c>
      <c r="M1114" s="16">
        <f>((INDEX(Market_Daily!$B$6:$B$256,MATCH($C1114,Market_Daily!$A$6:$A$256,0))*INDEX(Market_Daily!$F$6:$F$256,MATCH($C1114,Market_Daily!$A$6:$A$256,0))/kg_per_mt*(1+bcd_primary_al_hs7601*(1+sws_rate_on_bcd))+mcx_domestic_premium_inr_kg)*(1+INDEX(Market_Daily!$I$6:$I$256,MATCH($C1114,Market_Daily!$A$6:$A$256,0))*MAX(0,INDEX(mcx_expiries,MATCH($D1114,mcx_months,0))-$C1114)/day_count_inr))</f>
        <v/>
      </c>
      <c r="N1114" s="16">
        <f>IF(INDEX(Market_Daily!$S$6:$S$256,MATCH($C1114,Market_Daily!$A$6:$A$256,0))=$D1114,INDEX(Market_Daily!$M$6:$M$256,MATCH($C1114,Market_Daily!$A$6:$A$256,0)),IF(INDEX(Market_Daily!$T$6:$T$256,MATCH($C1114,Market_Daily!$A$6:$A$256,0))=$D1114,INDEX(Market_Daily!$N$6:$N$256,MATCH($C1114,Market_Daily!$A$6:$A$256,0)),NA()))</f>
        <v/>
      </c>
      <c r="O1114" s="16">
        <f>$N1114-$M1114</f>
        <v/>
      </c>
      <c r="P1114" s="16">
        <f>IF(($B1113=$B1114),$M1113,"")</f>
        <v/>
      </c>
      <c r="Q1114" s="16">
        <f>$M1114+IF($L1114,1,-1)*mcx_slippage_ticks*mcx_al_tick_inr_kg</f>
        <v/>
      </c>
      <c r="R1114" s="18">
        <f>IF(($B1113=$B1114),$H1114*$I1114*kg_per_mt*($M1114-$M1113),0)</f>
        <v/>
      </c>
      <c r="S1114" s="18">
        <f>IF(($B1113=$B1114),$S1113,0)+$R1114</f>
        <v/>
      </c>
      <c r="T1114" s="18">
        <f>ABS($H1114)*$I1114*kg_per_mt*$M1114</f>
        <v/>
      </c>
      <c r="U1114" s="18">
        <f>IF($K1114,0,$T1114*mcx_al_margin_used_frac)</f>
        <v/>
      </c>
      <c r="V1114" s="18">
        <f>IF(($B1113=$B1114),$U1113,0)</f>
        <v/>
      </c>
      <c r="W1114" s="18">
        <f>$U1114-$V1114</f>
        <v/>
      </c>
      <c r="X1114" s="18">
        <f>IF($K1114,0,$T1114*0.12)</f>
        <v/>
      </c>
      <c r="Y1114" s="18">
        <f>IF($K1114,0,$T1114*0.15)</f>
        <v/>
      </c>
      <c r="Z1114" s="18">
        <f>IF($F1114="hold",0,-ABS($H1114)*$I1114*kg_per_mt*mcx_slippage_ticks*mcx_al_tick_inr_kg)</f>
        <v/>
      </c>
      <c r="AA1114" s="18">
        <f>IF($F1114="hold",0,-ABS($H1114)*$I1114*kg_per_mt*$Q1114*mcx_txn_cost_frac)</f>
        <v/>
      </c>
      <c r="AB1114" s="18">
        <f>$Z1114+$AA1114</f>
        <v/>
      </c>
      <c r="AC1114" s="18">
        <f>$R1114-$W1114+$AB1114</f>
        <v/>
      </c>
      <c r="AD1114" s="18">
        <f>IF(($B1113=$B1114),$AD1113,0)+$AC1114</f>
        <v/>
      </c>
      <c r="AE1114" s="23" t="n">
        <v>-376093.05</v>
      </c>
      <c r="AF1114" s="23" t="n">
        <v>12146205.37</v>
      </c>
      <c r="AG1114" s="23" t="n">
        <v>0</v>
      </c>
      <c r="AH1114" s="23" t="n">
        <v>-413702.36</v>
      </c>
      <c r="AI1114" s="23" t="n">
        <v>292.42</v>
      </c>
      <c r="AJ1114" s="18">
        <f>$R1114-$AE1114</f>
        <v/>
      </c>
      <c r="AK1114" s="18">
        <f>$U1114-$AF1114</f>
        <v/>
      </c>
      <c r="AL1114" s="18">
        <f>$AC1114-$AH1114</f>
        <v/>
      </c>
      <c r="AM1114" s="8">
        <f>IF(AND(ABS($AJ1114)&lt;=tol_mcx_inr,ABS($AK1114)&lt;=tol_mcx_inr,ABS($AL1114)&lt;=tol_mcx_inr),"PASS","FAIL")</f>
        <v/>
      </c>
    </row>
    <row r="1115">
      <c r="A1115" s="7" t="inlineStr">
        <is>
          <t>T01</t>
        </is>
      </c>
      <c r="B1115" s="7" t="inlineStr">
        <is>
          <t>T01-MCX-4</t>
        </is>
      </c>
      <c r="C1115" s="11" t="n">
        <v>44686</v>
      </c>
      <c r="D1115" s="7" t="n">
        <v>202205</v>
      </c>
      <c r="E1115" s="7" t="inlineStr">
        <is>
          <t>SELL</t>
        </is>
      </c>
      <c r="F1115" s="7" t="inlineStr">
        <is>
          <t>hold</t>
        </is>
      </c>
      <c r="G1115" s="17" t="b">
        <v>1</v>
      </c>
      <c r="H1115" s="6" t="n">
        <v>-100</v>
      </c>
      <c r="I1115" s="13" t="n">
        <v>5</v>
      </c>
      <c r="J1115" s="8">
        <f>OR($F1115="entry",$F1115="roll_in")</f>
        <v/>
      </c>
      <c r="K1115" s="8">
        <f>OR($F1115="exit",$F1115="roll_out")</f>
        <v/>
      </c>
      <c r="L1115" s="8">
        <f>OR(AND($E1115="SELL",$K1115),AND($E1115="BUY",$J1115))</f>
        <v/>
      </c>
      <c r="M1115" s="16">
        <f>((INDEX(Market_Daily!$B$6:$B$256,MATCH($C1115,Market_Daily!$A$6:$A$256,0))*INDEX(Market_Daily!$F$6:$F$256,MATCH($C1115,Market_Daily!$A$6:$A$256,0))/kg_per_mt*(1+bcd_primary_al_hs7601*(1+sws_rate_on_bcd))+mcx_domestic_premium_inr_kg)*(1+INDEX(Market_Daily!$I$6:$I$256,MATCH($C1115,Market_Daily!$A$6:$A$256,0))*MAX(0,INDEX(mcx_expiries,MATCH($D1115,mcx_months,0))-$C1115)/day_count_inr))</f>
        <v/>
      </c>
      <c r="N1115" s="16">
        <f>IF(INDEX(Market_Daily!$S$6:$S$256,MATCH($C1115,Market_Daily!$A$6:$A$256,0))=$D1115,INDEX(Market_Daily!$M$6:$M$256,MATCH($C1115,Market_Daily!$A$6:$A$256,0)),IF(INDEX(Market_Daily!$T$6:$T$256,MATCH($C1115,Market_Daily!$A$6:$A$256,0))=$D1115,INDEX(Market_Daily!$N$6:$N$256,MATCH($C1115,Market_Daily!$A$6:$A$256,0)),NA()))</f>
        <v/>
      </c>
      <c r="O1115" s="16">
        <f>$N1115-$M1115</f>
        <v/>
      </c>
      <c r="P1115" s="16">
        <f>IF(($B1114=$B1115),$M1114,"")</f>
        <v/>
      </c>
      <c r="Q1115" s="16">
        <f>$M1115+IF($L1115,1,-1)*mcx_slippage_ticks*mcx_al_tick_inr_kg</f>
        <v/>
      </c>
      <c r="R1115" s="18">
        <f>IF(($B1114=$B1115),$H1115*$I1115*kg_per_mt*($M1115-$M1114),0)</f>
        <v/>
      </c>
      <c r="S1115" s="18">
        <f>IF(($B1114=$B1115),$S1114,0)+$R1115</f>
        <v/>
      </c>
      <c r="T1115" s="18">
        <f>ABS($H1115)*$I1115*kg_per_mt*$M1115</f>
        <v/>
      </c>
      <c r="U1115" s="18">
        <f>IF($K1115,0,$T1115*mcx_al_margin_used_frac)</f>
        <v/>
      </c>
      <c r="V1115" s="18">
        <f>IF(($B1114=$B1115),$U1114,0)</f>
        <v/>
      </c>
      <c r="W1115" s="18">
        <f>$U1115-$V1115</f>
        <v/>
      </c>
      <c r="X1115" s="18">
        <f>IF($K1115,0,$T1115*0.12)</f>
        <v/>
      </c>
      <c r="Y1115" s="18">
        <f>IF($K1115,0,$T1115*0.15)</f>
        <v/>
      </c>
      <c r="Z1115" s="18">
        <f>IF($F1115="hold",0,-ABS($H1115)*$I1115*kg_per_mt*mcx_slippage_ticks*mcx_al_tick_inr_kg)</f>
        <v/>
      </c>
      <c r="AA1115" s="18">
        <f>IF($F1115="hold",0,-ABS($H1115)*$I1115*kg_per_mt*$Q1115*mcx_txn_cost_frac)</f>
        <v/>
      </c>
      <c r="AB1115" s="18">
        <f>$Z1115+$AA1115</f>
        <v/>
      </c>
      <c r="AC1115" s="18">
        <f>$R1115-$W1115+$AB1115</f>
        <v/>
      </c>
      <c r="AD1115" s="18">
        <f>IF(($B1114=$B1115),$AD1114,0)+$AC1115</f>
        <v/>
      </c>
      <c r="AE1115" s="23" t="n">
        <v>614329.3199999999</v>
      </c>
      <c r="AF1115" s="23" t="n">
        <v>12084772.43</v>
      </c>
      <c r="AG1115" s="23" t="n">
        <v>0</v>
      </c>
      <c r="AH1115" s="23" t="n">
        <v>675762.25</v>
      </c>
      <c r="AI1115" s="23" t="n">
        <v>183.61</v>
      </c>
      <c r="AJ1115" s="18">
        <f>$R1115-$AE1115</f>
        <v/>
      </c>
      <c r="AK1115" s="18">
        <f>$U1115-$AF1115</f>
        <v/>
      </c>
      <c r="AL1115" s="18">
        <f>$AC1115-$AH1115</f>
        <v/>
      </c>
      <c r="AM1115" s="8">
        <f>IF(AND(ABS($AJ1115)&lt;=tol_mcx_inr,ABS($AK1115)&lt;=tol_mcx_inr,ABS($AL1115)&lt;=tol_mcx_inr),"PASS","FAIL")</f>
        <v/>
      </c>
    </row>
    <row r="1116">
      <c r="A1116" s="7" t="inlineStr">
        <is>
          <t>T01</t>
        </is>
      </c>
      <c r="B1116" s="7" t="inlineStr">
        <is>
          <t>T01-MCX-4</t>
        </is>
      </c>
      <c r="C1116" s="11" t="n">
        <v>44687</v>
      </c>
      <c r="D1116" s="7" t="n">
        <v>202205</v>
      </c>
      <c r="E1116" s="7" t="inlineStr">
        <is>
          <t>SELL</t>
        </is>
      </c>
      <c r="F1116" s="7" t="inlineStr">
        <is>
          <t>hold</t>
        </is>
      </c>
      <c r="G1116" s="17" t="b">
        <v>1</v>
      </c>
      <c r="H1116" s="6" t="n">
        <v>-100</v>
      </c>
      <c r="I1116" s="13" t="n">
        <v>5</v>
      </c>
      <c r="J1116" s="8">
        <f>OR($F1116="entry",$F1116="roll_in")</f>
        <v/>
      </c>
      <c r="K1116" s="8">
        <f>OR($F1116="exit",$F1116="roll_out")</f>
        <v/>
      </c>
      <c r="L1116" s="8">
        <f>OR(AND($E1116="SELL",$K1116),AND($E1116="BUY",$J1116))</f>
        <v/>
      </c>
      <c r="M1116" s="16">
        <f>((INDEX(Market_Daily!$B$6:$B$256,MATCH($C1116,Market_Daily!$A$6:$A$256,0))*INDEX(Market_Daily!$F$6:$F$256,MATCH($C1116,Market_Daily!$A$6:$A$256,0))/kg_per_mt*(1+bcd_primary_al_hs7601*(1+sws_rate_on_bcd))+mcx_domestic_premium_inr_kg)*(1+INDEX(Market_Daily!$I$6:$I$256,MATCH($C1116,Market_Daily!$A$6:$A$256,0))*MAX(0,INDEX(mcx_expiries,MATCH($D1116,mcx_months,0))-$C1116)/day_count_inr))</f>
        <v/>
      </c>
      <c r="N1116" s="16">
        <f>IF(INDEX(Market_Daily!$S$6:$S$256,MATCH($C1116,Market_Daily!$A$6:$A$256,0))=$D1116,INDEX(Market_Daily!$M$6:$M$256,MATCH($C1116,Market_Daily!$A$6:$A$256,0)),IF(INDEX(Market_Daily!$T$6:$T$256,MATCH($C1116,Market_Daily!$A$6:$A$256,0))=$D1116,INDEX(Market_Daily!$N$6:$N$256,MATCH($C1116,Market_Daily!$A$6:$A$256,0)),NA()))</f>
        <v/>
      </c>
      <c r="O1116" s="16">
        <f>$N1116-$M1116</f>
        <v/>
      </c>
      <c r="P1116" s="16">
        <f>IF(($B1115=$B1116),$M1115,"")</f>
        <v/>
      </c>
      <c r="Q1116" s="16">
        <f>$M1116+IF($L1116,1,-1)*mcx_slippage_ticks*mcx_al_tick_inr_kg</f>
        <v/>
      </c>
      <c r="R1116" s="18">
        <f>IF(($B1115=$B1116),$H1116*$I1116*kg_per_mt*($M1116-$M1115),0)</f>
        <v/>
      </c>
      <c r="S1116" s="18">
        <f>IF(($B1115=$B1116),$S1115,0)+$R1116</f>
        <v/>
      </c>
      <c r="T1116" s="18">
        <f>ABS($H1116)*$I1116*kg_per_mt*$M1116</f>
        <v/>
      </c>
      <c r="U1116" s="18">
        <f>IF($K1116,0,$T1116*mcx_al_margin_used_frac)</f>
        <v/>
      </c>
      <c r="V1116" s="18">
        <f>IF(($B1115=$B1116),$U1115,0)</f>
        <v/>
      </c>
      <c r="W1116" s="18">
        <f>$U1116-$V1116</f>
        <v/>
      </c>
      <c r="X1116" s="18">
        <f>IF($K1116,0,$T1116*0.12)</f>
        <v/>
      </c>
      <c r="Y1116" s="18">
        <f>IF($K1116,0,$T1116*0.15)</f>
        <v/>
      </c>
      <c r="Z1116" s="18">
        <f>IF($F1116="hold",0,-ABS($H1116)*$I1116*kg_per_mt*mcx_slippage_ticks*mcx_al_tick_inr_kg)</f>
        <v/>
      </c>
      <c r="AA1116" s="18">
        <f>IF($F1116="hold",0,-ABS($H1116)*$I1116*kg_per_mt*$Q1116*mcx_txn_cost_frac)</f>
        <v/>
      </c>
      <c r="AB1116" s="18">
        <f>$Z1116+$AA1116</f>
        <v/>
      </c>
      <c r="AC1116" s="18">
        <f>$R1116-$W1116+$AB1116</f>
        <v/>
      </c>
      <c r="AD1116" s="18">
        <f>IF(($B1115=$B1116),$AD1115,0)+$AC1116</f>
        <v/>
      </c>
      <c r="AE1116" s="23" t="n">
        <v>2549382.56</v>
      </c>
      <c r="AF1116" s="23" t="n">
        <v>11829834.18</v>
      </c>
      <c r="AG1116" s="23" t="n">
        <v>0</v>
      </c>
      <c r="AH1116" s="23" t="n">
        <v>2804320.82</v>
      </c>
      <c r="AI1116" s="23" t="n">
        <v>361.35</v>
      </c>
      <c r="AJ1116" s="18">
        <f>$R1116-$AE1116</f>
        <v/>
      </c>
      <c r="AK1116" s="18">
        <f>$U1116-$AF1116</f>
        <v/>
      </c>
      <c r="AL1116" s="18">
        <f>$AC1116-$AH1116</f>
        <v/>
      </c>
      <c r="AM1116" s="8">
        <f>IF(AND(ABS($AJ1116)&lt;=tol_mcx_inr,ABS($AK1116)&lt;=tol_mcx_inr,ABS($AL1116)&lt;=tol_mcx_inr),"PASS","FAIL")</f>
        <v/>
      </c>
    </row>
    <row r="1117">
      <c r="A1117" s="7" t="inlineStr">
        <is>
          <t>T01</t>
        </is>
      </c>
      <c r="B1117" s="7" t="inlineStr">
        <is>
          <t>T01-MCX-4</t>
        </is>
      </c>
      <c r="C1117" s="11" t="n">
        <v>44690</v>
      </c>
      <c r="D1117" s="7" t="n">
        <v>202205</v>
      </c>
      <c r="E1117" s="7" t="inlineStr">
        <is>
          <t>SELL</t>
        </is>
      </c>
      <c r="F1117" s="7" t="inlineStr">
        <is>
          <t>exit</t>
        </is>
      </c>
      <c r="G1117" s="17" t="b">
        <v>1</v>
      </c>
      <c r="H1117" s="6" t="n">
        <v>-100</v>
      </c>
      <c r="I1117" s="13" t="n">
        <v>5</v>
      </c>
      <c r="J1117" s="8">
        <f>OR($F1117="entry",$F1117="roll_in")</f>
        <v/>
      </c>
      <c r="K1117" s="8">
        <f>OR($F1117="exit",$F1117="roll_out")</f>
        <v/>
      </c>
      <c r="L1117" s="8">
        <f>OR(AND($E1117="SELL",$K1117),AND($E1117="BUY",$J1117))</f>
        <v/>
      </c>
      <c r="M1117" s="16">
        <f>((INDEX(Market_Daily!$B$6:$B$256,MATCH($C1117,Market_Daily!$A$6:$A$256,0))*INDEX(Market_Daily!$F$6:$F$256,MATCH($C1117,Market_Daily!$A$6:$A$256,0))/kg_per_mt*(1+bcd_primary_al_hs7601*(1+sws_rate_on_bcd))+mcx_domestic_premium_inr_kg)*(1+INDEX(Market_Daily!$I$6:$I$256,MATCH($C1117,Market_Daily!$A$6:$A$256,0))*MAX(0,INDEX(mcx_expiries,MATCH($D1117,mcx_months,0))-$C1117)/day_count_inr))</f>
        <v/>
      </c>
      <c r="N1117" s="16">
        <f>IF(INDEX(Market_Daily!$S$6:$S$256,MATCH($C1117,Market_Daily!$A$6:$A$256,0))=$D1117,INDEX(Market_Daily!$M$6:$M$256,MATCH($C1117,Market_Daily!$A$6:$A$256,0)),IF(INDEX(Market_Daily!$T$6:$T$256,MATCH($C1117,Market_Daily!$A$6:$A$256,0))=$D1117,INDEX(Market_Daily!$N$6:$N$256,MATCH($C1117,Market_Daily!$A$6:$A$256,0)),NA()))</f>
        <v/>
      </c>
      <c r="O1117" s="16">
        <f>$N1117-$M1117</f>
        <v/>
      </c>
      <c r="P1117" s="16">
        <f>IF(($B1116=$B1117),$M1116,"")</f>
        <v/>
      </c>
      <c r="Q1117" s="16">
        <f>$M1117+IF($L1117,1,-1)*mcx_slippage_ticks*mcx_al_tick_inr_kg</f>
        <v/>
      </c>
      <c r="R1117" s="18">
        <f>IF(($B1116=$B1117),$H1117*$I1117*kg_per_mt*($M1117-$M1116),0)</f>
        <v/>
      </c>
      <c r="S1117" s="18">
        <f>IF(($B1116=$B1117),$S1116,0)+$R1117</f>
        <v/>
      </c>
      <c r="T1117" s="18">
        <f>ABS($H1117)*$I1117*kg_per_mt*$M1117</f>
        <v/>
      </c>
      <c r="U1117" s="18">
        <f>IF($K1117,0,$T1117*mcx_al_margin_used_frac)</f>
        <v/>
      </c>
      <c r="V1117" s="18">
        <f>IF(($B1116=$B1117),$U1116,0)</f>
        <v/>
      </c>
      <c r="W1117" s="18">
        <f>$U1117-$V1117</f>
        <v/>
      </c>
      <c r="X1117" s="18">
        <f>IF($K1117,0,$T1117*0.12)</f>
        <v/>
      </c>
      <c r="Y1117" s="18">
        <f>IF($K1117,0,$T1117*0.15)</f>
        <v/>
      </c>
      <c r="Z1117" s="18">
        <f>IF($F1117="hold",0,-ABS($H1117)*$I1117*kg_per_mt*mcx_slippage_ticks*mcx_al_tick_inr_kg)</f>
        <v/>
      </c>
      <c r="AA1117" s="18">
        <f>IF($F1117="hold",0,-ABS($H1117)*$I1117*kg_per_mt*$Q1117*mcx_txn_cost_frac)</f>
        <v/>
      </c>
      <c r="AB1117" s="18">
        <f>$Z1117+$AA1117</f>
        <v/>
      </c>
      <c r="AC1117" s="18">
        <f>$R1117-$W1117+$AB1117</f>
        <v/>
      </c>
      <c r="AD1117" s="18">
        <f>IF(($B1116=$B1117),$AD1116,0)+$AC1117</f>
        <v/>
      </c>
      <c r="AE1117" s="23" t="n">
        <v>4508326.69</v>
      </c>
      <c r="AF1117" s="23" t="n">
        <v>0</v>
      </c>
      <c r="AG1117" s="23" t="n">
        <v>-84152</v>
      </c>
      <c r="AH1117" s="23" t="n">
        <v>16254008.86</v>
      </c>
      <c r="AI1117" s="23" t="n">
        <v>3296.76</v>
      </c>
      <c r="AJ1117" s="18">
        <f>$R1117-$AE1117</f>
        <v/>
      </c>
      <c r="AK1117" s="18">
        <f>$U1117-$AF1117</f>
        <v/>
      </c>
      <c r="AL1117" s="18">
        <f>$AC1117-$AH1117</f>
        <v/>
      </c>
      <c r="AM1117" s="8">
        <f>IF(AND(ABS($AJ1117)&lt;=tol_mcx_inr,ABS($AK1117)&lt;=tol_mcx_inr,ABS($AL1117)&lt;=tol_mcx_inr),"PASS","FAIL")</f>
        <v/>
      </c>
    </row>
    <row r="1118">
      <c r="A1118" s="7" t="inlineStr">
        <is>
          <t>T02</t>
        </is>
      </c>
      <c r="B1118" s="7" t="inlineStr">
        <is>
          <t>T02-MCX-1</t>
        </is>
      </c>
      <c r="C1118" s="11" t="n">
        <v>44631</v>
      </c>
      <c r="D1118" s="7" t="n">
        <v>202203</v>
      </c>
      <c r="E1118" s="7" t="inlineStr">
        <is>
          <t>SELL</t>
        </is>
      </c>
      <c r="F1118" s="7" t="inlineStr">
        <is>
          <t>entry</t>
        </is>
      </c>
      <c r="G1118" s="17" t="b">
        <v>1</v>
      </c>
      <c r="H1118" s="6" t="n">
        <v>-74</v>
      </c>
      <c r="I1118" s="13" t="n">
        <v>5</v>
      </c>
      <c r="J1118" s="8">
        <f>OR($F1118="entry",$F1118="roll_in")</f>
        <v/>
      </c>
      <c r="K1118" s="8">
        <f>OR($F1118="exit",$F1118="roll_out")</f>
        <v/>
      </c>
      <c r="L1118" s="8">
        <f>OR(AND($E1118="SELL",$K1118),AND($E1118="BUY",$J1118))</f>
        <v/>
      </c>
      <c r="M1118" s="16">
        <f>((INDEX(Market_Daily!$B$6:$B$256,MATCH($C1118,Market_Daily!$A$6:$A$256,0))*INDEX(Market_Daily!$F$6:$F$256,MATCH($C1118,Market_Daily!$A$6:$A$256,0))/kg_per_mt*(1+bcd_primary_al_hs7601*(1+sws_rate_on_bcd))+mcx_domestic_premium_inr_kg)*(1+INDEX(Market_Daily!$I$6:$I$256,MATCH($C1118,Market_Daily!$A$6:$A$256,0))*MAX(0,INDEX(mcx_expiries,MATCH($D1118,mcx_months,0))-$C1118)/day_count_inr))</f>
        <v/>
      </c>
      <c r="N1118" s="16">
        <f>IF(INDEX(Market_Daily!$S$6:$S$256,MATCH($C1118,Market_Daily!$A$6:$A$256,0))=$D1118,INDEX(Market_Daily!$M$6:$M$256,MATCH($C1118,Market_Daily!$A$6:$A$256,0)),IF(INDEX(Market_Daily!$T$6:$T$256,MATCH($C1118,Market_Daily!$A$6:$A$256,0))=$D1118,INDEX(Market_Daily!$N$6:$N$256,MATCH($C1118,Market_Daily!$A$6:$A$256,0)),NA()))</f>
        <v/>
      </c>
      <c r="O1118" s="16">
        <f>$N1118-$M1118</f>
        <v/>
      </c>
      <c r="P1118" s="16">
        <f>IF(($B1117=$B1118),$M1117,"")</f>
        <v/>
      </c>
      <c r="Q1118" s="16">
        <f>$M1118+IF($L1118,1,-1)*mcx_slippage_ticks*mcx_al_tick_inr_kg</f>
        <v/>
      </c>
      <c r="R1118" s="18">
        <f>IF(($B1117=$B1118),$H1118*$I1118*kg_per_mt*($M1118-$M1117),0)</f>
        <v/>
      </c>
      <c r="S1118" s="18">
        <f>IF(($B1117=$B1118),$S1117,0)+$R1118</f>
        <v/>
      </c>
      <c r="T1118" s="18">
        <f>ABS($H1118)*$I1118*kg_per_mt*$M1118</f>
        <v/>
      </c>
      <c r="U1118" s="18">
        <f>IF($K1118,0,$T1118*mcx_al_margin_used_frac)</f>
        <v/>
      </c>
      <c r="V1118" s="18">
        <f>IF(($B1117=$B1118),$U1117,0)</f>
        <v/>
      </c>
      <c r="W1118" s="18">
        <f>$U1118-$V1118</f>
        <v/>
      </c>
      <c r="X1118" s="18">
        <f>IF($K1118,0,$T1118*0.12)</f>
        <v/>
      </c>
      <c r="Y1118" s="18">
        <f>IF($K1118,0,$T1118*0.15)</f>
        <v/>
      </c>
      <c r="Z1118" s="18">
        <f>IF($F1118="hold",0,-ABS($H1118)*$I1118*kg_per_mt*mcx_slippage_ticks*mcx_al_tick_inr_kg)</f>
        <v/>
      </c>
      <c r="AA1118" s="18">
        <f>IF($F1118="hold",0,-ABS($H1118)*$I1118*kg_per_mt*$Q1118*mcx_txn_cost_frac)</f>
        <v/>
      </c>
      <c r="AB1118" s="18">
        <f>$Z1118+$AA1118</f>
        <v/>
      </c>
      <c r="AC1118" s="18">
        <f>$R1118-$W1118+$AB1118</f>
        <v/>
      </c>
      <c r="AD1118" s="18">
        <f>IF(($B1117=$B1118),$AD1117,0)+$AC1118</f>
        <v/>
      </c>
      <c r="AE1118" s="23" t="n">
        <v>0</v>
      </c>
      <c r="AF1118" s="23" t="n">
        <v>10649386.45</v>
      </c>
      <c r="AG1118" s="23" t="n">
        <v>-68937.06</v>
      </c>
      <c r="AH1118" s="23" t="n">
        <v>-10718323.51</v>
      </c>
      <c r="AI1118" s="23" t="n">
        <v>0</v>
      </c>
      <c r="AJ1118" s="18">
        <f>$R1118-$AE1118</f>
        <v/>
      </c>
      <c r="AK1118" s="18">
        <f>$U1118-$AF1118</f>
        <v/>
      </c>
      <c r="AL1118" s="18">
        <f>$AC1118-$AH1118</f>
        <v/>
      </c>
      <c r="AM1118" s="8">
        <f>IF(AND(ABS($AJ1118)&lt;=tol_mcx_inr,ABS($AK1118)&lt;=tol_mcx_inr,ABS($AL1118)&lt;=tol_mcx_inr),"PASS","FAIL")</f>
        <v/>
      </c>
    </row>
    <row r="1119">
      <c r="A1119" s="7" t="inlineStr">
        <is>
          <t>T02</t>
        </is>
      </c>
      <c r="B1119" s="7" t="inlineStr">
        <is>
          <t>T02-MCX-1</t>
        </is>
      </c>
      <c r="C1119" s="11" t="n">
        <v>44634</v>
      </c>
      <c r="D1119" s="7" t="n">
        <v>202203</v>
      </c>
      <c r="E1119" s="7" t="inlineStr">
        <is>
          <t>SELL</t>
        </is>
      </c>
      <c r="F1119" s="7" t="inlineStr">
        <is>
          <t>hold</t>
        </is>
      </c>
      <c r="G1119" s="17" t="b">
        <v>1</v>
      </c>
      <c r="H1119" s="6" t="n">
        <v>-74</v>
      </c>
      <c r="I1119" s="13" t="n">
        <v>5</v>
      </c>
      <c r="J1119" s="8">
        <f>OR($F1119="entry",$F1119="roll_in")</f>
        <v/>
      </c>
      <c r="K1119" s="8">
        <f>OR($F1119="exit",$F1119="roll_out")</f>
        <v/>
      </c>
      <c r="L1119" s="8">
        <f>OR(AND($E1119="SELL",$K1119),AND($E1119="BUY",$J1119))</f>
        <v/>
      </c>
      <c r="M1119" s="16">
        <f>((INDEX(Market_Daily!$B$6:$B$256,MATCH($C1119,Market_Daily!$A$6:$A$256,0))*INDEX(Market_Daily!$F$6:$F$256,MATCH($C1119,Market_Daily!$A$6:$A$256,0))/kg_per_mt*(1+bcd_primary_al_hs7601*(1+sws_rate_on_bcd))+mcx_domestic_premium_inr_kg)*(1+INDEX(Market_Daily!$I$6:$I$256,MATCH($C1119,Market_Daily!$A$6:$A$256,0))*MAX(0,INDEX(mcx_expiries,MATCH($D1119,mcx_months,0))-$C1119)/day_count_inr))</f>
        <v/>
      </c>
      <c r="N1119" s="16">
        <f>IF(INDEX(Market_Daily!$S$6:$S$256,MATCH($C1119,Market_Daily!$A$6:$A$256,0))=$D1119,INDEX(Market_Daily!$M$6:$M$256,MATCH($C1119,Market_Daily!$A$6:$A$256,0)),IF(INDEX(Market_Daily!$T$6:$T$256,MATCH($C1119,Market_Daily!$A$6:$A$256,0))=$D1119,INDEX(Market_Daily!$N$6:$N$256,MATCH($C1119,Market_Daily!$A$6:$A$256,0)),NA()))</f>
        <v/>
      </c>
      <c r="O1119" s="16">
        <f>$N1119-$M1119</f>
        <v/>
      </c>
      <c r="P1119" s="16">
        <f>IF(($B1118=$B1119),$M1118,"")</f>
        <v/>
      </c>
      <c r="Q1119" s="16">
        <f>$M1119+IF($L1119,1,-1)*mcx_slippage_ticks*mcx_al_tick_inr_kg</f>
        <v/>
      </c>
      <c r="R1119" s="18">
        <f>IF(($B1118=$B1119),$H1119*$I1119*kg_per_mt*($M1119-$M1118),0)</f>
        <v/>
      </c>
      <c r="S1119" s="18">
        <f>IF(($B1118=$B1119),$S1118,0)+$R1119</f>
        <v/>
      </c>
      <c r="T1119" s="18">
        <f>ABS($H1119)*$I1119*kg_per_mt*$M1119</f>
        <v/>
      </c>
      <c r="U1119" s="18">
        <f>IF($K1119,0,$T1119*mcx_al_margin_used_frac)</f>
        <v/>
      </c>
      <c r="V1119" s="18">
        <f>IF(($B1118=$B1119),$U1118,0)</f>
        <v/>
      </c>
      <c r="W1119" s="18">
        <f>$U1119-$V1119</f>
        <v/>
      </c>
      <c r="X1119" s="18">
        <f>IF($K1119,0,$T1119*0.12)</f>
        <v/>
      </c>
      <c r="Y1119" s="18">
        <f>IF($K1119,0,$T1119*0.15)</f>
        <v/>
      </c>
      <c r="Z1119" s="18">
        <f>IF($F1119="hold",0,-ABS($H1119)*$I1119*kg_per_mt*mcx_slippage_ticks*mcx_al_tick_inr_kg)</f>
        <v/>
      </c>
      <c r="AA1119" s="18">
        <f>IF($F1119="hold",0,-ABS($H1119)*$I1119*kg_per_mt*$Q1119*mcx_txn_cost_frac)</f>
        <v/>
      </c>
      <c r="AB1119" s="18">
        <f>$Z1119+$AA1119</f>
        <v/>
      </c>
      <c r="AC1119" s="18">
        <f>$R1119-$W1119+$AB1119</f>
        <v/>
      </c>
      <c r="AD1119" s="18">
        <f>IF(($B1118=$B1119),$AD1118,0)+$AC1119</f>
        <v/>
      </c>
      <c r="AE1119" s="23" t="n">
        <v>2056323.76</v>
      </c>
      <c r="AF1119" s="23" t="n">
        <v>10443754.07</v>
      </c>
      <c r="AG1119" s="23" t="n">
        <v>0</v>
      </c>
      <c r="AH1119" s="23" t="n">
        <v>2261956.14</v>
      </c>
      <c r="AI1119" s="23" t="n">
        <v>-8369.1</v>
      </c>
      <c r="AJ1119" s="18">
        <f>$R1119-$AE1119</f>
        <v/>
      </c>
      <c r="AK1119" s="18">
        <f>$U1119-$AF1119</f>
        <v/>
      </c>
      <c r="AL1119" s="18">
        <f>$AC1119-$AH1119</f>
        <v/>
      </c>
      <c r="AM1119" s="8">
        <f>IF(AND(ABS($AJ1119)&lt;=tol_mcx_inr,ABS($AK1119)&lt;=tol_mcx_inr,ABS($AL1119)&lt;=tol_mcx_inr),"PASS","FAIL")</f>
        <v/>
      </c>
    </row>
    <row r="1120">
      <c r="A1120" s="7" t="inlineStr">
        <is>
          <t>T02</t>
        </is>
      </c>
      <c r="B1120" s="7" t="inlineStr">
        <is>
          <t>T02-MCX-1</t>
        </is>
      </c>
      <c r="C1120" s="11" t="n">
        <v>44635</v>
      </c>
      <c r="D1120" s="7" t="n">
        <v>202203</v>
      </c>
      <c r="E1120" s="7" t="inlineStr">
        <is>
          <t>SELL</t>
        </is>
      </c>
      <c r="F1120" s="7" t="inlineStr">
        <is>
          <t>hold</t>
        </is>
      </c>
      <c r="G1120" s="17" t="b">
        <v>1</v>
      </c>
      <c r="H1120" s="6" t="n">
        <v>-74</v>
      </c>
      <c r="I1120" s="13" t="n">
        <v>5</v>
      </c>
      <c r="J1120" s="8">
        <f>OR($F1120="entry",$F1120="roll_in")</f>
        <v/>
      </c>
      <c r="K1120" s="8">
        <f>OR($F1120="exit",$F1120="roll_out")</f>
        <v/>
      </c>
      <c r="L1120" s="8">
        <f>OR(AND($E1120="SELL",$K1120),AND($E1120="BUY",$J1120))</f>
        <v/>
      </c>
      <c r="M1120" s="16">
        <f>((INDEX(Market_Daily!$B$6:$B$256,MATCH($C1120,Market_Daily!$A$6:$A$256,0))*INDEX(Market_Daily!$F$6:$F$256,MATCH($C1120,Market_Daily!$A$6:$A$256,0))/kg_per_mt*(1+bcd_primary_al_hs7601*(1+sws_rate_on_bcd))+mcx_domestic_premium_inr_kg)*(1+INDEX(Market_Daily!$I$6:$I$256,MATCH($C1120,Market_Daily!$A$6:$A$256,0))*MAX(0,INDEX(mcx_expiries,MATCH($D1120,mcx_months,0))-$C1120)/day_count_inr))</f>
        <v/>
      </c>
      <c r="N1120" s="16">
        <f>IF(INDEX(Market_Daily!$S$6:$S$256,MATCH($C1120,Market_Daily!$A$6:$A$256,0))=$D1120,INDEX(Market_Daily!$M$6:$M$256,MATCH($C1120,Market_Daily!$A$6:$A$256,0)),IF(INDEX(Market_Daily!$T$6:$T$256,MATCH($C1120,Market_Daily!$A$6:$A$256,0))=$D1120,INDEX(Market_Daily!$N$6:$N$256,MATCH($C1120,Market_Daily!$A$6:$A$256,0)),NA()))</f>
        <v/>
      </c>
      <c r="O1120" s="16">
        <f>$N1120-$M1120</f>
        <v/>
      </c>
      <c r="P1120" s="16">
        <f>IF(($B1119=$B1120),$M1119,"")</f>
        <v/>
      </c>
      <c r="Q1120" s="16">
        <f>$M1120+IF($L1120,1,-1)*mcx_slippage_ticks*mcx_al_tick_inr_kg</f>
        <v/>
      </c>
      <c r="R1120" s="18">
        <f>IF(($B1119=$B1120),$H1120*$I1120*kg_per_mt*($M1120-$M1119),0)</f>
        <v/>
      </c>
      <c r="S1120" s="18">
        <f>IF(($B1119=$B1120),$S1119,0)+$R1120</f>
        <v/>
      </c>
      <c r="T1120" s="18">
        <f>ABS($H1120)*$I1120*kg_per_mt*$M1120</f>
        <v/>
      </c>
      <c r="U1120" s="18">
        <f>IF($K1120,0,$T1120*mcx_al_margin_used_frac)</f>
        <v/>
      </c>
      <c r="V1120" s="18">
        <f>IF(($B1119=$B1120),$U1119,0)</f>
        <v/>
      </c>
      <c r="W1120" s="18">
        <f>$U1120-$V1120</f>
        <v/>
      </c>
      <c r="X1120" s="18">
        <f>IF($K1120,0,$T1120*0.12)</f>
        <v/>
      </c>
      <c r="Y1120" s="18">
        <f>IF($K1120,0,$T1120*0.15)</f>
        <v/>
      </c>
      <c r="Z1120" s="18">
        <f>IF($F1120="hold",0,-ABS($H1120)*$I1120*kg_per_mt*mcx_slippage_ticks*mcx_al_tick_inr_kg)</f>
        <v/>
      </c>
      <c r="AA1120" s="18">
        <f>IF($F1120="hold",0,-ABS($H1120)*$I1120*kg_per_mt*$Q1120*mcx_txn_cost_frac)</f>
        <v/>
      </c>
      <c r="AB1120" s="18">
        <f>$Z1120+$AA1120</f>
        <v/>
      </c>
      <c r="AC1120" s="18">
        <f>$R1120-$W1120+$AB1120</f>
        <v/>
      </c>
      <c r="AD1120" s="18">
        <f>IF(($B1119=$B1120),$AD1119,0)+$AC1120</f>
        <v/>
      </c>
      <c r="AE1120" s="23" t="n">
        <v>5837014.22</v>
      </c>
      <c r="AF1120" s="23" t="n">
        <v>9860052.65</v>
      </c>
      <c r="AG1120" s="23" t="n">
        <v>0</v>
      </c>
      <c r="AH1120" s="23" t="n">
        <v>6420715.65</v>
      </c>
      <c r="AI1120" s="23" t="n">
        <v>-2200.97</v>
      </c>
      <c r="AJ1120" s="18">
        <f>$R1120-$AE1120</f>
        <v/>
      </c>
      <c r="AK1120" s="18">
        <f>$U1120-$AF1120</f>
        <v/>
      </c>
      <c r="AL1120" s="18">
        <f>$AC1120-$AH1120</f>
        <v/>
      </c>
      <c r="AM1120" s="8">
        <f>IF(AND(ABS($AJ1120)&lt;=tol_mcx_inr,ABS($AK1120)&lt;=tol_mcx_inr,ABS($AL1120)&lt;=tol_mcx_inr),"PASS","FAIL")</f>
        <v/>
      </c>
    </row>
    <row r="1121">
      <c r="A1121" s="7" t="inlineStr">
        <is>
          <t>T02</t>
        </is>
      </c>
      <c r="B1121" s="7" t="inlineStr">
        <is>
          <t>T02-MCX-1</t>
        </is>
      </c>
      <c r="C1121" s="11" t="n">
        <v>44636</v>
      </c>
      <c r="D1121" s="7" t="n">
        <v>202203</v>
      </c>
      <c r="E1121" s="7" t="inlineStr">
        <is>
          <t>SELL</t>
        </is>
      </c>
      <c r="F1121" s="7" t="inlineStr">
        <is>
          <t>hold</t>
        </is>
      </c>
      <c r="G1121" s="17" t="b">
        <v>1</v>
      </c>
      <c r="H1121" s="6" t="n">
        <v>-74</v>
      </c>
      <c r="I1121" s="13" t="n">
        <v>5</v>
      </c>
      <c r="J1121" s="8">
        <f>OR($F1121="entry",$F1121="roll_in")</f>
        <v/>
      </c>
      <c r="K1121" s="8">
        <f>OR($F1121="exit",$F1121="roll_out")</f>
        <v/>
      </c>
      <c r="L1121" s="8">
        <f>OR(AND($E1121="SELL",$K1121),AND($E1121="BUY",$J1121))</f>
        <v/>
      </c>
      <c r="M1121" s="16">
        <f>((INDEX(Market_Daily!$B$6:$B$256,MATCH($C1121,Market_Daily!$A$6:$A$256,0))*INDEX(Market_Daily!$F$6:$F$256,MATCH($C1121,Market_Daily!$A$6:$A$256,0))/kg_per_mt*(1+bcd_primary_al_hs7601*(1+sws_rate_on_bcd))+mcx_domestic_premium_inr_kg)*(1+INDEX(Market_Daily!$I$6:$I$256,MATCH($C1121,Market_Daily!$A$6:$A$256,0))*MAX(0,INDEX(mcx_expiries,MATCH($D1121,mcx_months,0))-$C1121)/day_count_inr))</f>
        <v/>
      </c>
      <c r="N1121" s="16">
        <f>IF(INDEX(Market_Daily!$S$6:$S$256,MATCH($C1121,Market_Daily!$A$6:$A$256,0))=$D1121,INDEX(Market_Daily!$M$6:$M$256,MATCH($C1121,Market_Daily!$A$6:$A$256,0)),IF(INDEX(Market_Daily!$T$6:$T$256,MATCH($C1121,Market_Daily!$A$6:$A$256,0))=$D1121,INDEX(Market_Daily!$N$6:$N$256,MATCH($C1121,Market_Daily!$A$6:$A$256,0)),NA()))</f>
        <v/>
      </c>
      <c r="O1121" s="16">
        <f>$N1121-$M1121</f>
        <v/>
      </c>
      <c r="P1121" s="16">
        <f>IF(($B1120=$B1121),$M1120,"")</f>
        <v/>
      </c>
      <c r="Q1121" s="16">
        <f>$M1121+IF($L1121,1,-1)*mcx_slippage_ticks*mcx_al_tick_inr_kg</f>
        <v/>
      </c>
      <c r="R1121" s="18">
        <f>IF(($B1120=$B1121),$H1121*$I1121*kg_per_mt*($M1121-$M1120),0)</f>
        <v/>
      </c>
      <c r="S1121" s="18">
        <f>IF(($B1120=$B1121),$S1120,0)+$R1121</f>
        <v/>
      </c>
      <c r="T1121" s="18">
        <f>ABS($H1121)*$I1121*kg_per_mt*$M1121</f>
        <v/>
      </c>
      <c r="U1121" s="18">
        <f>IF($K1121,0,$T1121*mcx_al_margin_used_frac)</f>
        <v/>
      </c>
      <c r="V1121" s="18">
        <f>IF(($B1120=$B1121),$U1120,0)</f>
        <v/>
      </c>
      <c r="W1121" s="18">
        <f>$U1121-$V1121</f>
        <v/>
      </c>
      <c r="X1121" s="18">
        <f>IF($K1121,0,$T1121*0.12)</f>
        <v/>
      </c>
      <c r="Y1121" s="18">
        <f>IF($K1121,0,$T1121*0.15)</f>
        <v/>
      </c>
      <c r="Z1121" s="18">
        <f>IF($F1121="hold",0,-ABS($H1121)*$I1121*kg_per_mt*mcx_slippage_ticks*mcx_al_tick_inr_kg)</f>
        <v/>
      </c>
      <c r="AA1121" s="18">
        <f>IF($F1121="hold",0,-ABS($H1121)*$I1121*kg_per_mt*$Q1121*mcx_txn_cost_frac)</f>
        <v/>
      </c>
      <c r="AB1121" s="18">
        <f>$Z1121+$AA1121</f>
        <v/>
      </c>
      <c r="AC1121" s="18">
        <f>$R1121-$W1121+$AB1121</f>
        <v/>
      </c>
      <c r="AD1121" s="18">
        <f>IF(($B1120=$B1121),$AD1120,0)+$AC1121</f>
        <v/>
      </c>
      <c r="AE1121" s="23" t="n">
        <v>-2462900.24</v>
      </c>
      <c r="AF1121" s="23" t="n">
        <v>10106342.67</v>
      </c>
      <c r="AG1121" s="23" t="n">
        <v>0</v>
      </c>
      <c r="AH1121" s="23" t="n">
        <v>-2709190.26</v>
      </c>
      <c r="AI1121" s="23" t="n">
        <v>-529.83</v>
      </c>
      <c r="AJ1121" s="18">
        <f>$R1121-$AE1121</f>
        <v/>
      </c>
      <c r="AK1121" s="18">
        <f>$U1121-$AF1121</f>
        <v/>
      </c>
      <c r="AL1121" s="18">
        <f>$AC1121-$AH1121</f>
        <v/>
      </c>
      <c r="AM1121" s="8">
        <f>IF(AND(ABS($AJ1121)&lt;=tol_mcx_inr,ABS($AK1121)&lt;=tol_mcx_inr,ABS($AL1121)&lt;=tol_mcx_inr),"PASS","FAIL")</f>
        <v/>
      </c>
    </row>
    <row r="1122">
      <c r="A1122" s="7" t="inlineStr">
        <is>
          <t>T02</t>
        </is>
      </c>
      <c r="B1122" s="7" t="inlineStr">
        <is>
          <t>T02-MCX-1</t>
        </is>
      </c>
      <c r="C1122" s="11" t="n">
        <v>44637</v>
      </c>
      <c r="D1122" s="7" t="n">
        <v>202203</v>
      </c>
      <c r="E1122" s="7" t="inlineStr">
        <is>
          <t>SELL</t>
        </is>
      </c>
      <c r="F1122" s="7" t="inlineStr">
        <is>
          <t>hold</t>
        </is>
      </c>
      <c r="G1122" s="17" t="b">
        <v>1</v>
      </c>
      <c r="H1122" s="6" t="n">
        <v>-74</v>
      </c>
      <c r="I1122" s="13" t="n">
        <v>5</v>
      </c>
      <c r="J1122" s="8">
        <f>OR($F1122="entry",$F1122="roll_in")</f>
        <v/>
      </c>
      <c r="K1122" s="8">
        <f>OR($F1122="exit",$F1122="roll_out")</f>
        <v/>
      </c>
      <c r="L1122" s="8">
        <f>OR(AND($E1122="SELL",$K1122),AND($E1122="BUY",$J1122))</f>
        <v/>
      </c>
      <c r="M1122" s="16">
        <f>((INDEX(Market_Daily!$B$6:$B$256,MATCH($C1122,Market_Daily!$A$6:$A$256,0))*INDEX(Market_Daily!$F$6:$F$256,MATCH($C1122,Market_Daily!$A$6:$A$256,0))/kg_per_mt*(1+bcd_primary_al_hs7601*(1+sws_rate_on_bcd))+mcx_domestic_premium_inr_kg)*(1+INDEX(Market_Daily!$I$6:$I$256,MATCH($C1122,Market_Daily!$A$6:$A$256,0))*MAX(0,INDEX(mcx_expiries,MATCH($D1122,mcx_months,0))-$C1122)/day_count_inr))</f>
        <v/>
      </c>
      <c r="N1122" s="16">
        <f>IF(INDEX(Market_Daily!$S$6:$S$256,MATCH($C1122,Market_Daily!$A$6:$A$256,0))=$D1122,INDEX(Market_Daily!$M$6:$M$256,MATCH($C1122,Market_Daily!$A$6:$A$256,0)),IF(INDEX(Market_Daily!$T$6:$T$256,MATCH($C1122,Market_Daily!$A$6:$A$256,0))=$D1122,INDEX(Market_Daily!$N$6:$N$256,MATCH($C1122,Market_Daily!$A$6:$A$256,0)),NA()))</f>
        <v/>
      </c>
      <c r="O1122" s="16">
        <f>$N1122-$M1122</f>
        <v/>
      </c>
      <c r="P1122" s="16">
        <f>IF(($B1121=$B1122),$M1121,"")</f>
        <v/>
      </c>
      <c r="Q1122" s="16">
        <f>$M1122+IF($L1122,1,-1)*mcx_slippage_ticks*mcx_al_tick_inr_kg</f>
        <v/>
      </c>
      <c r="R1122" s="18">
        <f>IF(($B1121=$B1122),$H1122*$I1122*kg_per_mt*($M1122-$M1121),0)</f>
        <v/>
      </c>
      <c r="S1122" s="18">
        <f>IF(($B1121=$B1122),$S1121,0)+$R1122</f>
        <v/>
      </c>
      <c r="T1122" s="18">
        <f>ABS($H1122)*$I1122*kg_per_mt*$M1122</f>
        <v/>
      </c>
      <c r="U1122" s="18">
        <f>IF($K1122,0,$T1122*mcx_al_margin_used_frac)</f>
        <v/>
      </c>
      <c r="V1122" s="18">
        <f>IF(($B1121=$B1122),$U1121,0)</f>
        <v/>
      </c>
      <c r="W1122" s="18">
        <f>$U1122-$V1122</f>
        <v/>
      </c>
      <c r="X1122" s="18">
        <f>IF($K1122,0,$T1122*0.12)</f>
        <v/>
      </c>
      <c r="Y1122" s="18">
        <f>IF($K1122,0,$T1122*0.15)</f>
        <v/>
      </c>
      <c r="Z1122" s="18">
        <f>IF($F1122="hold",0,-ABS($H1122)*$I1122*kg_per_mt*mcx_slippage_ticks*mcx_al_tick_inr_kg)</f>
        <v/>
      </c>
      <c r="AA1122" s="18">
        <f>IF($F1122="hold",0,-ABS($H1122)*$I1122*kg_per_mt*$Q1122*mcx_txn_cost_frac)</f>
        <v/>
      </c>
      <c r="AB1122" s="18">
        <f>$Z1122+$AA1122</f>
        <v/>
      </c>
      <c r="AC1122" s="18">
        <f>$R1122-$W1122+$AB1122</f>
        <v/>
      </c>
      <c r="AD1122" s="18">
        <f>IF(($B1121=$B1122),$AD1121,0)+$AC1122</f>
        <v/>
      </c>
      <c r="AE1122" s="23" t="n">
        <v>1003907.81</v>
      </c>
      <c r="AF1122" s="23" t="n">
        <v>10005951.89</v>
      </c>
      <c r="AG1122" s="23" t="n">
        <v>0</v>
      </c>
      <c r="AH1122" s="23" t="n">
        <v>1104298.59</v>
      </c>
      <c r="AI1122" s="23" t="n">
        <v>-1234.96</v>
      </c>
      <c r="AJ1122" s="18">
        <f>$R1122-$AE1122</f>
        <v/>
      </c>
      <c r="AK1122" s="18">
        <f>$U1122-$AF1122</f>
        <v/>
      </c>
      <c r="AL1122" s="18">
        <f>$AC1122-$AH1122</f>
        <v/>
      </c>
      <c r="AM1122" s="8">
        <f>IF(AND(ABS($AJ1122)&lt;=tol_mcx_inr,ABS($AK1122)&lt;=tol_mcx_inr,ABS($AL1122)&lt;=tol_mcx_inr),"PASS","FAIL")</f>
        <v/>
      </c>
    </row>
    <row r="1123">
      <c r="A1123" s="7" t="inlineStr">
        <is>
          <t>T02</t>
        </is>
      </c>
      <c r="B1123" s="7" t="inlineStr">
        <is>
          <t>T02-MCX-1</t>
        </is>
      </c>
      <c r="C1123" s="11" t="n">
        <v>44638</v>
      </c>
      <c r="D1123" s="7" t="n">
        <v>202203</v>
      </c>
      <c r="E1123" s="7" t="inlineStr">
        <is>
          <t>SELL</t>
        </is>
      </c>
      <c r="F1123" s="7" t="inlineStr">
        <is>
          <t>hold</t>
        </is>
      </c>
      <c r="G1123" s="17" t="b">
        <v>1</v>
      </c>
      <c r="H1123" s="6" t="n">
        <v>-74</v>
      </c>
      <c r="I1123" s="13" t="n">
        <v>5</v>
      </c>
      <c r="J1123" s="8">
        <f>OR($F1123="entry",$F1123="roll_in")</f>
        <v/>
      </c>
      <c r="K1123" s="8">
        <f>OR($F1123="exit",$F1123="roll_out")</f>
        <v/>
      </c>
      <c r="L1123" s="8">
        <f>OR(AND($E1123="SELL",$K1123),AND($E1123="BUY",$J1123))</f>
        <v/>
      </c>
      <c r="M1123" s="16">
        <f>((INDEX(Market_Daily!$B$6:$B$256,MATCH($C1123,Market_Daily!$A$6:$A$256,0))*INDEX(Market_Daily!$F$6:$F$256,MATCH($C1123,Market_Daily!$A$6:$A$256,0))/kg_per_mt*(1+bcd_primary_al_hs7601*(1+sws_rate_on_bcd))+mcx_domestic_premium_inr_kg)*(1+INDEX(Market_Daily!$I$6:$I$256,MATCH($C1123,Market_Daily!$A$6:$A$256,0))*MAX(0,INDEX(mcx_expiries,MATCH($D1123,mcx_months,0))-$C1123)/day_count_inr))</f>
        <v/>
      </c>
      <c r="N1123" s="16">
        <f>IF(INDEX(Market_Daily!$S$6:$S$256,MATCH($C1123,Market_Daily!$A$6:$A$256,0))=$D1123,INDEX(Market_Daily!$M$6:$M$256,MATCH($C1123,Market_Daily!$A$6:$A$256,0)),IF(INDEX(Market_Daily!$T$6:$T$256,MATCH($C1123,Market_Daily!$A$6:$A$256,0))=$D1123,INDEX(Market_Daily!$N$6:$N$256,MATCH($C1123,Market_Daily!$A$6:$A$256,0)),NA()))</f>
        <v/>
      </c>
      <c r="O1123" s="16">
        <f>$N1123-$M1123</f>
        <v/>
      </c>
      <c r="P1123" s="16">
        <f>IF(($B1122=$B1123),$M1122,"")</f>
        <v/>
      </c>
      <c r="Q1123" s="16">
        <f>$M1123+IF($L1123,1,-1)*mcx_slippage_ticks*mcx_al_tick_inr_kg</f>
        <v/>
      </c>
      <c r="R1123" s="18">
        <f>IF(($B1122=$B1123),$H1123*$I1123*kg_per_mt*($M1123-$M1122),0)</f>
        <v/>
      </c>
      <c r="S1123" s="18">
        <f>IF(($B1122=$B1123),$S1122,0)+$R1123</f>
        <v/>
      </c>
      <c r="T1123" s="18">
        <f>ABS($H1123)*$I1123*kg_per_mt*$M1123</f>
        <v/>
      </c>
      <c r="U1123" s="18">
        <f>IF($K1123,0,$T1123*mcx_al_margin_used_frac)</f>
        <v/>
      </c>
      <c r="V1123" s="18">
        <f>IF(($B1122=$B1123),$U1122,0)</f>
        <v/>
      </c>
      <c r="W1123" s="18">
        <f>$U1123-$V1123</f>
        <v/>
      </c>
      <c r="X1123" s="18">
        <f>IF($K1123,0,$T1123*0.12)</f>
        <v/>
      </c>
      <c r="Y1123" s="18">
        <f>IF($K1123,0,$T1123*0.15)</f>
        <v/>
      </c>
      <c r="Z1123" s="18">
        <f>IF($F1123="hold",0,-ABS($H1123)*$I1123*kg_per_mt*mcx_slippage_ticks*mcx_al_tick_inr_kg)</f>
        <v/>
      </c>
      <c r="AA1123" s="18">
        <f>IF($F1123="hold",0,-ABS($H1123)*$I1123*kg_per_mt*$Q1123*mcx_txn_cost_frac)</f>
        <v/>
      </c>
      <c r="AB1123" s="18">
        <f>$Z1123+$AA1123</f>
        <v/>
      </c>
      <c r="AC1123" s="18">
        <f>$R1123-$W1123+$AB1123</f>
        <v/>
      </c>
      <c r="AD1123" s="18">
        <f>IF(($B1122=$B1123),$AD1122,0)+$AC1123</f>
        <v/>
      </c>
      <c r="AE1123" s="23" t="n">
        <v>-3131044.11</v>
      </c>
      <c r="AF1123" s="23" t="n">
        <v>10319056.3</v>
      </c>
      <c r="AG1123" s="23" t="n">
        <v>0</v>
      </c>
      <c r="AH1123" s="23" t="n">
        <v>-3444148.52</v>
      </c>
      <c r="AI1123" s="23" t="n">
        <v>-947.54</v>
      </c>
      <c r="AJ1123" s="18">
        <f>$R1123-$AE1123</f>
        <v/>
      </c>
      <c r="AK1123" s="18">
        <f>$U1123-$AF1123</f>
        <v/>
      </c>
      <c r="AL1123" s="18">
        <f>$AC1123-$AH1123</f>
        <v/>
      </c>
      <c r="AM1123" s="8">
        <f>IF(AND(ABS($AJ1123)&lt;=tol_mcx_inr,ABS($AK1123)&lt;=tol_mcx_inr,ABS($AL1123)&lt;=tol_mcx_inr),"PASS","FAIL")</f>
        <v/>
      </c>
    </row>
    <row r="1124">
      <c r="A1124" s="7" t="inlineStr">
        <is>
          <t>T02</t>
        </is>
      </c>
      <c r="B1124" s="7" t="inlineStr">
        <is>
          <t>T02-MCX-1</t>
        </is>
      </c>
      <c r="C1124" s="11" t="n">
        <v>44641</v>
      </c>
      <c r="D1124" s="7" t="n">
        <v>202203</v>
      </c>
      <c r="E1124" s="7" t="inlineStr">
        <is>
          <t>SELL</t>
        </is>
      </c>
      <c r="F1124" s="7" t="inlineStr">
        <is>
          <t>hold</t>
        </is>
      </c>
      <c r="G1124" s="17" t="b">
        <v>1</v>
      </c>
      <c r="H1124" s="6" t="n">
        <v>-74</v>
      </c>
      <c r="I1124" s="13" t="n">
        <v>5</v>
      </c>
      <c r="J1124" s="8">
        <f>OR($F1124="entry",$F1124="roll_in")</f>
        <v/>
      </c>
      <c r="K1124" s="8">
        <f>OR($F1124="exit",$F1124="roll_out")</f>
        <v/>
      </c>
      <c r="L1124" s="8">
        <f>OR(AND($E1124="SELL",$K1124),AND($E1124="BUY",$J1124))</f>
        <v/>
      </c>
      <c r="M1124" s="16">
        <f>((INDEX(Market_Daily!$B$6:$B$256,MATCH($C1124,Market_Daily!$A$6:$A$256,0))*INDEX(Market_Daily!$F$6:$F$256,MATCH($C1124,Market_Daily!$A$6:$A$256,0))/kg_per_mt*(1+bcd_primary_al_hs7601*(1+sws_rate_on_bcd))+mcx_domestic_premium_inr_kg)*(1+INDEX(Market_Daily!$I$6:$I$256,MATCH($C1124,Market_Daily!$A$6:$A$256,0))*MAX(0,INDEX(mcx_expiries,MATCH($D1124,mcx_months,0))-$C1124)/day_count_inr))</f>
        <v/>
      </c>
      <c r="N1124" s="16">
        <f>IF(INDEX(Market_Daily!$S$6:$S$256,MATCH($C1124,Market_Daily!$A$6:$A$256,0))=$D1124,INDEX(Market_Daily!$M$6:$M$256,MATCH($C1124,Market_Daily!$A$6:$A$256,0)),IF(INDEX(Market_Daily!$T$6:$T$256,MATCH($C1124,Market_Daily!$A$6:$A$256,0))=$D1124,INDEX(Market_Daily!$N$6:$N$256,MATCH($C1124,Market_Daily!$A$6:$A$256,0)),NA()))</f>
        <v/>
      </c>
      <c r="O1124" s="16">
        <f>$N1124-$M1124</f>
        <v/>
      </c>
      <c r="P1124" s="16">
        <f>IF(($B1123=$B1124),$M1123,"")</f>
        <v/>
      </c>
      <c r="Q1124" s="16">
        <f>$M1124+IF($L1124,1,-1)*mcx_slippage_ticks*mcx_al_tick_inr_kg</f>
        <v/>
      </c>
      <c r="R1124" s="18">
        <f>IF(($B1123=$B1124),$H1124*$I1124*kg_per_mt*($M1124-$M1123),0)</f>
        <v/>
      </c>
      <c r="S1124" s="18">
        <f>IF(($B1123=$B1124),$S1123,0)+$R1124</f>
        <v/>
      </c>
      <c r="T1124" s="18">
        <f>ABS($H1124)*$I1124*kg_per_mt*$M1124</f>
        <v/>
      </c>
      <c r="U1124" s="18">
        <f>IF($K1124,0,$T1124*mcx_al_margin_used_frac)</f>
        <v/>
      </c>
      <c r="V1124" s="18">
        <f>IF(($B1123=$B1124),$U1123,0)</f>
        <v/>
      </c>
      <c r="W1124" s="18">
        <f>$U1124-$V1124</f>
        <v/>
      </c>
      <c r="X1124" s="18">
        <f>IF($K1124,0,$T1124*0.12)</f>
        <v/>
      </c>
      <c r="Y1124" s="18">
        <f>IF($K1124,0,$T1124*0.15)</f>
        <v/>
      </c>
      <c r="Z1124" s="18">
        <f>IF($F1124="hold",0,-ABS($H1124)*$I1124*kg_per_mt*mcx_slippage_ticks*mcx_al_tick_inr_kg)</f>
        <v/>
      </c>
      <c r="AA1124" s="18">
        <f>IF($F1124="hold",0,-ABS($H1124)*$I1124*kg_per_mt*$Q1124*mcx_txn_cost_frac)</f>
        <v/>
      </c>
      <c r="AB1124" s="18">
        <f>$Z1124+$AA1124</f>
        <v/>
      </c>
      <c r="AC1124" s="18">
        <f>$R1124-$W1124+$AB1124</f>
        <v/>
      </c>
      <c r="AD1124" s="18">
        <f>IF(($B1123=$B1124),$AD1123,0)+$AC1124</f>
        <v/>
      </c>
      <c r="AE1124" s="23" t="n">
        <v>-4384506.07</v>
      </c>
      <c r="AF1124" s="23" t="n">
        <v>10757506.91</v>
      </c>
      <c r="AG1124" s="23" t="n">
        <v>0</v>
      </c>
      <c r="AH1124" s="23" t="n">
        <v>-4822956.67</v>
      </c>
      <c r="AI1124" s="23" t="n">
        <v>-5531.88</v>
      </c>
      <c r="AJ1124" s="18">
        <f>$R1124-$AE1124</f>
        <v/>
      </c>
      <c r="AK1124" s="18">
        <f>$U1124-$AF1124</f>
        <v/>
      </c>
      <c r="AL1124" s="18">
        <f>$AC1124-$AH1124</f>
        <v/>
      </c>
      <c r="AM1124" s="8">
        <f>IF(AND(ABS($AJ1124)&lt;=tol_mcx_inr,ABS($AK1124)&lt;=tol_mcx_inr,ABS($AL1124)&lt;=tol_mcx_inr),"PASS","FAIL")</f>
        <v/>
      </c>
    </row>
    <row r="1125">
      <c r="A1125" s="7" t="inlineStr">
        <is>
          <t>T02</t>
        </is>
      </c>
      <c r="B1125" s="7" t="inlineStr">
        <is>
          <t>T02-MCX-1</t>
        </is>
      </c>
      <c r="C1125" s="11" t="n">
        <v>44642</v>
      </c>
      <c r="D1125" s="7" t="n">
        <v>202203</v>
      </c>
      <c r="E1125" s="7" t="inlineStr">
        <is>
          <t>SELL</t>
        </is>
      </c>
      <c r="F1125" s="7" t="inlineStr">
        <is>
          <t>roll_out</t>
        </is>
      </c>
      <c r="G1125" s="17" t="b">
        <v>1</v>
      </c>
      <c r="H1125" s="6" t="n">
        <v>-74</v>
      </c>
      <c r="I1125" s="13" t="n">
        <v>5</v>
      </c>
      <c r="J1125" s="8">
        <f>OR($F1125="entry",$F1125="roll_in")</f>
        <v/>
      </c>
      <c r="K1125" s="8">
        <f>OR($F1125="exit",$F1125="roll_out")</f>
        <v/>
      </c>
      <c r="L1125" s="8">
        <f>OR(AND($E1125="SELL",$K1125),AND($E1125="BUY",$J1125))</f>
        <v/>
      </c>
      <c r="M1125" s="16">
        <f>((INDEX(Market_Daily!$B$6:$B$256,MATCH($C1125,Market_Daily!$A$6:$A$256,0))*INDEX(Market_Daily!$F$6:$F$256,MATCH($C1125,Market_Daily!$A$6:$A$256,0))/kg_per_mt*(1+bcd_primary_al_hs7601*(1+sws_rate_on_bcd))+mcx_domestic_premium_inr_kg)*(1+INDEX(Market_Daily!$I$6:$I$256,MATCH($C1125,Market_Daily!$A$6:$A$256,0))*MAX(0,INDEX(mcx_expiries,MATCH($D1125,mcx_months,0))-$C1125)/day_count_inr))</f>
        <v/>
      </c>
      <c r="N1125" s="16">
        <f>IF(INDEX(Market_Daily!$S$6:$S$256,MATCH($C1125,Market_Daily!$A$6:$A$256,0))=$D1125,INDEX(Market_Daily!$M$6:$M$256,MATCH($C1125,Market_Daily!$A$6:$A$256,0)),IF(INDEX(Market_Daily!$T$6:$T$256,MATCH($C1125,Market_Daily!$A$6:$A$256,0))=$D1125,INDEX(Market_Daily!$N$6:$N$256,MATCH($C1125,Market_Daily!$A$6:$A$256,0)),NA()))</f>
        <v/>
      </c>
      <c r="O1125" s="16">
        <f>$N1125-$M1125</f>
        <v/>
      </c>
      <c r="P1125" s="16">
        <f>IF(($B1124=$B1125),$M1124,"")</f>
        <v/>
      </c>
      <c r="Q1125" s="16">
        <f>$M1125+IF($L1125,1,-1)*mcx_slippage_ticks*mcx_al_tick_inr_kg</f>
        <v/>
      </c>
      <c r="R1125" s="18">
        <f>IF(($B1124=$B1125),$H1125*$I1125*kg_per_mt*($M1125-$M1124),0)</f>
        <v/>
      </c>
      <c r="S1125" s="18">
        <f>IF(($B1124=$B1125),$S1124,0)+$R1125</f>
        <v/>
      </c>
      <c r="T1125" s="18">
        <f>ABS($H1125)*$I1125*kg_per_mt*$M1125</f>
        <v/>
      </c>
      <c r="U1125" s="18">
        <f>IF($K1125,0,$T1125*mcx_al_margin_used_frac)</f>
        <v/>
      </c>
      <c r="V1125" s="18">
        <f>IF(($B1124=$B1125),$U1124,0)</f>
        <v/>
      </c>
      <c r="W1125" s="18">
        <f>$U1125-$V1125</f>
        <v/>
      </c>
      <c r="X1125" s="18">
        <f>IF($K1125,0,$T1125*0.12)</f>
        <v/>
      </c>
      <c r="Y1125" s="18">
        <f>IF($K1125,0,$T1125*0.15)</f>
        <v/>
      </c>
      <c r="Z1125" s="18">
        <f>IF($F1125="hold",0,-ABS($H1125)*$I1125*kg_per_mt*mcx_slippage_ticks*mcx_al_tick_inr_kg)</f>
        <v/>
      </c>
      <c r="AA1125" s="18">
        <f>IF($F1125="hold",0,-ABS($H1125)*$I1125*kg_per_mt*$Q1125*mcx_txn_cost_frac)</f>
        <v/>
      </c>
      <c r="AB1125" s="18">
        <f>$Z1125+$AA1125</f>
        <v/>
      </c>
      <c r="AC1125" s="18">
        <f>$R1125-$W1125+$AB1125</f>
        <v/>
      </c>
      <c r="AD1125" s="18">
        <f>IF(($B1124=$B1125),$AD1124,0)+$AC1125</f>
        <v/>
      </c>
      <c r="AE1125" s="23" t="n">
        <v>-773046.12</v>
      </c>
      <c r="AF1125" s="23" t="n">
        <v>0</v>
      </c>
      <c r="AG1125" s="23" t="n">
        <v>-69515.53</v>
      </c>
      <c r="AH1125" s="23" t="n">
        <v>9914945.26</v>
      </c>
      <c r="AI1125" s="23" t="n">
        <v>-3099.25</v>
      </c>
      <c r="AJ1125" s="18">
        <f>$R1125-$AE1125</f>
        <v/>
      </c>
      <c r="AK1125" s="18">
        <f>$U1125-$AF1125</f>
        <v/>
      </c>
      <c r="AL1125" s="18">
        <f>$AC1125-$AH1125</f>
        <v/>
      </c>
      <c r="AM1125" s="8">
        <f>IF(AND(ABS($AJ1125)&lt;=tol_mcx_inr,ABS($AK1125)&lt;=tol_mcx_inr,ABS($AL1125)&lt;=tol_mcx_inr),"PASS","FAIL")</f>
        <v/>
      </c>
    </row>
    <row r="1126">
      <c r="A1126" s="7" t="inlineStr">
        <is>
          <t>T02</t>
        </is>
      </c>
      <c r="B1126" s="7" t="inlineStr">
        <is>
          <t>T02-MCX-2</t>
        </is>
      </c>
      <c r="C1126" s="11" t="n">
        <v>44642</v>
      </c>
      <c r="D1126" s="7" t="n">
        <v>202204</v>
      </c>
      <c r="E1126" s="7" t="inlineStr">
        <is>
          <t>SELL</t>
        </is>
      </c>
      <c r="F1126" s="7" t="inlineStr">
        <is>
          <t>roll_in</t>
        </is>
      </c>
      <c r="G1126" s="17" t="b">
        <v>1</v>
      </c>
      <c r="H1126" s="6" t="n">
        <v>-74</v>
      </c>
      <c r="I1126" s="13" t="n">
        <v>5</v>
      </c>
      <c r="J1126" s="8">
        <f>OR($F1126="entry",$F1126="roll_in")</f>
        <v/>
      </c>
      <c r="K1126" s="8">
        <f>OR($F1126="exit",$F1126="roll_out")</f>
        <v/>
      </c>
      <c r="L1126" s="8">
        <f>OR(AND($E1126="SELL",$K1126),AND($E1126="BUY",$J1126))</f>
        <v/>
      </c>
      <c r="M1126" s="16">
        <f>((INDEX(Market_Daily!$B$6:$B$256,MATCH($C1126,Market_Daily!$A$6:$A$256,0))*INDEX(Market_Daily!$F$6:$F$256,MATCH($C1126,Market_Daily!$A$6:$A$256,0))/kg_per_mt*(1+bcd_primary_al_hs7601*(1+sws_rate_on_bcd))+mcx_domestic_premium_inr_kg)*(1+INDEX(Market_Daily!$I$6:$I$256,MATCH($C1126,Market_Daily!$A$6:$A$256,0))*MAX(0,INDEX(mcx_expiries,MATCH($D1126,mcx_months,0))-$C1126)/day_count_inr))</f>
        <v/>
      </c>
      <c r="N1126" s="16">
        <f>IF(INDEX(Market_Daily!$S$6:$S$256,MATCH($C1126,Market_Daily!$A$6:$A$256,0))=$D1126,INDEX(Market_Daily!$M$6:$M$256,MATCH($C1126,Market_Daily!$A$6:$A$256,0)),IF(INDEX(Market_Daily!$T$6:$T$256,MATCH($C1126,Market_Daily!$A$6:$A$256,0))=$D1126,INDEX(Market_Daily!$N$6:$N$256,MATCH($C1126,Market_Daily!$A$6:$A$256,0)),NA()))</f>
        <v/>
      </c>
      <c r="O1126" s="16">
        <f>$N1126-$M1126</f>
        <v/>
      </c>
      <c r="P1126" s="16">
        <f>IF(($B1125=$B1126),$M1125,"")</f>
        <v/>
      </c>
      <c r="Q1126" s="16">
        <f>$M1126+IF($L1126,1,-1)*mcx_slippage_ticks*mcx_al_tick_inr_kg</f>
        <v/>
      </c>
      <c r="R1126" s="18">
        <f>IF(($B1125=$B1126),$H1126*$I1126*kg_per_mt*($M1126-$M1125),0)</f>
        <v/>
      </c>
      <c r="S1126" s="18">
        <f>IF(($B1125=$B1126),$S1125,0)+$R1126</f>
        <v/>
      </c>
      <c r="T1126" s="18">
        <f>ABS($H1126)*$I1126*kg_per_mt*$M1126</f>
        <v/>
      </c>
      <c r="U1126" s="18">
        <f>IF($K1126,0,$T1126*mcx_al_margin_used_frac)</f>
        <v/>
      </c>
      <c r="V1126" s="18">
        <f>IF(($B1125=$B1126),$U1125,0)</f>
        <v/>
      </c>
      <c r="W1126" s="18">
        <f>$U1126-$V1126</f>
        <v/>
      </c>
      <c r="X1126" s="18">
        <f>IF($K1126,0,$T1126*0.12)</f>
        <v/>
      </c>
      <c r="Y1126" s="18">
        <f>IF($K1126,0,$T1126*0.15)</f>
        <v/>
      </c>
      <c r="Z1126" s="18">
        <f>IF($F1126="hold",0,-ABS($H1126)*$I1126*kg_per_mt*mcx_slippage_ticks*mcx_al_tick_inr_kg)</f>
        <v/>
      </c>
      <c r="AA1126" s="18">
        <f>IF($F1126="hold",0,-ABS($H1126)*$I1126*kg_per_mt*$Q1126*mcx_txn_cost_frac)</f>
        <v/>
      </c>
      <c r="AB1126" s="18">
        <f>$Z1126+$AA1126</f>
        <v/>
      </c>
      <c r="AC1126" s="18">
        <f>$R1126-$W1126+$AB1126</f>
        <v/>
      </c>
      <c r="AD1126" s="18">
        <f>IF(($B1125=$B1126),$AD1125,0)+$AC1126</f>
        <v/>
      </c>
      <c r="AE1126" s="23" t="n">
        <v>0</v>
      </c>
      <c r="AF1126" s="23" t="n">
        <v>10867319.56</v>
      </c>
      <c r="AG1126" s="23" t="n">
        <v>-69590.86</v>
      </c>
      <c r="AH1126" s="23" t="n">
        <v>-10936910.42</v>
      </c>
      <c r="AI1126" s="23" t="n">
        <v>0</v>
      </c>
      <c r="AJ1126" s="18">
        <f>$R1126-$AE1126</f>
        <v/>
      </c>
      <c r="AK1126" s="18">
        <f>$U1126-$AF1126</f>
        <v/>
      </c>
      <c r="AL1126" s="18">
        <f>$AC1126-$AH1126</f>
        <v/>
      </c>
      <c r="AM1126" s="8">
        <f>IF(AND(ABS($AJ1126)&lt;=tol_mcx_inr,ABS($AK1126)&lt;=tol_mcx_inr,ABS($AL1126)&lt;=tol_mcx_inr),"PASS","FAIL")</f>
        <v/>
      </c>
    </row>
    <row r="1127">
      <c r="A1127" s="7" t="inlineStr">
        <is>
          <t>T02</t>
        </is>
      </c>
      <c r="B1127" s="7" t="inlineStr">
        <is>
          <t>T02-MCX-2</t>
        </is>
      </c>
      <c r="C1127" s="11" t="n">
        <v>44643</v>
      </c>
      <c r="D1127" s="7" t="n">
        <v>202204</v>
      </c>
      <c r="E1127" s="7" t="inlineStr">
        <is>
          <t>SELL</t>
        </is>
      </c>
      <c r="F1127" s="7" t="inlineStr">
        <is>
          <t>hold</t>
        </is>
      </c>
      <c r="G1127" s="17" t="b">
        <v>1</v>
      </c>
      <c r="H1127" s="6" t="n">
        <v>-74</v>
      </c>
      <c r="I1127" s="13" t="n">
        <v>5</v>
      </c>
      <c r="J1127" s="8">
        <f>OR($F1127="entry",$F1127="roll_in")</f>
        <v/>
      </c>
      <c r="K1127" s="8">
        <f>OR($F1127="exit",$F1127="roll_out")</f>
        <v/>
      </c>
      <c r="L1127" s="8">
        <f>OR(AND($E1127="SELL",$K1127),AND($E1127="BUY",$J1127))</f>
        <v/>
      </c>
      <c r="M1127" s="16">
        <f>((INDEX(Market_Daily!$B$6:$B$256,MATCH($C1127,Market_Daily!$A$6:$A$256,0))*INDEX(Market_Daily!$F$6:$F$256,MATCH($C1127,Market_Daily!$A$6:$A$256,0))/kg_per_mt*(1+bcd_primary_al_hs7601*(1+sws_rate_on_bcd))+mcx_domestic_premium_inr_kg)*(1+INDEX(Market_Daily!$I$6:$I$256,MATCH($C1127,Market_Daily!$A$6:$A$256,0))*MAX(0,INDEX(mcx_expiries,MATCH($D1127,mcx_months,0))-$C1127)/day_count_inr))</f>
        <v/>
      </c>
      <c r="N1127" s="16">
        <f>IF(INDEX(Market_Daily!$S$6:$S$256,MATCH($C1127,Market_Daily!$A$6:$A$256,0))=$D1127,INDEX(Market_Daily!$M$6:$M$256,MATCH($C1127,Market_Daily!$A$6:$A$256,0)),IF(INDEX(Market_Daily!$T$6:$T$256,MATCH($C1127,Market_Daily!$A$6:$A$256,0))=$D1127,INDEX(Market_Daily!$N$6:$N$256,MATCH($C1127,Market_Daily!$A$6:$A$256,0)),NA()))</f>
        <v/>
      </c>
      <c r="O1127" s="16">
        <f>$N1127-$M1127</f>
        <v/>
      </c>
      <c r="P1127" s="16">
        <f>IF(($B1126=$B1127),$M1126,"")</f>
        <v/>
      </c>
      <c r="Q1127" s="16">
        <f>$M1127+IF($L1127,1,-1)*mcx_slippage_ticks*mcx_al_tick_inr_kg</f>
        <v/>
      </c>
      <c r="R1127" s="18">
        <f>IF(($B1126=$B1127),$H1127*$I1127*kg_per_mt*($M1127-$M1126),0)</f>
        <v/>
      </c>
      <c r="S1127" s="18">
        <f>IF(($B1126=$B1127),$S1126,0)+$R1127</f>
        <v/>
      </c>
      <c r="T1127" s="18">
        <f>ABS($H1127)*$I1127*kg_per_mt*$M1127</f>
        <v/>
      </c>
      <c r="U1127" s="18">
        <f>IF($K1127,0,$T1127*mcx_al_margin_used_frac)</f>
        <v/>
      </c>
      <c r="V1127" s="18">
        <f>IF(($B1126=$B1127),$U1126,0)</f>
        <v/>
      </c>
      <c r="W1127" s="18">
        <f>$U1127-$V1127</f>
        <v/>
      </c>
      <c r="X1127" s="18">
        <f>IF($K1127,0,$T1127*0.12)</f>
        <v/>
      </c>
      <c r="Y1127" s="18">
        <f>IF($K1127,0,$T1127*0.15)</f>
        <v/>
      </c>
      <c r="Z1127" s="18">
        <f>IF($F1127="hold",0,-ABS($H1127)*$I1127*kg_per_mt*mcx_slippage_ticks*mcx_al_tick_inr_kg)</f>
        <v/>
      </c>
      <c r="AA1127" s="18">
        <f>IF($F1127="hold",0,-ABS($H1127)*$I1127*kg_per_mt*$Q1127*mcx_txn_cost_frac)</f>
        <v/>
      </c>
      <c r="AB1127" s="18">
        <f>$Z1127+$AA1127</f>
        <v/>
      </c>
      <c r="AC1127" s="18">
        <f>$R1127-$W1127+$AB1127</f>
        <v/>
      </c>
      <c r="AD1127" s="18">
        <f>IF(($B1126=$B1127),$AD1126,0)+$AC1127</f>
        <v/>
      </c>
      <c r="AE1127" s="23" t="n">
        <v>-735414.33</v>
      </c>
      <c r="AF1127" s="23" t="n">
        <v>10940860.99</v>
      </c>
      <c r="AG1127" s="23" t="n">
        <v>0</v>
      </c>
      <c r="AH1127" s="23" t="n">
        <v>-808955.76</v>
      </c>
      <c r="AI1127" s="23" t="n">
        <v>-2846.59</v>
      </c>
      <c r="AJ1127" s="18">
        <f>$R1127-$AE1127</f>
        <v/>
      </c>
      <c r="AK1127" s="18">
        <f>$U1127-$AF1127</f>
        <v/>
      </c>
      <c r="AL1127" s="18">
        <f>$AC1127-$AH1127</f>
        <v/>
      </c>
      <c r="AM1127" s="8">
        <f>IF(AND(ABS($AJ1127)&lt;=tol_mcx_inr,ABS($AK1127)&lt;=tol_mcx_inr,ABS($AL1127)&lt;=tol_mcx_inr),"PASS","FAIL")</f>
        <v/>
      </c>
    </row>
    <row r="1128">
      <c r="A1128" s="7" t="inlineStr">
        <is>
          <t>T02</t>
        </is>
      </c>
      <c r="B1128" s="7" t="inlineStr">
        <is>
          <t>T02-MCX-2</t>
        </is>
      </c>
      <c r="C1128" s="11" t="n">
        <v>44644</v>
      </c>
      <c r="D1128" s="7" t="n">
        <v>202204</v>
      </c>
      <c r="E1128" s="7" t="inlineStr">
        <is>
          <t>SELL</t>
        </is>
      </c>
      <c r="F1128" s="7" t="inlineStr">
        <is>
          <t>hold</t>
        </is>
      </c>
      <c r="G1128" s="17" t="b">
        <v>1</v>
      </c>
      <c r="H1128" s="6" t="n">
        <v>-74</v>
      </c>
      <c r="I1128" s="13" t="n">
        <v>5</v>
      </c>
      <c r="J1128" s="8">
        <f>OR($F1128="entry",$F1128="roll_in")</f>
        <v/>
      </c>
      <c r="K1128" s="8">
        <f>OR($F1128="exit",$F1128="roll_out")</f>
        <v/>
      </c>
      <c r="L1128" s="8">
        <f>OR(AND($E1128="SELL",$K1128),AND($E1128="BUY",$J1128))</f>
        <v/>
      </c>
      <c r="M1128" s="16">
        <f>((INDEX(Market_Daily!$B$6:$B$256,MATCH($C1128,Market_Daily!$A$6:$A$256,0))*INDEX(Market_Daily!$F$6:$F$256,MATCH($C1128,Market_Daily!$A$6:$A$256,0))/kg_per_mt*(1+bcd_primary_al_hs7601*(1+sws_rate_on_bcd))+mcx_domestic_premium_inr_kg)*(1+INDEX(Market_Daily!$I$6:$I$256,MATCH($C1128,Market_Daily!$A$6:$A$256,0))*MAX(0,INDEX(mcx_expiries,MATCH($D1128,mcx_months,0))-$C1128)/day_count_inr))</f>
        <v/>
      </c>
      <c r="N1128" s="16">
        <f>IF(INDEX(Market_Daily!$S$6:$S$256,MATCH($C1128,Market_Daily!$A$6:$A$256,0))=$D1128,INDEX(Market_Daily!$M$6:$M$256,MATCH($C1128,Market_Daily!$A$6:$A$256,0)),IF(INDEX(Market_Daily!$T$6:$T$256,MATCH($C1128,Market_Daily!$A$6:$A$256,0))=$D1128,INDEX(Market_Daily!$N$6:$N$256,MATCH($C1128,Market_Daily!$A$6:$A$256,0)),NA()))</f>
        <v/>
      </c>
      <c r="O1128" s="16">
        <f>$N1128-$M1128</f>
        <v/>
      </c>
      <c r="P1128" s="16">
        <f>IF(($B1127=$B1128),$M1127,"")</f>
        <v/>
      </c>
      <c r="Q1128" s="16">
        <f>$M1128+IF($L1128,1,-1)*mcx_slippage_ticks*mcx_al_tick_inr_kg</f>
        <v/>
      </c>
      <c r="R1128" s="18">
        <f>IF(($B1127=$B1128),$H1128*$I1128*kg_per_mt*($M1128-$M1127),0)</f>
        <v/>
      </c>
      <c r="S1128" s="18">
        <f>IF(($B1127=$B1128),$S1127,0)+$R1128</f>
        <v/>
      </c>
      <c r="T1128" s="18">
        <f>ABS($H1128)*$I1128*kg_per_mt*$M1128</f>
        <v/>
      </c>
      <c r="U1128" s="18">
        <f>IF($K1128,0,$T1128*mcx_al_margin_used_frac)</f>
        <v/>
      </c>
      <c r="V1128" s="18">
        <f>IF(($B1127=$B1128),$U1127,0)</f>
        <v/>
      </c>
      <c r="W1128" s="18">
        <f>$U1128-$V1128</f>
        <v/>
      </c>
      <c r="X1128" s="18">
        <f>IF($K1128,0,$T1128*0.12)</f>
        <v/>
      </c>
      <c r="Y1128" s="18">
        <f>IF($K1128,0,$T1128*0.15)</f>
        <v/>
      </c>
      <c r="Z1128" s="18">
        <f>IF($F1128="hold",0,-ABS($H1128)*$I1128*kg_per_mt*mcx_slippage_ticks*mcx_al_tick_inr_kg)</f>
        <v/>
      </c>
      <c r="AA1128" s="18">
        <f>IF($F1128="hold",0,-ABS($H1128)*$I1128*kg_per_mt*$Q1128*mcx_txn_cost_frac)</f>
        <v/>
      </c>
      <c r="AB1128" s="18">
        <f>$Z1128+$AA1128</f>
        <v/>
      </c>
      <c r="AC1128" s="18">
        <f>$R1128-$W1128+$AB1128</f>
        <v/>
      </c>
      <c r="AD1128" s="18">
        <f>IF(($B1127=$B1128),$AD1127,0)+$AC1128</f>
        <v/>
      </c>
      <c r="AE1128" s="23" t="n">
        <v>-3137601.64</v>
      </c>
      <c r="AF1128" s="23" t="n">
        <v>11254621.16</v>
      </c>
      <c r="AG1128" s="23" t="n">
        <v>0</v>
      </c>
      <c r="AH1128" s="23" t="n">
        <v>-3451361.81</v>
      </c>
      <c r="AI1128" s="23" t="n">
        <v>-3057.14</v>
      </c>
      <c r="AJ1128" s="18">
        <f>$R1128-$AE1128</f>
        <v/>
      </c>
      <c r="AK1128" s="18">
        <f>$U1128-$AF1128</f>
        <v/>
      </c>
      <c r="AL1128" s="18">
        <f>$AC1128-$AH1128</f>
        <v/>
      </c>
      <c r="AM1128" s="8">
        <f>IF(AND(ABS($AJ1128)&lt;=tol_mcx_inr,ABS($AK1128)&lt;=tol_mcx_inr,ABS($AL1128)&lt;=tol_mcx_inr),"PASS","FAIL")</f>
        <v/>
      </c>
    </row>
    <row r="1129">
      <c r="A1129" s="7" t="inlineStr">
        <is>
          <t>T02</t>
        </is>
      </c>
      <c r="B1129" s="7" t="inlineStr">
        <is>
          <t>T02-MCX-2</t>
        </is>
      </c>
      <c r="C1129" s="11" t="n">
        <v>44645</v>
      </c>
      <c r="D1129" s="7" t="n">
        <v>202204</v>
      </c>
      <c r="E1129" s="7" t="inlineStr">
        <is>
          <t>SELL</t>
        </is>
      </c>
      <c r="F1129" s="7" t="inlineStr">
        <is>
          <t>hold</t>
        </is>
      </c>
      <c r="G1129" s="17" t="b">
        <v>1</v>
      </c>
      <c r="H1129" s="6" t="n">
        <v>-74</v>
      </c>
      <c r="I1129" s="13" t="n">
        <v>5</v>
      </c>
      <c r="J1129" s="8">
        <f>OR($F1129="entry",$F1129="roll_in")</f>
        <v/>
      </c>
      <c r="K1129" s="8">
        <f>OR($F1129="exit",$F1129="roll_out")</f>
        <v/>
      </c>
      <c r="L1129" s="8">
        <f>OR(AND($E1129="SELL",$K1129),AND($E1129="BUY",$J1129))</f>
        <v/>
      </c>
      <c r="M1129" s="16">
        <f>((INDEX(Market_Daily!$B$6:$B$256,MATCH($C1129,Market_Daily!$A$6:$A$256,0))*INDEX(Market_Daily!$F$6:$F$256,MATCH($C1129,Market_Daily!$A$6:$A$256,0))/kg_per_mt*(1+bcd_primary_al_hs7601*(1+sws_rate_on_bcd))+mcx_domestic_premium_inr_kg)*(1+INDEX(Market_Daily!$I$6:$I$256,MATCH($C1129,Market_Daily!$A$6:$A$256,0))*MAX(0,INDEX(mcx_expiries,MATCH($D1129,mcx_months,0))-$C1129)/day_count_inr))</f>
        <v/>
      </c>
      <c r="N1129" s="16">
        <f>IF(INDEX(Market_Daily!$S$6:$S$256,MATCH($C1129,Market_Daily!$A$6:$A$256,0))=$D1129,INDEX(Market_Daily!$M$6:$M$256,MATCH($C1129,Market_Daily!$A$6:$A$256,0)),IF(INDEX(Market_Daily!$T$6:$T$256,MATCH($C1129,Market_Daily!$A$6:$A$256,0))=$D1129,INDEX(Market_Daily!$N$6:$N$256,MATCH($C1129,Market_Daily!$A$6:$A$256,0)),NA()))</f>
        <v/>
      </c>
      <c r="O1129" s="16">
        <f>$N1129-$M1129</f>
        <v/>
      </c>
      <c r="P1129" s="16">
        <f>IF(($B1128=$B1129),$M1128,"")</f>
        <v/>
      </c>
      <c r="Q1129" s="16">
        <f>$M1129+IF($L1129,1,-1)*mcx_slippage_ticks*mcx_al_tick_inr_kg</f>
        <v/>
      </c>
      <c r="R1129" s="18">
        <f>IF(($B1128=$B1129),$H1129*$I1129*kg_per_mt*($M1129-$M1128),0)</f>
        <v/>
      </c>
      <c r="S1129" s="18">
        <f>IF(($B1128=$B1129),$S1128,0)+$R1129</f>
        <v/>
      </c>
      <c r="T1129" s="18">
        <f>ABS($H1129)*$I1129*kg_per_mt*$M1129</f>
        <v/>
      </c>
      <c r="U1129" s="18">
        <f>IF($K1129,0,$T1129*mcx_al_margin_used_frac)</f>
        <v/>
      </c>
      <c r="V1129" s="18">
        <f>IF(($B1128=$B1129),$U1128,0)</f>
        <v/>
      </c>
      <c r="W1129" s="18">
        <f>$U1129-$V1129</f>
        <v/>
      </c>
      <c r="X1129" s="18">
        <f>IF($K1129,0,$T1129*0.12)</f>
        <v/>
      </c>
      <c r="Y1129" s="18">
        <f>IF($K1129,0,$T1129*0.15)</f>
        <v/>
      </c>
      <c r="Z1129" s="18">
        <f>IF($F1129="hold",0,-ABS($H1129)*$I1129*kg_per_mt*mcx_slippage_ticks*mcx_al_tick_inr_kg)</f>
        <v/>
      </c>
      <c r="AA1129" s="18">
        <f>IF($F1129="hold",0,-ABS($H1129)*$I1129*kg_per_mt*$Q1129*mcx_txn_cost_frac)</f>
        <v/>
      </c>
      <c r="AB1129" s="18">
        <f>$Z1129+$AA1129</f>
        <v/>
      </c>
      <c r="AC1129" s="18">
        <f>$R1129-$W1129+$AB1129</f>
        <v/>
      </c>
      <c r="AD1129" s="18">
        <f>IF(($B1128=$B1129),$AD1128,0)+$AC1129</f>
        <v/>
      </c>
      <c r="AE1129" s="23" t="n">
        <v>2812097.82</v>
      </c>
      <c r="AF1129" s="23" t="n">
        <v>10973411.37</v>
      </c>
      <c r="AG1129" s="23" t="n">
        <v>0</v>
      </c>
      <c r="AH1129" s="23" t="n">
        <v>3093307.6</v>
      </c>
      <c r="AI1129" s="23" t="n">
        <v>-3955.44</v>
      </c>
      <c r="AJ1129" s="18">
        <f>$R1129-$AE1129</f>
        <v/>
      </c>
      <c r="AK1129" s="18">
        <f>$U1129-$AF1129</f>
        <v/>
      </c>
      <c r="AL1129" s="18">
        <f>$AC1129-$AH1129</f>
        <v/>
      </c>
      <c r="AM1129" s="8">
        <f>IF(AND(ABS($AJ1129)&lt;=tol_mcx_inr,ABS($AK1129)&lt;=tol_mcx_inr,ABS($AL1129)&lt;=tol_mcx_inr),"PASS","FAIL")</f>
        <v/>
      </c>
    </row>
    <row r="1130">
      <c r="A1130" s="7" t="inlineStr">
        <is>
          <t>T02</t>
        </is>
      </c>
      <c r="B1130" s="7" t="inlineStr">
        <is>
          <t>T02-MCX-2</t>
        </is>
      </c>
      <c r="C1130" s="11" t="n">
        <v>44648</v>
      </c>
      <c r="D1130" s="7" t="n">
        <v>202204</v>
      </c>
      <c r="E1130" s="7" t="inlineStr">
        <is>
          <t>SELL</t>
        </is>
      </c>
      <c r="F1130" s="7" t="inlineStr">
        <is>
          <t>hold</t>
        </is>
      </c>
      <c r="G1130" s="17" t="b">
        <v>1</v>
      </c>
      <c r="H1130" s="6" t="n">
        <v>-74</v>
      </c>
      <c r="I1130" s="13" t="n">
        <v>5</v>
      </c>
      <c r="J1130" s="8">
        <f>OR($F1130="entry",$F1130="roll_in")</f>
        <v/>
      </c>
      <c r="K1130" s="8">
        <f>OR($F1130="exit",$F1130="roll_out")</f>
        <v/>
      </c>
      <c r="L1130" s="8">
        <f>OR(AND($E1130="SELL",$K1130),AND($E1130="BUY",$J1130))</f>
        <v/>
      </c>
      <c r="M1130" s="16">
        <f>((INDEX(Market_Daily!$B$6:$B$256,MATCH($C1130,Market_Daily!$A$6:$A$256,0))*INDEX(Market_Daily!$F$6:$F$256,MATCH($C1130,Market_Daily!$A$6:$A$256,0))/kg_per_mt*(1+bcd_primary_al_hs7601*(1+sws_rate_on_bcd))+mcx_domestic_premium_inr_kg)*(1+INDEX(Market_Daily!$I$6:$I$256,MATCH($C1130,Market_Daily!$A$6:$A$256,0))*MAX(0,INDEX(mcx_expiries,MATCH($D1130,mcx_months,0))-$C1130)/day_count_inr))</f>
        <v/>
      </c>
      <c r="N1130" s="16">
        <f>IF(INDEX(Market_Daily!$S$6:$S$256,MATCH($C1130,Market_Daily!$A$6:$A$256,0))=$D1130,INDEX(Market_Daily!$M$6:$M$256,MATCH($C1130,Market_Daily!$A$6:$A$256,0)),IF(INDEX(Market_Daily!$T$6:$T$256,MATCH($C1130,Market_Daily!$A$6:$A$256,0))=$D1130,INDEX(Market_Daily!$N$6:$N$256,MATCH($C1130,Market_Daily!$A$6:$A$256,0)),NA()))</f>
        <v/>
      </c>
      <c r="O1130" s="16">
        <f>$N1130-$M1130</f>
        <v/>
      </c>
      <c r="P1130" s="16">
        <f>IF(($B1129=$B1130),$M1129,"")</f>
        <v/>
      </c>
      <c r="Q1130" s="16">
        <f>$M1130+IF($L1130,1,-1)*mcx_slippage_ticks*mcx_al_tick_inr_kg</f>
        <v/>
      </c>
      <c r="R1130" s="18">
        <f>IF(($B1129=$B1130),$H1130*$I1130*kg_per_mt*($M1130-$M1129),0)</f>
        <v/>
      </c>
      <c r="S1130" s="18">
        <f>IF(($B1129=$B1130),$S1129,0)+$R1130</f>
        <v/>
      </c>
      <c r="T1130" s="18">
        <f>ABS($H1130)*$I1130*kg_per_mt*$M1130</f>
        <v/>
      </c>
      <c r="U1130" s="18">
        <f>IF($K1130,0,$T1130*mcx_al_margin_used_frac)</f>
        <v/>
      </c>
      <c r="V1130" s="18">
        <f>IF(($B1129=$B1130),$U1129,0)</f>
        <v/>
      </c>
      <c r="W1130" s="18">
        <f>$U1130-$V1130</f>
        <v/>
      </c>
      <c r="X1130" s="18">
        <f>IF($K1130,0,$T1130*0.12)</f>
        <v/>
      </c>
      <c r="Y1130" s="18">
        <f>IF($K1130,0,$T1130*0.15)</f>
        <v/>
      </c>
      <c r="Z1130" s="18">
        <f>IF($F1130="hold",0,-ABS($H1130)*$I1130*kg_per_mt*mcx_slippage_ticks*mcx_al_tick_inr_kg)</f>
        <v/>
      </c>
      <c r="AA1130" s="18">
        <f>IF($F1130="hold",0,-ABS($H1130)*$I1130*kg_per_mt*$Q1130*mcx_txn_cost_frac)</f>
        <v/>
      </c>
      <c r="AB1130" s="18">
        <f>$Z1130+$AA1130</f>
        <v/>
      </c>
      <c r="AC1130" s="18">
        <f>$R1130-$W1130+$AB1130</f>
        <v/>
      </c>
      <c r="AD1130" s="18">
        <f>IF(($B1129=$B1130),$AD1129,0)+$AC1130</f>
        <v/>
      </c>
      <c r="AE1130" s="23" t="n">
        <v>-582115.54</v>
      </c>
      <c r="AF1130" s="23" t="n">
        <v>11031622.93</v>
      </c>
      <c r="AG1130" s="23" t="n">
        <v>0</v>
      </c>
      <c r="AH1130" s="23" t="n">
        <v>-640327.09</v>
      </c>
      <c r="AI1130" s="23" t="n">
        <v>-9451.01</v>
      </c>
      <c r="AJ1130" s="18">
        <f>$R1130-$AE1130</f>
        <v/>
      </c>
      <c r="AK1130" s="18">
        <f>$U1130-$AF1130</f>
        <v/>
      </c>
      <c r="AL1130" s="18">
        <f>$AC1130-$AH1130</f>
        <v/>
      </c>
      <c r="AM1130" s="8">
        <f>IF(AND(ABS($AJ1130)&lt;=tol_mcx_inr,ABS($AK1130)&lt;=tol_mcx_inr,ABS($AL1130)&lt;=tol_mcx_inr),"PASS","FAIL")</f>
        <v/>
      </c>
    </row>
    <row r="1131">
      <c r="A1131" s="7" t="inlineStr">
        <is>
          <t>T02</t>
        </is>
      </c>
      <c r="B1131" s="7" t="inlineStr">
        <is>
          <t>T02-MCX-2</t>
        </is>
      </c>
      <c r="C1131" s="11" t="n">
        <v>44649</v>
      </c>
      <c r="D1131" s="7" t="n">
        <v>202204</v>
      </c>
      <c r="E1131" s="7" t="inlineStr">
        <is>
          <t>SELL</t>
        </is>
      </c>
      <c r="F1131" s="7" t="inlineStr">
        <is>
          <t>hold</t>
        </is>
      </c>
      <c r="G1131" s="17" t="b">
        <v>1</v>
      </c>
      <c r="H1131" s="6" t="n">
        <v>-74</v>
      </c>
      <c r="I1131" s="13" t="n">
        <v>5</v>
      </c>
      <c r="J1131" s="8">
        <f>OR($F1131="entry",$F1131="roll_in")</f>
        <v/>
      </c>
      <c r="K1131" s="8">
        <f>OR($F1131="exit",$F1131="roll_out")</f>
        <v/>
      </c>
      <c r="L1131" s="8">
        <f>OR(AND($E1131="SELL",$K1131),AND($E1131="BUY",$J1131))</f>
        <v/>
      </c>
      <c r="M1131" s="16">
        <f>((INDEX(Market_Daily!$B$6:$B$256,MATCH($C1131,Market_Daily!$A$6:$A$256,0))*INDEX(Market_Daily!$F$6:$F$256,MATCH($C1131,Market_Daily!$A$6:$A$256,0))/kg_per_mt*(1+bcd_primary_al_hs7601*(1+sws_rate_on_bcd))+mcx_domestic_premium_inr_kg)*(1+INDEX(Market_Daily!$I$6:$I$256,MATCH($C1131,Market_Daily!$A$6:$A$256,0))*MAX(0,INDEX(mcx_expiries,MATCH($D1131,mcx_months,0))-$C1131)/day_count_inr))</f>
        <v/>
      </c>
      <c r="N1131" s="16">
        <f>IF(INDEX(Market_Daily!$S$6:$S$256,MATCH($C1131,Market_Daily!$A$6:$A$256,0))=$D1131,INDEX(Market_Daily!$M$6:$M$256,MATCH($C1131,Market_Daily!$A$6:$A$256,0)),IF(INDEX(Market_Daily!$T$6:$T$256,MATCH($C1131,Market_Daily!$A$6:$A$256,0))=$D1131,INDEX(Market_Daily!$N$6:$N$256,MATCH($C1131,Market_Daily!$A$6:$A$256,0)),NA()))</f>
        <v/>
      </c>
      <c r="O1131" s="16">
        <f>$N1131-$M1131</f>
        <v/>
      </c>
      <c r="P1131" s="16">
        <f>IF(($B1130=$B1131),$M1130,"")</f>
        <v/>
      </c>
      <c r="Q1131" s="16">
        <f>$M1131+IF($L1131,1,-1)*mcx_slippage_ticks*mcx_al_tick_inr_kg</f>
        <v/>
      </c>
      <c r="R1131" s="18">
        <f>IF(($B1130=$B1131),$H1131*$I1131*kg_per_mt*($M1131-$M1130),0)</f>
        <v/>
      </c>
      <c r="S1131" s="18">
        <f>IF(($B1130=$B1131),$S1130,0)+$R1131</f>
        <v/>
      </c>
      <c r="T1131" s="18">
        <f>ABS($H1131)*$I1131*kg_per_mt*$M1131</f>
        <v/>
      </c>
      <c r="U1131" s="18">
        <f>IF($K1131,0,$T1131*mcx_al_margin_used_frac)</f>
        <v/>
      </c>
      <c r="V1131" s="18">
        <f>IF(($B1130=$B1131),$U1130,0)</f>
        <v/>
      </c>
      <c r="W1131" s="18">
        <f>$U1131-$V1131</f>
        <v/>
      </c>
      <c r="X1131" s="18">
        <f>IF($K1131,0,$T1131*0.12)</f>
        <v/>
      </c>
      <c r="Y1131" s="18">
        <f>IF($K1131,0,$T1131*0.15)</f>
        <v/>
      </c>
      <c r="Z1131" s="18">
        <f>IF($F1131="hold",0,-ABS($H1131)*$I1131*kg_per_mt*mcx_slippage_ticks*mcx_al_tick_inr_kg)</f>
        <v/>
      </c>
      <c r="AA1131" s="18">
        <f>IF($F1131="hold",0,-ABS($H1131)*$I1131*kg_per_mt*$Q1131*mcx_txn_cost_frac)</f>
        <v/>
      </c>
      <c r="AB1131" s="18">
        <f>$Z1131+$AA1131</f>
        <v/>
      </c>
      <c r="AC1131" s="18">
        <f>$R1131-$W1131+$AB1131</f>
        <v/>
      </c>
      <c r="AD1131" s="18">
        <f>IF(($B1130=$B1131),$AD1130,0)+$AC1131</f>
        <v/>
      </c>
      <c r="AE1131" s="23" t="n">
        <v>1260292.82</v>
      </c>
      <c r="AF1131" s="23" t="n">
        <v>10905593.65</v>
      </c>
      <c r="AG1131" s="23" t="n">
        <v>0</v>
      </c>
      <c r="AH1131" s="23" t="n">
        <v>1386322.1</v>
      </c>
      <c r="AI1131" s="23" t="n">
        <v>-3317</v>
      </c>
      <c r="AJ1131" s="18">
        <f>$R1131-$AE1131</f>
        <v/>
      </c>
      <c r="AK1131" s="18">
        <f>$U1131-$AF1131</f>
        <v/>
      </c>
      <c r="AL1131" s="18">
        <f>$AC1131-$AH1131</f>
        <v/>
      </c>
      <c r="AM1131" s="8">
        <f>IF(AND(ABS($AJ1131)&lt;=tol_mcx_inr,ABS($AK1131)&lt;=tol_mcx_inr,ABS($AL1131)&lt;=tol_mcx_inr),"PASS","FAIL")</f>
        <v/>
      </c>
    </row>
    <row r="1132">
      <c r="A1132" s="7" t="inlineStr">
        <is>
          <t>T02</t>
        </is>
      </c>
      <c r="B1132" s="7" t="inlineStr">
        <is>
          <t>T02-MCX-2</t>
        </is>
      </c>
      <c r="C1132" s="11" t="n">
        <v>44650</v>
      </c>
      <c r="D1132" s="7" t="n">
        <v>202204</v>
      </c>
      <c r="E1132" s="7" t="inlineStr">
        <is>
          <t>SELL</t>
        </is>
      </c>
      <c r="F1132" s="7" t="inlineStr">
        <is>
          <t>hold</t>
        </is>
      </c>
      <c r="G1132" s="17" t="b">
        <v>1</v>
      </c>
      <c r="H1132" s="6" t="n">
        <v>-74</v>
      </c>
      <c r="I1132" s="13" t="n">
        <v>5</v>
      </c>
      <c r="J1132" s="8">
        <f>OR($F1132="entry",$F1132="roll_in")</f>
        <v/>
      </c>
      <c r="K1132" s="8">
        <f>OR($F1132="exit",$F1132="roll_out")</f>
        <v/>
      </c>
      <c r="L1132" s="8">
        <f>OR(AND($E1132="SELL",$K1132),AND($E1132="BUY",$J1132))</f>
        <v/>
      </c>
      <c r="M1132" s="16">
        <f>((INDEX(Market_Daily!$B$6:$B$256,MATCH($C1132,Market_Daily!$A$6:$A$256,0))*INDEX(Market_Daily!$F$6:$F$256,MATCH($C1132,Market_Daily!$A$6:$A$256,0))/kg_per_mt*(1+bcd_primary_al_hs7601*(1+sws_rate_on_bcd))+mcx_domestic_premium_inr_kg)*(1+INDEX(Market_Daily!$I$6:$I$256,MATCH($C1132,Market_Daily!$A$6:$A$256,0))*MAX(0,INDEX(mcx_expiries,MATCH($D1132,mcx_months,0))-$C1132)/day_count_inr))</f>
        <v/>
      </c>
      <c r="N1132" s="16">
        <f>IF(INDEX(Market_Daily!$S$6:$S$256,MATCH($C1132,Market_Daily!$A$6:$A$256,0))=$D1132,INDEX(Market_Daily!$M$6:$M$256,MATCH($C1132,Market_Daily!$A$6:$A$256,0)),IF(INDEX(Market_Daily!$T$6:$T$256,MATCH($C1132,Market_Daily!$A$6:$A$256,0))=$D1132,INDEX(Market_Daily!$N$6:$N$256,MATCH($C1132,Market_Daily!$A$6:$A$256,0)),NA()))</f>
        <v/>
      </c>
      <c r="O1132" s="16">
        <f>$N1132-$M1132</f>
        <v/>
      </c>
      <c r="P1132" s="16">
        <f>IF(($B1131=$B1132),$M1131,"")</f>
        <v/>
      </c>
      <c r="Q1132" s="16">
        <f>$M1132+IF($L1132,1,-1)*mcx_slippage_ticks*mcx_al_tick_inr_kg</f>
        <v/>
      </c>
      <c r="R1132" s="18">
        <f>IF(($B1131=$B1132),$H1132*$I1132*kg_per_mt*($M1132-$M1131),0)</f>
        <v/>
      </c>
      <c r="S1132" s="18">
        <f>IF(($B1131=$B1132),$S1131,0)+$R1132</f>
        <v/>
      </c>
      <c r="T1132" s="18">
        <f>ABS($H1132)*$I1132*kg_per_mt*$M1132</f>
        <v/>
      </c>
      <c r="U1132" s="18">
        <f>IF($K1132,0,$T1132*mcx_al_margin_used_frac)</f>
        <v/>
      </c>
      <c r="V1132" s="18">
        <f>IF(($B1131=$B1132),$U1131,0)</f>
        <v/>
      </c>
      <c r="W1132" s="18">
        <f>$U1132-$V1132</f>
        <v/>
      </c>
      <c r="X1132" s="18">
        <f>IF($K1132,0,$T1132*0.12)</f>
        <v/>
      </c>
      <c r="Y1132" s="18">
        <f>IF($K1132,0,$T1132*0.15)</f>
        <v/>
      </c>
      <c r="Z1132" s="18">
        <f>IF($F1132="hold",0,-ABS($H1132)*$I1132*kg_per_mt*mcx_slippage_ticks*mcx_al_tick_inr_kg)</f>
        <v/>
      </c>
      <c r="AA1132" s="18">
        <f>IF($F1132="hold",0,-ABS($H1132)*$I1132*kg_per_mt*$Q1132*mcx_txn_cost_frac)</f>
        <v/>
      </c>
      <c r="AB1132" s="18">
        <f>$Z1132+$AA1132</f>
        <v/>
      </c>
      <c r="AC1132" s="18">
        <f>$R1132-$W1132+$AB1132</f>
        <v/>
      </c>
      <c r="AD1132" s="18">
        <f>IF(($B1131=$B1132),$AD1131,0)+$AC1132</f>
        <v/>
      </c>
      <c r="AE1132" s="23" t="n">
        <v>2165966.91</v>
      </c>
      <c r="AF1132" s="23" t="n">
        <v>10688996.95</v>
      </c>
      <c r="AG1132" s="23" t="n">
        <v>0</v>
      </c>
      <c r="AH1132" s="23" t="n">
        <v>2382563.6</v>
      </c>
      <c r="AI1132" s="23" t="n">
        <v>-2956.17</v>
      </c>
      <c r="AJ1132" s="18">
        <f>$R1132-$AE1132</f>
        <v/>
      </c>
      <c r="AK1132" s="18">
        <f>$U1132-$AF1132</f>
        <v/>
      </c>
      <c r="AL1132" s="18">
        <f>$AC1132-$AH1132</f>
        <v/>
      </c>
      <c r="AM1132" s="8">
        <f>IF(AND(ABS($AJ1132)&lt;=tol_mcx_inr,ABS($AK1132)&lt;=tol_mcx_inr,ABS($AL1132)&lt;=tol_mcx_inr),"PASS","FAIL")</f>
        <v/>
      </c>
    </row>
    <row r="1133">
      <c r="A1133" s="7" t="inlineStr">
        <is>
          <t>T02</t>
        </is>
      </c>
      <c r="B1133" s="7" t="inlineStr">
        <is>
          <t>T02-MCX-2</t>
        </is>
      </c>
      <c r="C1133" s="11" t="n">
        <v>44651</v>
      </c>
      <c r="D1133" s="7" t="n">
        <v>202204</v>
      </c>
      <c r="E1133" s="7" t="inlineStr">
        <is>
          <t>SELL</t>
        </is>
      </c>
      <c r="F1133" s="7" t="inlineStr">
        <is>
          <t>hold</t>
        </is>
      </c>
      <c r="G1133" s="17" t="b">
        <v>1</v>
      </c>
      <c r="H1133" s="6" t="n">
        <v>-74</v>
      </c>
      <c r="I1133" s="13" t="n">
        <v>5</v>
      </c>
      <c r="J1133" s="8">
        <f>OR($F1133="entry",$F1133="roll_in")</f>
        <v/>
      </c>
      <c r="K1133" s="8">
        <f>OR($F1133="exit",$F1133="roll_out")</f>
        <v/>
      </c>
      <c r="L1133" s="8">
        <f>OR(AND($E1133="SELL",$K1133),AND($E1133="BUY",$J1133))</f>
        <v/>
      </c>
      <c r="M1133" s="16">
        <f>((INDEX(Market_Daily!$B$6:$B$256,MATCH($C1133,Market_Daily!$A$6:$A$256,0))*INDEX(Market_Daily!$F$6:$F$256,MATCH($C1133,Market_Daily!$A$6:$A$256,0))/kg_per_mt*(1+bcd_primary_al_hs7601*(1+sws_rate_on_bcd))+mcx_domestic_premium_inr_kg)*(1+INDEX(Market_Daily!$I$6:$I$256,MATCH($C1133,Market_Daily!$A$6:$A$256,0))*MAX(0,INDEX(mcx_expiries,MATCH($D1133,mcx_months,0))-$C1133)/day_count_inr))</f>
        <v/>
      </c>
      <c r="N1133" s="16">
        <f>IF(INDEX(Market_Daily!$S$6:$S$256,MATCH($C1133,Market_Daily!$A$6:$A$256,0))=$D1133,INDEX(Market_Daily!$M$6:$M$256,MATCH($C1133,Market_Daily!$A$6:$A$256,0)),IF(INDEX(Market_Daily!$T$6:$T$256,MATCH($C1133,Market_Daily!$A$6:$A$256,0))=$D1133,INDEX(Market_Daily!$N$6:$N$256,MATCH($C1133,Market_Daily!$A$6:$A$256,0)),NA()))</f>
        <v/>
      </c>
      <c r="O1133" s="16">
        <f>$N1133-$M1133</f>
        <v/>
      </c>
      <c r="P1133" s="16">
        <f>IF(($B1132=$B1133),$M1132,"")</f>
        <v/>
      </c>
      <c r="Q1133" s="16">
        <f>$M1133+IF($L1133,1,-1)*mcx_slippage_ticks*mcx_al_tick_inr_kg</f>
        <v/>
      </c>
      <c r="R1133" s="18">
        <f>IF(($B1132=$B1133),$H1133*$I1133*kg_per_mt*($M1133-$M1132),0)</f>
        <v/>
      </c>
      <c r="S1133" s="18">
        <f>IF(($B1132=$B1133),$S1132,0)+$R1133</f>
        <v/>
      </c>
      <c r="T1133" s="18">
        <f>ABS($H1133)*$I1133*kg_per_mt*$M1133</f>
        <v/>
      </c>
      <c r="U1133" s="18">
        <f>IF($K1133,0,$T1133*mcx_al_margin_used_frac)</f>
        <v/>
      </c>
      <c r="V1133" s="18">
        <f>IF(($B1132=$B1133),$U1132,0)</f>
        <v/>
      </c>
      <c r="W1133" s="18">
        <f>$U1133-$V1133</f>
        <v/>
      </c>
      <c r="X1133" s="18">
        <f>IF($K1133,0,$T1133*0.12)</f>
        <v/>
      </c>
      <c r="Y1133" s="18">
        <f>IF($K1133,0,$T1133*0.15)</f>
        <v/>
      </c>
      <c r="Z1133" s="18">
        <f>IF($F1133="hold",0,-ABS($H1133)*$I1133*kg_per_mt*mcx_slippage_ticks*mcx_al_tick_inr_kg)</f>
        <v/>
      </c>
      <c r="AA1133" s="18">
        <f>IF($F1133="hold",0,-ABS($H1133)*$I1133*kg_per_mt*$Q1133*mcx_txn_cost_frac)</f>
        <v/>
      </c>
      <c r="AB1133" s="18">
        <f>$Z1133+$AA1133</f>
        <v/>
      </c>
      <c r="AC1133" s="18">
        <f>$R1133-$W1133+$AB1133</f>
        <v/>
      </c>
      <c r="AD1133" s="18">
        <f>IF(($B1132=$B1133),$AD1132,0)+$AC1133</f>
        <v/>
      </c>
      <c r="AE1133" s="23" t="n">
        <v>234859.26</v>
      </c>
      <c r="AF1133" s="23" t="n">
        <v>10665511.03</v>
      </c>
      <c r="AG1133" s="23" t="n">
        <v>0</v>
      </c>
      <c r="AH1133" s="23" t="n">
        <v>258345.19</v>
      </c>
      <c r="AI1133" s="23" t="n">
        <v>-2336.05</v>
      </c>
      <c r="AJ1133" s="18">
        <f>$R1133-$AE1133</f>
        <v/>
      </c>
      <c r="AK1133" s="18">
        <f>$U1133-$AF1133</f>
        <v/>
      </c>
      <c r="AL1133" s="18">
        <f>$AC1133-$AH1133</f>
        <v/>
      </c>
      <c r="AM1133" s="8">
        <f>IF(AND(ABS($AJ1133)&lt;=tol_mcx_inr,ABS($AK1133)&lt;=tol_mcx_inr,ABS($AL1133)&lt;=tol_mcx_inr),"PASS","FAIL")</f>
        <v/>
      </c>
    </row>
    <row r="1134">
      <c r="A1134" s="7" t="inlineStr">
        <is>
          <t>T02</t>
        </is>
      </c>
      <c r="B1134" s="7" t="inlineStr">
        <is>
          <t>T02-MCX-2</t>
        </is>
      </c>
      <c r="C1134" s="11" t="n">
        <v>44652</v>
      </c>
      <c r="D1134" s="7" t="n">
        <v>202204</v>
      </c>
      <c r="E1134" s="7" t="inlineStr">
        <is>
          <t>SELL</t>
        </is>
      </c>
      <c r="F1134" s="7" t="inlineStr">
        <is>
          <t>hold</t>
        </is>
      </c>
      <c r="G1134" s="17" t="b">
        <v>1</v>
      </c>
      <c r="H1134" s="6" t="n">
        <v>-74</v>
      </c>
      <c r="I1134" s="13" t="n">
        <v>5</v>
      </c>
      <c r="J1134" s="8">
        <f>OR($F1134="entry",$F1134="roll_in")</f>
        <v/>
      </c>
      <c r="K1134" s="8">
        <f>OR($F1134="exit",$F1134="roll_out")</f>
        <v/>
      </c>
      <c r="L1134" s="8">
        <f>OR(AND($E1134="SELL",$K1134),AND($E1134="BUY",$J1134))</f>
        <v/>
      </c>
      <c r="M1134" s="16">
        <f>((INDEX(Market_Daily!$B$6:$B$256,MATCH($C1134,Market_Daily!$A$6:$A$256,0))*INDEX(Market_Daily!$F$6:$F$256,MATCH($C1134,Market_Daily!$A$6:$A$256,0))/kg_per_mt*(1+bcd_primary_al_hs7601*(1+sws_rate_on_bcd))+mcx_domestic_premium_inr_kg)*(1+INDEX(Market_Daily!$I$6:$I$256,MATCH($C1134,Market_Daily!$A$6:$A$256,0))*MAX(0,INDEX(mcx_expiries,MATCH($D1134,mcx_months,0))-$C1134)/day_count_inr))</f>
        <v/>
      </c>
      <c r="N1134" s="16">
        <f>IF(INDEX(Market_Daily!$S$6:$S$256,MATCH($C1134,Market_Daily!$A$6:$A$256,0))=$D1134,INDEX(Market_Daily!$M$6:$M$256,MATCH($C1134,Market_Daily!$A$6:$A$256,0)),IF(INDEX(Market_Daily!$T$6:$T$256,MATCH($C1134,Market_Daily!$A$6:$A$256,0))=$D1134,INDEX(Market_Daily!$N$6:$N$256,MATCH($C1134,Market_Daily!$A$6:$A$256,0)),NA()))</f>
        <v/>
      </c>
      <c r="O1134" s="16">
        <f>$N1134-$M1134</f>
        <v/>
      </c>
      <c r="P1134" s="16">
        <f>IF(($B1133=$B1134),$M1133,"")</f>
        <v/>
      </c>
      <c r="Q1134" s="16">
        <f>$M1134+IF($L1134,1,-1)*mcx_slippage_ticks*mcx_al_tick_inr_kg</f>
        <v/>
      </c>
      <c r="R1134" s="18">
        <f>IF(($B1133=$B1134),$H1134*$I1134*kg_per_mt*($M1134-$M1133),0)</f>
        <v/>
      </c>
      <c r="S1134" s="18">
        <f>IF(($B1133=$B1134),$S1133,0)+$R1134</f>
        <v/>
      </c>
      <c r="T1134" s="18">
        <f>ABS($H1134)*$I1134*kg_per_mt*$M1134</f>
        <v/>
      </c>
      <c r="U1134" s="18">
        <f>IF($K1134,0,$T1134*mcx_al_margin_used_frac)</f>
        <v/>
      </c>
      <c r="V1134" s="18">
        <f>IF(($B1133=$B1134),$U1133,0)</f>
        <v/>
      </c>
      <c r="W1134" s="18">
        <f>$U1134-$V1134</f>
        <v/>
      </c>
      <c r="X1134" s="18">
        <f>IF($K1134,0,$T1134*0.12)</f>
        <v/>
      </c>
      <c r="Y1134" s="18">
        <f>IF($K1134,0,$T1134*0.15)</f>
        <v/>
      </c>
      <c r="Z1134" s="18">
        <f>IF($F1134="hold",0,-ABS($H1134)*$I1134*kg_per_mt*mcx_slippage_ticks*mcx_al_tick_inr_kg)</f>
        <v/>
      </c>
      <c r="AA1134" s="18">
        <f>IF($F1134="hold",0,-ABS($H1134)*$I1134*kg_per_mt*$Q1134*mcx_txn_cost_frac)</f>
        <v/>
      </c>
      <c r="AB1134" s="18">
        <f>$Z1134+$AA1134</f>
        <v/>
      </c>
      <c r="AC1134" s="18">
        <f>$R1134-$W1134+$AB1134</f>
        <v/>
      </c>
      <c r="AD1134" s="18">
        <f>IF(($B1133=$B1134),$AD1133,0)+$AC1134</f>
        <v/>
      </c>
      <c r="AE1134" s="23" t="n">
        <v>326962.2</v>
      </c>
      <c r="AF1134" s="23" t="n">
        <v>10632814.81</v>
      </c>
      <c r="AG1134" s="23" t="n">
        <v>0</v>
      </c>
      <c r="AH1134" s="23" t="n">
        <v>359658.42</v>
      </c>
      <c r="AI1134" s="23" t="n">
        <v>-2268.81</v>
      </c>
      <c r="AJ1134" s="18">
        <f>$R1134-$AE1134</f>
        <v/>
      </c>
      <c r="AK1134" s="18">
        <f>$U1134-$AF1134</f>
        <v/>
      </c>
      <c r="AL1134" s="18">
        <f>$AC1134-$AH1134</f>
        <v/>
      </c>
      <c r="AM1134" s="8">
        <f>IF(AND(ABS($AJ1134)&lt;=tol_mcx_inr,ABS($AK1134)&lt;=tol_mcx_inr,ABS($AL1134)&lt;=tol_mcx_inr),"PASS","FAIL")</f>
        <v/>
      </c>
    </row>
    <row r="1135">
      <c r="A1135" s="7" t="inlineStr">
        <is>
          <t>T02</t>
        </is>
      </c>
      <c r="B1135" s="7" t="inlineStr">
        <is>
          <t>T02-MCX-2</t>
        </is>
      </c>
      <c r="C1135" s="11" t="n">
        <v>44655</v>
      </c>
      <c r="D1135" s="7" t="n">
        <v>202204</v>
      </c>
      <c r="E1135" s="7" t="inlineStr">
        <is>
          <t>SELL</t>
        </is>
      </c>
      <c r="F1135" s="7" t="inlineStr">
        <is>
          <t>hold</t>
        </is>
      </c>
      <c r="G1135" s="17" t="b">
        <v>1</v>
      </c>
      <c r="H1135" s="6" t="n">
        <v>-74</v>
      </c>
      <c r="I1135" s="13" t="n">
        <v>5</v>
      </c>
      <c r="J1135" s="8">
        <f>OR($F1135="entry",$F1135="roll_in")</f>
        <v/>
      </c>
      <c r="K1135" s="8">
        <f>OR($F1135="exit",$F1135="roll_out")</f>
        <v/>
      </c>
      <c r="L1135" s="8">
        <f>OR(AND($E1135="SELL",$K1135),AND($E1135="BUY",$J1135))</f>
        <v/>
      </c>
      <c r="M1135" s="16">
        <f>((INDEX(Market_Daily!$B$6:$B$256,MATCH($C1135,Market_Daily!$A$6:$A$256,0))*INDEX(Market_Daily!$F$6:$F$256,MATCH($C1135,Market_Daily!$A$6:$A$256,0))/kg_per_mt*(1+bcd_primary_al_hs7601*(1+sws_rate_on_bcd))+mcx_domestic_premium_inr_kg)*(1+INDEX(Market_Daily!$I$6:$I$256,MATCH($C1135,Market_Daily!$A$6:$A$256,0))*MAX(0,INDEX(mcx_expiries,MATCH($D1135,mcx_months,0))-$C1135)/day_count_inr))</f>
        <v/>
      </c>
      <c r="N1135" s="16">
        <f>IF(INDEX(Market_Daily!$S$6:$S$256,MATCH($C1135,Market_Daily!$A$6:$A$256,0))=$D1135,INDEX(Market_Daily!$M$6:$M$256,MATCH($C1135,Market_Daily!$A$6:$A$256,0)),IF(INDEX(Market_Daily!$T$6:$T$256,MATCH($C1135,Market_Daily!$A$6:$A$256,0))=$D1135,INDEX(Market_Daily!$N$6:$N$256,MATCH($C1135,Market_Daily!$A$6:$A$256,0)),NA()))</f>
        <v/>
      </c>
      <c r="O1135" s="16">
        <f>$N1135-$M1135</f>
        <v/>
      </c>
      <c r="P1135" s="16">
        <f>IF(($B1134=$B1135),$M1134,"")</f>
        <v/>
      </c>
      <c r="Q1135" s="16">
        <f>$M1135+IF($L1135,1,-1)*mcx_slippage_ticks*mcx_al_tick_inr_kg</f>
        <v/>
      </c>
      <c r="R1135" s="18">
        <f>IF(($B1134=$B1135),$H1135*$I1135*kg_per_mt*($M1135-$M1134),0)</f>
        <v/>
      </c>
      <c r="S1135" s="18">
        <f>IF(($B1134=$B1135),$S1134,0)+$R1135</f>
        <v/>
      </c>
      <c r="T1135" s="18">
        <f>ABS($H1135)*$I1135*kg_per_mt*$M1135</f>
        <v/>
      </c>
      <c r="U1135" s="18">
        <f>IF($K1135,0,$T1135*mcx_al_margin_used_frac)</f>
        <v/>
      </c>
      <c r="V1135" s="18">
        <f>IF(($B1134=$B1135),$U1134,0)</f>
        <v/>
      </c>
      <c r="W1135" s="18">
        <f>$U1135-$V1135</f>
        <v/>
      </c>
      <c r="X1135" s="18">
        <f>IF($K1135,0,$T1135*0.12)</f>
        <v/>
      </c>
      <c r="Y1135" s="18">
        <f>IF($K1135,0,$T1135*0.15)</f>
        <v/>
      </c>
      <c r="Z1135" s="18">
        <f>IF($F1135="hold",0,-ABS($H1135)*$I1135*kg_per_mt*mcx_slippage_ticks*mcx_al_tick_inr_kg)</f>
        <v/>
      </c>
      <c r="AA1135" s="18">
        <f>IF($F1135="hold",0,-ABS($H1135)*$I1135*kg_per_mt*$Q1135*mcx_txn_cost_frac)</f>
        <v/>
      </c>
      <c r="AB1135" s="18">
        <f>$Z1135+$AA1135</f>
        <v/>
      </c>
      <c r="AC1135" s="18">
        <f>$R1135-$W1135+$AB1135</f>
        <v/>
      </c>
      <c r="AD1135" s="18">
        <f>IF(($B1134=$B1135),$AD1134,0)+$AC1135</f>
        <v/>
      </c>
      <c r="AE1135" s="23" t="n">
        <v>1864785.47</v>
      </c>
      <c r="AF1135" s="23" t="n">
        <v>10446336.26</v>
      </c>
      <c r="AG1135" s="23" t="n">
        <v>0</v>
      </c>
      <c r="AH1135" s="23" t="n">
        <v>2051264.01</v>
      </c>
      <c r="AI1135" s="23" t="n">
        <v>-6525.61</v>
      </c>
      <c r="AJ1135" s="18">
        <f>$R1135-$AE1135</f>
        <v/>
      </c>
      <c r="AK1135" s="18">
        <f>$U1135-$AF1135</f>
        <v/>
      </c>
      <c r="AL1135" s="18">
        <f>$AC1135-$AH1135</f>
        <v/>
      </c>
      <c r="AM1135" s="8">
        <f>IF(AND(ABS($AJ1135)&lt;=tol_mcx_inr,ABS($AK1135)&lt;=tol_mcx_inr,ABS($AL1135)&lt;=tol_mcx_inr),"PASS","FAIL")</f>
        <v/>
      </c>
    </row>
    <row r="1136">
      <c r="A1136" s="7" t="inlineStr">
        <is>
          <t>T02</t>
        </is>
      </c>
      <c r="B1136" s="7" t="inlineStr">
        <is>
          <t>T02-MCX-2</t>
        </is>
      </c>
      <c r="C1136" s="11" t="n">
        <v>44656</v>
      </c>
      <c r="D1136" s="7" t="n">
        <v>202204</v>
      </c>
      <c r="E1136" s="7" t="inlineStr">
        <is>
          <t>SELL</t>
        </is>
      </c>
      <c r="F1136" s="7" t="inlineStr">
        <is>
          <t>hold</t>
        </is>
      </c>
      <c r="G1136" s="17" t="b">
        <v>1</v>
      </c>
      <c r="H1136" s="6" t="n">
        <v>-74</v>
      </c>
      <c r="I1136" s="13" t="n">
        <v>5</v>
      </c>
      <c r="J1136" s="8">
        <f>OR($F1136="entry",$F1136="roll_in")</f>
        <v/>
      </c>
      <c r="K1136" s="8">
        <f>OR($F1136="exit",$F1136="roll_out")</f>
        <v/>
      </c>
      <c r="L1136" s="8">
        <f>OR(AND($E1136="SELL",$K1136),AND($E1136="BUY",$J1136))</f>
        <v/>
      </c>
      <c r="M1136" s="16">
        <f>((INDEX(Market_Daily!$B$6:$B$256,MATCH($C1136,Market_Daily!$A$6:$A$256,0))*INDEX(Market_Daily!$F$6:$F$256,MATCH($C1136,Market_Daily!$A$6:$A$256,0))/kg_per_mt*(1+bcd_primary_al_hs7601*(1+sws_rate_on_bcd))+mcx_domestic_premium_inr_kg)*(1+INDEX(Market_Daily!$I$6:$I$256,MATCH($C1136,Market_Daily!$A$6:$A$256,0))*MAX(0,INDEX(mcx_expiries,MATCH($D1136,mcx_months,0))-$C1136)/day_count_inr))</f>
        <v/>
      </c>
      <c r="N1136" s="16">
        <f>IF(INDEX(Market_Daily!$S$6:$S$256,MATCH($C1136,Market_Daily!$A$6:$A$256,0))=$D1136,INDEX(Market_Daily!$M$6:$M$256,MATCH($C1136,Market_Daily!$A$6:$A$256,0)),IF(INDEX(Market_Daily!$T$6:$T$256,MATCH($C1136,Market_Daily!$A$6:$A$256,0))=$D1136,INDEX(Market_Daily!$N$6:$N$256,MATCH($C1136,Market_Daily!$A$6:$A$256,0)),NA()))</f>
        <v/>
      </c>
      <c r="O1136" s="16">
        <f>$N1136-$M1136</f>
        <v/>
      </c>
      <c r="P1136" s="16">
        <f>IF(($B1135=$B1136),$M1135,"")</f>
        <v/>
      </c>
      <c r="Q1136" s="16">
        <f>$M1136+IF($L1136,1,-1)*mcx_slippage_ticks*mcx_al_tick_inr_kg</f>
        <v/>
      </c>
      <c r="R1136" s="18">
        <f>IF(($B1135=$B1136),$H1136*$I1136*kg_per_mt*($M1136-$M1135),0)</f>
        <v/>
      </c>
      <c r="S1136" s="18">
        <f>IF(($B1135=$B1136),$S1135,0)+$R1136</f>
        <v/>
      </c>
      <c r="T1136" s="18">
        <f>ABS($H1136)*$I1136*kg_per_mt*$M1136</f>
        <v/>
      </c>
      <c r="U1136" s="18">
        <f>IF($K1136,0,$T1136*mcx_al_margin_used_frac)</f>
        <v/>
      </c>
      <c r="V1136" s="18">
        <f>IF(($B1135=$B1136),$U1135,0)</f>
        <v/>
      </c>
      <c r="W1136" s="18">
        <f>$U1136-$V1136</f>
        <v/>
      </c>
      <c r="X1136" s="18">
        <f>IF($K1136,0,$T1136*0.12)</f>
        <v/>
      </c>
      <c r="Y1136" s="18">
        <f>IF($K1136,0,$T1136*0.15)</f>
        <v/>
      </c>
      <c r="Z1136" s="18">
        <f>IF($F1136="hold",0,-ABS($H1136)*$I1136*kg_per_mt*mcx_slippage_ticks*mcx_al_tick_inr_kg)</f>
        <v/>
      </c>
      <c r="AA1136" s="18">
        <f>IF($F1136="hold",0,-ABS($H1136)*$I1136*kg_per_mt*$Q1136*mcx_txn_cost_frac)</f>
        <v/>
      </c>
      <c r="AB1136" s="18">
        <f>$Z1136+$AA1136</f>
        <v/>
      </c>
      <c r="AC1136" s="18">
        <f>$R1136-$W1136+$AB1136</f>
        <v/>
      </c>
      <c r="AD1136" s="18">
        <f>IF(($B1135=$B1136),$AD1135,0)+$AC1136</f>
        <v/>
      </c>
      <c r="AE1136" s="23" t="n">
        <v>1154717.71</v>
      </c>
      <c r="AF1136" s="23" t="n">
        <v>10330864.49</v>
      </c>
      <c r="AG1136" s="23" t="n">
        <v>0</v>
      </c>
      <c r="AH1136" s="23" t="n">
        <v>1270189.48</v>
      </c>
      <c r="AI1136" s="23" t="n">
        <v>-1641.31</v>
      </c>
      <c r="AJ1136" s="18">
        <f>$R1136-$AE1136</f>
        <v/>
      </c>
      <c r="AK1136" s="18">
        <f>$U1136-$AF1136</f>
        <v/>
      </c>
      <c r="AL1136" s="18">
        <f>$AC1136-$AH1136</f>
        <v/>
      </c>
      <c r="AM1136" s="8">
        <f>IF(AND(ABS($AJ1136)&lt;=tol_mcx_inr,ABS($AK1136)&lt;=tol_mcx_inr,ABS($AL1136)&lt;=tol_mcx_inr),"PASS","FAIL")</f>
        <v/>
      </c>
    </row>
    <row r="1137">
      <c r="A1137" s="7" t="inlineStr">
        <is>
          <t>T02</t>
        </is>
      </c>
      <c r="B1137" s="7" t="inlineStr">
        <is>
          <t>T02-MCX-2</t>
        </is>
      </c>
      <c r="C1137" s="11" t="n">
        <v>44657</v>
      </c>
      <c r="D1137" s="7" t="n">
        <v>202204</v>
      </c>
      <c r="E1137" s="7" t="inlineStr">
        <is>
          <t>SELL</t>
        </is>
      </c>
      <c r="F1137" s="7" t="inlineStr">
        <is>
          <t>hold</t>
        </is>
      </c>
      <c r="G1137" s="17" t="b">
        <v>1</v>
      </c>
      <c r="H1137" s="6" t="n">
        <v>-74</v>
      </c>
      <c r="I1137" s="13" t="n">
        <v>5</v>
      </c>
      <c r="J1137" s="8">
        <f>OR($F1137="entry",$F1137="roll_in")</f>
        <v/>
      </c>
      <c r="K1137" s="8">
        <f>OR($F1137="exit",$F1137="roll_out")</f>
        <v/>
      </c>
      <c r="L1137" s="8">
        <f>OR(AND($E1137="SELL",$K1137),AND($E1137="BUY",$J1137))</f>
        <v/>
      </c>
      <c r="M1137" s="16">
        <f>((INDEX(Market_Daily!$B$6:$B$256,MATCH($C1137,Market_Daily!$A$6:$A$256,0))*INDEX(Market_Daily!$F$6:$F$256,MATCH($C1137,Market_Daily!$A$6:$A$256,0))/kg_per_mt*(1+bcd_primary_al_hs7601*(1+sws_rate_on_bcd))+mcx_domestic_premium_inr_kg)*(1+INDEX(Market_Daily!$I$6:$I$256,MATCH($C1137,Market_Daily!$A$6:$A$256,0))*MAX(0,INDEX(mcx_expiries,MATCH($D1137,mcx_months,0))-$C1137)/day_count_inr))</f>
        <v/>
      </c>
      <c r="N1137" s="16">
        <f>IF(INDEX(Market_Daily!$S$6:$S$256,MATCH($C1137,Market_Daily!$A$6:$A$256,0))=$D1137,INDEX(Market_Daily!$M$6:$M$256,MATCH($C1137,Market_Daily!$A$6:$A$256,0)),IF(INDEX(Market_Daily!$T$6:$T$256,MATCH($C1137,Market_Daily!$A$6:$A$256,0))=$D1137,INDEX(Market_Daily!$N$6:$N$256,MATCH($C1137,Market_Daily!$A$6:$A$256,0)),NA()))</f>
        <v/>
      </c>
      <c r="O1137" s="16">
        <f>$N1137-$M1137</f>
        <v/>
      </c>
      <c r="P1137" s="16">
        <f>IF(($B1136=$B1137),$M1136,"")</f>
        <v/>
      </c>
      <c r="Q1137" s="16">
        <f>$M1137+IF($L1137,1,-1)*mcx_slippage_ticks*mcx_al_tick_inr_kg</f>
        <v/>
      </c>
      <c r="R1137" s="18">
        <f>IF(($B1136=$B1137),$H1137*$I1137*kg_per_mt*($M1137-$M1136),0)</f>
        <v/>
      </c>
      <c r="S1137" s="18">
        <f>IF(($B1136=$B1137),$S1136,0)+$R1137</f>
        <v/>
      </c>
      <c r="T1137" s="18">
        <f>ABS($H1137)*$I1137*kg_per_mt*$M1137</f>
        <v/>
      </c>
      <c r="U1137" s="18">
        <f>IF($K1137,0,$T1137*mcx_al_margin_used_frac)</f>
        <v/>
      </c>
      <c r="V1137" s="18">
        <f>IF(($B1136=$B1137),$U1136,0)</f>
        <v/>
      </c>
      <c r="W1137" s="18">
        <f>$U1137-$V1137</f>
        <v/>
      </c>
      <c r="X1137" s="18">
        <f>IF($K1137,0,$T1137*0.12)</f>
        <v/>
      </c>
      <c r="Y1137" s="18">
        <f>IF($K1137,0,$T1137*0.15)</f>
        <v/>
      </c>
      <c r="Z1137" s="18">
        <f>IF($F1137="hold",0,-ABS($H1137)*$I1137*kg_per_mt*mcx_slippage_ticks*mcx_al_tick_inr_kg)</f>
        <v/>
      </c>
      <c r="AA1137" s="18">
        <f>IF($F1137="hold",0,-ABS($H1137)*$I1137*kg_per_mt*$Q1137*mcx_txn_cost_frac)</f>
        <v/>
      </c>
      <c r="AB1137" s="18">
        <f>$Z1137+$AA1137</f>
        <v/>
      </c>
      <c r="AC1137" s="18">
        <f>$R1137-$W1137+$AB1137</f>
        <v/>
      </c>
      <c r="AD1137" s="18">
        <f>IF(($B1136=$B1137),$AD1136,0)+$AC1137</f>
        <v/>
      </c>
      <c r="AE1137" s="23" t="n">
        <v>-1542024.54</v>
      </c>
      <c r="AF1137" s="23" t="n">
        <v>10485066.95</v>
      </c>
      <c r="AG1137" s="23" t="n">
        <v>0</v>
      </c>
      <c r="AH1137" s="23" t="n">
        <v>-1696226.99</v>
      </c>
      <c r="AI1137" s="23" t="n">
        <v>-1310.71</v>
      </c>
      <c r="AJ1137" s="18">
        <f>$R1137-$AE1137</f>
        <v/>
      </c>
      <c r="AK1137" s="18">
        <f>$U1137-$AF1137</f>
        <v/>
      </c>
      <c r="AL1137" s="18">
        <f>$AC1137-$AH1137</f>
        <v/>
      </c>
      <c r="AM1137" s="8">
        <f>IF(AND(ABS($AJ1137)&lt;=tol_mcx_inr,ABS($AK1137)&lt;=tol_mcx_inr,ABS($AL1137)&lt;=tol_mcx_inr),"PASS","FAIL")</f>
        <v/>
      </c>
    </row>
    <row r="1138">
      <c r="A1138" s="7" t="inlineStr">
        <is>
          <t>T02</t>
        </is>
      </c>
      <c r="B1138" s="7" t="inlineStr">
        <is>
          <t>T02-MCX-2</t>
        </is>
      </c>
      <c r="C1138" s="11" t="n">
        <v>44658</v>
      </c>
      <c r="D1138" s="7" t="n">
        <v>202204</v>
      </c>
      <c r="E1138" s="7" t="inlineStr">
        <is>
          <t>SELL</t>
        </is>
      </c>
      <c r="F1138" s="7" t="inlineStr">
        <is>
          <t>hold</t>
        </is>
      </c>
      <c r="G1138" s="17" t="b">
        <v>1</v>
      </c>
      <c r="H1138" s="6" t="n">
        <v>-74</v>
      </c>
      <c r="I1138" s="13" t="n">
        <v>5</v>
      </c>
      <c r="J1138" s="8">
        <f>OR($F1138="entry",$F1138="roll_in")</f>
        <v/>
      </c>
      <c r="K1138" s="8">
        <f>OR($F1138="exit",$F1138="roll_out")</f>
        <v/>
      </c>
      <c r="L1138" s="8">
        <f>OR(AND($E1138="SELL",$K1138),AND($E1138="BUY",$J1138))</f>
        <v/>
      </c>
      <c r="M1138" s="16">
        <f>((INDEX(Market_Daily!$B$6:$B$256,MATCH($C1138,Market_Daily!$A$6:$A$256,0))*INDEX(Market_Daily!$F$6:$F$256,MATCH($C1138,Market_Daily!$A$6:$A$256,0))/kg_per_mt*(1+bcd_primary_al_hs7601*(1+sws_rate_on_bcd))+mcx_domestic_premium_inr_kg)*(1+INDEX(Market_Daily!$I$6:$I$256,MATCH($C1138,Market_Daily!$A$6:$A$256,0))*MAX(0,INDEX(mcx_expiries,MATCH($D1138,mcx_months,0))-$C1138)/day_count_inr))</f>
        <v/>
      </c>
      <c r="N1138" s="16">
        <f>IF(INDEX(Market_Daily!$S$6:$S$256,MATCH($C1138,Market_Daily!$A$6:$A$256,0))=$D1138,INDEX(Market_Daily!$M$6:$M$256,MATCH($C1138,Market_Daily!$A$6:$A$256,0)),IF(INDEX(Market_Daily!$T$6:$T$256,MATCH($C1138,Market_Daily!$A$6:$A$256,0))=$D1138,INDEX(Market_Daily!$N$6:$N$256,MATCH($C1138,Market_Daily!$A$6:$A$256,0)),NA()))</f>
        <v/>
      </c>
      <c r="O1138" s="16">
        <f>$N1138-$M1138</f>
        <v/>
      </c>
      <c r="P1138" s="16">
        <f>IF(($B1137=$B1138),$M1137,"")</f>
        <v/>
      </c>
      <c r="Q1138" s="16">
        <f>$M1138+IF($L1138,1,-1)*mcx_slippage_ticks*mcx_al_tick_inr_kg</f>
        <v/>
      </c>
      <c r="R1138" s="18">
        <f>IF(($B1137=$B1138),$H1138*$I1138*kg_per_mt*($M1138-$M1137),0)</f>
        <v/>
      </c>
      <c r="S1138" s="18">
        <f>IF(($B1137=$B1138),$S1137,0)+$R1138</f>
        <v/>
      </c>
      <c r="T1138" s="18">
        <f>ABS($H1138)*$I1138*kg_per_mt*$M1138</f>
        <v/>
      </c>
      <c r="U1138" s="18">
        <f>IF($K1138,0,$T1138*mcx_al_margin_used_frac)</f>
        <v/>
      </c>
      <c r="V1138" s="18">
        <f>IF(($B1137=$B1138),$U1137,0)</f>
        <v/>
      </c>
      <c r="W1138" s="18">
        <f>$U1138-$V1138</f>
        <v/>
      </c>
      <c r="X1138" s="18">
        <f>IF($K1138,0,$T1138*0.12)</f>
        <v/>
      </c>
      <c r="Y1138" s="18">
        <f>IF($K1138,0,$T1138*0.15)</f>
        <v/>
      </c>
      <c r="Z1138" s="18">
        <f>IF($F1138="hold",0,-ABS($H1138)*$I1138*kg_per_mt*mcx_slippage_ticks*mcx_al_tick_inr_kg)</f>
        <v/>
      </c>
      <c r="AA1138" s="18">
        <f>IF($F1138="hold",0,-ABS($H1138)*$I1138*kg_per_mt*$Q1138*mcx_txn_cost_frac)</f>
        <v/>
      </c>
      <c r="AB1138" s="18">
        <f>$Z1138+$AA1138</f>
        <v/>
      </c>
      <c r="AC1138" s="18">
        <f>$R1138-$W1138+$AB1138</f>
        <v/>
      </c>
      <c r="AD1138" s="18">
        <f>IF(($B1137=$B1138),$AD1137,0)+$AC1138</f>
        <v/>
      </c>
      <c r="AE1138" s="23" t="n">
        <v>2770807.14</v>
      </c>
      <c r="AF1138" s="23" t="n">
        <v>10207986.23</v>
      </c>
      <c r="AG1138" s="23" t="n">
        <v>0</v>
      </c>
      <c r="AH1138" s="23" t="n">
        <v>3047887.85</v>
      </c>
      <c r="AI1138" s="23" t="n">
        <v>-1752.2</v>
      </c>
      <c r="AJ1138" s="18">
        <f>$R1138-$AE1138</f>
        <v/>
      </c>
      <c r="AK1138" s="18">
        <f>$U1138-$AF1138</f>
        <v/>
      </c>
      <c r="AL1138" s="18">
        <f>$AC1138-$AH1138</f>
        <v/>
      </c>
      <c r="AM1138" s="8">
        <f>IF(AND(ABS($AJ1138)&lt;=tol_mcx_inr,ABS($AK1138)&lt;=tol_mcx_inr,ABS($AL1138)&lt;=tol_mcx_inr),"PASS","FAIL")</f>
        <v/>
      </c>
    </row>
    <row r="1139">
      <c r="A1139" s="7" t="inlineStr">
        <is>
          <t>T02</t>
        </is>
      </c>
      <c r="B1139" s="7" t="inlineStr">
        <is>
          <t>T02-MCX-2</t>
        </is>
      </c>
      <c r="C1139" s="11" t="n">
        <v>44659</v>
      </c>
      <c r="D1139" s="7" t="n">
        <v>202204</v>
      </c>
      <c r="E1139" s="7" t="inlineStr">
        <is>
          <t>SELL</t>
        </is>
      </c>
      <c r="F1139" s="7" t="inlineStr">
        <is>
          <t>hold</t>
        </is>
      </c>
      <c r="G1139" s="17" t="b">
        <v>1</v>
      </c>
      <c r="H1139" s="6" t="n">
        <v>-74</v>
      </c>
      <c r="I1139" s="13" t="n">
        <v>5</v>
      </c>
      <c r="J1139" s="8">
        <f>OR($F1139="entry",$F1139="roll_in")</f>
        <v/>
      </c>
      <c r="K1139" s="8">
        <f>OR($F1139="exit",$F1139="roll_out")</f>
        <v/>
      </c>
      <c r="L1139" s="8">
        <f>OR(AND($E1139="SELL",$K1139),AND($E1139="BUY",$J1139))</f>
        <v/>
      </c>
      <c r="M1139" s="16">
        <f>((INDEX(Market_Daily!$B$6:$B$256,MATCH($C1139,Market_Daily!$A$6:$A$256,0))*INDEX(Market_Daily!$F$6:$F$256,MATCH($C1139,Market_Daily!$A$6:$A$256,0))/kg_per_mt*(1+bcd_primary_al_hs7601*(1+sws_rate_on_bcd))+mcx_domestic_premium_inr_kg)*(1+INDEX(Market_Daily!$I$6:$I$256,MATCH($C1139,Market_Daily!$A$6:$A$256,0))*MAX(0,INDEX(mcx_expiries,MATCH($D1139,mcx_months,0))-$C1139)/day_count_inr))</f>
        <v/>
      </c>
      <c r="N1139" s="16">
        <f>IF(INDEX(Market_Daily!$S$6:$S$256,MATCH($C1139,Market_Daily!$A$6:$A$256,0))=$D1139,INDEX(Market_Daily!$M$6:$M$256,MATCH($C1139,Market_Daily!$A$6:$A$256,0)),IF(INDEX(Market_Daily!$T$6:$T$256,MATCH($C1139,Market_Daily!$A$6:$A$256,0))=$D1139,INDEX(Market_Daily!$N$6:$N$256,MATCH($C1139,Market_Daily!$A$6:$A$256,0)),NA()))</f>
        <v/>
      </c>
      <c r="O1139" s="16">
        <f>$N1139-$M1139</f>
        <v/>
      </c>
      <c r="P1139" s="16">
        <f>IF(($B1138=$B1139),$M1138,"")</f>
        <v/>
      </c>
      <c r="Q1139" s="16">
        <f>$M1139+IF($L1139,1,-1)*mcx_slippage_ticks*mcx_al_tick_inr_kg</f>
        <v/>
      </c>
      <c r="R1139" s="18">
        <f>IF(($B1138=$B1139),$H1139*$I1139*kg_per_mt*($M1139-$M1138),0)</f>
        <v/>
      </c>
      <c r="S1139" s="18">
        <f>IF(($B1138=$B1139),$S1138,0)+$R1139</f>
        <v/>
      </c>
      <c r="T1139" s="18">
        <f>ABS($H1139)*$I1139*kg_per_mt*$M1139</f>
        <v/>
      </c>
      <c r="U1139" s="18">
        <f>IF($K1139,0,$T1139*mcx_al_margin_used_frac)</f>
        <v/>
      </c>
      <c r="V1139" s="18">
        <f>IF(($B1138=$B1139),$U1138,0)</f>
        <v/>
      </c>
      <c r="W1139" s="18">
        <f>$U1139-$V1139</f>
        <v/>
      </c>
      <c r="X1139" s="18">
        <f>IF($K1139,0,$T1139*0.12)</f>
        <v/>
      </c>
      <c r="Y1139" s="18">
        <f>IF($K1139,0,$T1139*0.15)</f>
        <v/>
      </c>
      <c r="Z1139" s="18">
        <f>IF($F1139="hold",0,-ABS($H1139)*$I1139*kg_per_mt*mcx_slippage_ticks*mcx_al_tick_inr_kg)</f>
        <v/>
      </c>
      <c r="AA1139" s="18">
        <f>IF($F1139="hold",0,-ABS($H1139)*$I1139*kg_per_mt*$Q1139*mcx_txn_cost_frac)</f>
        <v/>
      </c>
      <c r="AB1139" s="18">
        <f>$Z1139+$AA1139</f>
        <v/>
      </c>
      <c r="AC1139" s="18">
        <f>$R1139-$W1139+$AB1139</f>
        <v/>
      </c>
      <c r="AD1139" s="18">
        <f>IF(($B1138=$B1139),$AD1138,0)+$AC1139</f>
        <v/>
      </c>
      <c r="AE1139" s="23" t="n">
        <v>-1303066.06</v>
      </c>
      <c r="AF1139" s="23" t="n">
        <v>10338292.84</v>
      </c>
      <c r="AG1139" s="23" t="n">
        <v>0</v>
      </c>
      <c r="AH1139" s="23" t="n">
        <v>-1433372.66</v>
      </c>
      <c r="AI1139" s="23" t="n">
        <v>-958.91</v>
      </c>
      <c r="AJ1139" s="18">
        <f>$R1139-$AE1139</f>
        <v/>
      </c>
      <c r="AK1139" s="18">
        <f>$U1139-$AF1139</f>
        <v/>
      </c>
      <c r="AL1139" s="18">
        <f>$AC1139-$AH1139</f>
        <v/>
      </c>
      <c r="AM1139" s="8">
        <f>IF(AND(ABS($AJ1139)&lt;=tol_mcx_inr,ABS($AK1139)&lt;=tol_mcx_inr,ABS($AL1139)&lt;=tol_mcx_inr),"PASS","FAIL")</f>
        <v/>
      </c>
    </row>
    <row r="1140">
      <c r="A1140" s="7" t="inlineStr">
        <is>
          <t>T02</t>
        </is>
      </c>
      <c r="B1140" s="7" t="inlineStr">
        <is>
          <t>T02-MCX-2</t>
        </is>
      </c>
      <c r="C1140" s="11" t="n">
        <v>44662</v>
      </c>
      <c r="D1140" s="7" t="n">
        <v>202204</v>
      </c>
      <c r="E1140" s="7" t="inlineStr">
        <is>
          <t>SELL</t>
        </is>
      </c>
      <c r="F1140" s="7" t="inlineStr">
        <is>
          <t>hold</t>
        </is>
      </c>
      <c r="G1140" s="17" t="b">
        <v>1</v>
      </c>
      <c r="H1140" s="6" t="n">
        <v>-74</v>
      </c>
      <c r="I1140" s="13" t="n">
        <v>5</v>
      </c>
      <c r="J1140" s="8">
        <f>OR($F1140="entry",$F1140="roll_in")</f>
        <v/>
      </c>
      <c r="K1140" s="8">
        <f>OR($F1140="exit",$F1140="roll_out")</f>
        <v/>
      </c>
      <c r="L1140" s="8">
        <f>OR(AND($E1140="SELL",$K1140),AND($E1140="BUY",$J1140))</f>
        <v/>
      </c>
      <c r="M1140" s="16">
        <f>((INDEX(Market_Daily!$B$6:$B$256,MATCH($C1140,Market_Daily!$A$6:$A$256,0))*INDEX(Market_Daily!$F$6:$F$256,MATCH($C1140,Market_Daily!$A$6:$A$256,0))/kg_per_mt*(1+bcd_primary_al_hs7601*(1+sws_rate_on_bcd))+mcx_domestic_premium_inr_kg)*(1+INDEX(Market_Daily!$I$6:$I$256,MATCH($C1140,Market_Daily!$A$6:$A$256,0))*MAX(0,INDEX(mcx_expiries,MATCH($D1140,mcx_months,0))-$C1140)/day_count_inr))</f>
        <v/>
      </c>
      <c r="N1140" s="16">
        <f>IF(INDEX(Market_Daily!$S$6:$S$256,MATCH($C1140,Market_Daily!$A$6:$A$256,0))=$D1140,INDEX(Market_Daily!$M$6:$M$256,MATCH($C1140,Market_Daily!$A$6:$A$256,0)),IF(INDEX(Market_Daily!$T$6:$T$256,MATCH($C1140,Market_Daily!$A$6:$A$256,0))=$D1140,INDEX(Market_Daily!$N$6:$N$256,MATCH($C1140,Market_Daily!$A$6:$A$256,0)),NA()))</f>
        <v/>
      </c>
      <c r="O1140" s="16">
        <f>$N1140-$M1140</f>
        <v/>
      </c>
      <c r="P1140" s="16">
        <f>IF(($B1139=$B1140),$M1139,"")</f>
        <v/>
      </c>
      <c r="Q1140" s="16">
        <f>$M1140+IF($L1140,1,-1)*mcx_slippage_ticks*mcx_al_tick_inr_kg</f>
        <v/>
      </c>
      <c r="R1140" s="18">
        <f>IF(($B1139=$B1140),$H1140*$I1140*kg_per_mt*($M1140-$M1139),0)</f>
        <v/>
      </c>
      <c r="S1140" s="18">
        <f>IF(($B1139=$B1140),$S1139,0)+$R1140</f>
        <v/>
      </c>
      <c r="T1140" s="18">
        <f>ABS($H1140)*$I1140*kg_per_mt*$M1140</f>
        <v/>
      </c>
      <c r="U1140" s="18">
        <f>IF($K1140,0,$T1140*mcx_al_margin_used_frac)</f>
        <v/>
      </c>
      <c r="V1140" s="18">
        <f>IF(($B1139=$B1140),$U1139,0)</f>
        <v/>
      </c>
      <c r="W1140" s="18">
        <f>$U1140-$V1140</f>
        <v/>
      </c>
      <c r="X1140" s="18">
        <f>IF($K1140,0,$T1140*0.12)</f>
        <v/>
      </c>
      <c r="Y1140" s="18">
        <f>IF($K1140,0,$T1140*0.15)</f>
        <v/>
      </c>
      <c r="Z1140" s="18">
        <f>IF($F1140="hold",0,-ABS($H1140)*$I1140*kg_per_mt*mcx_slippage_ticks*mcx_al_tick_inr_kg)</f>
        <v/>
      </c>
      <c r="AA1140" s="18">
        <f>IF($F1140="hold",0,-ABS($H1140)*$I1140*kg_per_mt*$Q1140*mcx_txn_cost_frac)</f>
        <v/>
      </c>
      <c r="AB1140" s="18">
        <f>$Z1140+$AA1140</f>
        <v/>
      </c>
      <c r="AC1140" s="18">
        <f>$R1140-$W1140+$AB1140</f>
        <v/>
      </c>
      <c r="AD1140" s="18">
        <f>IF(($B1139=$B1140),$AD1139,0)+$AC1140</f>
        <v/>
      </c>
      <c r="AE1140" s="23" t="n">
        <v>4891010.42</v>
      </c>
      <c r="AF1140" s="23" t="n">
        <v>9849191.789999999</v>
      </c>
      <c r="AG1140" s="23" t="n">
        <v>0</v>
      </c>
      <c r="AH1140" s="23" t="n">
        <v>5380111.46</v>
      </c>
      <c r="AI1140" s="23" t="n">
        <v>-3995.95</v>
      </c>
      <c r="AJ1140" s="18">
        <f>$R1140-$AE1140</f>
        <v/>
      </c>
      <c r="AK1140" s="18">
        <f>$U1140-$AF1140</f>
        <v/>
      </c>
      <c r="AL1140" s="18">
        <f>$AC1140-$AH1140</f>
        <v/>
      </c>
      <c r="AM1140" s="8">
        <f>IF(AND(ABS($AJ1140)&lt;=tol_mcx_inr,ABS($AK1140)&lt;=tol_mcx_inr,ABS($AL1140)&lt;=tol_mcx_inr),"PASS","FAIL")</f>
        <v/>
      </c>
    </row>
    <row r="1141">
      <c r="A1141" s="7" t="inlineStr">
        <is>
          <t>T02</t>
        </is>
      </c>
      <c r="B1141" s="7" t="inlineStr">
        <is>
          <t>T02-MCX-2</t>
        </is>
      </c>
      <c r="C1141" s="11" t="n">
        <v>44663</v>
      </c>
      <c r="D1141" s="7" t="n">
        <v>202204</v>
      </c>
      <c r="E1141" s="7" t="inlineStr">
        <is>
          <t>SELL</t>
        </is>
      </c>
      <c r="F1141" s="7" t="inlineStr">
        <is>
          <t>hold</t>
        </is>
      </c>
      <c r="G1141" s="17" t="b">
        <v>1</v>
      </c>
      <c r="H1141" s="6" t="n">
        <v>-74</v>
      </c>
      <c r="I1141" s="13" t="n">
        <v>5</v>
      </c>
      <c r="J1141" s="8">
        <f>OR($F1141="entry",$F1141="roll_in")</f>
        <v/>
      </c>
      <c r="K1141" s="8">
        <f>OR($F1141="exit",$F1141="roll_out")</f>
        <v/>
      </c>
      <c r="L1141" s="8">
        <f>OR(AND($E1141="SELL",$K1141),AND($E1141="BUY",$J1141))</f>
        <v/>
      </c>
      <c r="M1141" s="16">
        <f>((INDEX(Market_Daily!$B$6:$B$256,MATCH($C1141,Market_Daily!$A$6:$A$256,0))*INDEX(Market_Daily!$F$6:$F$256,MATCH($C1141,Market_Daily!$A$6:$A$256,0))/kg_per_mt*(1+bcd_primary_al_hs7601*(1+sws_rate_on_bcd))+mcx_domestic_premium_inr_kg)*(1+INDEX(Market_Daily!$I$6:$I$256,MATCH($C1141,Market_Daily!$A$6:$A$256,0))*MAX(0,INDEX(mcx_expiries,MATCH($D1141,mcx_months,0))-$C1141)/day_count_inr))</f>
        <v/>
      </c>
      <c r="N1141" s="16">
        <f>IF(INDEX(Market_Daily!$S$6:$S$256,MATCH($C1141,Market_Daily!$A$6:$A$256,0))=$D1141,INDEX(Market_Daily!$M$6:$M$256,MATCH($C1141,Market_Daily!$A$6:$A$256,0)),IF(INDEX(Market_Daily!$T$6:$T$256,MATCH($C1141,Market_Daily!$A$6:$A$256,0))=$D1141,INDEX(Market_Daily!$N$6:$N$256,MATCH($C1141,Market_Daily!$A$6:$A$256,0)),NA()))</f>
        <v/>
      </c>
      <c r="O1141" s="16">
        <f>$N1141-$M1141</f>
        <v/>
      </c>
      <c r="P1141" s="16">
        <f>IF(($B1140=$B1141),$M1140,"")</f>
        <v/>
      </c>
      <c r="Q1141" s="16">
        <f>$M1141+IF($L1141,1,-1)*mcx_slippage_ticks*mcx_al_tick_inr_kg</f>
        <v/>
      </c>
      <c r="R1141" s="18">
        <f>IF(($B1140=$B1141),$H1141*$I1141*kg_per_mt*($M1141-$M1140),0)</f>
        <v/>
      </c>
      <c r="S1141" s="18">
        <f>IF(($B1140=$B1141),$S1140,0)+$R1141</f>
        <v/>
      </c>
      <c r="T1141" s="18">
        <f>ABS($H1141)*$I1141*kg_per_mt*$M1141</f>
        <v/>
      </c>
      <c r="U1141" s="18">
        <f>IF($K1141,0,$T1141*mcx_al_margin_used_frac)</f>
        <v/>
      </c>
      <c r="V1141" s="18">
        <f>IF(($B1140=$B1141),$U1140,0)</f>
        <v/>
      </c>
      <c r="W1141" s="18">
        <f>$U1141-$V1141</f>
        <v/>
      </c>
      <c r="X1141" s="18">
        <f>IF($K1141,0,$T1141*0.12)</f>
        <v/>
      </c>
      <c r="Y1141" s="18">
        <f>IF($K1141,0,$T1141*0.15)</f>
        <v/>
      </c>
      <c r="Z1141" s="18">
        <f>IF($F1141="hold",0,-ABS($H1141)*$I1141*kg_per_mt*mcx_slippage_ticks*mcx_al_tick_inr_kg)</f>
        <v/>
      </c>
      <c r="AA1141" s="18">
        <f>IF($F1141="hold",0,-ABS($H1141)*$I1141*kg_per_mt*$Q1141*mcx_txn_cost_frac)</f>
        <v/>
      </c>
      <c r="AB1141" s="18">
        <f>$Z1141+$AA1141</f>
        <v/>
      </c>
      <c r="AC1141" s="18">
        <f>$R1141-$W1141+$AB1141</f>
        <v/>
      </c>
      <c r="AD1141" s="18">
        <f>IF(($B1140=$B1141),$AD1140,0)+$AC1141</f>
        <v/>
      </c>
      <c r="AE1141" s="23" t="n">
        <v>244429.46</v>
      </c>
      <c r="AF1141" s="23" t="n">
        <v>9824748.85</v>
      </c>
      <c r="AG1141" s="23" t="n">
        <v>0</v>
      </c>
      <c r="AH1141" s="23" t="n">
        <v>268872.4</v>
      </c>
      <c r="AI1141" s="23" t="n">
        <v>68.31999999999999</v>
      </c>
      <c r="AJ1141" s="18">
        <f>$R1141-$AE1141</f>
        <v/>
      </c>
      <c r="AK1141" s="18">
        <f>$U1141-$AF1141</f>
        <v/>
      </c>
      <c r="AL1141" s="18">
        <f>$AC1141-$AH1141</f>
        <v/>
      </c>
      <c r="AM1141" s="8">
        <f>IF(AND(ABS($AJ1141)&lt;=tol_mcx_inr,ABS($AK1141)&lt;=tol_mcx_inr,ABS($AL1141)&lt;=tol_mcx_inr),"PASS","FAIL")</f>
        <v/>
      </c>
    </row>
    <row r="1142">
      <c r="A1142" s="7" t="inlineStr">
        <is>
          <t>T02</t>
        </is>
      </c>
      <c r="B1142" s="7" t="inlineStr">
        <is>
          <t>T02-MCX-2</t>
        </is>
      </c>
      <c r="C1142" s="11" t="n">
        <v>44664</v>
      </c>
      <c r="D1142" s="7" t="n">
        <v>202204</v>
      </c>
      <c r="E1142" s="7" t="inlineStr">
        <is>
          <t>SELL</t>
        </is>
      </c>
      <c r="F1142" s="7" t="inlineStr">
        <is>
          <t>hold</t>
        </is>
      </c>
      <c r="G1142" s="17" t="b">
        <v>1</v>
      </c>
      <c r="H1142" s="6" t="n">
        <v>-74</v>
      </c>
      <c r="I1142" s="13" t="n">
        <v>5</v>
      </c>
      <c r="J1142" s="8">
        <f>OR($F1142="entry",$F1142="roll_in")</f>
        <v/>
      </c>
      <c r="K1142" s="8">
        <f>OR($F1142="exit",$F1142="roll_out")</f>
        <v/>
      </c>
      <c r="L1142" s="8">
        <f>OR(AND($E1142="SELL",$K1142),AND($E1142="BUY",$J1142))</f>
        <v/>
      </c>
      <c r="M1142" s="16">
        <f>((INDEX(Market_Daily!$B$6:$B$256,MATCH($C1142,Market_Daily!$A$6:$A$256,0))*INDEX(Market_Daily!$F$6:$F$256,MATCH($C1142,Market_Daily!$A$6:$A$256,0))/kg_per_mt*(1+bcd_primary_al_hs7601*(1+sws_rate_on_bcd))+mcx_domestic_premium_inr_kg)*(1+INDEX(Market_Daily!$I$6:$I$256,MATCH($C1142,Market_Daily!$A$6:$A$256,0))*MAX(0,INDEX(mcx_expiries,MATCH($D1142,mcx_months,0))-$C1142)/day_count_inr))</f>
        <v/>
      </c>
      <c r="N1142" s="16">
        <f>IF(INDEX(Market_Daily!$S$6:$S$256,MATCH($C1142,Market_Daily!$A$6:$A$256,0))=$D1142,INDEX(Market_Daily!$M$6:$M$256,MATCH($C1142,Market_Daily!$A$6:$A$256,0)),IF(INDEX(Market_Daily!$T$6:$T$256,MATCH($C1142,Market_Daily!$A$6:$A$256,0))=$D1142,INDEX(Market_Daily!$N$6:$N$256,MATCH($C1142,Market_Daily!$A$6:$A$256,0)),NA()))</f>
        <v/>
      </c>
      <c r="O1142" s="16">
        <f>$N1142-$M1142</f>
        <v/>
      </c>
      <c r="P1142" s="16">
        <f>IF(($B1141=$B1142),$M1141,"")</f>
        <v/>
      </c>
      <c r="Q1142" s="16">
        <f>$M1142+IF($L1142,1,-1)*mcx_slippage_ticks*mcx_al_tick_inr_kg</f>
        <v/>
      </c>
      <c r="R1142" s="18">
        <f>IF(($B1141=$B1142),$H1142*$I1142*kg_per_mt*($M1142-$M1141),0)</f>
        <v/>
      </c>
      <c r="S1142" s="18">
        <f>IF(($B1141=$B1142),$S1141,0)+$R1142</f>
        <v/>
      </c>
      <c r="T1142" s="18">
        <f>ABS($H1142)*$I1142*kg_per_mt*$M1142</f>
        <v/>
      </c>
      <c r="U1142" s="18">
        <f>IF($K1142,0,$T1142*mcx_al_margin_used_frac)</f>
        <v/>
      </c>
      <c r="V1142" s="18">
        <f>IF(($B1141=$B1142),$U1141,0)</f>
        <v/>
      </c>
      <c r="W1142" s="18">
        <f>$U1142-$V1142</f>
        <v/>
      </c>
      <c r="X1142" s="18">
        <f>IF($K1142,0,$T1142*0.12)</f>
        <v/>
      </c>
      <c r="Y1142" s="18">
        <f>IF($K1142,0,$T1142*0.15)</f>
        <v/>
      </c>
      <c r="Z1142" s="18">
        <f>IF($F1142="hold",0,-ABS($H1142)*$I1142*kg_per_mt*mcx_slippage_ticks*mcx_al_tick_inr_kg)</f>
        <v/>
      </c>
      <c r="AA1142" s="18">
        <f>IF($F1142="hold",0,-ABS($H1142)*$I1142*kg_per_mt*$Q1142*mcx_txn_cost_frac)</f>
        <v/>
      </c>
      <c r="AB1142" s="18">
        <f>$Z1142+$AA1142</f>
        <v/>
      </c>
      <c r="AC1142" s="18">
        <f>$R1142-$W1142+$AB1142</f>
        <v/>
      </c>
      <c r="AD1142" s="18">
        <f>IF(($B1141=$B1142),$AD1141,0)+$AC1142</f>
        <v/>
      </c>
      <c r="AE1142" s="23" t="n">
        <v>220579.54</v>
      </c>
      <c r="AF1142" s="23" t="n">
        <v>9802690.890000001</v>
      </c>
      <c r="AG1142" s="23" t="n">
        <v>0</v>
      </c>
      <c r="AH1142" s="23" t="n">
        <v>242637.5</v>
      </c>
      <c r="AI1142" s="23" t="n">
        <v>138.3</v>
      </c>
      <c r="AJ1142" s="18">
        <f>$R1142-$AE1142</f>
        <v/>
      </c>
      <c r="AK1142" s="18">
        <f>$U1142-$AF1142</f>
        <v/>
      </c>
      <c r="AL1142" s="18">
        <f>$AC1142-$AH1142</f>
        <v/>
      </c>
      <c r="AM1142" s="8">
        <f>IF(AND(ABS($AJ1142)&lt;=tol_mcx_inr,ABS($AK1142)&lt;=tol_mcx_inr,ABS($AL1142)&lt;=tol_mcx_inr),"PASS","FAIL")</f>
        <v/>
      </c>
    </row>
    <row r="1143">
      <c r="A1143" s="7" t="inlineStr">
        <is>
          <t>T02</t>
        </is>
      </c>
      <c r="B1143" s="7" t="inlineStr">
        <is>
          <t>T02-MCX-2</t>
        </is>
      </c>
      <c r="C1143" s="11" t="n">
        <v>44665</v>
      </c>
      <c r="D1143" s="7" t="n">
        <v>202204</v>
      </c>
      <c r="E1143" s="7" t="inlineStr">
        <is>
          <t>SELL</t>
        </is>
      </c>
      <c r="F1143" s="7" t="inlineStr">
        <is>
          <t>hold</t>
        </is>
      </c>
      <c r="G1143" s="17" t="b">
        <v>1</v>
      </c>
      <c r="H1143" s="6" t="n">
        <v>-74</v>
      </c>
      <c r="I1143" s="13" t="n">
        <v>5</v>
      </c>
      <c r="J1143" s="8">
        <f>OR($F1143="entry",$F1143="roll_in")</f>
        <v/>
      </c>
      <c r="K1143" s="8">
        <f>OR($F1143="exit",$F1143="roll_out")</f>
        <v/>
      </c>
      <c r="L1143" s="8">
        <f>OR(AND($E1143="SELL",$K1143),AND($E1143="BUY",$J1143))</f>
        <v/>
      </c>
      <c r="M1143" s="16">
        <f>((INDEX(Market_Daily!$B$6:$B$256,MATCH($C1143,Market_Daily!$A$6:$A$256,0))*INDEX(Market_Daily!$F$6:$F$256,MATCH($C1143,Market_Daily!$A$6:$A$256,0))/kg_per_mt*(1+bcd_primary_al_hs7601*(1+sws_rate_on_bcd))+mcx_domestic_premium_inr_kg)*(1+INDEX(Market_Daily!$I$6:$I$256,MATCH($C1143,Market_Daily!$A$6:$A$256,0))*MAX(0,INDEX(mcx_expiries,MATCH($D1143,mcx_months,0))-$C1143)/day_count_inr))</f>
        <v/>
      </c>
      <c r="N1143" s="16">
        <f>IF(INDEX(Market_Daily!$S$6:$S$256,MATCH($C1143,Market_Daily!$A$6:$A$256,0))=$D1143,INDEX(Market_Daily!$M$6:$M$256,MATCH($C1143,Market_Daily!$A$6:$A$256,0)),IF(INDEX(Market_Daily!$T$6:$T$256,MATCH($C1143,Market_Daily!$A$6:$A$256,0))=$D1143,INDEX(Market_Daily!$N$6:$N$256,MATCH($C1143,Market_Daily!$A$6:$A$256,0)),NA()))</f>
        <v/>
      </c>
      <c r="O1143" s="16">
        <f>$N1143-$M1143</f>
        <v/>
      </c>
      <c r="P1143" s="16">
        <f>IF(($B1142=$B1143),$M1142,"")</f>
        <v/>
      </c>
      <c r="Q1143" s="16">
        <f>$M1143+IF($L1143,1,-1)*mcx_slippage_ticks*mcx_al_tick_inr_kg</f>
        <v/>
      </c>
      <c r="R1143" s="18">
        <f>IF(($B1142=$B1143),$H1143*$I1143*kg_per_mt*($M1143-$M1142),0)</f>
        <v/>
      </c>
      <c r="S1143" s="18">
        <f>IF(($B1142=$B1143),$S1142,0)+$R1143</f>
        <v/>
      </c>
      <c r="T1143" s="18">
        <f>ABS($H1143)*$I1143*kg_per_mt*$M1143</f>
        <v/>
      </c>
      <c r="U1143" s="18">
        <f>IF($K1143,0,$T1143*mcx_al_margin_used_frac)</f>
        <v/>
      </c>
      <c r="V1143" s="18">
        <f>IF(($B1142=$B1143),$U1142,0)</f>
        <v/>
      </c>
      <c r="W1143" s="18">
        <f>$U1143-$V1143</f>
        <v/>
      </c>
      <c r="X1143" s="18">
        <f>IF($K1143,0,$T1143*0.12)</f>
        <v/>
      </c>
      <c r="Y1143" s="18">
        <f>IF($K1143,0,$T1143*0.15)</f>
        <v/>
      </c>
      <c r="Z1143" s="18">
        <f>IF($F1143="hold",0,-ABS($H1143)*$I1143*kg_per_mt*mcx_slippage_ticks*mcx_al_tick_inr_kg)</f>
        <v/>
      </c>
      <c r="AA1143" s="18">
        <f>IF($F1143="hold",0,-ABS($H1143)*$I1143*kg_per_mt*$Q1143*mcx_txn_cost_frac)</f>
        <v/>
      </c>
      <c r="AB1143" s="18">
        <f>$Z1143+$AA1143</f>
        <v/>
      </c>
      <c r="AC1143" s="18">
        <f>$R1143-$W1143+$AB1143</f>
        <v/>
      </c>
      <c r="AD1143" s="18">
        <f>IF(($B1142=$B1143),$AD1142,0)+$AC1143</f>
        <v/>
      </c>
      <c r="AE1143" s="23" t="n">
        <v>-849831.87</v>
      </c>
      <c r="AF1143" s="23" t="n">
        <v>9887674.08</v>
      </c>
      <c r="AG1143" s="23" t="n">
        <v>0</v>
      </c>
      <c r="AH1143" s="23" t="n">
        <v>-934815.05</v>
      </c>
      <c r="AI1143" s="23" t="n">
        <v>201.45</v>
      </c>
      <c r="AJ1143" s="18">
        <f>$R1143-$AE1143</f>
        <v/>
      </c>
      <c r="AK1143" s="18">
        <f>$U1143-$AF1143</f>
        <v/>
      </c>
      <c r="AL1143" s="18">
        <f>$AC1143-$AH1143</f>
        <v/>
      </c>
      <c r="AM1143" s="8">
        <f>IF(AND(ABS($AJ1143)&lt;=tol_mcx_inr,ABS($AK1143)&lt;=tol_mcx_inr,ABS($AL1143)&lt;=tol_mcx_inr),"PASS","FAIL")</f>
        <v/>
      </c>
    </row>
    <row r="1144">
      <c r="A1144" s="7" t="inlineStr">
        <is>
          <t>T02</t>
        </is>
      </c>
      <c r="B1144" s="7" t="inlineStr">
        <is>
          <t>T02-MCX-2</t>
        </is>
      </c>
      <c r="C1144" s="11" t="n">
        <v>44670</v>
      </c>
      <c r="D1144" s="7" t="n">
        <v>202204</v>
      </c>
      <c r="E1144" s="7" t="inlineStr">
        <is>
          <t>SELL</t>
        </is>
      </c>
      <c r="F1144" s="7" t="inlineStr">
        <is>
          <t>hold</t>
        </is>
      </c>
      <c r="G1144" s="17" t="b">
        <v>1</v>
      </c>
      <c r="H1144" s="6" t="n">
        <v>-74</v>
      </c>
      <c r="I1144" s="13" t="n">
        <v>5</v>
      </c>
      <c r="J1144" s="8">
        <f>OR($F1144="entry",$F1144="roll_in")</f>
        <v/>
      </c>
      <c r="K1144" s="8">
        <f>OR($F1144="exit",$F1144="roll_out")</f>
        <v/>
      </c>
      <c r="L1144" s="8">
        <f>OR(AND($E1144="SELL",$K1144),AND($E1144="BUY",$J1144))</f>
        <v/>
      </c>
      <c r="M1144" s="16">
        <f>((INDEX(Market_Daily!$B$6:$B$256,MATCH($C1144,Market_Daily!$A$6:$A$256,0))*INDEX(Market_Daily!$F$6:$F$256,MATCH($C1144,Market_Daily!$A$6:$A$256,0))/kg_per_mt*(1+bcd_primary_al_hs7601*(1+sws_rate_on_bcd))+mcx_domestic_premium_inr_kg)*(1+INDEX(Market_Daily!$I$6:$I$256,MATCH($C1144,Market_Daily!$A$6:$A$256,0))*MAX(0,INDEX(mcx_expiries,MATCH($D1144,mcx_months,0))-$C1144)/day_count_inr))</f>
        <v/>
      </c>
      <c r="N1144" s="16">
        <f>IF(INDEX(Market_Daily!$S$6:$S$256,MATCH($C1144,Market_Daily!$A$6:$A$256,0))=$D1144,INDEX(Market_Daily!$M$6:$M$256,MATCH($C1144,Market_Daily!$A$6:$A$256,0)),IF(INDEX(Market_Daily!$T$6:$T$256,MATCH($C1144,Market_Daily!$A$6:$A$256,0))=$D1144,INDEX(Market_Daily!$N$6:$N$256,MATCH($C1144,Market_Daily!$A$6:$A$256,0)),NA()))</f>
        <v/>
      </c>
      <c r="O1144" s="16">
        <f>$N1144-$M1144</f>
        <v/>
      </c>
      <c r="P1144" s="16">
        <f>IF(($B1143=$B1144),$M1143,"")</f>
        <v/>
      </c>
      <c r="Q1144" s="16">
        <f>$M1144+IF($L1144,1,-1)*mcx_slippage_ticks*mcx_al_tick_inr_kg</f>
        <v/>
      </c>
      <c r="R1144" s="18">
        <f>IF(($B1143=$B1144),$H1144*$I1144*kg_per_mt*($M1144-$M1143),0)</f>
        <v/>
      </c>
      <c r="S1144" s="18">
        <f>IF(($B1143=$B1144),$S1143,0)+$R1144</f>
        <v/>
      </c>
      <c r="T1144" s="18">
        <f>ABS($H1144)*$I1144*kg_per_mt*$M1144</f>
        <v/>
      </c>
      <c r="U1144" s="18">
        <f>IF($K1144,0,$T1144*mcx_al_margin_used_frac)</f>
        <v/>
      </c>
      <c r="V1144" s="18">
        <f>IF(($B1143=$B1144),$U1143,0)</f>
        <v/>
      </c>
      <c r="W1144" s="18">
        <f>$U1144-$V1144</f>
        <v/>
      </c>
      <c r="X1144" s="18">
        <f>IF($K1144,0,$T1144*0.12)</f>
        <v/>
      </c>
      <c r="Y1144" s="18">
        <f>IF($K1144,0,$T1144*0.15)</f>
        <v/>
      </c>
      <c r="Z1144" s="18">
        <f>IF($F1144="hold",0,-ABS($H1144)*$I1144*kg_per_mt*mcx_slippage_ticks*mcx_al_tick_inr_kg)</f>
        <v/>
      </c>
      <c r="AA1144" s="18">
        <f>IF($F1144="hold",0,-ABS($H1144)*$I1144*kg_per_mt*$Q1144*mcx_txn_cost_frac)</f>
        <v/>
      </c>
      <c r="AB1144" s="18">
        <f>$Z1144+$AA1144</f>
        <v/>
      </c>
      <c r="AC1144" s="18">
        <f>$R1144-$W1144+$AB1144</f>
        <v/>
      </c>
      <c r="AD1144" s="18">
        <f>IF(($B1143=$B1144),$AD1143,0)+$AC1144</f>
        <v/>
      </c>
      <c r="AE1144" s="23" t="n">
        <v>-2664544.93</v>
      </c>
      <c r="AF1144" s="23" t="n">
        <v>10154128.57</v>
      </c>
      <c r="AG1144" s="23" t="n">
        <v>0</v>
      </c>
      <c r="AH1144" s="23" t="n">
        <v>-2930999.42</v>
      </c>
      <c r="AI1144" s="23" t="n">
        <v>-209.27</v>
      </c>
      <c r="AJ1144" s="18">
        <f>$R1144-$AE1144</f>
        <v/>
      </c>
      <c r="AK1144" s="18">
        <f>$U1144-$AF1144</f>
        <v/>
      </c>
      <c r="AL1144" s="18">
        <f>$AC1144-$AH1144</f>
        <v/>
      </c>
      <c r="AM1144" s="8">
        <f>IF(AND(ABS($AJ1144)&lt;=tol_mcx_inr,ABS($AK1144)&lt;=tol_mcx_inr,ABS($AL1144)&lt;=tol_mcx_inr),"PASS","FAIL")</f>
        <v/>
      </c>
    </row>
    <row r="1145">
      <c r="A1145" s="7" t="inlineStr">
        <is>
          <t>T02</t>
        </is>
      </c>
      <c r="B1145" s="7" t="inlineStr">
        <is>
          <t>T02-MCX-2</t>
        </is>
      </c>
      <c r="C1145" s="11" t="n">
        <v>44671</v>
      </c>
      <c r="D1145" s="7" t="n">
        <v>202204</v>
      </c>
      <c r="E1145" s="7" t="inlineStr">
        <is>
          <t>SELL</t>
        </is>
      </c>
      <c r="F1145" s="7" t="inlineStr">
        <is>
          <t>roll_out</t>
        </is>
      </c>
      <c r="G1145" s="17" t="b">
        <v>1</v>
      </c>
      <c r="H1145" s="6" t="n">
        <v>-74</v>
      </c>
      <c r="I1145" s="13" t="n">
        <v>5</v>
      </c>
      <c r="J1145" s="8">
        <f>OR($F1145="entry",$F1145="roll_in")</f>
        <v/>
      </c>
      <c r="K1145" s="8">
        <f>OR($F1145="exit",$F1145="roll_out")</f>
        <v/>
      </c>
      <c r="L1145" s="8">
        <f>OR(AND($E1145="SELL",$K1145),AND($E1145="BUY",$J1145))</f>
        <v/>
      </c>
      <c r="M1145" s="16">
        <f>((INDEX(Market_Daily!$B$6:$B$256,MATCH($C1145,Market_Daily!$A$6:$A$256,0))*INDEX(Market_Daily!$F$6:$F$256,MATCH($C1145,Market_Daily!$A$6:$A$256,0))/kg_per_mt*(1+bcd_primary_al_hs7601*(1+sws_rate_on_bcd))+mcx_domestic_premium_inr_kg)*(1+INDEX(Market_Daily!$I$6:$I$256,MATCH($C1145,Market_Daily!$A$6:$A$256,0))*MAX(0,INDEX(mcx_expiries,MATCH($D1145,mcx_months,0))-$C1145)/day_count_inr))</f>
        <v/>
      </c>
      <c r="N1145" s="16">
        <f>IF(INDEX(Market_Daily!$S$6:$S$256,MATCH($C1145,Market_Daily!$A$6:$A$256,0))=$D1145,INDEX(Market_Daily!$M$6:$M$256,MATCH($C1145,Market_Daily!$A$6:$A$256,0)),IF(INDEX(Market_Daily!$T$6:$T$256,MATCH($C1145,Market_Daily!$A$6:$A$256,0))=$D1145,INDEX(Market_Daily!$N$6:$N$256,MATCH($C1145,Market_Daily!$A$6:$A$256,0)),NA()))</f>
        <v/>
      </c>
      <c r="O1145" s="16">
        <f>$N1145-$M1145</f>
        <v/>
      </c>
      <c r="P1145" s="16">
        <f>IF(($B1144=$B1145),$M1144,"")</f>
        <v/>
      </c>
      <c r="Q1145" s="16">
        <f>$M1145+IF($L1145,1,-1)*mcx_slippage_ticks*mcx_al_tick_inr_kg</f>
        <v/>
      </c>
      <c r="R1145" s="18">
        <f>IF(($B1144=$B1145),$H1145*$I1145*kg_per_mt*($M1145-$M1144),0)</f>
        <v/>
      </c>
      <c r="S1145" s="18">
        <f>IF(($B1144=$B1145),$S1144,0)+$R1145</f>
        <v/>
      </c>
      <c r="T1145" s="18">
        <f>ABS($H1145)*$I1145*kg_per_mt*$M1145</f>
        <v/>
      </c>
      <c r="U1145" s="18">
        <f>IF($K1145,0,$T1145*mcx_al_margin_used_frac)</f>
        <v/>
      </c>
      <c r="V1145" s="18">
        <f>IF(($B1144=$B1145),$U1144,0)</f>
        <v/>
      </c>
      <c r="W1145" s="18">
        <f>$U1145-$V1145</f>
        <v/>
      </c>
      <c r="X1145" s="18">
        <f>IF($K1145,0,$T1145*0.12)</f>
        <v/>
      </c>
      <c r="Y1145" s="18">
        <f>IF($K1145,0,$T1145*0.15)</f>
        <v/>
      </c>
      <c r="Z1145" s="18">
        <f>IF($F1145="hold",0,-ABS($H1145)*$I1145*kg_per_mt*mcx_slippage_ticks*mcx_al_tick_inr_kg)</f>
        <v/>
      </c>
      <c r="AA1145" s="18">
        <f>IF($F1145="hold",0,-ABS($H1145)*$I1145*kg_per_mt*$Q1145*mcx_txn_cost_frac)</f>
        <v/>
      </c>
      <c r="AB1145" s="18">
        <f>$Z1145+$AA1145</f>
        <v/>
      </c>
      <c r="AC1145" s="18">
        <f>$R1145-$W1145+$AB1145</f>
        <v/>
      </c>
      <c r="AD1145" s="18">
        <f>IF(($B1144=$B1145),$AD1144,0)+$AC1145</f>
        <v/>
      </c>
      <c r="AE1145" s="23" t="n">
        <v>2428521.98</v>
      </c>
      <c r="AF1145" s="23" t="n">
        <v>0</v>
      </c>
      <c r="AG1145" s="23" t="n">
        <v>-66744.92999999999</v>
      </c>
      <c r="AH1145" s="23" t="n">
        <v>12515905.62</v>
      </c>
      <c r="AI1145" s="23" t="n">
        <v>-813.1900000000001</v>
      </c>
      <c r="AJ1145" s="18">
        <f>$R1145-$AE1145</f>
        <v/>
      </c>
      <c r="AK1145" s="18">
        <f>$U1145-$AF1145</f>
        <v/>
      </c>
      <c r="AL1145" s="18">
        <f>$AC1145-$AH1145</f>
        <v/>
      </c>
      <c r="AM1145" s="8">
        <f>IF(AND(ABS($AJ1145)&lt;=tol_mcx_inr,ABS($AK1145)&lt;=tol_mcx_inr,ABS($AL1145)&lt;=tol_mcx_inr),"PASS","FAIL")</f>
        <v/>
      </c>
    </row>
    <row r="1146">
      <c r="A1146" s="7" t="inlineStr">
        <is>
          <t>T02</t>
        </is>
      </c>
      <c r="B1146" s="7" t="inlineStr">
        <is>
          <t>T02-MCX-3</t>
        </is>
      </c>
      <c r="C1146" s="11" t="n">
        <v>44671</v>
      </c>
      <c r="D1146" s="7" t="n">
        <v>202205</v>
      </c>
      <c r="E1146" s="7" t="inlineStr">
        <is>
          <t>SELL</t>
        </is>
      </c>
      <c r="F1146" s="7" t="inlineStr">
        <is>
          <t>roll_in</t>
        </is>
      </c>
      <c r="G1146" s="17" t="b">
        <v>1</v>
      </c>
      <c r="H1146" s="6" t="n">
        <v>-74</v>
      </c>
      <c r="I1146" s="13" t="n">
        <v>5</v>
      </c>
      <c r="J1146" s="8">
        <f>OR($F1146="entry",$F1146="roll_in")</f>
        <v/>
      </c>
      <c r="K1146" s="8">
        <f>OR($F1146="exit",$F1146="roll_out")</f>
        <v/>
      </c>
      <c r="L1146" s="8">
        <f>OR(AND($E1146="SELL",$K1146),AND($E1146="BUY",$J1146))</f>
        <v/>
      </c>
      <c r="M1146" s="16">
        <f>((INDEX(Market_Daily!$B$6:$B$256,MATCH($C1146,Market_Daily!$A$6:$A$256,0))*INDEX(Market_Daily!$F$6:$F$256,MATCH($C1146,Market_Daily!$A$6:$A$256,0))/kg_per_mt*(1+bcd_primary_al_hs7601*(1+sws_rate_on_bcd))+mcx_domestic_premium_inr_kg)*(1+INDEX(Market_Daily!$I$6:$I$256,MATCH($C1146,Market_Daily!$A$6:$A$256,0))*MAX(0,INDEX(mcx_expiries,MATCH($D1146,mcx_months,0))-$C1146)/day_count_inr))</f>
        <v/>
      </c>
      <c r="N1146" s="16">
        <f>IF(INDEX(Market_Daily!$S$6:$S$256,MATCH($C1146,Market_Daily!$A$6:$A$256,0))=$D1146,INDEX(Market_Daily!$M$6:$M$256,MATCH($C1146,Market_Daily!$A$6:$A$256,0)),IF(INDEX(Market_Daily!$T$6:$T$256,MATCH($C1146,Market_Daily!$A$6:$A$256,0))=$D1146,INDEX(Market_Daily!$N$6:$N$256,MATCH($C1146,Market_Daily!$A$6:$A$256,0)),NA()))</f>
        <v/>
      </c>
      <c r="O1146" s="16">
        <f>$N1146-$M1146</f>
        <v/>
      </c>
      <c r="P1146" s="16">
        <f>IF(($B1145=$B1146),$M1145,"")</f>
        <v/>
      </c>
      <c r="Q1146" s="16">
        <f>$M1146+IF($L1146,1,-1)*mcx_slippage_ticks*mcx_al_tick_inr_kg</f>
        <v/>
      </c>
      <c r="R1146" s="18">
        <f>IF(($B1145=$B1146),$H1146*$I1146*kg_per_mt*($M1146-$M1145),0)</f>
        <v/>
      </c>
      <c r="S1146" s="18">
        <f>IF(($B1145=$B1146),$S1145,0)+$R1146</f>
        <v/>
      </c>
      <c r="T1146" s="18">
        <f>ABS($H1146)*$I1146*kg_per_mt*$M1146</f>
        <v/>
      </c>
      <c r="U1146" s="18">
        <f>IF($K1146,0,$T1146*mcx_al_margin_used_frac)</f>
        <v/>
      </c>
      <c r="V1146" s="18">
        <f>IF(($B1145=$B1146),$U1145,0)</f>
        <v/>
      </c>
      <c r="W1146" s="18">
        <f>$U1146-$V1146</f>
        <v/>
      </c>
      <c r="X1146" s="18">
        <f>IF($K1146,0,$T1146*0.12)</f>
        <v/>
      </c>
      <c r="Y1146" s="18">
        <f>IF($K1146,0,$T1146*0.15)</f>
        <v/>
      </c>
      <c r="Z1146" s="18">
        <f>IF($F1146="hold",0,-ABS($H1146)*$I1146*kg_per_mt*mcx_slippage_ticks*mcx_al_tick_inr_kg)</f>
        <v/>
      </c>
      <c r="AA1146" s="18">
        <f>IF($F1146="hold",0,-ABS($H1146)*$I1146*kg_per_mt*$Q1146*mcx_txn_cost_frac)</f>
        <v/>
      </c>
      <c r="AB1146" s="18">
        <f>$Z1146+$AA1146</f>
        <v/>
      </c>
      <c r="AC1146" s="18">
        <f>$R1146-$W1146+$AB1146</f>
        <v/>
      </c>
      <c r="AD1146" s="18">
        <f>IF(($B1145=$B1146),$AD1145,0)+$AC1146</f>
        <v/>
      </c>
      <c r="AE1146" s="23" t="n">
        <v>0</v>
      </c>
      <c r="AF1146" s="23" t="n">
        <v>9945353.390000001</v>
      </c>
      <c r="AG1146" s="23" t="n">
        <v>-66824.96000000001</v>
      </c>
      <c r="AH1146" s="23" t="n">
        <v>-10012178.35</v>
      </c>
      <c r="AI1146" s="23" t="n">
        <v>0</v>
      </c>
      <c r="AJ1146" s="18">
        <f>$R1146-$AE1146</f>
        <v/>
      </c>
      <c r="AK1146" s="18">
        <f>$U1146-$AF1146</f>
        <v/>
      </c>
      <c r="AL1146" s="18">
        <f>$AC1146-$AH1146</f>
        <v/>
      </c>
      <c r="AM1146" s="8">
        <f>IF(AND(ABS($AJ1146)&lt;=tol_mcx_inr,ABS($AK1146)&lt;=tol_mcx_inr,ABS($AL1146)&lt;=tol_mcx_inr),"PASS","FAIL")</f>
        <v/>
      </c>
    </row>
    <row r="1147">
      <c r="A1147" s="7" t="inlineStr">
        <is>
          <t>T02</t>
        </is>
      </c>
      <c r="B1147" s="7" t="inlineStr">
        <is>
          <t>T02-MCX-3</t>
        </is>
      </c>
      <c r="C1147" s="11" t="n">
        <v>44672</v>
      </c>
      <c r="D1147" s="7" t="n">
        <v>202205</v>
      </c>
      <c r="E1147" s="7" t="inlineStr">
        <is>
          <t>SELL</t>
        </is>
      </c>
      <c r="F1147" s="7" t="inlineStr">
        <is>
          <t>hold</t>
        </is>
      </c>
      <c r="G1147" s="17" t="b">
        <v>1</v>
      </c>
      <c r="H1147" s="6" t="n">
        <v>-74</v>
      </c>
      <c r="I1147" s="13" t="n">
        <v>5</v>
      </c>
      <c r="J1147" s="8">
        <f>OR($F1147="entry",$F1147="roll_in")</f>
        <v/>
      </c>
      <c r="K1147" s="8">
        <f>OR($F1147="exit",$F1147="roll_out")</f>
        <v/>
      </c>
      <c r="L1147" s="8">
        <f>OR(AND($E1147="SELL",$K1147),AND($E1147="BUY",$J1147))</f>
        <v/>
      </c>
      <c r="M1147" s="16">
        <f>((INDEX(Market_Daily!$B$6:$B$256,MATCH($C1147,Market_Daily!$A$6:$A$256,0))*INDEX(Market_Daily!$F$6:$F$256,MATCH($C1147,Market_Daily!$A$6:$A$256,0))/kg_per_mt*(1+bcd_primary_al_hs7601*(1+sws_rate_on_bcd))+mcx_domestic_premium_inr_kg)*(1+INDEX(Market_Daily!$I$6:$I$256,MATCH($C1147,Market_Daily!$A$6:$A$256,0))*MAX(0,INDEX(mcx_expiries,MATCH($D1147,mcx_months,0))-$C1147)/day_count_inr))</f>
        <v/>
      </c>
      <c r="N1147" s="16">
        <f>IF(INDEX(Market_Daily!$S$6:$S$256,MATCH($C1147,Market_Daily!$A$6:$A$256,0))=$D1147,INDEX(Market_Daily!$M$6:$M$256,MATCH($C1147,Market_Daily!$A$6:$A$256,0)),IF(INDEX(Market_Daily!$T$6:$T$256,MATCH($C1147,Market_Daily!$A$6:$A$256,0))=$D1147,INDEX(Market_Daily!$N$6:$N$256,MATCH($C1147,Market_Daily!$A$6:$A$256,0)),NA()))</f>
        <v/>
      </c>
      <c r="O1147" s="16">
        <f>$N1147-$M1147</f>
        <v/>
      </c>
      <c r="P1147" s="16">
        <f>IF(($B1146=$B1147),$M1146,"")</f>
        <v/>
      </c>
      <c r="Q1147" s="16">
        <f>$M1147+IF($L1147,1,-1)*mcx_slippage_ticks*mcx_al_tick_inr_kg</f>
        <v/>
      </c>
      <c r="R1147" s="18">
        <f>IF(($B1146=$B1147),$H1147*$I1147*kg_per_mt*($M1147-$M1146),0)</f>
        <v/>
      </c>
      <c r="S1147" s="18">
        <f>IF(($B1146=$B1147),$S1146,0)+$R1147</f>
        <v/>
      </c>
      <c r="T1147" s="18">
        <f>ABS($H1147)*$I1147*kg_per_mt*$M1147</f>
        <v/>
      </c>
      <c r="U1147" s="18">
        <f>IF($K1147,0,$T1147*mcx_al_margin_used_frac)</f>
        <v/>
      </c>
      <c r="V1147" s="18">
        <f>IF(($B1146=$B1147),$U1146,0)</f>
        <v/>
      </c>
      <c r="W1147" s="18">
        <f>$U1147-$V1147</f>
        <v/>
      </c>
      <c r="X1147" s="18">
        <f>IF($K1147,0,$T1147*0.12)</f>
        <v/>
      </c>
      <c r="Y1147" s="18">
        <f>IF($K1147,0,$T1147*0.15)</f>
        <v/>
      </c>
      <c r="Z1147" s="18">
        <f>IF($F1147="hold",0,-ABS($H1147)*$I1147*kg_per_mt*mcx_slippage_ticks*mcx_al_tick_inr_kg)</f>
        <v/>
      </c>
      <c r="AA1147" s="18">
        <f>IF($F1147="hold",0,-ABS($H1147)*$I1147*kg_per_mt*$Q1147*mcx_txn_cost_frac)</f>
        <v/>
      </c>
      <c r="AB1147" s="18">
        <f>$Z1147+$AA1147</f>
        <v/>
      </c>
      <c r="AC1147" s="18">
        <f>$R1147-$W1147+$AB1147</f>
        <v/>
      </c>
      <c r="AD1147" s="18">
        <f>IF(($B1146=$B1147),$AD1146,0)+$AC1147</f>
        <v/>
      </c>
      <c r="AE1147" s="23" t="n">
        <v>-538353.2</v>
      </c>
      <c r="AF1147" s="23" t="n">
        <v>9999188.710000001</v>
      </c>
      <c r="AG1147" s="23" t="n">
        <v>0</v>
      </c>
      <c r="AH1147" s="23" t="n">
        <v>-592188.52</v>
      </c>
      <c r="AI1147" s="23" t="n">
        <v>-2633.34</v>
      </c>
      <c r="AJ1147" s="18">
        <f>$R1147-$AE1147</f>
        <v/>
      </c>
      <c r="AK1147" s="18">
        <f>$U1147-$AF1147</f>
        <v/>
      </c>
      <c r="AL1147" s="18">
        <f>$AC1147-$AH1147</f>
        <v/>
      </c>
      <c r="AM1147" s="8">
        <f>IF(AND(ABS($AJ1147)&lt;=tol_mcx_inr,ABS($AK1147)&lt;=tol_mcx_inr,ABS($AL1147)&lt;=tol_mcx_inr),"PASS","FAIL")</f>
        <v/>
      </c>
    </row>
    <row r="1148">
      <c r="A1148" s="7" t="inlineStr">
        <is>
          <t>T02</t>
        </is>
      </c>
      <c r="B1148" s="7" t="inlineStr">
        <is>
          <t>T02-MCX-3</t>
        </is>
      </c>
      <c r="C1148" s="11" t="n">
        <v>44673</v>
      </c>
      <c r="D1148" s="7" t="n">
        <v>202205</v>
      </c>
      <c r="E1148" s="7" t="inlineStr">
        <is>
          <t>SELL</t>
        </is>
      </c>
      <c r="F1148" s="7" t="inlineStr">
        <is>
          <t>hold</t>
        </is>
      </c>
      <c r="G1148" s="17" t="b">
        <v>1</v>
      </c>
      <c r="H1148" s="6" t="n">
        <v>-74</v>
      </c>
      <c r="I1148" s="13" t="n">
        <v>5</v>
      </c>
      <c r="J1148" s="8">
        <f>OR($F1148="entry",$F1148="roll_in")</f>
        <v/>
      </c>
      <c r="K1148" s="8">
        <f>OR($F1148="exit",$F1148="roll_out")</f>
        <v/>
      </c>
      <c r="L1148" s="8">
        <f>OR(AND($E1148="SELL",$K1148),AND($E1148="BUY",$J1148))</f>
        <v/>
      </c>
      <c r="M1148" s="16">
        <f>((INDEX(Market_Daily!$B$6:$B$256,MATCH($C1148,Market_Daily!$A$6:$A$256,0))*INDEX(Market_Daily!$F$6:$F$256,MATCH($C1148,Market_Daily!$A$6:$A$256,0))/kg_per_mt*(1+bcd_primary_al_hs7601*(1+sws_rate_on_bcd))+mcx_domestic_premium_inr_kg)*(1+INDEX(Market_Daily!$I$6:$I$256,MATCH($C1148,Market_Daily!$A$6:$A$256,0))*MAX(0,INDEX(mcx_expiries,MATCH($D1148,mcx_months,0))-$C1148)/day_count_inr))</f>
        <v/>
      </c>
      <c r="N1148" s="16">
        <f>IF(INDEX(Market_Daily!$S$6:$S$256,MATCH($C1148,Market_Daily!$A$6:$A$256,0))=$D1148,INDEX(Market_Daily!$M$6:$M$256,MATCH($C1148,Market_Daily!$A$6:$A$256,0)),IF(INDEX(Market_Daily!$T$6:$T$256,MATCH($C1148,Market_Daily!$A$6:$A$256,0))=$D1148,INDEX(Market_Daily!$N$6:$N$256,MATCH($C1148,Market_Daily!$A$6:$A$256,0)),NA()))</f>
        <v/>
      </c>
      <c r="O1148" s="16">
        <f>$N1148-$M1148</f>
        <v/>
      </c>
      <c r="P1148" s="16">
        <f>IF(($B1147=$B1148),$M1147,"")</f>
        <v/>
      </c>
      <c r="Q1148" s="16">
        <f>$M1148+IF($L1148,1,-1)*mcx_slippage_ticks*mcx_al_tick_inr_kg</f>
        <v/>
      </c>
      <c r="R1148" s="18">
        <f>IF(($B1147=$B1148),$H1148*$I1148*kg_per_mt*($M1148-$M1147),0)</f>
        <v/>
      </c>
      <c r="S1148" s="18">
        <f>IF(($B1147=$B1148),$S1147,0)+$R1148</f>
        <v/>
      </c>
      <c r="T1148" s="18">
        <f>ABS($H1148)*$I1148*kg_per_mt*$M1148</f>
        <v/>
      </c>
      <c r="U1148" s="18">
        <f>IF($K1148,0,$T1148*mcx_al_margin_used_frac)</f>
        <v/>
      </c>
      <c r="V1148" s="18">
        <f>IF(($B1147=$B1148),$U1147,0)</f>
        <v/>
      </c>
      <c r="W1148" s="18">
        <f>$U1148-$V1148</f>
        <v/>
      </c>
      <c r="X1148" s="18">
        <f>IF($K1148,0,$T1148*0.12)</f>
        <v/>
      </c>
      <c r="Y1148" s="18">
        <f>IF($K1148,0,$T1148*0.15)</f>
        <v/>
      </c>
      <c r="Z1148" s="18">
        <f>IF($F1148="hold",0,-ABS($H1148)*$I1148*kg_per_mt*mcx_slippage_ticks*mcx_al_tick_inr_kg)</f>
        <v/>
      </c>
      <c r="AA1148" s="18">
        <f>IF($F1148="hold",0,-ABS($H1148)*$I1148*kg_per_mt*$Q1148*mcx_txn_cost_frac)</f>
        <v/>
      </c>
      <c r="AB1148" s="18">
        <f>$Z1148+$AA1148</f>
        <v/>
      </c>
      <c r="AC1148" s="18">
        <f>$R1148-$W1148+$AB1148</f>
        <v/>
      </c>
      <c r="AD1148" s="18">
        <f>IF(($B1147=$B1148),$AD1147,0)+$AC1148</f>
        <v/>
      </c>
      <c r="AE1148" s="23" t="n">
        <v>245488.24</v>
      </c>
      <c r="AF1148" s="23" t="n">
        <v>9974639.880000001</v>
      </c>
      <c r="AG1148" s="23" t="n">
        <v>0</v>
      </c>
      <c r="AH1148" s="23" t="n">
        <v>270037.06</v>
      </c>
      <c r="AI1148" s="23" t="n">
        <v>-2789.09</v>
      </c>
      <c r="AJ1148" s="18">
        <f>$R1148-$AE1148</f>
        <v/>
      </c>
      <c r="AK1148" s="18">
        <f>$U1148-$AF1148</f>
        <v/>
      </c>
      <c r="AL1148" s="18">
        <f>$AC1148-$AH1148</f>
        <v/>
      </c>
      <c r="AM1148" s="8">
        <f>IF(AND(ABS($AJ1148)&lt;=tol_mcx_inr,ABS($AK1148)&lt;=tol_mcx_inr,ABS($AL1148)&lt;=tol_mcx_inr),"PASS","FAIL")</f>
        <v/>
      </c>
    </row>
    <row r="1149">
      <c r="A1149" s="7" t="inlineStr">
        <is>
          <t>T02</t>
        </is>
      </c>
      <c r="B1149" s="7" t="inlineStr">
        <is>
          <t>T02-MCX-3</t>
        </is>
      </c>
      <c r="C1149" s="11" t="n">
        <v>44676</v>
      </c>
      <c r="D1149" s="7" t="n">
        <v>202205</v>
      </c>
      <c r="E1149" s="7" t="inlineStr">
        <is>
          <t>SELL</t>
        </is>
      </c>
      <c r="F1149" s="7" t="inlineStr">
        <is>
          <t>exit</t>
        </is>
      </c>
      <c r="G1149" s="17" t="b">
        <v>1</v>
      </c>
      <c r="H1149" s="6" t="n">
        <v>-74</v>
      </c>
      <c r="I1149" s="13" t="n">
        <v>5</v>
      </c>
      <c r="J1149" s="8">
        <f>OR($F1149="entry",$F1149="roll_in")</f>
        <v/>
      </c>
      <c r="K1149" s="8">
        <f>OR($F1149="exit",$F1149="roll_out")</f>
        <v/>
      </c>
      <c r="L1149" s="8">
        <f>OR(AND($E1149="SELL",$K1149),AND($E1149="BUY",$J1149))</f>
        <v/>
      </c>
      <c r="M1149" s="16">
        <f>((INDEX(Market_Daily!$B$6:$B$256,MATCH($C1149,Market_Daily!$A$6:$A$256,0))*INDEX(Market_Daily!$F$6:$F$256,MATCH($C1149,Market_Daily!$A$6:$A$256,0))/kg_per_mt*(1+bcd_primary_al_hs7601*(1+sws_rate_on_bcd))+mcx_domestic_premium_inr_kg)*(1+INDEX(Market_Daily!$I$6:$I$256,MATCH($C1149,Market_Daily!$A$6:$A$256,0))*MAX(0,INDEX(mcx_expiries,MATCH($D1149,mcx_months,0))-$C1149)/day_count_inr))</f>
        <v/>
      </c>
      <c r="N1149" s="16">
        <f>IF(INDEX(Market_Daily!$S$6:$S$256,MATCH($C1149,Market_Daily!$A$6:$A$256,0))=$D1149,INDEX(Market_Daily!$M$6:$M$256,MATCH($C1149,Market_Daily!$A$6:$A$256,0)),IF(INDEX(Market_Daily!$T$6:$T$256,MATCH($C1149,Market_Daily!$A$6:$A$256,0))=$D1149,INDEX(Market_Daily!$N$6:$N$256,MATCH($C1149,Market_Daily!$A$6:$A$256,0)),NA()))</f>
        <v/>
      </c>
      <c r="O1149" s="16">
        <f>$N1149-$M1149</f>
        <v/>
      </c>
      <c r="P1149" s="16">
        <f>IF(($B1148=$B1149),$M1148,"")</f>
        <v/>
      </c>
      <c r="Q1149" s="16">
        <f>$M1149+IF($L1149,1,-1)*mcx_slippage_ticks*mcx_al_tick_inr_kg</f>
        <v/>
      </c>
      <c r="R1149" s="18">
        <f>IF(($B1148=$B1149),$H1149*$I1149*kg_per_mt*($M1149-$M1148),0)</f>
        <v/>
      </c>
      <c r="S1149" s="18">
        <f>IF(($B1148=$B1149),$S1148,0)+$R1149</f>
        <v/>
      </c>
      <c r="T1149" s="18">
        <f>ABS($H1149)*$I1149*kg_per_mt*$M1149</f>
        <v/>
      </c>
      <c r="U1149" s="18">
        <f>IF($K1149,0,$T1149*mcx_al_margin_used_frac)</f>
        <v/>
      </c>
      <c r="V1149" s="18">
        <f>IF(($B1148=$B1149),$U1148,0)</f>
        <v/>
      </c>
      <c r="W1149" s="18">
        <f>$U1149-$V1149</f>
        <v/>
      </c>
      <c r="X1149" s="18">
        <f>IF($K1149,0,$T1149*0.12)</f>
        <v/>
      </c>
      <c r="Y1149" s="18">
        <f>IF($K1149,0,$T1149*0.15)</f>
        <v/>
      </c>
      <c r="Z1149" s="18">
        <f>IF($F1149="hold",0,-ABS($H1149)*$I1149*kg_per_mt*mcx_slippage_ticks*mcx_al_tick_inr_kg)</f>
        <v/>
      </c>
      <c r="AA1149" s="18">
        <f>IF($F1149="hold",0,-ABS($H1149)*$I1149*kg_per_mt*$Q1149*mcx_txn_cost_frac)</f>
        <v/>
      </c>
      <c r="AB1149" s="18">
        <f>$Z1149+$AA1149</f>
        <v/>
      </c>
      <c r="AC1149" s="18">
        <f>$R1149-$W1149+$AB1149</f>
        <v/>
      </c>
      <c r="AD1149" s="18">
        <f>IF(($B1148=$B1149),$AD1148,0)+$AC1149</f>
        <v/>
      </c>
      <c r="AE1149" s="23" t="n">
        <v>4569784.68</v>
      </c>
      <c r="AF1149" s="23" t="n">
        <v>0</v>
      </c>
      <c r="AG1149" s="23" t="n">
        <v>-65564.08</v>
      </c>
      <c r="AH1149" s="23" t="n">
        <v>14478860.48</v>
      </c>
      <c r="AI1149" s="23" t="n">
        <v>-8154.21</v>
      </c>
      <c r="AJ1149" s="18">
        <f>$R1149-$AE1149</f>
        <v/>
      </c>
      <c r="AK1149" s="18">
        <f>$U1149-$AF1149</f>
        <v/>
      </c>
      <c r="AL1149" s="18">
        <f>$AC1149-$AH1149</f>
        <v/>
      </c>
      <c r="AM1149" s="8">
        <f>IF(AND(ABS($AJ1149)&lt;=tol_mcx_inr,ABS($AK1149)&lt;=tol_mcx_inr,ABS($AL1149)&lt;=tol_mcx_inr),"PASS","FAIL")</f>
        <v/>
      </c>
    </row>
    <row r="1150">
      <c r="A1150" s="7" t="inlineStr">
        <is>
          <t>T02</t>
        </is>
      </c>
      <c r="B1150" s="7" t="inlineStr">
        <is>
          <t>T02-MCX-4</t>
        </is>
      </c>
      <c r="C1150" s="11" t="n">
        <v>44676</v>
      </c>
      <c r="D1150" s="7" t="n">
        <v>202205</v>
      </c>
      <c r="E1150" s="7" t="inlineStr">
        <is>
          <t>BUY</t>
        </is>
      </c>
      <c r="F1150" s="7" t="inlineStr">
        <is>
          <t>entry</t>
        </is>
      </c>
      <c r="G1150" s="17" t="b">
        <v>1</v>
      </c>
      <c r="H1150" s="6" t="n">
        <v>145</v>
      </c>
      <c r="I1150" s="13" t="n">
        <v>5</v>
      </c>
      <c r="J1150" s="8">
        <f>OR($F1150="entry",$F1150="roll_in")</f>
        <v/>
      </c>
      <c r="K1150" s="8">
        <f>OR($F1150="exit",$F1150="roll_out")</f>
        <v/>
      </c>
      <c r="L1150" s="8">
        <f>OR(AND($E1150="SELL",$K1150),AND($E1150="BUY",$J1150))</f>
        <v/>
      </c>
      <c r="M1150" s="16">
        <f>((INDEX(Market_Daily!$B$6:$B$256,MATCH($C1150,Market_Daily!$A$6:$A$256,0))*INDEX(Market_Daily!$F$6:$F$256,MATCH($C1150,Market_Daily!$A$6:$A$256,0))/kg_per_mt*(1+bcd_primary_al_hs7601*(1+sws_rate_on_bcd))+mcx_domestic_premium_inr_kg)*(1+INDEX(Market_Daily!$I$6:$I$256,MATCH($C1150,Market_Daily!$A$6:$A$256,0))*MAX(0,INDEX(mcx_expiries,MATCH($D1150,mcx_months,0))-$C1150)/day_count_inr))</f>
        <v/>
      </c>
      <c r="N1150" s="16">
        <f>IF(INDEX(Market_Daily!$S$6:$S$256,MATCH($C1150,Market_Daily!$A$6:$A$256,0))=$D1150,INDEX(Market_Daily!$M$6:$M$256,MATCH($C1150,Market_Daily!$A$6:$A$256,0)),IF(INDEX(Market_Daily!$T$6:$T$256,MATCH($C1150,Market_Daily!$A$6:$A$256,0))=$D1150,INDEX(Market_Daily!$N$6:$N$256,MATCH($C1150,Market_Daily!$A$6:$A$256,0)),NA()))</f>
        <v/>
      </c>
      <c r="O1150" s="16">
        <f>$N1150-$M1150</f>
        <v/>
      </c>
      <c r="P1150" s="16">
        <f>IF(($B1149=$B1150),$M1149,"")</f>
        <v/>
      </c>
      <c r="Q1150" s="16">
        <f>$M1150+IF($L1150,1,-1)*mcx_slippage_ticks*mcx_al_tick_inr_kg</f>
        <v/>
      </c>
      <c r="R1150" s="18">
        <f>IF(($B1149=$B1150),$H1150*$I1150*kg_per_mt*($M1150-$M1149),0)</f>
        <v/>
      </c>
      <c r="S1150" s="18">
        <f>IF(($B1149=$B1150),$S1149,0)+$R1150</f>
        <v/>
      </c>
      <c r="T1150" s="18">
        <f>ABS($H1150)*$I1150*kg_per_mt*$M1150</f>
        <v/>
      </c>
      <c r="U1150" s="18">
        <f>IF($K1150,0,$T1150*mcx_al_margin_used_frac)</f>
        <v/>
      </c>
      <c r="V1150" s="18">
        <f>IF(($B1149=$B1150),$U1149,0)</f>
        <v/>
      </c>
      <c r="W1150" s="18">
        <f>$U1150-$V1150</f>
        <v/>
      </c>
      <c r="X1150" s="18">
        <f>IF($K1150,0,$T1150*0.12)</f>
        <v/>
      </c>
      <c r="Y1150" s="18">
        <f>IF($K1150,0,$T1150*0.15)</f>
        <v/>
      </c>
      <c r="Z1150" s="18">
        <f>IF($F1150="hold",0,-ABS($H1150)*$I1150*kg_per_mt*mcx_slippage_ticks*mcx_al_tick_inr_kg)</f>
        <v/>
      </c>
      <c r="AA1150" s="18">
        <f>IF($F1150="hold",0,-ABS($H1150)*$I1150*kg_per_mt*$Q1150*mcx_txn_cost_frac)</f>
        <v/>
      </c>
      <c r="AB1150" s="18">
        <f>$Z1150+$AA1150</f>
        <v/>
      </c>
      <c r="AC1150" s="18">
        <f>$R1150-$W1150+$AB1150</f>
        <v/>
      </c>
      <c r="AD1150" s="18">
        <f>IF(($B1149=$B1150),$AD1149,0)+$AC1150</f>
        <v/>
      </c>
      <c r="AE1150" s="23" t="n">
        <v>0</v>
      </c>
      <c r="AF1150" s="23" t="n">
        <v>18649471.69</v>
      </c>
      <c r="AG1150" s="23" t="n">
        <v>-128470.17</v>
      </c>
      <c r="AH1150" s="23" t="n">
        <v>-18777941.86</v>
      </c>
      <c r="AI1150" s="23" t="n">
        <v>0</v>
      </c>
      <c r="AJ1150" s="18">
        <f>$R1150-$AE1150</f>
        <v/>
      </c>
      <c r="AK1150" s="18">
        <f>$U1150-$AF1150</f>
        <v/>
      </c>
      <c r="AL1150" s="18">
        <f>$AC1150-$AH1150</f>
        <v/>
      </c>
      <c r="AM1150" s="8">
        <f>IF(AND(ABS($AJ1150)&lt;=tol_mcx_inr,ABS($AK1150)&lt;=tol_mcx_inr,ABS($AL1150)&lt;=tol_mcx_inr),"PASS","FAIL")</f>
        <v/>
      </c>
    </row>
    <row r="1151">
      <c r="A1151" s="7" t="inlineStr">
        <is>
          <t>T02</t>
        </is>
      </c>
      <c r="B1151" s="7" t="inlineStr">
        <is>
          <t>T02-MCX-4</t>
        </is>
      </c>
      <c r="C1151" s="11" t="n">
        <v>44677</v>
      </c>
      <c r="D1151" s="7" t="n">
        <v>202205</v>
      </c>
      <c r="E1151" s="7" t="inlineStr">
        <is>
          <t>BUY</t>
        </is>
      </c>
      <c r="F1151" s="7" t="inlineStr">
        <is>
          <t>hold</t>
        </is>
      </c>
      <c r="G1151" s="17" t="b">
        <v>1</v>
      </c>
      <c r="H1151" s="6" t="n">
        <v>145</v>
      </c>
      <c r="I1151" s="13" t="n">
        <v>5</v>
      </c>
      <c r="J1151" s="8">
        <f>OR($F1151="entry",$F1151="roll_in")</f>
        <v/>
      </c>
      <c r="K1151" s="8">
        <f>OR($F1151="exit",$F1151="roll_out")</f>
        <v/>
      </c>
      <c r="L1151" s="8">
        <f>OR(AND($E1151="SELL",$K1151),AND($E1151="BUY",$J1151))</f>
        <v/>
      </c>
      <c r="M1151" s="16">
        <f>((INDEX(Market_Daily!$B$6:$B$256,MATCH($C1151,Market_Daily!$A$6:$A$256,0))*INDEX(Market_Daily!$F$6:$F$256,MATCH($C1151,Market_Daily!$A$6:$A$256,0))/kg_per_mt*(1+bcd_primary_al_hs7601*(1+sws_rate_on_bcd))+mcx_domestic_premium_inr_kg)*(1+INDEX(Market_Daily!$I$6:$I$256,MATCH($C1151,Market_Daily!$A$6:$A$256,0))*MAX(0,INDEX(mcx_expiries,MATCH($D1151,mcx_months,0))-$C1151)/day_count_inr))</f>
        <v/>
      </c>
      <c r="N1151" s="16">
        <f>IF(INDEX(Market_Daily!$S$6:$S$256,MATCH($C1151,Market_Daily!$A$6:$A$256,0))=$D1151,INDEX(Market_Daily!$M$6:$M$256,MATCH($C1151,Market_Daily!$A$6:$A$256,0)),IF(INDEX(Market_Daily!$T$6:$T$256,MATCH($C1151,Market_Daily!$A$6:$A$256,0))=$D1151,INDEX(Market_Daily!$N$6:$N$256,MATCH($C1151,Market_Daily!$A$6:$A$256,0)),NA()))</f>
        <v/>
      </c>
      <c r="O1151" s="16">
        <f>$N1151-$M1151</f>
        <v/>
      </c>
      <c r="P1151" s="16">
        <f>IF(($B1150=$B1151),$M1150,"")</f>
        <v/>
      </c>
      <c r="Q1151" s="16">
        <f>$M1151+IF($L1151,1,-1)*mcx_slippage_ticks*mcx_al_tick_inr_kg</f>
        <v/>
      </c>
      <c r="R1151" s="18">
        <f>IF(($B1150=$B1151),$H1151*$I1151*kg_per_mt*($M1151-$M1150),0)</f>
        <v/>
      </c>
      <c r="S1151" s="18">
        <f>IF(($B1150=$B1151),$S1150,0)+$R1151</f>
        <v/>
      </c>
      <c r="T1151" s="18">
        <f>ABS($H1151)*$I1151*kg_per_mt*$M1151</f>
        <v/>
      </c>
      <c r="U1151" s="18">
        <f>IF($K1151,0,$T1151*mcx_al_margin_used_frac)</f>
        <v/>
      </c>
      <c r="V1151" s="18">
        <f>IF(($B1150=$B1151),$U1150,0)</f>
        <v/>
      </c>
      <c r="W1151" s="18">
        <f>$U1151-$V1151</f>
        <v/>
      </c>
      <c r="X1151" s="18">
        <f>IF($K1151,0,$T1151*0.12)</f>
        <v/>
      </c>
      <c r="Y1151" s="18">
        <f>IF($K1151,0,$T1151*0.15)</f>
        <v/>
      </c>
      <c r="Z1151" s="18">
        <f>IF($F1151="hold",0,-ABS($H1151)*$I1151*kg_per_mt*mcx_slippage_ticks*mcx_al_tick_inr_kg)</f>
        <v/>
      </c>
      <c r="AA1151" s="18">
        <f>IF($F1151="hold",0,-ABS($H1151)*$I1151*kg_per_mt*$Q1151*mcx_txn_cost_frac)</f>
        <v/>
      </c>
      <c r="AB1151" s="18">
        <f>$Z1151+$AA1151</f>
        <v/>
      </c>
      <c r="AC1151" s="18">
        <f>$R1151-$W1151+$AB1151</f>
        <v/>
      </c>
      <c r="AD1151" s="18">
        <f>IF(($B1150=$B1151),$AD1150,0)+$AC1151</f>
        <v/>
      </c>
      <c r="AE1151" s="23" t="n">
        <v>636117.22</v>
      </c>
      <c r="AF1151" s="23" t="n">
        <v>18713083.42</v>
      </c>
      <c r="AG1151" s="23" t="n">
        <v>0</v>
      </c>
      <c r="AH1151" s="23" t="n">
        <v>572505.5</v>
      </c>
      <c r="AI1151" s="23" t="n">
        <v>-4938.86</v>
      </c>
      <c r="AJ1151" s="18">
        <f>$R1151-$AE1151</f>
        <v/>
      </c>
      <c r="AK1151" s="18">
        <f>$U1151-$AF1151</f>
        <v/>
      </c>
      <c r="AL1151" s="18">
        <f>$AC1151-$AH1151</f>
        <v/>
      </c>
      <c r="AM1151" s="8">
        <f>IF(AND(ABS($AJ1151)&lt;=tol_mcx_inr,ABS($AK1151)&lt;=tol_mcx_inr,ABS($AL1151)&lt;=tol_mcx_inr),"PASS","FAIL")</f>
        <v/>
      </c>
    </row>
    <row r="1152">
      <c r="A1152" s="7" t="inlineStr">
        <is>
          <t>T02</t>
        </is>
      </c>
      <c r="B1152" s="7" t="inlineStr">
        <is>
          <t>T02-MCX-4</t>
        </is>
      </c>
      <c r="C1152" s="11" t="n">
        <v>44678</v>
      </c>
      <c r="D1152" s="7" t="n">
        <v>202205</v>
      </c>
      <c r="E1152" s="7" t="inlineStr">
        <is>
          <t>BUY</t>
        </is>
      </c>
      <c r="F1152" s="7" t="inlineStr">
        <is>
          <t>hold</t>
        </is>
      </c>
      <c r="G1152" s="17" t="b">
        <v>1</v>
      </c>
      <c r="H1152" s="6" t="n">
        <v>145</v>
      </c>
      <c r="I1152" s="13" t="n">
        <v>5</v>
      </c>
      <c r="J1152" s="8">
        <f>OR($F1152="entry",$F1152="roll_in")</f>
        <v/>
      </c>
      <c r="K1152" s="8">
        <f>OR($F1152="exit",$F1152="roll_out")</f>
        <v/>
      </c>
      <c r="L1152" s="8">
        <f>OR(AND($E1152="SELL",$K1152),AND($E1152="BUY",$J1152))</f>
        <v/>
      </c>
      <c r="M1152" s="16">
        <f>((INDEX(Market_Daily!$B$6:$B$256,MATCH($C1152,Market_Daily!$A$6:$A$256,0))*INDEX(Market_Daily!$F$6:$F$256,MATCH($C1152,Market_Daily!$A$6:$A$256,0))/kg_per_mt*(1+bcd_primary_al_hs7601*(1+sws_rate_on_bcd))+mcx_domestic_premium_inr_kg)*(1+INDEX(Market_Daily!$I$6:$I$256,MATCH($C1152,Market_Daily!$A$6:$A$256,0))*MAX(0,INDEX(mcx_expiries,MATCH($D1152,mcx_months,0))-$C1152)/day_count_inr))</f>
        <v/>
      </c>
      <c r="N1152" s="16">
        <f>IF(INDEX(Market_Daily!$S$6:$S$256,MATCH($C1152,Market_Daily!$A$6:$A$256,0))=$D1152,INDEX(Market_Daily!$M$6:$M$256,MATCH($C1152,Market_Daily!$A$6:$A$256,0)),IF(INDEX(Market_Daily!$T$6:$T$256,MATCH($C1152,Market_Daily!$A$6:$A$256,0))=$D1152,INDEX(Market_Daily!$N$6:$N$256,MATCH($C1152,Market_Daily!$A$6:$A$256,0)),NA()))</f>
        <v/>
      </c>
      <c r="O1152" s="16">
        <f>$N1152-$M1152</f>
        <v/>
      </c>
      <c r="P1152" s="16">
        <f>IF(($B1151=$B1152),$M1151,"")</f>
        <v/>
      </c>
      <c r="Q1152" s="16">
        <f>$M1152+IF($L1152,1,-1)*mcx_slippage_ticks*mcx_al_tick_inr_kg</f>
        <v/>
      </c>
      <c r="R1152" s="18">
        <f>IF(($B1151=$B1152),$H1152*$I1152*kg_per_mt*($M1152-$M1151),0)</f>
        <v/>
      </c>
      <c r="S1152" s="18">
        <f>IF(($B1151=$B1152),$S1151,0)+$R1152</f>
        <v/>
      </c>
      <c r="T1152" s="18">
        <f>ABS($H1152)*$I1152*kg_per_mt*$M1152</f>
        <v/>
      </c>
      <c r="U1152" s="18">
        <f>IF($K1152,0,$T1152*mcx_al_margin_used_frac)</f>
        <v/>
      </c>
      <c r="V1152" s="18">
        <f>IF(($B1151=$B1152),$U1151,0)</f>
        <v/>
      </c>
      <c r="W1152" s="18">
        <f>$U1152-$V1152</f>
        <v/>
      </c>
      <c r="X1152" s="18">
        <f>IF($K1152,0,$T1152*0.12)</f>
        <v/>
      </c>
      <c r="Y1152" s="18">
        <f>IF($K1152,0,$T1152*0.15)</f>
        <v/>
      </c>
      <c r="Z1152" s="18">
        <f>IF($F1152="hold",0,-ABS($H1152)*$I1152*kg_per_mt*mcx_slippage_ticks*mcx_al_tick_inr_kg)</f>
        <v/>
      </c>
      <c r="AA1152" s="18">
        <f>IF($F1152="hold",0,-ABS($H1152)*$I1152*kg_per_mt*$Q1152*mcx_txn_cost_frac)</f>
        <v/>
      </c>
      <c r="AB1152" s="18">
        <f>$Z1152+$AA1152</f>
        <v/>
      </c>
      <c r="AC1152" s="18">
        <f>$R1152-$W1152+$AB1152</f>
        <v/>
      </c>
      <c r="AD1152" s="18">
        <f>IF(($B1151=$B1152),$AD1151,0)+$AC1152</f>
        <v/>
      </c>
      <c r="AE1152" s="23" t="n">
        <v>-76814.39</v>
      </c>
      <c r="AF1152" s="23" t="n">
        <v>18705401.98</v>
      </c>
      <c r="AG1152" s="23" t="n">
        <v>0</v>
      </c>
      <c r="AH1152" s="23" t="n">
        <v>-69132.95</v>
      </c>
      <c r="AI1152" s="23" t="n">
        <v>-4788.28</v>
      </c>
      <c r="AJ1152" s="18">
        <f>$R1152-$AE1152</f>
        <v/>
      </c>
      <c r="AK1152" s="18">
        <f>$U1152-$AF1152</f>
        <v/>
      </c>
      <c r="AL1152" s="18">
        <f>$AC1152-$AH1152</f>
        <v/>
      </c>
      <c r="AM1152" s="8">
        <f>IF(AND(ABS($AJ1152)&lt;=tol_mcx_inr,ABS($AK1152)&lt;=tol_mcx_inr,ABS($AL1152)&lt;=tol_mcx_inr),"PASS","FAIL")</f>
        <v/>
      </c>
    </row>
    <row r="1153">
      <c r="A1153" s="7" t="inlineStr">
        <is>
          <t>T02</t>
        </is>
      </c>
      <c r="B1153" s="7" t="inlineStr">
        <is>
          <t>T02-MCX-4</t>
        </is>
      </c>
      <c r="C1153" s="11" t="n">
        <v>44679</v>
      </c>
      <c r="D1153" s="7" t="n">
        <v>202205</v>
      </c>
      <c r="E1153" s="7" t="inlineStr">
        <is>
          <t>BUY</t>
        </is>
      </c>
      <c r="F1153" s="7" t="inlineStr">
        <is>
          <t>hold</t>
        </is>
      </c>
      <c r="G1153" s="17" t="b">
        <v>1</v>
      </c>
      <c r="H1153" s="6" t="n">
        <v>145</v>
      </c>
      <c r="I1153" s="13" t="n">
        <v>5</v>
      </c>
      <c r="J1153" s="8">
        <f>OR($F1153="entry",$F1153="roll_in")</f>
        <v/>
      </c>
      <c r="K1153" s="8">
        <f>OR($F1153="exit",$F1153="roll_out")</f>
        <v/>
      </c>
      <c r="L1153" s="8">
        <f>OR(AND($E1153="SELL",$K1153),AND($E1153="BUY",$J1153))</f>
        <v/>
      </c>
      <c r="M1153" s="16">
        <f>((INDEX(Market_Daily!$B$6:$B$256,MATCH($C1153,Market_Daily!$A$6:$A$256,0))*INDEX(Market_Daily!$F$6:$F$256,MATCH($C1153,Market_Daily!$A$6:$A$256,0))/kg_per_mt*(1+bcd_primary_al_hs7601*(1+sws_rate_on_bcd))+mcx_domestic_premium_inr_kg)*(1+INDEX(Market_Daily!$I$6:$I$256,MATCH($C1153,Market_Daily!$A$6:$A$256,0))*MAX(0,INDEX(mcx_expiries,MATCH($D1153,mcx_months,0))-$C1153)/day_count_inr))</f>
        <v/>
      </c>
      <c r="N1153" s="16">
        <f>IF(INDEX(Market_Daily!$S$6:$S$256,MATCH($C1153,Market_Daily!$A$6:$A$256,0))=$D1153,INDEX(Market_Daily!$M$6:$M$256,MATCH($C1153,Market_Daily!$A$6:$A$256,0)),IF(INDEX(Market_Daily!$T$6:$T$256,MATCH($C1153,Market_Daily!$A$6:$A$256,0))=$D1153,INDEX(Market_Daily!$N$6:$N$256,MATCH($C1153,Market_Daily!$A$6:$A$256,0)),NA()))</f>
        <v/>
      </c>
      <c r="O1153" s="16">
        <f>$N1153-$M1153</f>
        <v/>
      </c>
      <c r="P1153" s="16">
        <f>IF(($B1152=$B1153),$M1152,"")</f>
        <v/>
      </c>
      <c r="Q1153" s="16">
        <f>$M1153+IF($L1153,1,-1)*mcx_slippage_ticks*mcx_al_tick_inr_kg</f>
        <v/>
      </c>
      <c r="R1153" s="18">
        <f>IF(($B1152=$B1153),$H1153*$I1153*kg_per_mt*($M1153-$M1152),0)</f>
        <v/>
      </c>
      <c r="S1153" s="18">
        <f>IF(($B1152=$B1153),$S1152,0)+$R1153</f>
        <v/>
      </c>
      <c r="T1153" s="18">
        <f>ABS($H1153)*$I1153*kg_per_mt*$M1153</f>
        <v/>
      </c>
      <c r="U1153" s="18">
        <f>IF($K1153,0,$T1153*mcx_al_margin_used_frac)</f>
        <v/>
      </c>
      <c r="V1153" s="18">
        <f>IF(($B1152=$B1153),$U1152,0)</f>
        <v/>
      </c>
      <c r="W1153" s="18">
        <f>$U1153-$V1153</f>
        <v/>
      </c>
      <c r="X1153" s="18">
        <f>IF($K1153,0,$T1153*0.12)</f>
        <v/>
      </c>
      <c r="Y1153" s="18">
        <f>IF($K1153,0,$T1153*0.15)</f>
        <v/>
      </c>
      <c r="Z1153" s="18">
        <f>IF($F1153="hold",0,-ABS($H1153)*$I1153*kg_per_mt*mcx_slippage_ticks*mcx_al_tick_inr_kg)</f>
        <v/>
      </c>
      <c r="AA1153" s="18">
        <f>IF($F1153="hold",0,-ABS($H1153)*$I1153*kg_per_mt*$Q1153*mcx_txn_cost_frac)</f>
        <v/>
      </c>
      <c r="AB1153" s="18">
        <f>$Z1153+$AA1153</f>
        <v/>
      </c>
      <c r="AC1153" s="18">
        <f>$R1153-$W1153+$AB1153</f>
        <v/>
      </c>
      <c r="AD1153" s="18">
        <f>IF(($B1152=$B1153),$AD1152,0)+$AC1153</f>
        <v/>
      </c>
      <c r="AE1153" s="23" t="n">
        <v>-1992903.98</v>
      </c>
      <c r="AF1153" s="23" t="n">
        <v>18506111.58</v>
      </c>
      <c r="AG1153" s="23" t="n">
        <v>0</v>
      </c>
      <c r="AH1153" s="23" t="n">
        <v>-1793613.58</v>
      </c>
      <c r="AI1153" s="23" t="n">
        <v>-4806.46</v>
      </c>
      <c r="AJ1153" s="18">
        <f>$R1153-$AE1153</f>
        <v/>
      </c>
      <c r="AK1153" s="18">
        <f>$U1153-$AF1153</f>
        <v/>
      </c>
      <c r="AL1153" s="18">
        <f>$AC1153-$AH1153</f>
        <v/>
      </c>
      <c r="AM1153" s="8">
        <f>IF(AND(ABS($AJ1153)&lt;=tol_mcx_inr,ABS($AK1153)&lt;=tol_mcx_inr,ABS($AL1153)&lt;=tol_mcx_inr),"PASS","FAIL")</f>
        <v/>
      </c>
    </row>
    <row r="1154">
      <c r="A1154" s="7" t="inlineStr">
        <is>
          <t>T02</t>
        </is>
      </c>
      <c r="B1154" s="7" t="inlineStr">
        <is>
          <t>T02-MCX-4</t>
        </is>
      </c>
      <c r="C1154" s="11" t="n">
        <v>44680</v>
      </c>
      <c r="D1154" s="7" t="n">
        <v>202205</v>
      </c>
      <c r="E1154" s="7" t="inlineStr">
        <is>
          <t>BUY</t>
        </is>
      </c>
      <c r="F1154" s="7" t="inlineStr">
        <is>
          <t>hold</t>
        </is>
      </c>
      <c r="G1154" s="17" t="b">
        <v>1</v>
      </c>
      <c r="H1154" s="6" t="n">
        <v>145</v>
      </c>
      <c r="I1154" s="13" t="n">
        <v>5</v>
      </c>
      <c r="J1154" s="8">
        <f>OR($F1154="entry",$F1154="roll_in")</f>
        <v/>
      </c>
      <c r="K1154" s="8">
        <f>OR($F1154="exit",$F1154="roll_out")</f>
        <v/>
      </c>
      <c r="L1154" s="8">
        <f>OR(AND($E1154="SELL",$K1154),AND($E1154="BUY",$J1154))</f>
        <v/>
      </c>
      <c r="M1154" s="16">
        <f>((INDEX(Market_Daily!$B$6:$B$256,MATCH($C1154,Market_Daily!$A$6:$A$256,0))*INDEX(Market_Daily!$F$6:$F$256,MATCH($C1154,Market_Daily!$A$6:$A$256,0))/kg_per_mt*(1+bcd_primary_al_hs7601*(1+sws_rate_on_bcd))+mcx_domestic_premium_inr_kg)*(1+INDEX(Market_Daily!$I$6:$I$256,MATCH($C1154,Market_Daily!$A$6:$A$256,0))*MAX(0,INDEX(mcx_expiries,MATCH($D1154,mcx_months,0))-$C1154)/day_count_inr))</f>
        <v/>
      </c>
      <c r="N1154" s="16">
        <f>IF(INDEX(Market_Daily!$S$6:$S$256,MATCH($C1154,Market_Daily!$A$6:$A$256,0))=$D1154,INDEX(Market_Daily!$M$6:$M$256,MATCH($C1154,Market_Daily!$A$6:$A$256,0)),IF(INDEX(Market_Daily!$T$6:$T$256,MATCH($C1154,Market_Daily!$A$6:$A$256,0))=$D1154,INDEX(Market_Daily!$N$6:$N$256,MATCH($C1154,Market_Daily!$A$6:$A$256,0)),NA()))</f>
        <v/>
      </c>
      <c r="O1154" s="16">
        <f>$N1154-$M1154</f>
        <v/>
      </c>
      <c r="P1154" s="16">
        <f>IF(($B1153=$B1154),$M1153,"")</f>
        <v/>
      </c>
      <c r="Q1154" s="16">
        <f>$M1154+IF($L1154,1,-1)*mcx_slippage_ticks*mcx_al_tick_inr_kg</f>
        <v/>
      </c>
      <c r="R1154" s="18">
        <f>IF(($B1153=$B1154),$H1154*$I1154*kg_per_mt*($M1154-$M1153),0)</f>
        <v/>
      </c>
      <c r="S1154" s="18">
        <f>IF(($B1153=$B1154),$S1153,0)+$R1154</f>
        <v/>
      </c>
      <c r="T1154" s="18">
        <f>ABS($H1154)*$I1154*kg_per_mt*$M1154</f>
        <v/>
      </c>
      <c r="U1154" s="18">
        <f>IF($K1154,0,$T1154*mcx_al_margin_used_frac)</f>
        <v/>
      </c>
      <c r="V1154" s="18">
        <f>IF(($B1153=$B1154),$U1153,0)</f>
        <v/>
      </c>
      <c r="W1154" s="18">
        <f>$U1154-$V1154</f>
        <v/>
      </c>
      <c r="X1154" s="18">
        <f>IF($K1154,0,$T1154*0.12)</f>
        <v/>
      </c>
      <c r="Y1154" s="18">
        <f>IF($K1154,0,$T1154*0.15)</f>
        <v/>
      </c>
      <c r="Z1154" s="18">
        <f>IF($F1154="hold",0,-ABS($H1154)*$I1154*kg_per_mt*mcx_slippage_ticks*mcx_al_tick_inr_kg)</f>
        <v/>
      </c>
      <c r="AA1154" s="18">
        <f>IF($F1154="hold",0,-ABS($H1154)*$I1154*kg_per_mt*$Q1154*mcx_txn_cost_frac)</f>
        <v/>
      </c>
      <c r="AB1154" s="18">
        <f>$Z1154+$AA1154</f>
        <v/>
      </c>
      <c r="AC1154" s="18">
        <f>$R1154-$W1154+$AB1154</f>
        <v/>
      </c>
      <c r="AD1154" s="18">
        <f>IF(($B1153=$B1154),$AD1153,0)+$AC1154</f>
        <v/>
      </c>
      <c r="AE1154" s="23" t="n">
        <v>-1961435.06</v>
      </c>
      <c r="AF1154" s="23" t="n">
        <v>18309968.07</v>
      </c>
      <c r="AG1154" s="23" t="n">
        <v>0</v>
      </c>
      <c r="AH1154" s="23" t="n">
        <v>-1765291.55</v>
      </c>
      <c r="AI1154" s="23" t="n">
        <v>-5278.21</v>
      </c>
      <c r="AJ1154" s="18">
        <f>$R1154-$AE1154</f>
        <v/>
      </c>
      <c r="AK1154" s="18">
        <f>$U1154-$AF1154</f>
        <v/>
      </c>
      <c r="AL1154" s="18">
        <f>$AC1154-$AH1154</f>
        <v/>
      </c>
      <c r="AM1154" s="8">
        <f>IF(AND(ABS($AJ1154)&lt;=tol_mcx_inr,ABS($AK1154)&lt;=tol_mcx_inr,ABS($AL1154)&lt;=tol_mcx_inr),"PASS","FAIL")</f>
        <v/>
      </c>
    </row>
    <row r="1155">
      <c r="A1155" s="7" t="inlineStr">
        <is>
          <t>T02</t>
        </is>
      </c>
      <c r="B1155" s="7" t="inlineStr">
        <is>
          <t>T02-MCX-4</t>
        </is>
      </c>
      <c r="C1155" s="11" t="n">
        <v>44684</v>
      </c>
      <c r="D1155" s="7" t="n">
        <v>202205</v>
      </c>
      <c r="E1155" s="7" t="inlineStr">
        <is>
          <t>BUY</t>
        </is>
      </c>
      <c r="F1155" s="7" t="inlineStr">
        <is>
          <t>hold</t>
        </is>
      </c>
      <c r="G1155" s="17" t="b">
        <v>1</v>
      </c>
      <c r="H1155" s="6" t="n">
        <v>145</v>
      </c>
      <c r="I1155" s="13" t="n">
        <v>5</v>
      </c>
      <c r="J1155" s="8">
        <f>OR($F1155="entry",$F1155="roll_in")</f>
        <v/>
      </c>
      <c r="K1155" s="8">
        <f>OR($F1155="exit",$F1155="roll_out")</f>
        <v/>
      </c>
      <c r="L1155" s="8">
        <f>OR(AND($E1155="SELL",$K1155),AND($E1155="BUY",$J1155))</f>
        <v/>
      </c>
      <c r="M1155" s="16">
        <f>((INDEX(Market_Daily!$B$6:$B$256,MATCH($C1155,Market_Daily!$A$6:$A$256,0))*INDEX(Market_Daily!$F$6:$F$256,MATCH($C1155,Market_Daily!$A$6:$A$256,0))/kg_per_mt*(1+bcd_primary_al_hs7601*(1+sws_rate_on_bcd))+mcx_domestic_premium_inr_kg)*(1+INDEX(Market_Daily!$I$6:$I$256,MATCH($C1155,Market_Daily!$A$6:$A$256,0))*MAX(0,INDEX(mcx_expiries,MATCH($D1155,mcx_months,0))-$C1155)/day_count_inr))</f>
        <v/>
      </c>
      <c r="N1155" s="16">
        <f>IF(INDEX(Market_Daily!$S$6:$S$256,MATCH($C1155,Market_Daily!$A$6:$A$256,0))=$D1155,INDEX(Market_Daily!$M$6:$M$256,MATCH($C1155,Market_Daily!$A$6:$A$256,0)),IF(INDEX(Market_Daily!$T$6:$T$256,MATCH($C1155,Market_Daily!$A$6:$A$256,0))=$D1155,INDEX(Market_Daily!$N$6:$N$256,MATCH($C1155,Market_Daily!$A$6:$A$256,0)),NA()))</f>
        <v/>
      </c>
      <c r="O1155" s="16">
        <f>$N1155-$M1155</f>
        <v/>
      </c>
      <c r="P1155" s="16">
        <f>IF(($B1154=$B1155),$M1154,"")</f>
        <v/>
      </c>
      <c r="Q1155" s="16">
        <f>$M1155+IF($L1155,1,-1)*mcx_slippage_ticks*mcx_al_tick_inr_kg</f>
        <v/>
      </c>
      <c r="R1155" s="18">
        <f>IF(($B1154=$B1155),$H1155*$I1155*kg_per_mt*($M1155-$M1154),0)</f>
        <v/>
      </c>
      <c r="S1155" s="18">
        <f>IF(($B1154=$B1155),$S1154,0)+$R1155</f>
        <v/>
      </c>
      <c r="T1155" s="18">
        <f>ABS($H1155)*$I1155*kg_per_mt*$M1155</f>
        <v/>
      </c>
      <c r="U1155" s="18">
        <f>IF($K1155,0,$T1155*mcx_al_margin_used_frac)</f>
        <v/>
      </c>
      <c r="V1155" s="18">
        <f>IF(($B1154=$B1155),$U1154,0)</f>
        <v/>
      </c>
      <c r="W1155" s="18">
        <f>$U1155-$V1155</f>
        <v/>
      </c>
      <c r="X1155" s="18">
        <f>IF($K1155,0,$T1155*0.12)</f>
        <v/>
      </c>
      <c r="Y1155" s="18">
        <f>IF($K1155,0,$T1155*0.15)</f>
        <v/>
      </c>
      <c r="Z1155" s="18">
        <f>IF($F1155="hold",0,-ABS($H1155)*$I1155*kg_per_mt*mcx_slippage_ticks*mcx_al_tick_inr_kg)</f>
        <v/>
      </c>
      <c r="AA1155" s="18">
        <f>IF($F1155="hold",0,-ABS($H1155)*$I1155*kg_per_mt*$Q1155*mcx_txn_cost_frac)</f>
        <v/>
      </c>
      <c r="AB1155" s="18">
        <f>$Z1155+$AA1155</f>
        <v/>
      </c>
      <c r="AC1155" s="18">
        <f>$R1155-$W1155+$AB1155</f>
        <v/>
      </c>
      <c r="AD1155" s="18">
        <f>IF(($B1154=$B1155),$AD1154,0)+$AC1155</f>
        <v/>
      </c>
      <c r="AE1155" s="23" t="n">
        <v>-7525037.86</v>
      </c>
      <c r="AF1155" s="23" t="n">
        <v>17557464.29</v>
      </c>
      <c r="AG1155" s="23" t="n">
        <v>0</v>
      </c>
      <c r="AH1155" s="23" t="n">
        <v>-6772534.08</v>
      </c>
      <c r="AI1155" s="23" t="n">
        <v>-22970.01</v>
      </c>
      <c r="AJ1155" s="18">
        <f>$R1155-$AE1155</f>
        <v/>
      </c>
      <c r="AK1155" s="18">
        <f>$U1155-$AF1155</f>
        <v/>
      </c>
      <c r="AL1155" s="18">
        <f>$AC1155-$AH1155</f>
        <v/>
      </c>
      <c r="AM1155" s="8">
        <f>IF(AND(ABS($AJ1155)&lt;=tol_mcx_inr,ABS($AK1155)&lt;=tol_mcx_inr,ABS($AL1155)&lt;=tol_mcx_inr),"PASS","FAIL")</f>
        <v/>
      </c>
    </row>
    <row r="1156">
      <c r="A1156" s="7" t="inlineStr">
        <is>
          <t>T02</t>
        </is>
      </c>
      <c r="B1156" s="7" t="inlineStr">
        <is>
          <t>T02-MCX-4</t>
        </is>
      </c>
      <c r="C1156" s="11" t="n">
        <v>44685</v>
      </c>
      <c r="D1156" s="7" t="n">
        <v>202205</v>
      </c>
      <c r="E1156" s="7" t="inlineStr">
        <is>
          <t>BUY</t>
        </is>
      </c>
      <c r="F1156" s="7" t="inlineStr">
        <is>
          <t>hold</t>
        </is>
      </c>
      <c r="G1156" s="17" t="b">
        <v>1</v>
      </c>
      <c r="H1156" s="6" t="n">
        <v>145</v>
      </c>
      <c r="I1156" s="13" t="n">
        <v>5</v>
      </c>
      <c r="J1156" s="8">
        <f>OR($F1156="entry",$F1156="roll_in")</f>
        <v/>
      </c>
      <c r="K1156" s="8">
        <f>OR($F1156="exit",$F1156="roll_out")</f>
        <v/>
      </c>
      <c r="L1156" s="8">
        <f>OR(AND($E1156="SELL",$K1156),AND($E1156="BUY",$J1156))</f>
        <v/>
      </c>
      <c r="M1156" s="16">
        <f>((INDEX(Market_Daily!$B$6:$B$256,MATCH($C1156,Market_Daily!$A$6:$A$256,0))*INDEX(Market_Daily!$F$6:$F$256,MATCH($C1156,Market_Daily!$A$6:$A$256,0))/kg_per_mt*(1+bcd_primary_al_hs7601*(1+sws_rate_on_bcd))+mcx_domestic_premium_inr_kg)*(1+INDEX(Market_Daily!$I$6:$I$256,MATCH($C1156,Market_Daily!$A$6:$A$256,0))*MAX(0,INDEX(mcx_expiries,MATCH($D1156,mcx_months,0))-$C1156)/day_count_inr))</f>
        <v/>
      </c>
      <c r="N1156" s="16">
        <f>IF(INDEX(Market_Daily!$S$6:$S$256,MATCH($C1156,Market_Daily!$A$6:$A$256,0))=$D1156,INDEX(Market_Daily!$M$6:$M$256,MATCH($C1156,Market_Daily!$A$6:$A$256,0)),IF(INDEX(Market_Daily!$T$6:$T$256,MATCH($C1156,Market_Daily!$A$6:$A$256,0))=$D1156,INDEX(Market_Daily!$N$6:$N$256,MATCH($C1156,Market_Daily!$A$6:$A$256,0)),NA()))</f>
        <v/>
      </c>
      <c r="O1156" s="16">
        <f>$N1156-$M1156</f>
        <v/>
      </c>
      <c r="P1156" s="16">
        <f>IF(($B1155=$B1156),$M1155,"")</f>
        <v/>
      </c>
      <c r="Q1156" s="16">
        <f>$M1156+IF($L1156,1,-1)*mcx_slippage_ticks*mcx_al_tick_inr_kg</f>
        <v/>
      </c>
      <c r="R1156" s="18">
        <f>IF(($B1155=$B1156),$H1156*$I1156*kg_per_mt*($M1156-$M1155),0)</f>
        <v/>
      </c>
      <c r="S1156" s="18">
        <f>IF(($B1155=$B1156),$S1155,0)+$R1156</f>
        <v/>
      </c>
      <c r="T1156" s="18">
        <f>ABS($H1156)*$I1156*kg_per_mt*$M1156</f>
        <v/>
      </c>
      <c r="U1156" s="18">
        <f>IF($K1156,0,$T1156*mcx_al_margin_used_frac)</f>
        <v/>
      </c>
      <c r="V1156" s="18">
        <f>IF(($B1155=$B1156),$U1155,0)</f>
        <v/>
      </c>
      <c r="W1156" s="18">
        <f>$U1156-$V1156</f>
        <v/>
      </c>
      <c r="X1156" s="18">
        <f>IF($K1156,0,$T1156*0.12)</f>
        <v/>
      </c>
      <c r="Y1156" s="18">
        <f>IF($K1156,0,$T1156*0.15)</f>
        <v/>
      </c>
      <c r="Z1156" s="18">
        <f>IF($F1156="hold",0,-ABS($H1156)*$I1156*kg_per_mt*mcx_slippage_ticks*mcx_al_tick_inr_kg)</f>
        <v/>
      </c>
      <c r="AA1156" s="18">
        <f>IF($F1156="hold",0,-ABS($H1156)*$I1156*kg_per_mt*$Q1156*mcx_txn_cost_frac)</f>
        <v/>
      </c>
      <c r="AB1156" s="18">
        <f>$Z1156+$AA1156</f>
        <v/>
      </c>
      <c r="AC1156" s="18">
        <f>$R1156-$W1156+$AB1156</f>
        <v/>
      </c>
      <c r="AD1156" s="18">
        <f>IF(($B1155=$B1156),$AD1155,0)+$AC1156</f>
        <v/>
      </c>
      <c r="AE1156" s="23" t="n">
        <v>545334.9300000001</v>
      </c>
      <c r="AF1156" s="23" t="n">
        <v>17611997.78</v>
      </c>
      <c r="AG1156" s="23" t="n">
        <v>0</v>
      </c>
      <c r="AH1156" s="23" t="n">
        <v>490801.43</v>
      </c>
      <c r="AI1156" s="23" t="n">
        <v>-7523.77</v>
      </c>
      <c r="AJ1156" s="18">
        <f>$R1156-$AE1156</f>
        <v/>
      </c>
      <c r="AK1156" s="18">
        <f>$U1156-$AF1156</f>
        <v/>
      </c>
      <c r="AL1156" s="18">
        <f>$AC1156-$AH1156</f>
        <v/>
      </c>
      <c r="AM1156" s="8">
        <f>IF(AND(ABS($AJ1156)&lt;=tol_mcx_inr,ABS($AK1156)&lt;=tol_mcx_inr,ABS($AL1156)&lt;=tol_mcx_inr),"PASS","FAIL")</f>
        <v/>
      </c>
    </row>
    <row r="1157">
      <c r="A1157" s="7" t="inlineStr">
        <is>
          <t>T02</t>
        </is>
      </c>
      <c r="B1157" s="7" t="inlineStr">
        <is>
          <t>T02-MCX-4</t>
        </is>
      </c>
      <c r="C1157" s="11" t="n">
        <v>44686</v>
      </c>
      <c r="D1157" s="7" t="n">
        <v>202205</v>
      </c>
      <c r="E1157" s="7" t="inlineStr">
        <is>
          <t>BUY</t>
        </is>
      </c>
      <c r="F1157" s="7" t="inlineStr">
        <is>
          <t>hold</t>
        </is>
      </c>
      <c r="G1157" s="17" t="b">
        <v>1</v>
      </c>
      <c r="H1157" s="6" t="n">
        <v>145</v>
      </c>
      <c r="I1157" s="13" t="n">
        <v>5</v>
      </c>
      <c r="J1157" s="8">
        <f>OR($F1157="entry",$F1157="roll_in")</f>
        <v/>
      </c>
      <c r="K1157" s="8">
        <f>OR($F1157="exit",$F1157="roll_out")</f>
        <v/>
      </c>
      <c r="L1157" s="8">
        <f>OR(AND($E1157="SELL",$K1157),AND($E1157="BUY",$J1157))</f>
        <v/>
      </c>
      <c r="M1157" s="16">
        <f>((INDEX(Market_Daily!$B$6:$B$256,MATCH($C1157,Market_Daily!$A$6:$A$256,0))*INDEX(Market_Daily!$F$6:$F$256,MATCH($C1157,Market_Daily!$A$6:$A$256,0))/kg_per_mt*(1+bcd_primary_al_hs7601*(1+sws_rate_on_bcd))+mcx_domestic_premium_inr_kg)*(1+INDEX(Market_Daily!$I$6:$I$256,MATCH($C1157,Market_Daily!$A$6:$A$256,0))*MAX(0,INDEX(mcx_expiries,MATCH($D1157,mcx_months,0))-$C1157)/day_count_inr))</f>
        <v/>
      </c>
      <c r="N1157" s="16">
        <f>IF(INDEX(Market_Daily!$S$6:$S$256,MATCH($C1157,Market_Daily!$A$6:$A$256,0))=$D1157,INDEX(Market_Daily!$M$6:$M$256,MATCH($C1157,Market_Daily!$A$6:$A$256,0)),IF(INDEX(Market_Daily!$T$6:$T$256,MATCH($C1157,Market_Daily!$A$6:$A$256,0))=$D1157,INDEX(Market_Daily!$N$6:$N$256,MATCH($C1157,Market_Daily!$A$6:$A$256,0)),NA()))</f>
        <v/>
      </c>
      <c r="O1157" s="16">
        <f>$N1157-$M1157</f>
        <v/>
      </c>
      <c r="P1157" s="16">
        <f>IF(($B1156=$B1157),$M1156,"")</f>
        <v/>
      </c>
      <c r="Q1157" s="16">
        <f>$M1157+IF($L1157,1,-1)*mcx_slippage_ticks*mcx_al_tick_inr_kg</f>
        <v/>
      </c>
      <c r="R1157" s="18">
        <f>IF(($B1156=$B1157),$H1157*$I1157*kg_per_mt*($M1157-$M1156),0)</f>
        <v/>
      </c>
      <c r="S1157" s="18">
        <f>IF(($B1156=$B1157),$S1156,0)+$R1157</f>
        <v/>
      </c>
      <c r="T1157" s="18">
        <f>ABS($H1157)*$I1157*kg_per_mt*$M1157</f>
        <v/>
      </c>
      <c r="U1157" s="18">
        <f>IF($K1157,0,$T1157*mcx_al_margin_used_frac)</f>
        <v/>
      </c>
      <c r="V1157" s="18">
        <f>IF(($B1156=$B1157),$U1156,0)</f>
        <v/>
      </c>
      <c r="W1157" s="18">
        <f>$U1157-$V1157</f>
        <v/>
      </c>
      <c r="X1157" s="18">
        <f>IF($K1157,0,$T1157*0.12)</f>
        <v/>
      </c>
      <c r="Y1157" s="18">
        <f>IF($K1157,0,$T1157*0.15)</f>
        <v/>
      </c>
      <c r="Z1157" s="18">
        <f>IF($F1157="hold",0,-ABS($H1157)*$I1157*kg_per_mt*mcx_slippage_ticks*mcx_al_tick_inr_kg)</f>
        <v/>
      </c>
      <c r="AA1157" s="18">
        <f>IF($F1157="hold",0,-ABS($H1157)*$I1157*kg_per_mt*$Q1157*mcx_txn_cost_frac)</f>
        <v/>
      </c>
      <c r="AB1157" s="18">
        <f>$Z1157+$AA1157</f>
        <v/>
      </c>
      <c r="AC1157" s="18">
        <f>$R1157-$W1157+$AB1157</f>
        <v/>
      </c>
      <c r="AD1157" s="18">
        <f>IF(($B1156=$B1157),$AD1156,0)+$AC1157</f>
        <v/>
      </c>
      <c r="AE1157" s="23" t="n">
        <v>-890777.51</v>
      </c>
      <c r="AF1157" s="23" t="n">
        <v>17522920.03</v>
      </c>
      <c r="AG1157" s="23" t="n">
        <v>0</v>
      </c>
      <c r="AH1157" s="23" t="n">
        <v>-801699.76</v>
      </c>
      <c r="AI1157" s="23" t="n">
        <v>-7394.68</v>
      </c>
      <c r="AJ1157" s="18">
        <f>$R1157-$AE1157</f>
        <v/>
      </c>
      <c r="AK1157" s="18">
        <f>$U1157-$AF1157</f>
        <v/>
      </c>
      <c r="AL1157" s="18">
        <f>$AC1157-$AH1157</f>
        <v/>
      </c>
      <c r="AM1157" s="8">
        <f>IF(AND(ABS($AJ1157)&lt;=tol_mcx_inr,ABS($AK1157)&lt;=tol_mcx_inr,ABS($AL1157)&lt;=tol_mcx_inr),"PASS","FAIL")</f>
        <v/>
      </c>
    </row>
    <row r="1158">
      <c r="A1158" s="7" t="inlineStr">
        <is>
          <t>T02</t>
        </is>
      </c>
      <c r="B1158" s="7" t="inlineStr">
        <is>
          <t>T02-MCX-4</t>
        </is>
      </c>
      <c r="C1158" s="11" t="n">
        <v>44687</v>
      </c>
      <c r="D1158" s="7" t="n">
        <v>202205</v>
      </c>
      <c r="E1158" s="7" t="inlineStr">
        <is>
          <t>BUY</t>
        </is>
      </c>
      <c r="F1158" s="7" t="inlineStr">
        <is>
          <t>hold</t>
        </is>
      </c>
      <c r="G1158" s="17" t="b">
        <v>1</v>
      </c>
      <c r="H1158" s="6" t="n">
        <v>145</v>
      </c>
      <c r="I1158" s="13" t="n">
        <v>5</v>
      </c>
      <c r="J1158" s="8">
        <f>OR($F1158="entry",$F1158="roll_in")</f>
        <v/>
      </c>
      <c r="K1158" s="8">
        <f>OR($F1158="exit",$F1158="roll_out")</f>
        <v/>
      </c>
      <c r="L1158" s="8">
        <f>OR(AND($E1158="SELL",$K1158),AND($E1158="BUY",$J1158))</f>
        <v/>
      </c>
      <c r="M1158" s="16">
        <f>((INDEX(Market_Daily!$B$6:$B$256,MATCH($C1158,Market_Daily!$A$6:$A$256,0))*INDEX(Market_Daily!$F$6:$F$256,MATCH($C1158,Market_Daily!$A$6:$A$256,0))/kg_per_mt*(1+bcd_primary_al_hs7601*(1+sws_rate_on_bcd))+mcx_domestic_premium_inr_kg)*(1+INDEX(Market_Daily!$I$6:$I$256,MATCH($C1158,Market_Daily!$A$6:$A$256,0))*MAX(0,INDEX(mcx_expiries,MATCH($D1158,mcx_months,0))-$C1158)/day_count_inr))</f>
        <v/>
      </c>
      <c r="N1158" s="16">
        <f>IF(INDEX(Market_Daily!$S$6:$S$256,MATCH($C1158,Market_Daily!$A$6:$A$256,0))=$D1158,INDEX(Market_Daily!$M$6:$M$256,MATCH($C1158,Market_Daily!$A$6:$A$256,0)),IF(INDEX(Market_Daily!$T$6:$T$256,MATCH($C1158,Market_Daily!$A$6:$A$256,0))=$D1158,INDEX(Market_Daily!$N$6:$N$256,MATCH($C1158,Market_Daily!$A$6:$A$256,0)),NA()))</f>
        <v/>
      </c>
      <c r="O1158" s="16">
        <f>$N1158-$M1158</f>
        <v/>
      </c>
      <c r="P1158" s="16">
        <f>IF(($B1157=$B1158),$M1157,"")</f>
        <v/>
      </c>
      <c r="Q1158" s="16">
        <f>$M1158+IF($L1158,1,-1)*mcx_slippage_ticks*mcx_al_tick_inr_kg</f>
        <v/>
      </c>
      <c r="R1158" s="18">
        <f>IF(($B1157=$B1158),$H1158*$I1158*kg_per_mt*($M1158-$M1157),0)</f>
        <v/>
      </c>
      <c r="S1158" s="18">
        <f>IF(($B1157=$B1158),$S1157,0)+$R1158</f>
        <v/>
      </c>
      <c r="T1158" s="18">
        <f>ABS($H1158)*$I1158*kg_per_mt*$M1158</f>
        <v/>
      </c>
      <c r="U1158" s="18">
        <f>IF($K1158,0,$T1158*mcx_al_margin_used_frac)</f>
        <v/>
      </c>
      <c r="V1158" s="18">
        <f>IF(($B1157=$B1158),$U1157,0)</f>
        <v/>
      </c>
      <c r="W1158" s="18">
        <f>$U1158-$V1158</f>
        <v/>
      </c>
      <c r="X1158" s="18">
        <f>IF($K1158,0,$T1158*0.12)</f>
        <v/>
      </c>
      <c r="Y1158" s="18">
        <f>IF($K1158,0,$T1158*0.15)</f>
        <v/>
      </c>
      <c r="Z1158" s="18">
        <f>IF($F1158="hold",0,-ABS($H1158)*$I1158*kg_per_mt*mcx_slippage_ticks*mcx_al_tick_inr_kg)</f>
        <v/>
      </c>
      <c r="AA1158" s="18">
        <f>IF($F1158="hold",0,-ABS($H1158)*$I1158*kg_per_mt*$Q1158*mcx_txn_cost_frac)</f>
        <v/>
      </c>
      <c r="AB1158" s="18">
        <f>$Z1158+$AA1158</f>
        <v/>
      </c>
      <c r="AC1158" s="18">
        <f>$R1158-$W1158+$AB1158</f>
        <v/>
      </c>
      <c r="AD1158" s="18">
        <f>IF(($B1157=$B1158),$AD1157,0)+$AC1158</f>
        <v/>
      </c>
      <c r="AE1158" s="23" t="n">
        <v>-3696604.72</v>
      </c>
      <c r="AF1158" s="23" t="n">
        <v>17153259.56</v>
      </c>
      <c r="AG1158" s="23" t="n">
        <v>0</v>
      </c>
      <c r="AH1158" s="23" t="n">
        <v>-3326944.24</v>
      </c>
      <c r="AI1158" s="23" t="n">
        <v>-7605.54</v>
      </c>
      <c r="AJ1158" s="18">
        <f>$R1158-$AE1158</f>
        <v/>
      </c>
      <c r="AK1158" s="18">
        <f>$U1158-$AF1158</f>
        <v/>
      </c>
      <c r="AL1158" s="18">
        <f>$AC1158-$AH1158</f>
        <v/>
      </c>
      <c r="AM1158" s="8">
        <f>IF(AND(ABS($AJ1158)&lt;=tol_mcx_inr,ABS($AK1158)&lt;=tol_mcx_inr,ABS($AL1158)&lt;=tol_mcx_inr),"PASS","FAIL")</f>
        <v/>
      </c>
    </row>
    <row r="1159">
      <c r="A1159" s="7" t="inlineStr">
        <is>
          <t>T02</t>
        </is>
      </c>
      <c r="B1159" s="7" t="inlineStr">
        <is>
          <t>T02-MCX-4</t>
        </is>
      </c>
      <c r="C1159" s="11" t="n">
        <v>44690</v>
      </c>
      <c r="D1159" s="7" t="n">
        <v>202205</v>
      </c>
      <c r="E1159" s="7" t="inlineStr">
        <is>
          <t>BUY</t>
        </is>
      </c>
      <c r="F1159" s="7" t="inlineStr">
        <is>
          <t>hold</t>
        </is>
      </c>
      <c r="G1159" s="17" t="b">
        <v>1</v>
      </c>
      <c r="H1159" s="6" t="n">
        <v>145</v>
      </c>
      <c r="I1159" s="13" t="n">
        <v>5</v>
      </c>
      <c r="J1159" s="8">
        <f>OR($F1159="entry",$F1159="roll_in")</f>
        <v/>
      </c>
      <c r="K1159" s="8">
        <f>OR($F1159="exit",$F1159="roll_out")</f>
        <v/>
      </c>
      <c r="L1159" s="8">
        <f>OR(AND($E1159="SELL",$K1159),AND($E1159="BUY",$J1159))</f>
        <v/>
      </c>
      <c r="M1159" s="16">
        <f>((INDEX(Market_Daily!$B$6:$B$256,MATCH($C1159,Market_Daily!$A$6:$A$256,0))*INDEX(Market_Daily!$F$6:$F$256,MATCH($C1159,Market_Daily!$A$6:$A$256,0))/kg_per_mt*(1+bcd_primary_al_hs7601*(1+sws_rate_on_bcd))+mcx_domestic_premium_inr_kg)*(1+INDEX(Market_Daily!$I$6:$I$256,MATCH($C1159,Market_Daily!$A$6:$A$256,0))*MAX(0,INDEX(mcx_expiries,MATCH($D1159,mcx_months,0))-$C1159)/day_count_inr))</f>
        <v/>
      </c>
      <c r="N1159" s="16">
        <f>IF(INDEX(Market_Daily!$S$6:$S$256,MATCH($C1159,Market_Daily!$A$6:$A$256,0))=$D1159,INDEX(Market_Daily!$M$6:$M$256,MATCH($C1159,Market_Daily!$A$6:$A$256,0)),IF(INDEX(Market_Daily!$T$6:$T$256,MATCH($C1159,Market_Daily!$A$6:$A$256,0))=$D1159,INDEX(Market_Daily!$N$6:$N$256,MATCH($C1159,Market_Daily!$A$6:$A$256,0)),NA()))</f>
        <v/>
      </c>
      <c r="O1159" s="16">
        <f>$N1159-$M1159</f>
        <v/>
      </c>
      <c r="P1159" s="16">
        <f>IF(($B1158=$B1159),$M1158,"")</f>
        <v/>
      </c>
      <c r="Q1159" s="16">
        <f>$M1159+IF($L1159,1,-1)*mcx_slippage_ticks*mcx_al_tick_inr_kg</f>
        <v/>
      </c>
      <c r="R1159" s="18">
        <f>IF(($B1158=$B1159),$H1159*$I1159*kg_per_mt*($M1159-$M1158),0)</f>
        <v/>
      </c>
      <c r="S1159" s="18">
        <f>IF(($B1158=$B1159),$S1158,0)+$R1159</f>
        <v/>
      </c>
      <c r="T1159" s="18">
        <f>ABS($H1159)*$I1159*kg_per_mt*$M1159</f>
        <v/>
      </c>
      <c r="U1159" s="18">
        <f>IF($K1159,0,$T1159*mcx_al_margin_used_frac)</f>
        <v/>
      </c>
      <c r="V1159" s="18">
        <f>IF(($B1158=$B1159),$U1158,0)</f>
        <v/>
      </c>
      <c r="W1159" s="18">
        <f>$U1159-$V1159</f>
        <v/>
      </c>
      <c r="X1159" s="18">
        <f>IF($K1159,0,$T1159*0.12)</f>
        <v/>
      </c>
      <c r="Y1159" s="18">
        <f>IF($K1159,0,$T1159*0.15)</f>
        <v/>
      </c>
      <c r="Z1159" s="18">
        <f>IF($F1159="hold",0,-ABS($H1159)*$I1159*kg_per_mt*mcx_slippage_ticks*mcx_al_tick_inr_kg)</f>
        <v/>
      </c>
      <c r="AA1159" s="18">
        <f>IF($F1159="hold",0,-ABS($H1159)*$I1159*kg_per_mt*$Q1159*mcx_txn_cost_frac)</f>
        <v/>
      </c>
      <c r="AB1159" s="18">
        <f>$Z1159+$AA1159</f>
        <v/>
      </c>
      <c r="AC1159" s="18">
        <f>$R1159-$W1159+$AB1159</f>
        <v/>
      </c>
      <c r="AD1159" s="18">
        <f>IF(($B1158=$B1159),$AD1158,0)+$AC1159</f>
        <v/>
      </c>
      <c r="AE1159" s="23" t="n">
        <v>-6537073.7</v>
      </c>
      <c r="AF1159" s="23" t="n">
        <v>16499552.19</v>
      </c>
      <c r="AG1159" s="23" t="n">
        <v>0</v>
      </c>
      <c r="AH1159" s="23" t="n">
        <v>-5883366.33</v>
      </c>
      <c r="AI1159" s="23" t="n">
        <v>-25441.72</v>
      </c>
      <c r="AJ1159" s="18">
        <f>$R1159-$AE1159</f>
        <v/>
      </c>
      <c r="AK1159" s="18">
        <f>$U1159-$AF1159</f>
        <v/>
      </c>
      <c r="AL1159" s="18">
        <f>$AC1159-$AH1159</f>
        <v/>
      </c>
      <c r="AM1159" s="8">
        <f>IF(AND(ABS($AJ1159)&lt;=tol_mcx_inr,ABS($AK1159)&lt;=tol_mcx_inr,ABS($AL1159)&lt;=tol_mcx_inr),"PASS","FAIL")</f>
        <v/>
      </c>
    </row>
    <row r="1160">
      <c r="A1160" s="7" t="inlineStr">
        <is>
          <t>T02</t>
        </is>
      </c>
      <c r="B1160" s="7" t="inlineStr">
        <is>
          <t>T02-MCX-4</t>
        </is>
      </c>
      <c r="C1160" s="11" t="n">
        <v>44691</v>
      </c>
      <c r="D1160" s="7" t="n">
        <v>202205</v>
      </c>
      <c r="E1160" s="7" t="inlineStr">
        <is>
          <t>BUY</t>
        </is>
      </c>
      <c r="F1160" s="7" t="inlineStr">
        <is>
          <t>hold</t>
        </is>
      </c>
      <c r="G1160" s="17" t="b">
        <v>1</v>
      </c>
      <c r="H1160" s="6" t="n">
        <v>145</v>
      </c>
      <c r="I1160" s="13" t="n">
        <v>5</v>
      </c>
      <c r="J1160" s="8">
        <f>OR($F1160="entry",$F1160="roll_in")</f>
        <v/>
      </c>
      <c r="K1160" s="8">
        <f>OR($F1160="exit",$F1160="roll_out")</f>
        <v/>
      </c>
      <c r="L1160" s="8">
        <f>OR(AND($E1160="SELL",$K1160),AND($E1160="BUY",$J1160))</f>
        <v/>
      </c>
      <c r="M1160" s="16">
        <f>((INDEX(Market_Daily!$B$6:$B$256,MATCH($C1160,Market_Daily!$A$6:$A$256,0))*INDEX(Market_Daily!$F$6:$F$256,MATCH($C1160,Market_Daily!$A$6:$A$256,0))/kg_per_mt*(1+bcd_primary_al_hs7601*(1+sws_rate_on_bcd))+mcx_domestic_premium_inr_kg)*(1+INDEX(Market_Daily!$I$6:$I$256,MATCH($C1160,Market_Daily!$A$6:$A$256,0))*MAX(0,INDEX(mcx_expiries,MATCH($D1160,mcx_months,0))-$C1160)/day_count_inr))</f>
        <v/>
      </c>
      <c r="N1160" s="16">
        <f>IF(INDEX(Market_Daily!$S$6:$S$256,MATCH($C1160,Market_Daily!$A$6:$A$256,0))=$D1160,INDEX(Market_Daily!$M$6:$M$256,MATCH($C1160,Market_Daily!$A$6:$A$256,0)),IF(INDEX(Market_Daily!$T$6:$T$256,MATCH($C1160,Market_Daily!$A$6:$A$256,0))=$D1160,INDEX(Market_Daily!$N$6:$N$256,MATCH($C1160,Market_Daily!$A$6:$A$256,0)),NA()))</f>
        <v/>
      </c>
      <c r="O1160" s="16">
        <f>$N1160-$M1160</f>
        <v/>
      </c>
      <c r="P1160" s="16">
        <f>IF(($B1159=$B1160),$M1159,"")</f>
        <v/>
      </c>
      <c r="Q1160" s="16">
        <f>$M1160+IF($L1160,1,-1)*mcx_slippage_ticks*mcx_al_tick_inr_kg</f>
        <v/>
      </c>
      <c r="R1160" s="18">
        <f>IF(($B1159=$B1160),$H1160*$I1160*kg_per_mt*($M1160-$M1159),0)</f>
        <v/>
      </c>
      <c r="S1160" s="18">
        <f>IF(($B1159=$B1160),$S1159,0)+$R1160</f>
        <v/>
      </c>
      <c r="T1160" s="18">
        <f>ABS($H1160)*$I1160*kg_per_mt*$M1160</f>
        <v/>
      </c>
      <c r="U1160" s="18">
        <f>IF($K1160,0,$T1160*mcx_al_margin_used_frac)</f>
        <v/>
      </c>
      <c r="V1160" s="18">
        <f>IF(($B1159=$B1160),$U1159,0)</f>
        <v/>
      </c>
      <c r="W1160" s="18">
        <f>$U1160-$V1160</f>
        <v/>
      </c>
      <c r="X1160" s="18">
        <f>IF($K1160,0,$T1160*0.12)</f>
        <v/>
      </c>
      <c r="Y1160" s="18">
        <f>IF($K1160,0,$T1160*0.15)</f>
        <v/>
      </c>
      <c r="Z1160" s="18">
        <f>IF($F1160="hold",0,-ABS($H1160)*$I1160*kg_per_mt*mcx_slippage_ticks*mcx_al_tick_inr_kg)</f>
        <v/>
      </c>
      <c r="AA1160" s="18">
        <f>IF($F1160="hold",0,-ABS($H1160)*$I1160*kg_per_mt*$Q1160*mcx_txn_cost_frac)</f>
        <v/>
      </c>
      <c r="AB1160" s="18">
        <f>$Z1160+$AA1160</f>
        <v/>
      </c>
      <c r="AC1160" s="18">
        <f>$R1160-$W1160+$AB1160</f>
        <v/>
      </c>
      <c r="AD1160" s="18">
        <f>IF(($B1159=$B1160),$AD1159,0)+$AC1160</f>
        <v/>
      </c>
      <c r="AE1160" s="23" t="n">
        <v>-2229894.98</v>
      </c>
      <c r="AF1160" s="23" t="n">
        <v>16276562.69</v>
      </c>
      <c r="AG1160" s="23" t="n">
        <v>0</v>
      </c>
      <c r="AH1160" s="23" t="n">
        <v>-2006905.48</v>
      </c>
      <c r="AI1160" s="23" t="n">
        <v>-10027.98</v>
      </c>
      <c r="AJ1160" s="18">
        <f>$R1160-$AE1160</f>
        <v/>
      </c>
      <c r="AK1160" s="18">
        <f>$U1160-$AF1160</f>
        <v/>
      </c>
      <c r="AL1160" s="18">
        <f>$AC1160-$AH1160</f>
        <v/>
      </c>
      <c r="AM1160" s="8">
        <f>IF(AND(ABS($AJ1160)&lt;=tol_mcx_inr,ABS($AK1160)&lt;=tol_mcx_inr,ABS($AL1160)&lt;=tol_mcx_inr),"PASS","FAIL")</f>
        <v/>
      </c>
    </row>
    <row r="1161">
      <c r="A1161" s="7" t="inlineStr">
        <is>
          <t>T02</t>
        </is>
      </c>
      <c r="B1161" s="7" t="inlineStr">
        <is>
          <t>T02-MCX-4</t>
        </is>
      </c>
      <c r="C1161" s="11" t="n">
        <v>44692</v>
      </c>
      <c r="D1161" s="7" t="n">
        <v>202205</v>
      </c>
      <c r="E1161" s="7" t="inlineStr">
        <is>
          <t>BUY</t>
        </is>
      </c>
      <c r="F1161" s="7" t="inlineStr">
        <is>
          <t>hold</t>
        </is>
      </c>
      <c r="G1161" s="17" t="b">
        <v>1</v>
      </c>
      <c r="H1161" s="6" t="n">
        <v>145</v>
      </c>
      <c r="I1161" s="13" t="n">
        <v>5</v>
      </c>
      <c r="J1161" s="8">
        <f>OR($F1161="entry",$F1161="roll_in")</f>
        <v/>
      </c>
      <c r="K1161" s="8">
        <f>OR($F1161="exit",$F1161="roll_out")</f>
        <v/>
      </c>
      <c r="L1161" s="8">
        <f>OR(AND($E1161="SELL",$K1161),AND($E1161="BUY",$J1161))</f>
        <v/>
      </c>
      <c r="M1161" s="16">
        <f>((INDEX(Market_Daily!$B$6:$B$256,MATCH($C1161,Market_Daily!$A$6:$A$256,0))*INDEX(Market_Daily!$F$6:$F$256,MATCH($C1161,Market_Daily!$A$6:$A$256,0))/kg_per_mt*(1+bcd_primary_al_hs7601*(1+sws_rate_on_bcd))+mcx_domestic_premium_inr_kg)*(1+INDEX(Market_Daily!$I$6:$I$256,MATCH($C1161,Market_Daily!$A$6:$A$256,0))*MAX(0,INDEX(mcx_expiries,MATCH($D1161,mcx_months,0))-$C1161)/day_count_inr))</f>
        <v/>
      </c>
      <c r="N1161" s="16">
        <f>IF(INDEX(Market_Daily!$S$6:$S$256,MATCH($C1161,Market_Daily!$A$6:$A$256,0))=$D1161,INDEX(Market_Daily!$M$6:$M$256,MATCH($C1161,Market_Daily!$A$6:$A$256,0)),IF(INDEX(Market_Daily!$T$6:$T$256,MATCH($C1161,Market_Daily!$A$6:$A$256,0))=$D1161,INDEX(Market_Daily!$N$6:$N$256,MATCH($C1161,Market_Daily!$A$6:$A$256,0)),NA()))</f>
        <v/>
      </c>
      <c r="O1161" s="16">
        <f>$N1161-$M1161</f>
        <v/>
      </c>
      <c r="P1161" s="16">
        <f>IF(($B1160=$B1161),$M1160,"")</f>
        <v/>
      </c>
      <c r="Q1161" s="16">
        <f>$M1161+IF($L1161,1,-1)*mcx_slippage_ticks*mcx_al_tick_inr_kg</f>
        <v/>
      </c>
      <c r="R1161" s="18">
        <f>IF(($B1160=$B1161),$H1161*$I1161*kg_per_mt*($M1161-$M1160),0)</f>
        <v/>
      </c>
      <c r="S1161" s="18">
        <f>IF(($B1160=$B1161),$S1160,0)+$R1161</f>
        <v/>
      </c>
      <c r="T1161" s="18">
        <f>ABS($H1161)*$I1161*kg_per_mt*$M1161</f>
        <v/>
      </c>
      <c r="U1161" s="18">
        <f>IF($K1161,0,$T1161*mcx_al_margin_used_frac)</f>
        <v/>
      </c>
      <c r="V1161" s="18">
        <f>IF(($B1160=$B1161),$U1160,0)</f>
        <v/>
      </c>
      <c r="W1161" s="18">
        <f>$U1161-$V1161</f>
        <v/>
      </c>
      <c r="X1161" s="18">
        <f>IF($K1161,0,$T1161*0.12)</f>
        <v/>
      </c>
      <c r="Y1161" s="18">
        <f>IF($K1161,0,$T1161*0.15)</f>
        <v/>
      </c>
      <c r="Z1161" s="18">
        <f>IF($F1161="hold",0,-ABS($H1161)*$I1161*kg_per_mt*mcx_slippage_ticks*mcx_al_tick_inr_kg)</f>
        <v/>
      </c>
      <c r="AA1161" s="18">
        <f>IF($F1161="hold",0,-ABS($H1161)*$I1161*kg_per_mt*$Q1161*mcx_txn_cost_frac)</f>
        <v/>
      </c>
      <c r="AB1161" s="18">
        <f>$Z1161+$AA1161</f>
        <v/>
      </c>
      <c r="AC1161" s="18">
        <f>$R1161-$W1161+$AB1161</f>
        <v/>
      </c>
      <c r="AD1161" s="18">
        <f>IF(($B1160=$B1161),$AD1160,0)+$AC1161</f>
        <v/>
      </c>
      <c r="AE1161" s="23" t="n">
        <v>3542357.97</v>
      </c>
      <c r="AF1161" s="23" t="n">
        <v>16630798.49</v>
      </c>
      <c r="AG1161" s="23" t="n">
        <v>0</v>
      </c>
      <c r="AH1161" s="23" t="n">
        <v>3188122.17</v>
      </c>
      <c r="AI1161" s="23" t="n">
        <v>-10555.82</v>
      </c>
      <c r="AJ1161" s="18">
        <f>$R1161-$AE1161</f>
        <v/>
      </c>
      <c r="AK1161" s="18">
        <f>$U1161-$AF1161</f>
        <v/>
      </c>
      <c r="AL1161" s="18">
        <f>$AC1161-$AH1161</f>
        <v/>
      </c>
      <c r="AM1161" s="8">
        <f>IF(AND(ABS($AJ1161)&lt;=tol_mcx_inr,ABS($AK1161)&lt;=tol_mcx_inr,ABS($AL1161)&lt;=tol_mcx_inr),"PASS","FAIL")</f>
        <v/>
      </c>
    </row>
    <row r="1162">
      <c r="A1162" s="7" t="inlineStr">
        <is>
          <t>T02</t>
        </is>
      </c>
      <c r="B1162" s="7" t="inlineStr">
        <is>
          <t>T02-MCX-4</t>
        </is>
      </c>
      <c r="C1162" s="11" t="n">
        <v>44693</v>
      </c>
      <c r="D1162" s="7" t="n">
        <v>202205</v>
      </c>
      <c r="E1162" s="7" t="inlineStr">
        <is>
          <t>BUY</t>
        </is>
      </c>
      <c r="F1162" s="7" t="inlineStr">
        <is>
          <t>hold</t>
        </is>
      </c>
      <c r="G1162" s="17" t="b">
        <v>1</v>
      </c>
      <c r="H1162" s="6" t="n">
        <v>145</v>
      </c>
      <c r="I1162" s="13" t="n">
        <v>5</v>
      </c>
      <c r="J1162" s="8">
        <f>OR($F1162="entry",$F1162="roll_in")</f>
        <v/>
      </c>
      <c r="K1162" s="8">
        <f>OR($F1162="exit",$F1162="roll_out")</f>
        <v/>
      </c>
      <c r="L1162" s="8">
        <f>OR(AND($E1162="SELL",$K1162),AND($E1162="BUY",$J1162))</f>
        <v/>
      </c>
      <c r="M1162" s="16">
        <f>((INDEX(Market_Daily!$B$6:$B$256,MATCH($C1162,Market_Daily!$A$6:$A$256,0))*INDEX(Market_Daily!$F$6:$F$256,MATCH($C1162,Market_Daily!$A$6:$A$256,0))/kg_per_mt*(1+bcd_primary_al_hs7601*(1+sws_rate_on_bcd))+mcx_domestic_premium_inr_kg)*(1+INDEX(Market_Daily!$I$6:$I$256,MATCH($C1162,Market_Daily!$A$6:$A$256,0))*MAX(0,INDEX(mcx_expiries,MATCH($D1162,mcx_months,0))-$C1162)/day_count_inr))</f>
        <v/>
      </c>
      <c r="N1162" s="16">
        <f>IF(INDEX(Market_Daily!$S$6:$S$256,MATCH($C1162,Market_Daily!$A$6:$A$256,0))=$D1162,INDEX(Market_Daily!$M$6:$M$256,MATCH($C1162,Market_Daily!$A$6:$A$256,0)),IF(INDEX(Market_Daily!$T$6:$T$256,MATCH($C1162,Market_Daily!$A$6:$A$256,0))=$D1162,INDEX(Market_Daily!$N$6:$N$256,MATCH($C1162,Market_Daily!$A$6:$A$256,0)),NA()))</f>
        <v/>
      </c>
      <c r="O1162" s="16">
        <f>$N1162-$M1162</f>
        <v/>
      </c>
      <c r="P1162" s="16">
        <f>IF(($B1161=$B1162),$M1161,"")</f>
        <v/>
      </c>
      <c r="Q1162" s="16">
        <f>$M1162+IF($L1162,1,-1)*mcx_slippage_ticks*mcx_al_tick_inr_kg</f>
        <v/>
      </c>
      <c r="R1162" s="18">
        <f>IF(($B1161=$B1162),$H1162*$I1162*kg_per_mt*($M1162-$M1161),0)</f>
        <v/>
      </c>
      <c r="S1162" s="18">
        <f>IF(($B1161=$B1162),$S1161,0)+$R1162</f>
        <v/>
      </c>
      <c r="T1162" s="18">
        <f>ABS($H1162)*$I1162*kg_per_mt*$M1162</f>
        <v/>
      </c>
      <c r="U1162" s="18">
        <f>IF($K1162,0,$T1162*mcx_al_margin_used_frac)</f>
        <v/>
      </c>
      <c r="V1162" s="18">
        <f>IF(($B1161=$B1162),$U1161,0)</f>
        <v/>
      </c>
      <c r="W1162" s="18">
        <f>$U1162-$V1162</f>
        <v/>
      </c>
      <c r="X1162" s="18">
        <f>IF($K1162,0,$T1162*0.12)</f>
        <v/>
      </c>
      <c r="Y1162" s="18">
        <f>IF($K1162,0,$T1162*0.15)</f>
        <v/>
      </c>
      <c r="Z1162" s="18">
        <f>IF($F1162="hold",0,-ABS($H1162)*$I1162*kg_per_mt*mcx_slippage_ticks*mcx_al_tick_inr_kg)</f>
        <v/>
      </c>
      <c r="AA1162" s="18">
        <f>IF($F1162="hold",0,-ABS($H1162)*$I1162*kg_per_mt*$Q1162*mcx_txn_cost_frac)</f>
        <v/>
      </c>
      <c r="AB1162" s="18">
        <f>$Z1162+$AA1162</f>
        <v/>
      </c>
      <c r="AC1162" s="18">
        <f>$R1162-$W1162+$AB1162</f>
        <v/>
      </c>
      <c r="AD1162" s="18">
        <f>IF(($B1161=$B1162),$AD1161,0)+$AC1162</f>
        <v/>
      </c>
      <c r="AE1162" s="23" t="n">
        <v>-2402779</v>
      </c>
      <c r="AF1162" s="23" t="n">
        <v>16390520.59</v>
      </c>
      <c r="AG1162" s="23" t="n">
        <v>0</v>
      </c>
      <c r="AH1162" s="23" t="n">
        <v>-2162501.1</v>
      </c>
      <c r="AI1162" s="23" t="n">
        <v>-9717.299999999999</v>
      </c>
      <c r="AJ1162" s="18">
        <f>$R1162-$AE1162</f>
        <v/>
      </c>
      <c r="AK1162" s="18">
        <f>$U1162-$AF1162</f>
        <v/>
      </c>
      <c r="AL1162" s="18">
        <f>$AC1162-$AH1162</f>
        <v/>
      </c>
      <c r="AM1162" s="8">
        <f>IF(AND(ABS($AJ1162)&lt;=tol_mcx_inr,ABS($AK1162)&lt;=tol_mcx_inr,ABS($AL1162)&lt;=tol_mcx_inr),"PASS","FAIL")</f>
        <v/>
      </c>
    </row>
    <row r="1163">
      <c r="A1163" s="7" t="inlineStr">
        <is>
          <t>T02</t>
        </is>
      </c>
      <c r="B1163" s="7" t="inlineStr">
        <is>
          <t>T02-MCX-4</t>
        </is>
      </c>
      <c r="C1163" s="11" t="n">
        <v>44694</v>
      </c>
      <c r="D1163" s="7" t="n">
        <v>202205</v>
      </c>
      <c r="E1163" s="7" t="inlineStr">
        <is>
          <t>BUY</t>
        </is>
      </c>
      <c r="F1163" s="7" t="inlineStr">
        <is>
          <t>hold</t>
        </is>
      </c>
      <c r="G1163" s="17" t="b">
        <v>1</v>
      </c>
      <c r="H1163" s="6" t="n">
        <v>145</v>
      </c>
      <c r="I1163" s="13" t="n">
        <v>5</v>
      </c>
      <c r="J1163" s="8">
        <f>OR($F1163="entry",$F1163="roll_in")</f>
        <v/>
      </c>
      <c r="K1163" s="8">
        <f>OR($F1163="exit",$F1163="roll_out")</f>
        <v/>
      </c>
      <c r="L1163" s="8">
        <f>OR(AND($E1163="SELL",$K1163),AND($E1163="BUY",$J1163))</f>
        <v/>
      </c>
      <c r="M1163" s="16">
        <f>((INDEX(Market_Daily!$B$6:$B$256,MATCH($C1163,Market_Daily!$A$6:$A$256,0))*INDEX(Market_Daily!$F$6:$F$256,MATCH($C1163,Market_Daily!$A$6:$A$256,0))/kg_per_mt*(1+bcd_primary_al_hs7601*(1+sws_rate_on_bcd))+mcx_domestic_premium_inr_kg)*(1+INDEX(Market_Daily!$I$6:$I$256,MATCH($C1163,Market_Daily!$A$6:$A$256,0))*MAX(0,INDEX(mcx_expiries,MATCH($D1163,mcx_months,0))-$C1163)/day_count_inr))</f>
        <v/>
      </c>
      <c r="N1163" s="16">
        <f>IF(INDEX(Market_Daily!$S$6:$S$256,MATCH($C1163,Market_Daily!$A$6:$A$256,0))=$D1163,INDEX(Market_Daily!$M$6:$M$256,MATCH($C1163,Market_Daily!$A$6:$A$256,0)),IF(INDEX(Market_Daily!$T$6:$T$256,MATCH($C1163,Market_Daily!$A$6:$A$256,0))=$D1163,INDEX(Market_Daily!$N$6:$N$256,MATCH($C1163,Market_Daily!$A$6:$A$256,0)),NA()))</f>
        <v/>
      </c>
      <c r="O1163" s="16">
        <f>$N1163-$M1163</f>
        <v/>
      </c>
      <c r="P1163" s="16">
        <f>IF(($B1162=$B1163),$M1162,"")</f>
        <v/>
      </c>
      <c r="Q1163" s="16">
        <f>$M1163+IF($L1163,1,-1)*mcx_slippage_ticks*mcx_al_tick_inr_kg</f>
        <v/>
      </c>
      <c r="R1163" s="18">
        <f>IF(($B1162=$B1163),$H1163*$I1163*kg_per_mt*($M1163-$M1162),0)</f>
        <v/>
      </c>
      <c r="S1163" s="18">
        <f>IF(($B1162=$B1163),$S1162,0)+$R1163</f>
        <v/>
      </c>
      <c r="T1163" s="18">
        <f>ABS($H1163)*$I1163*kg_per_mt*$M1163</f>
        <v/>
      </c>
      <c r="U1163" s="18">
        <f>IF($K1163,0,$T1163*mcx_al_margin_used_frac)</f>
        <v/>
      </c>
      <c r="V1163" s="18">
        <f>IF(($B1162=$B1163),$U1162,0)</f>
        <v/>
      </c>
      <c r="W1163" s="18">
        <f>$U1163-$V1163</f>
        <v/>
      </c>
      <c r="X1163" s="18">
        <f>IF($K1163,0,$T1163*0.12)</f>
        <v/>
      </c>
      <c r="Y1163" s="18">
        <f>IF($K1163,0,$T1163*0.15)</f>
        <v/>
      </c>
      <c r="Z1163" s="18">
        <f>IF($F1163="hold",0,-ABS($H1163)*$I1163*kg_per_mt*mcx_slippage_ticks*mcx_al_tick_inr_kg)</f>
        <v/>
      </c>
      <c r="AA1163" s="18">
        <f>IF($F1163="hold",0,-ABS($H1163)*$I1163*kg_per_mt*$Q1163*mcx_txn_cost_frac)</f>
        <v/>
      </c>
      <c r="AB1163" s="18">
        <f>$Z1163+$AA1163</f>
        <v/>
      </c>
      <c r="AC1163" s="18">
        <f>$R1163-$W1163+$AB1163</f>
        <v/>
      </c>
      <c r="AD1163" s="18">
        <f>IF(($B1162=$B1163),$AD1162,0)+$AC1163</f>
        <v/>
      </c>
      <c r="AE1163" s="23" t="n">
        <v>1994672.8</v>
      </c>
      <c r="AF1163" s="23" t="n">
        <v>16589987.87</v>
      </c>
      <c r="AG1163" s="23" t="n">
        <v>0</v>
      </c>
      <c r="AH1163" s="23" t="n">
        <v>1795205.52</v>
      </c>
      <c r="AI1163" s="23" t="n">
        <v>-10286.07</v>
      </c>
      <c r="AJ1163" s="18">
        <f>$R1163-$AE1163</f>
        <v/>
      </c>
      <c r="AK1163" s="18">
        <f>$U1163-$AF1163</f>
        <v/>
      </c>
      <c r="AL1163" s="18">
        <f>$AC1163-$AH1163</f>
        <v/>
      </c>
      <c r="AM1163" s="8">
        <f>IF(AND(ABS($AJ1163)&lt;=tol_mcx_inr,ABS($AK1163)&lt;=tol_mcx_inr,ABS($AL1163)&lt;=tol_mcx_inr),"PASS","FAIL")</f>
        <v/>
      </c>
    </row>
    <row r="1164">
      <c r="A1164" s="7" t="inlineStr">
        <is>
          <t>T02</t>
        </is>
      </c>
      <c r="B1164" s="7" t="inlineStr">
        <is>
          <t>T02-MCX-4</t>
        </is>
      </c>
      <c r="C1164" s="11" t="n">
        <v>44697</v>
      </c>
      <c r="D1164" s="7" t="n">
        <v>202205</v>
      </c>
      <c r="E1164" s="7" t="inlineStr">
        <is>
          <t>BUY</t>
        </is>
      </c>
      <c r="F1164" s="7" t="inlineStr">
        <is>
          <t>hold</t>
        </is>
      </c>
      <c r="G1164" s="17" t="b">
        <v>1</v>
      </c>
      <c r="H1164" s="6" t="n">
        <v>145</v>
      </c>
      <c r="I1164" s="13" t="n">
        <v>5</v>
      </c>
      <c r="J1164" s="8">
        <f>OR($F1164="entry",$F1164="roll_in")</f>
        <v/>
      </c>
      <c r="K1164" s="8">
        <f>OR($F1164="exit",$F1164="roll_out")</f>
        <v/>
      </c>
      <c r="L1164" s="8">
        <f>OR(AND($E1164="SELL",$K1164),AND($E1164="BUY",$J1164))</f>
        <v/>
      </c>
      <c r="M1164" s="16">
        <f>((INDEX(Market_Daily!$B$6:$B$256,MATCH($C1164,Market_Daily!$A$6:$A$256,0))*INDEX(Market_Daily!$F$6:$F$256,MATCH($C1164,Market_Daily!$A$6:$A$256,0))/kg_per_mt*(1+bcd_primary_al_hs7601*(1+sws_rate_on_bcd))+mcx_domestic_premium_inr_kg)*(1+INDEX(Market_Daily!$I$6:$I$256,MATCH($C1164,Market_Daily!$A$6:$A$256,0))*MAX(0,INDEX(mcx_expiries,MATCH($D1164,mcx_months,0))-$C1164)/day_count_inr))</f>
        <v/>
      </c>
      <c r="N1164" s="16">
        <f>IF(INDEX(Market_Daily!$S$6:$S$256,MATCH($C1164,Market_Daily!$A$6:$A$256,0))=$D1164,INDEX(Market_Daily!$M$6:$M$256,MATCH($C1164,Market_Daily!$A$6:$A$256,0)),IF(INDEX(Market_Daily!$T$6:$T$256,MATCH($C1164,Market_Daily!$A$6:$A$256,0))=$D1164,INDEX(Market_Daily!$N$6:$N$256,MATCH($C1164,Market_Daily!$A$6:$A$256,0)),NA()))</f>
        <v/>
      </c>
      <c r="O1164" s="16">
        <f>$N1164-$M1164</f>
        <v/>
      </c>
      <c r="P1164" s="16">
        <f>IF(($B1163=$B1164),$M1163,"")</f>
        <v/>
      </c>
      <c r="Q1164" s="16">
        <f>$M1164+IF($L1164,1,-1)*mcx_slippage_ticks*mcx_al_tick_inr_kg</f>
        <v/>
      </c>
      <c r="R1164" s="18">
        <f>IF(($B1163=$B1164),$H1164*$I1164*kg_per_mt*($M1164-$M1163),0)</f>
        <v/>
      </c>
      <c r="S1164" s="18">
        <f>IF(($B1163=$B1164),$S1163,0)+$R1164</f>
        <v/>
      </c>
      <c r="T1164" s="18">
        <f>ABS($H1164)*$I1164*kg_per_mt*$M1164</f>
        <v/>
      </c>
      <c r="U1164" s="18">
        <f>IF($K1164,0,$T1164*mcx_al_margin_used_frac)</f>
        <v/>
      </c>
      <c r="V1164" s="18">
        <f>IF(($B1163=$B1164),$U1163,0)</f>
        <v/>
      </c>
      <c r="W1164" s="18">
        <f>$U1164-$V1164</f>
        <v/>
      </c>
      <c r="X1164" s="18">
        <f>IF($K1164,0,$T1164*0.12)</f>
        <v/>
      </c>
      <c r="Y1164" s="18">
        <f>IF($K1164,0,$T1164*0.15)</f>
        <v/>
      </c>
      <c r="Z1164" s="18">
        <f>IF($F1164="hold",0,-ABS($H1164)*$I1164*kg_per_mt*mcx_slippage_ticks*mcx_al_tick_inr_kg)</f>
        <v/>
      </c>
      <c r="AA1164" s="18">
        <f>IF($F1164="hold",0,-ABS($H1164)*$I1164*kg_per_mt*$Q1164*mcx_txn_cost_frac)</f>
        <v/>
      </c>
      <c r="AB1164" s="18">
        <f>$Z1164+$AA1164</f>
        <v/>
      </c>
      <c r="AC1164" s="18">
        <f>$R1164-$W1164+$AB1164</f>
        <v/>
      </c>
      <c r="AD1164" s="18">
        <f>IF(($B1163=$B1164),$AD1163,0)+$AC1164</f>
        <v/>
      </c>
      <c r="AE1164" s="23" t="n">
        <v>4841099.8</v>
      </c>
      <c r="AF1164" s="23" t="n">
        <v>17074097.85</v>
      </c>
      <c r="AG1164" s="23" t="n">
        <v>0</v>
      </c>
      <c r="AH1164" s="23" t="n">
        <v>4356989.82</v>
      </c>
      <c r="AI1164" s="23" t="n">
        <v>-29441.72</v>
      </c>
      <c r="AJ1164" s="18">
        <f>$R1164-$AE1164</f>
        <v/>
      </c>
      <c r="AK1164" s="18">
        <f>$U1164-$AF1164</f>
        <v/>
      </c>
      <c r="AL1164" s="18">
        <f>$AC1164-$AH1164</f>
        <v/>
      </c>
      <c r="AM1164" s="8">
        <f>IF(AND(ABS($AJ1164)&lt;=tol_mcx_inr,ABS($AK1164)&lt;=tol_mcx_inr,ABS($AL1164)&lt;=tol_mcx_inr),"PASS","FAIL")</f>
        <v/>
      </c>
    </row>
    <row r="1165">
      <c r="A1165" s="7" t="inlineStr">
        <is>
          <t>T02</t>
        </is>
      </c>
      <c r="B1165" s="7" t="inlineStr">
        <is>
          <t>T02-MCX-4</t>
        </is>
      </c>
      <c r="C1165" s="11" t="n">
        <v>44698</v>
      </c>
      <c r="D1165" s="7" t="n">
        <v>202205</v>
      </c>
      <c r="E1165" s="7" t="inlineStr">
        <is>
          <t>BUY</t>
        </is>
      </c>
      <c r="F1165" s="7" t="inlineStr">
        <is>
          <t>exit</t>
        </is>
      </c>
      <c r="G1165" s="17" t="b">
        <v>1</v>
      </c>
      <c r="H1165" s="6" t="n">
        <v>145</v>
      </c>
      <c r="I1165" s="13" t="n">
        <v>5</v>
      </c>
      <c r="J1165" s="8">
        <f>OR($F1165="entry",$F1165="roll_in")</f>
        <v/>
      </c>
      <c r="K1165" s="8">
        <f>OR($F1165="exit",$F1165="roll_out")</f>
        <v/>
      </c>
      <c r="L1165" s="8">
        <f>OR(AND($E1165="SELL",$K1165),AND($E1165="BUY",$J1165))</f>
        <v/>
      </c>
      <c r="M1165" s="16">
        <f>((INDEX(Market_Daily!$B$6:$B$256,MATCH($C1165,Market_Daily!$A$6:$A$256,0))*INDEX(Market_Daily!$F$6:$F$256,MATCH($C1165,Market_Daily!$A$6:$A$256,0))/kg_per_mt*(1+bcd_primary_al_hs7601*(1+sws_rate_on_bcd))+mcx_domestic_premium_inr_kg)*(1+INDEX(Market_Daily!$I$6:$I$256,MATCH($C1165,Market_Daily!$A$6:$A$256,0))*MAX(0,INDEX(mcx_expiries,MATCH($D1165,mcx_months,0))-$C1165)/day_count_inr))</f>
        <v/>
      </c>
      <c r="N1165" s="16">
        <f>IF(INDEX(Market_Daily!$S$6:$S$256,MATCH($C1165,Market_Daily!$A$6:$A$256,0))=$D1165,INDEX(Market_Daily!$M$6:$M$256,MATCH($C1165,Market_Daily!$A$6:$A$256,0)),IF(INDEX(Market_Daily!$T$6:$T$256,MATCH($C1165,Market_Daily!$A$6:$A$256,0))=$D1165,INDEX(Market_Daily!$N$6:$N$256,MATCH($C1165,Market_Daily!$A$6:$A$256,0)),NA()))</f>
        <v/>
      </c>
      <c r="O1165" s="16">
        <f>$N1165-$M1165</f>
        <v/>
      </c>
      <c r="P1165" s="16">
        <f>IF(($B1164=$B1165),$M1164,"")</f>
        <v/>
      </c>
      <c r="Q1165" s="16">
        <f>$M1165+IF($L1165,1,-1)*mcx_slippage_ticks*mcx_al_tick_inr_kg</f>
        <v/>
      </c>
      <c r="R1165" s="18">
        <f>IF(($B1164=$B1165),$H1165*$I1165*kg_per_mt*($M1165-$M1164),0)</f>
        <v/>
      </c>
      <c r="S1165" s="18">
        <f>IF(($B1164=$B1165),$S1164,0)+$R1165</f>
        <v/>
      </c>
      <c r="T1165" s="18">
        <f>ABS($H1165)*$I1165*kg_per_mt*$M1165</f>
        <v/>
      </c>
      <c r="U1165" s="18">
        <f>IF($K1165,0,$T1165*mcx_al_margin_used_frac)</f>
        <v/>
      </c>
      <c r="V1165" s="18">
        <f>IF(($B1164=$B1165),$U1164,0)</f>
        <v/>
      </c>
      <c r="W1165" s="18">
        <f>$U1165-$V1165</f>
        <v/>
      </c>
      <c r="X1165" s="18">
        <f>IF($K1165,0,$T1165*0.12)</f>
        <v/>
      </c>
      <c r="Y1165" s="18">
        <f>IF($K1165,0,$T1165*0.15)</f>
        <v/>
      </c>
      <c r="Z1165" s="18">
        <f>IF($F1165="hold",0,-ABS($H1165)*$I1165*kg_per_mt*mcx_slippage_ticks*mcx_al_tick_inr_kg)</f>
        <v/>
      </c>
      <c r="AA1165" s="18">
        <f>IF($F1165="hold",0,-ABS($H1165)*$I1165*kg_per_mt*$Q1165*mcx_txn_cost_frac)</f>
        <v/>
      </c>
      <c r="AB1165" s="18">
        <f>$Z1165+$AA1165</f>
        <v/>
      </c>
      <c r="AC1165" s="18">
        <f>$R1165-$W1165+$AB1165</f>
        <v/>
      </c>
      <c r="AD1165" s="18">
        <f>IF(($B1164=$B1165),$AD1164,0)+$AC1165</f>
        <v/>
      </c>
      <c r="AE1165" s="23" t="n">
        <v>1979007.93</v>
      </c>
      <c r="AF1165" s="23" t="n">
        <v>0</v>
      </c>
      <c r="AG1165" s="23" t="n">
        <v>-124294.25</v>
      </c>
      <c r="AH1165" s="23" t="n">
        <v>18928811.53</v>
      </c>
      <c r="AI1165" s="23" t="n">
        <v>-8758.25</v>
      </c>
      <c r="AJ1165" s="18">
        <f>$R1165-$AE1165</f>
        <v/>
      </c>
      <c r="AK1165" s="18">
        <f>$U1165-$AF1165</f>
        <v/>
      </c>
      <c r="AL1165" s="18">
        <f>$AC1165-$AH1165</f>
        <v/>
      </c>
      <c r="AM1165" s="8">
        <f>IF(AND(ABS($AJ1165)&lt;=tol_mcx_inr,ABS($AK1165)&lt;=tol_mcx_inr,ABS($AL1165)&lt;=tol_mcx_inr),"PASS","FAIL")</f>
        <v/>
      </c>
    </row>
    <row r="1166">
      <c r="A1166" s="7" t="inlineStr">
        <is>
          <t>T03</t>
        </is>
      </c>
      <c r="B1166" s="7" t="inlineStr">
        <is>
          <t>T03-MCX-1</t>
        </is>
      </c>
      <c r="C1166" s="11" t="n">
        <v>44643</v>
      </c>
      <c r="D1166" s="7" t="n">
        <v>202204</v>
      </c>
      <c r="E1166" s="7" t="inlineStr">
        <is>
          <t>SELL</t>
        </is>
      </c>
      <c r="F1166" s="7" t="inlineStr">
        <is>
          <t>entry</t>
        </is>
      </c>
      <c r="G1166" s="17" t="b">
        <v>1</v>
      </c>
      <c r="H1166" s="6" t="n">
        <v>-143</v>
      </c>
      <c r="I1166" s="13" t="n">
        <v>5</v>
      </c>
      <c r="J1166" s="8">
        <f>OR($F1166="entry",$F1166="roll_in")</f>
        <v/>
      </c>
      <c r="K1166" s="8">
        <f>OR($F1166="exit",$F1166="roll_out")</f>
        <v/>
      </c>
      <c r="L1166" s="8">
        <f>OR(AND($E1166="SELL",$K1166),AND($E1166="BUY",$J1166))</f>
        <v/>
      </c>
      <c r="M1166" s="16">
        <f>((INDEX(Market_Daily!$B$6:$B$256,MATCH($C1166,Market_Daily!$A$6:$A$256,0))*INDEX(Market_Daily!$F$6:$F$256,MATCH($C1166,Market_Daily!$A$6:$A$256,0))/kg_per_mt*(1+bcd_primary_al_hs7601*(1+sws_rate_on_bcd))+mcx_domestic_premium_inr_kg)*(1+INDEX(Market_Daily!$I$6:$I$256,MATCH($C1166,Market_Daily!$A$6:$A$256,0))*MAX(0,INDEX(mcx_expiries,MATCH($D1166,mcx_months,0))-$C1166)/day_count_inr))</f>
        <v/>
      </c>
      <c r="N1166" s="16">
        <f>IF(INDEX(Market_Daily!$S$6:$S$256,MATCH($C1166,Market_Daily!$A$6:$A$256,0))=$D1166,INDEX(Market_Daily!$M$6:$M$256,MATCH($C1166,Market_Daily!$A$6:$A$256,0)),IF(INDEX(Market_Daily!$T$6:$T$256,MATCH($C1166,Market_Daily!$A$6:$A$256,0))=$D1166,INDEX(Market_Daily!$N$6:$N$256,MATCH($C1166,Market_Daily!$A$6:$A$256,0)),NA()))</f>
        <v/>
      </c>
      <c r="O1166" s="16">
        <f>$N1166-$M1166</f>
        <v/>
      </c>
      <c r="P1166" s="16">
        <f>IF(($B1165=$B1166),$M1165,"")</f>
        <v/>
      </c>
      <c r="Q1166" s="16">
        <f>$M1166+IF($L1166,1,-1)*mcx_slippage_ticks*mcx_al_tick_inr_kg</f>
        <v/>
      </c>
      <c r="R1166" s="18">
        <f>IF(($B1165=$B1166),$H1166*$I1166*kg_per_mt*($M1166-$M1165),0)</f>
        <v/>
      </c>
      <c r="S1166" s="18">
        <f>IF(($B1165=$B1166),$S1165,0)+$R1166</f>
        <v/>
      </c>
      <c r="T1166" s="18">
        <f>ABS($H1166)*$I1166*kg_per_mt*$M1166</f>
        <v/>
      </c>
      <c r="U1166" s="18">
        <f>IF($K1166,0,$T1166*mcx_al_margin_used_frac)</f>
        <v/>
      </c>
      <c r="V1166" s="18">
        <f>IF(($B1165=$B1166),$U1165,0)</f>
        <v/>
      </c>
      <c r="W1166" s="18">
        <f>$U1166-$V1166</f>
        <v/>
      </c>
      <c r="X1166" s="18">
        <f>IF($K1166,0,$T1166*0.12)</f>
        <v/>
      </c>
      <c r="Y1166" s="18">
        <f>IF($K1166,0,$T1166*0.15)</f>
        <v/>
      </c>
      <c r="Z1166" s="18">
        <f>IF($F1166="hold",0,-ABS($H1166)*$I1166*kg_per_mt*mcx_slippage_ticks*mcx_al_tick_inr_kg)</f>
        <v/>
      </c>
      <c r="AA1166" s="18">
        <f>IF($F1166="hold",0,-ABS($H1166)*$I1166*kg_per_mt*$Q1166*mcx_txn_cost_frac)</f>
        <v/>
      </c>
      <c r="AB1166" s="18">
        <f>$Z1166+$AA1166</f>
        <v/>
      </c>
      <c r="AC1166" s="18">
        <f>$R1166-$W1166+$AB1166</f>
        <v/>
      </c>
      <c r="AD1166" s="18">
        <f>IF(($B1165=$B1166),$AD1165,0)+$AC1166</f>
        <v/>
      </c>
      <c r="AE1166" s="23" t="n">
        <v>0</v>
      </c>
      <c r="AF1166" s="23" t="n">
        <v>21142474.62</v>
      </c>
      <c r="AG1166" s="23" t="n">
        <v>-134905.97</v>
      </c>
      <c r="AH1166" s="23" t="n">
        <v>-21277380.59</v>
      </c>
      <c r="AI1166" s="23" t="n">
        <v>0</v>
      </c>
      <c r="AJ1166" s="18">
        <f>$R1166-$AE1166</f>
        <v/>
      </c>
      <c r="AK1166" s="18">
        <f>$U1166-$AF1166</f>
        <v/>
      </c>
      <c r="AL1166" s="18">
        <f>$AC1166-$AH1166</f>
        <v/>
      </c>
      <c r="AM1166" s="8">
        <f>IF(AND(ABS($AJ1166)&lt;=tol_mcx_inr,ABS($AK1166)&lt;=tol_mcx_inr,ABS($AL1166)&lt;=tol_mcx_inr),"PASS","FAIL")</f>
        <v/>
      </c>
    </row>
    <row r="1167">
      <c r="A1167" s="7" t="inlineStr">
        <is>
          <t>T03</t>
        </is>
      </c>
      <c r="B1167" s="7" t="inlineStr">
        <is>
          <t>T03-MCX-1</t>
        </is>
      </c>
      <c r="C1167" s="11" t="n">
        <v>44644</v>
      </c>
      <c r="D1167" s="7" t="n">
        <v>202204</v>
      </c>
      <c r="E1167" s="7" t="inlineStr">
        <is>
          <t>SELL</t>
        </is>
      </c>
      <c r="F1167" s="7" t="inlineStr">
        <is>
          <t>hold</t>
        </is>
      </c>
      <c r="G1167" s="17" t="b">
        <v>1</v>
      </c>
      <c r="H1167" s="6" t="n">
        <v>-143</v>
      </c>
      <c r="I1167" s="13" t="n">
        <v>5</v>
      </c>
      <c r="J1167" s="8">
        <f>OR($F1167="entry",$F1167="roll_in")</f>
        <v/>
      </c>
      <c r="K1167" s="8">
        <f>OR($F1167="exit",$F1167="roll_out")</f>
        <v/>
      </c>
      <c r="L1167" s="8">
        <f>OR(AND($E1167="SELL",$K1167),AND($E1167="BUY",$J1167))</f>
        <v/>
      </c>
      <c r="M1167" s="16">
        <f>((INDEX(Market_Daily!$B$6:$B$256,MATCH($C1167,Market_Daily!$A$6:$A$256,0))*INDEX(Market_Daily!$F$6:$F$256,MATCH($C1167,Market_Daily!$A$6:$A$256,0))/kg_per_mt*(1+bcd_primary_al_hs7601*(1+sws_rate_on_bcd))+mcx_domestic_premium_inr_kg)*(1+INDEX(Market_Daily!$I$6:$I$256,MATCH($C1167,Market_Daily!$A$6:$A$256,0))*MAX(0,INDEX(mcx_expiries,MATCH($D1167,mcx_months,0))-$C1167)/day_count_inr))</f>
        <v/>
      </c>
      <c r="N1167" s="16">
        <f>IF(INDEX(Market_Daily!$S$6:$S$256,MATCH($C1167,Market_Daily!$A$6:$A$256,0))=$D1167,INDEX(Market_Daily!$M$6:$M$256,MATCH($C1167,Market_Daily!$A$6:$A$256,0)),IF(INDEX(Market_Daily!$T$6:$T$256,MATCH($C1167,Market_Daily!$A$6:$A$256,0))=$D1167,INDEX(Market_Daily!$N$6:$N$256,MATCH($C1167,Market_Daily!$A$6:$A$256,0)),NA()))</f>
        <v/>
      </c>
      <c r="O1167" s="16">
        <f>$N1167-$M1167</f>
        <v/>
      </c>
      <c r="P1167" s="16">
        <f>IF(($B1166=$B1167),$M1166,"")</f>
        <v/>
      </c>
      <c r="Q1167" s="16">
        <f>$M1167+IF($L1167,1,-1)*mcx_slippage_ticks*mcx_al_tick_inr_kg</f>
        <v/>
      </c>
      <c r="R1167" s="18">
        <f>IF(($B1166=$B1167),$H1167*$I1167*kg_per_mt*($M1167-$M1166),0)</f>
        <v/>
      </c>
      <c r="S1167" s="18">
        <f>IF(($B1166=$B1167),$S1166,0)+$R1167</f>
        <v/>
      </c>
      <c r="T1167" s="18">
        <f>ABS($H1167)*$I1167*kg_per_mt*$M1167</f>
        <v/>
      </c>
      <c r="U1167" s="18">
        <f>IF($K1167,0,$T1167*mcx_al_margin_used_frac)</f>
        <v/>
      </c>
      <c r="V1167" s="18">
        <f>IF(($B1166=$B1167),$U1166,0)</f>
        <v/>
      </c>
      <c r="W1167" s="18">
        <f>$U1167-$V1167</f>
        <v/>
      </c>
      <c r="X1167" s="18">
        <f>IF($K1167,0,$T1167*0.12)</f>
        <v/>
      </c>
      <c r="Y1167" s="18">
        <f>IF($K1167,0,$T1167*0.15)</f>
        <v/>
      </c>
      <c r="Z1167" s="18">
        <f>IF($F1167="hold",0,-ABS($H1167)*$I1167*kg_per_mt*mcx_slippage_ticks*mcx_al_tick_inr_kg)</f>
        <v/>
      </c>
      <c r="AA1167" s="18">
        <f>IF($F1167="hold",0,-ABS($H1167)*$I1167*kg_per_mt*$Q1167*mcx_txn_cost_frac)</f>
        <v/>
      </c>
      <c r="AB1167" s="18">
        <f>$Z1167+$AA1167</f>
        <v/>
      </c>
      <c r="AC1167" s="18">
        <f>$R1167-$W1167+$AB1167</f>
        <v/>
      </c>
      <c r="AD1167" s="18">
        <f>IF(($B1166=$B1167),$AD1166,0)+$AC1167</f>
        <v/>
      </c>
      <c r="AE1167" s="23" t="n">
        <v>-6063203.17</v>
      </c>
      <c r="AF1167" s="23" t="n">
        <v>21748794.94</v>
      </c>
      <c r="AG1167" s="23" t="n">
        <v>0</v>
      </c>
      <c r="AH1167" s="23" t="n">
        <v>-6669523.49</v>
      </c>
      <c r="AI1167" s="23" t="n">
        <v>-5537.95</v>
      </c>
      <c r="AJ1167" s="18">
        <f>$R1167-$AE1167</f>
        <v/>
      </c>
      <c r="AK1167" s="18">
        <f>$U1167-$AF1167</f>
        <v/>
      </c>
      <c r="AL1167" s="18">
        <f>$AC1167-$AH1167</f>
        <v/>
      </c>
      <c r="AM1167" s="8">
        <f>IF(AND(ABS($AJ1167)&lt;=tol_mcx_inr,ABS($AK1167)&lt;=tol_mcx_inr,ABS($AL1167)&lt;=tol_mcx_inr),"PASS","FAIL")</f>
        <v/>
      </c>
    </row>
    <row r="1168">
      <c r="A1168" s="7" t="inlineStr">
        <is>
          <t>T03</t>
        </is>
      </c>
      <c r="B1168" s="7" t="inlineStr">
        <is>
          <t>T03-MCX-1</t>
        </is>
      </c>
      <c r="C1168" s="11" t="n">
        <v>44645</v>
      </c>
      <c r="D1168" s="7" t="n">
        <v>202204</v>
      </c>
      <c r="E1168" s="7" t="inlineStr">
        <is>
          <t>SELL</t>
        </is>
      </c>
      <c r="F1168" s="7" t="inlineStr">
        <is>
          <t>hold</t>
        </is>
      </c>
      <c r="G1168" s="17" t="b">
        <v>1</v>
      </c>
      <c r="H1168" s="6" t="n">
        <v>-143</v>
      </c>
      <c r="I1168" s="13" t="n">
        <v>5</v>
      </c>
      <c r="J1168" s="8">
        <f>OR($F1168="entry",$F1168="roll_in")</f>
        <v/>
      </c>
      <c r="K1168" s="8">
        <f>OR($F1168="exit",$F1168="roll_out")</f>
        <v/>
      </c>
      <c r="L1168" s="8">
        <f>OR(AND($E1168="SELL",$K1168),AND($E1168="BUY",$J1168))</f>
        <v/>
      </c>
      <c r="M1168" s="16">
        <f>((INDEX(Market_Daily!$B$6:$B$256,MATCH($C1168,Market_Daily!$A$6:$A$256,0))*INDEX(Market_Daily!$F$6:$F$256,MATCH($C1168,Market_Daily!$A$6:$A$256,0))/kg_per_mt*(1+bcd_primary_al_hs7601*(1+sws_rate_on_bcd))+mcx_domestic_premium_inr_kg)*(1+INDEX(Market_Daily!$I$6:$I$256,MATCH($C1168,Market_Daily!$A$6:$A$256,0))*MAX(0,INDEX(mcx_expiries,MATCH($D1168,mcx_months,0))-$C1168)/day_count_inr))</f>
        <v/>
      </c>
      <c r="N1168" s="16">
        <f>IF(INDEX(Market_Daily!$S$6:$S$256,MATCH($C1168,Market_Daily!$A$6:$A$256,0))=$D1168,INDEX(Market_Daily!$M$6:$M$256,MATCH($C1168,Market_Daily!$A$6:$A$256,0)),IF(INDEX(Market_Daily!$T$6:$T$256,MATCH($C1168,Market_Daily!$A$6:$A$256,0))=$D1168,INDEX(Market_Daily!$N$6:$N$256,MATCH($C1168,Market_Daily!$A$6:$A$256,0)),NA()))</f>
        <v/>
      </c>
      <c r="O1168" s="16">
        <f>$N1168-$M1168</f>
        <v/>
      </c>
      <c r="P1168" s="16">
        <f>IF(($B1167=$B1168),$M1167,"")</f>
        <v/>
      </c>
      <c r="Q1168" s="16">
        <f>$M1168+IF($L1168,1,-1)*mcx_slippage_ticks*mcx_al_tick_inr_kg</f>
        <v/>
      </c>
      <c r="R1168" s="18">
        <f>IF(($B1167=$B1168),$H1168*$I1168*kg_per_mt*($M1168-$M1167),0)</f>
        <v/>
      </c>
      <c r="S1168" s="18">
        <f>IF(($B1167=$B1168),$S1167,0)+$R1168</f>
        <v/>
      </c>
      <c r="T1168" s="18">
        <f>ABS($H1168)*$I1168*kg_per_mt*$M1168</f>
        <v/>
      </c>
      <c r="U1168" s="18">
        <f>IF($K1168,0,$T1168*mcx_al_margin_used_frac)</f>
        <v/>
      </c>
      <c r="V1168" s="18">
        <f>IF(($B1167=$B1168),$U1167,0)</f>
        <v/>
      </c>
      <c r="W1168" s="18">
        <f>$U1168-$V1168</f>
        <v/>
      </c>
      <c r="X1168" s="18">
        <f>IF($K1168,0,$T1168*0.12)</f>
        <v/>
      </c>
      <c r="Y1168" s="18">
        <f>IF($K1168,0,$T1168*0.15)</f>
        <v/>
      </c>
      <c r="Z1168" s="18">
        <f>IF($F1168="hold",0,-ABS($H1168)*$I1168*kg_per_mt*mcx_slippage_ticks*mcx_al_tick_inr_kg)</f>
        <v/>
      </c>
      <c r="AA1168" s="18">
        <f>IF($F1168="hold",0,-ABS($H1168)*$I1168*kg_per_mt*$Q1168*mcx_txn_cost_frac)</f>
        <v/>
      </c>
      <c r="AB1168" s="18">
        <f>$Z1168+$AA1168</f>
        <v/>
      </c>
      <c r="AC1168" s="18">
        <f>$R1168-$W1168+$AB1168</f>
        <v/>
      </c>
      <c r="AD1168" s="18">
        <f>IF(($B1167=$B1168),$AD1167,0)+$AC1168</f>
        <v/>
      </c>
      <c r="AE1168" s="23" t="n">
        <v>5434189.03</v>
      </c>
      <c r="AF1168" s="23" t="n">
        <v>21205376.03</v>
      </c>
      <c r="AG1168" s="23" t="n">
        <v>0</v>
      </c>
      <c r="AH1168" s="23" t="n">
        <v>5977607.93</v>
      </c>
      <c r="AI1168" s="23" t="n">
        <v>-7273.85</v>
      </c>
      <c r="AJ1168" s="18">
        <f>$R1168-$AE1168</f>
        <v/>
      </c>
      <c r="AK1168" s="18">
        <f>$U1168-$AF1168</f>
        <v/>
      </c>
      <c r="AL1168" s="18">
        <f>$AC1168-$AH1168</f>
        <v/>
      </c>
      <c r="AM1168" s="8">
        <f>IF(AND(ABS($AJ1168)&lt;=tol_mcx_inr,ABS($AK1168)&lt;=tol_mcx_inr,ABS($AL1168)&lt;=tol_mcx_inr),"PASS","FAIL")</f>
        <v/>
      </c>
    </row>
    <row r="1169">
      <c r="A1169" s="7" t="inlineStr">
        <is>
          <t>T03</t>
        </is>
      </c>
      <c r="B1169" s="7" t="inlineStr">
        <is>
          <t>T03-MCX-1</t>
        </is>
      </c>
      <c r="C1169" s="11" t="n">
        <v>44648</v>
      </c>
      <c r="D1169" s="7" t="n">
        <v>202204</v>
      </c>
      <c r="E1169" s="7" t="inlineStr">
        <is>
          <t>SELL</t>
        </is>
      </c>
      <c r="F1169" s="7" t="inlineStr">
        <is>
          <t>hold</t>
        </is>
      </c>
      <c r="G1169" s="17" t="b">
        <v>1</v>
      </c>
      <c r="H1169" s="6" t="n">
        <v>-143</v>
      </c>
      <c r="I1169" s="13" t="n">
        <v>5</v>
      </c>
      <c r="J1169" s="8">
        <f>OR($F1169="entry",$F1169="roll_in")</f>
        <v/>
      </c>
      <c r="K1169" s="8">
        <f>OR($F1169="exit",$F1169="roll_out")</f>
        <v/>
      </c>
      <c r="L1169" s="8">
        <f>OR(AND($E1169="SELL",$K1169),AND($E1169="BUY",$J1169))</f>
        <v/>
      </c>
      <c r="M1169" s="16">
        <f>((INDEX(Market_Daily!$B$6:$B$256,MATCH($C1169,Market_Daily!$A$6:$A$256,0))*INDEX(Market_Daily!$F$6:$F$256,MATCH($C1169,Market_Daily!$A$6:$A$256,0))/kg_per_mt*(1+bcd_primary_al_hs7601*(1+sws_rate_on_bcd))+mcx_domestic_premium_inr_kg)*(1+INDEX(Market_Daily!$I$6:$I$256,MATCH($C1169,Market_Daily!$A$6:$A$256,0))*MAX(0,INDEX(mcx_expiries,MATCH($D1169,mcx_months,0))-$C1169)/day_count_inr))</f>
        <v/>
      </c>
      <c r="N1169" s="16">
        <f>IF(INDEX(Market_Daily!$S$6:$S$256,MATCH($C1169,Market_Daily!$A$6:$A$256,0))=$D1169,INDEX(Market_Daily!$M$6:$M$256,MATCH($C1169,Market_Daily!$A$6:$A$256,0)),IF(INDEX(Market_Daily!$T$6:$T$256,MATCH($C1169,Market_Daily!$A$6:$A$256,0))=$D1169,INDEX(Market_Daily!$N$6:$N$256,MATCH($C1169,Market_Daily!$A$6:$A$256,0)),NA()))</f>
        <v/>
      </c>
      <c r="O1169" s="16">
        <f>$N1169-$M1169</f>
        <v/>
      </c>
      <c r="P1169" s="16">
        <f>IF(($B1168=$B1169),$M1168,"")</f>
        <v/>
      </c>
      <c r="Q1169" s="16">
        <f>$M1169+IF($L1169,1,-1)*mcx_slippage_ticks*mcx_al_tick_inr_kg</f>
        <v/>
      </c>
      <c r="R1169" s="18">
        <f>IF(($B1168=$B1169),$H1169*$I1169*kg_per_mt*($M1169-$M1168),0)</f>
        <v/>
      </c>
      <c r="S1169" s="18">
        <f>IF(($B1168=$B1169),$S1168,0)+$R1169</f>
        <v/>
      </c>
      <c r="T1169" s="18">
        <f>ABS($H1169)*$I1169*kg_per_mt*$M1169</f>
        <v/>
      </c>
      <c r="U1169" s="18">
        <f>IF($K1169,0,$T1169*mcx_al_margin_used_frac)</f>
        <v/>
      </c>
      <c r="V1169" s="18">
        <f>IF(($B1168=$B1169),$U1168,0)</f>
        <v/>
      </c>
      <c r="W1169" s="18">
        <f>$U1169-$V1169</f>
        <v/>
      </c>
      <c r="X1169" s="18">
        <f>IF($K1169,0,$T1169*0.12)</f>
        <v/>
      </c>
      <c r="Y1169" s="18">
        <f>IF($K1169,0,$T1169*0.15)</f>
        <v/>
      </c>
      <c r="Z1169" s="18">
        <f>IF($F1169="hold",0,-ABS($H1169)*$I1169*kg_per_mt*mcx_slippage_ticks*mcx_al_tick_inr_kg)</f>
        <v/>
      </c>
      <c r="AA1169" s="18">
        <f>IF($F1169="hold",0,-ABS($H1169)*$I1169*kg_per_mt*$Q1169*mcx_txn_cost_frac)</f>
        <v/>
      </c>
      <c r="AB1169" s="18">
        <f>$Z1169+$AA1169</f>
        <v/>
      </c>
      <c r="AC1169" s="18">
        <f>$R1169-$W1169+$AB1169</f>
        <v/>
      </c>
      <c r="AD1169" s="18">
        <f>IF(($B1168=$B1169),$AD1168,0)+$AC1169</f>
        <v/>
      </c>
      <c r="AE1169" s="23" t="n">
        <v>-1124898.95</v>
      </c>
      <c r="AF1169" s="23" t="n">
        <v>21317865.93</v>
      </c>
      <c r="AG1169" s="23" t="n">
        <v>0</v>
      </c>
      <c r="AH1169" s="23" t="n">
        <v>-1237388.84</v>
      </c>
      <c r="AI1169" s="23" t="n">
        <v>-17154.11</v>
      </c>
      <c r="AJ1169" s="18">
        <f>$R1169-$AE1169</f>
        <v/>
      </c>
      <c r="AK1169" s="18">
        <f>$U1169-$AF1169</f>
        <v/>
      </c>
      <c r="AL1169" s="18">
        <f>$AC1169-$AH1169</f>
        <v/>
      </c>
      <c r="AM1169" s="8">
        <f>IF(AND(ABS($AJ1169)&lt;=tol_mcx_inr,ABS($AK1169)&lt;=tol_mcx_inr,ABS($AL1169)&lt;=tol_mcx_inr),"PASS","FAIL")</f>
        <v/>
      </c>
    </row>
    <row r="1170">
      <c r="A1170" s="7" t="inlineStr">
        <is>
          <t>T03</t>
        </is>
      </c>
      <c r="B1170" s="7" t="inlineStr">
        <is>
          <t>T03-MCX-1</t>
        </is>
      </c>
      <c r="C1170" s="11" t="n">
        <v>44649</v>
      </c>
      <c r="D1170" s="7" t="n">
        <v>202204</v>
      </c>
      <c r="E1170" s="7" t="inlineStr">
        <is>
          <t>SELL</t>
        </is>
      </c>
      <c r="F1170" s="7" t="inlineStr">
        <is>
          <t>hold</t>
        </is>
      </c>
      <c r="G1170" s="17" t="b">
        <v>1</v>
      </c>
      <c r="H1170" s="6" t="n">
        <v>-143</v>
      </c>
      <c r="I1170" s="13" t="n">
        <v>5</v>
      </c>
      <c r="J1170" s="8">
        <f>OR($F1170="entry",$F1170="roll_in")</f>
        <v/>
      </c>
      <c r="K1170" s="8">
        <f>OR($F1170="exit",$F1170="roll_out")</f>
        <v/>
      </c>
      <c r="L1170" s="8">
        <f>OR(AND($E1170="SELL",$K1170),AND($E1170="BUY",$J1170))</f>
        <v/>
      </c>
      <c r="M1170" s="16">
        <f>((INDEX(Market_Daily!$B$6:$B$256,MATCH($C1170,Market_Daily!$A$6:$A$256,0))*INDEX(Market_Daily!$F$6:$F$256,MATCH($C1170,Market_Daily!$A$6:$A$256,0))/kg_per_mt*(1+bcd_primary_al_hs7601*(1+sws_rate_on_bcd))+mcx_domestic_premium_inr_kg)*(1+INDEX(Market_Daily!$I$6:$I$256,MATCH($C1170,Market_Daily!$A$6:$A$256,0))*MAX(0,INDEX(mcx_expiries,MATCH($D1170,mcx_months,0))-$C1170)/day_count_inr))</f>
        <v/>
      </c>
      <c r="N1170" s="16">
        <f>IF(INDEX(Market_Daily!$S$6:$S$256,MATCH($C1170,Market_Daily!$A$6:$A$256,0))=$D1170,INDEX(Market_Daily!$M$6:$M$256,MATCH($C1170,Market_Daily!$A$6:$A$256,0)),IF(INDEX(Market_Daily!$T$6:$T$256,MATCH($C1170,Market_Daily!$A$6:$A$256,0))=$D1170,INDEX(Market_Daily!$N$6:$N$256,MATCH($C1170,Market_Daily!$A$6:$A$256,0)),NA()))</f>
        <v/>
      </c>
      <c r="O1170" s="16">
        <f>$N1170-$M1170</f>
        <v/>
      </c>
      <c r="P1170" s="16">
        <f>IF(($B1169=$B1170),$M1169,"")</f>
        <v/>
      </c>
      <c r="Q1170" s="16">
        <f>$M1170+IF($L1170,1,-1)*mcx_slippage_ticks*mcx_al_tick_inr_kg</f>
        <v/>
      </c>
      <c r="R1170" s="18">
        <f>IF(($B1169=$B1170),$H1170*$I1170*kg_per_mt*($M1170-$M1169),0)</f>
        <v/>
      </c>
      <c r="S1170" s="18">
        <f>IF(($B1169=$B1170),$S1169,0)+$R1170</f>
        <v/>
      </c>
      <c r="T1170" s="18">
        <f>ABS($H1170)*$I1170*kg_per_mt*$M1170</f>
        <v/>
      </c>
      <c r="U1170" s="18">
        <f>IF($K1170,0,$T1170*mcx_al_margin_used_frac)</f>
        <v/>
      </c>
      <c r="V1170" s="18">
        <f>IF(($B1169=$B1170),$U1169,0)</f>
        <v/>
      </c>
      <c r="W1170" s="18">
        <f>$U1170-$V1170</f>
        <v/>
      </c>
      <c r="X1170" s="18">
        <f>IF($K1170,0,$T1170*0.12)</f>
        <v/>
      </c>
      <c r="Y1170" s="18">
        <f>IF($K1170,0,$T1170*0.15)</f>
        <v/>
      </c>
      <c r="Z1170" s="18">
        <f>IF($F1170="hold",0,-ABS($H1170)*$I1170*kg_per_mt*mcx_slippage_ticks*mcx_al_tick_inr_kg)</f>
        <v/>
      </c>
      <c r="AA1170" s="18">
        <f>IF($F1170="hold",0,-ABS($H1170)*$I1170*kg_per_mt*$Q1170*mcx_txn_cost_frac)</f>
        <v/>
      </c>
      <c r="AB1170" s="18">
        <f>$Z1170+$AA1170</f>
        <v/>
      </c>
      <c r="AC1170" s="18">
        <f>$R1170-$W1170+$AB1170</f>
        <v/>
      </c>
      <c r="AD1170" s="18">
        <f>IF(($B1169=$B1170),$AD1169,0)+$AC1170</f>
        <v/>
      </c>
      <c r="AE1170" s="23" t="n">
        <v>2435430.72</v>
      </c>
      <c r="AF1170" s="23" t="n">
        <v>21074322.86</v>
      </c>
      <c r="AG1170" s="23" t="n">
        <v>0</v>
      </c>
      <c r="AH1170" s="23" t="n">
        <v>2678973.79</v>
      </c>
      <c r="AI1170" s="23" t="n">
        <v>-6040.1</v>
      </c>
      <c r="AJ1170" s="18">
        <f>$R1170-$AE1170</f>
        <v/>
      </c>
      <c r="AK1170" s="18">
        <f>$U1170-$AF1170</f>
        <v/>
      </c>
      <c r="AL1170" s="18">
        <f>$AC1170-$AH1170</f>
        <v/>
      </c>
      <c r="AM1170" s="8">
        <f>IF(AND(ABS($AJ1170)&lt;=tol_mcx_inr,ABS($AK1170)&lt;=tol_mcx_inr,ABS($AL1170)&lt;=tol_mcx_inr),"PASS","FAIL")</f>
        <v/>
      </c>
    </row>
    <row r="1171">
      <c r="A1171" s="7" t="inlineStr">
        <is>
          <t>T03</t>
        </is>
      </c>
      <c r="B1171" s="7" t="inlineStr">
        <is>
          <t>T03-MCX-1</t>
        </is>
      </c>
      <c r="C1171" s="11" t="n">
        <v>44650</v>
      </c>
      <c r="D1171" s="7" t="n">
        <v>202204</v>
      </c>
      <c r="E1171" s="7" t="inlineStr">
        <is>
          <t>SELL</t>
        </is>
      </c>
      <c r="F1171" s="7" t="inlineStr">
        <is>
          <t>hold</t>
        </is>
      </c>
      <c r="G1171" s="17" t="b">
        <v>1</v>
      </c>
      <c r="H1171" s="6" t="n">
        <v>-143</v>
      </c>
      <c r="I1171" s="13" t="n">
        <v>5</v>
      </c>
      <c r="J1171" s="8">
        <f>OR($F1171="entry",$F1171="roll_in")</f>
        <v/>
      </c>
      <c r="K1171" s="8">
        <f>OR($F1171="exit",$F1171="roll_out")</f>
        <v/>
      </c>
      <c r="L1171" s="8">
        <f>OR(AND($E1171="SELL",$K1171),AND($E1171="BUY",$J1171))</f>
        <v/>
      </c>
      <c r="M1171" s="16">
        <f>((INDEX(Market_Daily!$B$6:$B$256,MATCH($C1171,Market_Daily!$A$6:$A$256,0))*INDEX(Market_Daily!$F$6:$F$256,MATCH($C1171,Market_Daily!$A$6:$A$256,0))/kg_per_mt*(1+bcd_primary_al_hs7601*(1+sws_rate_on_bcd))+mcx_domestic_premium_inr_kg)*(1+INDEX(Market_Daily!$I$6:$I$256,MATCH($C1171,Market_Daily!$A$6:$A$256,0))*MAX(0,INDEX(mcx_expiries,MATCH($D1171,mcx_months,0))-$C1171)/day_count_inr))</f>
        <v/>
      </c>
      <c r="N1171" s="16">
        <f>IF(INDEX(Market_Daily!$S$6:$S$256,MATCH($C1171,Market_Daily!$A$6:$A$256,0))=$D1171,INDEX(Market_Daily!$M$6:$M$256,MATCH($C1171,Market_Daily!$A$6:$A$256,0)),IF(INDEX(Market_Daily!$T$6:$T$256,MATCH($C1171,Market_Daily!$A$6:$A$256,0))=$D1171,INDEX(Market_Daily!$N$6:$N$256,MATCH($C1171,Market_Daily!$A$6:$A$256,0)),NA()))</f>
        <v/>
      </c>
      <c r="O1171" s="16">
        <f>$N1171-$M1171</f>
        <v/>
      </c>
      <c r="P1171" s="16">
        <f>IF(($B1170=$B1171),$M1170,"")</f>
        <v/>
      </c>
      <c r="Q1171" s="16">
        <f>$M1171+IF($L1171,1,-1)*mcx_slippage_ticks*mcx_al_tick_inr_kg</f>
        <v/>
      </c>
      <c r="R1171" s="18">
        <f>IF(($B1170=$B1171),$H1171*$I1171*kg_per_mt*($M1171-$M1170),0)</f>
        <v/>
      </c>
      <c r="S1171" s="18">
        <f>IF(($B1170=$B1171),$S1170,0)+$R1171</f>
        <v/>
      </c>
      <c r="T1171" s="18">
        <f>ABS($H1171)*$I1171*kg_per_mt*$M1171</f>
        <v/>
      </c>
      <c r="U1171" s="18">
        <f>IF($K1171,0,$T1171*mcx_al_margin_used_frac)</f>
        <v/>
      </c>
      <c r="V1171" s="18">
        <f>IF(($B1170=$B1171),$U1170,0)</f>
        <v/>
      </c>
      <c r="W1171" s="18">
        <f>$U1171-$V1171</f>
        <v/>
      </c>
      <c r="X1171" s="18">
        <f>IF($K1171,0,$T1171*0.12)</f>
        <v/>
      </c>
      <c r="Y1171" s="18">
        <f>IF($K1171,0,$T1171*0.15)</f>
        <v/>
      </c>
      <c r="Z1171" s="18">
        <f>IF($F1171="hold",0,-ABS($H1171)*$I1171*kg_per_mt*mcx_slippage_ticks*mcx_al_tick_inr_kg)</f>
        <v/>
      </c>
      <c r="AA1171" s="18">
        <f>IF($F1171="hold",0,-ABS($H1171)*$I1171*kg_per_mt*$Q1171*mcx_txn_cost_frac)</f>
        <v/>
      </c>
      <c r="AB1171" s="18">
        <f>$Z1171+$AA1171</f>
        <v/>
      </c>
      <c r="AC1171" s="18">
        <f>$R1171-$W1171+$AB1171</f>
        <v/>
      </c>
      <c r="AD1171" s="18">
        <f>IF(($B1170=$B1171),$AD1170,0)+$AC1171</f>
        <v/>
      </c>
      <c r="AE1171" s="23" t="n">
        <v>4185584.71</v>
      </c>
      <c r="AF1171" s="23" t="n">
        <v>20655764.39</v>
      </c>
      <c r="AG1171" s="23" t="n">
        <v>0</v>
      </c>
      <c r="AH1171" s="23" t="n">
        <v>4604143.18</v>
      </c>
      <c r="AI1171" s="23" t="n">
        <v>-5342.83</v>
      </c>
      <c r="AJ1171" s="18">
        <f>$R1171-$AE1171</f>
        <v/>
      </c>
      <c r="AK1171" s="18">
        <f>$U1171-$AF1171</f>
        <v/>
      </c>
      <c r="AL1171" s="18">
        <f>$AC1171-$AH1171</f>
        <v/>
      </c>
      <c r="AM1171" s="8">
        <f>IF(AND(ABS($AJ1171)&lt;=tol_mcx_inr,ABS($AK1171)&lt;=tol_mcx_inr,ABS($AL1171)&lt;=tol_mcx_inr),"PASS","FAIL")</f>
        <v/>
      </c>
    </row>
    <row r="1172">
      <c r="A1172" s="7" t="inlineStr">
        <is>
          <t>T03</t>
        </is>
      </c>
      <c r="B1172" s="7" t="inlineStr">
        <is>
          <t>T03-MCX-1</t>
        </is>
      </c>
      <c r="C1172" s="11" t="n">
        <v>44651</v>
      </c>
      <c r="D1172" s="7" t="n">
        <v>202204</v>
      </c>
      <c r="E1172" s="7" t="inlineStr">
        <is>
          <t>SELL</t>
        </is>
      </c>
      <c r="F1172" s="7" t="inlineStr">
        <is>
          <t>hold</t>
        </is>
      </c>
      <c r="G1172" s="17" t="b">
        <v>1</v>
      </c>
      <c r="H1172" s="6" t="n">
        <v>-143</v>
      </c>
      <c r="I1172" s="13" t="n">
        <v>5</v>
      </c>
      <c r="J1172" s="8">
        <f>OR($F1172="entry",$F1172="roll_in")</f>
        <v/>
      </c>
      <c r="K1172" s="8">
        <f>OR($F1172="exit",$F1172="roll_out")</f>
        <v/>
      </c>
      <c r="L1172" s="8">
        <f>OR(AND($E1172="SELL",$K1172),AND($E1172="BUY",$J1172))</f>
        <v/>
      </c>
      <c r="M1172" s="16">
        <f>((INDEX(Market_Daily!$B$6:$B$256,MATCH($C1172,Market_Daily!$A$6:$A$256,0))*INDEX(Market_Daily!$F$6:$F$256,MATCH($C1172,Market_Daily!$A$6:$A$256,0))/kg_per_mt*(1+bcd_primary_al_hs7601*(1+sws_rate_on_bcd))+mcx_domestic_premium_inr_kg)*(1+INDEX(Market_Daily!$I$6:$I$256,MATCH($C1172,Market_Daily!$A$6:$A$256,0))*MAX(0,INDEX(mcx_expiries,MATCH($D1172,mcx_months,0))-$C1172)/day_count_inr))</f>
        <v/>
      </c>
      <c r="N1172" s="16">
        <f>IF(INDEX(Market_Daily!$S$6:$S$256,MATCH($C1172,Market_Daily!$A$6:$A$256,0))=$D1172,INDEX(Market_Daily!$M$6:$M$256,MATCH($C1172,Market_Daily!$A$6:$A$256,0)),IF(INDEX(Market_Daily!$T$6:$T$256,MATCH($C1172,Market_Daily!$A$6:$A$256,0))=$D1172,INDEX(Market_Daily!$N$6:$N$256,MATCH($C1172,Market_Daily!$A$6:$A$256,0)),NA()))</f>
        <v/>
      </c>
      <c r="O1172" s="16">
        <f>$N1172-$M1172</f>
        <v/>
      </c>
      <c r="P1172" s="16">
        <f>IF(($B1171=$B1172),$M1171,"")</f>
        <v/>
      </c>
      <c r="Q1172" s="16">
        <f>$M1172+IF($L1172,1,-1)*mcx_slippage_ticks*mcx_al_tick_inr_kg</f>
        <v/>
      </c>
      <c r="R1172" s="18">
        <f>IF(($B1171=$B1172),$H1172*$I1172*kg_per_mt*($M1172-$M1171),0)</f>
        <v/>
      </c>
      <c r="S1172" s="18">
        <f>IF(($B1171=$B1172),$S1171,0)+$R1172</f>
        <v/>
      </c>
      <c r="T1172" s="18">
        <f>ABS($H1172)*$I1172*kg_per_mt*$M1172</f>
        <v/>
      </c>
      <c r="U1172" s="18">
        <f>IF($K1172,0,$T1172*mcx_al_margin_used_frac)</f>
        <v/>
      </c>
      <c r="V1172" s="18">
        <f>IF(($B1171=$B1172),$U1171,0)</f>
        <v/>
      </c>
      <c r="W1172" s="18">
        <f>$U1172-$V1172</f>
        <v/>
      </c>
      <c r="X1172" s="18">
        <f>IF($K1172,0,$T1172*0.12)</f>
        <v/>
      </c>
      <c r="Y1172" s="18">
        <f>IF($K1172,0,$T1172*0.15)</f>
        <v/>
      </c>
      <c r="Z1172" s="18">
        <f>IF($F1172="hold",0,-ABS($H1172)*$I1172*kg_per_mt*mcx_slippage_ticks*mcx_al_tick_inr_kg)</f>
        <v/>
      </c>
      <c r="AA1172" s="18">
        <f>IF($F1172="hold",0,-ABS($H1172)*$I1172*kg_per_mt*$Q1172*mcx_txn_cost_frac)</f>
        <v/>
      </c>
      <c r="AB1172" s="18">
        <f>$Z1172+$AA1172</f>
        <v/>
      </c>
      <c r="AC1172" s="18">
        <f>$R1172-$W1172+$AB1172</f>
        <v/>
      </c>
      <c r="AD1172" s="18">
        <f>IF(($B1171=$B1172),$AD1171,0)+$AC1172</f>
        <v/>
      </c>
      <c r="AE1172" s="23" t="n">
        <v>453849.65</v>
      </c>
      <c r="AF1172" s="23" t="n">
        <v>20610379.42</v>
      </c>
      <c r="AG1172" s="23" t="n">
        <v>0</v>
      </c>
      <c r="AH1172" s="23" t="n">
        <v>499234.62</v>
      </c>
      <c r="AI1172" s="23" t="n">
        <v>-4144.49</v>
      </c>
      <c r="AJ1172" s="18">
        <f>$R1172-$AE1172</f>
        <v/>
      </c>
      <c r="AK1172" s="18">
        <f>$U1172-$AF1172</f>
        <v/>
      </c>
      <c r="AL1172" s="18">
        <f>$AC1172-$AH1172</f>
        <v/>
      </c>
      <c r="AM1172" s="8">
        <f>IF(AND(ABS($AJ1172)&lt;=tol_mcx_inr,ABS($AK1172)&lt;=tol_mcx_inr,ABS($AL1172)&lt;=tol_mcx_inr),"PASS","FAIL")</f>
        <v/>
      </c>
    </row>
    <row r="1173">
      <c r="A1173" s="7" t="inlineStr">
        <is>
          <t>T03</t>
        </is>
      </c>
      <c r="B1173" s="7" t="inlineStr">
        <is>
          <t>T03-MCX-1</t>
        </is>
      </c>
      <c r="C1173" s="11" t="n">
        <v>44652</v>
      </c>
      <c r="D1173" s="7" t="n">
        <v>202204</v>
      </c>
      <c r="E1173" s="7" t="inlineStr">
        <is>
          <t>SELL</t>
        </is>
      </c>
      <c r="F1173" s="7" t="inlineStr">
        <is>
          <t>hold</t>
        </is>
      </c>
      <c r="G1173" s="17" t="b">
        <v>1</v>
      </c>
      <c r="H1173" s="6" t="n">
        <v>-143</v>
      </c>
      <c r="I1173" s="13" t="n">
        <v>5</v>
      </c>
      <c r="J1173" s="8">
        <f>OR($F1173="entry",$F1173="roll_in")</f>
        <v/>
      </c>
      <c r="K1173" s="8">
        <f>OR($F1173="exit",$F1173="roll_out")</f>
        <v/>
      </c>
      <c r="L1173" s="8">
        <f>OR(AND($E1173="SELL",$K1173),AND($E1173="BUY",$J1173))</f>
        <v/>
      </c>
      <c r="M1173" s="16">
        <f>((INDEX(Market_Daily!$B$6:$B$256,MATCH($C1173,Market_Daily!$A$6:$A$256,0))*INDEX(Market_Daily!$F$6:$F$256,MATCH($C1173,Market_Daily!$A$6:$A$256,0))/kg_per_mt*(1+bcd_primary_al_hs7601*(1+sws_rate_on_bcd))+mcx_domestic_premium_inr_kg)*(1+INDEX(Market_Daily!$I$6:$I$256,MATCH($C1173,Market_Daily!$A$6:$A$256,0))*MAX(0,INDEX(mcx_expiries,MATCH($D1173,mcx_months,0))-$C1173)/day_count_inr))</f>
        <v/>
      </c>
      <c r="N1173" s="16">
        <f>IF(INDEX(Market_Daily!$S$6:$S$256,MATCH($C1173,Market_Daily!$A$6:$A$256,0))=$D1173,INDEX(Market_Daily!$M$6:$M$256,MATCH($C1173,Market_Daily!$A$6:$A$256,0)),IF(INDEX(Market_Daily!$T$6:$T$256,MATCH($C1173,Market_Daily!$A$6:$A$256,0))=$D1173,INDEX(Market_Daily!$N$6:$N$256,MATCH($C1173,Market_Daily!$A$6:$A$256,0)),NA()))</f>
        <v/>
      </c>
      <c r="O1173" s="16">
        <f>$N1173-$M1173</f>
        <v/>
      </c>
      <c r="P1173" s="16">
        <f>IF(($B1172=$B1173),$M1172,"")</f>
        <v/>
      </c>
      <c r="Q1173" s="16">
        <f>$M1173+IF($L1173,1,-1)*mcx_slippage_ticks*mcx_al_tick_inr_kg</f>
        <v/>
      </c>
      <c r="R1173" s="18">
        <f>IF(($B1172=$B1173),$H1173*$I1173*kg_per_mt*($M1173-$M1172),0)</f>
        <v/>
      </c>
      <c r="S1173" s="18">
        <f>IF(($B1172=$B1173),$S1172,0)+$R1173</f>
        <v/>
      </c>
      <c r="T1173" s="18">
        <f>ABS($H1173)*$I1173*kg_per_mt*$M1173</f>
        <v/>
      </c>
      <c r="U1173" s="18">
        <f>IF($K1173,0,$T1173*mcx_al_margin_used_frac)</f>
        <v/>
      </c>
      <c r="V1173" s="18">
        <f>IF(($B1172=$B1173),$U1172,0)</f>
        <v/>
      </c>
      <c r="W1173" s="18">
        <f>$U1173-$V1173</f>
        <v/>
      </c>
      <c r="X1173" s="18">
        <f>IF($K1173,0,$T1173*0.12)</f>
        <v/>
      </c>
      <c r="Y1173" s="18">
        <f>IF($K1173,0,$T1173*0.15)</f>
        <v/>
      </c>
      <c r="Z1173" s="18">
        <f>IF($F1173="hold",0,-ABS($H1173)*$I1173*kg_per_mt*mcx_slippage_ticks*mcx_al_tick_inr_kg)</f>
        <v/>
      </c>
      <c r="AA1173" s="18">
        <f>IF($F1173="hold",0,-ABS($H1173)*$I1173*kg_per_mt*$Q1173*mcx_txn_cost_frac)</f>
        <v/>
      </c>
      <c r="AB1173" s="18">
        <f>$Z1173+$AA1173</f>
        <v/>
      </c>
      <c r="AC1173" s="18">
        <f>$R1173-$W1173+$AB1173</f>
        <v/>
      </c>
      <c r="AD1173" s="18">
        <f>IF(($B1172=$B1173),$AD1172,0)+$AC1173</f>
        <v/>
      </c>
      <c r="AE1173" s="23" t="n">
        <v>631832.36</v>
      </c>
      <c r="AF1173" s="23" t="n">
        <v>20547196.18</v>
      </c>
      <c r="AG1173" s="23" t="n">
        <v>0</v>
      </c>
      <c r="AH1173" s="23" t="n">
        <v>695015.6</v>
      </c>
      <c r="AI1173" s="23" t="n">
        <v>-4014.55</v>
      </c>
      <c r="AJ1173" s="18">
        <f>$R1173-$AE1173</f>
        <v/>
      </c>
      <c r="AK1173" s="18">
        <f>$U1173-$AF1173</f>
        <v/>
      </c>
      <c r="AL1173" s="18">
        <f>$AC1173-$AH1173</f>
        <v/>
      </c>
      <c r="AM1173" s="8">
        <f>IF(AND(ABS($AJ1173)&lt;=tol_mcx_inr,ABS($AK1173)&lt;=tol_mcx_inr,ABS($AL1173)&lt;=tol_mcx_inr),"PASS","FAIL")</f>
        <v/>
      </c>
    </row>
    <row r="1174">
      <c r="A1174" s="7" t="inlineStr">
        <is>
          <t>T03</t>
        </is>
      </c>
      <c r="B1174" s="7" t="inlineStr">
        <is>
          <t>T03-MCX-1</t>
        </is>
      </c>
      <c r="C1174" s="11" t="n">
        <v>44655</v>
      </c>
      <c r="D1174" s="7" t="n">
        <v>202204</v>
      </c>
      <c r="E1174" s="7" t="inlineStr">
        <is>
          <t>SELL</t>
        </is>
      </c>
      <c r="F1174" s="7" t="inlineStr">
        <is>
          <t>hold</t>
        </is>
      </c>
      <c r="G1174" s="17" t="b">
        <v>1</v>
      </c>
      <c r="H1174" s="6" t="n">
        <v>-143</v>
      </c>
      <c r="I1174" s="13" t="n">
        <v>5</v>
      </c>
      <c r="J1174" s="8">
        <f>OR($F1174="entry",$F1174="roll_in")</f>
        <v/>
      </c>
      <c r="K1174" s="8">
        <f>OR($F1174="exit",$F1174="roll_out")</f>
        <v/>
      </c>
      <c r="L1174" s="8">
        <f>OR(AND($E1174="SELL",$K1174),AND($E1174="BUY",$J1174))</f>
        <v/>
      </c>
      <c r="M1174" s="16">
        <f>((INDEX(Market_Daily!$B$6:$B$256,MATCH($C1174,Market_Daily!$A$6:$A$256,0))*INDEX(Market_Daily!$F$6:$F$256,MATCH($C1174,Market_Daily!$A$6:$A$256,0))/kg_per_mt*(1+bcd_primary_al_hs7601*(1+sws_rate_on_bcd))+mcx_domestic_premium_inr_kg)*(1+INDEX(Market_Daily!$I$6:$I$256,MATCH($C1174,Market_Daily!$A$6:$A$256,0))*MAX(0,INDEX(mcx_expiries,MATCH($D1174,mcx_months,0))-$C1174)/day_count_inr))</f>
        <v/>
      </c>
      <c r="N1174" s="16">
        <f>IF(INDEX(Market_Daily!$S$6:$S$256,MATCH($C1174,Market_Daily!$A$6:$A$256,0))=$D1174,INDEX(Market_Daily!$M$6:$M$256,MATCH($C1174,Market_Daily!$A$6:$A$256,0)),IF(INDEX(Market_Daily!$T$6:$T$256,MATCH($C1174,Market_Daily!$A$6:$A$256,0))=$D1174,INDEX(Market_Daily!$N$6:$N$256,MATCH($C1174,Market_Daily!$A$6:$A$256,0)),NA()))</f>
        <v/>
      </c>
      <c r="O1174" s="16">
        <f>$N1174-$M1174</f>
        <v/>
      </c>
      <c r="P1174" s="16">
        <f>IF(($B1173=$B1174),$M1173,"")</f>
        <v/>
      </c>
      <c r="Q1174" s="16">
        <f>$M1174+IF($L1174,1,-1)*mcx_slippage_ticks*mcx_al_tick_inr_kg</f>
        <v/>
      </c>
      <c r="R1174" s="18">
        <f>IF(($B1173=$B1174),$H1174*$I1174*kg_per_mt*($M1174-$M1173),0)</f>
        <v/>
      </c>
      <c r="S1174" s="18">
        <f>IF(($B1173=$B1174),$S1173,0)+$R1174</f>
        <v/>
      </c>
      <c r="T1174" s="18">
        <f>ABS($H1174)*$I1174*kg_per_mt*$M1174</f>
        <v/>
      </c>
      <c r="U1174" s="18">
        <f>IF($K1174,0,$T1174*mcx_al_margin_used_frac)</f>
        <v/>
      </c>
      <c r="V1174" s="18">
        <f>IF(($B1173=$B1174),$U1173,0)</f>
        <v/>
      </c>
      <c r="W1174" s="18">
        <f>$U1174-$V1174</f>
        <v/>
      </c>
      <c r="X1174" s="18">
        <f>IF($K1174,0,$T1174*0.12)</f>
        <v/>
      </c>
      <c r="Y1174" s="18">
        <f>IF($K1174,0,$T1174*0.15)</f>
        <v/>
      </c>
      <c r="Z1174" s="18">
        <f>IF($F1174="hold",0,-ABS($H1174)*$I1174*kg_per_mt*mcx_slippage_ticks*mcx_al_tick_inr_kg)</f>
        <v/>
      </c>
      <c r="AA1174" s="18">
        <f>IF($F1174="hold",0,-ABS($H1174)*$I1174*kg_per_mt*$Q1174*mcx_txn_cost_frac)</f>
        <v/>
      </c>
      <c r="AB1174" s="18">
        <f>$Z1174+$AA1174</f>
        <v/>
      </c>
      <c r="AC1174" s="18">
        <f>$R1174-$W1174+$AB1174</f>
        <v/>
      </c>
      <c r="AD1174" s="18">
        <f>IF(($B1173=$B1174),$AD1173,0)+$AC1174</f>
        <v/>
      </c>
      <c r="AE1174" s="23" t="n">
        <v>3603571.91</v>
      </c>
      <c r="AF1174" s="23" t="n">
        <v>20186838.99</v>
      </c>
      <c r="AG1174" s="23" t="n">
        <v>0</v>
      </c>
      <c r="AH1174" s="23" t="n">
        <v>3963929.11</v>
      </c>
      <c r="AI1174" s="23" t="n">
        <v>-11500.97</v>
      </c>
      <c r="AJ1174" s="18">
        <f>$R1174-$AE1174</f>
        <v/>
      </c>
      <c r="AK1174" s="18">
        <f>$U1174-$AF1174</f>
        <v/>
      </c>
      <c r="AL1174" s="18">
        <f>$AC1174-$AH1174</f>
        <v/>
      </c>
      <c r="AM1174" s="8">
        <f>IF(AND(ABS($AJ1174)&lt;=tol_mcx_inr,ABS($AK1174)&lt;=tol_mcx_inr,ABS($AL1174)&lt;=tol_mcx_inr),"PASS","FAIL")</f>
        <v/>
      </c>
    </row>
    <row r="1175">
      <c r="A1175" s="7" t="inlineStr">
        <is>
          <t>T03</t>
        </is>
      </c>
      <c r="B1175" s="7" t="inlineStr">
        <is>
          <t>T03-MCX-1</t>
        </is>
      </c>
      <c r="C1175" s="11" t="n">
        <v>44656</v>
      </c>
      <c r="D1175" s="7" t="n">
        <v>202204</v>
      </c>
      <c r="E1175" s="7" t="inlineStr">
        <is>
          <t>SELL</t>
        </is>
      </c>
      <c r="F1175" s="7" t="inlineStr">
        <is>
          <t>hold</t>
        </is>
      </c>
      <c r="G1175" s="17" t="b">
        <v>1</v>
      </c>
      <c r="H1175" s="6" t="n">
        <v>-143</v>
      </c>
      <c r="I1175" s="13" t="n">
        <v>5</v>
      </c>
      <c r="J1175" s="8">
        <f>OR($F1175="entry",$F1175="roll_in")</f>
        <v/>
      </c>
      <c r="K1175" s="8">
        <f>OR($F1175="exit",$F1175="roll_out")</f>
        <v/>
      </c>
      <c r="L1175" s="8">
        <f>OR(AND($E1175="SELL",$K1175),AND($E1175="BUY",$J1175))</f>
        <v/>
      </c>
      <c r="M1175" s="16">
        <f>((INDEX(Market_Daily!$B$6:$B$256,MATCH($C1175,Market_Daily!$A$6:$A$256,0))*INDEX(Market_Daily!$F$6:$F$256,MATCH($C1175,Market_Daily!$A$6:$A$256,0))/kg_per_mt*(1+bcd_primary_al_hs7601*(1+sws_rate_on_bcd))+mcx_domestic_premium_inr_kg)*(1+INDEX(Market_Daily!$I$6:$I$256,MATCH($C1175,Market_Daily!$A$6:$A$256,0))*MAX(0,INDEX(mcx_expiries,MATCH($D1175,mcx_months,0))-$C1175)/day_count_inr))</f>
        <v/>
      </c>
      <c r="N1175" s="16">
        <f>IF(INDEX(Market_Daily!$S$6:$S$256,MATCH($C1175,Market_Daily!$A$6:$A$256,0))=$D1175,INDEX(Market_Daily!$M$6:$M$256,MATCH($C1175,Market_Daily!$A$6:$A$256,0)),IF(INDEX(Market_Daily!$T$6:$T$256,MATCH($C1175,Market_Daily!$A$6:$A$256,0))=$D1175,INDEX(Market_Daily!$N$6:$N$256,MATCH($C1175,Market_Daily!$A$6:$A$256,0)),NA()))</f>
        <v/>
      </c>
      <c r="O1175" s="16">
        <f>$N1175-$M1175</f>
        <v/>
      </c>
      <c r="P1175" s="16">
        <f>IF(($B1174=$B1175),$M1174,"")</f>
        <v/>
      </c>
      <c r="Q1175" s="16">
        <f>$M1175+IF($L1175,1,-1)*mcx_slippage_ticks*mcx_al_tick_inr_kg</f>
        <v/>
      </c>
      <c r="R1175" s="18">
        <f>IF(($B1174=$B1175),$H1175*$I1175*kg_per_mt*($M1175-$M1174),0)</f>
        <v/>
      </c>
      <c r="S1175" s="18">
        <f>IF(($B1174=$B1175),$S1174,0)+$R1175</f>
        <v/>
      </c>
      <c r="T1175" s="18">
        <f>ABS($H1175)*$I1175*kg_per_mt*$M1175</f>
        <v/>
      </c>
      <c r="U1175" s="18">
        <f>IF($K1175,0,$T1175*mcx_al_margin_used_frac)</f>
        <v/>
      </c>
      <c r="V1175" s="18">
        <f>IF(($B1174=$B1175),$U1174,0)</f>
        <v/>
      </c>
      <c r="W1175" s="18">
        <f>$U1175-$V1175</f>
        <v/>
      </c>
      <c r="X1175" s="18">
        <f>IF($K1175,0,$T1175*0.12)</f>
        <v/>
      </c>
      <c r="Y1175" s="18">
        <f>IF($K1175,0,$T1175*0.15)</f>
        <v/>
      </c>
      <c r="Z1175" s="18">
        <f>IF($F1175="hold",0,-ABS($H1175)*$I1175*kg_per_mt*mcx_slippage_ticks*mcx_al_tick_inr_kg)</f>
        <v/>
      </c>
      <c r="AA1175" s="18">
        <f>IF($F1175="hold",0,-ABS($H1175)*$I1175*kg_per_mt*$Q1175*mcx_txn_cost_frac)</f>
        <v/>
      </c>
      <c r="AB1175" s="18">
        <f>$Z1175+$AA1175</f>
        <v/>
      </c>
      <c r="AC1175" s="18">
        <f>$R1175-$W1175+$AB1175</f>
        <v/>
      </c>
      <c r="AD1175" s="18">
        <f>IF(($B1174=$B1175),$AD1174,0)+$AC1175</f>
        <v/>
      </c>
      <c r="AE1175" s="23" t="n">
        <v>2231413.95</v>
      </c>
      <c r="AF1175" s="23" t="n">
        <v>19963697.6</v>
      </c>
      <c r="AG1175" s="23" t="n">
        <v>0</v>
      </c>
      <c r="AH1175" s="23" t="n">
        <v>2454555.35</v>
      </c>
      <c r="AI1175" s="23" t="n">
        <v>-2801.95</v>
      </c>
      <c r="AJ1175" s="18">
        <f>$R1175-$AE1175</f>
        <v/>
      </c>
      <c r="AK1175" s="18">
        <f>$U1175-$AF1175</f>
        <v/>
      </c>
      <c r="AL1175" s="18">
        <f>$AC1175-$AH1175</f>
        <v/>
      </c>
      <c r="AM1175" s="8">
        <f>IF(AND(ABS($AJ1175)&lt;=tol_mcx_inr,ABS($AK1175)&lt;=tol_mcx_inr,ABS($AL1175)&lt;=tol_mcx_inr),"PASS","FAIL")</f>
        <v/>
      </c>
    </row>
    <row r="1176">
      <c r="A1176" s="7" t="inlineStr">
        <is>
          <t>T03</t>
        </is>
      </c>
      <c r="B1176" s="7" t="inlineStr">
        <is>
          <t>T03-MCX-1</t>
        </is>
      </c>
      <c r="C1176" s="11" t="n">
        <v>44657</v>
      </c>
      <c r="D1176" s="7" t="n">
        <v>202204</v>
      </c>
      <c r="E1176" s="7" t="inlineStr">
        <is>
          <t>SELL</t>
        </is>
      </c>
      <c r="F1176" s="7" t="inlineStr">
        <is>
          <t>hold</t>
        </is>
      </c>
      <c r="G1176" s="17" t="b">
        <v>1</v>
      </c>
      <c r="H1176" s="6" t="n">
        <v>-143</v>
      </c>
      <c r="I1176" s="13" t="n">
        <v>5</v>
      </c>
      <c r="J1176" s="8">
        <f>OR($F1176="entry",$F1176="roll_in")</f>
        <v/>
      </c>
      <c r="K1176" s="8">
        <f>OR($F1176="exit",$F1176="roll_out")</f>
        <v/>
      </c>
      <c r="L1176" s="8">
        <f>OR(AND($E1176="SELL",$K1176),AND($E1176="BUY",$J1176))</f>
        <v/>
      </c>
      <c r="M1176" s="16">
        <f>((INDEX(Market_Daily!$B$6:$B$256,MATCH($C1176,Market_Daily!$A$6:$A$256,0))*INDEX(Market_Daily!$F$6:$F$256,MATCH($C1176,Market_Daily!$A$6:$A$256,0))/kg_per_mt*(1+bcd_primary_al_hs7601*(1+sws_rate_on_bcd))+mcx_domestic_premium_inr_kg)*(1+INDEX(Market_Daily!$I$6:$I$256,MATCH($C1176,Market_Daily!$A$6:$A$256,0))*MAX(0,INDEX(mcx_expiries,MATCH($D1176,mcx_months,0))-$C1176)/day_count_inr))</f>
        <v/>
      </c>
      <c r="N1176" s="16">
        <f>IF(INDEX(Market_Daily!$S$6:$S$256,MATCH($C1176,Market_Daily!$A$6:$A$256,0))=$D1176,INDEX(Market_Daily!$M$6:$M$256,MATCH($C1176,Market_Daily!$A$6:$A$256,0)),IF(INDEX(Market_Daily!$T$6:$T$256,MATCH($C1176,Market_Daily!$A$6:$A$256,0))=$D1176,INDEX(Market_Daily!$N$6:$N$256,MATCH($C1176,Market_Daily!$A$6:$A$256,0)),NA()))</f>
        <v/>
      </c>
      <c r="O1176" s="16">
        <f>$N1176-$M1176</f>
        <v/>
      </c>
      <c r="P1176" s="16">
        <f>IF(($B1175=$B1176),$M1175,"")</f>
        <v/>
      </c>
      <c r="Q1176" s="16">
        <f>$M1176+IF($L1176,1,-1)*mcx_slippage_ticks*mcx_al_tick_inr_kg</f>
        <v/>
      </c>
      <c r="R1176" s="18">
        <f>IF(($B1175=$B1176),$H1176*$I1176*kg_per_mt*($M1176-$M1175),0)</f>
        <v/>
      </c>
      <c r="S1176" s="18">
        <f>IF(($B1175=$B1176),$S1175,0)+$R1176</f>
        <v/>
      </c>
      <c r="T1176" s="18">
        <f>ABS($H1176)*$I1176*kg_per_mt*$M1176</f>
        <v/>
      </c>
      <c r="U1176" s="18">
        <f>IF($K1176,0,$T1176*mcx_al_margin_used_frac)</f>
        <v/>
      </c>
      <c r="V1176" s="18">
        <f>IF(($B1175=$B1176),$U1175,0)</f>
        <v/>
      </c>
      <c r="W1176" s="18">
        <f>$U1176-$V1176</f>
        <v/>
      </c>
      <c r="X1176" s="18">
        <f>IF($K1176,0,$T1176*0.12)</f>
        <v/>
      </c>
      <c r="Y1176" s="18">
        <f>IF($K1176,0,$T1176*0.15)</f>
        <v/>
      </c>
      <c r="Z1176" s="18">
        <f>IF($F1176="hold",0,-ABS($H1176)*$I1176*kg_per_mt*mcx_slippage_ticks*mcx_al_tick_inr_kg)</f>
        <v/>
      </c>
      <c r="AA1176" s="18">
        <f>IF($F1176="hold",0,-ABS($H1176)*$I1176*kg_per_mt*$Q1176*mcx_txn_cost_frac)</f>
        <v/>
      </c>
      <c r="AB1176" s="18">
        <f>$Z1176+$AA1176</f>
        <v/>
      </c>
      <c r="AC1176" s="18">
        <f>$R1176-$W1176+$AB1176</f>
        <v/>
      </c>
      <c r="AD1176" s="18">
        <f>IF(($B1175=$B1176),$AD1175,0)+$AC1176</f>
        <v/>
      </c>
      <c r="AE1176" s="23" t="n">
        <v>-2979858.23</v>
      </c>
      <c r="AF1176" s="23" t="n">
        <v>20261683.42</v>
      </c>
      <c r="AG1176" s="23" t="n">
        <v>0</v>
      </c>
      <c r="AH1176" s="23" t="n">
        <v>-3277844.05</v>
      </c>
      <c r="AI1176" s="23" t="n">
        <v>-2163.09</v>
      </c>
      <c r="AJ1176" s="18">
        <f>$R1176-$AE1176</f>
        <v/>
      </c>
      <c r="AK1176" s="18">
        <f>$U1176-$AF1176</f>
        <v/>
      </c>
      <c r="AL1176" s="18">
        <f>$AC1176-$AH1176</f>
        <v/>
      </c>
      <c r="AM1176" s="8">
        <f>IF(AND(ABS($AJ1176)&lt;=tol_mcx_inr,ABS($AK1176)&lt;=tol_mcx_inr,ABS($AL1176)&lt;=tol_mcx_inr),"PASS","FAIL")</f>
        <v/>
      </c>
    </row>
    <row r="1177">
      <c r="A1177" s="7" t="inlineStr">
        <is>
          <t>T03</t>
        </is>
      </c>
      <c r="B1177" s="7" t="inlineStr">
        <is>
          <t>T03-MCX-1</t>
        </is>
      </c>
      <c r="C1177" s="11" t="n">
        <v>44658</v>
      </c>
      <c r="D1177" s="7" t="n">
        <v>202204</v>
      </c>
      <c r="E1177" s="7" t="inlineStr">
        <is>
          <t>SELL</t>
        </is>
      </c>
      <c r="F1177" s="7" t="inlineStr">
        <is>
          <t>hold</t>
        </is>
      </c>
      <c r="G1177" s="17" t="b">
        <v>1</v>
      </c>
      <c r="H1177" s="6" t="n">
        <v>-143</v>
      </c>
      <c r="I1177" s="13" t="n">
        <v>5</v>
      </c>
      <c r="J1177" s="8">
        <f>OR($F1177="entry",$F1177="roll_in")</f>
        <v/>
      </c>
      <c r="K1177" s="8">
        <f>OR($F1177="exit",$F1177="roll_out")</f>
        <v/>
      </c>
      <c r="L1177" s="8">
        <f>OR(AND($E1177="SELL",$K1177),AND($E1177="BUY",$J1177))</f>
        <v/>
      </c>
      <c r="M1177" s="16">
        <f>((INDEX(Market_Daily!$B$6:$B$256,MATCH($C1177,Market_Daily!$A$6:$A$256,0))*INDEX(Market_Daily!$F$6:$F$256,MATCH($C1177,Market_Daily!$A$6:$A$256,0))/kg_per_mt*(1+bcd_primary_al_hs7601*(1+sws_rate_on_bcd))+mcx_domestic_premium_inr_kg)*(1+INDEX(Market_Daily!$I$6:$I$256,MATCH($C1177,Market_Daily!$A$6:$A$256,0))*MAX(0,INDEX(mcx_expiries,MATCH($D1177,mcx_months,0))-$C1177)/day_count_inr))</f>
        <v/>
      </c>
      <c r="N1177" s="16">
        <f>IF(INDEX(Market_Daily!$S$6:$S$256,MATCH($C1177,Market_Daily!$A$6:$A$256,0))=$D1177,INDEX(Market_Daily!$M$6:$M$256,MATCH($C1177,Market_Daily!$A$6:$A$256,0)),IF(INDEX(Market_Daily!$T$6:$T$256,MATCH($C1177,Market_Daily!$A$6:$A$256,0))=$D1177,INDEX(Market_Daily!$N$6:$N$256,MATCH($C1177,Market_Daily!$A$6:$A$256,0)),NA()))</f>
        <v/>
      </c>
      <c r="O1177" s="16">
        <f>$N1177-$M1177</f>
        <v/>
      </c>
      <c r="P1177" s="16">
        <f>IF(($B1176=$B1177),$M1176,"")</f>
        <v/>
      </c>
      <c r="Q1177" s="16">
        <f>$M1177+IF($L1177,1,-1)*mcx_slippage_ticks*mcx_al_tick_inr_kg</f>
        <v/>
      </c>
      <c r="R1177" s="18">
        <f>IF(($B1176=$B1177),$H1177*$I1177*kg_per_mt*($M1177-$M1176),0)</f>
        <v/>
      </c>
      <c r="S1177" s="18">
        <f>IF(($B1176=$B1177),$S1176,0)+$R1177</f>
        <v/>
      </c>
      <c r="T1177" s="18">
        <f>ABS($H1177)*$I1177*kg_per_mt*$M1177</f>
        <v/>
      </c>
      <c r="U1177" s="18">
        <f>IF($K1177,0,$T1177*mcx_al_margin_used_frac)</f>
        <v/>
      </c>
      <c r="V1177" s="18">
        <f>IF(($B1176=$B1177),$U1176,0)</f>
        <v/>
      </c>
      <c r="W1177" s="18">
        <f>$U1177-$V1177</f>
        <v/>
      </c>
      <c r="X1177" s="18">
        <f>IF($K1177,0,$T1177*0.12)</f>
        <v/>
      </c>
      <c r="Y1177" s="18">
        <f>IF($K1177,0,$T1177*0.15)</f>
        <v/>
      </c>
      <c r="Z1177" s="18">
        <f>IF($F1177="hold",0,-ABS($H1177)*$I1177*kg_per_mt*mcx_slippage_ticks*mcx_al_tick_inr_kg)</f>
        <v/>
      </c>
      <c r="AA1177" s="18">
        <f>IF($F1177="hold",0,-ABS($H1177)*$I1177*kg_per_mt*$Q1177*mcx_txn_cost_frac)</f>
        <v/>
      </c>
      <c r="AB1177" s="18">
        <f>$Z1177+$AA1177</f>
        <v/>
      </c>
      <c r="AC1177" s="18">
        <f>$R1177-$W1177+$AB1177</f>
        <v/>
      </c>
      <c r="AD1177" s="18">
        <f>IF(($B1176=$B1177),$AD1176,0)+$AC1177</f>
        <v/>
      </c>
      <c r="AE1177" s="23" t="n">
        <v>5354397.58</v>
      </c>
      <c r="AF1177" s="23" t="n">
        <v>19726243.66</v>
      </c>
      <c r="AG1177" s="23" t="n">
        <v>0</v>
      </c>
      <c r="AH1177" s="23" t="n">
        <v>5889837.34</v>
      </c>
      <c r="AI1177" s="23" t="n">
        <v>-3016.23</v>
      </c>
      <c r="AJ1177" s="18">
        <f>$R1177-$AE1177</f>
        <v/>
      </c>
      <c r="AK1177" s="18">
        <f>$U1177-$AF1177</f>
        <v/>
      </c>
      <c r="AL1177" s="18">
        <f>$AC1177-$AH1177</f>
        <v/>
      </c>
      <c r="AM1177" s="8">
        <f>IF(AND(ABS($AJ1177)&lt;=tol_mcx_inr,ABS($AK1177)&lt;=tol_mcx_inr,ABS($AL1177)&lt;=tol_mcx_inr),"PASS","FAIL")</f>
        <v/>
      </c>
    </row>
    <row r="1178">
      <c r="A1178" s="7" t="inlineStr">
        <is>
          <t>T03</t>
        </is>
      </c>
      <c r="B1178" s="7" t="inlineStr">
        <is>
          <t>T03-MCX-1</t>
        </is>
      </c>
      <c r="C1178" s="11" t="n">
        <v>44659</v>
      </c>
      <c r="D1178" s="7" t="n">
        <v>202204</v>
      </c>
      <c r="E1178" s="7" t="inlineStr">
        <is>
          <t>SELL</t>
        </is>
      </c>
      <c r="F1178" s="7" t="inlineStr">
        <is>
          <t>hold</t>
        </is>
      </c>
      <c r="G1178" s="17" t="b">
        <v>1</v>
      </c>
      <c r="H1178" s="6" t="n">
        <v>-143</v>
      </c>
      <c r="I1178" s="13" t="n">
        <v>5</v>
      </c>
      <c r="J1178" s="8">
        <f>OR($F1178="entry",$F1178="roll_in")</f>
        <v/>
      </c>
      <c r="K1178" s="8">
        <f>OR($F1178="exit",$F1178="roll_out")</f>
        <v/>
      </c>
      <c r="L1178" s="8">
        <f>OR(AND($E1178="SELL",$K1178),AND($E1178="BUY",$J1178))</f>
        <v/>
      </c>
      <c r="M1178" s="16">
        <f>((INDEX(Market_Daily!$B$6:$B$256,MATCH($C1178,Market_Daily!$A$6:$A$256,0))*INDEX(Market_Daily!$F$6:$F$256,MATCH($C1178,Market_Daily!$A$6:$A$256,0))/kg_per_mt*(1+bcd_primary_al_hs7601*(1+sws_rate_on_bcd))+mcx_domestic_premium_inr_kg)*(1+INDEX(Market_Daily!$I$6:$I$256,MATCH($C1178,Market_Daily!$A$6:$A$256,0))*MAX(0,INDEX(mcx_expiries,MATCH($D1178,mcx_months,0))-$C1178)/day_count_inr))</f>
        <v/>
      </c>
      <c r="N1178" s="16">
        <f>IF(INDEX(Market_Daily!$S$6:$S$256,MATCH($C1178,Market_Daily!$A$6:$A$256,0))=$D1178,INDEX(Market_Daily!$M$6:$M$256,MATCH($C1178,Market_Daily!$A$6:$A$256,0)),IF(INDEX(Market_Daily!$T$6:$T$256,MATCH($C1178,Market_Daily!$A$6:$A$256,0))=$D1178,INDEX(Market_Daily!$N$6:$N$256,MATCH($C1178,Market_Daily!$A$6:$A$256,0)),NA()))</f>
        <v/>
      </c>
      <c r="O1178" s="16">
        <f>$N1178-$M1178</f>
        <v/>
      </c>
      <c r="P1178" s="16">
        <f>IF(($B1177=$B1178),$M1177,"")</f>
        <v/>
      </c>
      <c r="Q1178" s="16">
        <f>$M1178+IF($L1178,1,-1)*mcx_slippage_ticks*mcx_al_tick_inr_kg</f>
        <v/>
      </c>
      <c r="R1178" s="18">
        <f>IF(($B1177=$B1178),$H1178*$I1178*kg_per_mt*($M1178-$M1177),0)</f>
        <v/>
      </c>
      <c r="S1178" s="18">
        <f>IF(($B1177=$B1178),$S1177,0)+$R1178</f>
        <v/>
      </c>
      <c r="T1178" s="18">
        <f>ABS($H1178)*$I1178*kg_per_mt*$M1178</f>
        <v/>
      </c>
      <c r="U1178" s="18">
        <f>IF($K1178,0,$T1178*mcx_al_margin_used_frac)</f>
        <v/>
      </c>
      <c r="V1178" s="18">
        <f>IF(($B1177=$B1178),$U1177,0)</f>
        <v/>
      </c>
      <c r="W1178" s="18">
        <f>$U1178-$V1178</f>
        <v/>
      </c>
      <c r="X1178" s="18">
        <f>IF($K1178,0,$T1178*0.12)</f>
        <v/>
      </c>
      <c r="Y1178" s="18">
        <f>IF($K1178,0,$T1178*0.15)</f>
        <v/>
      </c>
      <c r="Z1178" s="18">
        <f>IF($F1178="hold",0,-ABS($H1178)*$I1178*kg_per_mt*mcx_slippage_ticks*mcx_al_tick_inr_kg)</f>
        <v/>
      </c>
      <c r="AA1178" s="18">
        <f>IF($F1178="hold",0,-ABS($H1178)*$I1178*kg_per_mt*$Q1178*mcx_txn_cost_frac)</f>
        <v/>
      </c>
      <c r="AB1178" s="18">
        <f>$Z1178+$AA1178</f>
        <v/>
      </c>
      <c r="AC1178" s="18">
        <f>$R1178-$W1178+$AB1178</f>
        <v/>
      </c>
      <c r="AD1178" s="18">
        <f>IF(($B1177=$B1178),$AD1177,0)+$AC1178</f>
        <v/>
      </c>
      <c r="AE1178" s="23" t="n">
        <v>-2518087.11</v>
      </c>
      <c r="AF1178" s="23" t="n">
        <v>19978052.37</v>
      </c>
      <c r="AG1178" s="23" t="n">
        <v>0</v>
      </c>
      <c r="AH1178" s="23" t="n">
        <v>-2769895.82</v>
      </c>
      <c r="AI1178" s="23" t="n">
        <v>-1483.26</v>
      </c>
      <c r="AJ1178" s="18">
        <f>$R1178-$AE1178</f>
        <v/>
      </c>
      <c r="AK1178" s="18">
        <f>$U1178-$AF1178</f>
        <v/>
      </c>
      <c r="AL1178" s="18">
        <f>$AC1178-$AH1178</f>
        <v/>
      </c>
      <c r="AM1178" s="8">
        <f>IF(AND(ABS($AJ1178)&lt;=tol_mcx_inr,ABS($AK1178)&lt;=tol_mcx_inr,ABS($AL1178)&lt;=tol_mcx_inr),"PASS","FAIL")</f>
        <v/>
      </c>
    </row>
    <row r="1179">
      <c r="A1179" s="7" t="inlineStr">
        <is>
          <t>T03</t>
        </is>
      </c>
      <c r="B1179" s="7" t="inlineStr">
        <is>
          <t>T03-MCX-1</t>
        </is>
      </c>
      <c r="C1179" s="11" t="n">
        <v>44662</v>
      </c>
      <c r="D1179" s="7" t="n">
        <v>202204</v>
      </c>
      <c r="E1179" s="7" t="inlineStr">
        <is>
          <t>SELL</t>
        </is>
      </c>
      <c r="F1179" s="7" t="inlineStr">
        <is>
          <t>hold</t>
        </is>
      </c>
      <c r="G1179" s="17" t="b">
        <v>1</v>
      </c>
      <c r="H1179" s="6" t="n">
        <v>-143</v>
      </c>
      <c r="I1179" s="13" t="n">
        <v>5</v>
      </c>
      <c r="J1179" s="8">
        <f>OR($F1179="entry",$F1179="roll_in")</f>
        <v/>
      </c>
      <c r="K1179" s="8">
        <f>OR($F1179="exit",$F1179="roll_out")</f>
        <v/>
      </c>
      <c r="L1179" s="8">
        <f>OR(AND($E1179="SELL",$K1179),AND($E1179="BUY",$J1179))</f>
        <v/>
      </c>
      <c r="M1179" s="16">
        <f>((INDEX(Market_Daily!$B$6:$B$256,MATCH($C1179,Market_Daily!$A$6:$A$256,0))*INDEX(Market_Daily!$F$6:$F$256,MATCH($C1179,Market_Daily!$A$6:$A$256,0))/kg_per_mt*(1+bcd_primary_al_hs7601*(1+sws_rate_on_bcd))+mcx_domestic_premium_inr_kg)*(1+INDEX(Market_Daily!$I$6:$I$256,MATCH($C1179,Market_Daily!$A$6:$A$256,0))*MAX(0,INDEX(mcx_expiries,MATCH($D1179,mcx_months,0))-$C1179)/day_count_inr))</f>
        <v/>
      </c>
      <c r="N1179" s="16">
        <f>IF(INDEX(Market_Daily!$S$6:$S$256,MATCH($C1179,Market_Daily!$A$6:$A$256,0))=$D1179,INDEX(Market_Daily!$M$6:$M$256,MATCH($C1179,Market_Daily!$A$6:$A$256,0)),IF(INDEX(Market_Daily!$T$6:$T$256,MATCH($C1179,Market_Daily!$A$6:$A$256,0))=$D1179,INDEX(Market_Daily!$N$6:$N$256,MATCH($C1179,Market_Daily!$A$6:$A$256,0)),NA()))</f>
        <v/>
      </c>
      <c r="O1179" s="16">
        <f>$N1179-$M1179</f>
        <v/>
      </c>
      <c r="P1179" s="16">
        <f>IF(($B1178=$B1179),$M1178,"")</f>
        <v/>
      </c>
      <c r="Q1179" s="16">
        <f>$M1179+IF($L1179,1,-1)*mcx_slippage_ticks*mcx_al_tick_inr_kg</f>
        <v/>
      </c>
      <c r="R1179" s="18">
        <f>IF(($B1178=$B1179),$H1179*$I1179*kg_per_mt*($M1179-$M1178),0)</f>
        <v/>
      </c>
      <c r="S1179" s="18">
        <f>IF(($B1178=$B1179),$S1178,0)+$R1179</f>
        <v/>
      </c>
      <c r="T1179" s="18">
        <f>ABS($H1179)*$I1179*kg_per_mt*$M1179</f>
        <v/>
      </c>
      <c r="U1179" s="18">
        <f>IF($K1179,0,$T1179*mcx_al_margin_used_frac)</f>
        <v/>
      </c>
      <c r="V1179" s="18">
        <f>IF(($B1178=$B1179),$U1178,0)</f>
        <v/>
      </c>
      <c r="W1179" s="18">
        <f>$U1179-$V1179</f>
        <v/>
      </c>
      <c r="X1179" s="18">
        <f>IF($K1179,0,$T1179*0.12)</f>
        <v/>
      </c>
      <c r="Y1179" s="18">
        <f>IF($K1179,0,$T1179*0.15)</f>
        <v/>
      </c>
      <c r="Z1179" s="18">
        <f>IF($F1179="hold",0,-ABS($H1179)*$I1179*kg_per_mt*mcx_slippage_ticks*mcx_al_tick_inr_kg)</f>
        <v/>
      </c>
      <c r="AA1179" s="18">
        <f>IF($F1179="hold",0,-ABS($H1179)*$I1179*kg_per_mt*$Q1179*mcx_txn_cost_frac)</f>
        <v/>
      </c>
      <c r="AB1179" s="18">
        <f>$Z1179+$AA1179</f>
        <v/>
      </c>
      <c r="AC1179" s="18">
        <f>$R1179-$W1179+$AB1179</f>
        <v/>
      </c>
      <c r="AD1179" s="18">
        <f>IF(($B1178=$B1179),$AD1178,0)+$AC1179</f>
        <v/>
      </c>
      <c r="AE1179" s="23" t="n">
        <v>9451547.16</v>
      </c>
      <c r="AF1179" s="23" t="n">
        <v>19032897.66</v>
      </c>
      <c r="AG1179" s="23" t="n">
        <v>0</v>
      </c>
      <c r="AH1179" s="23" t="n">
        <v>10396701.88</v>
      </c>
      <c r="AI1179" s="23" t="n">
        <v>-6612.57</v>
      </c>
      <c r="AJ1179" s="18">
        <f>$R1179-$AE1179</f>
        <v/>
      </c>
      <c r="AK1179" s="18">
        <f>$U1179-$AF1179</f>
        <v/>
      </c>
      <c r="AL1179" s="18">
        <f>$AC1179-$AH1179</f>
        <v/>
      </c>
      <c r="AM1179" s="8">
        <f>IF(AND(ABS($AJ1179)&lt;=tol_mcx_inr,ABS($AK1179)&lt;=tol_mcx_inr,ABS($AL1179)&lt;=tol_mcx_inr),"PASS","FAIL")</f>
        <v/>
      </c>
    </row>
    <row r="1180">
      <c r="A1180" s="7" t="inlineStr">
        <is>
          <t>T03</t>
        </is>
      </c>
      <c r="B1180" s="7" t="inlineStr">
        <is>
          <t>T03-MCX-1</t>
        </is>
      </c>
      <c r="C1180" s="11" t="n">
        <v>44663</v>
      </c>
      <c r="D1180" s="7" t="n">
        <v>202204</v>
      </c>
      <c r="E1180" s="7" t="inlineStr">
        <is>
          <t>SELL</t>
        </is>
      </c>
      <c r="F1180" s="7" t="inlineStr">
        <is>
          <t>hold</t>
        </is>
      </c>
      <c r="G1180" s="17" t="b">
        <v>1</v>
      </c>
      <c r="H1180" s="6" t="n">
        <v>-143</v>
      </c>
      <c r="I1180" s="13" t="n">
        <v>5</v>
      </c>
      <c r="J1180" s="8">
        <f>OR($F1180="entry",$F1180="roll_in")</f>
        <v/>
      </c>
      <c r="K1180" s="8">
        <f>OR($F1180="exit",$F1180="roll_out")</f>
        <v/>
      </c>
      <c r="L1180" s="8">
        <f>OR(AND($E1180="SELL",$K1180),AND($E1180="BUY",$J1180))</f>
        <v/>
      </c>
      <c r="M1180" s="16">
        <f>((INDEX(Market_Daily!$B$6:$B$256,MATCH($C1180,Market_Daily!$A$6:$A$256,0))*INDEX(Market_Daily!$F$6:$F$256,MATCH($C1180,Market_Daily!$A$6:$A$256,0))/kg_per_mt*(1+bcd_primary_al_hs7601*(1+sws_rate_on_bcd))+mcx_domestic_premium_inr_kg)*(1+INDEX(Market_Daily!$I$6:$I$256,MATCH($C1180,Market_Daily!$A$6:$A$256,0))*MAX(0,INDEX(mcx_expiries,MATCH($D1180,mcx_months,0))-$C1180)/day_count_inr))</f>
        <v/>
      </c>
      <c r="N1180" s="16">
        <f>IF(INDEX(Market_Daily!$S$6:$S$256,MATCH($C1180,Market_Daily!$A$6:$A$256,0))=$D1180,INDEX(Market_Daily!$M$6:$M$256,MATCH($C1180,Market_Daily!$A$6:$A$256,0)),IF(INDEX(Market_Daily!$T$6:$T$256,MATCH($C1180,Market_Daily!$A$6:$A$256,0))=$D1180,INDEX(Market_Daily!$N$6:$N$256,MATCH($C1180,Market_Daily!$A$6:$A$256,0)),NA()))</f>
        <v/>
      </c>
      <c r="O1180" s="16">
        <f>$N1180-$M1180</f>
        <v/>
      </c>
      <c r="P1180" s="16">
        <f>IF(($B1179=$B1180),$M1179,"")</f>
        <v/>
      </c>
      <c r="Q1180" s="16">
        <f>$M1180+IF($L1180,1,-1)*mcx_slippage_ticks*mcx_al_tick_inr_kg</f>
        <v/>
      </c>
      <c r="R1180" s="18">
        <f>IF(($B1179=$B1180),$H1180*$I1180*kg_per_mt*($M1180-$M1179),0)</f>
        <v/>
      </c>
      <c r="S1180" s="18">
        <f>IF(($B1179=$B1180),$S1179,0)+$R1180</f>
        <v/>
      </c>
      <c r="T1180" s="18">
        <f>ABS($H1180)*$I1180*kg_per_mt*$M1180</f>
        <v/>
      </c>
      <c r="U1180" s="18">
        <f>IF($K1180,0,$T1180*mcx_al_margin_used_frac)</f>
        <v/>
      </c>
      <c r="V1180" s="18">
        <f>IF(($B1179=$B1180),$U1179,0)</f>
        <v/>
      </c>
      <c r="W1180" s="18">
        <f>$U1180-$V1180</f>
        <v/>
      </c>
      <c r="X1180" s="18">
        <f>IF($K1180,0,$T1180*0.12)</f>
        <v/>
      </c>
      <c r="Y1180" s="18">
        <f>IF($K1180,0,$T1180*0.15)</f>
        <v/>
      </c>
      <c r="Z1180" s="18">
        <f>IF($F1180="hold",0,-ABS($H1180)*$I1180*kg_per_mt*mcx_slippage_ticks*mcx_al_tick_inr_kg)</f>
        <v/>
      </c>
      <c r="AA1180" s="18">
        <f>IF($F1180="hold",0,-ABS($H1180)*$I1180*kg_per_mt*$Q1180*mcx_txn_cost_frac)</f>
        <v/>
      </c>
      <c r="AB1180" s="18">
        <f>$Z1180+$AA1180</f>
        <v/>
      </c>
      <c r="AC1180" s="18">
        <f>$R1180-$W1180+$AB1180</f>
        <v/>
      </c>
      <c r="AD1180" s="18">
        <f>IF(($B1179=$B1180),$AD1179,0)+$AC1180</f>
        <v/>
      </c>
      <c r="AE1180" s="23" t="n">
        <v>472343.41</v>
      </c>
      <c r="AF1180" s="23" t="n">
        <v>18985663.32</v>
      </c>
      <c r="AG1180" s="23" t="n">
        <v>0</v>
      </c>
      <c r="AH1180" s="23" t="n">
        <v>519577.75</v>
      </c>
      <c r="AI1180" s="23" t="n">
        <v>501.8</v>
      </c>
      <c r="AJ1180" s="18">
        <f>$R1180-$AE1180</f>
        <v/>
      </c>
      <c r="AK1180" s="18">
        <f>$U1180-$AF1180</f>
        <v/>
      </c>
      <c r="AL1180" s="18">
        <f>$AC1180-$AH1180</f>
        <v/>
      </c>
      <c r="AM1180" s="8">
        <f>IF(AND(ABS($AJ1180)&lt;=tol_mcx_inr,ABS($AK1180)&lt;=tol_mcx_inr,ABS($AL1180)&lt;=tol_mcx_inr),"PASS","FAIL")</f>
        <v/>
      </c>
    </row>
    <row r="1181">
      <c r="A1181" s="7" t="inlineStr">
        <is>
          <t>T03</t>
        </is>
      </c>
      <c r="B1181" s="7" t="inlineStr">
        <is>
          <t>T03-MCX-1</t>
        </is>
      </c>
      <c r="C1181" s="11" t="n">
        <v>44664</v>
      </c>
      <c r="D1181" s="7" t="n">
        <v>202204</v>
      </c>
      <c r="E1181" s="7" t="inlineStr">
        <is>
          <t>SELL</t>
        </is>
      </c>
      <c r="F1181" s="7" t="inlineStr">
        <is>
          <t>hold</t>
        </is>
      </c>
      <c r="G1181" s="17" t="b">
        <v>1</v>
      </c>
      <c r="H1181" s="6" t="n">
        <v>-143</v>
      </c>
      <c r="I1181" s="13" t="n">
        <v>5</v>
      </c>
      <c r="J1181" s="8">
        <f>OR($F1181="entry",$F1181="roll_in")</f>
        <v/>
      </c>
      <c r="K1181" s="8">
        <f>OR($F1181="exit",$F1181="roll_out")</f>
        <v/>
      </c>
      <c r="L1181" s="8">
        <f>OR(AND($E1181="SELL",$K1181),AND($E1181="BUY",$J1181))</f>
        <v/>
      </c>
      <c r="M1181" s="16">
        <f>((INDEX(Market_Daily!$B$6:$B$256,MATCH($C1181,Market_Daily!$A$6:$A$256,0))*INDEX(Market_Daily!$F$6:$F$256,MATCH($C1181,Market_Daily!$A$6:$A$256,0))/kg_per_mt*(1+bcd_primary_al_hs7601*(1+sws_rate_on_bcd))+mcx_domestic_premium_inr_kg)*(1+INDEX(Market_Daily!$I$6:$I$256,MATCH($C1181,Market_Daily!$A$6:$A$256,0))*MAX(0,INDEX(mcx_expiries,MATCH($D1181,mcx_months,0))-$C1181)/day_count_inr))</f>
        <v/>
      </c>
      <c r="N1181" s="16">
        <f>IF(INDEX(Market_Daily!$S$6:$S$256,MATCH($C1181,Market_Daily!$A$6:$A$256,0))=$D1181,INDEX(Market_Daily!$M$6:$M$256,MATCH($C1181,Market_Daily!$A$6:$A$256,0)),IF(INDEX(Market_Daily!$T$6:$T$256,MATCH($C1181,Market_Daily!$A$6:$A$256,0))=$D1181,INDEX(Market_Daily!$N$6:$N$256,MATCH($C1181,Market_Daily!$A$6:$A$256,0)),NA()))</f>
        <v/>
      </c>
      <c r="O1181" s="16">
        <f>$N1181-$M1181</f>
        <v/>
      </c>
      <c r="P1181" s="16">
        <f>IF(($B1180=$B1181),$M1180,"")</f>
        <v/>
      </c>
      <c r="Q1181" s="16">
        <f>$M1181+IF($L1181,1,-1)*mcx_slippage_ticks*mcx_al_tick_inr_kg</f>
        <v/>
      </c>
      <c r="R1181" s="18">
        <f>IF(($B1180=$B1181),$H1181*$I1181*kg_per_mt*($M1181-$M1180),0)</f>
        <v/>
      </c>
      <c r="S1181" s="18">
        <f>IF(($B1180=$B1181),$S1180,0)+$R1181</f>
        <v/>
      </c>
      <c r="T1181" s="18">
        <f>ABS($H1181)*$I1181*kg_per_mt*$M1181</f>
        <v/>
      </c>
      <c r="U1181" s="18">
        <f>IF($K1181,0,$T1181*mcx_al_margin_used_frac)</f>
        <v/>
      </c>
      <c r="V1181" s="18">
        <f>IF(($B1180=$B1181),$U1180,0)</f>
        <v/>
      </c>
      <c r="W1181" s="18">
        <f>$U1181-$V1181</f>
        <v/>
      </c>
      <c r="X1181" s="18">
        <f>IF($K1181,0,$T1181*0.12)</f>
        <v/>
      </c>
      <c r="Y1181" s="18">
        <f>IF($K1181,0,$T1181*0.15)</f>
        <v/>
      </c>
      <c r="Z1181" s="18">
        <f>IF($F1181="hold",0,-ABS($H1181)*$I1181*kg_per_mt*mcx_slippage_ticks*mcx_al_tick_inr_kg)</f>
        <v/>
      </c>
      <c r="AA1181" s="18">
        <f>IF($F1181="hold",0,-ABS($H1181)*$I1181*kg_per_mt*$Q1181*mcx_txn_cost_frac)</f>
        <v/>
      </c>
      <c r="AB1181" s="18">
        <f>$Z1181+$AA1181</f>
        <v/>
      </c>
      <c r="AC1181" s="18">
        <f>$R1181-$W1181+$AB1181</f>
        <v/>
      </c>
      <c r="AD1181" s="18">
        <f>IF(($B1180=$B1181),$AD1180,0)+$AC1181</f>
        <v/>
      </c>
      <c r="AE1181" s="23" t="n">
        <v>426255.06</v>
      </c>
      <c r="AF1181" s="23" t="n">
        <v>18943037.81</v>
      </c>
      <c r="AG1181" s="23" t="n">
        <v>0</v>
      </c>
      <c r="AH1181" s="23" t="n">
        <v>468880.57</v>
      </c>
      <c r="AI1181" s="23" t="n">
        <v>637.03</v>
      </c>
      <c r="AJ1181" s="18">
        <f>$R1181-$AE1181</f>
        <v/>
      </c>
      <c r="AK1181" s="18">
        <f>$U1181-$AF1181</f>
        <v/>
      </c>
      <c r="AL1181" s="18">
        <f>$AC1181-$AH1181</f>
        <v/>
      </c>
      <c r="AM1181" s="8">
        <f>IF(AND(ABS($AJ1181)&lt;=tol_mcx_inr,ABS($AK1181)&lt;=tol_mcx_inr,ABS($AL1181)&lt;=tol_mcx_inr),"PASS","FAIL")</f>
        <v/>
      </c>
    </row>
    <row r="1182">
      <c r="A1182" s="7" t="inlineStr">
        <is>
          <t>T03</t>
        </is>
      </c>
      <c r="B1182" s="7" t="inlineStr">
        <is>
          <t>T03-MCX-1</t>
        </is>
      </c>
      <c r="C1182" s="11" t="n">
        <v>44665</v>
      </c>
      <c r="D1182" s="7" t="n">
        <v>202204</v>
      </c>
      <c r="E1182" s="7" t="inlineStr">
        <is>
          <t>SELL</t>
        </is>
      </c>
      <c r="F1182" s="7" t="inlineStr">
        <is>
          <t>hold</t>
        </is>
      </c>
      <c r="G1182" s="17" t="b">
        <v>1</v>
      </c>
      <c r="H1182" s="6" t="n">
        <v>-143</v>
      </c>
      <c r="I1182" s="13" t="n">
        <v>5</v>
      </c>
      <c r="J1182" s="8">
        <f>OR($F1182="entry",$F1182="roll_in")</f>
        <v/>
      </c>
      <c r="K1182" s="8">
        <f>OR($F1182="exit",$F1182="roll_out")</f>
        <v/>
      </c>
      <c r="L1182" s="8">
        <f>OR(AND($E1182="SELL",$K1182),AND($E1182="BUY",$J1182))</f>
        <v/>
      </c>
      <c r="M1182" s="16">
        <f>((INDEX(Market_Daily!$B$6:$B$256,MATCH($C1182,Market_Daily!$A$6:$A$256,0))*INDEX(Market_Daily!$F$6:$F$256,MATCH($C1182,Market_Daily!$A$6:$A$256,0))/kg_per_mt*(1+bcd_primary_al_hs7601*(1+sws_rate_on_bcd))+mcx_domestic_premium_inr_kg)*(1+INDEX(Market_Daily!$I$6:$I$256,MATCH($C1182,Market_Daily!$A$6:$A$256,0))*MAX(0,INDEX(mcx_expiries,MATCH($D1182,mcx_months,0))-$C1182)/day_count_inr))</f>
        <v/>
      </c>
      <c r="N1182" s="16">
        <f>IF(INDEX(Market_Daily!$S$6:$S$256,MATCH($C1182,Market_Daily!$A$6:$A$256,0))=$D1182,INDEX(Market_Daily!$M$6:$M$256,MATCH($C1182,Market_Daily!$A$6:$A$256,0)),IF(INDEX(Market_Daily!$T$6:$T$256,MATCH($C1182,Market_Daily!$A$6:$A$256,0))=$D1182,INDEX(Market_Daily!$N$6:$N$256,MATCH($C1182,Market_Daily!$A$6:$A$256,0)),NA()))</f>
        <v/>
      </c>
      <c r="O1182" s="16">
        <f>$N1182-$M1182</f>
        <v/>
      </c>
      <c r="P1182" s="16">
        <f>IF(($B1181=$B1182),$M1181,"")</f>
        <v/>
      </c>
      <c r="Q1182" s="16">
        <f>$M1182+IF($L1182,1,-1)*mcx_slippage_ticks*mcx_al_tick_inr_kg</f>
        <v/>
      </c>
      <c r="R1182" s="18">
        <f>IF(($B1181=$B1182),$H1182*$I1182*kg_per_mt*($M1182-$M1181),0)</f>
        <v/>
      </c>
      <c r="S1182" s="18">
        <f>IF(($B1181=$B1182),$S1181,0)+$R1182</f>
        <v/>
      </c>
      <c r="T1182" s="18">
        <f>ABS($H1182)*$I1182*kg_per_mt*$M1182</f>
        <v/>
      </c>
      <c r="U1182" s="18">
        <f>IF($K1182,0,$T1182*mcx_al_margin_used_frac)</f>
        <v/>
      </c>
      <c r="V1182" s="18">
        <f>IF(($B1181=$B1182),$U1181,0)</f>
        <v/>
      </c>
      <c r="W1182" s="18">
        <f>$U1182-$V1182</f>
        <v/>
      </c>
      <c r="X1182" s="18">
        <f>IF($K1182,0,$T1182*0.12)</f>
        <v/>
      </c>
      <c r="Y1182" s="18">
        <f>IF($K1182,0,$T1182*0.15)</f>
        <v/>
      </c>
      <c r="Z1182" s="18">
        <f>IF($F1182="hold",0,-ABS($H1182)*$I1182*kg_per_mt*mcx_slippage_ticks*mcx_al_tick_inr_kg)</f>
        <v/>
      </c>
      <c r="AA1182" s="18">
        <f>IF($F1182="hold",0,-ABS($H1182)*$I1182*kg_per_mt*$Q1182*mcx_txn_cost_frac)</f>
        <v/>
      </c>
      <c r="AB1182" s="18">
        <f>$Z1182+$AA1182</f>
        <v/>
      </c>
      <c r="AC1182" s="18">
        <f>$R1182-$W1182+$AB1182</f>
        <v/>
      </c>
      <c r="AD1182" s="18">
        <f>IF(($B1181=$B1182),$AD1181,0)+$AC1182</f>
        <v/>
      </c>
      <c r="AE1182" s="23" t="n">
        <v>-1642242.66</v>
      </c>
      <c r="AF1182" s="23" t="n">
        <v>19107262.08</v>
      </c>
      <c r="AG1182" s="23" t="n">
        <v>0</v>
      </c>
      <c r="AH1182" s="23" t="n">
        <v>-1806466.93</v>
      </c>
      <c r="AI1182" s="23" t="n">
        <v>759.0700000000001</v>
      </c>
      <c r="AJ1182" s="18">
        <f>$R1182-$AE1182</f>
        <v/>
      </c>
      <c r="AK1182" s="18">
        <f>$U1182-$AF1182</f>
        <v/>
      </c>
      <c r="AL1182" s="18">
        <f>$AC1182-$AH1182</f>
        <v/>
      </c>
      <c r="AM1182" s="8">
        <f>IF(AND(ABS($AJ1182)&lt;=tol_mcx_inr,ABS($AK1182)&lt;=tol_mcx_inr,ABS($AL1182)&lt;=tol_mcx_inr),"PASS","FAIL")</f>
        <v/>
      </c>
    </row>
    <row r="1183">
      <c r="A1183" s="7" t="inlineStr">
        <is>
          <t>T03</t>
        </is>
      </c>
      <c r="B1183" s="7" t="inlineStr">
        <is>
          <t>T03-MCX-1</t>
        </is>
      </c>
      <c r="C1183" s="11" t="n">
        <v>44670</v>
      </c>
      <c r="D1183" s="7" t="n">
        <v>202204</v>
      </c>
      <c r="E1183" s="7" t="inlineStr">
        <is>
          <t>SELL</t>
        </is>
      </c>
      <c r="F1183" s="7" t="inlineStr">
        <is>
          <t>hold</t>
        </is>
      </c>
      <c r="G1183" s="17" t="b">
        <v>1</v>
      </c>
      <c r="H1183" s="6" t="n">
        <v>-143</v>
      </c>
      <c r="I1183" s="13" t="n">
        <v>5</v>
      </c>
      <c r="J1183" s="8">
        <f>OR($F1183="entry",$F1183="roll_in")</f>
        <v/>
      </c>
      <c r="K1183" s="8">
        <f>OR($F1183="exit",$F1183="roll_out")</f>
        <v/>
      </c>
      <c r="L1183" s="8">
        <f>OR(AND($E1183="SELL",$K1183),AND($E1183="BUY",$J1183))</f>
        <v/>
      </c>
      <c r="M1183" s="16">
        <f>((INDEX(Market_Daily!$B$6:$B$256,MATCH($C1183,Market_Daily!$A$6:$A$256,0))*INDEX(Market_Daily!$F$6:$F$256,MATCH($C1183,Market_Daily!$A$6:$A$256,0))/kg_per_mt*(1+bcd_primary_al_hs7601*(1+sws_rate_on_bcd))+mcx_domestic_premium_inr_kg)*(1+INDEX(Market_Daily!$I$6:$I$256,MATCH($C1183,Market_Daily!$A$6:$A$256,0))*MAX(0,INDEX(mcx_expiries,MATCH($D1183,mcx_months,0))-$C1183)/day_count_inr))</f>
        <v/>
      </c>
      <c r="N1183" s="16">
        <f>IF(INDEX(Market_Daily!$S$6:$S$256,MATCH($C1183,Market_Daily!$A$6:$A$256,0))=$D1183,INDEX(Market_Daily!$M$6:$M$256,MATCH($C1183,Market_Daily!$A$6:$A$256,0)),IF(INDEX(Market_Daily!$T$6:$T$256,MATCH($C1183,Market_Daily!$A$6:$A$256,0))=$D1183,INDEX(Market_Daily!$N$6:$N$256,MATCH($C1183,Market_Daily!$A$6:$A$256,0)),NA()))</f>
        <v/>
      </c>
      <c r="O1183" s="16">
        <f>$N1183-$M1183</f>
        <v/>
      </c>
      <c r="P1183" s="16">
        <f>IF(($B1182=$B1183),$M1182,"")</f>
        <v/>
      </c>
      <c r="Q1183" s="16">
        <f>$M1183+IF($L1183,1,-1)*mcx_slippage_ticks*mcx_al_tick_inr_kg</f>
        <v/>
      </c>
      <c r="R1183" s="18">
        <f>IF(($B1182=$B1183),$H1183*$I1183*kg_per_mt*($M1183-$M1182),0)</f>
        <v/>
      </c>
      <c r="S1183" s="18">
        <f>IF(($B1182=$B1183),$S1182,0)+$R1183</f>
        <v/>
      </c>
      <c r="T1183" s="18">
        <f>ABS($H1183)*$I1183*kg_per_mt*$M1183</f>
        <v/>
      </c>
      <c r="U1183" s="18">
        <f>IF($K1183,0,$T1183*mcx_al_margin_used_frac)</f>
        <v/>
      </c>
      <c r="V1183" s="18">
        <f>IF(($B1182=$B1183),$U1182,0)</f>
        <v/>
      </c>
      <c r="W1183" s="18">
        <f>$U1183-$V1183</f>
        <v/>
      </c>
      <c r="X1183" s="18">
        <f>IF($K1183,0,$T1183*0.12)</f>
        <v/>
      </c>
      <c r="Y1183" s="18">
        <f>IF($K1183,0,$T1183*0.15)</f>
        <v/>
      </c>
      <c r="Z1183" s="18">
        <f>IF($F1183="hold",0,-ABS($H1183)*$I1183*kg_per_mt*mcx_slippage_ticks*mcx_al_tick_inr_kg)</f>
        <v/>
      </c>
      <c r="AA1183" s="18">
        <f>IF($F1183="hold",0,-ABS($H1183)*$I1183*kg_per_mt*$Q1183*mcx_txn_cost_frac)</f>
        <v/>
      </c>
      <c r="AB1183" s="18">
        <f>$Z1183+$AA1183</f>
        <v/>
      </c>
      <c r="AC1183" s="18">
        <f>$R1183-$W1183+$AB1183</f>
        <v/>
      </c>
      <c r="AD1183" s="18">
        <f>IF(($B1182=$B1183),$AD1182,0)+$AC1183</f>
        <v/>
      </c>
      <c r="AE1183" s="23" t="n">
        <v>-5149053.03</v>
      </c>
      <c r="AF1183" s="23" t="n">
        <v>19622167.38</v>
      </c>
      <c r="AG1183" s="23" t="n">
        <v>0</v>
      </c>
      <c r="AH1183" s="23" t="n">
        <v>-5663958.33</v>
      </c>
      <c r="AI1183" s="23" t="n">
        <v>1444.47</v>
      </c>
      <c r="AJ1183" s="18">
        <f>$R1183-$AE1183</f>
        <v/>
      </c>
      <c r="AK1183" s="18">
        <f>$U1183-$AF1183</f>
        <v/>
      </c>
      <c r="AL1183" s="18">
        <f>$AC1183-$AH1183</f>
        <v/>
      </c>
      <c r="AM1183" s="8">
        <f>IF(AND(ABS($AJ1183)&lt;=tol_mcx_inr,ABS($AK1183)&lt;=tol_mcx_inr,ABS($AL1183)&lt;=tol_mcx_inr),"PASS","FAIL")</f>
        <v/>
      </c>
    </row>
    <row r="1184">
      <c r="A1184" s="7" t="inlineStr">
        <is>
          <t>T03</t>
        </is>
      </c>
      <c r="B1184" s="7" t="inlineStr">
        <is>
          <t>T03-MCX-1</t>
        </is>
      </c>
      <c r="C1184" s="11" t="n">
        <v>44671</v>
      </c>
      <c r="D1184" s="7" t="n">
        <v>202204</v>
      </c>
      <c r="E1184" s="7" t="inlineStr">
        <is>
          <t>SELL</t>
        </is>
      </c>
      <c r="F1184" s="7" t="inlineStr">
        <is>
          <t>roll_out</t>
        </is>
      </c>
      <c r="G1184" s="17" t="b">
        <v>1</v>
      </c>
      <c r="H1184" s="6" t="n">
        <v>-143</v>
      </c>
      <c r="I1184" s="13" t="n">
        <v>5</v>
      </c>
      <c r="J1184" s="8">
        <f>OR($F1184="entry",$F1184="roll_in")</f>
        <v/>
      </c>
      <c r="K1184" s="8">
        <f>OR($F1184="exit",$F1184="roll_out")</f>
        <v/>
      </c>
      <c r="L1184" s="8">
        <f>OR(AND($E1184="SELL",$K1184),AND($E1184="BUY",$J1184))</f>
        <v/>
      </c>
      <c r="M1184" s="16">
        <f>((INDEX(Market_Daily!$B$6:$B$256,MATCH($C1184,Market_Daily!$A$6:$A$256,0))*INDEX(Market_Daily!$F$6:$F$256,MATCH($C1184,Market_Daily!$A$6:$A$256,0))/kg_per_mt*(1+bcd_primary_al_hs7601*(1+sws_rate_on_bcd))+mcx_domestic_premium_inr_kg)*(1+INDEX(Market_Daily!$I$6:$I$256,MATCH($C1184,Market_Daily!$A$6:$A$256,0))*MAX(0,INDEX(mcx_expiries,MATCH($D1184,mcx_months,0))-$C1184)/day_count_inr))</f>
        <v/>
      </c>
      <c r="N1184" s="16">
        <f>IF(INDEX(Market_Daily!$S$6:$S$256,MATCH($C1184,Market_Daily!$A$6:$A$256,0))=$D1184,INDEX(Market_Daily!$M$6:$M$256,MATCH($C1184,Market_Daily!$A$6:$A$256,0)),IF(INDEX(Market_Daily!$T$6:$T$256,MATCH($C1184,Market_Daily!$A$6:$A$256,0))=$D1184,INDEX(Market_Daily!$N$6:$N$256,MATCH($C1184,Market_Daily!$A$6:$A$256,0)),NA()))</f>
        <v/>
      </c>
      <c r="O1184" s="16">
        <f>$N1184-$M1184</f>
        <v/>
      </c>
      <c r="P1184" s="16">
        <f>IF(($B1183=$B1184),$M1183,"")</f>
        <v/>
      </c>
      <c r="Q1184" s="16">
        <f>$M1184+IF($L1184,1,-1)*mcx_slippage_ticks*mcx_al_tick_inr_kg</f>
        <v/>
      </c>
      <c r="R1184" s="18">
        <f>IF(($B1183=$B1184),$H1184*$I1184*kg_per_mt*($M1184-$M1183),0)</f>
        <v/>
      </c>
      <c r="S1184" s="18">
        <f>IF(($B1183=$B1184),$S1183,0)+$R1184</f>
        <v/>
      </c>
      <c r="T1184" s="18">
        <f>ABS($H1184)*$I1184*kg_per_mt*$M1184</f>
        <v/>
      </c>
      <c r="U1184" s="18">
        <f>IF($K1184,0,$T1184*mcx_al_margin_used_frac)</f>
        <v/>
      </c>
      <c r="V1184" s="18">
        <f>IF(($B1183=$B1184),$U1183,0)</f>
        <v/>
      </c>
      <c r="W1184" s="18">
        <f>$U1184-$V1184</f>
        <v/>
      </c>
      <c r="X1184" s="18">
        <f>IF($K1184,0,$T1184*0.12)</f>
        <v/>
      </c>
      <c r="Y1184" s="18">
        <f>IF($K1184,0,$T1184*0.15)</f>
        <v/>
      </c>
      <c r="Z1184" s="18">
        <f>IF($F1184="hold",0,-ABS($H1184)*$I1184*kg_per_mt*mcx_slippage_ticks*mcx_al_tick_inr_kg)</f>
        <v/>
      </c>
      <c r="AA1184" s="18">
        <f>IF($F1184="hold",0,-ABS($H1184)*$I1184*kg_per_mt*$Q1184*mcx_txn_cost_frac)</f>
        <v/>
      </c>
      <c r="AB1184" s="18">
        <f>$Z1184+$AA1184</f>
        <v/>
      </c>
      <c r="AC1184" s="18">
        <f>$R1184-$W1184+$AB1184</f>
        <v/>
      </c>
      <c r="AD1184" s="18">
        <f>IF(($B1183=$B1184),$AD1183,0)+$AC1184</f>
        <v/>
      </c>
      <c r="AE1184" s="23" t="n">
        <v>4692954.64</v>
      </c>
      <c r="AF1184" s="23" t="n">
        <v>0</v>
      </c>
      <c r="AG1184" s="23" t="n">
        <v>-128980.07</v>
      </c>
      <c r="AH1184" s="23" t="n">
        <v>24186141.95</v>
      </c>
      <c r="AI1184" s="23" t="n">
        <v>-1197.76</v>
      </c>
      <c r="AJ1184" s="18">
        <f>$R1184-$AE1184</f>
        <v/>
      </c>
      <c r="AK1184" s="18">
        <f>$U1184-$AF1184</f>
        <v/>
      </c>
      <c r="AL1184" s="18">
        <f>$AC1184-$AH1184</f>
        <v/>
      </c>
      <c r="AM1184" s="8">
        <f>IF(AND(ABS($AJ1184)&lt;=tol_mcx_inr,ABS($AK1184)&lt;=tol_mcx_inr,ABS($AL1184)&lt;=tol_mcx_inr),"PASS","FAIL")</f>
        <v/>
      </c>
    </row>
    <row r="1185">
      <c r="A1185" s="7" t="inlineStr">
        <is>
          <t>T03</t>
        </is>
      </c>
      <c r="B1185" s="7" t="inlineStr">
        <is>
          <t>T03-MCX-2</t>
        </is>
      </c>
      <c r="C1185" s="11" t="n">
        <v>44671</v>
      </c>
      <c r="D1185" s="7" t="n">
        <v>202205</v>
      </c>
      <c r="E1185" s="7" t="inlineStr">
        <is>
          <t>SELL</t>
        </is>
      </c>
      <c r="F1185" s="7" t="inlineStr">
        <is>
          <t>roll_in</t>
        </is>
      </c>
      <c r="G1185" s="17" t="b">
        <v>1</v>
      </c>
      <c r="H1185" s="6" t="n">
        <v>-143</v>
      </c>
      <c r="I1185" s="13" t="n">
        <v>5</v>
      </c>
      <c r="J1185" s="8">
        <f>OR($F1185="entry",$F1185="roll_in")</f>
        <v/>
      </c>
      <c r="K1185" s="8">
        <f>OR($F1185="exit",$F1185="roll_out")</f>
        <v/>
      </c>
      <c r="L1185" s="8">
        <f>OR(AND($E1185="SELL",$K1185),AND($E1185="BUY",$J1185))</f>
        <v/>
      </c>
      <c r="M1185" s="16">
        <f>((INDEX(Market_Daily!$B$6:$B$256,MATCH($C1185,Market_Daily!$A$6:$A$256,0))*INDEX(Market_Daily!$F$6:$F$256,MATCH($C1185,Market_Daily!$A$6:$A$256,0))/kg_per_mt*(1+bcd_primary_al_hs7601*(1+sws_rate_on_bcd))+mcx_domestic_premium_inr_kg)*(1+INDEX(Market_Daily!$I$6:$I$256,MATCH($C1185,Market_Daily!$A$6:$A$256,0))*MAX(0,INDEX(mcx_expiries,MATCH($D1185,mcx_months,0))-$C1185)/day_count_inr))</f>
        <v/>
      </c>
      <c r="N1185" s="16">
        <f>IF(INDEX(Market_Daily!$S$6:$S$256,MATCH($C1185,Market_Daily!$A$6:$A$256,0))=$D1185,INDEX(Market_Daily!$M$6:$M$256,MATCH($C1185,Market_Daily!$A$6:$A$256,0)),IF(INDEX(Market_Daily!$T$6:$T$256,MATCH($C1185,Market_Daily!$A$6:$A$256,0))=$D1185,INDEX(Market_Daily!$N$6:$N$256,MATCH($C1185,Market_Daily!$A$6:$A$256,0)),NA()))</f>
        <v/>
      </c>
      <c r="O1185" s="16">
        <f>$N1185-$M1185</f>
        <v/>
      </c>
      <c r="P1185" s="16">
        <f>IF(($B1184=$B1185),$M1184,"")</f>
        <v/>
      </c>
      <c r="Q1185" s="16">
        <f>$M1185+IF($L1185,1,-1)*mcx_slippage_ticks*mcx_al_tick_inr_kg</f>
        <v/>
      </c>
      <c r="R1185" s="18">
        <f>IF(($B1184=$B1185),$H1185*$I1185*kg_per_mt*($M1185-$M1184),0)</f>
        <v/>
      </c>
      <c r="S1185" s="18">
        <f>IF(($B1184=$B1185),$S1184,0)+$R1185</f>
        <v/>
      </c>
      <c r="T1185" s="18">
        <f>ABS($H1185)*$I1185*kg_per_mt*$M1185</f>
        <v/>
      </c>
      <c r="U1185" s="18">
        <f>IF($K1185,0,$T1185*mcx_al_margin_used_frac)</f>
        <v/>
      </c>
      <c r="V1185" s="18">
        <f>IF(($B1184=$B1185),$U1184,0)</f>
        <v/>
      </c>
      <c r="W1185" s="18">
        <f>$U1185-$V1185</f>
        <v/>
      </c>
      <c r="X1185" s="18">
        <f>IF($K1185,0,$T1185*0.12)</f>
        <v/>
      </c>
      <c r="Y1185" s="18">
        <f>IF($K1185,0,$T1185*0.15)</f>
        <v/>
      </c>
      <c r="Z1185" s="18">
        <f>IF($F1185="hold",0,-ABS($H1185)*$I1185*kg_per_mt*mcx_slippage_ticks*mcx_al_tick_inr_kg)</f>
        <v/>
      </c>
      <c r="AA1185" s="18">
        <f>IF($F1185="hold",0,-ABS($H1185)*$I1185*kg_per_mt*$Q1185*mcx_txn_cost_frac)</f>
        <v/>
      </c>
      <c r="AB1185" s="18">
        <f>$Z1185+$AA1185</f>
        <v/>
      </c>
      <c r="AC1185" s="18">
        <f>$R1185-$W1185+$AB1185</f>
        <v/>
      </c>
      <c r="AD1185" s="18">
        <f>IF(($B1184=$B1185),$AD1184,0)+$AC1185</f>
        <v/>
      </c>
      <c r="AE1185" s="23" t="n">
        <v>0</v>
      </c>
      <c r="AF1185" s="23" t="n">
        <v>19218723.44</v>
      </c>
      <c r="AG1185" s="23" t="n">
        <v>-129134.72</v>
      </c>
      <c r="AH1185" s="23" t="n">
        <v>-19347858.16</v>
      </c>
      <c r="AI1185" s="23" t="n">
        <v>0</v>
      </c>
      <c r="AJ1185" s="18">
        <f>$R1185-$AE1185</f>
        <v/>
      </c>
      <c r="AK1185" s="18">
        <f>$U1185-$AF1185</f>
        <v/>
      </c>
      <c r="AL1185" s="18">
        <f>$AC1185-$AH1185</f>
        <v/>
      </c>
      <c r="AM1185" s="8">
        <f>IF(AND(ABS($AJ1185)&lt;=tol_mcx_inr,ABS($AK1185)&lt;=tol_mcx_inr,ABS($AL1185)&lt;=tol_mcx_inr),"PASS","FAIL")</f>
        <v/>
      </c>
    </row>
    <row r="1186">
      <c r="A1186" s="7" t="inlineStr">
        <is>
          <t>T03</t>
        </is>
      </c>
      <c r="B1186" s="7" t="inlineStr">
        <is>
          <t>T03-MCX-2</t>
        </is>
      </c>
      <c r="C1186" s="11" t="n">
        <v>44672</v>
      </c>
      <c r="D1186" s="7" t="n">
        <v>202205</v>
      </c>
      <c r="E1186" s="7" t="inlineStr">
        <is>
          <t>SELL</t>
        </is>
      </c>
      <c r="F1186" s="7" t="inlineStr">
        <is>
          <t>hold</t>
        </is>
      </c>
      <c r="G1186" s="17" t="b">
        <v>1</v>
      </c>
      <c r="H1186" s="6" t="n">
        <v>-143</v>
      </c>
      <c r="I1186" s="13" t="n">
        <v>5</v>
      </c>
      <c r="J1186" s="8">
        <f>OR($F1186="entry",$F1186="roll_in")</f>
        <v/>
      </c>
      <c r="K1186" s="8">
        <f>OR($F1186="exit",$F1186="roll_out")</f>
        <v/>
      </c>
      <c r="L1186" s="8">
        <f>OR(AND($E1186="SELL",$K1186),AND($E1186="BUY",$J1186))</f>
        <v/>
      </c>
      <c r="M1186" s="16">
        <f>((INDEX(Market_Daily!$B$6:$B$256,MATCH($C1186,Market_Daily!$A$6:$A$256,0))*INDEX(Market_Daily!$F$6:$F$256,MATCH($C1186,Market_Daily!$A$6:$A$256,0))/kg_per_mt*(1+bcd_primary_al_hs7601*(1+sws_rate_on_bcd))+mcx_domestic_premium_inr_kg)*(1+INDEX(Market_Daily!$I$6:$I$256,MATCH($C1186,Market_Daily!$A$6:$A$256,0))*MAX(0,INDEX(mcx_expiries,MATCH($D1186,mcx_months,0))-$C1186)/day_count_inr))</f>
        <v/>
      </c>
      <c r="N1186" s="16">
        <f>IF(INDEX(Market_Daily!$S$6:$S$256,MATCH($C1186,Market_Daily!$A$6:$A$256,0))=$D1186,INDEX(Market_Daily!$M$6:$M$256,MATCH($C1186,Market_Daily!$A$6:$A$256,0)),IF(INDEX(Market_Daily!$T$6:$T$256,MATCH($C1186,Market_Daily!$A$6:$A$256,0))=$D1186,INDEX(Market_Daily!$N$6:$N$256,MATCH($C1186,Market_Daily!$A$6:$A$256,0)),NA()))</f>
        <v/>
      </c>
      <c r="O1186" s="16">
        <f>$N1186-$M1186</f>
        <v/>
      </c>
      <c r="P1186" s="16">
        <f>IF(($B1185=$B1186),$M1185,"")</f>
        <v/>
      </c>
      <c r="Q1186" s="16">
        <f>$M1186+IF($L1186,1,-1)*mcx_slippage_ticks*mcx_al_tick_inr_kg</f>
        <v/>
      </c>
      <c r="R1186" s="18">
        <f>IF(($B1185=$B1186),$H1186*$I1186*kg_per_mt*($M1186-$M1185),0)</f>
        <v/>
      </c>
      <c r="S1186" s="18">
        <f>IF(($B1185=$B1186),$S1185,0)+$R1186</f>
        <v/>
      </c>
      <c r="T1186" s="18">
        <f>ABS($H1186)*$I1186*kg_per_mt*$M1186</f>
        <v/>
      </c>
      <c r="U1186" s="18">
        <f>IF($K1186,0,$T1186*mcx_al_margin_used_frac)</f>
        <v/>
      </c>
      <c r="V1186" s="18">
        <f>IF(($B1185=$B1186),$U1185,0)</f>
        <v/>
      </c>
      <c r="W1186" s="18">
        <f>$U1186-$V1186</f>
        <v/>
      </c>
      <c r="X1186" s="18">
        <f>IF($K1186,0,$T1186*0.12)</f>
        <v/>
      </c>
      <c r="Y1186" s="18">
        <f>IF($K1186,0,$T1186*0.15)</f>
        <v/>
      </c>
      <c r="Z1186" s="18">
        <f>IF($F1186="hold",0,-ABS($H1186)*$I1186*kg_per_mt*mcx_slippage_ticks*mcx_al_tick_inr_kg)</f>
        <v/>
      </c>
      <c r="AA1186" s="18">
        <f>IF($F1186="hold",0,-ABS($H1186)*$I1186*kg_per_mt*$Q1186*mcx_txn_cost_frac)</f>
        <v/>
      </c>
      <c r="AB1186" s="18">
        <f>$Z1186+$AA1186</f>
        <v/>
      </c>
      <c r="AC1186" s="18">
        <f>$R1186-$W1186+$AB1186</f>
        <v/>
      </c>
      <c r="AD1186" s="18">
        <f>IF(($B1185=$B1186),$AD1185,0)+$AC1186</f>
        <v/>
      </c>
      <c r="AE1186" s="23" t="n">
        <v>-1040331.18</v>
      </c>
      <c r="AF1186" s="23" t="n">
        <v>19322756.56</v>
      </c>
      <c r="AG1186" s="23" t="n">
        <v>0</v>
      </c>
      <c r="AH1186" s="23" t="n">
        <v>-1144364.3</v>
      </c>
      <c r="AI1186" s="23" t="n">
        <v>-5088.75</v>
      </c>
      <c r="AJ1186" s="18">
        <f>$R1186-$AE1186</f>
        <v/>
      </c>
      <c r="AK1186" s="18">
        <f>$U1186-$AF1186</f>
        <v/>
      </c>
      <c r="AL1186" s="18">
        <f>$AC1186-$AH1186</f>
        <v/>
      </c>
      <c r="AM1186" s="8">
        <f>IF(AND(ABS($AJ1186)&lt;=tol_mcx_inr,ABS($AK1186)&lt;=tol_mcx_inr,ABS($AL1186)&lt;=tol_mcx_inr),"PASS","FAIL")</f>
        <v/>
      </c>
    </row>
    <row r="1187">
      <c r="A1187" s="7" t="inlineStr">
        <is>
          <t>T03</t>
        </is>
      </c>
      <c r="B1187" s="7" t="inlineStr">
        <is>
          <t>T03-MCX-2</t>
        </is>
      </c>
      <c r="C1187" s="11" t="n">
        <v>44673</v>
      </c>
      <c r="D1187" s="7" t="n">
        <v>202205</v>
      </c>
      <c r="E1187" s="7" t="inlineStr">
        <is>
          <t>SELL</t>
        </is>
      </c>
      <c r="F1187" s="7" t="inlineStr">
        <is>
          <t>hold</t>
        </is>
      </c>
      <c r="G1187" s="17" t="b">
        <v>1</v>
      </c>
      <c r="H1187" s="6" t="n">
        <v>-143</v>
      </c>
      <c r="I1187" s="13" t="n">
        <v>5</v>
      </c>
      <c r="J1187" s="8">
        <f>OR($F1187="entry",$F1187="roll_in")</f>
        <v/>
      </c>
      <c r="K1187" s="8">
        <f>OR($F1187="exit",$F1187="roll_out")</f>
        <v/>
      </c>
      <c r="L1187" s="8">
        <f>OR(AND($E1187="SELL",$K1187),AND($E1187="BUY",$J1187))</f>
        <v/>
      </c>
      <c r="M1187" s="16">
        <f>((INDEX(Market_Daily!$B$6:$B$256,MATCH($C1187,Market_Daily!$A$6:$A$256,0))*INDEX(Market_Daily!$F$6:$F$256,MATCH($C1187,Market_Daily!$A$6:$A$256,0))/kg_per_mt*(1+bcd_primary_al_hs7601*(1+sws_rate_on_bcd))+mcx_domestic_premium_inr_kg)*(1+INDEX(Market_Daily!$I$6:$I$256,MATCH($C1187,Market_Daily!$A$6:$A$256,0))*MAX(0,INDEX(mcx_expiries,MATCH($D1187,mcx_months,0))-$C1187)/day_count_inr))</f>
        <v/>
      </c>
      <c r="N1187" s="16">
        <f>IF(INDEX(Market_Daily!$S$6:$S$256,MATCH($C1187,Market_Daily!$A$6:$A$256,0))=$D1187,INDEX(Market_Daily!$M$6:$M$256,MATCH($C1187,Market_Daily!$A$6:$A$256,0)),IF(INDEX(Market_Daily!$T$6:$T$256,MATCH($C1187,Market_Daily!$A$6:$A$256,0))=$D1187,INDEX(Market_Daily!$N$6:$N$256,MATCH($C1187,Market_Daily!$A$6:$A$256,0)),NA()))</f>
        <v/>
      </c>
      <c r="O1187" s="16">
        <f>$N1187-$M1187</f>
        <v/>
      </c>
      <c r="P1187" s="16">
        <f>IF(($B1186=$B1187),$M1186,"")</f>
        <v/>
      </c>
      <c r="Q1187" s="16">
        <f>$M1187+IF($L1187,1,-1)*mcx_slippage_ticks*mcx_al_tick_inr_kg</f>
        <v/>
      </c>
      <c r="R1187" s="18">
        <f>IF(($B1186=$B1187),$H1187*$I1187*kg_per_mt*($M1187-$M1186),0)</f>
        <v/>
      </c>
      <c r="S1187" s="18">
        <f>IF(($B1186=$B1187),$S1186,0)+$R1187</f>
        <v/>
      </c>
      <c r="T1187" s="18">
        <f>ABS($H1187)*$I1187*kg_per_mt*$M1187</f>
        <v/>
      </c>
      <c r="U1187" s="18">
        <f>IF($K1187,0,$T1187*mcx_al_margin_used_frac)</f>
        <v/>
      </c>
      <c r="V1187" s="18">
        <f>IF(($B1186=$B1187),$U1186,0)</f>
        <v/>
      </c>
      <c r="W1187" s="18">
        <f>$U1187-$V1187</f>
        <v/>
      </c>
      <c r="X1187" s="18">
        <f>IF($K1187,0,$T1187*0.12)</f>
        <v/>
      </c>
      <c r="Y1187" s="18">
        <f>IF($K1187,0,$T1187*0.15)</f>
        <v/>
      </c>
      <c r="Z1187" s="18">
        <f>IF($F1187="hold",0,-ABS($H1187)*$I1187*kg_per_mt*mcx_slippage_ticks*mcx_al_tick_inr_kg)</f>
        <v/>
      </c>
      <c r="AA1187" s="18">
        <f>IF($F1187="hold",0,-ABS($H1187)*$I1187*kg_per_mt*$Q1187*mcx_txn_cost_frac)</f>
        <v/>
      </c>
      <c r="AB1187" s="18">
        <f>$Z1187+$AA1187</f>
        <v/>
      </c>
      <c r="AC1187" s="18">
        <f>$R1187-$W1187+$AB1187</f>
        <v/>
      </c>
      <c r="AD1187" s="18">
        <f>IF(($B1186=$B1187),$AD1186,0)+$AC1187</f>
        <v/>
      </c>
      <c r="AE1187" s="23" t="n">
        <v>474389.44</v>
      </c>
      <c r="AF1187" s="23" t="n">
        <v>19275317.62</v>
      </c>
      <c r="AG1187" s="23" t="n">
        <v>0</v>
      </c>
      <c r="AH1187" s="23" t="n">
        <v>521828.38</v>
      </c>
      <c r="AI1187" s="23" t="n">
        <v>-5389.74</v>
      </c>
      <c r="AJ1187" s="18">
        <f>$R1187-$AE1187</f>
        <v/>
      </c>
      <c r="AK1187" s="18">
        <f>$U1187-$AF1187</f>
        <v/>
      </c>
      <c r="AL1187" s="18">
        <f>$AC1187-$AH1187</f>
        <v/>
      </c>
      <c r="AM1187" s="8">
        <f>IF(AND(ABS($AJ1187)&lt;=tol_mcx_inr,ABS($AK1187)&lt;=tol_mcx_inr,ABS($AL1187)&lt;=tol_mcx_inr),"PASS","FAIL")</f>
        <v/>
      </c>
    </row>
    <row r="1188">
      <c r="A1188" s="7" t="inlineStr">
        <is>
          <t>T03</t>
        </is>
      </c>
      <c r="B1188" s="7" t="inlineStr">
        <is>
          <t>T03-MCX-2</t>
        </is>
      </c>
      <c r="C1188" s="11" t="n">
        <v>44676</v>
      </c>
      <c r="D1188" s="7" t="n">
        <v>202205</v>
      </c>
      <c r="E1188" s="7" t="inlineStr">
        <is>
          <t>SELL</t>
        </is>
      </c>
      <c r="F1188" s="7" t="inlineStr">
        <is>
          <t>hold</t>
        </is>
      </c>
      <c r="G1188" s="17" t="b">
        <v>1</v>
      </c>
      <c r="H1188" s="6" t="n">
        <v>-143</v>
      </c>
      <c r="I1188" s="13" t="n">
        <v>5</v>
      </c>
      <c r="J1188" s="8">
        <f>OR($F1188="entry",$F1188="roll_in")</f>
        <v/>
      </c>
      <c r="K1188" s="8">
        <f>OR($F1188="exit",$F1188="roll_out")</f>
        <v/>
      </c>
      <c r="L1188" s="8">
        <f>OR(AND($E1188="SELL",$K1188),AND($E1188="BUY",$J1188))</f>
        <v/>
      </c>
      <c r="M1188" s="16">
        <f>((INDEX(Market_Daily!$B$6:$B$256,MATCH($C1188,Market_Daily!$A$6:$A$256,0))*INDEX(Market_Daily!$F$6:$F$256,MATCH($C1188,Market_Daily!$A$6:$A$256,0))/kg_per_mt*(1+bcd_primary_al_hs7601*(1+sws_rate_on_bcd))+mcx_domestic_premium_inr_kg)*(1+INDEX(Market_Daily!$I$6:$I$256,MATCH($C1188,Market_Daily!$A$6:$A$256,0))*MAX(0,INDEX(mcx_expiries,MATCH($D1188,mcx_months,0))-$C1188)/day_count_inr))</f>
        <v/>
      </c>
      <c r="N1188" s="16">
        <f>IF(INDEX(Market_Daily!$S$6:$S$256,MATCH($C1188,Market_Daily!$A$6:$A$256,0))=$D1188,INDEX(Market_Daily!$M$6:$M$256,MATCH($C1188,Market_Daily!$A$6:$A$256,0)),IF(INDEX(Market_Daily!$T$6:$T$256,MATCH($C1188,Market_Daily!$A$6:$A$256,0))=$D1188,INDEX(Market_Daily!$N$6:$N$256,MATCH($C1188,Market_Daily!$A$6:$A$256,0)),NA()))</f>
        <v/>
      </c>
      <c r="O1188" s="16">
        <f>$N1188-$M1188</f>
        <v/>
      </c>
      <c r="P1188" s="16">
        <f>IF(($B1187=$B1188),$M1187,"")</f>
        <v/>
      </c>
      <c r="Q1188" s="16">
        <f>$M1188+IF($L1188,1,-1)*mcx_slippage_ticks*mcx_al_tick_inr_kg</f>
        <v/>
      </c>
      <c r="R1188" s="18">
        <f>IF(($B1187=$B1188),$H1188*$I1188*kg_per_mt*($M1188-$M1187),0)</f>
        <v/>
      </c>
      <c r="S1188" s="18">
        <f>IF(($B1187=$B1188),$S1187,0)+$R1188</f>
        <v/>
      </c>
      <c r="T1188" s="18">
        <f>ABS($H1188)*$I1188*kg_per_mt*$M1188</f>
        <v/>
      </c>
      <c r="U1188" s="18">
        <f>IF($K1188,0,$T1188*mcx_al_margin_used_frac)</f>
        <v/>
      </c>
      <c r="V1188" s="18">
        <f>IF(($B1187=$B1188),$U1187,0)</f>
        <v/>
      </c>
      <c r="W1188" s="18">
        <f>$U1188-$V1188</f>
        <v/>
      </c>
      <c r="X1188" s="18">
        <f>IF($K1188,0,$T1188*0.12)</f>
        <v/>
      </c>
      <c r="Y1188" s="18">
        <f>IF($K1188,0,$T1188*0.15)</f>
        <v/>
      </c>
      <c r="Z1188" s="18">
        <f>IF($F1188="hold",0,-ABS($H1188)*$I1188*kg_per_mt*mcx_slippage_ticks*mcx_al_tick_inr_kg)</f>
        <v/>
      </c>
      <c r="AA1188" s="18">
        <f>IF($F1188="hold",0,-ABS($H1188)*$I1188*kg_per_mt*$Q1188*mcx_txn_cost_frac)</f>
        <v/>
      </c>
      <c r="AB1188" s="18">
        <f>$Z1188+$AA1188</f>
        <v/>
      </c>
      <c r="AC1188" s="18">
        <f>$R1188-$W1188+$AB1188</f>
        <v/>
      </c>
      <c r="AD1188" s="18">
        <f>IF(($B1187=$B1188),$AD1187,0)+$AC1188</f>
        <v/>
      </c>
      <c r="AE1188" s="23" t="n">
        <v>8830800.130000001</v>
      </c>
      <c r="AF1188" s="23" t="n">
        <v>18392237.6</v>
      </c>
      <c r="AG1188" s="23" t="n">
        <v>0</v>
      </c>
      <c r="AH1188" s="23" t="n">
        <v>9713880.15</v>
      </c>
      <c r="AI1188" s="23" t="n">
        <v>-15757.46</v>
      </c>
      <c r="AJ1188" s="18">
        <f>$R1188-$AE1188</f>
        <v/>
      </c>
      <c r="AK1188" s="18">
        <f>$U1188-$AF1188</f>
        <v/>
      </c>
      <c r="AL1188" s="18">
        <f>$AC1188-$AH1188</f>
        <v/>
      </c>
      <c r="AM1188" s="8">
        <f>IF(AND(ABS($AJ1188)&lt;=tol_mcx_inr,ABS($AK1188)&lt;=tol_mcx_inr,ABS($AL1188)&lt;=tol_mcx_inr),"PASS","FAIL")</f>
        <v/>
      </c>
    </row>
    <row r="1189">
      <c r="A1189" s="7" t="inlineStr">
        <is>
          <t>T03</t>
        </is>
      </c>
      <c r="B1189" s="7" t="inlineStr">
        <is>
          <t>T03-MCX-2</t>
        </is>
      </c>
      <c r="C1189" s="11" t="n">
        <v>44677</v>
      </c>
      <c r="D1189" s="7" t="n">
        <v>202205</v>
      </c>
      <c r="E1189" s="7" t="inlineStr">
        <is>
          <t>SELL</t>
        </is>
      </c>
      <c r="F1189" s="7" t="inlineStr">
        <is>
          <t>exit</t>
        </is>
      </c>
      <c r="G1189" s="17" t="b">
        <v>1</v>
      </c>
      <c r="H1189" s="6" t="n">
        <v>-143</v>
      </c>
      <c r="I1189" s="13" t="n">
        <v>5</v>
      </c>
      <c r="J1189" s="8">
        <f>OR($F1189="entry",$F1189="roll_in")</f>
        <v/>
      </c>
      <c r="K1189" s="8">
        <f>OR($F1189="exit",$F1189="roll_out")</f>
        <v/>
      </c>
      <c r="L1189" s="8">
        <f>OR(AND($E1189="SELL",$K1189),AND($E1189="BUY",$J1189))</f>
        <v/>
      </c>
      <c r="M1189" s="16">
        <f>((INDEX(Market_Daily!$B$6:$B$256,MATCH($C1189,Market_Daily!$A$6:$A$256,0))*INDEX(Market_Daily!$F$6:$F$256,MATCH($C1189,Market_Daily!$A$6:$A$256,0))/kg_per_mt*(1+bcd_primary_al_hs7601*(1+sws_rate_on_bcd))+mcx_domestic_premium_inr_kg)*(1+INDEX(Market_Daily!$I$6:$I$256,MATCH($C1189,Market_Daily!$A$6:$A$256,0))*MAX(0,INDEX(mcx_expiries,MATCH($D1189,mcx_months,0))-$C1189)/day_count_inr))</f>
        <v/>
      </c>
      <c r="N1189" s="16">
        <f>IF(INDEX(Market_Daily!$S$6:$S$256,MATCH($C1189,Market_Daily!$A$6:$A$256,0))=$D1189,INDEX(Market_Daily!$M$6:$M$256,MATCH($C1189,Market_Daily!$A$6:$A$256,0)),IF(INDEX(Market_Daily!$T$6:$T$256,MATCH($C1189,Market_Daily!$A$6:$A$256,0))=$D1189,INDEX(Market_Daily!$N$6:$N$256,MATCH($C1189,Market_Daily!$A$6:$A$256,0)),NA()))</f>
        <v/>
      </c>
      <c r="O1189" s="16">
        <f>$N1189-$M1189</f>
        <v/>
      </c>
      <c r="P1189" s="16">
        <f>IF(($B1188=$B1189),$M1188,"")</f>
        <v/>
      </c>
      <c r="Q1189" s="16">
        <f>$M1189+IF($L1189,1,-1)*mcx_slippage_ticks*mcx_al_tick_inr_kg</f>
        <v/>
      </c>
      <c r="R1189" s="18">
        <f>IF(($B1188=$B1189),$H1189*$I1189*kg_per_mt*($M1189-$M1188),0)</f>
        <v/>
      </c>
      <c r="S1189" s="18">
        <f>IF(($B1188=$B1189),$S1188,0)+$R1189</f>
        <v/>
      </c>
      <c r="T1189" s="18">
        <f>ABS($H1189)*$I1189*kg_per_mt*$M1189</f>
        <v/>
      </c>
      <c r="U1189" s="18">
        <f>IF($K1189,0,$T1189*mcx_al_margin_used_frac)</f>
        <v/>
      </c>
      <c r="V1189" s="18">
        <f>IF(($B1188=$B1189),$U1188,0)</f>
        <v/>
      </c>
      <c r="W1189" s="18">
        <f>$U1189-$V1189</f>
        <v/>
      </c>
      <c r="X1189" s="18">
        <f>IF($K1189,0,$T1189*0.12)</f>
        <v/>
      </c>
      <c r="Y1189" s="18">
        <f>IF($K1189,0,$T1189*0.15)</f>
        <v/>
      </c>
      <c r="Z1189" s="18">
        <f>IF($F1189="hold",0,-ABS($H1189)*$I1189*kg_per_mt*mcx_slippage_ticks*mcx_al_tick_inr_kg)</f>
        <v/>
      </c>
      <c r="AA1189" s="18">
        <f>IF($F1189="hold",0,-ABS($H1189)*$I1189*kg_per_mt*$Q1189*mcx_txn_cost_frac)</f>
        <v/>
      </c>
      <c r="AB1189" s="18">
        <f>$Z1189+$AA1189</f>
        <v/>
      </c>
      <c r="AC1189" s="18">
        <f>$R1189-$W1189+$AB1189</f>
        <v/>
      </c>
      <c r="AD1189" s="18">
        <f>IF(($B1188=$B1189),$AD1188,0)+$AC1189</f>
        <v/>
      </c>
      <c r="AE1189" s="23" t="n">
        <v>-627343.1899999999</v>
      </c>
      <c r="AF1189" s="23" t="n">
        <v>0</v>
      </c>
      <c r="AG1189" s="23" t="n">
        <v>-126886.37</v>
      </c>
      <c r="AH1189" s="23" t="n">
        <v>17638008.05</v>
      </c>
      <c r="AI1189" s="23" t="n">
        <v>-2697.6</v>
      </c>
      <c r="AJ1189" s="18">
        <f>$R1189-$AE1189</f>
        <v/>
      </c>
      <c r="AK1189" s="18">
        <f>$U1189-$AF1189</f>
        <v/>
      </c>
      <c r="AL1189" s="18">
        <f>$AC1189-$AH1189</f>
        <v/>
      </c>
      <c r="AM1189" s="8">
        <f>IF(AND(ABS($AJ1189)&lt;=tol_mcx_inr,ABS($AK1189)&lt;=tol_mcx_inr,ABS($AL1189)&lt;=tol_mcx_inr),"PASS","FAIL")</f>
        <v/>
      </c>
    </row>
    <row r="1190">
      <c r="A1190" s="7" t="inlineStr">
        <is>
          <t>T04</t>
        </is>
      </c>
      <c r="B1190" s="7" t="inlineStr">
        <is>
          <t>T04-MCX-1</t>
        </is>
      </c>
      <c r="C1190" s="11" t="n">
        <v>44657</v>
      </c>
      <c r="D1190" s="7" t="n">
        <v>202204</v>
      </c>
      <c r="E1190" s="7" t="inlineStr">
        <is>
          <t>SELL</t>
        </is>
      </c>
      <c r="F1190" s="7" t="inlineStr">
        <is>
          <t>entry</t>
        </is>
      </c>
      <c r="G1190" s="17" t="b">
        <v>1</v>
      </c>
      <c r="H1190" s="6" t="n">
        <v>-87</v>
      </c>
      <c r="I1190" s="13" t="n">
        <v>5</v>
      </c>
      <c r="J1190" s="8">
        <f>OR($F1190="entry",$F1190="roll_in")</f>
        <v/>
      </c>
      <c r="K1190" s="8">
        <f>OR($F1190="exit",$F1190="roll_out")</f>
        <v/>
      </c>
      <c r="L1190" s="8">
        <f>OR(AND($E1190="SELL",$K1190),AND($E1190="BUY",$J1190))</f>
        <v/>
      </c>
      <c r="M1190" s="16">
        <f>((INDEX(Market_Daily!$B$6:$B$256,MATCH($C1190,Market_Daily!$A$6:$A$256,0))*INDEX(Market_Daily!$F$6:$F$256,MATCH($C1190,Market_Daily!$A$6:$A$256,0))/kg_per_mt*(1+bcd_primary_al_hs7601*(1+sws_rate_on_bcd))+mcx_domestic_premium_inr_kg)*(1+INDEX(Market_Daily!$I$6:$I$256,MATCH($C1190,Market_Daily!$A$6:$A$256,0))*MAX(0,INDEX(mcx_expiries,MATCH($D1190,mcx_months,0))-$C1190)/day_count_inr))</f>
        <v/>
      </c>
      <c r="N1190" s="16">
        <f>IF(INDEX(Market_Daily!$S$6:$S$256,MATCH($C1190,Market_Daily!$A$6:$A$256,0))=$D1190,INDEX(Market_Daily!$M$6:$M$256,MATCH($C1190,Market_Daily!$A$6:$A$256,0)),IF(INDEX(Market_Daily!$T$6:$T$256,MATCH($C1190,Market_Daily!$A$6:$A$256,0))=$D1190,INDEX(Market_Daily!$N$6:$N$256,MATCH($C1190,Market_Daily!$A$6:$A$256,0)),NA()))</f>
        <v/>
      </c>
      <c r="O1190" s="16">
        <f>$N1190-$M1190</f>
        <v/>
      </c>
      <c r="P1190" s="16">
        <f>IF(($B1189=$B1190),$M1189,"")</f>
        <v/>
      </c>
      <c r="Q1190" s="16">
        <f>$M1190+IF($L1190,1,-1)*mcx_slippage_ticks*mcx_al_tick_inr_kg</f>
        <v/>
      </c>
      <c r="R1190" s="18">
        <f>IF(($B1189=$B1190),$H1190*$I1190*kg_per_mt*($M1190-$M1189),0)</f>
        <v/>
      </c>
      <c r="S1190" s="18">
        <f>IF(($B1189=$B1190),$S1189,0)+$R1190</f>
        <v/>
      </c>
      <c r="T1190" s="18">
        <f>ABS($H1190)*$I1190*kg_per_mt*$M1190</f>
        <v/>
      </c>
      <c r="U1190" s="18">
        <f>IF($K1190,0,$T1190*mcx_al_margin_used_frac)</f>
        <v/>
      </c>
      <c r="V1190" s="18">
        <f>IF(($B1189=$B1190),$U1189,0)</f>
        <v/>
      </c>
      <c r="W1190" s="18">
        <f>$U1190-$V1190</f>
        <v/>
      </c>
      <c r="X1190" s="18">
        <f>IF($K1190,0,$T1190*0.12)</f>
        <v/>
      </c>
      <c r="Y1190" s="18">
        <f>IF($K1190,0,$T1190*0.15)</f>
        <v/>
      </c>
      <c r="Z1190" s="18">
        <f>IF($F1190="hold",0,-ABS($H1190)*$I1190*kg_per_mt*mcx_slippage_ticks*mcx_al_tick_inr_kg)</f>
        <v/>
      </c>
      <c r="AA1190" s="18">
        <f>IF($F1190="hold",0,-ABS($H1190)*$I1190*kg_per_mt*$Q1190*mcx_txn_cost_frac)</f>
        <v/>
      </c>
      <c r="AB1190" s="18">
        <f>$Z1190+$AA1190</f>
        <v/>
      </c>
      <c r="AC1190" s="18">
        <f>$R1190-$W1190+$AB1190</f>
        <v/>
      </c>
      <c r="AD1190" s="18">
        <f>IF(($B1189=$B1190),$AD1189,0)+$AC1190</f>
        <v/>
      </c>
      <c r="AE1190" s="23" t="n">
        <v>0</v>
      </c>
      <c r="AF1190" s="23" t="n">
        <v>12327038.17</v>
      </c>
      <c r="AG1190" s="23" t="n">
        <v>-80468.06</v>
      </c>
      <c r="AH1190" s="23" t="n">
        <v>-12407506.23</v>
      </c>
      <c r="AI1190" s="23" t="n">
        <v>0</v>
      </c>
      <c r="AJ1190" s="18">
        <f>$R1190-$AE1190</f>
        <v/>
      </c>
      <c r="AK1190" s="18">
        <f>$U1190-$AF1190</f>
        <v/>
      </c>
      <c r="AL1190" s="18">
        <f>$AC1190-$AH1190</f>
        <v/>
      </c>
      <c r="AM1190" s="8">
        <f>IF(AND(ABS($AJ1190)&lt;=tol_mcx_inr,ABS($AK1190)&lt;=tol_mcx_inr,ABS($AL1190)&lt;=tol_mcx_inr),"PASS","FAIL")</f>
        <v/>
      </c>
    </row>
    <row r="1191">
      <c r="A1191" s="7" t="inlineStr">
        <is>
          <t>T04</t>
        </is>
      </c>
      <c r="B1191" s="7" t="inlineStr">
        <is>
          <t>T04-MCX-1</t>
        </is>
      </c>
      <c r="C1191" s="11" t="n">
        <v>44658</v>
      </c>
      <c r="D1191" s="7" t="n">
        <v>202204</v>
      </c>
      <c r="E1191" s="7" t="inlineStr">
        <is>
          <t>SELL</t>
        </is>
      </c>
      <c r="F1191" s="7" t="inlineStr">
        <is>
          <t>hold</t>
        </is>
      </c>
      <c r="G1191" s="17" t="b">
        <v>1</v>
      </c>
      <c r="H1191" s="6" t="n">
        <v>-87</v>
      </c>
      <c r="I1191" s="13" t="n">
        <v>5</v>
      </c>
      <c r="J1191" s="8">
        <f>OR($F1191="entry",$F1191="roll_in")</f>
        <v/>
      </c>
      <c r="K1191" s="8">
        <f>OR($F1191="exit",$F1191="roll_out")</f>
        <v/>
      </c>
      <c r="L1191" s="8">
        <f>OR(AND($E1191="SELL",$K1191),AND($E1191="BUY",$J1191))</f>
        <v/>
      </c>
      <c r="M1191" s="16">
        <f>((INDEX(Market_Daily!$B$6:$B$256,MATCH($C1191,Market_Daily!$A$6:$A$256,0))*INDEX(Market_Daily!$F$6:$F$256,MATCH($C1191,Market_Daily!$A$6:$A$256,0))/kg_per_mt*(1+bcd_primary_al_hs7601*(1+sws_rate_on_bcd))+mcx_domestic_premium_inr_kg)*(1+INDEX(Market_Daily!$I$6:$I$256,MATCH($C1191,Market_Daily!$A$6:$A$256,0))*MAX(0,INDEX(mcx_expiries,MATCH($D1191,mcx_months,0))-$C1191)/day_count_inr))</f>
        <v/>
      </c>
      <c r="N1191" s="16">
        <f>IF(INDEX(Market_Daily!$S$6:$S$256,MATCH($C1191,Market_Daily!$A$6:$A$256,0))=$D1191,INDEX(Market_Daily!$M$6:$M$256,MATCH($C1191,Market_Daily!$A$6:$A$256,0)),IF(INDEX(Market_Daily!$T$6:$T$256,MATCH($C1191,Market_Daily!$A$6:$A$256,0))=$D1191,INDEX(Market_Daily!$N$6:$N$256,MATCH($C1191,Market_Daily!$A$6:$A$256,0)),NA()))</f>
        <v/>
      </c>
      <c r="O1191" s="16">
        <f>$N1191-$M1191</f>
        <v/>
      </c>
      <c r="P1191" s="16">
        <f>IF(($B1190=$B1191),$M1190,"")</f>
        <v/>
      </c>
      <c r="Q1191" s="16">
        <f>$M1191+IF($L1191,1,-1)*mcx_slippage_ticks*mcx_al_tick_inr_kg</f>
        <v/>
      </c>
      <c r="R1191" s="18">
        <f>IF(($B1190=$B1191),$H1191*$I1191*kg_per_mt*($M1191-$M1190),0)</f>
        <v/>
      </c>
      <c r="S1191" s="18">
        <f>IF(($B1190=$B1191),$S1190,0)+$R1191</f>
        <v/>
      </c>
      <c r="T1191" s="18">
        <f>ABS($H1191)*$I1191*kg_per_mt*$M1191</f>
        <v/>
      </c>
      <c r="U1191" s="18">
        <f>IF($K1191,0,$T1191*mcx_al_margin_used_frac)</f>
        <v/>
      </c>
      <c r="V1191" s="18">
        <f>IF(($B1190=$B1191),$U1190,0)</f>
        <v/>
      </c>
      <c r="W1191" s="18">
        <f>$U1191-$V1191</f>
        <v/>
      </c>
      <c r="X1191" s="18">
        <f>IF($K1191,0,$T1191*0.12)</f>
        <v/>
      </c>
      <c r="Y1191" s="18">
        <f>IF($K1191,0,$T1191*0.15)</f>
        <v/>
      </c>
      <c r="Z1191" s="18">
        <f>IF($F1191="hold",0,-ABS($H1191)*$I1191*kg_per_mt*mcx_slippage_ticks*mcx_al_tick_inr_kg)</f>
        <v/>
      </c>
      <c r="AA1191" s="18">
        <f>IF($F1191="hold",0,-ABS($H1191)*$I1191*kg_per_mt*$Q1191*mcx_txn_cost_frac)</f>
        <v/>
      </c>
      <c r="AB1191" s="18">
        <f>$Z1191+$AA1191</f>
        <v/>
      </c>
      <c r="AC1191" s="18">
        <f>$R1191-$W1191+$AB1191</f>
        <v/>
      </c>
      <c r="AD1191" s="18">
        <f>IF(($B1190=$B1191),$AD1190,0)+$AC1191</f>
        <v/>
      </c>
      <c r="AE1191" s="23" t="n">
        <v>3257570.55</v>
      </c>
      <c r="AF1191" s="23" t="n">
        <v>12001281.11</v>
      </c>
      <c r="AG1191" s="23" t="n">
        <v>0</v>
      </c>
      <c r="AH1191" s="23" t="n">
        <v>3583327.61</v>
      </c>
      <c r="AI1191" s="23" t="n">
        <v>-3229.35</v>
      </c>
      <c r="AJ1191" s="18">
        <f>$R1191-$AE1191</f>
        <v/>
      </c>
      <c r="AK1191" s="18">
        <f>$U1191-$AF1191</f>
        <v/>
      </c>
      <c r="AL1191" s="18">
        <f>$AC1191-$AH1191</f>
        <v/>
      </c>
      <c r="AM1191" s="8">
        <f>IF(AND(ABS($AJ1191)&lt;=tol_mcx_inr,ABS($AK1191)&lt;=tol_mcx_inr,ABS($AL1191)&lt;=tol_mcx_inr),"PASS","FAIL")</f>
        <v/>
      </c>
    </row>
    <row r="1192">
      <c r="A1192" s="7" t="inlineStr">
        <is>
          <t>T04</t>
        </is>
      </c>
      <c r="B1192" s="7" t="inlineStr">
        <is>
          <t>T04-MCX-1</t>
        </is>
      </c>
      <c r="C1192" s="11" t="n">
        <v>44659</v>
      </c>
      <c r="D1192" s="7" t="n">
        <v>202204</v>
      </c>
      <c r="E1192" s="7" t="inlineStr">
        <is>
          <t>SELL</t>
        </is>
      </c>
      <c r="F1192" s="7" t="inlineStr">
        <is>
          <t>hold</t>
        </is>
      </c>
      <c r="G1192" s="17" t="b">
        <v>1</v>
      </c>
      <c r="H1192" s="6" t="n">
        <v>-87</v>
      </c>
      <c r="I1192" s="13" t="n">
        <v>5</v>
      </c>
      <c r="J1192" s="8">
        <f>OR($F1192="entry",$F1192="roll_in")</f>
        <v/>
      </c>
      <c r="K1192" s="8">
        <f>OR($F1192="exit",$F1192="roll_out")</f>
        <v/>
      </c>
      <c r="L1192" s="8">
        <f>OR(AND($E1192="SELL",$K1192),AND($E1192="BUY",$J1192))</f>
        <v/>
      </c>
      <c r="M1192" s="16">
        <f>((INDEX(Market_Daily!$B$6:$B$256,MATCH($C1192,Market_Daily!$A$6:$A$256,0))*INDEX(Market_Daily!$F$6:$F$256,MATCH($C1192,Market_Daily!$A$6:$A$256,0))/kg_per_mt*(1+bcd_primary_al_hs7601*(1+sws_rate_on_bcd))+mcx_domestic_premium_inr_kg)*(1+INDEX(Market_Daily!$I$6:$I$256,MATCH($C1192,Market_Daily!$A$6:$A$256,0))*MAX(0,INDEX(mcx_expiries,MATCH($D1192,mcx_months,0))-$C1192)/day_count_inr))</f>
        <v/>
      </c>
      <c r="N1192" s="16">
        <f>IF(INDEX(Market_Daily!$S$6:$S$256,MATCH($C1192,Market_Daily!$A$6:$A$256,0))=$D1192,INDEX(Market_Daily!$M$6:$M$256,MATCH($C1192,Market_Daily!$A$6:$A$256,0)),IF(INDEX(Market_Daily!$T$6:$T$256,MATCH($C1192,Market_Daily!$A$6:$A$256,0))=$D1192,INDEX(Market_Daily!$N$6:$N$256,MATCH($C1192,Market_Daily!$A$6:$A$256,0)),NA()))</f>
        <v/>
      </c>
      <c r="O1192" s="16">
        <f>$N1192-$M1192</f>
        <v/>
      </c>
      <c r="P1192" s="16">
        <f>IF(($B1191=$B1192),$M1191,"")</f>
        <v/>
      </c>
      <c r="Q1192" s="16">
        <f>$M1192+IF($L1192,1,-1)*mcx_slippage_ticks*mcx_al_tick_inr_kg</f>
        <v/>
      </c>
      <c r="R1192" s="18">
        <f>IF(($B1191=$B1192),$H1192*$I1192*kg_per_mt*($M1192-$M1191),0)</f>
        <v/>
      </c>
      <c r="S1192" s="18">
        <f>IF(($B1191=$B1192),$S1191,0)+$R1192</f>
        <v/>
      </c>
      <c r="T1192" s="18">
        <f>ABS($H1192)*$I1192*kg_per_mt*$M1192</f>
        <v/>
      </c>
      <c r="U1192" s="18">
        <f>IF($K1192,0,$T1192*mcx_al_margin_used_frac)</f>
        <v/>
      </c>
      <c r="V1192" s="18">
        <f>IF(($B1191=$B1192),$U1191,0)</f>
        <v/>
      </c>
      <c r="W1192" s="18">
        <f>$U1192-$V1192</f>
        <v/>
      </c>
      <c r="X1192" s="18">
        <f>IF($K1192,0,$T1192*0.12)</f>
        <v/>
      </c>
      <c r="Y1192" s="18">
        <f>IF($K1192,0,$T1192*0.15)</f>
        <v/>
      </c>
      <c r="Z1192" s="18">
        <f>IF($F1192="hold",0,-ABS($H1192)*$I1192*kg_per_mt*mcx_slippage_ticks*mcx_al_tick_inr_kg)</f>
        <v/>
      </c>
      <c r="AA1192" s="18">
        <f>IF($F1192="hold",0,-ABS($H1192)*$I1192*kg_per_mt*$Q1192*mcx_txn_cost_frac)</f>
        <v/>
      </c>
      <c r="AB1192" s="18">
        <f>$Z1192+$AA1192</f>
        <v/>
      </c>
      <c r="AC1192" s="18">
        <f>$R1192-$W1192+$AB1192</f>
        <v/>
      </c>
      <c r="AD1192" s="18">
        <f>IF(($B1191=$B1192),$AD1191,0)+$AC1192</f>
        <v/>
      </c>
      <c r="AE1192" s="23" t="n">
        <v>-1531983.06</v>
      </c>
      <c r="AF1192" s="23" t="n">
        <v>12154479.42</v>
      </c>
      <c r="AG1192" s="23" t="n">
        <v>0</v>
      </c>
      <c r="AH1192" s="23" t="n">
        <v>-1685181.37</v>
      </c>
      <c r="AI1192" s="23" t="n">
        <v>-2296.7</v>
      </c>
      <c r="AJ1192" s="18">
        <f>$R1192-$AE1192</f>
        <v/>
      </c>
      <c r="AK1192" s="18">
        <f>$U1192-$AF1192</f>
        <v/>
      </c>
      <c r="AL1192" s="18">
        <f>$AC1192-$AH1192</f>
        <v/>
      </c>
      <c r="AM1192" s="8">
        <f>IF(AND(ABS($AJ1192)&lt;=tol_mcx_inr,ABS($AK1192)&lt;=tol_mcx_inr,ABS($AL1192)&lt;=tol_mcx_inr),"PASS","FAIL")</f>
        <v/>
      </c>
    </row>
    <row r="1193">
      <c r="A1193" s="7" t="inlineStr">
        <is>
          <t>T04</t>
        </is>
      </c>
      <c r="B1193" s="7" t="inlineStr">
        <is>
          <t>T04-MCX-1</t>
        </is>
      </c>
      <c r="C1193" s="11" t="n">
        <v>44662</v>
      </c>
      <c r="D1193" s="7" t="n">
        <v>202204</v>
      </c>
      <c r="E1193" s="7" t="inlineStr">
        <is>
          <t>SELL</t>
        </is>
      </c>
      <c r="F1193" s="7" t="inlineStr">
        <is>
          <t>hold</t>
        </is>
      </c>
      <c r="G1193" s="17" t="b">
        <v>1</v>
      </c>
      <c r="H1193" s="6" t="n">
        <v>-87</v>
      </c>
      <c r="I1193" s="13" t="n">
        <v>5</v>
      </c>
      <c r="J1193" s="8">
        <f>OR($F1193="entry",$F1193="roll_in")</f>
        <v/>
      </c>
      <c r="K1193" s="8">
        <f>OR($F1193="exit",$F1193="roll_out")</f>
        <v/>
      </c>
      <c r="L1193" s="8">
        <f>OR(AND($E1193="SELL",$K1193),AND($E1193="BUY",$J1193))</f>
        <v/>
      </c>
      <c r="M1193" s="16">
        <f>((INDEX(Market_Daily!$B$6:$B$256,MATCH($C1193,Market_Daily!$A$6:$A$256,0))*INDEX(Market_Daily!$F$6:$F$256,MATCH($C1193,Market_Daily!$A$6:$A$256,0))/kg_per_mt*(1+bcd_primary_al_hs7601*(1+sws_rate_on_bcd))+mcx_domestic_premium_inr_kg)*(1+INDEX(Market_Daily!$I$6:$I$256,MATCH($C1193,Market_Daily!$A$6:$A$256,0))*MAX(0,INDEX(mcx_expiries,MATCH($D1193,mcx_months,0))-$C1193)/day_count_inr))</f>
        <v/>
      </c>
      <c r="N1193" s="16">
        <f>IF(INDEX(Market_Daily!$S$6:$S$256,MATCH($C1193,Market_Daily!$A$6:$A$256,0))=$D1193,INDEX(Market_Daily!$M$6:$M$256,MATCH($C1193,Market_Daily!$A$6:$A$256,0)),IF(INDEX(Market_Daily!$T$6:$T$256,MATCH($C1193,Market_Daily!$A$6:$A$256,0))=$D1193,INDEX(Market_Daily!$N$6:$N$256,MATCH($C1193,Market_Daily!$A$6:$A$256,0)),NA()))</f>
        <v/>
      </c>
      <c r="O1193" s="16">
        <f>$N1193-$M1193</f>
        <v/>
      </c>
      <c r="P1193" s="16">
        <f>IF(($B1192=$B1193),$M1192,"")</f>
        <v/>
      </c>
      <c r="Q1193" s="16">
        <f>$M1193+IF($L1193,1,-1)*mcx_slippage_ticks*mcx_al_tick_inr_kg</f>
        <v/>
      </c>
      <c r="R1193" s="18">
        <f>IF(($B1192=$B1193),$H1193*$I1193*kg_per_mt*($M1193-$M1192),0)</f>
        <v/>
      </c>
      <c r="S1193" s="18">
        <f>IF(($B1192=$B1193),$S1192,0)+$R1193</f>
        <v/>
      </c>
      <c r="T1193" s="18">
        <f>ABS($H1193)*$I1193*kg_per_mt*$M1193</f>
        <v/>
      </c>
      <c r="U1193" s="18">
        <f>IF($K1193,0,$T1193*mcx_al_margin_used_frac)</f>
        <v/>
      </c>
      <c r="V1193" s="18">
        <f>IF(($B1192=$B1193),$U1192,0)</f>
        <v/>
      </c>
      <c r="W1193" s="18">
        <f>$U1193-$V1193</f>
        <v/>
      </c>
      <c r="X1193" s="18">
        <f>IF($K1193,0,$T1193*0.12)</f>
        <v/>
      </c>
      <c r="Y1193" s="18">
        <f>IF($K1193,0,$T1193*0.15)</f>
        <v/>
      </c>
      <c r="Z1193" s="18">
        <f>IF($F1193="hold",0,-ABS($H1193)*$I1193*kg_per_mt*mcx_slippage_ticks*mcx_al_tick_inr_kg)</f>
        <v/>
      </c>
      <c r="AA1193" s="18">
        <f>IF($F1193="hold",0,-ABS($H1193)*$I1193*kg_per_mt*$Q1193*mcx_txn_cost_frac)</f>
        <v/>
      </c>
      <c r="AB1193" s="18">
        <f>$Z1193+$AA1193</f>
        <v/>
      </c>
      <c r="AC1193" s="18">
        <f>$R1193-$W1193+$AB1193</f>
        <v/>
      </c>
      <c r="AD1193" s="18">
        <f>IF(($B1192=$B1193),$AD1192,0)+$AC1193</f>
        <v/>
      </c>
      <c r="AE1193" s="23" t="n">
        <v>5750241.98</v>
      </c>
      <c r="AF1193" s="23" t="n">
        <v>11579455.22</v>
      </c>
      <c r="AG1193" s="23" t="n">
        <v>0</v>
      </c>
      <c r="AH1193" s="23" t="n">
        <v>6325266.18</v>
      </c>
      <c r="AI1193" s="23" t="n">
        <v>-8205.940000000001</v>
      </c>
      <c r="AJ1193" s="18">
        <f>$R1193-$AE1193</f>
        <v/>
      </c>
      <c r="AK1193" s="18">
        <f>$U1193-$AF1193</f>
        <v/>
      </c>
      <c r="AL1193" s="18">
        <f>$AC1193-$AH1193</f>
        <v/>
      </c>
      <c r="AM1193" s="8">
        <f>IF(AND(ABS($AJ1193)&lt;=tol_mcx_inr,ABS($AK1193)&lt;=tol_mcx_inr,ABS($AL1193)&lt;=tol_mcx_inr),"PASS","FAIL")</f>
        <v/>
      </c>
    </row>
    <row r="1194">
      <c r="A1194" s="7" t="inlineStr">
        <is>
          <t>T04</t>
        </is>
      </c>
      <c r="B1194" s="7" t="inlineStr">
        <is>
          <t>T04-MCX-1</t>
        </is>
      </c>
      <c r="C1194" s="11" t="n">
        <v>44663</v>
      </c>
      <c r="D1194" s="7" t="n">
        <v>202204</v>
      </c>
      <c r="E1194" s="7" t="inlineStr">
        <is>
          <t>SELL</t>
        </is>
      </c>
      <c r="F1194" s="7" t="inlineStr">
        <is>
          <t>hold</t>
        </is>
      </c>
      <c r="G1194" s="17" t="b">
        <v>1</v>
      </c>
      <c r="H1194" s="6" t="n">
        <v>-87</v>
      </c>
      <c r="I1194" s="13" t="n">
        <v>5</v>
      </c>
      <c r="J1194" s="8">
        <f>OR($F1194="entry",$F1194="roll_in")</f>
        <v/>
      </c>
      <c r="K1194" s="8">
        <f>OR($F1194="exit",$F1194="roll_out")</f>
        <v/>
      </c>
      <c r="L1194" s="8">
        <f>OR(AND($E1194="SELL",$K1194),AND($E1194="BUY",$J1194))</f>
        <v/>
      </c>
      <c r="M1194" s="16">
        <f>((INDEX(Market_Daily!$B$6:$B$256,MATCH($C1194,Market_Daily!$A$6:$A$256,0))*INDEX(Market_Daily!$F$6:$F$256,MATCH($C1194,Market_Daily!$A$6:$A$256,0))/kg_per_mt*(1+bcd_primary_al_hs7601*(1+sws_rate_on_bcd))+mcx_domestic_premium_inr_kg)*(1+INDEX(Market_Daily!$I$6:$I$256,MATCH($C1194,Market_Daily!$A$6:$A$256,0))*MAX(0,INDEX(mcx_expiries,MATCH($D1194,mcx_months,0))-$C1194)/day_count_inr))</f>
        <v/>
      </c>
      <c r="N1194" s="16">
        <f>IF(INDEX(Market_Daily!$S$6:$S$256,MATCH($C1194,Market_Daily!$A$6:$A$256,0))=$D1194,INDEX(Market_Daily!$M$6:$M$256,MATCH($C1194,Market_Daily!$A$6:$A$256,0)),IF(INDEX(Market_Daily!$T$6:$T$256,MATCH($C1194,Market_Daily!$A$6:$A$256,0))=$D1194,INDEX(Market_Daily!$N$6:$N$256,MATCH($C1194,Market_Daily!$A$6:$A$256,0)),NA()))</f>
        <v/>
      </c>
      <c r="O1194" s="16">
        <f>$N1194-$M1194</f>
        <v/>
      </c>
      <c r="P1194" s="16">
        <f>IF(($B1193=$B1194),$M1193,"")</f>
        <v/>
      </c>
      <c r="Q1194" s="16">
        <f>$M1194+IF($L1194,1,-1)*mcx_slippage_ticks*mcx_al_tick_inr_kg</f>
        <v/>
      </c>
      <c r="R1194" s="18">
        <f>IF(($B1193=$B1194),$H1194*$I1194*kg_per_mt*($M1194-$M1193),0)</f>
        <v/>
      </c>
      <c r="S1194" s="18">
        <f>IF(($B1193=$B1194),$S1193,0)+$R1194</f>
        <v/>
      </c>
      <c r="T1194" s="18">
        <f>ABS($H1194)*$I1194*kg_per_mt*$M1194</f>
        <v/>
      </c>
      <c r="U1194" s="18">
        <f>IF($K1194,0,$T1194*mcx_al_margin_used_frac)</f>
        <v/>
      </c>
      <c r="V1194" s="18">
        <f>IF(($B1193=$B1194),$U1193,0)</f>
        <v/>
      </c>
      <c r="W1194" s="18">
        <f>$U1194-$V1194</f>
        <v/>
      </c>
      <c r="X1194" s="18">
        <f>IF($K1194,0,$T1194*0.12)</f>
        <v/>
      </c>
      <c r="Y1194" s="18">
        <f>IF($K1194,0,$T1194*0.15)</f>
        <v/>
      </c>
      <c r="Z1194" s="18">
        <f>IF($F1194="hold",0,-ABS($H1194)*$I1194*kg_per_mt*mcx_slippage_ticks*mcx_al_tick_inr_kg)</f>
        <v/>
      </c>
      <c r="AA1194" s="18">
        <f>IF($F1194="hold",0,-ABS($H1194)*$I1194*kg_per_mt*$Q1194*mcx_txn_cost_frac)</f>
        <v/>
      </c>
      <c r="AB1194" s="18">
        <f>$Z1194+$AA1194</f>
        <v/>
      </c>
      <c r="AC1194" s="18">
        <f>$R1194-$W1194+$AB1194</f>
        <v/>
      </c>
      <c r="AD1194" s="18">
        <f>IF(($B1193=$B1194),$AD1193,0)+$AC1194</f>
        <v/>
      </c>
      <c r="AE1194" s="23" t="n">
        <v>287369.77</v>
      </c>
      <c r="AF1194" s="23" t="n">
        <v>11550718.24</v>
      </c>
      <c r="AG1194" s="23" t="n">
        <v>0</v>
      </c>
      <c r="AH1194" s="23" t="n">
        <v>316106.74</v>
      </c>
      <c r="AI1194" s="23" t="n">
        <v>-1089.01</v>
      </c>
      <c r="AJ1194" s="18">
        <f>$R1194-$AE1194</f>
        <v/>
      </c>
      <c r="AK1194" s="18">
        <f>$U1194-$AF1194</f>
        <v/>
      </c>
      <c r="AL1194" s="18">
        <f>$AC1194-$AH1194</f>
        <v/>
      </c>
      <c r="AM1194" s="8">
        <f>IF(AND(ABS($AJ1194)&lt;=tol_mcx_inr,ABS($AK1194)&lt;=tol_mcx_inr,ABS($AL1194)&lt;=tol_mcx_inr),"PASS","FAIL")</f>
        <v/>
      </c>
    </row>
    <row r="1195">
      <c r="A1195" s="7" t="inlineStr">
        <is>
          <t>T04</t>
        </is>
      </c>
      <c r="B1195" s="7" t="inlineStr">
        <is>
          <t>T04-MCX-1</t>
        </is>
      </c>
      <c r="C1195" s="11" t="n">
        <v>44664</v>
      </c>
      <c r="D1195" s="7" t="n">
        <v>202204</v>
      </c>
      <c r="E1195" s="7" t="inlineStr">
        <is>
          <t>SELL</t>
        </is>
      </c>
      <c r="F1195" s="7" t="inlineStr">
        <is>
          <t>hold</t>
        </is>
      </c>
      <c r="G1195" s="17" t="b">
        <v>1</v>
      </c>
      <c r="H1195" s="6" t="n">
        <v>-87</v>
      </c>
      <c r="I1195" s="13" t="n">
        <v>5</v>
      </c>
      <c r="J1195" s="8">
        <f>OR($F1195="entry",$F1195="roll_in")</f>
        <v/>
      </c>
      <c r="K1195" s="8">
        <f>OR($F1195="exit",$F1195="roll_out")</f>
        <v/>
      </c>
      <c r="L1195" s="8">
        <f>OR(AND($E1195="SELL",$K1195),AND($E1195="BUY",$J1195))</f>
        <v/>
      </c>
      <c r="M1195" s="16">
        <f>((INDEX(Market_Daily!$B$6:$B$256,MATCH($C1195,Market_Daily!$A$6:$A$256,0))*INDEX(Market_Daily!$F$6:$F$256,MATCH($C1195,Market_Daily!$A$6:$A$256,0))/kg_per_mt*(1+bcd_primary_al_hs7601*(1+sws_rate_on_bcd))+mcx_domestic_premium_inr_kg)*(1+INDEX(Market_Daily!$I$6:$I$256,MATCH($C1195,Market_Daily!$A$6:$A$256,0))*MAX(0,INDEX(mcx_expiries,MATCH($D1195,mcx_months,0))-$C1195)/day_count_inr))</f>
        <v/>
      </c>
      <c r="N1195" s="16">
        <f>IF(INDEX(Market_Daily!$S$6:$S$256,MATCH($C1195,Market_Daily!$A$6:$A$256,0))=$D1195,INDEX(Market_Daily!$M$6:$M$256,MATCH($C1195,Market_Daily!$A$6:$A$256,0)),IF(INDEX(Market_Daily!$T$6:$T$256,MATCH($C1195,Market_Daily!$A$6:$A$256,0))=$D1195,INDEX(Market_Daily!$N$6:$N$256,MATCH($C1195,Market_Daily!$A$6:$A$256,0)),NA()))</f>
        <v/>
      </c>
      <c r="O1195" s="16">
        <f>$N1195-$M1195</f>
        <v/>
      </c>
      <c r="P1195" s="16">
        <f>IF(($B1194=$B1195),$M1194,"")</f>
        <v/>
      </c>
      <c r="Q1195" s="16">
        <f>$M1195+IF($L1195,1,-1)*mcx_slippage_ticks*mcx_al_tick_inr_kg</f>
        <v/>
      </c>
      <c r="R1195" s="18">
        <f>IF(($B1194=$B1195),$H1195*$I1195*kg_per_mt*($M1195-$M1194),0)</f>
        <v/>
      </c>
      <c r="S1195" s="18">
        <f>IF(($B1194=$B1195),$S1194,0)+$R1195</f>
        <v/>
      </c>
      <c r="T1195" s="18">
        <f>ABS($H1195)*$I1195*kg_per_mt*$M1195</f>
        <v/>
      </c>
      <c r="U1195" s="18">
        <f>IF($K1195,0,$T1195*mcx_al_margin_used_frac)</f>
        <v/>
      </c>
      <c r="V1195" s="18">
        <f>IF(($B1194=$B1195),$U1194,0)</f>
        <v/>
      </c>
      <c r="W1195" s="18">
        <f>$U1195-$V1195</f>
        <v/>
      </c>
      <c r="X1195" s="18">
        <f>IF($K1195,0,$T1195*0.12)</f>
        <v/>
      </c>
      <c r="Y1195" s="18">
        <f>IF($K1195,0,$T1195*0.15)</f>
        <v/>
      </c>
      <c r="Z1195" s="18">
        <f>IF($F1195="hold",0,-ABS($H1195)*$I1195*kg_per_mt*mcx_slippage_ticks*mcx_al_tick_inr_kg)</f>
        <v/>
      </c>
      <c r="AA1195" s="18">
        <f>IF($F1195="hold",0,-ABS($H1195)*$I1195*kg_per_mt*$Q1195*mcx_txn_cost_frac)</f>
        <v/>
      </c>
      <c r="AB1195" s="18">
        <f>$Z1195+$AA1195</f>
        <v/>
      </c>
      <c r="AC1195" s="18">
        <f>$R1195-$W1195+$AB1195</f>
        <v/>
      </c>
      <c r="AD1195" s="18">
        <f>IF(($B1194=$B1195),$AD1194,0)+$AC1195</f>
        <v/>
      </c>
      <c r="AE1195" s="23" t="n">
        <v>259330</v>
      </c>
      <c r="AF1195" s="23" t="n">
        <v>11524785.24</v>
      </c>
      <c r="AG1195" s="23" t="n">
        <v>0</v>
      </c>
      <c r="AH1195" s="23" t="n">
        <v>285263</v>
      </c>
      <c r="AI1195" s="23" t="n">
        <v>-1006.74</v>
      </c>
      <c r="AJ1195" s="18">
        <f>$R1195-$AE1195</f>
        <v/>
      </c>
      <c r="AK1195" s="18">
        <f>$U1195-$AF1195</f>
        <v/>
      </c>
      <c r="AL1195" s="18">
        <f>$AC1195-$AH1195</f>
        <v/>
      </c>
      <c r="AM1195" s="8">
        <f>IF(AND(ABS($AJ1195)&lt;=tol_mcx_inr,ABS($AK1195)&lt;=tol_mcx_inr,ABS($AL1195)&lt;=tol_mcx_inr),"PASS","FAIL")</f>
        <v/>
      </c>
    </row>
    <row r="1196">
      <c r="A1196" s="7" t="inlineStr">
        <is>
          <t>T04</t>
        </is>
      </c>
      <c r="B1196" s="7" t="inlineStr">
        <is>
          <t>T04-MCX-1</t>
        </is>
      </c>
      <c r="C1196" s="11" t="n">
        <v>44665</v>
      </c>
      <c r="D1196" s="7" t="n">
        <v>202204</v>
      </c>
      <c r="E1196" s="7" t="inlineStr">
        <is>
          <t>SELL</t>
        </is>
      </c>
      <c r="F1196" s="7" t="inlineStr">
        <is>
          <t>hold</t>
        </is>
      </c>
      <c r="G1196" s="17" t="b">
        <v>1</v>
      </c>
      <c r="H1196" s="6" t="n">
        <v>-87</v>
      </c>
      <c r="I1196" s="13" t="n">
        <v>5</v>
      </c>
      <c r="J1196" s="8">
        <f>OR($F1196="entry",$F1196="roll_in")</f>
        <v/>
      </c>
      <c r="K1196" s="8">
        <f>OR($F1196="exit",$F1196="roll_out")</f>
        <v/>
      </c>
      <c r="L1196" s="8">
        <f>OR(AND($E1196="SELL",$K1196),AND($E1196="BUY",$J1196))</f>
        <v/>
      </c>
      <c r="M1196" s="16">
        <f>((INDEX(Market_Daily!$B$6:$B$256,MATCH($C1196,Market_Daily!$A$6:$A$256,0))*INDEX(Market_Daily!$F$6:$F$256,MATCH($C1196,Market_Daily!$A$6:$A$256,0))/kg_per_mt*(1+bcd_primary_al_hs7601*(1+sws_rate_on_bcd))+mcx_domestic_premium_inr_kg)*(1+INDEX(Market_Daily!$I$6:$I$256,MATCH($C1196,Market_Daily!$A$6:$A$256,0))*MAX(0,INDEX(mcx_expiries,MATCH($D1196,mcx_months,0))-$C1196)/day_count_inr))</f>
        <v/>
      </c>
      <c r="N1196" s="16">
        <f>IF(INDEX(Market_Daily!$S$6:$S$256,MATCH($C1196,Market_Daily!$A$6:$A$256,0))=$D1196,INDEX(Market_Daily!$M$6:$M$256,MATCH($C1196,Market_Daily!$A$6:$A$256,0)),IF(INDEX(Market_Daily!$T$6:$T$256,MATCH($C1196,Market_Daily!$A$6:$A$256,0))=$D1196,INDEX(Market_Daily!$N$6:$N$256,MATCH($C1196,Market_Daily!$A$6:$A$256,0)),NA()))</f>
        <v/>
      </c>
      <c r="O1196" s="16">
        <f>$N1196-$M1196</f>
        <v/>
      </c>
      <c r="P1196" s="16">
        <f>IF(($B1195=$B1196),$M1195,"")</f>
        <v/>
      </c>
      <c r="Q1196" s="16">
        <f>$M1196+IF($L1196,1,-1)*mcx_slippage_ticks*mcx_al_tick_inr_kg</f>
        <v/>
      </c>
      <c r="R1196" s="18">
        <f>IF(($B1195=$B1196),$H1196*$I1196*kg_per_mt*($M1196-$M1195),0)</f>
        <v/>
      </c>
      <c r="S1196" s="18">
        <f>IF(($B1195=$B1196),$S1195,0)+$R1196</f>
        <v/>
      </c>
      <c r="T1196" s="18">
        <f>ABS($H1196)*$I1196*kg_per_mt*$M1196</f>
        <v/>
      </c>
      <c r="U1196" s="18">
        <f>IF($K1196,0,$T1196*mcx_al_margin_used_frac)</f>
        <v/>
      </c>
      <c r="V1196" s="18">
        <f>IF(($B1195=$B1196),$U1195,0)</f>
        <v/>
      </c>
      <c r="W1196" s="18">
        <f>$U1196-$V1196</f>
        <v/>
      </c>
      <c r="X1196" s="18">
        <f>IF($K1196,0,$T1196*0.12)</f>
        <v/>
      </c>
      <c r="Y1196" s="18">
        <f>IF($K1196,0,$T1196*0.15)</f>
        <v/>
      </c>
      <c r="Z1196" s="18">
        <f>IF($F1196="hold",0,-ABS($H1196)*$I1196*kg_per_mt*mcx_slippage_ticks*mcx_al_tick_inr_kg)</f>
        <v/>
      </c>
      <c r="AA1196" s="18">
        <f>IF($F1196="hold",0,-ABS($H1196)*$I1196*kg_per_mt*$Q1196*mcx_txn_cost_frac)</f>
        <v/>
      </c>
      <c r="AB1196" s="18">
        <f>$Z1196+$AA1196</f>
        <v/>
      </c>
      <c r="AC1196" s="18">
        <f>$R1196-$W1196+$AB1196</f>
        <v/>
      </c>
      <c r="AD1196" s="18">
        <f>IF(($B1195=$B1196),$AD1195,0)+$AC1196</f>
        <v/>
      </c>
      <c r="AE1196" s="23" t="n">
        <v>-999126.65</v>
      </c>
      <c r="AF1196" s="23" t="n">
        <v>11624697.91</v>
      </c>
      <c r="AG1196" s="23" t="n">
        <v>0</v>
      </c>
      <c r="AH1196" s="23" t="n">
        <v>-1099039.32</v>
      </c>
      <c r="AI1196" s="23" t="n">
        <v>-932.49</v>
      </c>
      <c r="AJ1196" s="18">
        <f>$R1196-$AE1196</f>
        <v/>
      </c>
      <c r="AK1196" s="18">
        <f>$U1196-$AF1196</f>
        <v/>
      </c>
      <c r="AL1196" s="18">
        <f>$AC1196-$AH1196</f>
        <v/>
      </c>
      <c r="AM1196" s="8">
        <f>IF(AND(ABS($AJ1196)&lt;=tol_mcx_inr,ABS($AK1196)&lt;=tol_mcx_inr,ABS($AL1196)&lt;=tol_mcx_inr),"PASS","FAIL")</f>
        <v/>
      </c>
    </row>
    <row r="1197">
      <c r="A1197" s="7" t="inlineStr">
        <is>
          <t>T04</t>
        </is>
      </c>
      <c r="B1197" s="7" t="inlineStr">
        <is>
          <t>T04-MCX-1</t>
        </is>
      </c>
      <c r="C1197" s="11" t="n">
        <v>44670</v>
      </c>
      <c r="D1197" s="7" t="n">
        <v>202204</v>
      </c>
      <c r="E1197" s="7" t="inlineStr">
        <is>
          <t>SELL</t>
        </is>
      </c>
      <c r="F1197" s="7" t="inlineStr">
        <is>
          <t>hold</t>
        </is>
      </c>
      <c r="G1197" s="17" t="b">
        <v>1</v>
      </c>
      <c r="H1197" s="6" t="n">
        <v>-87</v>
      </c>
      <c r="I1197" s="13" t="n">
        <v>5</v>
      </c>
      <c r="J1197" s="8">
        <f>OR($F1197="entry",$F1197="roll_in")</f>
        <v/>
      </c>
      <c r="K1197" s="8">
        <f>OR($F1197="exit",$F1197="roll_out")</f>
        <v/>
      </c>
      <c r="L1197" s="8">
        <f>OR(AND($E1197="SELL",$K1197),AND($E1197="BUY",$J1197))</f>
        <v/>
      </c>
      <c r="M1197" s="16">
        <f>((INDEX(Market_Daily!$B$6:$B$256,MATCH($C1197,Market_Daily!$A$6:$A$256,0))*INDEX(Market_Daily!$F$6:$F$256,MATCH($C1197,Market_Daily!$A$6:$A$256,0))/kg_per_mt*(1+bcd_primary_al_hs7601*(1+sws_rate_on_bcd))+mcx_domestic_premium_inr_kg)*(1+INDEX(Market_Daily!$I$6:$I$256,MATCH($C1197,Market_Daily!$A$6:$A$256,0))*MAX(0,INDEX(mcx_expiries,MATCH($D1197,mcx_months,0))-$C1197)/day_count_inr))</f>
        <v/>
      </c>
      <c r="N1197" s="16">
        <f>IF(INDEX(Market_Daily!$S$6:$S$256,MATCH($C1197,Market_Daily!$A$6:$A$256,0))=$D1197,INDEX(Market_Daily!$M$6:$M$256,MATCH($C1197,Market_Daily!$A$6:$A$256,0)),IF(INDEX(Market_Daily!$T$6:$T$256,MATCH($C1197,Market_Daily!$A$6:$A$256,0))=$D1197,INDEX(Market_Daily!$N$6:$N$256,MATCH($C1197,Market_Daily!$A$6:$A$256,0)),NA()))</f>
        <v/>
      </c>
      <c r="O1197" s="16">
        <f>$N1197-$M1197</f>
        <v/>
      </c>
      <c r="P1197" s="16">
        <f>IF(($B1196=$B1197),$M1196,"")</f>
        <v/>
      </c>
      <c r="Q1197" s="16">
        <f>$M1197+IF($L1197,1,-1)*mcx_slippage_ticks*mcx_al_tick_inr_kg</f>
        <v/>
      </c>
      <c r="R1197" s="18">
        <f>IF(($B1196=$B1197),$H1197*$I1197*kg_per_mt*($M1197-$M1196),0)</f>
        <v/>
      </c>
      <c r="S1197" s="18">
        <f>IF(($B1196=$B1197),$S1196,0)+$R1197</f>
        <v/>
      </c>
      <c r="T1197" s="18">
        <f>ABS($H1197)*$I1197*kg_per_mt*$M1197</f>
        <v/>
      </c>
      <c r="U1197" s="18">
        <f>IF($K1197,0,$T1197*mcx_al_margin_used_frac)</f>
        <v/>
      </c>
      <c r="V1197" s="18">
        <f>IF(($B1196=$B1197),$U1196,0)</f>
        <v/>
      </c>
      <c r="W1197" s="18">
        <f>$U1197-$V1197</f>
        <v/>
      </c>
      <c r="X1197" s="18">
        <f>IF($K1197,0,$T1197*0.12)</f>
        <v/>
      </c>
      <c r="Y1197" s="18">
        <f>IF($K1197,0,$T1197*0.15)</f>
        <v/>
      </c>
      <c r="Z1197" s="18">
        <f>IF($F1197="hold",0,-ABS($H1197)*$I1197*kg_per_mt*mcx_slippage_ticks*mcx_al_tick_inr_kg)</f>
        <v/>
      </c>
      <c r="AA1197" s="18">
        <f>IF($F1197="hold",0,-ABS($H1197)*$I1197*kg_per_mt*$Q1197*mcx_txn_cost_frac)</f>
        <v/>
      </c>
      <c r="AB1197" s="18">
        <f>$Z1197+$AA1197</f>
        <v/>
      </c>
      <c r="AC1197" s="18">
        <f>$R1197-$W1197+$AB1197</f>
        <v/>
      </c>
      <c r="AD1197" s="18">
        <f>IF(($B1196=$B1197),$AD1196,0)+$AC1197</f>
        <v/>
      </c>
      <c r="AE1197" s="23" t="n">
        <v>-3132640.66</v>
      </c>
      <c r="AF1197" s="23" t="n">
        <v>11937961.97</v>
      </c>
      <c r="AG1197" s="23" t="n">
        <v>0</v>
      </c>
      <c r="AH1197" s="23" t="n">
        <v>-3445904.72</v>
      </c>
      <c r="AI1197" s="23" t="n">
        <v>-6092.71</v>
      </c>
      <c r="AJ1197" s="18">
        <f>$R1197-$AE1197</f>
        <v/>
      </c>
      <c r="AK1197" s="18">
        <f>$U1197-$AF1197</f>
        <v/>
      </c>
      <c r="AL1197" s="18">
        <f>$AC1197-$AH1197</f>
        <v/>
      </c>
      <c r="AM1197" s="8">
        <f>IF(AND(ABS($AJ1197)&lt;=tol_mcx_inr,ABS($AK1197)&lt;=tol_mcx_inr,ABS($AL1197)&lt;=tol_mcx_inr),"PASS","FAIL")</f>
        <v/>
      </c>
    </row>
    <row r="1198">
      <c r="A1198" s="7" t="inlineStr">
        <is>
          <t>T04</t>
        </is>
      </c>
      <c r="B1198" s="7" t="inlineStr">
        <is>
          <t>T04-MCX-1</t>
        </is>
      </c>
      <c r="C1198" s="11" t="n">
        <v>44671</v>
      </c>
      <c r="D1198" s="7" t="n">
        <v>202204</v>
      </c>
      <c r="E1198" s="7" t="inlineStr">
        <is>
          <t>SELL</t>
        </is>
      </c>
      <c r="F1198" s="7" t="inlineStr">
        <is>
          <t>roll_out</t>
        </is>
      </c>
      <c r="G1198" s="17" t="b">
        <v>1</v>
      </c>
      <c r="H1198" s="6" t="n">
        <v>-87</v>
      </c>
      <c r="I1198" s="13" t="n">
        <v>5</v>
      </c>
      <c r="J1198" s="8">
        <f>OR($F1198="entry",$F1198="roll_in")</f>
        <v/>
      </c>
      <c r="K1198" s="8">
        <f>OR($F1198="exit",$F1198="roll_out")</f>
        <v/>
      </c>
      <c r="L1198" s="8">
        <f>OR(AND($E1198="SELL",$K1198),AND($E1198="BUY",$J1198))</f>
        <v/>
      </c>
      <c r="M1198" s="16">
        <f>((INDEX(Market_Daily!$B$6:$B$256,MATCH($C1198,Market_Daily!$A$6:$A$256,0))*INDEX(Market_Daily!$F$6:$F$256,MATCH($C1198,Market_Daily!$A$6:$A$256,0))/kg_per_mt*(1+bcd_primary_al_hs7601*(1+sws_rate_on_bcd))+mcx_domestic_premium_inr_kg)*(1+INDEX(Market_Daily!$I$6:$I$256,MATCH($C1198,Market_Daily!$A$6:$A$256,0))*MAX(0,INDEX(mcx_expiries,MATCH($D1198,mcx_months,0))-$C1198)/day_count_inr))</f>
        <v/>
      </c>
      <c r="N1198" s="16">
        <f>IF(INDEX(Market_Daily!$S$6:$S$256,MATCH($C1198,Market_Daily!$A$6:$A$256,0))=$D1198,INDEX(Market_Daily!$M$6:$M$256,MATCH($C1198,Market_Daily!$A$6:$A$256,0)),IF(INDEX(Market_Daily!$T$6:$T$256,MATCH($C1198,Market_Daily!$A$6:$A$256,0))=$D1198,INDEX(Market_Daily!$N$6:$N$256,MATCH($C1198,Market_Daily!$A$6:$A$256,0)),NA()))</f>
        <v/>
      </c>
      <c r="O1198" s="16">
        <f>$N1198-$M1198</f>
        <v/>
      </c>
      <c r="P1198" s="16">
        <f>IF(($B1197=$B1198),$M1197,"")</f>
        <v/>
      </c>
      <c r="Q1198" s="16">
        <f>$M1198+IF($L1198,1,-1)*mcx_slippage_ticks*mcx_al_tick_inr_kg</f>
        <v/>
      </c>
      <c r="R1198" s="18">
        <f>IF(($B1197=$B1198),$H1198*$I1198*kg_per_mt*($M1198-$M1197),0)</f>
        <v/>
      </c>
      <c r="S1198" s="18">
        <f>IF(($B1197=$B1198),$S1197,0)+$R1198</f>
        <v/>
      </c>
      <c r="T1198" s="18">
        <f>ABS($H1198)*$I1198*kg_per_mt*$M1198</f>
        <v/>
      </c>
      <c r="U1198" s="18">
        <f>IF($K1198,0,$T1198*mcx_al_margin_used_frac)</f>
        <v/>
      </c>
      <c r="V1198" s="18">
        <f>IF(($B1197=$B1198),$U1197,0)</f>
        <v/>
      </c>
      <c r="W1198" s="18">
        <f>$U1198-$V1198</f>
        <v/>
      </c>
      <c r="X1198" s="18">
        <f>IF($K1198,0,$T1198*0.12)</f>
        <v/>
      </c>
      <c r="Y1198" s="18">
        <f>IF($K1198,0,$T1198*0.15)</f>
        <v/>
      </c>
      <c r="Z1198" s="18">
        <f>IF($F1198="hold",0,-ABS($H1198)*$I1198*kg_per_mt*mcx_slippage_ticks*mcx_al_tick_inr_kg)</f>
        <v/>
      </c>
      <c r="AA1198" s="18">
        <f>IF($F1198="hold",0,-ABS($H1198)*$I1198*kg_per_mt*$Q1198*mcx_txn_cost_frac)</f>
        <v/>
      </c>
      <c r="AB1198" s="18">
        <f>$Z1198+$AA1198</f>
        <v/>
      </c>
      <c r="AC1198" s="18">
        <f>$R1198-$W1198+$AB1198</f>
        <v/>
      </c>
      <c r="AD1198" s="18">
        <f>IF(($B1197=$B1198),$AD1197,0)+$AC1198</f>
        <v/>
      </c>
      <c r="AE1198" s="23" t="n">
        <v>2855154.22</v>
      </c>
      <c r="AF1198" s="23" t="n">
        <v>0</v>
      </c>
      <c r="AG1198" s="23" t="n">
        <v>-78470.39</v>
      </c>
      <c r="AH1198" s="23" t="n">
        <v>14714645.8</v>
      </c>
      <c r="AI1198" s="23" t="n">
        <v>-2137.69</v>
      </c>
      <c r="AJ1198" s="18">
        <f>$R1198-$AE1198</f>
        <v/>
      </c>
      <c r="AK1198" s="18">
        <f>$U1198-$AF1198</f>
        <v/>
      </c>
      <c r="AL1198" s="18">
        <f>$AC1198-$AH1198</f>
        <v/>
      </c>
      <c r="AM1198" s="8">
        <f>IF(AND(ABS($AJ1198)&lt;=tol_mcx_inr,ABS($AK1198)&lt;=tol_mcx_inr,ABS($AL1198)&lt;=tol_mcx_inr),"PASS","FAIL")</f>
        <v/>
      </c>
    </row>
    <row r="1199">
      <c r="A1199" s="7" t="inlineStr">
        <is>
          <t>T04</t>
        </is>
      </c>
      <c r="B1199" s="7" t="inlineStr">
        <is>
          <t>T04-MCX-2</t>
        </is>
      </c>
      <c r="C1199" s="11" t="n">
        <v>44671</v>
      </c>
      <c r="D1199" s="7" t="n">
        <v>202205</v>
      </c>
      <c r="E1199" s="7" t="inlineStr">
        <is>
          <t>SELL</t>
        </is>
      </c>
      <c r="F1199" s="7" t="inlineStr">
        <is>
          <t>roll_in</t>
        </is>
      </c>
      <c r="G1199" s="17" t="b">
        <v>1</v>
      </c>
      <c r="H1199" s="6" t="n">
        <v>-87</v>
      </c>
      <c r="I1199" s="13" t="n">
        <v>5</v>
      </c>
      <c r="J1199" s="8">
        <f>OR($F1199="entry",$F1199="roll_in")</f>
        <v/>
      </c>
      <c r="K1199" s="8">
        <f>OR($F1199="exit",$F1199="roll_out")</f>
        <v/>
      </c>
      <c r="L1199" s="8">
        <f>OR(AND($E1199="SELL",$K1199),AND($E1199="BUY",$J1199))</f>
        <v/>
      </c>
      <c r="M1199" s="16">
        <f>((INDEX(Market_Daily!$B$6:$B$256,MATCH($C1199,Market_Daily!$A$6:$A$256,0))*INDEX(Market_Daily!$F$6:$F$256,MATCH($C1199,Market_Daily!$A$6:$A$256,0))/kg_per_mt*(1+bcd_primary_al_hs7601*(1+sws_rate_on_bcd))+mcx_domestic_premium_inr_kg)*(1+INDEX(Market_Daily!$I$6:$I$256,MATCH($C1199,Market_Daily!$A$6:$A$256,0))*MAX(0,INDEX(mcx_expiries,MATCH($D1199,mcx_months,0))-$C1199)/day_count_inr))</f>
        <v/>
      </c>
      <c r="N1199" s="16">
        <f>IF(INDEX(Market_Daily!$S$6:$S$256,MATCH($C1199,Market_Daily!$A$6:$A$256,0))=$D1199,INDEX(Market_Daily!$M$6:$M$256,MATCH($C1199,Market_Daily!$A$6:$A$256,0)),IF(INDEX(Market_Daily!$T$6:$T$256,MATCH($C1199,Market_Daily!$A$6:$A$256,0))=$D1199,INDEX(Market_Daily!$N$6:$N$256,MATCH($C1199,Market_Daily!$A$6:$A$256,0)),NA()))</f>
        <v/>
      </c>
      <c r="O1199" s="16">
        <f>$N1199-$M1199</f>
        <v/>
      </c>
      <c r="P1199" s="16">
        <f>IF(($B1198=$B1199),$M1198,"")</f>
        <v/>
      </c>
      <c r="Q1199" s="16">
        <f>$M1199+IF($L1199,1,-1)*mcx_slippage_ticks*mcx_al_tick_inr_kg</f>
        <v/>
      </c>
      <c r="R1199" s="18">
        <f>IF(($B1198=$B1199),$H1199*$I1199*kg_per_mt*($M1199-$M1198),0)</f>
        <v/>
      </c>
      <c r="S1199" s="18">
        <f>IF(($B1198=$B1199),$S1198,0)+$R1199</f>
        <v/>
      </c>
      <c r="T1199" s="18">
        <f>ABS($H1199)*$I1199*kg_per_mt*$M1199</f>
        <v/>
      </c>
      <c r="U1199" s="18">
        <f>IF($K1199,0,$T1199*mcx_al_margin_used_frac)</f>
        <v/>
      </c>
      <c r="V1199" s="18">
        <f>IF(($B1198=$B1199),$U1198,0)</f>
        <v/>
      </c>
      <c r="W1199" s="18">
        <f>$U1199-$V1199</f>
        <v/>
      </c>
      <c r="X1199" s="18">
        <f>IF($K1199,0,$T1199*0.12)</f>
        <v/>
      </c>
      <c r="Y1199" s="18">
        <f>IF($K1199,0,$T1199*0.15)</f>
        <v/>
      </c>
      <c r="Z1199" s="18">
        <f>IF($F1199="hold",0,-ABS($H1199)*$I1199*kg_per_mt*mcx_slippage_ticks*mcx_al_tick_inr_kg)</f>
        <v/>
      </c>
      <c r="AA1199" s="18">
        <f>IF($F1199="hold",0,-ABS($H1199)*$I1199*kg_per_mt*$Q1199*mcx_txn_cost_frac)</f>
        <v/>
      </c>
      <c r="AB1199" s="18">
        <f>$Z1199+$AA1199</f>
        <v/>
      </c>
      <c r="AC1199" s="18">
        <f>$R1199-$W1199+$AB1199</f>
        <v/>
      </c>
      <c r="AD1199" s="18">
        <f>IF(($B1198=$B1199),$AD1198,0)+$AC1199</f>
        <v/>
      </c>
      <c r="AE1199" s="23" t="n">
        <v>0</v>
      </c>
      <c r="AF1199" s="23" t="n">
        <v>11692510.07</v>
      </c>
      <c r="AG1199" s="23" t="n">
        <v>-78564.48</v>
      </c>
      <c r="AH1199" s="23" t="n">
        <v>-11771074.55</v>
      </c>
      <c r="AI1199" s="23" t="n">
        <v>0</v>
      </c>
      <c r="AJ1199" s="18">
        <f>$R1199-$AE1199</f>
        <v/>
      </c>
      <c r="AK1199" s="18">
        <f>$U1199-$AF1199</f>
        <v/>
      </c>
      <c r="AL1199" s="18">
        <f>$AC1199-$AH1199</f>
        <v/>
      </c>
      <c r="AM1199" s="8">
        <f>IF(AND(ABS($AJ1199)&lt;=tol_mcx_inr,ABS($AK1199)&lt;=tol_mcx_inr,ABS($AL1199)&lt;=tol_mcx_inr),"PASS","FAIL")</f>
        <v/>
      </c>
    </row>
    <row r="1200">
      <c r="A1200" s="7" t="inlineStr">
        <is>
          <t>T04</t>
        </is>
      </c>
      <c r="B1200" s="7" t="inlineStr">
        <is>
          <t>T04-MCX-2</t>
        </is>
      </c>
      <c r="C1200" s="11" t="n">
        <v>44672</v>
      </c>
      <c r="D1200" s="7" t="n">
        <v>202205</v>
      </c>
      <c r="E1200" s="7" t="inlineStr">
        <is>
          <t>SELL</t>
        </is>
      </c>
      <c r="F1200" s="7" t="inlineStr">
        <is>
          <t>hold</t>
        </is>
      </c>
      <c r="G1200" s="17" t="b">
        <v>1</v>
      </c>
      <c r="H1200" s="6" t="n">
        <v>-87</v>
      </c>
      <c r="I1200" s="13" t="n">
        <v>5</v>
      </c>
      <c r="J1200" s="8">
        <f>OR($F1200="entry",$F1200="roll_in")</f>
        <v/>
      </c>
      <c r="K1200" s="8">
        <f>OR($F1200="exit",$F1200="roll_out")</f>
        <v/>
      </c>
      <c r="L1200" s="8">
        <f>OR(AND($E1200="SELL",$K1200),AND($E1200="BUY",$J1200))</f>
        <v/>
      </c>
      <c r="M1200" s="16">
        <f>((INDEX(Market_Daily!$B$6:$B$256,MATCH($C1200,Market_Daily!$A$6:$A$256,0))*INDEX(Market_Daily!$F$6:$F$256,MATCH($C1200,Market_Daily!$A$6:$A$256,0))/kg_per_mt*(1+bcd_primary_al_hs7601*(1+sws_rate_on_bcd))+mcx_domestic_premium_inr_kg)*(1+INDEX(Market_Daily!$I$6:$I$256,MATCH($C1200,Market_Daily!$A$6:$A$256,0))*MAX(0,INDEX(mcx_expiries,MATCH($D1200,mcx_months,0))-$C1200)/day_count_inr))</f>
        <v/>
      </c>
      <c r="N1200" s="16">
        <f>IF(INDEX(Market_Daily!$S$6:$S$256,MATCH($C1200,Market_Daily!$A$6:$A$256,0))=$D1200,INDEX(Market_Daily!$M$6:$M$256,MATCH($C1200,Market_Daily!$A$6:$A$256,0)),IF(INDEX(Market_Daily!$T$6:$T$256,MATCH($C1200,Market_Daily!$A$6:$A$256,0))=$D1200,INDEX(Market_Daily!$N$6:$N$256,MATCH($C1200,Market_Daily!$A$6:$A$256,0)),NA()))</f>
        <v/>
      </c>
      <c r="O1200" s="16">
        <f>$N1200-$M1200</f>
        <v/>
      </c>
      <c r="P1200" s="16">
        <f>IF(($B1199=$B1200),$M1199,"")</f>
        <v/>
      </c>
      <c r="Q1200" s="16">
        <f>$M1200+IF($L1200,1,-1)*mcx_slippage_ticks*mcx_al_tick_inr_kg</f>
        <v/>
      </c>
      <c r="R1200" s="18">
        <f>IF(($B1199=$B1200),$H1200*$I1200*kg_per_mt*($M1200-$M1199),0)</f>
        <v/>
      </c>
      <c r="S1200" s="18">
        <f>IF(($B1199=$B1200),$S1199,0)+$R1200</f>
        <v/>
      </c>
      <c r="T1200" s="18">
        <f>ABS($H1200)*$I1200*kg_per_mt*$M1200</f>
        <v/>
      </c>
      <c r="U1200" s="18">
        <f>IF($K1200,0,$T1200*mcx_al_margin_used_frac)</f>
        <v/>
      </c>
      <c r="V1200" s="18">
        <f>IF(($B1199=$B1200),$U1199,0)</f>
        <v/>
      </c>
      <c r="W1200" s="18">
        <f>$U1200-$V1200</f>
        <v/>
      </c>
      <c r="X1200" s="18">
        <f>IF($K1200,0,$T1200*0.12)</f>
        <v/>
      </c>
      <c r="Y1200" s="18">
        <f>IF($K1200,0,$T1200*0.15)</f>
        <v/>
      </c>
      <c r="Z1200" s="18">
        <f>IF($F1200="hold",0,-ABS($H1200)*$I1200*kg_per_mt*mcx_slippage_ticks*mcx_al_tick_inr_kg)</f>
        <v/>
      </c>
      <c r="AA1200" s="18">
        <f>IF($F1200="hold",0,-ABS($H1200)*$I1200*kg_per_mt*$Q1200*mcx_txn_cost_frac)</f>
        <v/>
      </c>
      <c r="AB1200" s="18">
        <f>$Z1200+$AA1200</f>
        <v/>
      </c>
      <c r="AC1200" s="18">
        <f>$R1200-$W1200+$AB1200</f>
        <v/>
      </c>
      <c r="AD1200" s="18">
        <f>IF(($B1199=$B1200),$AD1199,0)+$AC1200</f>
        <v/>
      </c>
      <c r="AE1200" s="23" t="n">
        <v>-632928.76</v>
      </c>
      <c r="AF1200" s="23" t="n">
        <v>11755802.94</v>
      </c>
      <c r="AG1200" s="23" t="n">
        <v>0</v>
      </c>
      <c r="AH1200" s="23" t="n">
        <v>-696221.64</v>
      </c>
      <c r="AI1200" s="23" t="n">
        <v>-3095.95</v>
      </c>
      <c r="AJ1200" s="18">
        <f>$R1200-$AE1200</f>
        <v/>
      </c>
      <c r="AK1200" s="18">
        <f>$U1200-$AF1200</f>
        <v/>
      </c>
      <c r="AL1200" s="18">
        <f>$AC1200-$AH1200</f>
        <v/>
      </c>
      <c r="AM1200" s="8">
        <f>IF(AND(ABS($AJ1200)&lt;=tol_mcx_inr,ABS($AK1200)&lt;=tol_mcx_inr,ABS($AL1200)&lt;=tol_mcx_inr),"PASS","FAIL")</f>
        <v/>
      </c>
    </row>
    <row r="1201">
      <c r="A1201" s="7" t="inlineStr">
        <is>
          <t>T04</t>
        </is>
      </c>
      <c r="B1201" s="7" t="inlineStr">
        <is>
          <t>T04-MCX-2</t>
        </is>
      </c>
      <c r="C1201" s="11" t="n">
        <v>44673</v>
      </c>
      <c r="D1201" s="7" t="n">
        <v>202205</v>
      </c>
      <c r="E1201" s="7" t="inlineStr">
        <is>
          <t>SELL</t>
        </is>
      </c>
      <c r="F1201" s="7" t="inlineStr">
        <is>
          <t>hold</t>
        </is>
      </c>
      <c r="G1201" s="17" t="b">
        <v>1</v>
      </c>
      <c r="H1201" s="6" t="n">
        <v>-87</v>
      </c>
      <c r="I1201" s="13" t="n">
        <v>5</v>
      </c>
      <c r="J1201" s="8">
        <f>OR($F1201="entry",$F1201="roll_in")</f>
        <v/>
      </c>
      <c r="K1201" s="8">
        <f>OR($F1201="exit",$F1201="roll_out")</f>
        <v/>
      </c>
      <c r="L1201" s="8">
        <f>OR(AND($E1201="SELL",$K1201),AND($E1201="BUY",$J1201))</f>
        <v/>
      </c>
      <c r="M1201" s="16">
        <f>((INDEX(Market_Daily!$B$6:$B$256,MATCH($C1201,Market_Daily!$A$6:$A$256,0))*INDEX(Market_Daily!$F$6:$F$256,MATCH($C1201,Market_Daily!$A$6:$A$256,0))/kg_per_mt*(1+bcd_primary_al_hs7601*(1+sws_rate_on_bcd))+mcx_domestic_premium_inr_kg)*(1+INDEX(Market_Daily!$I$6:$I$256,MATCH($C1201,Market_Daily!$A$6:$A$256,0))*MAX(0,INDEX(mcx_expiries,MATCH($D1201,mcx_months,0))-$C1201)/day_count_inr))</f>
        <v/>
      </c>
      <c r="N1201" s="16">
        <f>IF(INDEX(Market_Daily!$S$6:$S$256,MATCH($C1201,Market_Daily!$A$6:$A$256,0))=$D1201,INDEX(Market_Daily!$M$6:$M$256,MATCH($C1201,Market_Daily!$A$6:$A$256,0)),IF(INDEX(Market_Daily!$T$6:$T$256,MATCH($C1201,Market_Daily!$A$6:$A$256,0))=$D1201,INDEX(Market_Daily!$N$6:$N$256,MATCH($C1201,Market_Daily!$A$6:$A$256,0)),NA()))</f>
        <v/>
      </c>
      <c r="O1201" s="16">
        <f>$N1201-$M1201</f>
        <v/>
      </c>
      <c r="P1201" s="16">
        <f>IF(($B1200=$B1201),$M1200,"")</f>
        <v/>
      </c>
      <c r="Q1201" s="16">
        <f>$M1201+IF($L1201,1,-1)*mcx_slippage_ticks*mcx_al_tick_inr_kg</f>
        <v/>
      </c>
      <c r="R1201" s="18">
        <f>IF(($B1200=$B1201),$H1201*$I1201*kg_per_mt*($M1201-$M1200),0)</f>
        <v/>
      </c>
      <c r="S1201" s="18">
        <f>IF(($B1200=$B1201),$S1200,0)+$R1201</f>
        <v/>
      </c>
      <c r="T1201" s="18">
        <f>ABS($H1201)*$I1201*kg_per_mt*$M1201</f>
        <v/>
      </c>
      <c r="U1201" s="18">
        <f>IF($K1201,0,$T1201*mcx_al_margin_used_frac)</f>
        <v/>
      </c>
      <c r="V1201" s="18">
        <f>IF(($B1200=$B1201),$U1200,0)</f>
        <v/>
      </c>
      <c r="W1201" s="18">
        <f>$U1201-$V1201</f>
        <v/>
      </c>
      <c r="X1201" s="18">
        <f>IF($K1201,0,$T1201*0.12)</f>
        <v/>
      </c>
      <c r="Y1201" s="18">
        <f>IF($K1201,0,$T1201*0.15)</f>
        <v/>
      </c>
      <c r="Z1201" s="18">
        <f>IF($F1201="hold",0,-ABS($H1201)*$I1201*kg_per_mt*mcx_slippage_ticks*mcx_al_tick_inr_kg)</f>
        <v/>
      </c>
      <c r="AA1201" s="18">
        <f>IF($F1201="hold",0,-ABS($H1201)*$I1201*kg_per_mt*$Q1201*mcx_txn_cost_frac)</f>
        <v/>
      </c>
      <c r="AB1201" s="18">
        <f>$Z1201+$AA1201</f>
        <v/>
      </c>
      <c r="AC1201" s="18">
        <f>$R1201-$W1201+$AB1201</f>
        <v/>
      </c>
      <c r="AD1201" s="18">
        <f>IF(($B1200=$B1201),$AD1200,0)+$AC1201</f>
        <v/>
      </c>
      <c r="AE1201" s="23" t="n">
        <v>288614.55</v>
      </c>
      <c r="AF1201" s="23" t="n">
        <v>11726941.49</v>
      </c>
      <c r="AG1201" s="23" t="n">
        <v>0</v>
      </c>
      <c r="AH1201" s="23" t="n">
        <v>317476.01</v>
      </c>
      <c r="AI1201" s="23" t="n">
        <v>-3279.07</v>
      </c>
      <c r="AJ1201" s="18">
        <f>$R1201-$AE1201</f>
        <v/>
      </c>
      <c r="AK1201" s="18">
        <f>$U1201-$AF1201</f>
        <v/>
      </c>
      <c r="AL1201" s="18">
        <f>$AC1201-$AH1201</f>
        <v/>
      </c>
      <c r="AM1201" s="8">
        <f>IF(AND(ABS($AJ1201)&lt;=tol_mcx_inr,ABS($AK1201)&lt;=tol_mcx_inr,ABS($AL1201)&lt;=tol_mcx_inr),"PASS","FAIL")</f>
        <v/>
      </c>
    </row>
    <row r="1202">
      <c r="A1202" s="7" t="inlineStr">
        <is>
          <t>T04</t>
        </is>
      </c>
      <c r="B1202" s="7" t="inlineStr">
        <is>
          <t>T04-MCX-2</t>
        </is>
      </c>
      <c r="C1202" s="11" t="n">
        <v>44676</v>
      </c>
      <c r="D1202" s="7" t="n">
        <v>202205</v>
      </c>
      <c r="E1202" s="7" t="inlineStr">
        <is>
          <t>SELL</t>
        </is>
      </c>
      <c r="F1202" s="7" t="inlineStr">
        <is>
          <t>hold</t>
        </is>
      </c>
      <c r="G1202" s="17" t="b">
        <v>1</v>
      </c>
      <c r="H1202" s="6" t="n">
        <v>-87</v>
      </c>
      <c r="I1202" s="13" t="n">
        <v>5</v>
      </c>
      <c r="J1202" s="8">
        <f>OR($F1202="entry",$F1202="roll_in")</f>
        <v/>
      </c>
      <c r="K1202" s="8">
        <f>OR($F1202="exit",$F1202="roll_out")</f>
        <v/>
      </c>
      <c r="L1202" s="8">
        <f>OR(AND($E1202="SELL",$K1202),AND($E1202="BUY",$J1202))</f>
        <v/>
      </c>
      <c r="M1202" s="16">
        <f>((INDEX(Market_Daily!$B$6:$B$256,MATCH($C1202,Market_Daily!$A$6:$A$256,0))*INDEX(Market_Daily!$F$6:$F$256,MATCH($C1202,Market_Daily!$A$6:$A$256,0))/kg_per_mt*(1+bcd_primary_al_hs7601*(1+sws_rate_on_bcd))+mcx_domestic_premium_inr_kg)*(1+INDEX(Market_Daily!$I$6:$I$256,MATCH($C1202,Market_Daily!$A$6:$A$256,0))*MAX(0,INDEX(mcx_expiries,MATCH($D1202,mcx_months,0))-$C1202)/day_count_inr))</f>
        <v/>
      </c>
      <c r="N1202" s="16">
        <f>IF(INDEX(Market_Daily!$S$6:$S$256,MATCH($C1202,Market_Daily!$A$6:$A$256,0))=$D1202,INDEX(Market_Daily!$M$6:$M$256,MATCH($C1202,Market_Daily!$A$6:$A$256,0)),IF(INDEX(Market_Daily!$T$6:$T$256,MATCH($C1202,Market_Daily!$A$6:$A$256,0))=$D1202,INDEX(Market_Daily!$N$6:$N$256,MATCH($C1202,Market_Daily!$A$6:$A$256,0)),NA()))</f>
        <v/>
      </c>
      <c r="O1202" s="16">
        <f>$N1202-$M1202</f>
        <v/>
      </c>
      <c r="P1202" s="16">
        <f>IF(($B1201=$B1202),$M1201,"")</f>
        <v/>
      </c>
      <c r="Q1202" s="16">
        <f>$M1202+IF($L1202,1,-1)*mcx_slippage_ticks*mcx_al_tick_inr_kg</f>
        <v/>
      </c>
      <c r="R1202" s="18">
        <f>IF(($B1201=$B1202),$H1202*$I1202*kg_per_mt*($M1202-$M1201),0)</f>
        <v/>
      </c>
      <c r="S1202" s="18">
        <f>IF(($B1201=$B1202),$S1201,0)+$R1202</f>
        <v/>
      </c>
      <c r="T1202" s="18">
        <f>ABS($H1202)*$I1202*kg_per_mt*$M1202</f>
        <v/>
      </c>
      <c r="U1202" s="18">
        <f>IF($K1202,0,$T1202*mcx_al_margin_used_frac)</f>
        <v/>
      </c>
      <c r="V1202" s="18">
        <f>IF(($B1201=$B1202),$U1201,0)</f>
        <v/>
      </c>
      <c r="W1202" s="18">
        <f>$U1202-$V1202</f>
        <v/>
      </c>
      <c r="X1202" s="18">
        <f>IF($K1202,0,$T1202*0.12)</f>
        <v/>
      </c>
      <c r="Y1202" s="18">
        <f>IF($K1202,0,$T1202*0.15)</f>
        <v/>
      </c>
      <c r="Z1202" s="18">
        <f>IF($F1202="hold",0,-ABS($H1202)*$I1202*kg_per_mt*mcx_slippage_ticks*mcx_al_tick_inr_kg)</f>
        <v/>
      </c>
      <c r="AA1202" s="18">
        <f>IF($F1202="hold",0,-ABS($H1202)*$I1202*kg_per_mt*$Q1202*mcx_txn_cost_frac)</f>
        <v/>
      </c>
      <c r="AB1202" s="18">
        <f>$Z1202+$AA1202</f>
        <v/>
      </c>
      <c r="AC1202" s="18">
        <f>$R1202-$W1202+$AB1202</f>
        <v/>
      </c>
      <c r="AD1202" s="18">
        <f>IF(($B1201=$B1202),$AD1201,0)+$AC1202</f>
        <v/>
      </c>
      <c r="AE1202" s="23" t="n">
        <v>5372584.7</v>
      </c>
      <c r="AF1202" s="23" t="n">
        <v>11189683.02</v>
      </c>
      <c r="AG1202" s="23" t="n">
        <v>0</v>
      </c>
      <c r="AH1202" s="23" t="n">
        <v>5909843.17</v>
      </c>
      <c r="AI1202" s="23" t="n">
        <v>-9586.709999999999</v>
      </c>
      <c r="AJ1202" s="18">
        <f>$R1202-$AE1202</f>
        <v/>
      </c>
      <c r="AK1202" s="18">
        <f>$U1202-$AF1202</f>
        <v/>
      </c>
      <c r="AL1202" s="18">
        <f>$AC1202-$AH1202</f>
        <v/>
      </c>
      <c r="AM1202" s="8">
        <f>IF(AND(ABS($AJ1202)&lt;=tol_mcx_inr,ABS($AK1202)&lt;=tol_mcx_inr,ABS($AL1202)&lt;=tol_mcx_inr),"PASS","FAIL")</f>
        <v/>
      </c>
    </row>
    <row r="1203">
      <c r="A1203" s="7" t="inlineStr">
        <is>
          <t>T04</t>
        </is>
      </c>
      <c r="B1203" s="7" t="inlineStr">
        <is>
          <t>T04-MCX-2</t>
        </is>
      </c>
      <c r="C1203" s="11" t="n">
        <v>44677</v>
      </c>
      <c r="D1203" s="7" t="n">
        <v>202205</v>
      </c>
      <c r="E1203" s="7" t="inlineStr">
        <is>
          <t>SELL</t>
        </is>
      </c>
      <c r="F1203" s="7" t="inlineStr">
        <is>
          <t>hold</t>
        </is>
      </c>
      <c r="G1203" s="17" t="b">
        <v>1</v>
      </c>
      <c r="H1203" s="6" t="n">
        <v>-87</v>
      </c>
      <c r="I1203" s="13" t="n">
        <v>5</v>
      </c>
      <c r="J1203" s="8">
        <f>OR($F1203="entry",$F1203="roll_in")</f>
        <v/>
      </c>
      <c r="K1203" s="8">
        <f>OR($F1203="exit",$F1203="roll_out")</f>
        <v/>
      </c>
      <c r="L1203" s="8">
        <f>OR(AND($E1203="SELL",$K1203),AND($E1203="BUY",$J1203))</f>
        <v/>
      </c>
      <c r="M1203" s="16">
        <f>((INDEX(Market_Daily!$B$6:$B$256,MATCH($C1203,Market_Daily!$A$6:$A$256,0))*INDEX(Market_Daily!$F$6:$F$256,MATCH($C1203,Market_Daily!$A$6:$A$256,0))/kg_per_mt*(1+bcd_primary_al_hs7601*(1+sws_rate_on_bcd))+mcx_domestic_premium_inr_kg)*(1+INDEX(Market_Daily!$I$6:$I$256,MATCH($C1203,Market_Daily!$A$6:$A$256,0))*MAX(0,INDEX(mcx_expiries,MATCH($D1203,mcx_months,0))-$C1203)/day_count_inr))</f>
        <v/>
      </c>
      <c r="N1203" s="16">
        <f>IF(INDEX(Market_Daily!$S$6:$S$256,MATCH($C1203,Market_Daily!$A$6:$A$256,0))=$D1203,INDEX(Market_Daily!$M$6:$M$256,MATCH($C1203,Market_Daily!$A$6:$A$256,0)),IF(INDEX(Market_Daily!$T$6:$T$256,MATCH($C1203,Market_Daily!$A$6:$A$256,0))=$D1203,INDEX(Market_Daily!$N$6:$N$256,MATCH($C1203,Market_Daily!$A$6:$A$256,0)),NA()))</f>
        <v/>
      </c>
      <c r="O1203" s="16">
        <f>$N1203-$M1203</f>
        <v/>
      </c>
      <c r="P1203" s="16">
        <f>IF(($B1202=$B1203),$M1202,"")</f>
        <v/>
      </c>
      <c r="Q1203" s="16">
        <f>$M1203+IF($L1203,1,-1)*mcx_slippage_ticks*mcx_al_tick_inr_kg</f>
        <v/>
      </c>
      <c r="R1203" s="18">
        <f>IF(($B1202=$B1203),$H1203*$I1203*kg_per_mt*($M1203-$M1202),0)</f>
        <v/>
      </c>
      <c r="S1203" s="18">
        <f>IF(($B1202=$B1203),$S1202,0)+$R1203</f>
        <v/>
      </c>
      <c r="T1203" s="18">
        <f>ABS($H1203)*$I1203*kg_per_mt*$M1203</f>
        <v/>
      </c>
      <c r="U1203" s="18">
        <f>IF($K1203,0,$T1203*mcx_al_margin_used_frac)</f>
        <v/>
      </c>
      <c r="V1203" s="18">
        <f>IF(($B1202=$B1203),$U1202,0)</f>
        <v/>
      </c>
      <c r="W1203" s="18">
        <f>$U1203-$V1203</f>
        <v/>
      </c>
      <c r="X1203" s="18">
        <f>IF($K1203,0,$T1203*0.12)</f>
        <v/>
      </c>
      <c r="Y1203" s="18">
        <f>IF($K1203,0,$T1203*0.15)</f>
        <v/>
      </c>
      <c r="Z1203" s="18">
        <f>IF($F1203="hold",0,-ABS($H1203)*$I1203*kg_per_mt*mcx_slippage_ticks*mcx_al_tick_inr_kg)</f>
        <v/>
      </c>
      <c r="AA1203" s="18">
        <f>IF($F1203="hold",0,-ABS($H1203)*$I1203*kg_per_mt*$Q1203*mcx_txn_cost_frac)</f>
        <v/>
      </c>
      <c r="AB1203" s="18">
        <f>$Z1203+$AA1203</f>
        <v/>
      </c>
      <c r="AC1203" s="18">
        <f>$R1203-$W1203+$AB1203</f>
        <v/>
      </c>
      <c r="AD1203" s="18">
        <f>IF(($B1202=$B1203),$AD1202,0)+$AC1203</f>
        <v/>
      </c>
      <c r="AE1203" s="23" t="n">
        <v>-381670.33</v>
      </c>
      <c r="AF1203" s="23" t="n">
        <v>11227850.05</v>
      </c>
      <c r="AG1203" s="23" t="n">
        <v>0</v>
      </c>
      <c r="AH1203" s="23" t="n">
        <v>-419837.37</v>
      </c>
      <c r="AI1203" s="23" t="n">
        <v>-1641.2</v>
      </c>
      <c r="AJ1203" s="18">
        <f>$R1203-$AE1203</f>
        <v/>
      </c>
      <c r="AK1203" s="18">
        <f>$U1203-$AF1203</f>
        <v/>
      </c>
      <c r="AL1203" s="18">
        <f>$AC1203-$AH1203</f>
        <v/>
      </c>
      <c r="AM1203" s="8">
        <f>IF(AND(ABS($AJ1203)&lt;=tol_mcx_inr,ABS($AK1203)&lt;=tol_mcx_inr,ABS($AL1203)&lt;=tol_mcx_inr),"PASS","FAIL")</f>
        <v/>
      </c>
    </row>
    <row r="1204">
      <c r="A1204" s="7" t="inlineStr">
        <is>
          <t>T04</t>
        </is>
      </c>
      <c r="B1204" s="7" t="inlineStr">
        <is>
          <t>T04-MCX-2</t>
        </is>
      </c>
      <c r="C1204" s="11" t="n">
        <v>44678</v>
      </c>
      <c r="D1204" s="7" t="n">
        <v>202205</v>
      </c>
      <c r="E1204" s="7" t="inlineStr">
        <is>
          <t>SELL</t>
        </is>
      </c>
      <c r="F1204" s="7" t="inlineStr">
        <is>
          <t>hold</t>
        </is>
      </c>
      <c r="G1204" s="17" t="b">
        <v>1</v>
      </c>
      <c r="H1204" s="6" t="n">
        <v>-87</v>
      </c>
      <c r="I1204" s="13" t="n">
        <v>5</v>
      </c>
      <c r="J1204" s="8">
        <f>OR($F1204="entry",$F1204="roll_in")</f>
        <v/>
      </c>
      <c r="K1204" s="8">
        <f>OR($F1204="exit",$F1204="roll_out")</f>
        <v/>
      </c>
      <c r="L1204" s="8">
        <f>OR(AND($E1204="SELL",$K1204),AND($E1204="BUY",$J1204))</f>
        <v/>
      </c>
      <c r="M1204" s="16">
        <f>((INDEX(Market_Daily!$B$6:$B$256,MATCH($C1204,Market_Daily!$A$6:$A$256,0))*INDEX(Market_Daily!$F$6:$F$256,MATCH($C1204,Market_Daily!$A$6:$A$256,0))/kg_per_mt*(1+bcd_primary_al_hs7601*(1+sws_rate_on_bcd))+mcx_domestic_premium_inr_kg)*(1+INDEX(Market_Daily!$I$6:$I$256,MATCH($C1204,Market_Daily!$A$6:$A$256,0))*MAX(0,INDEX(mcx_expiries,MATCH($D1204,mcx_months,0))-$C1204)/day_count_inr))</f>
        <v/>
      </c>
      <c r="N1204" s="16">
        <f>IF(INDEX(Market_Daily!$S$6:$S$256,MATCH($C1204,Market_Daily!$A$6:$A$256,0))=$D1204,INDEX(Market_Daily!$M$6:$M$256,MATCH($C1204,Market_Daily!$A$6:$A$256,0)),IF(INDEX(Market_Daily!$T$6:$T$256,MATCH($C1204,Market_Daily!$A$6:$A$256,0))=$D1204,INDEX(Market_Daily!$N$6:$N$256,MATCH($C1204,Market_Daily!$A$6:$A$256,0)),NA()))</f>
        <v/>
      </c>
      <c r="O1204" s="16">
        <f>$N1204-$M1204</f>
        <v/>
      </c>
      <c r="P1204" s="16">
        <f>IF(($B1203=$B1204),$M1203,"")</f>
        <v/>
      </c>
      <c r="Q1204" s="16">
        <f>$M1204+IF($L1204,1,-1)*mcx_slippage_ticks*mcx_al_tick_inr_kg</f>
        <v/>
      </c>
      <c r="R1204" s="18">
        <f>IF(($B1203=$B1204),$H1204*$I1204*kg_per_mt*($M1204-$M1203),0)</f>
        <v/>
      </c>
      <c r="S1204" s="18">
        <f>IF(($B1203=$B1204),$S1203,0)+$R1204</f>
        <v/>
      </c>
      <c r="T1204" s="18">
        <f>ABS($H1204)*$I1204*kg_per_mt*$M1204</f>
        <v/>
      </c>
      <c r="U1204" s="18">
        <f>IF($K1204,0,$T1204*mcx_al_margin_used_frac)</f>
        <v/>
      </c>
      <c r="V1204" s="18">
        <f>IF(($B1203=$B1204),$U1203,0)</f>
        <v/>
      </c>
      <c r="W1204" s="18">
        <f>$U1204-$V1204</f>
        <v/>
      </c>
      <c r="X1204" s="18">
        <f>IF($K1204,0,$T1204*0.12)</f>
        <v/>
      </c>
      <c r="Y1204" s="18">
        <f>IF($K1204,0,$T1204*0.15)</f>
        <v/>
      </c>
      <c r="Z1204" s="18">
        <f>IF($F1204="hold",0,-ABS($H1204)*$I1204*kg_per_mt*mcx_slippage_ticks*mcx_al_tick_inr_kg)</f>
        <v/>
      </c>
      <c r="AA1204" s="18">
        <f>IF($F1204="hold",0,-ABS($H1204)*$I1204*kg_per_mt*$Q1204*mcx_txn_cost_frac)</f>
        <v/>
      </c>
      <c r="AB1204" s="18">
        <f>$Z1204+$AA1204</f>
        <v/>
      </c>
      <c r="AC1204" s="18">
        <f>$R1204-$W1204+$AB1204</f>
        <v/>
      </c>
      <c r="AD1204" s="18">
        <f>IF(($B1203=$B1204),$AD1203,0)+$AC1204</f>
        <v/>
      </c>
      <c r="AE1204" s="23" t="n">
        <v>46088.63</v>
      </c>
      <c r="AF1204" s="23" t="n">
        <v>11223241.19</v>
      </c>
      <c r="AG1204" s="23" t="n">
        <v>0</v>
      </c>
      <c r="AH1204" s="23" t="n">
        <v>50697.5</v>
      </c>
      <c r="AI1204" s="23" t="n">
        <v>-1751.62</v>
      </c>
      <c r="AJ1204" s="18">
        <f>$R1204-$AE1204</f>
        <v/>
      </c>
      <c r="AK1204" s="18">
        <f>$U1204-$AF1204</f>
        <v/>
      </c>
      <c r="AL1204" s="18">
        <f>$AC1204-$AH1204</f>
        <v/>
      </c>
      <c r="AM1204" s="8">
        <f>IF(AND(ABS($AJ1204)&lt;=tol_mcx_inr,ABS($AK1204)&lt;=tol_mcx_inr,ABS($AL1204)&lt;=tol_mcx_inr),"PASS","FAIL")</f>
        <v/>
      </c>
    </row>
    <row r="1205">
      <c r="A1205" s="7" t="inlineStr">
        <is>
          <t>T04</t>
        </is>
      </c>
      <c r="B1205" s="7" t="inlineStr">
        <is>
          <t>T04-MCX-2</t>
        </is>
      </c>
      <c r="C1205" s="11" t="n">
        <v>44679</v>
      </c>
      <c r="D1205" s="7" t="n">
        <v>202205</v>
      </c>
      <c r="E1205" s="7" t="inlineStr">
        <is>
          <t>SELL</t>
        </is>
      </c>
      <c r="F1205" s="7" t="inlineStr">
        <is>
          <t>hold</t>
        </is>
      </c>
      <c r="G1205" s="17" t="b">
        <v>1</v>
      </c>
      <c r="H1205" s="6" t="n">
        <v>-87</v>
      </c>
      <c r="I1205" s="13" t="n">
        <v>5</v>
      </c>
      <c r="J1205" s="8">
        <f>OR($F1205="entry",$F1205="roll_in")</f>
        <v/>
      </c>
      <c r="K1205" s="8">
        <f>OR($F1205="exit",$F1205="roll_out")</f>
        <v/>
      </c>
      <c r="L1205" s="8">
        <f>OR(AND($E1205="SELL",$K1205),AND($E1205="BUY",$J1205))</f>
        <v/>
      </c>
      <c r="M1205" s="16">
        <f>((INDEX(Market_Daily!$B$6:$B$256,MATCH($C1205,Market_Daily!$A$6:$A$256,0))*INDEX(Market_Daily!$F$6:$F$256,MATCH($C1205,Market_Daily!$A$6:$A$256,0))/kg_per_mt*(1+bcd_primary_al_hs7601*(1+sws_rate_on_bcd))+mcx_domestic_premium_inr_kg)*(1+INDEX(Market_Daily!$I$6:$I$256,MATCH($C1205,Market_Daily!$A$6:$A$256,0))*MAX(0,INDEX(mcx_expiries,MATCH($D1205,mcx_months,0))-$C1205)/day_count_inr))</f>
        <v/>
      </c>
      <c r="N1205" s="16">
        <f>IF(INDEX(Market_Daily!$S$6:$S$256,MATCH($C1205,Market_Daily!$A$6:$A$256,0))=$D1205,INDEX(Market_Daily!$M$6:$M$256,MATCH($C1205,Market_Daily!$A$6:$A$256,0)),IF(INDEX(Market_Daily!$T$6:$T$256,MATCH($C1205,Market_Daily!$A$6:$A$256,0))=$D1205,INDEX(Market_Daily!$N$6:$N$256,MATCH($C1205,Market_Daily!$A$6:$A$256,0)),NA()))</f>
        <v/>
      </c>
      <c r="O1205" s="16">
        <f>$N1205-$M1205</f>
        <v/>
      </c>
      <c r="P1205" s="16">
        <f>IF(($B1204=$B1205),$M1204,"")</f>
        <v/>
      </c>
      <c r="Q1205" s="16">
        <f>$M1205+IF($L1205,1,-1)*mcx_slippage_ticks*mcx_al_tick_inr_kg</f>
        <v/>
      </c>
      <c r="R1205" s="18">
        <f>IF(($B1204=$B1205),$H1205*$I1205*kg_per_mt*($M1205-$M1204),0)</f>
        <v/>
      </c>
      <c r="S1205" s="18">
        <f>IF(($B1204=$B1205),$S1204,0)+$R1205</f>
        <v/>
      </c>
      <c r="T1205" s="18">
        <f>ABS($H1205)*$I1205*kg_per_mt*$M1205</f>
        <v/>
      </c>
      <c r="U1205" s="18">
        <f>IF($K1205,0,$T1205*mcx_al_margin_used_frac)</f>
        <v/>
      </c>
      <c r="V1205" s="18">
        <f>IF(($B1204=$B1205),$U1204,0)</f>
        <v/>
      </c>
      <c r="W1205" s="18">
        <f>$U1205-$V1205</f>
        <v/>
      </c>
      <c r="X1205" s="18">
        <f>IF($K1205,0,$T1205*0.12)</f>
        <v/>
      </c>
      <c r="Y1205" s="18">
        <f>IF($K1205,0,$T1205*0.15)</f>
        <v/>
      </c>
      <c r="Z1205" s="18">
        <f>IF($F1205="hold",0,-ABS($H1205)*$I1205*kg_per_mt*mcx_slippage_ticks*mcx_al_tick_inr_kg)</f>
        <v/>
      </c>
      <c r="AA1205" s="18">
        <f>IF($F1205="hold",0,-ABS($H1205)*$I1205*kg_per_mt*$Q1205*mcx_txn_cost_frac)</f>
        <v/>
      </c>
      <c r="AB1205" s="18">
        <f>$Z1205+$AA1205</f>
        <v/>
      </c>
      <c r="AC1205" s="18">
        <f>$R1205-$W1205+$AB1205</f>
        <v/>
      </c>
      <c r="AD1205" s="18">
        <f>IF(($B1204=$B1205),$AD1204,0)+$AC1205</f>
        <v/>
      </c>
      <c r="AE1205" s="23" t="n">
        <v>1195742.39</v>
      </c>
      <c r="AF1205" s="23" t="n">
        <v>11103666.95</v>
      </c>
      <c r="AG1205" s="23" t="n">
        <v>0</v>
      </c>
      <c r="AH1205" s="23" t="n">
        <v>1315316.62</v>
      </c>
      <c r="AI1205" s="23" t="n">
        <v>-1738.29</v>
      </c>
      <c r="AJ1205" s="18">
        <f>$R1205-$AE1205</f>
        <v/>
      </c>
      <c r="AK1205" s="18">
        <f>$U1205-$AF1205</f>
        <v/>
      </c>
      <c r="AL1205" s="18">
        <f>$AC1205-$AH1205</f>
        <v/>
      </c>
      <c r="AM1205" s="8">
        <f>IF(AND(ABS($AJ1205)&lt;=tol_mcx_inr,ABS($AK1205)&lt;=tol_mcx_inr,ABS($AL1205)&lt;=tol_mcx_inr),"PASS","FAIL")</f>
        <v/>
      </c>
    </row>
    <row r="1206">
      <c r="A1206" s="7" t="inlineStr">
        <is>
          <t>T04</t>
        </is>
      </c>
      <c r="B1206" s="7" t="inlineStr">
        <is>
          <t>T04-MCX-2</t>
        </is>
      </c>
      <c r="C1206" s="11" t="n">
        <v>44680</v>
      </c>
      <c r="D1206" s="7" t="n">
        <v>202205</v>
      </c>
      <c r="E1206" s="7" t="inlineStr">
        <is>
          <t>SELL</t>
        </is>
      </c>
      <c r="F1206" s="7" t="inlineStr">
        <is>
          <t>hold</t>
        </is>
      </c>
      <c r="G1206" s="17" t="b">
        <v>1</v>
      </c>
      <c r="H1206" s="6" t="n">
        <v>-87</v>
      </c>
      <c r="I1206" s="13" t="n">
        <v>5</v>
      </c>
      <c r="J1206" s="8">
        <f>OR($F1206="entry",$F1206="roll_in")</f>
        <v/>
      </c>
      <c r="K1206" s="8">
        <f>OR($F1206="exit",$F1206="roll_out")</f>
        <v/>
      </c>
      <c r="L1206" s="8">
        <f>OR(AND($E1206="SELL",$K1206),AND($E1206="BUY",$J1206))</f>
        <v/>
      </c>
      <c r="M1206" s="16">
        <f>((INDEX(Market_Daily!$B$6:$B$256,MATCH($C1206,Market_Daily!$A$6:$A$256,0))*INDEX(Market_Daily!$F$6:$F$256,MATCH($C1206,Market_Daily!$A$6:$A$256,0))/kg_per_mt*(1+bcd_primary_al_hs7601*(1+sws_rate_on_bcd))+mcx_domestic_premium_inr_kg)*(1+INDEX(Market_Daily!$I$6:$I$256,MATCH($C1206,Market_Daily!$A$6:$A$256,0))*MAX(0,INDEX(mcx_expiries,MATCH($D1206,mcx_months,0))-$C1206)/day_count_inr))</f>
        <v/>
      </c>
      <c r="N1206" s="16">
        <f>IF(INDEX(Market_Daily!$S$6:$S$256,MATCH($C1206,Market_Daily!$A$6:$A$256,0))=$D1206,INDEX(Market_Daily!$M$6:$M$256,MATCH($C1206,Market_Daily!$A$6:$A$256,0)),IF(INDEX(Market_Daily!$T$6:$T$256,MATCH($C1206,Market_Daily!$A$6:$A$256,0))=$D1206,INDEX(Market_Daily!$N$6:$N$256,MATCH($C1206,Market_Daily!$A$6:$A$256,0)),NA()))</f>
        <v/>
      </c>
      <c r="O1206" s="16">
        <f>$N1206-$M1206</f>
        <v/>
      </c>
      <c r="P1206" s="16">
        <f>IF(($B1205=$B1206),$M1205,"")</f>
        <v/>
      </c>
      <c r="Q1206" s="16">
        <f>$M1206+IF($L1206,1,-1)*mcx_slippage_ticks*mcx_al_tick_inr_kg</f>
        <v/>
      </c>
      <c r="R1206" s="18">
        <f>IF(($B1205=$B1206),$H1206*$I1206*kg_per_mt*($M1206-$M1205),0)</f>
        <v/>
      </c>
      <c r="S1206" s="18">
        <f>IF(($B1205=$B1206),$S1205,0)+$R1206</f>
        <v/>
      </c>
      <c r="T1206" s="18">
        <f>ABS($H1206)*$I1206*kg_per_mt*$M1206</f>
        <v/>
      </c>
      <c r="U1206" s="18">
        <f>IF($K1206,0,$T1206*mcx_al_margin_used_frac)</f>
        <v/>
      </c>
      <c r="V1206" s="18">
        <f>IF(($B1205=$B1206),$U1205,0)</f>
        <v/>
      </c>
      <c r="W1206" s="18">
        <f>$U1206-$V1206</f>
        <v/>
      </c>
      <c r="X1206" s="18">
        <f>IF($K1206,0,$T1206*0.12)</f>
        <v/>
      </c>
      <c r="Y1206" s="18">
        <f>IF($K1206,0,$T1206*0.15)</f>
        <v/>
      </c>
      <c r="Z1206" s="18">
        <f>IF($F1206="hold",0,-ABS($H1206)*$I1206*kg_per_mt*mcx_slippage_ticks*mcx_al_tick_inr_kg)</f>
        <v/>
      </c>
      <c r="AA1206" s="18">
        <f>IF($F1206="hold",0,-ABS($H1206)*$I1206*kg_per_mt*$Q1206*mcx_txn_cost_frac)</f>
        <v/>
      </c>
      <c r="AB1206" s="18">
        <f>$Z1206+$AA1206</f>
        <v/>
      </c>
      <c r="AC1206" s="18">
        <f>$R1206-$W1206+$AB1206</f>
        <v/>
      </c>
      <c r="AD1206" s="18">
        <f>IF(($B1205=$B1206),$AD1205,0)+$AC1206</f>
        <v/>
      </c>
      <c r="AE1206" s="23" t="n">
        <v>1176861.03</v>
      </c>
      <c r="AF1206" s="23" t="n">
        <v>10985980.84</v>
      </c>
      <c r="AG1206" s="23" t="n">
        <v>0</v>
      </c>
      <c r="AH1206" s="23" t="n">
        <v>1294547.14</v>
      </c>
      <c r="AI1206" s="23" t="n">
        <v>-1392.34</v>
      </c>
      <c r="AJ1206" s="18">
        <f>$R1206-$AE1206</f>
        <v/>
      </c>
      <c r="AK1206" s="18">
        <f>$U1206-$AF1206</f>
        <v/>
      </c>
      <c r="AL1206" s="18">
        <f>$AC1206-$AH1206</f>
        <v/>
      </c>
      <c r="AM1206" s="8">
        <f>IF(AND(ABS($AJ1206)&lt;=tol_mcx_inr,ABS($AK1206)&lt;=tol_mcx_inr,ABS($AL1206)&lt;=tol_mcx_inr),"PASS","FAIL")</f>
        <v/>
      </c>
    </row>
    <row r="1207">
      <c r="A1207" s="7" t="inlineStr">
        <is>
          <t>T04</t>
        </is>
      </c>
      <c r="B1207" s="7" t="inlineStr">
        <is>
          <t>T04-MCX-2</t>
        </is>
      </c>
      <c r="C1207" s="11" t="n">
        <v>44684</v>
      </c>
      <c r="D1207" s="7" t="n">
        <v>202205</v>
      </c>
      <c r="E1207" s="7" t="inlineStr">
        <is>
          <t>SELL</t>
        </is>
      </c>
      <c r="F1207" s="7" t="inlineStr">
        <is>
          <t>hold</t>
        </is>
      </c>
      <c r="G1207" s="17" t="b">
        <v>1</v>
      </c>
      <c r="H1207" s="6" t="n">
        <v>-87</v>
      </c>
      <c r="I1207" s="13" t="n">
        <v>5</v>
      </c>
      <c r="J1207" s="8">
        <f>OR($F1207="entry",$F1207="roll_in")</f>
        <v/>
      </c>
      <c r="K1207" s="8">
        <f>OR($F1207="exit",$F1207="roll_out")</f>
        <v/>
      </c>
      <c r="L1207" s="8">
        <f>OR(AND($E1207="SELL",$K1207),AND($E1207="BUY",$J1207))</f>
        <v/>
      </c>
      <c r="M1207" s="16">
        <f>((INDEX(Market_Daily!$B$6:$B$256,MATCH($C1207,Market_Daily!$A$6:$A$256,0))*INDEX(Market_Daily!$F$6:$F$256,MATCH($C1207,Market_Daily!$A$6:$A$256,0))/kg_per_mt*(1+bcd_primary_al_hs7601*(1+sws_rate_on_bcd))+mcx_domestic_premium_inr_kg)*(1+INDEX(Market_Daily!$I$6:$I$256,MATCH($C1207,Market_Daily!$A$6:$A$256,0))*MAX(0,INDEX(mcx_expiries,MATCH($D1207,mcx_months,0))-$C1207)/day_count_inr))</f>
        <v/>
      </c>
      <c r="N1207" s="16">
        <f>IF(INDEX(Market_Daily!$S$6:$S$256,MATCH($C1207,Market_Daily!$A$6:$A$256,0))=$D1207,INDEX(Market_Daily!$M$6:$M$256,MATCH($C1207,Market_Daily!$A$6:$A$256,0)),IF(INDEX(Market_Daily!$T$6:$T$256,MATCH($C1207,Market_Daily!$A$6:$A$256,0))=$D1207,INDEX(Market_Daily!$N$6:$N$256,MATCH($C1207,Market_Daily!$A$6:$A$256,0)),NA()))</f>
        <v/>
      </c>
      <c r="O1207" s="16">
        <f>$N1207-$M1207</f>
        <v/>
      </c>
      <c r="P1207" s="16">
        <f>IF(($B1206=$B1207),$M1206,"")</f>
        <v/>
      </c>
      <c r="Q1207" s="16">
        <f>$M1207+IF($L1207,1,-1)*mcx_slippage_ticks*mcx_al_tick_inr_kg</f>
        <v/>
      </c>
      <c r="R1207" s="18">
        <f>IF(($B1206=$B1207),$H1207*$I1207*kg_per_mt*($M1207-$M1206),0)</f>
        <v/>
      </c>
      <c r="S1207" s="18">
        <f>IF(($B1206=$B1207),$S1206,0)+$R1207</f>
        <v/>
      </c>
      <c r="T1207" s="18">
        <f>ABS($H1207)*$I1207*kg_per_mt*$M1207</f>
        <v/>
      </c>
      <c r="U1207" s="18">
        <f>IF($K1207,0,$T1207*mcx_al_margin_used_frac)</f>
        <v/>
      </c>
      <c r="V1207" s="18">
        <f>IF(($B1206=$B1207),$U1206,0)</f>
        <v/>
      </c>
      <c r="W1207" s="18">
        <f>$U1207-$V1207</f>
        <v/>
      </c>
      <c r="X1207" s="18">
        <f>IF($K1207,0,$T1207*0.12)</f>
        <v/>
      </c>
      <c r="Y1207" s="18">
        <f>IF($K1207,0,$T1207*0.15)</f>
        <v/>
      </c>
      <c r="Z1207" s="18">
        <f>IF($F1207="hold",0,-ABS($H1207)*$I1207*kg_per_mt*mcx_slippage_ticks*mcx_al_tick_inr_kg)</f>
        <v/>
      </c>
      <c r="AA1207" s="18">
        <f>IF($F1207="hold",0,-ABS($H1207)*$I1207*kg_per_mt*$Q1207*mcx_txn_cost_frac)</f>
        <v/>
      </c>
      <c r="AB1207" s="18">
        <f>$Z1207+$AA1207</f>
        <v/>
      </c>
      <c r="AC1207" s="18">
        <f>$R1207-$W1207+$AB1207</f>
        <v/>
      </c>
      <c r="AD1207" s="18">
        <f>IF(($B1206=$B1207),$AD1206,0)+$AC1207</f>
        <v/>
      </c>
      <c r="AE1207" s="23" t="n">
        <v>4515022.72</v>
      </c>
      <c r="AF1207" s="23" t="n">
        <v>10534478.57</v>
      </c>
      <c r="AG1207" s="23" t="n">
        <v>0</v>
      </c>
      <c r="AH1207" s="23" t="n">
        <v>4966524.99</v>
      </c>
      <c r="AI1207" s="23" t="n">
        <v>-4207.43</v>
      </c>
      <c r="AJ1207" s="18">
        <f>$R1207-$AE1207</f>
        <v/>
      </c>
      <c r="AK1207" s="18">
        <f>$U1207-$AF1207</f>
        <v/>
      </c>
      <c r="AL1207" s="18">
        <f>$AC1207-$AH1207</f>
        <v/>
      </c>
      <c r="AM1207" s="8">
        <f>IF(AND(ABS($AJ1207)&lt;=tol_mcx_inr,ABS($AK1207)&lt;=tol_mcx_inr,ABS($AL1207)&lt;=tol_mcx_inr),"PASS","FAIL")</f>
        <v/>
      </c>
    </row>
    <row r="1208">
      <c r="A1208" s="7" t="inlineStr">
        <is>
          <t>T04</t>
        </is>
      </c>
      <c r="B1208" s="7" t="inlineStr">
        <is>
          <t>T04-MCX-2</t>
        </is>
      </c>
      <c r="C1208" s="11" t="n">
        <v>44685</v>
      </c>
      <c r="D1208" s="7" t="n">
        <v>202205</v>
      </c>
      <c r="E1208" s="7" t="inlineStr">
        <is>
          <t>SELL</t>
        </is>
      </c>
      <c r="F1208" s="7" t="inlineStr">
        <is>
          <t>hold</t>
        </is>
      </c>
      <c r="G1208" s="17" t="b">
        <v>1</v>
      </c>
      <c r="H1208" s="6" t="n">
        <v>-87</v>
      </c>
      <c r="I1208" s="13" t="n">
        <v>5</v>
      </c>
      <c r="J1208" s="8">
        <f>OR($F1208="entry",$F1208="roll_in")</f>
        <v/>
      </c>
      <c r="K1208" s="8">
        <f>OR($F1208="exit",$F1208="roll_out")</f>
        <v/>
      </c>
      <c r="L1208" s="8">
        <f>OR(AND($E1208="SELL",$K1208),AND($E1208="BUY",$J1208))</f>
        <v/>
      </c>
      <c r="M1208" s="16">
        <f>((INDEX(Market_Daily!$B$6:$B$256,MATCH($C1208,Market_Daily!$A$6:$A$256,0))*INDEX(Market_Daily!$F$6:$F$256,MATCH($C1208,Market_Daily!$A$6:$A$256,0))/kg_per_mt*(1+bcd_primary_al_hs7601*(1+sws_rate_on_bcd))+mcx_domestic_premium_inr_kg)*(1+INDEX(Market_Daily!$I$6:$I$256,MATCH($C1208,Market_Daily!$A$6:$A$256,0))*MAX(0,INDEX(mcx_expiries,MATCH($D1208,mcx_months,0))-$C1208)/day_count_inr))</f>
        <v/>
      </c>
      <c r="N1208" s="16">
        <f>IF(INDEX(Market_Daily!$S$6:$S$256,MATCH($C1208,Market_Daily!$A$6:$A$256,0))=$D1208,INDEX(Market_Daily!$M$6:$M$256,MATCH($C1208,Market_Daily!$A$6:$A$256,0)),IF(INDEX(Market_Daily!$T$6:$T$256,MATCH($C1208,Market_Daily!$A$6:$A$256,0))=$D1208,INDEX(Market_Daily!$N$6:$N$256,MATCH($C1208,Market_Daily!$A$6:$A$256,0)),NA()))</f>
        <v/>
      </c>
      <c r="O1208" s="16">
        <f>$N1208-$M1208</f>
        <v/>
      </c>
      <c r="P1208" s="16">
        <f>IF(($B1207=$B1208),$M1207,"")</f>
        <v/>
      </c>
      <c r="Q1208" s="16">
        <f>$M1208+IF($L1208,1,-1)*mcx_slippage_ticks*mcx_al_tick_inr_kg</f>
        <v/>
      </c>
      <c r="R1208" s="18">
        <f>IF(($B1207=$B1208),$H1208*$I1208*kg_per_mt*($M1208-$M1207),0)</f>
        <v/>
      </c>
      <c r="S1208" s="18">
        <f>IF(($B1207=$B1208),$S1207,0)+$R1208</f>
        <v/>
      </c>
      <c r="T1208" s="18">
        <f>ABS($H1208)*$I1208*kg_per_mt*$M1208</f>
        <v/>
      </c>
      <c r="U1208" s="18">
        <f>IF($K1208,0,$T1208*mcx_al_margin_used_frac)</f>
        <v/>
      </c>
      <c r="V1208" s="18">
        <f>IF(($B1207=$B1208),$U1207,0)</f>
        <v/>
      </c>
      <c r="W1208" s="18">
        <f>$U1208-$V1208</f>
        <v/>
      </c>
      <c r="X1208" s="18">
        <f>IF($K1208,0,$T1208*0.12)</f>
        <v/>
      </c>
      <c r="Y1208" s="18">
        <f>IF($K1208,0,$T1208*0.15)</f>
        <v/>
      </c>
      <c r="Z1208" s="18">
        <f>IF($F1208="hold",0,-ABS($H1208)*$I1208*kg_per_mt*mcx_slippage_ticks*mcx_al_tick_inr_kg)</f>
        <v/>
      </c>
      <c r="AA1208" s="18">
        <f>IF($F1208="hold",0,-ABS($H1208)*$I1208*kg_per_mt*$Q1208*mcx_txn_cost_frac)</f>
        <v/>
      </c>
      <c r="AB1208" s="18">
        <f>$Z1208+$AA1208</f>
        <v/>
      </c>
      <c r="AC1208" s="18">
        <f>$R1208-$W1208+$AB1208</f>
        <v/>
      </c>
      <c r="AD1208" s="18">
        <f>IF(($B1207=$B1208),$AD1207,0)+$AC1208</f>
        <v/>
      </c>
      <c r="AE1208" s="23" t="n">
        <v>-327200.96</v>
      </c>
      <c r="AF1208" s="23" t="n">
        <v>10567198.67</v>
      </c>
      <c r="AG1208" s="23" t="n">
        <v>0</v>
      </c>
      <c r="AH1208" s="23" t="n">
        <v>-359921.05</v>
      </c>
      <c r="AI1208" s="23" t="n">
        <v>254.41</v>
      </c>
      <c r="AJ1208" s="18">
        <f>$R1208-$AE1208</f>
        <v/>
      </c>
      <c r="AK1208" s="18">
        <f>$U1208-$AF1208</f>
        <v/>
      </c>
      <c r="AL1208" s="18">
        <f>$AC1208-$AH1208</f>
        <v/>
      </c>
      <c r="AM1208" s="8">
        <f>IF(AND(ABS($AJ1208)&lt;=tol_mcx_inr,ABS($AK1208)&lt;=tol_mcx_inr,ABS($AL1208)&lt;=tol_mcx_inr),"PASS","FAIL")</f>
        <v/>
      </c>
    </row>
    <row r="1209">
      <c r="A1209" s="7" t="inlineStr">
        <is>
          <t>T04</t>
        </is>
      </c>
      <c r="B1209" s="7" t="inlineStr">
        <is>
          <t>T04-MCX-2</t>
        </is>
      </c>
      <c r="C1209" s="11" t="n">
        <v>44686</v>
      </c>
      <c r="D1209" s="7" t="n">
        <v>202205</v>
      </c>
      <c r="E1209" s="7" t="inlineStr">
        <is>
          <t>SELL</t>
        </is>
      </c>
      <c r="F1209" s="7" t="inlineStr">
        <is>
          <t>hold</t>
        </is>
      </c>
      <c r="G1209" s="17" t="b">
        <v>1</v>
      </c>
      <c r="H1209" s="6" t="n">
        <v>-87</v>
      </c>
      <c r="I1209" s="13" t="n">
        <v>5</v>
      </c>
      <c r="J1209" s="8">
        <f>OR($F1209="entry",$F1209="roll_in")</f>
        <v/>
      </c>
      <c r="K1209" s="8">
        <f>OR($F1209="exit",$F1209="roll_out")</f>
        <v/>
      </c>
      <c r="L1209" s="8">
        <f>OR(AND($E1209="SELL",$K1209),AND($E1209="BUY",$J1209))</f>
        <v/>
      </c>
      <c r="M1209" s="16">
        <f>((INDEX(Market_Daily!$B$6:$B$256,MATCH($C1209,Market_Daily!$A$6:$A$256,0))*INDEX(Market_Daily!$F$6:$F$256,MATCH($C1209,Market_Daily!$A$6:$A$256,0))/kg_per_mt*(1+bcd_primary_al_hs7601*(1+sws_rate_on_bcd))+mcx_domestic_premium_inr_kg)*(1+INDEX(Market_Daily!$I$6:$I$256,MATCH($C1209,Market_Daily!$A$6:$A$256,0))*MAX(0,INDEX(mcx_expiries,MATCH($D1209,mcx_months,0))-$C1209)/day_count_inr))</f>
        <v/>
      </c>
      <c r="N1209" s="16">
        <f>IF(INDEX(Market_Daily!$S$6:$S$256,MATCH($C1209,Market_Daily!$A$6:$A$256,0))=$D1209,INDEX(Market_Daily!$M$6:$M$256,MATCH($C1209,Market_Daily!$A$6:$A$256,0)),IF(INDEX(Market_Daily!$T$6:$T$256,MATCH($C1209,Market_Daily!$A$6:$A$256,0))=$D1209,INDEX(Market_Daily!$N$6:$N$256,MATCH($C1209,Market_Daily!$A$6:$A$256,0)),NA()))</f>
        <v/>
      </c>
      <c r="O1209" s="16">
        <f>$N1209-$M1209</f>
        <v/>
      </c>
      <c r="P1209" s="16">
        <f>IF(($B1208=$B1209),$M1208,"")</f>
        <v/>
      </c>
      <c r="Q1209" s="16">
        <f>$M1209+IF($L1209,1,-1)*mcx_slippage_ticks*mcx_al_tick_inr_kg</f>
        <v/>
      </c>
      <c r="R1209" s="18">
        <f>IF(($B1208=$B1209),$H1209*$I1209*kg_per_mt*($M1209-$M1208),0)</f>
        <v/>
      </c>
      <c r="S1209" s="18">
        <f>IF(($B1208=$B1209),$S1208,0)+$R1209</f>
        <v/>
      </c>
      <c r="T1209" s="18">
        <f>ABS($H1209)*$I1209*kg_per_mt*$M1209</f>
        <v/>
      </c>
      <c r="U1209" s="18">
        <f>IF($K1209,0,$T1209*mcx_al_margin_used_frac)</f>
        <v/>
      </c>
      <c r="V1209" s="18">
        <f>IF(($B1208=$B1209),$U1208,0)</f>
        <v/>
      </c>
      <c r="W1209" s="18">
        <f>$U1209-$V1209</f>
        <v/>
      </c>
      <c r="X1209" s="18">
        <f>IF($K1209,0,$T1209*0.12)</f>
        <v/>
      </c>
      <c r="Y1209" s="18">
        <f>IF($K1209,0,$T1209*0.15)</f>
        <v/>
      </c>
      <c r="Z1209" s="18">
        <f>IF($F1209="hold",0,-ABS($H1209)*$I1209*kg_per_mt*mcx_slippage_ticks*mcx_al_tick_inr_kg)</f>
        <v/>
      </c>
      <c r="AA1209" s="18">
        <f>IF($F1209="hold",0,-ABS($H1209)*$I1209*kg_per_mt*$Q1209*mcx_txn_cost_frac)</f>
        <v/>
      </c>
      <c r="AB1209" s="18">
        <f>$Z1209+$AA1209</f>
        <v/>
      </c>
      <c r="AC1209" s="18">
        <f>$R1209-$W1209+$AB1209</f>
        <v/>
      </c>
      <c r="AD1209" s="18">
        <f>IF(($B1208=$B1209),$AD1208,0)+$AC1209</f>
        <v/>
      </c>
      <c r="AE1209" s="23" t="n">
        <v>534466.51</v>
      </c>
      <c r="AF1209" s="23" t="n">
        <v>10513752.02</v>
      </c>
      <c r="AG1209" s="23" t="n">
        <v>0</v>
      </c>
      <c r="AH1209" s="23" t="n">
        <v>587913.16</v>
      </c>
      <c r="AI1209" s="23" t="n">
        <v>159.74</v>
      </c>
      <c r="AJ1209" s="18">
        <f>$R1209-$AE1209</f>
        <v/>
      </c>
      <c r="AK1209" s="18">
        <f>$U1209-$AF1209</f>
        <v/>
      </c>
      <c r="AL1209" s="18">
        <f>$AC1209-$AH1209</f>
        <v/>
      </c>
      <c r="AM1209" s="8">
        <f>IF(AND(ABS($AJ1209)&lt;=tol_mcx_inr,ABS($AK1209)&lt;=tol_mcx_inr,ABS($AL1209)&lt;=tol_mcx_inr),"PASS","FAIL")</f>
        <v/>
      </c>
    </row>
    <row r="1210">
      <c r="A1210" s="7" t="inlineStr">
        <is>
          <t>T04</t>
        </is>
      </c>
      <c r="B1210" s="7" t="inlineStr">
        <is>
          <t>T04-MCX-2</t>
        </is>
      </c>
      <c r="C1210" s="11" t="n">
        <v>44687</v>
      </c>
      <c r="D1210" s="7" t="n">
        <v>202205</v>
      </c>
      <c r="E1210" s="7" t="inlineStr">
        <is>
          <t>SELL</t>
        </is>
      </c>
      <c r="F1210" s="7" t="inlineStr">
        <is>
          <t>hold</t>
        </is>
      </c>
      <c r="G1210" s="17" t="b">
        <v>1</v>
      </c>
      <c r="H1210" s="6" t="n">
        <v>-87</v>
      </c>
      <c r="I1210" s="13" t="n">
        <v>5</v>
      </c>
      <c r="J1210" s="8">
        <f>OR($F1210="entry",$F1210="roll_in")</f>
        <v/>
      </c>
      <c r="K1210" s="8">
        <f>OR($F1210="exit",$F1210="roll_out")</f>
        <v/>
      </c>
      <c r="L1210" s="8">
        <f>OR(AND($E1210="SELL",$K1210),AND($E1210="BUY",$J1210))</f>
        <v/>
      </c>
      <c r="M1210" s="16">
        <f>((INDEX(Market_Daily!$B$6:$B$256,MATCH($C1210,Market_Daily!$A$6:$A$256,0))*INDEX(Market_Daily!$F$6:$F$256,MATCH($C1210,Market_Daily!$A$6:$A$256,0))/kg_per_mt*(1+bcd_primary_al_hs7601*(1+sws_rate_on_bcd))+mcx_domestic_premium_inr_kg)*(1+INDEX(Market_Daily!$I$6:$I$256,MATCH($C1210,Market_Daily!$A$6:$A$256,0))*MAX(0,INDEX(mcx_expiries,MATCH($D1210,mcx_months,0))-$C1210)/day_count_inr))</f>
        <v/>
      </c>
      <c r="N1210" s="16">
        <f>IF(INDEX(Market_Daily!$S$6:$S$256,MATCH($C1210,Market_Daily!$A$6:$A$256,0))=$D1210,INDEX(Market_Daily!$M$6:$M$256,MATCH($C1210,Market_Daily!$A$6:$A$256,0)),IF(INDEX(Market_Daily!$T$6:$T$256,MATCH($C1210,Market_Daily!$A$6:$A$256,0))=$D1210,INDEX(Market_Daily!$N$6:$N$256,MATCH($C1210,Market_Daily!$A$6:$A$256,0)),NA()))</f>
        <v/>
      </c>
      <c r="O1210" s="16">
        <f>$N1210-$M1210</f>
        <v/>
      </c>
      <c r="P1210" s="16">
        <f>IF(($B1209=$B1210),$M1209,"")</f>
        <v/>
      </c>
      <c r="Q1210" s="16">
        <f>$M1210+IF($L1210,1,-1)*mcx_slippage_ticks*mcx_al_tick_inr_kg</f>
        <v/>
      </c>
      <c r="R1210" s="18">
        <f>IF(($B1209=$B1210),$H1210*$I1210*kg_per_mt*($M1210-$M1209),0)</f>
        <v/>
      </c>
      <c r="S1210" s="18">
        <f>IF(($B1209=$B1210),$S1209,0)+$R1210</f>
        <v/>
      </c>
      <c r="T1210" s="18">
        <f>ABS($H1210)*$I1210*kg_per_mt*$M1210</f>
        <v/>
      </c>
      <c r="U1210" s="18">
        <f>IF($K1210,0,$T1210*mcx_al_margin_used_frac)</f>
        <v/>
      </c>
      <c r="V1210" s="18">
        <f>IF(($B1209=$B1210),$U1209,0)</f>
        <v/>
      </c>
      <c r="W1210" s="18">
        <f>$U1210-$V1210</f>
        <v/>
      </c>
      <c r="X1210" s="18">
        <f>IF($K1210,0,$T1210*0.12)</f>
        <v/>
      </c>
      <c r="Y1210" s="18">
        <f>IF($K1210,0,$T1210*0.15)</f>
        <v/>
      </c>
      <c r="Z1210" s="18">
        <f>IF($F1210="hold",0,-ABS($H1210)*$I1210*kg_per_mt*mcx_slippage_ticks*mcx_al_tick_inr_kg)</f>
        <v/>
      </c>
      <c r="AA1210" s="18">
        <f>IF($F1210="hold",0,-ABS($H1210)*$I1210*kg_per_mt*$Q1210*mcx_txn_cost_frac)</f>
        <v/>
      </c>
      <c r="AB1210" s="18">
        <f>$Z1210+$AA1210</f>
        <v/>
      </c>
      <c r="AC1210" s="18">
        <f>$R1210-$W1210+$AB1210</f>
        <v/>
      </c>
      <c r="AD1210" s="18">
        <f>IF(($B1209=$B1210),$AD1209,0)+$AC1210</f>
        <v/>
      </c>
      <c r="AE1210" s="23" t="n">
        <v>2217962.83</v>
      </c>
      <c r="AF1210" s="23" t="n">
        <v>10291955.73</v>
      </c>
      <c r="AG1210" s="23" t="n">
        <v>0</v>
      </c>
      <c r="AH1210" s="23" t="n">
        <v>2439759.11</v>
      </c>
      <c r="AI1210" s="23" t="n">
        <v>314.37</v>
      </c>
      <c r="AJ1210" s="18">
        <f>$R1210-$AE1210</f>
        <v/>
      </c>
      <c r="AK1210" s="18">
        <f>$U1210-$AF1210</f>
        <v/>
      </c>
      <c r="AL1210" s="18">
        <f>$AC1210-$AH1210</f>
        <v/>
      </c>
      <c r="AM1210" s="8">
        <f>IF(AND(ABS($AJ1210)&lt;=tol_mcx_inr,ABS($AK1210)&lt;=tol_mcx_inr,ABS($AL1210)&lt;=tol_mcx_inr),"PASS","FAIL")</f>
        <v/>
      </c>
    </row>
    <row r="1211">
      <c r="A1211" s="7" t="inlineStr">
        <is>
          <t>T04</t>
        </is>
      </c>
      <c r="B1211" s="7" t="inlineStr">
        <is>
          <t>T04-MCX-2</t>
        </is>
      </c>
      <c r="C1211" s="11" t="n">
        <v>44690</v>
      </c>
      <c r="D1211" s="7" t="n">
        <v>202205</v>
      </c>
      <c r="E1211" s="7" t="inlineStr">
        <is>
          <t>SELL</t>
        </is>
      </c>
      <c r="F1211" s="7" t="inlineStr">
        <is>
          <t>hold</t>
        </is>
      </c>
      <c r="G1211" s="17" t="b">
        <v>1</v>
      </c>
      <c r="H1211" s="6" t="n">
        <v>-87</v>
      </c>
      <c r="I1211" s="13" t="n">
        <v>5</v>
      </c>
      <c r="J1211" s="8">
        <f>OR($F1211="entry",$F1211="roll_in")</f>
        <v/>
      </c>
      <c r="K1211" s="8">
        <f>OR($F1211="exit",$F1211="roll_out")</f>
        <v/>
      </c>
      <c r="L1211" s="8">
        <f>OR(AND($E1211="SELL",$K1211),AND($E1211="BUY",$J1211))</f>
        <v/>
      </c>
      <c r="M1211" s="16">
        <f>((INDEX(Market_Daily!$B$6:$B$256,MATCH($C1211,Market_Daily!$A$6:$A$256,0))*INDEX(Market_Daily!$F$6:$F$256,MATCH($C1211,Market_Daily!$A$6:$A$256,0))/kg_per_mt*(1+bcd_primary_al_hs7601*(1+sws_rate_on_bcd))+mcx_domestic_premium_inr_kg)*(1+INDEX(Market_Daily!$I$6:$I$256,MATCH($C1211,Market_Daily!$A$6:$A$256,0))*MAX(0,INDEX(mcx_expiries,MATCH($D1211,mcx_months,0))-$C1211)/day_count_inr))</f>
        <v/>
      </c>
      <c r="N1211" s="16">
        <f>IF(INDEX(Market_Daily!$S$6:$S$256,MATCH($C1211,Market_Daily!$A$6:$A$256,0))=$D1211,INDEX(Market_Daily!$M$6:$M$256,MATCH($C1211,Market_Daily!$A$6:$A$256,0)),IF(INDEX(Market_Daily!$T$6:$T$256,MATCH($C1211,Market_Daily!$A$6:$A$256,0))=$D1211,INDEX(Market_Daily!$N$6:$N$256,MATCH($C1211,Market_Daily!$A$6:$A$256,0)),NA()))</f>
        <v/>
      </c>
      <c r="O1211" s="16">
        <f>$N1211-$M1211</f>
        <v/>
      </c>
      <c r="P1211" s="16">
        <f>IF(($B1210=$B1211),$M1210,"")</f>
        <v/>
      </c>
      <c r="Q1211" s="16">
        <f>$M1211+IF($L1211,1,-1)*mcx_slippage_ticks*mcx_al_tick_inr_kg</f>
        <v/>
      </c>
      <c r="R1211" s="18">
        <f>IF(($B1210=$B1211),$H1211*$I1211*kg_per_mt*($M1211-$M1210),0)</f>
        <v/>
      </c>
      <c r="S1211" s="18">
        <f>IF(($B1210=$B1211),$S1210,0)+$R1211</f>
        <v/>
      </c>
      <c r="T1211" s="18">
        <f>ABS($H1211)*$I1211*kg_per_mt*$M1211</f>
        <v/>
      </c>
      <c r="U1211" s="18">
        <f>IF($K1211,0,$T1211*mcx_al_margin_used_frac)</f>
        <v/>
      </c>
      <c r="V1211" s="18">
        <f>IF(($B1210=$B1211),$U1210,0)</f>
        <v/>
      </c>
      <c r="W1211" s="18">
        <f>$U1211-$V1211</f>
        <v/>
      </c>
      <c r="X1211" s="18">
        <f>IF($K1211,0,$T1211*0.12)</f>
        <v/>
      </c>
      <c r="Y1211" s="18">
        <f>IF($K1211,0,$T1211*0.15)</f>
        <v/>
      </c>
      <c r="Z1211" s="18">
        <f>IF($F1211="hold",0,-ABS($H1211)*$I1211*kg_per_mt*mcx_slippage_ticks*mcx_al_tick_inr_kg)</f>
        <v/>
      </c>
      <c r="AA1211" s="18">
        <f>IF($F1211="hold",0,-ABS($H1211)*$I1211*kg_per_mt*$Q1211*mcx_txn_cost_frac)</f>
        <v/>
      </c>
      <c r="AB1211" s="18">
        <f>$Z1211+$AA1211</f>
        <v/>
      </c>
      <c r="AC1211" s="18">
        <f>$R1211-$W1211+$AB1211</f>
        <v/>
      </c>
      <c r="AD1211" s="18">
        <f>IF(($B1210=$B1211),$AD1210,0)+$AC1211</f>
        <v/>
      </c>
      <c r="AE1211" s="23" t="n">
        <v>3922244.22</v>
      </c>
      <c r="AF1211" s="23" t="n">
        <v>9899731.310000001</v>
      </c>
      <c r="AG1211" s="23" t="n">
        <v>0</v>
      </c>
      <c r="AH1211" s="23" t="n">
        <v>4314468.64</v>
      </c>
      <c r="AI1211" s="23" t="n">
        <v>2868.18</v>
      </c>
      <c r="AJ1211" s="18">
        <f>$R1211-$AE1211</f>
        <v/>
      </c>
      <c r="AK1211" s="18">
        <f>$U1211-$AF1211</f>
        <v/>
      </c>
      <c r="AL1211" s="18">
        <f>$AC1211-$AH1211</f>
        <v/>
      </c>
      <c r="AM1211" s="8">
        <f>IF(AND(ABS($AJ1211)&lt;=tol_mcx_inr,ABS($AK1211)&lt;=tol_mcx_inr,ABS($AL1211)&lt;=tol_mcx_inr),"PASS","FAIL")</f>
        <v/>
      </c>
    </row>
    <row r="1212">
      <c r="A1212" s="7" t="inlineStr">
        <is>
          <t>T04</t>
        </is>
      </c>
      <c r="B1212" s="7" t="inlineStr">
        <is>
          <t>T04-MCX-2</t>
        </is>
      </c>
      <c r="C1212" s="11" t="n">
        <v>44691</v>
      </c>
      <c r="D1212" s="7" t="n">
        <v>202205</v>
      </c>
      <c r="E1212" s="7" t="inlineStr">
        <is>
          <t>SELL</t>
        </is>
      </c>
      <c r="F1212" s="7" t="inlineStr">
        <is>
          <t>hold</t>
        </is>
      </c>
      <c r="G1212" s="17" t="b">
        <v>1</v>
      </c>
      <c r="H1212" s="6" t="n">
        <v>-87</v>
      </c>
      <c r="I1212" s="13" t="n">
        <v>5</v>
      </c>
      <c r="J1212" s="8">
        <f>OR($F1212="entry",$F1212="roll_in")</f>
        <v/>
      </c>
      <c r="K1212" s="8">
        <f>OR($F1212="exit",$F1212="roll_out")</f>
        <v/>
      </c>
      <c r="L1212" s="8">
        <f>OR(AND($E1212="SELL",$K1212),AND($E1212="BUY",$J1212))</f>
        <v/>
      </c>
      <c r="M1212" s="16">
        <f>((INDEX(Market_Daily!$B$6:$B$256,MATCH($C1212,Market_Daily!$A$6:$A$256,0))*INDEX(Market_Daily!$F$6:$F$256,MATCH($C1212,Market_Daily!$A$6:$A$256,0))/kg_per_mt*(1+bcd_primary_al_hs7601*(1+sws_rate_on_bcd))+mcx_domestic_premium_inr_kg)*(1+INDEX(Market_Daily!$I$6:$I$256,MATCH($C1212,Market_Daily!$A$6:$A$256,0))*MAX(0,INDEX(mcx_expiries,MATCH($D1212,mcx_months,0))-$C1212)/day_count_inr))</f>
        <v/>
      </c>
      <c r="N1212" s="16">
        <f>IF(INDEX(Market_Daily!$S$6:$S$256,MATCH($C1212,Market_Daily!$A$6:$A$256,0))=$D1212,INDEX(Market_Daily!$M$6:$M$256,MATCH($C1212,Market_Daily!$A$6:$A$256,0)),IF(INDEX(Market_Daily!$T$6:$T$256,MATCH($C1212,Market_Daily!$A$6:$A$256,0))=$D1212,INDEX(Market_Daily!$N$6:$N$256,MATCH($C1212,Market_Daily!$A$6:$A$256,0)),NA()))</f>
        <v/>
      </c>
      <c r="O1212" s="16">
        <f>$N1212-$M1212</f>
        <v/>
      </c>
      <c r="P1212" s="16">
        <f>IF(($B1211=$B1212),$M1211,"")</f>
        <v/>
      </c>
      <c r="Q1212" s="16">
        <f>$M1212+IF($L1212,1,-1)*mcx_slippage_ticks*mcx_al_tick_inr_kg</f>
        <v/>
      </c>
      <c r="R1212" s="18">
        <f>IF(($B1211=$B1212),$H1212*$I1212*kg_per_mt*($M1212-$M1211),0)</f>
        <v/>
      </c>
      <c r="S1212" s="18">
        <f>IF(($B1211=$B1212),$S1211,0)+$R1212</f>
        <v/>
      </c>
      <c r="T1212" s="18">
        <f>ABS($H1212)*$I1212*kg_per_mt*$M1212</f>
        <v/>
      </c>
      <c r="U1212" s="18">
        <f>IF($K1212,0,$T1212*mcx_al_margin_used_frac)</f>
        <v/>
      </c>
      <c r="V1212" s="18">
        <f>IF(($B1211=$B1212),$U1211,0)</f>
        <v/>
      </c>
      <c r="W1212" s="18">
        <f>$U1212-$V1212</f>
        <v/>
      </c>
      <c r="X1212" s="18">
        <f>IF($K1212,0,$T1212*0.12)</f>
        <v/>
      </c>
      <c r="Y1212" s="18">
        <f>IF($K1212,0,$T1212*0.15)</f>
        <v/>
      </c>
      <c r="Z1212" s="18">
        <f>IF($F1212="hold",0,-ABS($H1212)*$I1212*kg_per_mt*mcx_slippage_ticks*mcx_al_tick_inr_kg)</f>
        <v/>
      </c>
      <c r="AA1212" s="18">
        <f>IF($F1212="hold",0,-ABS($H1212)*$I1212*kg_per_mt*$Q1212*mcx_txn_cost_frac)</f>
        <v/>
      </c>
      <c r="AB1212" s="18">
        <f>$Z1212+$AA1212</f>
        <v/>
      </c>
      <c r="AC1212" s="18">
        <f>$R1212-$W1212+$AB1212</f>
        <v/>
      </c>
      <c r="AD1212" s="18">
        <f>IF(($B1211=$B1212),$AD1211,0)+$AC1212</f>
        <v/>
      </c>
      <c r="AE1212" s="23" t="n">
        <v>1337936.99</v>
      </c>
      <c r="AF1212" s="23" t="n">
        <v>9765937.609999999</v>
      </c>
      <c r="AG1212" s="23" t="n">
        <v>0</v>
      </c>
      <c r="AH1212" s="23" t="n">
        <v>1471730.68</v>
      </c>
      <c r="AI1212" s="23" t="n">
        <v>2090.83</v>
      </c>
      <c r="AJ1212" s="18">
        <f>$R1212-$AE1212</f>
        <v/>
      </c>
      <c r="AK1212" s="18">
        <f>$U1212-$AF1212</f>
        <v/>
      </c>
      <c r="AL1212" s="18">
        <f>$AC1212-$AH1212</f>
        <v/>
      </c>
      <c r="AM1212" s="8">
        <f>IF(AND(ABS($AJ1212)&lt;=tol_mcx_inr,ABS($AK1212)&lt;=tol_mcx_inr,ABS($AL1212)&lt;=tol_mcx_inr),"PASS","FAIL")</f>
        <v/>
      </c>
    </row>
    <row r="1213">
      <c r="A1213" s="7" t="inlineStr">
        <is>
          <t>T04</t>
        </is>
      </c>
      <c r="B1213" s="7" t="inlineStr">
        <is>
          <t>T04-MCX-2</t>
        </is>
      </c>
      <c r="C1213" s="11" t="n">
        <v>44692</v>
      </c>
      <c r="D1213" s="7" t="n">
        <v>202205</v>
      </c>
      <c r="E1213" s="7" t="inlineStr">
        <is>
          <t>SELL</t>
        </is>
      </c>
      <c r="F1213" s="7" t="inlineStr">
        <is>
          <t>hold</t>
        </is>
      </c>
      <c r="G1213" s="17" t="b">
        <v>1</v>
      </c>
      <c r="H1213" s="6" t="n">
        <v>-87</v>
      </c>
      <c r="I1213" s="13" t="n">
        <v>5</v>
      </c>
      <c r="J1213" s="8">
        <f>OR($F1213="entry",$F1213="roll_in")</f>
        <v/>
      </c>
      <c r="K1213" s="8">
        <f>OR($F1213="exit",$F1213="roll_out")</f>
        <v/>
      </c>
      <c r="L1213" s="8">
        <f>OR(AND($E1213="SELL",$K1213),AND($E1213="BUY",$J1213))</f>
        <v/>
      </c>
      <c r="M1213" s="16">
        <f>((INDEX(Market_Daily!$B$6:$B$256,MATCH($C1213,Market_Daily!$A$6:$A$256,0))*INDEX(Market_Daily!$F$6:$F$256,MATCH($C1213,Market_Daily!$A$6:$A$256,0))/kg_per_mt*(1+bcd_primary_al_hs7601*(1+sws_rate_on_bcd))+mcx_domestic_premium_inr_kg)*(1+INDEX(Market_Daily!$I$6:$I$256,MATCH($C1213,Market_Daily!$A$6:$A$256,0))*MAX(0,INDEX(mcx_expiries,MATCH($D1213,mcx_months,0))-$C1213)/day_count_inr))</f>
        <v/>
      </c>
      <c r="N1213" s="16">
        <f>IF(INDEX(Market_Daily!$S$6:$S$256,MATCH($C1213,Market_Daily!$A$6:$A$256,0))=$D1213,INDEX(Market_Daily!$M$6:$M$256,MATCH($C1213,Market_Daily!$A$6:$A$256,0)),IF(INDEX(Market_Daily!$T$6:$T$256,MATCH($C1213,Market_Daily!$A$6:$A$256,0))=$D1213,INDEX(Market_Daily!$N$6:$N$256,MATCH($C1213,Market_Daily!$A$6:$A$256,0)),NA()))</f>
        <v/>
      </c>
      <c r="O1213" s="16">
        <f>$N1213-$M1213</f>
        <v/>
      </c>
      <c r="P1213" s="16">
        <f>IF(($B1212=$B1213),$M1212,"")</f>
        <v/>
      </c>
      <c r="Q1213" s="16">
        <f>$M1213+IF($L1213,1,-1)*mcx_slippage_ticks*mcx_al_tick_inr_kg</f>
        <v/>
      </c>
      <c r="R1213" s="18">
        <f>IF(($B1212=$B1213),$H1213*$I1213*kg_per_mt*($M1213-$M1212),0)</f>
        <v/>
      </c>
      <c r="S1213" s="18">
        <f>IF(($B1212=$B1213),$S1212,0)+$R1213</f>
        <v/>
      </c>
      <c r="T1213" s="18">
        <f>ABS($H1213)*$I1213*kg_per_mt*$M1213</f>
        <v/>
      </c>
      <c r="U1213" s="18">
        <f>IF($K1213,0,$T1213*mcx_al_margin_used_frac)</f>
        <v/>
      </c>
      <c r="V1213" s="18">
        <f>IF(($B1212=$B1213),$U1212,0)</f>
        <v/>
      </c>
      <c r="W1213" s="18">
        <f>$U1213-$V1213</f>
        <v/>
      </c>
      <c r="X1213" s="18">
        <f>IF($K1213,0,$T1213*0.12)</f>
        <v/>
      </c>
      <c r="Y1213" s="18">
        <f>IF($K1213,0,$T1213*0.15)</f>
        <v/>
      </c>
      <c r="Z1213" s="18">
        <f>IF($F1213="hold",0,-ABS($H1213)*$I1213*kg_per_mt*mcx_slippage_ticks*mcx_al_tick_inr_kg)</f>
        <v/>
      </c>
      <c r="AA1213" s="18">
        <f>IF($F1213="hold",0,-ABS($H1213)*$I1213*kg_per_mt*$Q1213*mcx_txn_cost_frac)</f>
        <v/>
      </c>
      <c r="AB1213" s="18">
        <f>$Z1213+$AA1213</f>
        <v/>
      </c>
      <c r="AC1213" s="18">
        <f>$R1213-$W1213+$AB1213</f>
        <v/>
      </c>
      <c r="AD1213" s="18">
        <f>IF(($B1212=$B1213),$AD1212,0)+$AC1213</f>
        <v/>
      </c>
      <c r="AE1213" s="23" t="n">
        <v>-2125414.78</v>
      </c>
      <c r="AF1213" s="23" t="n">
        <v>9978479.09</v>
      </c>
      <c r="AG1213" s="23" t="n">
        <v>0</v>
      </c>
      <c r="AH1213" s="23" t="n">
        <v>-2337956.26</v>
      </c>
      <c r="AI1213" s="23" t="n">
        <v>2477.91</v>
      </c>
      <c r="AJ1213" s="18">
        <f>$R1213-$AE1213</f>
        <v/>
      </c>
      <c r="AK1213" s="18">
        <f>$U1213-$AF1213</f>
        <v/>
      </c>
      <c r="AL1213" s="18">
        <f>$AC1213-$AH1213</f>
        <v/>
      </c>
      <c r="AM1213" s="8">
        <f>IF(AND(ABS($AJ1213)&lt;=tol_mcx_inr,ABS($AK1213)&lt;=tol_mcx_inr,ABS($AL1213)&lt;=tol_mcx_inr),"PASS","FAIL")</f>
        <v/>
      </c>
    </row>
    <row r="1214">
      <c r="A1214" s="7" t="inlineStr">
        <is>
          <t>T04</t>
        </is>
      </c>
      <c r="B1214" s="7" t="inlineStr">
        <is>
          <t>T04-MCX-2</t>
        </is>
      </c>
      <c r="C1214" s="11" t="n">
        <v>44693</v>
      </c>
      <c r="D1214" s="7" t="n">
        <v>202205</v>
      </c>
      <c r="E1214" s="7" t="inlineStr">
        <is>
          <t>SELL</t>
        </is>
      </c>
      <c r="F1214" s="7" t="inlineStr">
        <is>
          <t>hold</t>
        </is>
      </c>
      <c r="G1214" s="17" t="b">
        <v>1</v>
      </c>
      <c r="H1214" s="6" t="n">
        <v>-87</v>
      </c>
      <c r="I1214" s="13" t="n">
        <v>5</v>
      </c>
      <c r="J1214" s="8">
        <f>OR($F1214="entry",$F1214="roll_in")</f>
        <v/>
      </c>
      <c r="K1214" s="8">
        <f>OR($F1214="exit",$F1214="roll_out")</f>
        <v/>
      </c>
      <c r="L1214" s="8">
        <f>OR(AND($E1214="SELL",$K1214),AND($E1214="BUY",$J1214))</f>
        <v/>
      </c>
      <c r="M1214" s="16">
        <f>((INDEX(Market_Daily!$B$6:$B$256,MATCH($C1214,Market_Daily!$A$6:$A$256,0))*INDEX(Market_Daily!$F$6:$F$256,MATCH($C1214,Market_Daily!$A$6:$A$256,0))/kg_per_mt*(1+bcd_primary_al_hs7601*(1+sws_rate_on_bcd))+mcx_domestic_premium_inr_kg)*(1+INDEX(Market_Daily!$I$6:$I$256,MATCH($C1214,Market_Daily!$A$6:$A$256,0))*MAX(0,INDEX(mcx_expiries,MATCH($D1214,mcx_months,0))-$C1214)/day_count_inr))</f>
        <v/>
      </c>
      <c r="N1214" s="16">
        <f>IF(INDEX(Market_Daily!$S$6:$S$256,MATCH($C1214,Market_Daily!$A$6:$A$256,0))=$D1214,INDEX(Market_Daily!$M$6:$M$256,MATCH($C1214,Market_Daily!$A$6:$A$256,0)),IF(INDEX(Market_Daily!$T$6:$T$256,MATCH($C1214,Market_Daily!$A$6:$A$256,0))=$D1214,INDEX(Market_Daily!$N$6:$N$256,MATCH($C1214,Market_Daily!$A$6:$A$256,0)),NA()))</f>
        <v/>
      </c>
      <c r="O1214" s="16">
        <f>$N1214-$M1214</f>
        <v/>
      </c>
      <c r="P1214" s="16">
        <f>IF(($B1213=$B1214),$M1213,"")</f>
        <v/>
      </c>
      <c r="Q1214" s="16">
        <f>$M1214+IF($L1214,1,-1)*mcx_slippage_ticks*mcx_al_tick_inr_kg</f>
        <v/>
      </c>
      <c r="R1214" s="18">
        <f>IF(($B1213=$B1214),$H1214*$I1214*kg_per_mt*($M1214-$M1213),0)</f>
        <v/>
      </c>
      <c r="S1214" s="18">
        <f>IF(($B1213=$B1214),$S1213,0)+$R1214</f>
        <v/>
      </c>
      <c r="T1214" s="18">
        <f>ABS($H1214)*$I1214*kg_per_mt*$M1214</f>
        <v/>
      </c>
      <c r="U1214" s="18">
        <f>IF($K1214,0,$T1214*mcx_al_margin_used_frac)</f>
        <v/>
      </c>
      <c r="V1214" s="18">
        <f>IF(($B1213=$B1214),$U1213,0)</f>
        <v/>
      </c>
      <c r="W1214" s="18">
        <f>$U1214-$V1214</f>
        <v/>
      </c>
      <c r="X1214" s="18">
        <f>IF($K1214,0,$T1214*0.12)</f>
        <v/>
      </c>
      <c r="Y1214" s="18">
        <f>IF($K1214,0,$T1214*0.15)</f>
        <v/>
      </c>
      <c r="Z1214" s="18">
        <f>IF($F1214="hold",0,-ABS($H1214)*$I1214*kg_per_mt*mcx_slippage_ticks*mcx_al_tick_inr_kg)</f>
        <v/>
      </c>
      <c r="AA1214" s="18">
        <f>IF($F1214="hold",0,-ABS($H1214)*$I1214*kg_per_mt*$Q1214*mcx_txn_cost_frac)</f>
        <v/>
      </c>
      <c r="AB1214" s="18">
        <f>$Z1214+$AA1214</f>
        <v/>
      </c>
      <c r="AC1214" s="18">
        <f>$R1214-$W1214+$AB1214</f>
        <v/>
      </c>
      <c r="AD1214" s="18">
        <f>IF(($B1213=$B1214),$AD1213,0)+$AC1214</f>
        <v/>
      </c>
      <c r="AE1214" s="23" t="n">
        <v>1441667.4</v>
      </c>
      <c r="AF1214" s="23" t="n">
        <v>9834312.35</v>
      </c>
      <c r="AG1214" s="23" t="n">
        <v>0</v>
      </c>
      <c r="AH1214" s="23" t="n">
        <v>1585834.14</v>
      </c>
      <c r="AI1214" s="23" t="n">
        <v>1863</v>
      </c>
      <c r="AJ1214" s="18">
        <f>$R1214-$AE1214</f>
        <v/>
      </c>
      <c r="AK1214" s="18">
        <f>$U1214-$AF1214</f>
        <v/>
      </c>
      <c r="AL1214" s="18">
        <f>$AC1214-$AH1214</f>
        <v/>
      </c>
      <c r="AM1214" s="8">
        <f>IF(AND(ABS($AJ1214)&lt;=tol_mcx_inr,ABS($AK1214)&lt;=tol_mcx_inr,ABS($AL1214)&lt;=tol_mcx_inr),"PASS","FAIL")</f>
        <v/>
      </c>
    </row>
    <row r="1215">
      <c r="A1215" s="7" t="inlineStr">
        <is>
          <t>T04</t>
        </is>
      </c>
      <c r="B1215" s="7" t="inlineStr">
        <is>
          <t>T04-MCX-2</t>
        </is>
      </c>
      <c r="C1215" s="11" t="n">
        <v>44694</v>
      </c>
      <c r="D1215" s="7" t="n">
        <v>202205</v>
      </c>
      <c r="E1215" s="7" t="inlineStr">
        <is>
          <t>SELL</t>
        </is>
      </c>
      <c r="F1215" s="7" t="inlineStr">
        <is>
          <t>hold</t>
        </is>
      </c>
      <c r="G1215" s="17" t="b">
        <v>1</v>
      </c>
      <c r="H1215" s="6" t="n">
        <v>-87</v>
      </c>
      <c r="I1215" s="13" t="n">
        <v>5</v>
      </c>
      <c r="J1215" s="8">
        <f>OR($F1215="entry",$F1215="roll_in")</f>
        <v/>
      </c>
      <c r="K1215" s="8">
        <f>OR($F1215="exit",$F1215="roll_out")</f>
        <v/>
      </c>
      <c r="L1215" s="8">
        <f>OR(AND($E1215="SELL",$K1215),AND($E1215="BUY",$J1215))</f>
        <v/>
      </c>
      <c r="M1215" s="16">
        <f>((INDEX(Market_Daily!$B$6:$B$256,MATCH($C1215,Market_Daily!$A$6:$A$256,0))*INDEX(Market_Daily!$F$6:$F$256,MATCH($C1215,Market_Daily!$A$6:$A$256,0))/kg_per_mt*(1+bcd_primary_al_hs7601*(1+sws_rate_on_bcd))+mcx_domestic_premium_inr_kg)*(1+INDEX(Market_Daily!$I$6:$I$256,MATCH($C1215,Market_Daily!$A$6:$A$256,0))*MAX(0,INDEX(mcx_expiries,MATCH($D1215,mcx_months,0))-$C1215)/day_count_inr))</f>
        <v/>
      </c>
      <c r="N1215" s="16">
        <f>IF(INDEX(Market_Daily!$S$6:$S$256,MATCH($C1215,Market_Daily!$A$6:$A$256,0))=$D1215,INDEX(Market_Daily!$M$6:$M$256,MATCH($C1215,Market_Daily!$A$6:$A$256,0)),IF(INDEX(Market_Daily!$T$6:$T$256,MATCH($C1215,Market_Daily!$A$6:$A$256,0))=$D1215,INDEX(Market_Daily!$N$6:$N$256,MATCH($C1215,Market_Daily!$A$6:$A$256,0)),NA()))</f>
        <v/>
      </c>
      <c r="O1215" s="16">
        <f>$N1215-$M1215</f>
        <v/>
      </c>
      <c r="P1215" s="16">
        <f>IF(($B1214=$B1215),$M1214,"")</f>
        <v/>
      </c>
      <c r="Q1215" s="16">
        <f>$M1215+IF($L1215,1,-1)*mcx_slippage_ticks*mcx_al_tick_inr_kg</f>
        <v/>
      </c>
      <c r="R1215" s="18">
        <f>IF(($B1214=$B1215),$H1215*$I1215*kg_per_mt*($M1215-$M1214),0)</f>
        <v/>
      </c>
      <c r="S1215" s="18">
        <f>IF(($B1214=$B1215),$S1214,0)+$R1215</f>
        <v/>
      </c>
      <c r="T1215" s="18">
        <f>ABS($H1215)*$I1215*kg_per_mt*$M1215</f>
        <v/>
      </c>
      <c r="U1215" s="18">
        <f>IF($K1215,0,$T1215*mcx_al_margin_used_frac)</f>
        <v/>
      </c>
      <c r="V1215" s="18">
        <f>IF(($B1214=$B1215),$U1214,0)</f>
        <v/>
      </c>
      <c r="W1215" s="18">
        <f>$U1215-$V1215</f>
        <v/>
      </c>
      <c r="X1215" s="18">
        <f>IF($K1215,0,$T1215*0.12)</f>
        <v/>
      </c>
      <c r="Y1215" s="18">
        <f>IF($K1215,0,$T1215*0.15)</f>
        <v/>
      </c>
      <c r="Z1215" s="18">
        <f>IF($F1215="hold",0,-ABS($H1215)*$I1215*kg_per_mt*mcx_slippage_ticks*mcx_al_tick_inr_kg)</f>
        <v/>
      </c>
      <c r="AA1215" s="18">
        <f>IF($F1215="hold",0,-ABS($H1215)*$I1215*kg_per_mt*$Q1215*mcx_txn_cost_frac)</f>
        <v/>
      </c>
      <c r="AB1215" s="18">
        <f>$Z1215+$AA1215</f>
        <v/>
      </c>
      <c r="AC1215" s="18">
        <f>$R1215-$W1215+$AB1215</f>
        <v/>
      </c>
      <c r="AD1215" s="18">
        <f>IF(($B1214=$B1215),$AD1214,0)+$AC1215</f>
        <v/>
      </c>
      <c r="AE1215" s="23" t="n">
        <v>-1196803.68</v>
      </c>
      <c r="AF1215" s="23" t="n">
        <v>9953992.720000001</v>
      </c>
      <c r="AG1215" s="23" t="n">
        <v>0</v>
      </c>
      <c r="AH1215" s="23" t="n">
        <v>-1316484.05</v>
      </c>
      <c r="AI1215" s="23" t="n">
        <v>2280.09</v>
      </c>
      <c r="AJ1215" s="18">
        <f>$R1215-$AE1215</f>
        <v/>
      </c>
      <c r="AK1215" s="18">
        <f>$U1215-$AF1215</f>
        <v/>
      </c>
      <c r="AL1215" s="18">
        <f>$AC1215-$AH1215</f>
        <v/>
      </c>
      <c r="AM1215" s="8">
        <f>IF(AND(ABS($AJ1215)&lt;=tol_mcx_inr,ABS($AK1215)&lt;=tol_mcx_inr,ABS($AL1215)&lt;=tol_mcx_inr),"PASS","FAIL")</f>
        <v/>
      </c>
    </row>
    <row r="1216">
      <c r="A1216" s="7" t="inlineStr">
        <is>
          <t>T04</t>
        </is>
      </c>
      <c r="B1216" s="7" t="inlineStr">
        <is>
          <t>T04-MCX-2</t>
        </is>
      </c>
      <c r="C1216" s="11" t="n">
        <v>44697</v>
      </c>
      <c r="D1216" s="7" t="n">
        <v>202205</v>
      </c>
      <c r="E1216" s="7" t="inlineStr">
        <is>
          <t>SELL</t>
        </is>
      </c>
      <c r="F1216" s="7" t="inlineStr">
        <is>
          <t>hold</t>
        </is>
      </c>
      <c r="G1216" s="17" t="b">
        <v>1</v>
      </c>
      <c r="H1216" s="6" t="n">
        <v>-87</v>
      </c>
      <c r="I1216" s="13" t="n">
        <v>5</v>
      </c>
      <c r="J1216" s="8">
        <f>OR($F1216="entry",$F1216="roll_in")</f>
        <v/>
      </c>
      <c r="K1216" s="8">
        <f>OR($F1216="exit",$F1216="roll_out")</f>
        <v/>
      </c>
      <c r="L1216" s="8">
        <f>OR(AND($E1216="SELL",$K1216),AND($E1216="BUY",$J1216))</f>
        <v/>
      </c>
      <c r="M1216" s="16">
        <f>((INDEX(Market_Daily!$B$6:$B$256,MATCH($C1216,Market_Daily!$A$6:$A$256,0))*INDEX(Market_Daily!$F$6:$F$256,MATCH($C1216,Market_Daily!$A$6:$A$256,0))/kg_per_mt*(1+bcd_primary_al_hs7601*(1+sws_rate_on_bcd))+mcx_domestic_premium_inr_kg)*(1+INDEX(Market_Daily!$I$6:$I$256,MATCH($C1216,Market_Daily!$A$6:$A$256,0))*MAX(0,INDEX(mcx_expiries,MATCH($D1216,mcx_months,0))-$C1216)/day_count_inr))</f>
        <v/>
      </c>
      <c r="N1216" s="16">
        <f>IF(INDEX(Market_Daily!$S$6:$S$256,MATCH($C1216,Market_Daily!$A$6:$A$256,0))=$D1216,INDEX(Market_Daily!$M$6:$M$256,MATCH($C1216,Market_Daily!$A$6:$A$256,0)),IF(INDEX(Market_Daily!$T$6:$T$256,MATCH($C1216,Market_Daily!$A$6:$A$256,0))=$D1216,INDEX(Market_Daily!$N$6:$N$256,MATCH($C1216,Market_Daily!$A$6:$A$256,0)),NA()))</f>
        <v/>
      </c>
      <c r="O1216" s="16">
        <f>$N1216-$M1216</f>
        <v/>
      </c>
      <c r="P1216" s="16">
        <f>IF(($B1215=$B1216),$M1215,"")</f>
        <v/>
      </c>
      <c r="Q1216" s="16">
        <f>$M1216+IF($L1216,1,-1)*mcx_slippage_ticks*mcx_al_tick_inr_kg</f>
        <v/>
      </c>
      <c r="R1216" s="18">
        <f>IF(($B1215=$B1216),$H1216*$I1216*kg_per_mt*($M1216-$M1215),0)</f>
        <v/>
      </c>
      <c r="S1216" s="18">
        <f>IF(($B1215=$B1216),$S1215,0)+$R1216</f>
        <v/>
      </c>
      <c r="T1216" s="18">
        <f>ABS($H1216)*$I1216*kg_per_mt*$M1216</f>
        <v/>
      </c>
      <c r="U1216" s="18">
        <f>IF($K1216,0,$T1216*mcx_al_margin_used_frac)</f>
        <v/>
      </c>
      <c r="V1216" s="18">
        <f>IF(($B1215=$B1216),$U1215,0)</f>
        <v/>
      </c>
      <c r="W1216" s="18">
        <f>$U1216-$V1216</f>
        <v/>
      </c>
      <c r="X1216" s="18">
        <f>IF($K1216,0,$T1216*0.12)</f>
        <v/>
      </c>
      <c r="Y1216" s="18">
        <f>IF($K1216,0,$T1216*0.15)</f>
        <v/>
      </c>
      <c r="Z1216" s="18">
        <f>IF($F1216="hold",0,-ABS($H1216)*$I1216*kg_per_mt*mcx_slippage_ticks*mcx_al_tick_inr_kg)</f>
        <v/>
      </c>
      <c r="AA1216" s="18">
        <f>IF($F1216="hold",0,-ABS($H1216)*$I1216*kg_per_mt*$Q1216*mcx_txn_cost_frac)</f>
        <v/>
      </c>
      <c r="AB1216" s="18">
        <f>$Z1216+$AA1216</f>
        <v/>
      </c>
      <c r="AC1216" s="18">
        <f>$R1216-$W1216+$AB1216</f>
        <v/>
      </c>
      <c r="AD1216" s="18">
        <f>IF(($B1215=$B1216),$AD1215,0)+$AC1216</f>
        <v/>
      </c>
      <c r="AE1216" s="23" t="n">
        <v>-2904659.88</v>
      </c>
      <c r="AF1216" s="23" t="n">
        <v>10244458.71</v>
      </c>
      <c r="AG1216" s="23" t="n">
        <v>0</v>
      </c>
      <c r="AH1216" s="23" t="n">
        <v>-3195125.87</v>
      </c>
      <c r="AI1216" s="23" t="n">
        <v>5801.52</v>
      </c>
      <c r="AJ1216" s="18">
        <f>$R1216-$AE1216</f>
        <v/>
      </c>
      <c r="AK1216" s="18">
        <f>$U1216-$AF1216</f>
        <v/>
      </c>
      <c r="AL1216" s="18">
        <f>$AC1216-$AH1216</f>
        <v/>
      </c>
      <c r="AM1216" s="8">
        <f>IF(AND(ABS($AJ1216)&lt;=tol_mcx_inr,ABS($AK1216)&lt;=tol_mcx_inr,ABS($AL1216)&lt;=tol_mcx_inr),"PASS","FAIL")</f>
        <v/>
      </c>
    </row>
    <row r="1217">
      <c r="A1217" s="7" t="inlineStr">
        <is>
          <t>T04</t>
        </is>
      </c>
      <c r="B1217" s="7" t="inlineStr">
        <is>
          <t>T04-MCX-2</t>
        </is>
      </c>
      <c r="C1217" s="11" t="n">
        <v>44698</v>
      </c>
      <c r="D1217" s="7" t="n">
        <v>202205</v>
      </c>
      <c r="E1217" s="7" t="inlineStr">
        <is>
          <t>SELL</t>
        </is>
      </c>
      <c r="F1217" s="7" t="inlineStr">
        <is>
          <t>hold</t>
        </is>
      </c>
      <c r="G1217" s="17" t="b">
        <v>1</v>
      </c>
      <c r="H1217" s="6" t="n">
        <v>-87</v>
      </c>
      <c r="I1217" s="13" t="n">
        <v>5</v>
      </c>
      <c r="J1217" s="8">
        <f>OR($F1217="entry",$F1217="roll_in")</f>
        <v/>
      </c>
      <c r="K1217" s="8">
        <f>OR($F1217="exit",$F1217="roll_out")</f>
        <v/>
      </c>
      <c r="L1217" s="8">
        <f>OR(AND($E1217="SELL",$K1217),AND($E1217="BUY",$J1217))</f>
        <v/>
      </c>
      <c r="M1217" s="16">
        <f>((INDEX(Market_Daily!$B$6:$B$256,MATCH($C1217,Market_Daily!$A$6:$A$256,0))*INDEX(Market_Daily!$F$6:$F$256,MATCH($C1217,Market_Daily!$A$6:$A$256,0))/kg_per_mt*(1+bcd_primary_al_hs7601*(1+sws_rate_on_bcd))+mcx_domestic_premium_inr_kg)*(1+INDEX(Market_Daily!$I$6:$I$256,MATCH($C1217,Market_Daily!$A$6:$A$256,0))*MAX(0,INDEX(mcx_expiries,MATCH($D1217,mcx_months,0))-$C1217)/day_count_inr))</f>
        <v/>
      </c>
      <c r="N1217" s="16">
        <f>IF(INDEX(Market_Daily!$S$6:$S$256,MATCH($C1217,Market_Daily!$A$6:$A$256,0))=$D1217,INDEX(Market_Daily!$M$6:$M$256,MATCH($C1217,Market_Daily!$A$6:$A$256,0)),IF(INDEX(Market_Daily!$T$6:$T$256,MATCH($C1217,Market_Daily!$A$6:$A$256,0))=$D1217,INDEX(Market_Daily!$N$6:$N$256,MATCH($C1217,Market_Daily!$A$6:$A$256,0)),NA()))</f>
        <v/>
      </c>
      <c r="O1217" s="16">
        <f>$N1217-$M1217</f>
        <v/>
      </c>
      <c r="P1217" s="16">
        <f>IF(($B1216=$B1217),$M1216,"")</f>
        <v/>
      </c>
      <c r="Q1217" s="16">
        <f>$M1217+IF($L1217,1,-1)*mcx_slippage_ticks*mcx_al_tick_inr_kg</f>
        <v/>
      </c>
      <c r="R1217" s="18">
        <f>IF(($B1216=$B1217),$H1217*$I1217*kg_per_mt*($M1217-$M1216),0)</f>
        <v/>
      </c>
      <c r="S1217" s="18">
        <f>IF(($B1216=$B1217),$S1216,0)+$R1217</f>
        <v/>
      </c>
      <c r="T1217" s="18">
        <f>ABS($H1217)*$I1217*kg_per_mt*$M1217</f>
        <v/>
      </c>
      <c r="U1217" s="18">
        <f>IF($K1217,0,$T1217*mcx_al_margin_used_frac)</f>
        <v/>
      </c>
      <c r="V1217" s="18">
        <f>IF(($B1216=$B1217),$U1216,0)</f>
        <v/>
      </c>
      <c r="W1217" s="18">
        <f>$U1217-$V1217</f>
        <v/>
      </c>
      <c r="X1217" s="18">
        <f>IF($K1217,0,$T1217*0.12)</f>
        <v/>
      </c>
      <c r="Y1217" s="18">
        <f>IF($K1217,0,$T1217*0.15)</f>
        <v/>
      </c>
      <c r="Z1217" s="18">
        <f>IF($F1217="hold",0,-ABS($H1217)*$I1217*kg_per_mt*mcx_slippage_ticks*mcx_al_tick_inr_kg)</f>
        <v/>
      </c>
      <c r="AA1217" s="18">
        <f>IF($F1217="hold",0,-ABS($H1217)*$I1217*kg_per_mt*$Q1217*mcx_txn_cost_frac)</f>
        <v/>
      </c>
      <c r="AB1217" s="18">
        <f>$Z1217+$AA1217</f>
        <v/>
      </c>
      <c r="AC1217" s="18">
        <f>$R1217-$W1217+$AB1217</f>
        <v/>
      </c>
      <c r="AD1217" s="18">
        <f>IF(($B1216=$B1217),$AD1216,0)+$AC1217</f>
        <v/>
      </c>
      <c r="AE1217" s="23" t="n">
        <v>-1187404.76</v>
      </c>
      <c r="AF1217" s="23" t="n">
        <v>10363199.18</v>
      </c>
      <c r="AG1217" s="23" t="n">
        <v>0</v>
      </c>
      <c r="AH1217" s="23" t="n">
        <v>-1306145.23</v>
      </c>
      <c r="AI1217" s="23" t="n">
        <v>1104.87</v>
      </c>
      <c r="AJ1217" s="18">
        <f>$R1217-$AE1217</f>
        <v/>
      </c>
      <c r="AK1217" s="18">
        <f>$U1217-$AF1217</f>
        <v/>
      </c>
      <c r="AL1217" s="18">
        <f>$AC1217-$AH1217</f>
        <v/>
      </c>
      <c r="AM1217" s="8">
        <f>IF(AND(ABS($AJ1217)&lt;=tol_mcx_inr,ABS($AK1217)&lt;=tol_mcx_inr,ABS($AL1217)&lt;=tol_mcx_inr),"PASS","FAIL")</f>
        <v/>
      </c>
    </row>
    <row r="1218">
      <c r="A1218" s="7" t="inlineStr">
        <is>
          <t>T04</t>
        </is>
      </c>
      <c r="B1218" s="7" t="inlineStr">
        <is>
          <t>T04-MCX-2</t>
        </is>
      </c>
      <c r="C1218" s="11" t="n">
        <v>44699</v>
      </c>
      <c r="D1218" s="7" t="n">
        <v>202205</v>
      </c>
      <c r="E1218" s="7" t="inlineStr">
        <is>
          <t>SELL</t>
        </is>
      </c>
      <c r="F1218" s="7" t="inlineStr">
        <is>
          <t>hold</t>
        </is>
      </c>
      <c r="G1218" s="17" t="b">
        <v>1</v>
      </c>
      <c r="H1218" s="6" t="n">
        <v>-87</v>
      </c>
      <c r="I1218" s="13" t="n">
        <v>5</v>
      </c>
      <c r="J1218" s="8">
        <f>OR($F1218="entry",$F1218="roll_in")</f>
        <v/>
      </c>
      <c r="K1218" s="8">
        <f>OR($F1218="exit",$F1218="roll_out")</f>
        <v/>
      </c>
      <c r="L1218" s="8">
        <f>OR(AND($E1218="SELL",$K1218),AND($E1218="BUY",$J1218))</f>
        <v/>
      </c>
      <c r="M1218" s="16">
        <f>((INDEX(Market_Daily!$B$6:$B$256,MATCH($C1218,Market_Daily!$A$6:$A$256,0))*INDEX(Market_Daily!$F$6:$F$256,MATCH($C1218,Market_Daily!$A$6:$A$256,0))/kg_per_mt*(1+bcd_primary_al_hs7601*(1+sws_rate_on_bcd))+mcx_domestic_premium_inr_kg)*(1+INDEX(Market_Daily!$I$6:$I$256,MATCH($C1218,Market_Daily!$A$6:$A$256,0))*MAX(0,INDEX(mcx_expiries,MATCH($D1218,mcx_months,0))-$C1218)/day_count_inr))</f>
        <v/>
      </c>
      <c r="N1218" s="16">
        <f>IF(INDEX(Market_Daily!$S$6:$S$256,MATCH($C1218,Market_Daily!$A$6:$A$256,0))=$D1218,INDEX(Market_Daily!$M$6:$M$256,MATCH($C1218,Market_Daily!$A$6:$A$256,0)),IF(INDEX(Market_Daily!$T$6:$T$256,MATCH($C1218,Market_Daily!$A$6:$A$256,0))=$D1218,INDEX(Market_Daily!$N$6:$N$256,MATCH($C1218,Market_Daily!$A$6:$A$256,0)),NA()))</f>
        <v/>
      </c>
      <c r="O1218" s="16">
        <f>$N1218-$M1218</f>
        <v/>
      </c>
      <c r="P1218" s="16">
        <f>IF(($B1217=$B1218),$M1217,"")</f>
        <v/>
      </c>
      <c r="Q1218" s="16">
        <f>$M1218+IF($L1218,1,-1)*mcx_slippage_ticks*mcx_al_tick_inr_kg</f>
        <v/>
      </c>
      <c r="R1218" s="18">
        <f>IF(($B1217=$B1218),$H1218*$I1218*kg_per_mt*($M1218-$M1217),0)</f>
        <v/>
      </c>
      <c r="S1218" s="18">
        <f>IF(($B1217=$B1218),$S1217,0)+$R1218</f>
        <v/>
      </c>
      <c r="T1218" s="18">
        <f>ABS($H1218)*$I1218*kg_per_mt*$M1218</f>
        <v/>
      </c>
      <c r="U1218" s="18">
        <f>IF($K1218,0,$T1218*mcx_al_margin_used_frac)</f>
        <v/>
      </c>
      <c r="V1218" s="18">
        <f>IF(($B1217=$B1218),$U1217,0)</f>
        <v/>
      </c>
      <c r="W1218" s="18">
        <f>$U1218-$V1218</f>
        <v/>
      </c>
      <c r="X1218" s="18">
        <f>IF($K1218,0,$T1218*0.12)</f>
        <v/>
      </c>
      <c r="Y1218" s="18">
        <f>IF($K1218,0,$T1218*0.15)</f>
        <v/>
      </c>
      <c r="Z1218" s="18">
        <f>IF($F1218="hold",0,-ABS($H1218)*$I1218*kg_per_mt*mcx_slippage_ticks*mcx_al_tick_inr_kg)</f>
        <v/>
      </c>
      <c r="AA1218" s="18">
        <f>IF($F1218="hold",0,-ABS($H1218)*$I1218*kg_per_mt*$Q1218*mcx_txn_cost_frac)</f>
        <v/>
      </c>
      <c r="AB1218" s="18">
        <f>$Z1218+$AA1218</f>
        <v/>
      </c>
      <c r="AC1218" s="18">
        <f>$R1218-$W1218+$AB1218</f>
        <v/>
      </c>
      <c r="AD1218" s="18">
        <f>IF(($B1217=$B1218),$AD1217,0)+$AC1218</f>
        <v/>
      </c>
      <c r="AE1218" s="23" t="n">
        <v>-485571.67</v>
      </c>
      <c r="AF1218" s="23" t="n">
        <v>10411756.35</v>
      </c>
      <c r="AG1218" s="23" t="n">
        <v>0</v>
      </c>
      <c r="AH1218" s="23" t="n">
        <v>-534128.83</v>
      </c>
      <c r="AI1218" s="23" t="n">
        <v>757.75</v>
      </c>
      <c r="AJ1218" s="18">
        <f>$R1218-$AE1218</f>
        <v/>
      </c>
      <c r="AK1218" s="18">
        <f>$U1218-$AF1218</f>
        <v/>
      </c>
      <c r="AL1218" s="18">
        <f>$AC1218-$AH1218</f>
        <v/>
      </c>
      <c r="AM1218" s="8">
        <f>IF(AND(ABS($AJ1218)&lt;=tol_mcx_inr,ABS($AK1218)&lt;=tol_mcx_inr,ABS($AL1218)&lt;=tol_mcx_inr),"PASS","FAIL")</f>
        <v/>
      </c>
    </row>
    <row r="1219">
      <c r="A1219" s="7" t="inlineStr">
        <is>
          <t>T04</t>
        </is>
      </c>
      <c r="B1219" s="7" t="inlineStr">
        <is>
          <t>T04-MCX-2</t>
        </is>
      </c>
      <c r="C1219" s="11" t="n">
        <v>44700</v>
      </c>
      <c r="D1219" s="7" t="n">
        <v>202205</v>
      </c>
      <c r="E1219" s="7" t="inlineStr">
        <is>
          <t>SELL</t>
        </is>
      </c>
      <c r="F1219" s="7" t="inlineStr">
        <is>
          <t>hold</t>
        </is>
      </c>
      <c r="G1219" s="17" t="b">
        <v>1</v>
      </c>
      <c r="H1219" s="6" t="n">
        <v>-87</v>
      </c>
      <c r="I1219" s="13" t="n">
        <v>5</v>
      </c>
      <c r="J1219" s="8">
        <f>OR($F1219="entry",$F1219="roll_in")</f>
        <v/>
      </c>
      <c r="K1219" s="8">
        <f>OR($F1219="exit",$F1219="roll_out")</f>
        <v/>
      </c>
      <c r="L1219" s="8">
        <f>OR(AND($E1219="SELL",$K1219),AND($E1219="BUY",$J1219))</f>
        <v/>
      </c>
      <c r="M1219" s="16">
        <f>((INDEX(Market_Daily!$B$6:$B$256,MATCH($C1219,Market_Daily!$A$6:$A$256,0))*INDEX(Market_Daily!$F$6:$F$256,MATCH($C1219,Market_Daily!$A$6:$A$256,0))/kg_per_mt*(1+bcd_primary_al_hs7601*(1+sws_rate_on_bcd))+mcx_domestic_premium_inr_kg)*(1+INDEX(Market_Daily!$I$6:$I$256,MATCH($C1219,Market_Daily!$A$6:$A$256,0))*MAX(0,INDEX(mcx_expiries,MATCH($D1219,mcx_months,0))-$C1219)/day_count_inr))</f>
        <v/>
      </c>
      <c r="N1219" s="16">
        <f>IF(INDEX(Market_Daily!$S$6:$S$256,MATCH($C1219,Market_Daily!$A$6:$A$256,0))=$D1219,INDEX(Market_Daily!$M$6:$M$256,MATCH($C1219,Market_Daily!$A$6:$A$256,0)),IF(INDEX(Market_Daily!$T$6:$T$256,MATCH($C1219,Market_Daily!$A$6:$A$256,0))=$D1219,INDEX(Market_Daily!$N$6:$N$256,MATCH($C1219,Market_Daily!$A$6:$A$256,0)),NA()))</f>
        <v/>
      </c>
      <c r="O1219" s="16">
        <f>$N1219-$M1219</f>
        <v/>
      </c>
      <c r="P1219" s="16">
        <f>IF(($B1218=$B1219),$M1218,"")</f>
        <v/>
      </c>
      <c r="Q1219" s="16">
        <f>$M1219+IF($L1219,1,-1)*mcx_slippage_ticks*mcx_al_tick_inr_kg</f>
        <v/>
      </c>
      <c r="R1219" s="18">
        <f>IF(($B1218=$B1219),$H1219*$I1219*kg_per_mt*($M1219-$M1218),0)</f>
        <v/>
      </c>
      <c r="S1219" s="18">
        <f>IF(($B1218=$B1219),$S1218,0)+$R1219</f>
        <v/>
      </c>
      <c r="T1219" s="18">
        <f>ABS($H1219)*$I1219*kg_per_mt*$M1219</f>
        <v/>
      </c>
      <c r="U1219" s="18">
        <f>IF($K1219,0,$T1219*mcx_al_margin_used_frac)</f>
        <v/>
      </c>
      <c r="V1219" s="18">
        <f>IF(($B1218=$B1219),$U1218,0)</f>
        <v/>
      </c>
      <c r="W1219" s="18">
        <f>$U1219-$V1219</f>
        <v/>
      </c>
      <c r="X1219" s="18">
        <f>IF($K1219,0,$T1219*0.12)</f>
        <v/>
      </c>
      <c r="Y1219" s="18">
        <f>IF($K1219,0,$T1219*0.15)</f>
        <v/>
      </c>
      <c r="Z1219" s="18">
        <f>IF($F1219="hold",0,-ABS($H1219)*$I1219*kg_per_mt*mcx_slippage_ticks*mcx_al_tick_inr_kg)</f>
        <v/>
      </c>
      <c r="AA1219" s="18">
        <f>IF($F1219="hold",0,-ABS($H1219)*$I1219*kg_per_mt*$Q1219*mcx_txn_cost_frac)</f>
        <v/>
      </c>
      <c r="AB1219" s="18">
        <f>$Z1219+$AA1219</f>
        <v/>
      </c>
      <c r="AC1219" s="18">
        <f>$R1219-$W1219+$AB1219</f>
        <v/>
      </c>
      <c r="AD1219" s="18">
        <f>IF(($B1218=$B1219),$AD1218,0)+$AC1219</f>
        <v/>
      </c>
      <c r="AE1219" s="23" t="n">
        <v>644887.88</v>
      </c>
      <c r="AF1219" s="23" t="n">
        <v>10347267.56</v>
      </c>
      <c r="AG1219" s="23" t="n">
        <v>0</v>
      </c>
      <c r="AH1219" s="23" t="n">
        <v>709376.67</v>
      </c>
      <c r="AI1219" s="23" t="n">
        <v>615.8099999999999</v>
      </c>
      <c r="AJ1219" s="18">
        <f>$R1219-$AE1219</f>
        <v/>
      </c>
      <c r="AK1219" s="18">
        <f>$U1219-$AF1219</f>
        <v/>
      </c>
      <c r="AL1219" s="18">
        <f>$AC1219-$AH1219</f>
        <v/>
      </c>
      <c r="AM1219" s="8">
        <f>IF(AND(ABS($AJ1219)&lt;=tol_mcx_inr,ABS($AK1219)&lt;=tol_mcx_inr,ABS($AL1219)&lt;=tol_mcx_inr),"PASS","FAIL")</f>
        <v/>
      </c>
    </row>
    <row r="1220">
      <c r="A1220" s="7" t="inlineStr">
        <is>
          <t>T04</t>
        </is>
      </c>
      <c r="B1220" s="7" t="inlineStr">
        <is>
          <t>T04-MCX-2</t>
        </is>
      </c>
      <c r="C1220" s="11" t="n">
        <v>44701</v>
      </c>
      <c r="D1220" s="7" t="n">
        <v>202205</v>
      </c>
      <c r="E1220" s="7" t="inlineStr">
        <is>
          <t>SELL</t>
        </is>
      </c>
      <c r="F1220" s="7" t="inlineStr">
        <is>
          <t>roll_out</t>
        </is>
      </c>
      <c r="G1220" s="17" t="b">
        <v>1</v>
      </c>
      <c r="H1220" s="6" t="n">
        <v>-87</v>
      </c>
      <c r="I1220" s="13" t="n">
        <v>5</v>
      </c>
      <c r="J1220" s="8">
        <f>OR($F1220="entry",$F1220="roll_in")</f>
        <v/>
      </c>
      <c r="K1220" s="8">
        <f>OR($F1220="exit",$F1220="roll_out")</f>
        <v/>
      </c>
      <c r="L1220" s="8">
        <f>OR(AND($E1220="SELL",$K1220),AND($E1220="BUY",$J1220))</f>
        <v/>
      </c>
      <c r="M1220" s="16">
        <f>((INDEX(Market_Daily!$B$6:$B$256,MATCH($C1220,Market_Daily!$A$6:$A$256,0))*INDEX(Market_Daily!$F$6:$F$256,MATCH($C1220,Market_Daily!$A$6:$A$256,0))/kg_per_mt*(1+bcd_primary_al_hs7601*(1+sws_rate_on_bcd))+mcx_domestic_premium_inr_kg)*(1+INDEX(Market_Daily!$I$6:$I$256,MATCH($C1220,Market_Daily!$A$6:$A$256,0))*MAX(0,INDEX(mcx_expiries,MATCH($D1220,mcx_months,0))-$C1220)/day_count_inr))</f>
        <v/>
      </c>
      <c r="N1220" s="16">
        <f>IF(INDEX(Market_Daily!$S$6:$S$256,MATCH($C1220,Market_Daily!$A$6:$A$256,0))=$D1220,INDEX(Market_Daily!$M$6:$M$256,MATCH($C1220,Market_Daily!$A$6:$A$256,0)),IF(INDEX(Market_Daily!$T$6:$T$256,MATCH($C1220,Market_Daily!$A$6:$A$256,0))=$D1220,INDEX(Market_Daily!$N$6:$N$256,MATCH($C1220,Market_Daily!$A$6:$A$256,0)),NA()))</f>
        <v/>
      </c>
      <c r="O1220" s="16">
        <f>$N1220-$M1220</f>
        <v/>
      </c>
      <c r="P1220" s="16">
        <f>IF(($B1219=$B1220),$M1219,"")</f>
        <v/>
      </c>
      <c r="Q1220" s="16">
        <f>$M1220+IF($L1220,1,-1)*mcx_slippage_ticks*mcx_al_tick_inr_kg</f>
        <v/>
      </c>
      <c r="R1220" s="18">
        <f>IF(($B1219=$B1220),$H1220*$I1220*kg_per_mt*($M1220-$M1219),0)</f>
        <v/>
      </c>
      <c r="S1220" s="18">
        <f>IF(($B1219=$B1220),$S1219,0)+$R1220</f>
        <v/>
      </c>
      <c r="T1220" s="18">
        <f>ABS($H1220)*$I1220*kg_per_mt*$M1220</f>
        <v/>
      </c>
      <c r="U1220" s="18">
        <f>IF($K1220,0,$T1220*mcx_al_margin_used_frac)</f>
        <v/>
      </c>
      <c r="V1220" s="18">
        <f>IF(($B1219=$B1220),$U1219,0)</f>
        <v/>
      </c>
      <c r="W1220" s="18">
        <f>$U1220-$V1220</f>
        <v/>
      </c>
      <c r="X1220" s="18">
        <f>IF($K1220,0,$T1220*0.12)</f>
        <v/>
      </c>
      <c r="Y1220" s="18">
        <f>IF($K1220,0,$T1220*0.15)</f>
        <v/>
      </c>
      <c r="Z1220" s="18">
        <f>IF($F1220="hold",0,-ABS($H1220)*$I1220*kg_per_mt*mcx_slippage_ticks*mcx_al_tick_inr_kg)</f>
        <v/>
      </c>
      <c r="AA1220" s="18">
        <f>IF($F1220="hold",0,-ABS($H1220)*$I1220*kg_per_mt*$Q1220*mcx_txn_cost_frac)</f>
        <v/>
      </c>
      <c r="AB1220" s="18">
        <f>$Z1220+$AA1220</f>
        <v/>
      </c>
      <c r="AC1220" s="18">
        <f>$R1220-$W1220+$AB1220</f>
        <v/>
      </c>
      <c r="AD1220" s="18">
        <f>IF(($B1219=$B1220),$AD1219,0)+$AC1220</f>
        <v/>
      </c>
      <c r="AE1220" s="23" t="n">
        <v>-3891442.2</v>
      </c>
      <c r="AF1220" s="23" t="n">
        <v>0</v>
      </c>
      <c r="AG1220" s="23" t="n">
        <v>-75722.28999999999</v>
      </c>
      <c r="AH1220" s="23" t="n">
        <v>6380103.08</v>
      </c>
      <c r="AI1220" s="23" t="n">
        <v>804.33</v>
      </c>
      <c r="AJ1220" s="18">
        <f>$R1220-$AE1220</f>
        <v/>
      </c>
      <c r="AK1220" s="18">
        <f>$U1220-$AF1220</f>
        <v/>
      </c>
      <c r="AL1220" s="18">
        <f>$AC1220-$AH1220</f>
        <v/>
      </c>
      <c r="AM1220" s="8">
        <f>IF(AND(ABS($AJ1220)&lt;=tol_mcx_inr,ABS($AK1220)&lt;=tol_mcx_inr,ABS($AL1220)&lt;=tol_mcx_inr),"PASS","FAIL")</f>
        <v/>
      </c>
    </row>
    <row r="1221">
      <c r="A1221" s="7" t="inlineStr">
        <is>
          <t>T04</t>
        </is>
      </c>
      <c r="B1221" s="7" t="inlineStr">
        <is>
          <t>T04-MCX-3</t>
        </is>
      </c>
      <c r="C1221" s="11" t="n">
        <v>44701</v>
      </c>
      <c r="D1221" s="7" t="n">
        <v>202206</v>
      </c>
      <c r="E1221" s="7" t="inlineStr">
        <is>
          <t>SELL</t>
        </is>
      </c>
      <c r="F1221" s="7" t="inlineStr">
        <is>
          <t>roll_in</t>
        </is>
      </c>
      <c r="G1221" s="17" t="b">
        <v>1</v>
      </c>
      <c r="H1221" s="6" t="n">
        <v>-87</v>
      </c>
      <c r="I1221" s="13" t="n">
        <v>5</v>
      </c>
      <c r="J1221" s="8">
        <f>OR($F1221="entry",$F1221="roll_in")</f>
        <v/>
      </c>
      <c r="K1221" s="8">
        <f>OR($F1221="exit",$F1221="roll_out")</f>
        <v/>
      </c>
      <c r="L1221" s="8">
        <f>OR(AND($E1221="SELL",$K1221),AND($E1221="BUY",$J1221))</f>
        <v/>
      </c>
      <c r="M1221" s="16">
        <f>((INDEX(Market_Daily!$B$6:$B$256,MATCH($C1221,Market_Daily!$A$6:$A$256,0))*INDEX(Market_Daily!$F$6:$F$256,MATCH($C1221,Market_Daily!$A$6:$A$256,0))/kg_per_mt*(1+bcd_primary_al_hs7601*(1+sws_rate_on_bcd))+mcx_domestic_premium_inr_kg)*(1+INDEX(Market_Daily!$I$6:$I$256,MATCH($C1221,Market_Daily!$A$6:$A$256,0))*MAX(0,INDEX(mcx_expiries,MATCH($D1221,mcx_months,0))-$C1221)/day_count_inr))</f>
        <v/>
      </c>
      <c r="N1221" s="16">
        <f>IF(INDEX(Market_Daily!$S$6:$S$256,MATCH($C1221,Market_Daily!$A$6:$A$256,0))=$D1221,INDEX(Market_Daily!$M$6:$M$256,MATCH($C1221,Market_Daily!$A$6:$A$256,0)),IF(INDEX(Market_Daily!$T$6:$T$256,MATCH($C1221,Market_Daily!$A$6:$A$256,0))=$D1221,INDEX(Market_Daily!$N$6:$N$256,MATCH($C1221,Market_Daily!$A$6:$A$256,0)),NA()))</f>
        <v/>
      </c>
      <c r="O1221" s="16">
        <f>$N1221-$M1221</f>
        <v/>
      </c>
      <c r="P1221" s="16">
        <f>IF(($B1220=$B1221),$M1220,"")</f>
        <v/>
      </c>
      <c r="Q1221" s="16">
        <f>$M1221+IF($L1221,1,-1)*mcx_slippage_ticks*mcx_al_tick_inr_kg</f>
        <v/>
      </c>
      <c r="R1221" s="18">
        <f>IF(($B1220=$B1221),$H1221*$I1221*kg_per_mt*($M1221-$M1220),0)</f>
        <v/>
      </c>
      <c r="S1221" s="18">
        <f>IF(($B1220=$B1221),$S1220,0)+$R1221</f>
        <v/>
      </c>
      <c r="T1221" s="18">
        <f>ABS($H1221)*$I1221*kg_per_mt*$M1221</f>
        <v/>
      </c>
      <c r="U1221" s="18">
        <f>IF($K1221,0,$T1221*mcx_al_margin_used_frac)</f>
        <v/>
      </c>
      <c r="V1221" s="18">
        <f>IF(($B1220=$B1221),$U1220,0)</f>
        <v/>
      </c>
      <c r="W1221" s="18">
        <f>$U1221-$V1221</f>
        <v/>
      </c>
      <c r="X1221" s="18">
        <f>IF($K1221,0,$T1221*0.12)</f>
        <v/>
      </c>
      <c r="Y1221" s="18">
        <f>IF($K1221,0,$T1221*0.15)</f>
        <v/>
      </c>
      <c r="Z1221" s="18">
        <f>IF($F1221="hold",0,-ABS($H1221)*$I1221*kg_per_mt*mcx_slippage_ticks*mcx_al_tick_inr_kg)</f>
        <v/>
      </c>
      <c r="AA1221" s="18">
        <f>IF($F1221="hold",0,-ABS($H1221)*$I1221*kg_per_mt*$Q1221*mcx_txn_cost_frac)</f>
        <v/>
      </c>
      <c r="AB1221" s="18">
        <f>$Z1221+$AA1221</f>
        <v/>
      </c>
      <c r="AC1221" s="18">
        <f>$R1221-$W1221+$AB1221</f>
        <v/>
      </c>
      <c r="AD1221" s="18">
        <f>IF(($B1220=$B1221),$AD1220,0)+$AC1221</f>
        <v/>
      </c>
      <c r="AE1221" s="23" t="n">
        <v>0</v>
      </c>
      <c r="AF1221" s="23" t="n">
        <v>10778129.85</v>
      </c>
      <c r="AG1221" s="23" t="n">
        <v>-75821.34</v>
      </c>
      <c r="AH1221" s="23" t="n">
        <v>-10853951.18</v>
      </c>
      <c r="AI1221" s="23" t="n">
        <v>0</v>
      </c>
      <c r="AJ1221" s="18">
        <f>$R1221-$AE1221</f>
        <v/>
      </c>
      <c r="AK1221" s="18">
        <f>$U1221-$AF1221</f>
        <v/>
      </c>
      <c r="AL1221" s="18">
        <f>$AC1221-$AH1221</f>
        <v/>
      </c>
      <c r="AM1221" s="8">
        <f>IF(AND(ABS($AJ1221)&lt;=tol_mcx_inr,ABS($AK1221)&lt;=tol_mcx_inr,ABS($AL1221)&lt;=tol_mcx_inr),"PASS","FAIL")</f>
        <v/>
      </c>
    </row>
    <row r="1222">
      <c r="A1222" s="7" t="inlineStr">
        <is>
          <t>T04</t>
        </is>
      </c>
      <c r="B1222" s="7" t="inlineStr">
        <is>
          <t>T04-MCX-3</t>
        </is>
      </c>
      <c r="C1222" s="11" t="n">
        <v>44704</v>
      </c>
      <c r="D1222" s="7" t="n">
        <v>202206</v>
      </c>
      <c r="E1222" s="7" t="inlineStr">
        <is>
          <t>SELL</t>
        </is>
      </c>
      <c r="F1222" s="7" t="inlineStr">
        <is>
          <t>hold</t>
        </is>
      </c>
      <c r="G1222" s="17" t="b">
        <v>1</v>
      </c>
      <c r="H1222" s="6" t="n">
        <v>-87</v>
      </c>
      <c r="I1222" s="13" t="n">
        <v>5</v>
      </c>
      <c r="J1222" s="8">
        <f>OR($F1222="entry",$F1222="roll_in")</f>
        <v/>
      </c>
      <c r="K1222" s="8">
        <f>OR($F1222="exit",$F1222="roll_out")</f>
        <v/>
      </c>
      <c r="L1222" s="8">
        <f>OR(AND($E1222="SELL",$K1222),AND($E1222="BUY",$J1222))</f>
        <v/>
      </c>
      <c r="M1222" s="16">
        <f>((INDEX(Market_Daily!$B$6:$B$256,MATCH($C1222,Market_Daily!$A$6:$A$256,0))*INDEX(Market_Daily!$F$6:$F$256,MATCH($C1222,Market_Daily!$A$6:$A$256,0))/kg_per_mt*(1+bcd_primary_al_hs7601*(1+sws_rate_on_bcd))+mcx_domestic_premium_inr_kg)*(1+INDEX(Market_Daily!$I$6:$I$256,MATCH($C1222,Market_Daily!$A$6:$A$256,0))*MAX(0,INDEX(mcx_expiries,MATCH($D1222,mcx_months,0))-$C1222)/day_count_inr))</f>
        <v/>
      </c>
      <c r="N1222" s="16">
        <f>IF(INDEX(Market_Daily!$S$6:$S$256,MATCH($C1222,Market_Daily!$A$6:$A$256,0))=$D1222,INDEX(Market_Daily!$M$6:$M$256,MATCH($C1222,Market_Daily!$A$6:$A$256,0)),IF(INDEX(Market_Daily!$T$6:$T$256,MATCH($C1222,Market_Daily!$A$6:$A$256,0))=$D1222,INDEX(Market_Daily!$N$6:$N$256,MATCH($C1222,Market_Daily!$A$6:$A$256,0)),NA()))</f>
        <v/>
      </c>
      <c r="O1222" s="16">
        <f>$N1222-$M1222</f>
        <v/>
      </c>
      <c r="P1222" s="16">
        <f>IF(($B1221=$B1222),$M1221,"")</f>
        <v/>
      </c>
      <c r="Q1222" s="16">
        <f>$M1222+IF($L1222,1,-1)*mcx_slippage_ticks*mcx_al_tick_inr_kg</f>
        <v/>
      </c>
      <c r="R1222" s="18">
        <f>IF(($B1221=$B1222),$H1222*$I1222*kg_per_mt*($M1222-$M1221),0)</f>
        <v/>
      </c>
      <c r="S1222" s="18">
        <f>IF(($B1221=$B1222),$S1221,0)+$R1222</f>
        <v/>
      </c>
      <c r="T1222" s="18">
        <f>ABS($H1222)*$I1222*kg_per_mt*$M1222</f>
        <v/>
      </c>
      <c r="U1222" s="18">
        <f>IF($K1222,0,$T1222*mcx_al_margin_used_frac)</f>
        <v/>
      </c>
      <c r="V1222" s="18">
        <f>IF(($B1221=$B1222),$U1221,0)</f>
        <v/>
      </c>
      <c r="W1222" s="18">
        <f>$U1222-$V1222</f>
        <v/>
      </c>
      <c r="X1222" s="18">
        <f>IF($K1222,0,$T1222*0.12)</f>
        <v/>
      </c>
      <c r="Y1222" s="18">
        <f>IF($K1222,0,$T1222*0.15)</f>
        <v/>
      </c>
      <c r="Z1222" s="18">
        <f>IF($F1222="hold",0,-ABS($H1222)*$I1222*kg_per_mt*mcx_slippage_ticks*mcx_al_tick_inr_kg)</f>
        <v/>
      </c>
      <c r="AA1222" s="18">
        <f>IF($F1222="hold",0,-ABS($H1222)*$I1222*kg_per_mt*$Q1222*mcx_txn_cost_frac)</f>
        <v/>
      </c>
      <c r="AB1222" s="18">
        <f>$Z1222+$AA1222</f>
        <v/>
      </c>
      <c r="AC1222" s="18">
        <f>$R1222-$W1222+$AB1222</f>
        <v/>
      </c>
      <c r="AD1222" s="18">
        <f>IF(($B1221=$B1222),$AD1221,0)+$AC1222</f>
        <v/>
      </c>
      <c r="AE1222" s="23" t="n">
        <v>-977801.85</v>
      </c>
      <c r="AF1222" s="23" t="n">
        <v>10875910.03</v>
      </c>
      <c r="AG1222" s="23" t="n">
        <v>0</v>
      </c>
      <c r="AH1222" s="23" t="n">
        <v>-1075582.04</v>
      </c>
      <c r="AI1222" s="23" t="n">
        <v>-8653.42</v>
      </c>
      <c r="AJ1222" s="18">
        <f>$R1222-$AE1222</f>
        <v/>
      </c>
      <c r="AK1222" s="18">
        <f>$U1222-$AF1222</f>
        <v/>
      </c>
      <c r="AL1222" s="18">
        <f>$AC1222-$AH1222</f>
        <v/>
      </c>
      <c r="AM1222" s="8">
        <f>IF(AND(ABS($AJ1222)&lt;=tol_mcx_inr,ABS($AK1222)&lt;=tol_mcx_inr,ABS($AL1222)&lt;=tol_mcx_inr),"PASS","FAIL")</f>
        <v/>
      </c>
    </row>
    <row r="1223">
      <c r="A1223" s="7" t="inlineStr">
        <is>
          <t>T04</t>
        </is>
      </c>
      <c r="B1223" s="7" t="inlineStr">
        <is>
          <t>T04-MCX-3</t>
        </is>
      </c>
      <c r="C1223" s="11" t="n">
        <v>44705</v>
      </c>
      <c r="D1223" s="7" t="n">
        <v>202206</v>
      </c>
      <c r="E1223" s="7" t="inlineStr">
        <is>
          <t>SELL</t>
        </is>
      </c>
      <c r="F1223" s="7" t="inlineStr">
        <is>
          <t>exit</t>
        </is>
      </c>
      <c r="G1223" s="17" t="b">
        <v>1</v>
      </c>
      <c r="H1223" s="6" t="n">
        <v>-87</v>
      </c>
      <c r="I1223" s="13" t="n">
        <v>5</v>
      </c>
      <c r="J1223" s="8">
        <f>OR($F1223="entry",$F1223="roll_in")</f>
        <v/>
      </c>
      <c r="K1223" s="8">
        <f>OR($F1223="exit",$F1223="roll_out")</f>
        <v/>
      </c>
      <c r="L1223" s="8">
        <f>OR(AND($E1223="SELL",$K1223),AND($E1223="BUY",$J1223))</f>
        <v/>
      </c>
      <c r="M1223" s="16">
        <f>((INDEX(Market_Daily!$B$6:$B$256,MATCH($C1223,Market_Daily!$A$6:$A$256,0))*INDEX(Market_Daily!$F$6:$F$256,MATCH($C1223,Market_Daily!$A$6:$A$256,0))/kg_per_mt*(1+bcd_primary_al_hs7601*(1+sws_rate_on_bcd))+mcx_domestic_premium_inr_kg)*(1+INDEX(Market_Daily!$I$6:$I$256,MATCH($C1223,Market_Daily!$A$6:$A$256,0))*MAX(0,INDEX(mcx_expiries,MATCH($D1223,mcx_months,0))-$C1223)/day_count_inr))</f>
        <v/>
      </c>
      <c r="N1223" s="16">
        <f>IF(INDEX(Market_Daily!$S$6:$S$256,MATCH($C1223,Market_Daily!$A$6:$A$256,0))=$D1223,INDEX(Market_Daily!$M$6:$M$256,MATCH($C1223,Market_Daily!$A$6:$A$256,0)),IF(INDEX(Market_Daily!$T$6:$T$256,MATCH($C1223,Market_Daily!$A$6:$A$256,0))=$D1223,INDEX(Market_Daily!$N$6:$N$256,MATCH($C1223,Market_Daily!$A$6:$A$256,0)),NA()))</f>
        <v/>
      </c>
      <c r="O1223" s="16">
        <f>$N1223-$M1223</f>
        <v/>
      </c>
      <c r="P1223" s="16">
        <f>IF(($B1222=$B1223),$M1222,"")</f>
        <v/>
      </c>
      <c r="Q1223" s="16">
        <f>$M1223+IF($L1223,1,-1)*mcx_slippage_ticks*mcx_al_tick_inr_kg</f>
        <v/>
      </c>
      <c r="R1223" s="18">
        <f>IF(($B1222=$B1223),$H1223*$I1223*kg_per_mt*($M1223-$M1222),0)</f>
        <v/>
      </c>
      <c r="S1223" s="18">
        <f>IF(($B1222=$B1223),$S1222,0)+$R1223</f>
        <v/>
      </c>
      <c r="T1223" s="18">
        <f>ABS($H1223)*$I1223*kg_per_mt*$M1223</f>
        <v/>
      </c>
      <c r="U1223" s="18">
        <f>IF($K1223,0,$T1223*mcx_al_margin_used_frac)</f>
        <v/>
      </c>
      <c r="V1223" s="18">
        <f>IF(($B1222=$B1223),$U1222,0)</f>
        <v/>
      </c>
      <c r="W1223" s="18">
        <f>$U1223-$V1223</f>
        <v/>
      </c>
      <c r="X1223" s="18">
        <f>IF($K1223,0,$T1223*0.12)</f>
        <v/>
      </c>
      <c r="Y1223" s="18">
        <f>IF($K1223,0,$T1223*0.15)</f>
        <v/>
      </c>
      <c r="Z1223" s="18">
        <f>IF($F1223="hold",0,-ABS($H1223)*$I1223*kg_per_mt*mcx_slippage_ticks*mcx_al_tick_inr_kg)</f>
        <v/>
      </c>
      <c r="AA1223" s="18">
        <f>IF($F1223="hold",0,-ABS($H1223)*$I1223*kg_per_mt*$Q1223*mcx_txn_cost_frac)</f>
        <v/>
      </c>
      <c r="AB1223" s="18">
        <f>$Z1223+$AA1223</f>
        <v/>
      </c>
      <c r="AC1223" s="18">
        <f>$R1223-$W1223+$AB1223</f>
        <v/>
      </c>
      <c r="AD1223" s="18">
        <f>IF(($B1222=$B1223),$AD1222,0)+$AC1223</f>
        <v/>
      </c>
      <c r="AE1223" s="23" t="n">
        <v>2982489.16</v>
      </c>
      <c r="AF1223" s="23" t="n">
        <v>0</v>
      </c>
      <c r="AG1223" s="23" t="n">
        <v>-75246.03</v>
      </c>
      <c r="AH1223" s="23" t="n">
        <v>13783153.16</v>
      </c>
      <c r="AI1223" s="23" t="n">
        <v>-3170.31</v>
      </c>
      <c r="AJ1223" s="18">
        <f>$R1223-$AE1223</f>
        <v/>
      </c>
      <c r="AK1223" s="18">
        <f>$U1223-$AF1223</f>
        <v/>
      </c>
      <c r="AL1223" s="18">
        <f>$AC1223-$AH1223</f>
        <v/>
      </c>
      <c r="AM1223" s="8">
        <f>IF(AND(ABS($AJ1223)&lt;=tol_mcx_inr,ABS($AK1223)&lt;=tol_mcx_inr,ABS($AL1223)&lt;=tol_mcx_inr),"PASS","FAIL")</f>
        <v/>
      </c>
    </row>
    <row r="1224">
      <c r="A1224" s="7" t="inlineStr">
        <is>
          <t>T05</t>
        </is>
      </c>
      <c r="B1224" s="7" t="inlineStr">
        <is>
          <t>T05-MCX-1</t>
        </is>
      </c>
      <c r="C1224" s="11" t="n">
        <v>44672</v>
      </c>
      <c r="D1224" s="7" t="n">
        <v>202205</v>
      </c>
      <c r="E1224" s="7" t="inlineStr">
        <is>
          <t>SELL</t>
        </is>
      </c>
      <c r="F1224" s="7" t="inlineStr">
        <is>
          <t>entry</t>
        </is>
      </c>
      <c r="G1224" s="17" t="b">
        <v>1</v>
      </c>
      <c r="H1224" s="6" t="n">
        <v>-105</v>
      </c>
      <c r="I1224" s="13" t="n">
        <v>5</v>
      </c>
      <c r="J1224" s="8">
        <f>OR($F1224="entry",$F1224="roll_in")</f>
        <v/>
      </c>
      <c r="K1224" s="8">
        <f>OR($F1224="exit",$F1224="roll_out")</f>
        <v/>
      </c>
      <c r="L1224" s="8">
        <f>OR(AND($E1224="SELL",$K1224),AND($E1224="BUY",$J1224))</f>
        <v/>
      </c>
      <c r="M1224" s="16">
        <f>((INDEX(Market_Daily!$B$6:$B$256,MATCH($C1224,Market_Daily!$A$6:$A$256,0))*INDEX(Market_Daily!$F$6:$F$256,MATCH($C1224,Market_Daily!$A$6:$A$256,0))/kg_per_mt*(1+bcd_primary_al_hs7601*(1+sws_rate_on_bcd))+mcx_domestic_premium_inr_kg)*(1+INDEX(Market_Daily!$I$6:$I$256,MATCH($C1224,Market_Daily!$A$6:$A$256,0))*MAX(0,INDEX(mcx_expiries,MATCH($D1224,mcx_months,0))-$C1224)/day_count_inr))</f>
        <v/>
      </c>
      <c r="N1224" s="16">
        <f>IF(INDEX(Market_Daily!$S$6:$S$256,MATCH($C1224,Market_Daily!$A$6:$A$256,0))=$D1224,INDEX(Market_Daily!$M$6:$M$256,MATCH($C1224,Market_Daily!$A$6:$A$256,0)),IF(INDEX(Market_Daily!$T$6:$T$256,MATCH($C1224,Market_Daily!$A$6:$A$256,0))=$D1224,INDEX(Market_Daily!$N$6:$N$256,MATCH($C1224,Market_Daily!$A$6:$A$256,0)),NA()))</f>
        <v/>
      </c>
      <c r="O1224" s="16">
        <f>$N1224-$M1224</f>
        <v/>
      </c>
      <c r="P1224" s="16">
        <f>IF(($B1223=$B1224),$M1223,"")</f>
        <v/>
      </c>
      <c r="Q1224" s="16">
        <f>$M1224+IF($L1224,1,-1)*mcx_slippage_ticks*mcx_al_tick_inr_kg</f>
        <v/>
      </c>
      <c r="R1224" s="18">
        <f>IF(($B1223=$B1224),$H1224*$I1224*kg_per_mt*($M1224-$M1223),0)</f>
        <v/>
      </c>
      <c r="S1224" s="18">
        <f>IF(($B1223=$B1224),$S1223,0)+$R1224</f>
        <v/>
      </c>
      <c r="T1224" s="18">
        <f>ABS($H1224)*$I1224*kg_per_mt*$M1224</f>
        <v/>
      </c>
      <c r="U1224" s="18">
        <f>IF($K1224,0,$T1224*mcx_al_margin_used_frac)</f>
        <v/>
      </c>
      <c r="V1224" s="18">
        <f>IF(($B1223=$B1224),$U1223,0)</f>
        <v/>
      </c>
      <c r="W1224" s="18">
        <f>$U1224-$V1224</f>
        <v/>
      </c>
      <c r="X1224" s="18">
        <f>IF($K1224,0,$T1224*0.12)</f>
        <v/>
      </c>
      <c r="Y1224" s="18">
        <f>IF($K1224,0,$T1224*0.15)</f>
        <v/>
      </c>
      <c r="Z1224" s="18">
        <f>IF($F1224="hold",0,-ABS($H1224)*$I1224*kg_per_mt*mcx_slippage_ticks*mcx_al_tick_inr_kg)</f>
        <v/>
      </c>
      <c r="AA1224" s="18">
        <f>IF($F1224="hold",0,-ABS($H1224)*$I1224*kg_per_mt*$Q1224*mcx_txn_cost_frac)</f>
        <v/>
      </c>
      <c r="AB1224" s="18">
        <f>$Z1224+$AA1224</f>
        <v/>
      </c>
      <c r="AC1224" s="18">
        <f>$R1224-$W1224+$AB1224</f>
        <v/>
      </c>
      <c r="AD1224" s="18">
        <f>IF(($B1223=$B1224),$AD1223,0)+$AC1224</f>
        <v/>
      </c>
      <c r="AE1224" s="23" t="n">
        <v>0</v>
      </c>
      <c r="AF1224" s="23" t="n">
        <v>14188038.03</v>
      </c>
      <c r="AG1224" s="23" t="n">
        <v>-95048.36</v>
      </c>
      <c r="AH1224" s="23" t="n">
        <v>-14283086.4</v>
      </c>
      <c r="AI1224" s="23" t="n">
        <v>0</v>
      </c>
      <c r="AJ1224" s="18">
        <f>$R1224-$AE1224</f>
        <v/>
      </c>
      <c r="AK1224" s="18">
        <f>$U1224-$AF1224</f>
        <v/>
      </c>
      <c r="AL1224" s="18">
        <f>$AC1224-$AH1224</f>
        <v/>
      </c>
      <c r="AM1224" s="8">
        <f>IF(AND(ABS($AJ1224)&lt;=tol_mcx_inr,ABS($AK1224)&lt;=tol_mcx_inr,ABS($AL1224)&lt;=tol_mcx_inr),"PASS","FAIL")</f>
        <v/>
      </c>
    </row>
    <row r="1225">
      <c r="A1225" s="7" t="inlineStr">
        <is>
          <t>T05</t>
        </is>
      </c>
      <c r="B1225" s="7" t="inlineStr">
        <is>
          <t>T05-MCX-1</t>
        </is>
      </c>
      <c r="C1225" s="11" t="n">
        <v>44673</v>
      </c>
      <c r="D1225" s="7" t="n">
        <v>202205</v>
      </c>
      <c r="E1225" s="7" t="inlineStr">
        <is>
          <t>SELL</t>
        </is>
      </c>
      <c r="F1225" s="7" t="inlineStr">
        <is>
          <t>hold</t>
        </is>
      </c>
      <c r="G1225" s="17" t="b">
        <v>1</v>
      </c>
      <c r="H1225" s="6" t="n">
        <v>-105</v>
      </c>
      <c r="I1225" s="13" t="n">
        <v>5</v>
      </c>
      <c r="J1225" s="8">
        <f>OR($F1225="entry",$F1225="roll_in")</f>
        <v/>
      </c>
      <c r="K1225" s="8">
        <f>OR($F1225="exit",$F1225="roll_out")</f>
        <v/>
      </c>
      <c r="L1225" s="8">
        <f>OR(AND($E1225="SELL",$K1225),AND($E1225="BUY",$J1225))</f>
        <v/>
      </c>
      <c r="M1225" s="16">
        <f>((INDEX(Market_Daily!$B$6:$B$256,MATCH($C1225,Market_Daily!$A$6:$A$256,0))*INDEX(Market_Daily!$F$6:$F$256,MATCH($C1225,Market_Daily!$A$6:$A$256,0))/kg_per_mt*(1+bcd_primary_al_hs7601*(1+sws_rate_on_bcd))+mcx_domestic_premium_inr_kg)*(1+INDEX(Market_Daily!$I$6:$I$256,MATCH($C1225,Market_Daily!$A$6:$A$256,0))*MAX(0,INDEX(mcx_expiries,MATCH($D1225,mcx_months,0))-$C1225)/day_count_inr))</f>
        <v/>
      </c>
      <c r="N1225" s="16">
        <f>IF(INDEX(Market_Daily!$S$6:$S$256,MATCH($C1225,Market_Daily!$A$6:$A$256,0))=$D1225,INDEX(Market_Daily!$M$6:$M$256,MATCH($C1225,Market_Daily!$A$6:$A$256,0)),IF(INDEX(Market_Daily!$T$6:$T$256,MATCH($C1225,Market_Daily!$A$6:$A$256,0))=$D1225,INDEX(Market_Daily!$N$6:$N$256,MATCH($C1225,Market_Daily!$A$6:$A$256,0)),NA()))</f>
        <v/>
      </c>
      <c r="O1225" s="16">
        <f>$N1225-$M1225</f>
        <v/>
      </c>
      <c r="P1225" s="16">
        <f>IF(($B1224=$B1225),$M1224,"")</f>
        <v/>
      </c>
      <c r="Q1225" s="16">
        <f>$M1225+IF($L1225,1,-1)*mcx_slippage_ticks*mcx_al_tick_inr_kg</f>
        <v/>
      </c>
      <c r="R1225" s="18">
        <f>IF(($B1224=$B1225),$H1225*$I1225*kg_per_mt*($M1225-$M1224),0)</f>
        <v/>
      </c>
      <c r="S1225" s="18">
        <f>IF(($B1224=$B1225),$S1224,0)+$R1225</f>
        <v/>
      </c>
      <c r="T1225" s="18">
        <f>ABS($H1225)*$I1225*kg_per_mt*$M1225</f>
        <v/>
      </c>
      <c r="U1225" s="18">
        <f>IF($K1225,0,$T1225*mcx_al_margin_used_frac)</f>
        <v/>
      </c>
      <c r="V1225" s="18">
        <f>IF(($B1224=$B1225),$U1224,0)</f>
        <v/>
      </c>
      <c r="W1225" s="18">
        <f>$U1225-$V1225</f>
        <v/>
      </c>
      <c r="X1225" s="18">
        <f>IF($K1225,0,$T1225*0.12)</f>
        <v/>
      </c>
      <c r="Y1225" s="18">
        <f>IF($K1225,0,$T1225*0.15)</f>
        <v/>
      </c>
      <c r="Z1225" s="18">
        <f>IF($F1225="hold",0,-ABS($H1225)*$I1225*kg_per_mt*mcx_slippage_ticks*mcx_al_tick_inr_kg)</f>
        <v/>
      </c>
      <c r="AA1225" s="18">
        <f>IF($F1225="hold",0,-ABS($H1225)*$I1225*kg_per_mt*$Q1225*mcx_txn_cost_frac)</f>
        <v/>
      </c>
      <c r="AB1225" s="18">
        <f>$Z1225+$AA1225</f>
        <v/>
      </c>
      <c r="AC1225" s="18">
        <f>$R1225-$W1225+$AB1225</f>
        <v/>
      </c>
      <c r="AD1225" s="18">
        <f>IF(($B1224=$B1225),$AD1224,0)+$AC1225</f>
        <v/>
      </c>
      <c r="AE1225" s="23" t="n">
        <v>348327.91</v>
      </c>
      <c r="AF1225" s="23" t="n">
        <v>14153205.24</v>
      </c>
      <c r="AG1225" s="23" t="n">
        <v>0</v>
      </c>
      <c r="AH1225" s="23" t="n">
        <v>383160.7</v>
      </c>
      <c r="AI1225" s="23" t="n">
        <v>-3756.65</v>
      </c>
      <c r="AJ1225" s="18">
        <f>$R1225-$AE1225</f>
        <v/>
      </c>
      <c r="AK1225" s="18">
        <f>$U1225-$AF1225</f>
        <v/>
      </c>
      <c r="AL1225" s="18">
        <f>$AC1225-$AH1225</f>
        <v/>
      </c>
      <c r="AM1225" s="8">
        <f>IF(AND(ABS($AJ1225)&lt;=tol_mcx_inr,ABS($AK1225)&lt;=tol_mcx_inr,ABS($AL1225)&lt;=tol_mcx_inr),"PASS","FAIL")</f>
        <v/>
      </c>
    </row>
    <row r="1226">
      <c r="A1226" s="7" t="inlineStr">
        <is>
          <t>T05</t>
        </is>
      </c>
      <c r="B1226" s="7" t="inlineStr">
        <is>
          <t>T05-MCX-1</t>
        </is>
      </c>
      <c r="C1226" s="11" t="n">
        <v>44676</v>
      </c>
      <c r="D1226" s="7" t="n">
        <v>202205</v>
      </c>
      <c r="E1226" s="7" t="inlineStr">
        <is>
          <t>SELL</t>
        </is>
      </c>
      <c r="F1226" s="7" t="inlineStr">
        <is>
          <t>hold</t>
        </is>
      </c>
      <c r="G1226" s="17" t="b">
        <v>1</v>
      </c>
      <c r="H1226" s="6" t="n">
        <v>-105</v>
      </c>
      <c r="I1226" s="13" t="n">
        <v>5</v>
      </c>
      <c r="J1226" s="8">
        <f>OR($F1226="entry",$F1226="roll_in")</f>
        <v/>
      </c>
      <c r="K1226" s="8">
        <f>OR($F1226="exit",$F1226="roll_out")</f>
        <v/>
      </c>
      <c r="L1226" s="8">
        <f>OR(AND($E1226="SELL",$K1226),AND($E1226="BUY",$J1226))</f>
        <v/>
      </c>
      <c r="M1226" s="16">
        <f>((INDEX(Market_Daily!$B$6:$B$256,MATCH($C1226,Market_Daily!$A$6:$A$256,0))*INDEX(Market_Daily!$F$6:$F$256,MATCH($C1226,Market_Daily!$A$6:$A$256,0))/kg_per_mt*(1+bcd_primary_al_hs7601*(1+sws_rate_on_bcd))+mcx_domestic_premium_inr_kg)*(1+INDEX(Market_Daily!$I$6:$I$256,MATCH($C1226,Market_Daily!$A$6:$A$256,0))*MAX(0,INDEX(mcx_expiries,MATCH($D1226,mcx_months,0))-$C1226)/day_count_inr))</f>
        <v/>
      </c>
      <c r="N1226" s="16">
        <f>IF(INDEX(Market_Daily!$S$6:$S$256,MATCH($C1226,Market_Daily!$A$6:$A$256,0))=$D1226,INDEX(Market_Daily!$M$6:$M$256,MATCH($C1226,Market_Daily!$A$6:$A$256,0)),IF(INDEX(Market_Daily!$T$6:$T$256,MATCH($C1226,Market_Daily!$A$6:$A$256,0))=$D1226,INDEX(Market_Daily!$N$6:$N$256,MATCH($C1226,Market_Daily!$A$6:$A$256,0)),NA()))</f>
        <v/>
      </c>
      <c r="O1226" s="16">
        <f>$N1226-$M1226</f>
        <v/>
      </c>
      <c r="P1226" s="16">
        <f>IF(($B1225=$B1226),$M1225,"")</f>
        <v/>
      </c>
      <c r="Q1226" s="16">
        <f>$M1226+IF($L1226,1,-1)*mcx_slippage_ticks*mcx_al_tick_inr_kg</f>
        <v/>
      </c>
      <c r="R1226" s="18">
        <f>IF(($B1225=$B1226),$H1226*$I1226*kg_per_mt*($M1226-$M1225),0)</f>
        <v/>
      </c>
      <c r="S1226" s="18">
        <f>IF(($B1225=$B1226),$S1225,0)+$R1226</f>
        <v/>
      </c>
      <c r="T1226" s="18">
        <f>ABS($H1226)*$I1226*kg_per_mt*$M1226</f>
        <v/>
      </c>
      <c r="U1226" s="18">
        <f>IF($K1226,0,$T1226*mcx_al_margin_used_frac)</f>
        <v/>
      </c>
      <c r="V1226" s="18">
        <f>IF(($B1225=$B1226),$U1225,0)</f>
        <v/>
      </c>
      <c r="W1226" s="18">
        <f>$U1226-$V1226</f>
        <v/>
      </c>
      <c r="X1226" s="18">
        <f>IF($K1226,0,$T1226*0.12)</f>
        <v/>
      </c>
      <c r="Y1226" s="18">
        <f>IF($K1226,0,$T1226*0.15)</f>
        <v/>
      </c>
      <c r="Z1226" s="18">
        <f>IF($F1226="hold",0,-ABS($H1226)*$I1226*kg_per_mt*mcx_slippage_ticks*mcx_al_tick_inr_kg)</f>
        <v/>
      </c>
      <c r="AA1226" s="18">
        <f>IF($F1226="hold",0,-ABS($H1226)*$I1226*kg_per_mt*$Q1226*mcx_txn_cost_frac)</f>
        <v/>
      </c>
      <c r="AB1226" s="18">
        <f>$Z1226+$AA1226</f>
        <v/>
      </c>
      <c r="AC1226" s="18">
        <f>$R1226-$W1226+$AB1226</f>
        <v/>
      </c>
      <c r="AD1226" s="18">
        <f>IF(($B1225=$B1226),$AD1225,0)+$AC1226</f>
        <v/>
      </c>
      <c r="AE1226" s="23" t="n">
        <v>6484153.94</v>
      </c>
      <c r="AF1226" s="23" t="n">
        <v>13504789.85</v>
      </c>
      <c r="AG1226" s="23" t="n">
        <v>0</v>
      </c>
      <c r="AH1226" s="23" t="n">
        <v>7132569.34</v>
      </c>
      <c r="AI1226" s="23" t="n">
        <v>-10967.61</v>
      </c>
      <c r="AJ1226" s="18">
        <f>$R1226-$AE1226</f>
        <v/>
      </c>
      <c r="AK1226" s="18">
        <f>$U1226-$AF1226</f>
        <v/>
      </c>
      <c r="AL1226" s="18">
        <f>$AC1226-$AH1226</f>
        <v/>
      </c>
      <c r="AM1226" s="8">
        <f>IF(AND(ABS($AJ1226)&lt;=tol_mcx_inr,ABS($AK1226)&lt;=tol_mcx_inr,ABS($AL1226)&lt;=tol_mcx_inr),"PASS","FAIL")</f>
        <v/>
      </c>
    </row>
    <row r="1227">
      <c r="A1227" s="7" t="inlineStr">
        <is>
          <t>T05</t>
        </is>
      </c>
      <c r="B1227" s="7" t="inlineStr">
        <is>
          <t>T05-MCX-1</t>
        </is>
      </c>
      <c r="C1227" s="11" t="n">
        <v>44677</v>
      </c>
      <c r="D1227" s="7" t="n">
        <v>202205</v>
      </c>
      <c r="E1227" s="7" t="inlineStr">
        <is>
          <t>SELL</t>
        </is>
      </c>
      <c r="F1227" s="7" t="inlineStr">
        <is>
          <t>hold</t>
        </is>
      </c>
      <c r="G1227" s="17" t="b">
        <v>1</v>
      </c>
      <c r="H1227" s="6" t="n">
        <v>-105</v>
      </c>
      <c r="I1227" s="13" t="n">
        <v>5</v>
      </c>
      <c r="J1227" s="8">
        <f>OR($F1227="entry",$F1227="roll_in")</f>
        <v/>
      </c>
      <c r="K1227" s="8">
        <f>OR($F1227="exit",$F1227="roll_out")</f>
        <v/>
      </c>
      <c r="L1227" s="8">
        <f>OR(AND($E1227="SELL",$K1227),AND($E1227="BUY",$J1227))</f>
        <v/>
      </c>
      <c r="M1227" s="16">
        <f>((INDEX(Market_Daily!$B$6:$B$256,MATCH($C1227,Market_Daily!$A$6:$A$256,0))*INDEX(Market_Daily!$F$6:$F$256,MATCH($C1227,Market_Daily!$A$6:$A$256,0))/kg_per_mt*(1+bcd_primary_al_hs7601*(1+sws_rate_on_bcd))+mcx_domestic_premium_inr_kg)*(1+INDEX(Market_Daily!$I$6:$I$256,MATCH($C1227,Market_Daily!$A$6:$A$256,0))*MAX(0,INDEX(mcx_expiries,MATCH($D1227,mcx_months,0))-$C1227)/day_count_inr))</f>
        <v/>
      </c>
      <c r="N1227" s="16">
        <f>IF(INDEX(Market_Daily!$S$6:$S$256,MATCH($C1227,Market_Daily!$A$6:$A$256,0))=$D1227,INDEX(Market_Daily!$M$6:$M$256,MATCH($C1227,Market_Daily!$A$6:$A$256,0)),IF(INDEX(Market_Daily!$T$6:$T$256,MATCH($C1227,Market_Daily!$A$6:$A$256,0))=$D1227,INDEX(Market_Daily!$N$6:$N$256,MATCH($C1227,Market_Daily!$A$6:$A$256,0)),NA()))</f>
        <v/>
      </c>
      <c r="O1227" s="16">
        <f>$N1227-$M1227</f>
        <v/>
      </c>
      <c r="P1227" s="16">
        <f>IF(($B1226=$B1227),$M1226,"")</f>
        <v/>
      </c>
      <c r="Q1227" s="16">
        <f>$M1227+IF($L1227,1,-1)*mcx_slippage_ticks*mcx_al_tick_inr_kg</f>
        <v/>
      </c>
      <c r="R1227" s="18">
        <f>IF(($B1226=$B1227),$H1227*$I1227*kg_per_mt*($M1227-$M1226),0)</f>
        <v/>
      </c>
      <c r="S1227" s="18">
        <f>IF(($B1226=$B1227),$S1226,0)+$R1227</f>
        <v/>
      </c>
      <c r="T1227" s="18">
        <f>ABS($H1227)*$I1227*kg_per_mt*$M1227</f>
        <v/>
      </c>
      <c r="U1227" s="18">
        <f>IF($K1227,0,$T1227*mcx_al_margin_used_frac)</f>
        <v/>
      </c>
      <c r="V1227" s="18">
        <f>IF(($B1226=$B1227),$U1226,0)</f>
        <v/>
      </c>
      <c r="W1227" s="18">
        <f>$U1227-$V1227</f>
        <v/>
      </c>
      <c r="X1227" s="18">
        <f>IF($K1227,0,$T1227*0.12)</f>
        <v/>
      </c>
      <c r="Y1227" s="18">
        <f>IF($K1227,0,$T1227*0.15)</f>
        <v/>
      </c>
      <c r="Z1227" s="18">
        <f>IF($F1227="hold",0,-ABS($H1227)*$I1227*kg_per_mt*mcx_slippage_ticks*mcx_al_tick_inr_kg)</f>
        <v/>
      </c>
      <c r="AA1227" s="18">
        <f>IF($F1227="hold",0,-ABS($H1227)*$I1227*kg_per_mt*$Q1227*mcx_txn_cost_frac)</f>
        <v/>
      </c>
      <c r="AB1227" s="18">
        <f>$Z1227+$AA1227</f>
        <v/>
      </c>
      <c r="AC1227" s="18">
        <f>$R1227-$W1227+$AB1227</f>
        <v/>
      </c>
      <c r="AD1227" s="18">
        <f>IF(($B1226=$B1227),$AD1226,0)+$AC1227</f>
        <v/>
      </c>
      <c r="AE1227" s="23" t="n">
        <v>-460636.61</v>
      </c>
      <c r="AF1227" s="23" t="n">
        <v>13550853.51</v>
      </c>
      <c r="AG1227" s="23" t="n">
        <v>0</v>
      </c>
      <c r="AH1227" s="23" t="n">
        <v>-506700.27</v>
      </c>
      <c r="AI1227" s="23" t="n">
        <v>-1779.91</v>
      </c>
      <c r="AJ1227" s="18">
        <f>$R1227-$AE1227</f>
        <v/>
      </c>
      <c r="AK1227" s="18">
        <f>$U1227-$AF1227</f>
        <v/>
      </c>
      <c r="AL1227" s="18">
        <f>$AC1227-$AH1227</f>
        <v/>
      </c>
      <c r="AM1227" s="8">
        <f>IF(AND(ABS($AJ1227)&lt;=tol_mcx_inr,ABS($AK1227)&lt;=tol_mcx_inr,ABS($AL1227)&lt;=tol_mcx_inr),"PASS","FAIL")</f>
        <v/>
      </c>
    </row>
    <row r="1228">
      <c r="A1228" s="7" t="inlineStr">
        <is>
          <t>T05</t>
        </is>
      </c>
      <c r="B1228" s="7" t="inlineStr">
        <is>
          <t>T05-MCX-1</t>
        </is>
      </c>
      <c r="C1228" s="11" t="n">
        <v>44678</v>
      </c>
      <c r="D1228" s="7" t="n">
        <v>202205</v>
      </c>
      <c r="E1228" s="7" t="inlineStr">
        <is>
          <t>SELL</t>
        </is>
      </c>
      <c r="F1228" s="7" t="inlineStr">
        <is>
          <t>hold</t>
        </is>
      </c>
      <c r="G1228" s="17" t="b">
        <v>1</v>
      </c>
      <c r="H1228" s="6" t="n">
        <v>-105</v>
      </c>
      <c r="I1228" s="13" t="n">
        <v>5</v>
      </c>
      <c r="J1228" s="8">
        <f>OR($F1228="entry",$F1228="roll_in")</f>
        <v/>
      </c>
      <c r="K1228" s="8">
        <f>OR($F1228="exit",$F1228="roll_out")</f>
        <v/>
      </c>
      <c r="L1228" s="8">
        <f>OR(AND($E1228="SELL",$K1228),AND($E1228="BUY",$J1228))</f>
        <v/>
      </c>
      <c r="M1228" s="16">
        <f>((INDEX(Market_Daily!$B$6:$B$256,MATCH($C1228,Market_Daily!$A$6:$A$256,0))*INDEX(Market_Daily!$F$6:$F$256,MATCH($C1228,Market_Daily!$A$6:$A$256,0))/kg_per_mt*(1+bcd_primary_al_hs7601*(1+sws_rate_on_bcd))+mcx_domestic_premium_inr_kg)*(1+INDEX(Market_Daily!$I$6:$I$256,MATCH($C1228,Market_Daily!$A$6:$A$256,0))*MAX(0,INDEX(mcx_expiries,MATCH($D1228,mcx_months,0))-$C1228)/day_count_inr))</f>
        <v/>
      </c>
      <c r="N1228" s="16">
        <f>IF(INDEX(Market_Daily!$S$6:$S$256,MATCH($C1228,Market_Daily!$A$6:$A$256,0))=$D1228,INDEX(Market_Daily!$M$6:$M$256,MATCH($C1228,Market_Daily!$A$6:$A$256,0)),IF(INDEX(Market_Daily!$T$6:$T$256,MATCH($C1228,Market_Daily!$A$6:$A$256,0))=$D1228,INDEX(Market_Daily!$N$6:$N$256,MATCH($C1228,Market_Daily!$A$6:$A$256,0)),NA()))</f>
        <v/>
      </c>
      <c r="O1228" s="16">
        <f>$N1228-$M1228</f>
        <v/>
      </c>
      <c r="P1228" s="16">
        <f>IF(($B1227=$B1228),$M1227,"")</f>
        <v/>
      </c>
      <c r="Q1228" s="16">
        <f>$M1228+IF($L1228,1,-1)*mcx_slippage_ticks*mcx_al_tick_inr_kg</f>
        <v/>
      </c>
      <c r="R1228" s="18">
        <f>IF(($B1227=$B1228),$H1228*$I1228*kg_per_mt*($M1228-$M1227),0)</f>
        <v/>
      </c>
      <c r="S1228" s="18">
        <f>IF(($B1227=$B1228),$S1227,0)+$R1228</f>
        <v/>
      </c>
      <c r="T1228" s="18">
        <f>ABS($H1228)*$I1228*kg_per_mt*$M1228</f>
        <v/>
      </c>
      <c r="U1228" s="18">
        <f>IF($K1228,0,$T1228*mcx_al_margin_used_frac)</f>
        <v/>
      </c>
      <c r="V1228" s="18">
        <f>IF(($B1227=$B1228),$U1227,0)</f>
        <v/>
      </c>
      <c r="W1228" s="18">
        <f>$U1228-$V1228</f>
        <v/>
      </c>
      <c r="X1228" s="18">
        <f>IF($K1228,0,$T1228*0.12)</f>
        <v/>
      </c>
      <c r="Y1228" s="18">
        <f>IF($K1228,0,$T1228*0.15)</f>
        <v/>
      </c>
      <c r="Z1228" s="18">
        <f>IF($F1228="hold",0,-ABS($H1228)*$I1228*kg_per_mt*mcx_slippage_ticks*mcx_al_tick_inr_kg)</f>
        <v/>
      </c>
      <c r="AA1228" s="18">
        <f>IF($F1228="hold",0,-ABS($H1228)*$I1228*kg_per_mt*$Q1228*mcx_txn_cost_frac)</f>
        <v/>
      </c>
      <c r="AB1228" s="18">
        <f>$Z1228+$AA1228</f>
        <v/>
      </c>
      <c r="AC1228" s="18">
        <f>$R1228-$W1228+$AB1228</f>
        <v/>
      </c>
      <c r="AD1228" s="18">
        <f>IF(($B1227=$B1228),$AD1227,0)+$AC1228</f>
        <v/>
      </c>
      <c r="AE1228" s="23" t="n">
        <v>55624.21</v>
      </c>
      <c r="AF1228" s="23" t="n">
        <v>13545291.09</v>
      </c>
      <c r="AG1228" s="23" t="n">
        <v>0</v>
      </c>
      <c r="AH1228" s="23" t="n">
        <v>61186.63</v>
      </c>
      <c r="AI1228" s="23" t="n">
        <v>-1913.18</v>
      </c>
      <c r="AJ1228" s="18">
        <f>$R1228-$AE1228</f>
        <v/>
      </c>
      <c r="AK1228" s="18">
        <f>$U1228-$AF1228</f>
        <v/>
      </c>
      <c r="AL1228" s="18">
        <f>$AC1228-$AH1228</f>
        <v/>
      </c>
      <c r="AM1228" s="8">
        <f>IF(AND(ABS($AJ1228)&lt;=tol_mcx_inr,ABS($AK1228)&lt;=tol_mcx_inr,ABS($AL1228)&lt;=tol_mcx_inr),"PASS","FAIL")</f>
        <v/>
      </c>
    </row>
    <row r="1229">
      <c r="A1229" s="7" t="inlineStr">
        <is>
          <t>T05</t>
        </is>
      </c>
      <c r="B1229" s="7" t="inlineStr">
        <is>
          <t>T05-MCX-1</t>
        </is>
      </c>
      <c r="C1229" s="11" t="n">
        <v>44679</v>
      </c>
      <c r="D1229" s="7" t="n">
        <v>202205</v>
      </c>
      <c r="E1229" s="7" t="inlineStr">
        <is>
          <t>SELL</t>
        </is>
      </c>
      <c r="F1229" s="7" t="inlineStr">
        <is>
          <t>hold</t>
        </is>
      </c>
      <c r="G1229" s="17" t="b">
        <v>1</v>
      </c>
      <c r="H1229" s="6" t="n">
        <v>-105</v>
      </c>
      <c r="I1229" s="13" t="n">
        <v>5</v>
      </c>
      <c r="J1229" s="8">
        <f>OR($F1229="entry",$F1229="roll_in")</f>
        <v/>
      </c>
      <c r="K1229" s="8">
        <f>OR($F1229="exit",$F1229="roll_out")</f>
        <v/>
      </c>
      <c r="L1229" s="8">
        <f>OR(AND($E1229="SELL",$K1229),AND($E1229="BUY",$J1229))</f>
        <v/>
      </c>
      <c r="M1229" s="16">
        <f>((INDEX(Market_Daily!$B$6:$B$256,MATCH($C1229,Market_Daily!$A$6:$A$256,0))*INDEX(Market_Daily!$F$6:$F$256,MATCH($C1229,Market_Daily!$A$6:$A$256,0))/kg_per_mt*(1+bcd_primary_al_hs7601*(1+sws_rate_on_bcd))+mcx_domestic_premium_inr_kg)*(1+INDEX(Market_Daily!$I$6:$I$256,MATCH($C1229,Market_Daily!$A$6:$A$256,0))*MAX(0,INDEX(mcx_expiries,MATCH($D1229,mcx_months,0))-$C1229)/day_count_inr))</f>
        <v/>
      </c>
      <c r="N1229" s="16">
        <f>IF(INDEX(Market_Daily!$S$6:$S$256,MATCH($C1229,Market_Daily!$A$6:$A$256,0))=$D1229,INDEX(Market_Daily!$M$6:$M$256,MATCH($C1229,Market_Daily!$A$6:$A$256,0)),IF(INDEX(Market_Daily!$T$6:$T$256,MATCH($C1229,Market_Daily!$A$6:$A$256,0))=$D1229,INDEX(Market_Daily!$N$6:$N$256,MATCH($C1229,Market_Daily!$A$6:$A$256,0)),NA()))</f>
        <v/>
      </c>
      <c r="O1229" s="16">
        <f>$N1229-$M1229</f>
        <v/>
      </c>
      <c r="P1229" s="16">
        <f>IF(($B1228=$B1229),$M1228,"")</f>
        <v/>
      </c>
      <c r="Q1229" s="16">
        <f>$M1229+IF($L1229,1,-1)*mcx_slippage_ticks*mcx_al_tick_inr_kg</f>
        <v/>
      </c>
      <c r="R1229" s="18">
        <f>IF(($B1228=$B1229),$H1229*$I1229*kg_per_mt*($M1229-$M1228),0)</f>
        <v/>
      </c>
      <c r="S1229" s="18">
        <f>IF(($B1228=$B1229),$S1228,0)+$R1229</f>
        <v/>
      </c>
      <c r="T1229" s="18">
        <f>ABS($H1229)*$I1229*kg_per_mt*$M1229</f>
        <v/>
      </c>
      <c r="U1229" s="18">
        <f>IF($K1229,0,$T1229*mcx_al_margin_used_frac)</f>
        <v/>
      </c>
      <c r="V1229" s="18">
        <f>IF(($B1228=$B1229),$U1228,0)</f>
        <v/>
      </c>
      <c r="W1229" s="18">
        <f>$U1229-$V1229</f>
        <v/>
      </c>
      <c r="X1229" s="18">
        <f>IF($K1229,0,$T1229*0.12)</f>
        <v/>
      </c>
      <c r="Y1229" s="18">
        <f>IF($K1229,0,$T1229*0.15)</f>
        <v/>
      </c>
      <c r="Z1229" s="18">
        <f>IF($F1229="hold",0,-ABS($H1229)*$I1229*kg_per_mt*mcx_slippage_ticks*mcx_al_tick_inr_kg)</f>
        <v/>
      </c>
      <c r="AA1229" s="18">
        <f>IF($F1229="hold",0,-ABS($H1229)*$I1229*kg_per_mt*$Q1229*mcx_txn_cost_frac)</f>
        <v/>
      </c>
      <c r="AB1229" s="18">
        <f>$Z1229+$AA1229</f>
        <v/>
      </c>
      <c r="AC1229" s="18">
        <f>$R1229-$W1229+$AB1229</f>
        <v/>
      </c>
      <c r="AD1229" s="18">
        <f>IF(($B1228=$B1229),$AD1228,0)+$AC1229</f>
        <v/>
      </c>
      <c r="AE1229" s="23" t="n">
        <v>1443137.36</v>
      </c>
      <c r="AF1229" s="23" t="n">
        <v>13400977.35</v>
      </c>
      <c r="AG1229" s="23" t="n">
        <v>0</v>
      </c>
      <c r="AH1229" s="23" t="n">
        <v>1587451.1</v>
      </c>
      <c r="AI1229" s="23" t="n">
        <v>-1897.08</v>
      </c>
      <c r="AJ1229" s="18">
        <f>$R1229-$AE1229</f>
        <v/>
      </c>
      <c r="AK1229" s="18">
        <f>$U1229-$AF1229</f>
        <v/>
      </c>
      <c r="AL1229" s="18">
        <f>$AC1229-$AH1229</f>
        <v/>
      </c>
      <c r="AM1229" s="8">
        <f>IF(AND(ABS($AJ1229)&lt;=tol_mcx_inr,ABS($AK1229)&lt;=tol_mcx_inr,ABS($AL1229)&lt;=tol_mcx_inr),"PASS","FAIL")</f>
        <v/>
      </c>
    </row>
    <row r="1230">
      <c r="A1230" s="7" t="inlineStr">
        <is>
          <t>T05</t>
        </is>
      </c>
      <c r="B1230" s="7" t="inlineStr">
        <is>
          <t>T05-MCX-1</t>
        </is>
      </c>
      <c r="C1230" s="11" t="n">
        <v>44680</v>
      </c>
      <c r="D1230" s="7" t="n">
        <v>202205</v>
      </c>
      <c r="E1230" s="7" t="inlineStr">
        <is>
          <t>SELL</t>
        </is>
      </c>
      <c r="F1230" s="7" t="inlineStr">
        <is>
          <t>hold</t>
        </is>
      </c>
      <c r="G1230" s="17" t="b">
        <v>1</v>
      </c>
      <c r="H1230" s="6" t="n">
        <v>-105</v>
      </c>
      <c r="I1230" s="13" t="n">
        <v>5</v>
      </c>
      <c r="J1230" s="8">
        <f>OR($F1230="entry",$F1230="roll_in")</f>
        <v/>
      </c>
      <c r="K1230" s="8">
        <f>OR($F1230="exit",$F1230="roll_out")</f>
        <v/>
      </c>
      <c r="L1230" s="8">
        <f>OR(AND($E1230="SELL",$K1230),AND($E1230="BUY",$J1230))</f>
        <v/>
      </c>
      <c r="M1230" s="16">
        <f>((INDEX(Market_Daily!$B$6:$B$256,MATCH($C1230,Market_Daily!$A$6:$A$256,0))*INDEX(Market_Daily!$F$6:$F$256,MATCH($C1230,Market_Daily!$A$6:$A$256,0))/kg_per_mt*(1+bcd_primary_al_hs7601*(1+sws_rate_on_bcd))+mcx_domestic_premium_inr_kg)*(1+INDEX(Market_Daily!$I$6:$I$256,MATCH($C1230,Market_Daily!$A$6:$A$256,0))*MAX(0,INDEX(mcx_expiries,MATCH($D1230,mcx_months,0))-$C1230)/day_count_inr))</f>
        <v/>
      </c>
      <c r="N1230" s="16">
        <f>IF(INDEX(Market_Daily!$S$6:$S$256,MATCH($C1230,Market_Daily!$A$6:$A$256,0))=$D1230,INDEX(Market_Daily!$M$6:$M$256,MATCH($C1230,Market_Daily!$A$6:$A$256,0)),IF(INDEX(Market_Daily!$T$6:$T$256,MATCH($C1230,Market_Daily!$A$6:$A$256,0))=$D1230,INDEX(Market_Daily!$N$6:$N$256,MATCH($C1230,Market_Daily!$A$6:$A$256,0)),NA()))</f>
        <v/>
      </c>
      <c r="O1230" s="16">
        <f>$N1230-$M1230</f>
        <v/>
      </c>
      <c r="P1230" s="16">
        <f>IF(($B1229=$B1230),$M1229,"")</f>
        <v/>
      </c>
      <c r="Q1230" s="16">
        <f>$M1230+IF($L1230,1,-1)*mcx_slippage_ticks*mcx_al_tick_inr_kg</f>
        <v/>
      </c>
      <c r="R1230" s="18">
        <f>IF(($B1229=$B1230),$H1230*$I1230*kg_per_mt*($M1230-$M1229),0)</f>
        <v/>
      </c>
      <c r="S1230" s="18">
        <f>IF(($B1229=$B1230),$S1229,0)+$R1230</f>
        <v/>
      </c>
      <c r="T1230" s="18">
        <f>ABS($H1230)*$I1230*kg_per_mt*$M1230</f>
        <v/>
      </c>
      <c r="U1230" s="18">
        <f>IF($K1230,0,$T1230*mcx_al_margin_used_frac)</f>
        <v/>
      </c>
      <c r="V1230" s="18">
        <f>IF(($B1229=$B1230),$U1229,0)</f>
        <v/>
      </c>
      <c r="W1230" s="18">
        <f>$U1230-$V1230</f>
        <v/>
      </c>
      <c r="X1230" s="18">
        <f>IF($K1230,0,$T1230*0.12)</f>
        <v/>
      </c>
      <c r="Y1230" s="18">
        <f>IF($K1230,0,$T1230*0.15)</f>
        <v/>
      </c>
      <c r="Z1230" s="18">
        <f>IF($F1230="hold",0,-ABS($H1230)*$I1230*kg_per_mt*mcx_slippage_ticks*mcx_al_tick_inr_kg)</f>
        <v/>
      </c>
      <c r="AA1230" s="18">
        <f>IF($F1230="hold",0,-ABS($H1230)*$I1230*kg_per_mt*$Q1230*mcx_txn_cost_frac)</f>
        <v/>
      </c>
      <c r="AB1230" s="18">
        <f>$Z1230+$AA1230</f>
        <v/>
      </c>
      <c r="AC1230" s="18">
        <f>$R1230-$W1230+$AB1230</f>
        <v/>
      </c>
      <c r="AD1230" s="18">
        <f>IF(($B1229=$B1230),$AD1229,0)+$AC1230</f>
        <v/>
      </c>
      <c r="AE1230" s="23" t="n">
        <v>1420349.52</v>
      </c>
      <c r="AF1230" s="23" t="n">
        <v>13258942.4</v>
      </c>
      <c r="AG1230" s="23" t="n">
        <v>0</v>
      </c>
      <c r="AH1230" s="23" t="n">
        <v>1562384.48</v>
      </c>
      <c r="AI1230" s="23" t="n">
        <v>-1479.56</v>
      </c>
      <c r="AJ1230" s="18">
        <f>$R1230-$AE1230</f>
        <v/>
      </c>
      <c r="AK1230" s="18">
        <f>$U1230-$AF1230</f>
        <v/>
      </c>
      <c r="AL1230" s="18">
        <f>$AC1230-$AH1230</f>
        <v/>
      </c>
      <c r="AM1230" s="8">
        <f>IF(AND(ABS($AJ1230)&lt;=tol_mcx_inr,ABS($AK1230)&lt;=tol_mcx_inr,ABS($AL1230)&lt;=tol_mcx_inr),"PASS","FAIL")</f>
        <v/>
      </c>
    </row>
    <row r="1231">
      <c r="A1231" s="7" t="inlineStr">
        <is>
          <t>T05</t>
        </is>
      </c>
      <c r="B1231" s="7" t="inlineStr">
        <is>
          <t>T05-MCX-1</t>
        </is>
      </c>
      <c r="C1231" s="11" t="n">
        <v>44684</v>
      </c>
      <c r="D1231" s="7" t="n">
        <v>202205</v>
      </c>
      <c r="E1231" s="7" t="inlineStr">
        <is>
          <t>SELL</t>
        </is>
      </c>
      <c r="F1231" s="7" t="inlineStr">
        <is>
          <t>hold</t>
        </is>
      </c>
      <c r="G1231" s="17" t="b">
        <v>1</v>
      </c>
      <c r="H1231" s="6" t="n">
        <v>-105</v>
      </c>
      <c r="I1231" s="13" t="n">
        <v>5</v>
      </c>
      <c r="J1231" s="8">
        <f>OR($F1231="entry",$F1231="roll_in")</f>
        <v/>
      </c>
      <c r="K1231" s="8">
        <f>OR($F1231="exit",$F1231="roll_out")</f>
        <v/>
      </c>
      <c r="L1231" s="8">
        <f>OR(AND($E1231="SELL",$K1231),AND($E1231="BUY",$J1231))</f>
        <v/>
      </c>
      <c r="M1231" s="16">
        <f>((INDEX(Market_Daily!$B$6:$B$256,MATCH($C1231,Market_Daily!$A$6:$A$256,0))*INDEX(Market_Daily!$F$6:$F$256,MATCH($C1231,Market_Daily!$A$6:$A$256,0))/kg_per_mt*(1+bcd_primary_al_hs7601*(1+sws_rate_on_bcd))+mcx_domestic_premium_inr_kg)*(1+INDEX(Market_Daily!$I$6:$I$256,MATCH($C1231,Market_Daily!$A$6:$A$256,0))*MAX(0,INDEX(mcx_expiries,MATCH($D1231,mcx_months,0))-$C1231)/day_count_inr))</f>
        <v/>
      </c>
      <c r="N1231" s="16">
        <f>IF(INDEX(Market_Daily!$S$6:$S$256,MATCH($C1231,Market_Daily!$A$6:$A$256,0))=$D1231,INDEX(Market_Daily!$M$6:$M$256,MATCH($C1231,Market_Daily!$A$6:$A$256,0)),IF(INDEX(Market_Daily!$T$6:$T$256,MATCH($C1231,Market_Daily!$A$6:$A$256,0))=$D1231,INDEX(Market_Daily!$N$6:$N$256,MATCH($C1231,Market_Daily!$A$6:$A$256,0)),NA()))</f>
        <v/>
      </c>
      <c r="O1231" s="16">
        <f>$N1231-$M1231</f>
        <v/>
      </c>
      <c r="P1231" s="16">
        <f>IF(($B1230=$B1231),$M1230,"")</f>
        <v/>
      </c>
      <c r="Q1231" s="16">
        <f>$M1231+IF($L1231,1,-1)*mcx_slippage_ticks*mcx_al_tick_inr_kg</f>
        <v/>
      </c>
      <c r="R1231" s="18">
        <f>IF(($B1230=$B1231),$H1231*$I1231*kg_per_mt*($M1231-$M1230),0)</f>
        <v/>
      </c>
      <c r="S1231" s="18">
        <f>IF(($B1230=$B1231),$S1230,0)+$R1231</f>
        <v/>
      </c>
      <c r="T1231" s="18">
        <f>ABS($H1231)*$I1231*kg_per_mt*$M1231</f>
        <v/>
      </c>
      <c r="U1231" s="18">
        <f>IF($K1231,0,$T1231*mcx_al_margin_used_frac)</f>
        <v/>
      </c>
      <c r="V1231" s="18">
        <f>IF(($B1230=$B1231),$U1230,0)</f>
        <v/>
      </c>
      <c r="W1231" s="18">
        <f>$U1231-$V1231</f>
        <v/>
      </c>
      <c r="X1231" s="18">
        <f>IF($K1231,0,$T1231*0.12)</f>
        <v/>
      </c>
      <c r="Y1231" s="18">
        <f>IF($K1231,0,$T1231*0.15)</f>
        <v/>
      </c>
      <c r="Z1231" s="18">
        <f>IF($F1231="hold",0,-ABS($H1231)*$I1231*kg_per_mt*mcx_slippage_ticks*mcx_al_tick_inr_kg)</f>
        <v/>
      </c>
      <c r="AA1231" s="18">
        <f>IF($F1231="hold",0,-ABS($H1231)*$I1231*kg_per_mt*$Q1231*mcx_txn_cost_frac)</f>
        <v/>
      </c>
      <c r="AB1231" s="18">
        <f>$Z1231+$AA1231</f>
        <v/>
      </c>
      <c r="AC1231" s="18">
        <f>$R1231-$W1231+$AB1231</f>
        <v/>
      </c>
      <c r="AD1231" s="18">
        <f>IF(($B1230=$B1231),$AD1230,0)+$AC1231</f>
        <v/>
      </c>
      <c r="AE1231" s="23" t="n">
        <v>5449165.35</v>
      </c>
      <c r="AF1231" s="23" t="n">
        <v>12714025.86</v>
      </c>
      <c r="AG1231" s="23" t="n">
        <v>0</v>
      </c>
      <c r="AH1231" s="23" t="n">
        <v>5994081.89</v>
      </c>
      <c r="AI1231" s="23" t="n">
        <v>-4274.53</v>
      </c>
      <c r="AJ1231" s="18">
        <f>$R1231-$AE1231</f>
        <v/>
      </c>
      <c r="AK1231" s="18">
        <f>$U1231-$AF1231</f>
        <v/>
      </c>
      <c r="AL1231" s="18">
        <f>$AC1231-$AH1231</f>
        <v/>
      </c>
      <c r="AM1231" s="8">
        <f>IF(AND(ABS($AJ1231)&lt;=tol_mcx_inr,ABS($AK1231)&lt;=tol_mcx_inr,ABS($AL1231)&lt;=tol_mcx_inr),"PASS","FAIL")</f>
        <v/>
      </c>
    </row>
    <row r="1232">
      <c r="A1232" s="7" t="inlineStr">
        <is>
          <t>T05</t>
        </is>
      </c>
      <c r="B1232" s="7" t="inlineStr">
        <is>
          <t>T05-MCX-1</t>
        </is>
      </c>
      <c r="C1232" s="11" t="n">
        <v>44685</v>
      </c>
      <c r="D1232" s="7" t="n">
        <v>202205</v>
      </c>
      <c r="E1232" s="7" t="inlineStr">
        <is>
          <t>SELL</t>
        </is>
      </c>
      <c r="F1232" s="7" t="inlineStr">
        <is>
          <t>hold</t>
        </is>
      </c>
      <c r="G1232" s="17" t="b">
        <v>1</v>
      </c>
      <c r="H1232" s="6" t="n">
        <v>-105</v>
      </c>
      <c r="I1232" s="13" t="n">
        <v>5</v>
      </c>
      <c r="J1232" s="8">
        <f>OR($F1232="entry",$F1232="roll_in")</f>
        <v/>
      </c>
      <c r="K1232" s="8">
        <f>OR($F1232="exit",$F1232="roll_out")</f>
        <v/>
      </c>
      <c r="L1232" s="8">
        <f>OR(AND($E1232="SELL",$K1232),AND($E1232="BUY",$J1232))</f>
        <v/>
      </c>
      <c r="M1232" s="16">
        <f>((INDEX(Market_Daily!$B$6:$B$256,MATCH($C1232,Market_Daily!$A$6:$A$256,0))*INDEX(Market_Daily!$F$6:$F$256,MATCH($C1232,Market_Daily!$A$6:$A$256,0))/kg_per_mt*(1+bcd_primary_al_hs7601*(1+sws_rate_on_bcd))+mcx_domestic_premium_inr_kg)*(1+INDEX(Market_Daily!$I$6:$I$256,MATCH($C1232,Market_Daily!$A$6:$A$256,0))*MAX(0,INDEX(mcx_expiries,MATCH($D1232,mcx_months,0))-$C1232)/day_count_inr))</f>
        <v/>
      </c>
      <c r="N1232" s="16">
        <f>IF(INDEX(Market_Daily!$S$6:$S$256,MATCH($C1232,Market_Daily!$A$6:$A$256,0))=$D1232,INDEX(Market_Daily!$M$6:$M$256,MATCH($C1232,Market_Daily!$A$6:$A$256,0)),IF(INDEX(Market_Daily!$T$6:$T$256,MATCH($C1232,Market_Daily!$A$6:$A$256,0))=$D1232,INDEX(Market_Daily!$N$6:$N$256,MATCH($C1232,Market_Daily!$A$6:$A$256,0)),NA()))</f>
        <v/>
      </c>
      <c r="O1232" s="16">
        <f>$N1232-$M1232</f>
        <v/>
      </c>
      <c r="P1232" s="16">
        <f>IF(($B1231=$B1232),$M1231,"")</f>
        <v/>
      </c>
      <c r="Q1232" s="16">
        <f>$M1232+IF($L1232,1,-1)*mcx_slippage_ticks*mcx_al_tick_inr_kg</f>
        <v/>
      </c>
      <c r="R1232" s="18">
        <f>IF(($B1231=$B1232),$H1232*$I1232*kg_per_mt*($M1232-$M1231),0)</f>
        <v/>
      </c>
      <c r="S1232" s="18">
        <f>IF(($B1231=$B1232),$S1231,0)+$R1232</f>
        <v/>
      </c>
      <c r="T1232" s="18">
        <f>ABS($H1232)*$I1232*kg_per_mt*$M1232</f>
        <v/>
      </c>
      <c r="U1232" s="18">
        <f>IF($K1232,0,$T1232*mcx_al_margin_used_frac)</f>
        <v/>
      </c>
      <c r="V1232" s="18">
        <f>IF(($B1231=$B1232),$U1231,0)</f>
        <v/>
      </c>
      <c r="W1232" s="18">
        <f>$U1232-$V1232</f>
        <v/>
      </c>
      <c r="X1232" s="18">
        <f>IF($K1232,0,$T1232*0.12)</f>
        <v/>
      </c>
      <c r="Y1232" s="18">
        <f>IF($K1232,0,$T1232*0.15)</f>
        <v/>
      </c>
      <c r="Z1232" s="18">
        <f>IF($F1232="hold",0,-ABS($H1232)*$I1232*kg_per_mt*mcx_slippage_ticks*mcx_al_tick_inr_kg)</f>
        <v/>
      </c>
      <c r="AA1232" s="18">
        <f>IF($F1232="hold",0,-ABS($H1232)*$I1232*kg_per_mt*$Q1232*mcx_txn_cost_frac)</f>
        <v/>
      </c>
      <c r="AB1232" s="18">
        <f>$Z1232+$AA1232</f>
        <v/>
      </c>
      <c r="AC1232" s="18">
        <f>$R1232-$W1232+$AB1232</f>
        <v/>
      </c>
      <c r="AD1232" s="18">
        <f>IF(($B1231=$B1232),$AD1231,0)+$AC1232</f>
        <v/>
      </c>
      <c r="AE1232" s="23" t="n">
        <v>-394897.7</v>
      </c>
      <c r="AF1232" s="23" t="n">
        <v>12753515.63</v>
      </c>
      <c r="AG1232" s="23" t="n">
        <v>0</v>
      </c>
      <c r="AH1232" s="23" t="n">
        <v>-434387.47</v>
      </c>
      <c r="AI1232" s="23" t="n">
        <v>507.89</v>
      </c>
      <c r="AJ1232" s="18">
        <f>$R1232-$AE1232</f>
        <v/>
      </c>
      <c r="AK1232" s="18">
        <f>$U1232-$AF1232</f>
        <v/>
      </c>
      <c r="AL1232" s="18">
        <f>$AC1232-$AH1232</f>
        <v/>
      </c>
      <c r="AM1232" s="8">
        <f>IF(AND(ABS($AJ1232)&lt;=tol_mcx_inr,ABS($AK1232)&lt;=tol_mcx_inr,ABS($AL1232)&lt;=tol_mcx_inr),"PASS","FAIL")</f>
        <v/>
      </c>
    </row>
    <row r="1233">
      <c r="A1233" s="7" t="inlineStr">
        <is>
          <t>T05</t>
        </is>
      </c>
      <c r="B1233" s="7" t="inlineStr">
        <is>
          <t>T05-MCX-1</t>
        </is>
      </c>
      <c r="C1233" s="11" t="n">
        <v>44686</v>
      </c>
      <c r="D1233" s="7" t="n">
        <v>202205</v>
      </c>
      <c r="E1233" s="7" t="inlineStr">
        <is>
          <t>SELL</t>
        </is>
      </c>
      <c r="F1233" s="7" t="inlineStr">
        <is>
          <t>hold</t>
        </is>
      </c>
      <c r="G1233" s="17" t="b">
        <v>1</v>
      </c>
      <c r="H1233" s="6" t="n">
        <v>-105</v>
      </c>
      <c r="I1233" s="13" t="n">
        <v>5</v>
      </c>
      <c r="J1233" s="8">
        <f>OR($F1233="entry",$F1233="roll_in")</f>
        <v/>
      </c>
      <c r="K1233" s="8">
        <f>OR($F1233="exit",$F1233="roll_out")</f>
        <v/>
      </c>
      <c r="L1233" s="8">
        <f>OR(AND($E1233="SELL",$K1233),AND($E1233="BUY",$J1233))</f>
        <v/>
      </c>
      <c r="M1233" s="16">
        <f>((INDEX(Market_Daily!$B$6:$B$256,MATCH($C1233,Market_Daily!$A$6:$A$256,0))*INDEX(Market_Daily!$F$6:$F$256,MATCH($C1233,Market_Daily!$A$6:$A$256,0))/kg_per_mt*(1+bcd_primary_al_hs7601*(1+sws_rate_on_bcd))+mcx_domestic_premium_inr_kg)*(1+INDEX(Market_Daily!$I$6:$I$256,MATCH($C1233,Market_Daily!$A$6:$A$256,0))*MAX(0,INDEX(mcx_expiries,MATCH($D1233,mcx_months,0))-$C1233)/day_count_inr))</f>
        <v/>
      </c>
      <c r="N1233" s="16">
        <f>IF(INDEX(Market_Daily!$S$6:$S$256,MATCH($C1233,Market_Daily!$A$6:$A$256,0))=$D1233,INDEX(Market_Daily!$M$6:$M$256,MATCH($C1233,Market_Daily!$A$6:$A$256,0)),IF(INDEX(Market_Daily!$T$6:$T$256,MATCH($C1233,Market_Daily!$A$6:$A$256,0))=$D1233,INDEX(Market_Daily!$N$6:$N$256,MATCH($C1233,Market_Daily!$A$6:$A$256,0)),NA()))</f>
        <v/>
      </c>
      <c r="O1233" s="16">
        <f>$N1233-$M1233</f>
        <v/>
      </c>
      <c r="P1233" s="16">
        <f>IF(($B1232=$B1233),$M1232,"")</f>
        <v/>
      </c>
      <c r="Q1233" s="16">
        <f>$M1233+IF($L1233,1,-1)*mcx_slippage_ticks*mcx_al_tick_inr_kg</f>
        <v/>
      </c>
      <c r="R1233" s="18">
        <f>IF(($B1232=$B1233),$H1233*$I1233*kg_per_mt*($M1233-$M1232),0)</f>
        <v/>
      </c>
      <c r="S1233" s="18">
        <f>IF(($B1232=$B1233),$S1232,0)+$R1233</f>
        <v/>
      </c>
      <c r="T1233" s="18">
        <f>ABS($H1233)*$I1233*kg_per_mt*$M1233</f>
        <v/>
      </c>
      <c r="U1233" s="18">
        <f>IF($K1233,0,$T1233*mcx_al_margin_used_frac)</f>
        <v/>
      </c>
      <c r="V1233" s="18">
        <f>IF(($B1232=$B1233),$U1232,0)</f>
        <v/>
      </c>
      <c r="W1233" s="18">
        <f>$U1233-$V1233</f>
        <v/>
      </c>
      <c r="X1233" s="18">
        <f>IF($K1233,0,$T1233*0.12)</f>
        <v/>
      </c>
      <c r="Y1233" s="18">
        <f>IF($K1233,0,$T1233*0.15)</f>
        <v/>
      </c>
      <c r="Z1233" s="18">
        <f>IF($F1233="hold",0,-ABS($H1233)*$I1233*kg_per_mt*mcx_slippage_ticks*mcx_al_tick_inr_kg)</f>
        <v/>
      </c>
      <c r="AA1233" s="18">
        <f>IF($F1233="hold",0,-ABS($H1233)*$I1233*kg_per_mt*$Q1233*mcx_txn_cost_frac)</f>
        <v/>
      </c>
      <c r="AB1233" s="18">
        <f>$Z1233+$AA1233</f>
        <v/>
      </c>
      <c r="AC1233" s="18">
        <f>$R1233-$W1233+$AB1233</f>
        <v/>
      </c>
      <c r="AD1233" s="18">
        <f>IF(($B1232=$B1233),$AD1232,0)+$AC1233</f>
        <v/>
      </c>
      <c r="AE1233" s="23" t="n">
        <v>645045.78</v>
      </c>
      <c r="AF1233" s="23" t="n">
        <v>12689011.06</v>
      </c>
      <c r="AG1233" s="23" t="n">
        <v>0</v>
      </c>
      <c r="AH1233" s="23" t="n">
        <v>709550.36</v>
      </c>
      <c r="AI1233" s="23" t="n">
        <v>393.64</v>
      </c>
      <c r="AJ1233" s="18">
        <f>$R1233-$AE1233</f>
        <v/>
      </c>
      <c r="AK1233" s="18">
        <f>$U1233-$AF1233</f>
        <v/>
      </c>
      <c r="AL1233" s="18">
        <f>$AC1233-$AH1233</f>
        <v/>
      </c>
      <c r="AM1233" s="8">
        <f>IF(AND(ABS($AJ1233)&lt;=tol_mcx_inr,ABS($AK1233)&lt;=tol_mcx_inr,ABS($AL1233)&lt;=tol_mcx_inr),"PASS","FAIL")</f>
        <v/>
      </c>
    </row>
    <row r="1234">
      <c r="A1234" s="7" t="inlineStr">
        <is>
          <t>T05</t>
        </is>
      </c>
      <c r="B1234" s="7" t="inlineStr">
        <is>
          <t>T05-MCX-1</t>
        </is>
      </c>
      <c r="C1234" s="11" t="n">
        <v>44687</v>
      </c>
      <c r="D1234" s="7" t="n">
        <v>202205</v>
      </c>
      <c r="E1234" s="7" t="inlineStr">
        <is>
          <t>SELL</t>
        </is>
      </c>
      <c r="F1234" s="7" t="inlineStr">
        <is>
          <t>hold</t>
        </is>
      </c>
      <c r="G1234" s="17" t="b">
        <v>1</v>
      </c>
      <c r="H1234" s="6" t="n">
        <v>-105</v>
      </c>
      <c r="I1234" s="13" t="n">
        <v>5</v>
      </c>
      <c r="J1234" s="8">
        <f>OR($F1234="entry",$F1234="roll_in")</f>
        <v/>
      </c>
      <c r="K1234" s="8">
        <f>OR($F1234="exit",$F1234="roll_out")</f>
        <v/>
      </c>
      <c r="L1234" s="8">
        <f>OR(AND($E1234="SELL",$K1234),AND($E1234="BUY",$J1234))</f>
        <v/>
      </c>
      <c r="M1234" s="16">
        <f>((INDEX(Market_Daily!$B$6:$B$256,MATCH($C1234,Market_Daily!$A$6:$A$256,0))*INDEX(Market_Daily!$F$6:$F$256,MATCH($C1234,Market_Daily!$A$6:$A$256,0))/kg_per_mt*(1+bcd_primary_al_hs7601*(1+sws_rate_on_bcd))+mcx_domestic_premium_inr_kg)*(1+INDEX(Market_Daily!$I$6:$I$256,MATCH($C1234,Market_Daily!$A$6:$A$256,0))*MAX(0,INDEX(mcx_expiries,MATCH($D1234,mcx_months,0))-$C1234)/day_count_inr))</f>
        <v/>
      </c>
      <c r="N1234" s="16">
        <f>IF(INDEX(Market_Daily!$S$6:$S$256,MATCH($C1234,Market_Daily!$A$6:$A$256,0))=$D1234,INDEX(Market_Daily!$M$6:$M$256,MATCH($C1234,Market_Daily!$A$6:$A$256,0)),IF(INDEX(Market_Daily!$T$6:$T$256,MATCH($C1234,Market_Daily!$A$6:$A$256,0))=$D1234,INDEX(Market_Daily!$N$6:$N$256,MATCH($C1234,Market_Daily!$A$6:$A$256,0)),NA()))</f>
        <v/>
      </c>
      <c r="O1234" s="16">
        <f>$N1234-$M1234</f>
        <v/>
      </c>
      <c r="P1234" s="16">
        <f>IF(($B1233=$B1234),$M1233,"")</f>
        <v/>
      </c>
      <c r="Q1234" s="16">
        <f>$M1234+IF($L1234,1,-1)*mcx_slippage_ticks*mcx_al_tick_inr_kg</f>
        <v/>
      </c>
      <c r="R1234" s="18">
        <f>IF(($B1233=$B1234),$H1234*$I1234*kg_per_mt*($M1234-$M1233),0)</f>
        <v/>
      </c>
      <c r="S1234" s="18">
        <f>IF(($B1233=$B1234),$S1233,0)+$R1234</f>
        <v/>
      </c>
      <c r="T1234" s="18">
        <f>ABS($H1234)*$I1234*kg_per_mt*$M1234</f>
        <v/>
      </c>
      <c r="U1234" s="18">
        <f>IF($K1234,0,$T1234*mcx_al_margin_used_frac)</f>
        <v/>
      </c>
      <c r="V1234" s="18">
        <f>IF(($B1233=$B1234),$U1233,0)</f>
        <v/>
      </c>
      <c r="W1234" s="18">
        <f>$U1234-$V1234</f>
        <v/>
      </c>
      <c r="X1234" s="18">
        <f>IF($K1234,0,$T1234*0.12)</f>
        <v/>
      </c>
      <c r="Y1234" s="18">
        <f>IF($K1234,0,$T1234*0.15)</f>
        <v/>
      </c>
      <c r="Z1234" s="18">
        <f>IF($F1234="hold",0,-ABS($H1234)*$I1234*kg_per_mt*mcx_slippage_ticks*mcx_al_tick_inr_kg)</f>
        <v/>
      </c>
      <c r="AA1234" s="18">
        <f>IF($F1234="hold",0,-ABS($H1234)*$I1234*kg_per_mt*$Q1234*mcx_txn_cost_frac)</f>
        <v/>
      </c>
      <c r="AB1234" s="18">
        <f>$Z1234+$AA1234</f>
        <v/>
      </c>
      <c r="AC1234" s="18">
        <f>$R1234-$W1234+$AB1234</f>
        <v/>
      </c>
      <c r="AD1234" s="18">
        <f>IF(($B1233=$B1234),$AD1233,0)+$AC1234</f>
        <v/>
      </c>
      <c r="AE1234" s="23" t="n">
        <v>2676851.69</v>
      </c>
      <c r="AF1234" s="23" t="n">
        <v>12421325.89</v>
      </c>
      <c r="AG1234" s="23" t="n">
        <v>0</v>
      </c>
      <c r="AH1234" s="23" t="n">
        <v>2944536.86</v>
      </c>
      <c r="AI1234" s="23" t="n">
        <v>580.26</v>
      </c>
      <c r="AJ1234" s="18">
        <f>$R1234-$AE1234</f>
        <v/>
      </c>
      <c r="AK1234" s="18">
        <f>$U1234-$AF1234</f>
        <v/>
      </c>
      <c r="AL1234" s="18">
        <f>$AC1234-$AH1234</f>
        <v/>
      </c>
      <c r="AM1234" s="8">
        <f>IF(AND(ABS($AJ1234)&lt;=tol_mcx_inr,ABS($AK1234)&lt;=tol_mcx_inr,ABS($AL1234)&lt;=tol_mcx_inr),"PASS","FAIL")</f>
        <v/>
      </c>
    </row>
    <row r="1235">
      <c r="A1235" s="7" t="inlineStr">
        <is>
          <t>T05</t>
        </is>
      </c>
      <c r="B1235" s="7" t="inlineStr">
        <is>
          <t>T05-MCX-1</t>
        </is>
      </c>
      <c r="C1235" s="11" t="n">
        <v>44690</v>
      </c>
      <c r="D1235" s="7" t="n">
        <v>202205</v>
      </c>
      <c r="E1235" s="7" t="inlineStr">
        <is>
          <t>SELL</t>
        </is>
      </c>
      <c r="F1235" s="7" t="inlineStr">
        <is>
          <t>hold</t>
        </is>
      </c>
      <c r="G1235" s="17" t="b">
        <v>1</v>
      </c>
      <c r="H1235" s="6" t="n">
        <v>-105</v>
      </c>
      <c r="I1235" s="13" t="n">
        <v>5</v>
      </c>
      <c r="J1235" s="8">
        <f>OR($F1235="entry",$F1235="roll_in")</f>
        <v/>
      </c>
      <c r="K1235" s="8">
        <f>OR($F1235="exit",$F1235="roll_out")</f>
        <v/>
      </c>
      <c r="L1235" s="8">
        <f>OR(AND($E1235="SELL",$K1235),AND($E1235="BUY",$J1235))</f>
        <v/>
      </c>
      <c r="M1235" s="16">
        <f>((INDEX(Market_Daily!$B$6:$B$256,MATCH($C1235,Market_Daily!$A$6:$A$256,0))*INDEX(Market_Daily!$F$6:$F$256,MATCH($C1235,Market_Daily!$A$6:$A$256,0))/kg_per_mt*(1+bcd_primary_al_hs7601*(1+sws_rate_on_bcd))+mcx_domestic_premium_inr_kg)*(1+INDEX(Market_Daily!$I$6:$I$256,MATCH($C1235,Market_Daily!$A$6:$A$256,0))*MAX(0,INDEX(mcx_expiries,MATCH($D1235,mcx_months,0))-$C1235)/day_count_inr))</f>
        <v/>
      </c>
      <c r="N1235" s="16">
        <f>IF(INDEX(Market_Daily!$S$6:$S$256,MATCH($C1235,Market_Daily!$A$6:$A$256,0))=$D1235,INDEX(Market_Daily!$M$6:$M$256,MATCH($C1235,Market_Daily!$A$6:$A$256,0)),IF(INDEX(Market_Daily!$T$6:$T$256,MATCH($C1235,Market_Daily!$A$6:$A$256,0))=$D1235,INDEX(Market_Daily!$N$6:$N$256,MATCH($C1235,Market_Daily!$A$6:$A$256,0)),NA()))</f>
        <v/>
      </c>
      <c r="O1235" s="16">
        <f>$N1235-$M1235</f>
        <v/>
      </c>
      <c r="P1235" s="16">
        <f>IF(($B1234=$B1235),$M1234,"")</f>
        <v/>
      </c>
      <c r="Q1235" s="16">
        <f>$M1235+IF($L1235,1,-1)*mcx_slippage_ticks*mcx_al_tick_inr_kg</f>
        <v/>
      </c>
      <c r="R1235" s="18">
        <f>IF(($B1234=$B1235),$H1235*$I1235*kg_per_mt*($M1235-$M1234),0)</f>
        <v/>
      </c>
      <c r="S1235" s="18">
        <f>IF(($B1234=$B1235),$S1234,0)+$R1235</f>
        <v/>
      </c>
      <c r="T1235" s="18">
        <f>ABS($H1235)*$I1235*kg_per_mt*$M1235</f>
        <v/>
      </c>
      <c r="U1235" s="18">
        <f>IF($K1235,0,$T1235*mcx_al_margin_used_frac)</f>
        <v/>
      </c>
      <c r="V1235" s="18">
        <f>IF(($B1234=$B1235),$U1234,0)</f>
        <v/>
      </c>
      <c r="W1235" s="18">
        <f>$U1235-$V1235</f>
        <v/>
      </c>
      <c r="X1235" s="18">
        <f>IF($K1235,0,$T1235*0.12)</f>
        <v/>
      </c>
      <c r="Y1235" s="18">
        <f>IF($K1235,0,$T1235*0.15)</f>
        <v/>
      </c>
      <c r="Z1235" s="18">
        <f>IF($F1235="hold",0,-ABS($H1235)*$I1235*kg_per_mt*mcx_slippage_ticks*mcx_al_tick_inr_kg)</f>
        <v/>
      </c>
      <c r="AA1235" s="18">
        <f>IF($F1235="hold",0,-ABS($H1235)*$I1235*kg_per_mt*$Q1235*mcx_txn_cost_frac)</f>
        <v/>
      </c>
      <c r="AB1235" s="18">
        <f>$Z1235+$AA1235</f>
        <v/>
      </c>
      <c r="AC1235" s="18">
        <f>$R1235-$W1235+$AB1235</f>
        <v/>
      </c>
      <c r="AD1235" s="18">
        <f>IF(($B1234=$B1235),$AD1234,0)+$AC1235</f>
        <v/>
      </c>
      <c r="AE1235" s="23" t="n">
        <v>4733743.02</v>
      </c>
      <c r="AF1235" s="23" t="n">
        <v>11947951.58</v>
      </c>
      <c r="AG1235" s="23" t="n">
        <v>0</v>
      </c>
      <c r="AH1235" s="23" t="n">
        <v>5207117.32</v>
      </c>
      <c r="AI1235" s="23" t="n">
        <v>4064.15</v>
      </c>
      <c r="AJ1235" s="18">
        <f>$R1235-$AE1235</f>
        <v/>
      </c>
      <c r="AK1235" s="18">
        <f>$U1235-$AF1235</f>
        <v/>
      </c>
      <c r="AL1235" s="18">
        <f>$AC1235-$AH1235</f>
        <v/>
      </c>
      <c r="AM1235" s="8">
        <f>IF(AND(ABS($AJ1235)&lt;=tol_mcx_inr,ABS($AK1235)&lt;=tol_mcx_inr,ABS($AL1235)&lt;=tol_mcx_inr),"PASS","FAIL")</f>
        <v/>
      </c>
    </row>
    <row r="1236">
      <c r="A1236" s="7" t="inlineStr">
        <is>
          <t>T05</t>
        </is>
      </c>
      <c r="B1236" s="7" t="inlineStr">
        <is>
          <t>T05-MCX-1</t>
        </is>
      </c>
      <c r="C1236" s="11" t="n">
        <v>44691</v>
      </c>
      <c r="D1236" s="7" t="n">
        <v>202205</v>
      </c>
      <c r="E1236" s="7" t="inlineStr">
        <is>
          <t>SELL</t>
        </is>
      </c>
      <c r="F1236" s="7" t="inlineStr">
        <is>
          <t>hold</t>
        </is>
      </c>
      <c r="G1236" s="17" t="b">
        <v>1</v>
      </c>
      <c r="H1236" s="6" t="n">
        <v>-105</v>
      </c>
      <c r="I1236" s="13" t="n">
        <v>5</v>
      </c>
      <c r="J1236" s="8">
        <f>OR($F1236="entry",$F1236="roll_in")</f>
        <v/>
      </c>
      <c r="K1236" s="8">
        <f>OR($F1236="exit",$F1236="roll_out")</f>
        <v/>
      </c>
      <c r="L1236" s="8">
        <f>OR(AND($E1236="SELL",$K1236),AND($E1236="BUY",$J1236))</f>
        <v/>
      </c>
      <c r="M1236" s="16">
        <f>((INDEX(Market_Daily!$B$6:$B$256,MATCH($C1236,Market_Daily!$A$6:$A$256,0))*INDEX(Market_Daily!$F$6:$F$256,MATCH($C1236,Market_Daily!$A$6:$A$256,0))/kg_per_mt*(1+bcd_primary_al_hs7601*(1+sws_rate_on_bcd))+mcx_domestic_premium_inr_kg)*(1+INDEX(Market_Daily!$I$6:$I$256,MATCH($C1236,Market_Daily!$A$6:$A$256,0))*MAX(0,INDEX(mcx_expiries,MATCH($D1236,mcx_months,0))-$C1236)/day_count_inr))</f>
        <v/>
      </c>
      <c r="N1236" s="16">
        <f>IF(INDEX(Market_Daily!$S$6:$S$256,MATCH($C1236,Market_Daily!$A$6:$A$256,0))=$D1236,INDEX(Market_Daily!$M$6:$M$256,MATCH($C1236,Market_Daily!$A$6:$A$256,0)),IF(INDEX(Market_Daily!$T$6:$T$256,MATCH($C1236,Market_Daily!$A$6:$A$256,0))=$D1236,INDEX(Market_Daily!$N$6:$N$256,MATCH($C1236,Market_Daily!$A$6:$A$256,0)),NA()))</f>
        <v/>
      </c>
      <c r="O1236" s="16">
        <f>$N1236-$M1236</f>
        <v/>
      </c>
      <c r="P1236" s="16">
        <f>IF(($B1235=$B1236),$M1235,"")</f>
        <v/>
      </c>
      <c r="Q1236" s="16">
        <f>$M1236+IF($L1236,1,-1)*mcx_slippage_ticks*mcx_al_tick_inr_kg</f>
        <v/>
      </c>
      <c r="R1236" s="18">
        <f>IF(($B1235=$B1236),$H1236*$I1236*kg_per_mt*($M1236-$M1235),0)</f>
        <v/>
      </c>
      <c r="S1236" s="18">
        <f>IF(($B1235=$B1236),$S1235,0)+$R1236</f>
        <v/>
      </c>
      <c r="T1236" s="18">
        <f>ABS($H1236)*$I1236*kg_per_mt*$M1236</f>
        <v/>
      </c>
      <c r="U1236" s="18">
        <f>IF($K1236,0,$T1236*mcx_al_margin_used_frac)</f>
        <v/>
      </c>
      <c r="V1236" s="18">
        <f>IF(($B1235=$B1236),$U1235,0)</f>
        <v/>
      </c>
      <c r="W1236" s="18">
        <f>$U1236-$V1236</f>
        <v/>
      </c>
      <c r="X1236" s="18">
        <f>IF($K1236,0,$T1236*0.12)</f>
        <v/>
      </c>
      <c r="Y1236" s="18">
        <f>IF($K1236,0,$T1236*0.15)</f>
        <v/>
      </c>
      <c r="Z1236" s="18">
        <f>IF($F1236="hold",0,-ABS($H1236)*$I1236*kg_per_mt*mcx_slippage_ticks*mcx_al_tick_inr_kg)</f>
        <v/>
      </c>
      <c r="AA1236" s="18">
        <f>IF($F1236="hold",0,-ABS($H1236)*$I1236*kg_per_mt*$Q1236*mcx_txn_cost_frac)</f>
        <v/>
      </c>
      <c r="AB1236" s="18">
        <f>$Z1236+$AA1236</f>
        <v/>
      </c>
      <c r="AC1236" s="18">
        <f>$R1236-$W1236+$AB1236</f>
        <v/>
      </c>
      <c r="AD1236" s="18">
        <f>IF(($B1235=$B1236),$AD1235,0)+$AC1236</f>
        <v/>
      </c>
      <c r="AE1236" s="23" t="n">
        <v>1614751.53</v>
      </c>
      <c r="AF1236" s="23" t="n">
        <v>11786476.43</v>
      </c>
      <c r="AG1236" s="23" t="n">
        <v>0</v>
      </c>
      <c r="AH1236" s="23" t="n">
        <v>1776226.69</v>
      </c>
      <c r="AI1236" s="23" t="n">
        <v>2724.26</v>
      </c>
      <c r="AJ1236" s="18">
        <f>$R1236-$AE1236</f>
        <v/>
      </c>
      <c r="AK1236" s="18">
        <f>$U1236-$AF1236</f>
        <v/>
      </c>
      <c r="AL1236" s="18">
        <f>$AC1236-$AH1236</f>
        <v/>
      </c>
      <c r="AM1236" s="8">
        <f>IF(AND(ABS($AJ1236)&lt;=tol_mcx_inr,ABS($AK1236)&lt;=tol_mcx_inr,ABS($AL1236)&lt;=tol_mcx_inr),"PASS","FAIL")</f>
        <v/>
      </c>
    </row>
    <row r="1237">
      <c r="A1237" s="7" t="inlineStr">
        <is>
          <t>T05</t>
        </is>
      </c>
      <c r="B1237" s="7" t="inlineStr">
        <is>
          <t>T05-MCX-1</t>
        </is>
      </c>
      <c r="C1237" s="11" t="n">
        <v>44692</v>
      </c>
      <c r="D1237" s="7" t="n">
        <v>202205</v>
      </c>
      <c r="E1237" s="7" t="inlineStr">
        <is>
          <t>SELL</t>
        </is>
      </c>
      <c r="F1237" s="7" t="inlineStr">
        <is>
          <t>hold</t>
        </is>
      </c>
      <c r="G1237" s="17" t="b">
        <v>1</v>
      </c>
      <c r="H1237" s="6" t="n">
        <v>-105</v>
      </c>
      <c r="I1237" s="13" t="n">
        <v>5</v>
      </c>
      <c r="J1237" s="8">
        <f>OR($F1237="entry",$F1237="roll_in")</f>
        <v/>
      </c>
      <c r="K1237" s="8">
        <f>OR($F1237="exit",$F1237="roll_out")</f>
        <v/>
      </c>
      <c r="L1237" s="8">
        <f>OR(AND($E1237="SELL",$K1237),AND($E1237="BUY",$J1237))</f>
        <v/>
      </c>
      <c r="M1237" s="16">
        <f>((INDEX(Market_Daily!$B$6:$B$256,MATCH($C1237,Market_Daily!$A$6:$A$256,0))*INDEX(Market_Daily!$F$6:$F$256,MATCH($C1237,Market_Daily!$A$6:$A$256,0))/kg_per_mt*(1+bcd_primary_al_hs7601*(1+sws_rate_on_bcd))+mcx_domestic_premium_inr_kg)*(1+INDEX(Market_Daily!$I$6:$I$256,MATCH($C1237,Market_Daily!$A$6:$A$256,0))*MAX(0,INDEX(mcx_expiries,MATCH($D1237,mcx_months,0))-$C1237)/day_count_inr))</f>
        <v/>
      </c>
      <c r="N1237" s="16">
        <f>IF(INDEX(Market_Daily!$S$6:$S$256,MATCH($C1237,Market_Daily!$A$6:$A$256,0))=$D1237,INDEX(Market_Daily!$M$6:$M$256,MATCH($C1237,Market_Daily!$A$6:$A$256,0)),IF(INDEX(Market_Daily!$T$6:$T$256,MATCH($C1237,Market_Daily!$A$6:$A$256,0))=$D1237,INDEX(Market_Daily!$N$6:$N$256,MATCH($C1237,Market_Daily!$A$6:$A$256,0)),NA()))</f>
        <v/>
      </c>
      <c r="O1237" s="16">
        <f>$N1237-$M1237</f>
        <v/>
      </c>
      <c r="P1237" s="16">
        <f>IF(($B1236=$B1237),$M1236,"")</f>
        <v/>
      </c>
      <c r="Q1237" s="16">
        <f>$M1237+IF($L1237,1,-1)*mcx_slippage_ticks*mcx_al_tick_inr_kg</f>
        <v/>
      </c>
      <c r="R1237" s="18">
        <f>IF(($B1236=$B1237),$H1237*$I1237*kg_per_mt*($M1237-$M1236),0)</f>
        <v/>
      </c>
      <c r="S1237" s="18">
        <f>IF(($B1236=$B1237),$S1236,0)+$R1237</f>
        <v/>
      </c>
      <c r="T1237" s="18">
        <f>ABS($H1237)*$I1237*kg_per_mt*$M1237</f>
        <v/>
      </c>
      <c r="U1237" s="18">
        <f>IF($K1237,0,$T1237*mcx_al_margin_used_frac)</f>
        <v/>
      </c>
      <c r="V1237" s="18">
        <f>IF(($B1236=$B1237),$U1236,0)</f>
        <v/>
      </c>
      <c r="W1237" s="18">
        <f>$U1237-$V1237</f>
        <v/>
      </c>
      <c r="X1237" s="18">
        <f>IF($K1237,0,$T1237*0.12)</f>
        <v/>
      </c>
      <c r="Y1237" s="18">
        <f>IF($K1237,0,$T1237*0.15)</f>
        <v/>
      </c>
      <c r="Z1237" s="18">
        <f>IF($F1237="hold",0,-ABS($H1237)*$I1237*kg_per_mt*mcx_slippage_ticks*mcx_al_tick_inr_kg)</f>
        <v/>
      </c>
      <c r="AA1237" s="18">
        <f>IF($F1237="hold",0,-ABS($H1237)*$I1237*kg_per_mt*$Q1237*mcx_txn_cost_frac)</f>
        <v/>
      </c>
      <c r="AB1237" s="18">
        <f>$Z1237+$AA1237</f>
        <v/>
      </c>
      <c r="AC1237" s="18">
        <f>$R1237-$W1237+$AB1237</f>
        <v/>
      </c>
      <c r="AD1237" s="18">
        <f>IF(($B1236=$B1237),$AD1236,0)+$AC1237</f>
        <v/>
      </c>
      <c r="AE1237" s="23" t="n">
        <v>-2565155.77</v>
      </c>
      <c r="AF1237" s="23" t="n">
        <v>12042992.01</v>
      </c>
      <c r="AG1237" s="23" t="n">
        <v>0</v>
      </c>
      <c r="AH1237" s="23" t="n">
        <v>-2821671.35</v>
      </c>
      <c r="AI1237" s="23" t="n">
        <v>3191.43</v>
      </c>
      <c r="AJ1237" s="18">
        <f>$R1237-$AE1237</f>
        <v/>
      </c>
      <c r="AK1237" s="18">
        <f>$U1237-$AF1237</f>
        <v/>
      </c>
      <c r="AL1237" s="18">
        <f>$AC1237-$AH1237</f>
        <v/>
      </c>
      <c r="AM1237" s="8">
        <f>IF(AND(ABS($AJ1237)&lt;=tol_mcx_inr,ABS($AK1237)&lt;=tol_mcx_inr,ABS($AL1237)&lt;=tol_mcx_inr),"PASS","FAIL")</f>
        <v/>
      </c>
    </row>
    <row r="1238">
      <c r="A1238" s="7" t="inlineStr">
        <is>
          <t>T05</t>
        </is>
      </c>
      <c r="B1238" s="7" t="inlineStr">
        <is>
          <t>T05-MCX-1</t>
        </is>
      </c>
      <c r="C1238" s="11" t="n">
        <v>44693</v>
      </c>
      <c r="D1238" s="7" t="n">
        <v>202205</v>
      </c>
      <c r="E1238" s="7" t="inlineStr">
        <is>
          <t>SELL</t>
        </is>
      </c>
      <c r="F1238" s="7" t="inlineStr">
        <is>
          <t>hold</t>
        </is>
      </c>
      <c r="G1238" s="17" t="b">
        <v>1</v>
      </c>
      <c r="H1238" s="6" t="n">
        <v>-105</v>
      </c>
      <c r="I1238" s="13" t="n">
        <v>5</v>
      </c>
      <c r="J1238" s="8">
        <f>OR($F1238="entry",$F1238="roll_in")</f>
        <v/>
      </c>
      <c r="K1238" s="8">
        <f>OR($F1238="exit",$F1238="roll_out")</f>
        <v/>
      </c>
      <c r="L1238" s="8">
        <f>OR(AND($E1238="SELL",$K1238),AND($E1238="BUY",$J1238))</f>
        <v/>
      </c>
      <c r="M1238" s="16">
        <f>((INDEX(Market_Daily!$B$6:$B$256,MATCH($C1238,Market_Daily!$A$6:$A$256,0))*INDEX(Market_Daily!$F$6:$F$256,MATCH($C1238,Market_Daily!$A$6:$A$256,0))/kg_per_mt*(1+bcd_primary_al_hs7601*(1+sws_rate_on_bcd))+mcx_domestic_premium_inr_kg)*(1+INDEX(Market_Daily!$I$6:$I$256,MATCH($C1238,Market_Daily!$A$6:$A$256,0))*MAX(0,INDEX(mcx_expiries,MATCH($D1238,mcx_months,0))-$C1238)/day_count_inr))</f>
        <v/>
      </c>
      <c r="N1238" s="16">
        <f>IF(INDEX(Market_Daily!$S$6:$S$256,MATCH($C1238,Market_Daily!$A$6:$A$256,0))=$D1238,INDEX(Market_Daily!$M$6:$M$256,MATCH($C1238,Market_Daily!$A$6:$A$256,0)),IF(INDEX(Market_Daily!$T$6:$T$256,MATCH($C1238,Market_Daily!$A$6:$A$256,0))=$D1238,INDEX(Market_Daily!$N$6:$N$256,MATCH($C1238,Market_Daily!$A$6:$A$256,0)),NA()))</f>
        <v/>
      </c>
      <c r="O1238" s="16">
        <f>$N1238-$M1238</f>
        <v/>
      </c>
      <c r="P1238" s="16">
        <f>IF(($B1237=$B1238),$M1237,"")</f>
        <v/>
      </c>
      <c r="Q1238" s="16">
        <f>$M1238+IF($L1238,1,-1)*mcx_slippage_ticks*mcx_al_tick_inr_kg</f>
        <v/>
      </c>
      <c r="R1238" s="18">
        <f>IF(($B1237=$B1238),$H1238*$I1238*kg_per_mt*($M1238-$M1237),0)</f>
        <v/>
      </c>
      <c r="S1238" s="18">
        <f>IF(($B1237=$B1238),$S1237,0)+$R1238</f>
        <v/>
      </c>
      <c r="T1238" s="18">
        <f>ABS($H1238)*$I1238*kg_per_mt*$M1238</f>
        <v/>
      </c>
      <c r="U1238" s="18">
        <f>IF($K1238,0,$T1238*mcx_al_margin_used_frac)</f>
        <v/>
      </c>
      <c r="V1238" s="18">
        <f>IF(($B1237=$B1238),$U1237,0)</f>
        <v/>
      </c>
      <c r="W1238" s="18">
        <f>$U1238-$V1238</f>
        <v/>
      </c>
      <c r="X1238" s="18">
        <f>IF($K1238,0,$T1238*0.12)</f>
        <v/>
      </c>
      <c r="Y1238" s="18">
        <f>IF($K1238,0,$T1238*0.15)</f>
        <v/>
      </c>
      <c r="Z1238" s="18">
        <f>IF($F1238="hold",0,-ABS($H1238)*$I1238*kg_per_mt*mcx_slippage_ticks*mcx_al_tick_inr_kg)</f>
        <v/>
      </c>
      <c r="AA1238" s="18">
        <f>IF($F1238="hold",0,-ABS($H1238)*$I1238*kg_per_mt*$Q1238*mcx_txn_cost_frac)</f>
        <v/>
      </c>
      <c r="AB1238" s="18">
        <f>$Z1238+$AA1238</f>
        <v/>
      </c>
      <c r="AC1238" s="18">
        <f>$R1238-$W1238+$AB1238</f>
        <v/>
      </c>
      <c r="AD1238" s="18">
        <f>IF(($B1237=$B1238),$AD1237,0)+$AC1238</f>
        <v/>
      </c>
      <c r="AE1238" s="23" t="n">
        <v>1739943.41</v>
      </c>
      <c r="AF1238" s="23" t="n">
        <v>11868997.67</v>
      </c>
      <c r="AG1238" s="23" t="n">
        <v>0</v>
      </c>
      <c r="AH1238" s="23" t="n">
        <v>1913937.75</v>
      </c>
      <c r="AI1238" s="23" t="n">
        <v>2449.29</v>
      </c>
      <c r="AJ1238" s="18">
        <f>$R1238-$AE1238</f>
        <v/>
      </c>
      <c r="AK1238" s="18">
        <f>$U1238-$AF1238</f>
        <v/>
      </c>
      <c r="AL1238" s="18">
        <f>$AC1238-$AH1238</f>
        <v/>
      </c>
      <c r="AM1238" s="8">
        <f>IF(AND(ABS($AJ1238)&lt;=tol_mcx_inr,ABS($AK1238)&lt;=tol_mcx_inr,ABS($AL1238)&lt;=tol_mcx_inr),"PASS","FAIL")</f>
        <v/>
      </c>
    </row>
    <row r="1239">
      <c r="A1239" s="7" t="inlineStr">
        <is>
          <t>T05</t>
        </is>
      </c>
      <c r="B1239" s="7" t="inlineStr">
        <is>
          <t>T05-MCX-1</t>
        </is>
      </c>
      <c r="C1239" s="11" t="n">
        <v>44694</v>
      </c>
      <c r="D1239" s="7" t="n">
        <v>202205</v>
      </c>
      <c r="E1239" s="7" t="inlineStr">
        <is>
          <t>SELL</t>
        </is>
      </c>
      <c r="F1239" s="7" t="inlineStr">
        <is>
          <t>hold</t>
        </is>
      </c>
      <c r="G1239" s="17" t="b">
        <v>1</v>
      </c>
      <c r="H1239" s="6" t="n">
        <v>-105</v>
      </c>
      <c r="I1239" s="13" t="n">
        <v>5</v>
      </c>
      <c r="J1239" s="8">
        <f>OR($F1239="entry",$F1239="roll_in")</f>
        <v/>
      </c>
      <c r="K1239" s="8">
        <f>OR($F1239="exit",$F1239="roll_out")</f>
        <v/>
      </c>
      <c r="L1239" s="8">
        <f>OR(AND($E1239="SELL",$K1239),AND($E1239="BUY",$J1239))</f>
        <v/>
      </c>
      <c r="M1239" s="16">
        <f>((INDEX(Market_Daily!$B$6:$B$256,MATCH($C1239,Market_Daily!$A$6:$A$256,0))*INDEX(Market_Daily!$F$6:$F$256,MATCH($C1239,Market_Daily!$A$6:$A$256,0))/kg_per_mt*(1+bcd_primary_al_hs7601*(1+sws_rate_on_bcd))+mcx_domestic_premium_inr_kg)*(1+INDEX(Market_Daily!$I$6:$I$256,MATCH($C1239,Market_Daily!$A$6:$A$256,0))*MAX(0,INDEX(mcx_expiries,MATCH($D1239,mcx_months,0))-$C1239)/day_count_inr))</f>
        <v/>
      </c>
      <c r="N1239" s="16">
        <f>IF(INDEX(Market_Daily!$S$6:$S$256,MATCH($C1239,Market_Daily!$A$6:$A$256,0))=$D1239,INDEX(Market_Daily!$M$6:$M$256,MATCH($C1239,Market_Daily!$A$6:$A$256,0)),IF(INDEX(Market_Daily!$T$6:$T$256,MATCH($C1239,Market_Daily!$A$6:$A$256,0))=$D1239,INDEX(Market_Daily!$N$6:$N$256,MATCH($C1239,Market_Daily!$A$6:$A$256,0)),NA()))</f>
        <v/>
      </c>
      <c r="O1239" s="16">
        <f>$N1239-$M1239</f>
        <v/>
      </c>
      <c r="P1239" s="16">
        <f>IF(($B1238=$B1239),$M1238,"")</f>
        <v/>
      </c>
      <c r="Q1239" s="16">
        <f>$M1239+IF($L1239,1,-1)*mcx_slippage_ticks*mcx_al_tick_inr_kg</f>
        <v/>
      </c>
      <c r="R1239" s="18">
        <f>IF(($B1238=$B1239),$H1239*$I1239*kg_per_mt*($M1239-$M1238),0)</f>
        <v/>
      </c>
      <c r="S1239" s="18">
        <f>IF(($B1238=$B1239),$S1238,0)+$R1239</f>
        <v/>
      </c>
      <c r="T1239" s="18">
        <f>ABS($H1239)*$I1239*kg_per_mt*$M1239</f>
        <v/>
      </c>
      <c r="U1239" s="18">
        <f>IF($K1239,0,$T1239*mcx_al_margin_used_frac)</f>
        <v/>
      </c>
      <c r="V1239" s="18">
        <f>IF(($B1238=$B1239),$U1238,0)</f>
        <v/>
      </c>
      <c r="W1239" s="18">
        <f>$U1239-$V1239</f>
        <v/>
      </c>
      <c r="X1239" s="18">
        <f>IF($K1239,0,$T1239*0.12)</f>
        <v/>
      </c>
      <c r="Y1239" s="18">
        <f>IF($K1239,0,$T1239*0.15)</f>
        <v/>
      </c>
      <c r="Z1239" s="18">
        <f>IF($F1239="hold",0,-ABS($H1239)*$I1239*kg_per_mt*mcx_slippage_ticks*mcx_al_tick_inr_kg)</f>
        <v/>
      </c>
      <c r="AA1239" s="18">
        <f>IF($F1239="hold",0,-ABS($H1239)*$I1239*kg_per_mt*$Q1239*mcx_txn_cost_frac)</f>
        <v/>
      </c>
      <c r="AB1239" s="18">
        <f>$Z1239+$AA1239</f>
        <v/>
      </c>
      <c r="AC1239" s="18">
        <f>$R1239-$W1239+$AB1239</f>
        <v/>
      </c>
      <c r="AD1239" s="18">
        <f>IF(($B1238=$B1239),$AD1238,0)+$AC1239</f>
        <v/>
      </c>
      <c r="AE1239" s="23" t="n">
        <v>-1444418.24</v>
      </c>
      <c r="AF1239" s="23" t="n">
        <v>12013439.49</v>
      </c>
      <c r="AG1239" s="23" t="n">
        <v>0</v>
      </c>
      <c r="AH1239" s="23" t="n">
        <v>-1588860.06</v>
      </c>
      <c r="AI1239" s="23" t="n">
        <v>2952.69</v>
      </c>
      <c r="AJ1239" s="18">
        <f>$R1239-$AE1239</f>
        <v/>
      </c>
      <c r="AK1239" s="18">
        <f>$U1239-$AF1239</f>
        <v/>
      </c>
      <c r="AL1239" s="18">
        <f>$AC1239-$AH1239</f>
        <v/>
      </c>
      <c r="AM1239" s="8">
        <f>IF(AND(ABS($AJ1239)&lt;=tol_mcx_inr,ABS($AK1239)&lt;=tol_mcx_inr,ABS($AL1239)&lt;=tol_mcx_inr),"PASS","FAIL")</f>
        <v/>
      </c>
    </row>
    <row r="1240">
      <c r="A1240" s="7" t="inlineStr">
        <is>
          <t>T05</t>
        </is>
      </c>
      <c r="B1240" s="7" t="inlineStr">
        <is>
          <t>T05-MCX-1</t>
        </is>
      </c>
      <c r="C1240" s="11" t="n">
        <v>44697</v>
      </c>
      <c r="D1240" s="7" t="n">
        <v>202205</v>
      </c>
      <c r="E1240" s="7" t="inlineStr">
        <is>
          <t>SELL</t>
        </is>
      </c>
      <c r="F1240" s="7" t="inlineStr">
        <is>
          <t>hold</t>
        </is>
      </c>
      <c r="G1240" s="17" t="b">
        <v>1</v>
      </c>
      <c r="H1240" s="6" t="n">
        <v>-105</v>
      </c>
      <c r="I1240" s="13" t="n">
        <v>5</v>
      </c>
      <c r="J1240" s="8">
        <f>OR($F1240="entry",$F1240="roll_in")</f>
        <v/>
      </c>
      <c r="K1240" s="8">
        <f>OR($F1240="exit",$F1240="roll_out")</f>
        <v/>
      </c>
      <c r="L1240" s="8">
        <f>OR(AND($E1240="SELL",$K1240),AND($E1240="BUY",$J1240))</f>
        <v/>
      </c>
      <c r="M1240" s="16">
        <f>((INDEX(Market_Daily!$B$6:$B$256,MATCH($C1240,Market_Daily!$A$6:$A$256,0))*INDEX(Market_Daily!$F$6:$F$256,MATCH($C1240,Market_Daily!$A$6:$A$256,0))/kg_per_mt*(1+bcd_primary_al_hs7601*(1+sws_rate_on_bcd))+mcx_domestic_premium_inr_kg)*(1+INDEX(Market_Daily!$I$6:$I$256,MATCH($C1240,Market_Daily!$A$6:$A$256,0))*MAX(0,INDEX(mcx_expiries,MATCH($D1240,mcx_months,0))-$C1240)/day_count_inr))</f>
        <v/>
      </c>
      <c r="N1240" s="16">
        <f>IF(INDEX(Market_Daily!$S$6:$S$256,MATCH($C1240,Market_Daily!$A$6:$A$256,0))=$D1240,INDEX(Market_Daily!$M$6:$M$256,MATCH($C1240,Market_Daily!$A$6:$A$256,0)),IF(INDEX(Market_Daily!$T$6:$T$256,MATCH($C1240,Market_Daily!$A$6:$A$256,0))=$D1240,INDEX(Market_Daily!$N$6:$N$256,MATCH($C1240,Market_Daily!$A$6:$A$256,0)),NA()))</f>
        <v/>
      </c>
      <c r="O1240" s="16">
        <f>$N1240-$M1240</f>
        <v/>
      </c>
      <c r="P1240" s="16">
        <f>IF(($B1239=$B1240),$M1239,"")</f>
        <v/>
      </c>
      <c r="Q1240" s="16">
        <f>$M1240+IF($L1240,1,-1)*mcx_slippage_ticks*mcx_al_tick_inr_kg</f>
        <v/>
      </c>
      <c r="R1240" s="18">
        <f>IF(($B1239=$B1240),$H1240*$I1240*kg_per_mt*($M1240-$M1239),0)</f>
        <v/>
      </c>
      <c r="S1240" s="18">
        <f>IF(($B1239=$B1240),$S1239,0)+$R1240</f>
        <v/>
      </c>
      <c r="T1240" s="18">
        <f>ABS($H1240)*$I1240*kg_per_mt*$M1240</f>
        <v/>
      </c>
      <c r="U1240" s="18">
        <f>IF($K1240,0,$T1240*mcx_al_margin_used_frac)</f>
        <v/>
      </c>
      <c r="V1240" s="18">
        <f>IF(($B1239=$B1240),$U1239,0)</f>
        <v/>
      </c>
      <c r="W1240" s="18">
        <f>$U1240-$V1240</f>
        <v/>
      </c>
      <c r="X1240" s="18">
        <f>IF($K1240,0,$T1240*0.12)</f>
        <v/>
      </c>
      <c r="Y1240" s="18">
        <f>IF($K1240,0,$T1240*0.15)</f>
        <v/>
      </c>
      <c r="Z1240" s="18">
        <f>IF($F1240="hold",0,-ABS($H1240)*$I1240*kg_per_mt*mcx_slippage_ticks*mcx_al_tick_inr_kg)</f>
        <v/>
      </c>
      <c r="AA1240" s="18">
        <f>IF($F1240="hold",0,-ABS($H1240)*$I1240*kg_per_mt*$Q1240*mcx_txn_cost_frac)</f>
        <v/>
      </c>
      <c r="AB1240" s="18">
        <f>$Z1240+$AA1240</f>
        <v/>
      </c>
      <c r="AC1240" s="18">
        <f>$R1240-$W1240+$AB1240</f>
        <v/>
      </c>
      <c r="AD1240" s="18">
        <f>IF(($B1239=$B1240),$AD1239,0)+$AC1240</f>
        <v/>
      </c>
      <c r="AE1240" s="23" t="n">
        <v>-3505623.99</v>
      </c>
      <c r="AF1240" s="23" t="n">
        <v>12364001.89</v>
      </c>
      <c r="AG1240" s="23" t="n">
        <v>0</v>
      </c>
      <c r="AH1240" s="23" t="n">
        <v>-3856186.39</v>
      </c>
      <c r="AI1240" s="23" t="n">
        <v>7604.38</v>
      </c>
      <c r="AJ1240" s="18">
        <f>$R1240-$AE1240</f>
        <v/>
      </c>
      <c r="AK1240" s="18">
        <f>$U1240-$AF1240</f>
        <v/>
      </c>
      <c r="AL1240" s="18">
        <f>$AC1240-$AH1240</f>
        <v/>
      </c>
      <c r="AM1240" s="8">
        <f>IF(AND(ABS($AJ1240)&lt;=tol_mcx_inr,ABS($AK1240)&lt;=tol_mcx_inr,ABS($AL1240)&lt;=tol_mcx_inr),"PASS","FAIL")</f>
        <v/>
      </c>
    </row>
    <row r="1241">
      <c r="A1241" s="7" t="inlineStr">
        <is>
          <t>T05</t>
        </is>
      </c>
      <c r="B1241" s="7" t="inlineStr">
        <is>
          <t>T05-MCX-1</t>
        </is>
      </c>
      <c r="C1241" s="11" t="n">
        <v>44698</v>
      </c>
      <c r="D1241" s="7" t="n">
        <v>202205</v>
      </c>
      <c r="E1241" s="7" t="inlineStr">
        <is>
          <t>SELL</t>
        </is>
      </c>
      <c r="F1241" s="7" t="inlineStr">
        <is>
          <t>hold</t>
        </is>
      </c>
      <c r="G1241" s="17" t="b">
        <v>1</v>
      </c>
      <c r="H1241" s="6" t="n">
        <v>-105</v>
      </c>
      <c r="I1241" s="13" t="n">
        <v>5</v>
      </c>
      <c r="J1241" s="8">
        <f>OR($F1241="entry",$F1241="roll_in")</f>
        <v/>
      </c>
      <c r="K1241" s="8">
        <f>OR($F1241="exit",$F1241="roll_out")</f>
        <v/>
      </c>
      <c r="L1241" s="8">
        <f>OR(AND($E1241="SELL",$K1241),AND($E1241="BUY",$J1241))</f>
        <v/>
      </c>
      <c r="M1241" s="16">
        <f>((INDEX(Market_Daily!$B$6:$B$256,MATCH($C1241,Market_Daily!$A$6:$A$256,0))*INDEX(Market_Daily!$F$6:$F$256,MATCH($C1241,Market_Daily!$A$6:$A$256,0))/kg_per_mt*(1+bcd_primary_al_hs7601*(1+sws_rate_on_bcd))+mcx_domestic_premium_inr_kg)*(1+INDEX(Market_Daily!$I$6:$I$256,MATCH($C1241,Market_Daily!$A$6:$A$256,0))*MAX(0,INDEX(mcx_expiries,MATCH($D1241,mcx_months,0))-$C1241)/day_count_inr))</f>
        <v/>
      </c>
      <c r="N1241" s="16">
        <f>IF(INDEX(Market_Daily!$S$6:$S$256,MATCH($C1241,Market_Daily!$A$6:$A$256,0))=$D1241,INDEX(Market_Daily!$M$6:$M$256,MATCH($C1241,Market_Daily!$A$6:$A$256,0)),IF(INDEX(Market_Daily!$T$6:$T$256,MATCH($C1241,Market_Daily!$A$6:$A$256,0))=$D1241,INDEX(Market_Daily!$N$6:$N$256,MATCH($C1241,Market_Daily!$A$6:$A$256,0)),NA()))</f>
        <v/>
      </c>
      <c r="O1241" s="16">
        <f>$N1241-$M1241</f>
        <v/>
      </c>
      <c r="P1241" s="16">
        <f>IF(($B1240=$B1241),$M1240,"")</f>
        <v/>
      </c>
      <c r="Q1241" s="16">
        <f>$M1241+IF($L1241,1,-1)*mcx_slippage_ticks*mcx_al_tick_inr_kg</f>
        <v/>
      </c>
      <c r="R1241" s="18">
        <f>IF(($B1240=$B1241),$H1241*$I1241*kg_per_mt*($M1241-$M1240),0)</f>
        <v/>
      </c>
      <c r="S1241" s="18">
        <f>IF(($B1240=$B1241),$S1240,0)+$R1241</f>
        <v/>
      </c>
      <c r="T1241" s="18">
        <f>ABS($H1241)*$I1241*kg_per_mt*$M1241</f>
        <v/>
      </c>
      <c r="U1241" s="18">
        <f>IF($K1241,0,$T1241*mcx_al_margin_used_frac)</f>
        <v/>
      </c>
      <c r="V1241" s="18">
        <f>IF(($B1240=$B1241),$U1240,0)</f>
        <v/>
      </c>
      <c r="W1241" s="18">
        <f>$U1241-$V1241</f>
        <v/>
      </c>
      <c r="X1241" s="18">
        <f>IF($K1241,0,$T1241*0.12)</f>
        <v/>
      </c>
      <c r="Y1241" s="18">
        <f>IF($K1241,0,$T1241*0.15)</f>
        <v/>
      </c>
      <c r="Z1241" s="18">
        <f>IF($F1241="hold",0,-ABS($H1241)*$I1241*kg_per_mt*mcx_slippage_ticks*mcx_al_tick_inr_kg)</f>
        <v/>
      </c>
      <c r="AA1241" s="18">
        <f>IF($F1241="hold",0,-ABS($H1241)*$I1241*kg_per_mt*$Q1241*mcx_txn_cost_frac)</f>
        <v/>
      </c>
      <c r="AB1241" s="18">
        <f>$Z1241+$AA1241</f>
        <v/>
      </c>
      <c r="AC1241" s="18">
        <f>$R1241-$W1241+$AB1241</f>
        <v/>
      </c>
      <c r="AD1241" s="18">
        <f>IF(($B1240=$B1241),$AD1240,0)+$AC1241</f>
        <v/>
      </c>
      <c r="AE1241" s="23" t="n">
        <v>-1433074.71</v>
      </c>
      <c r="AF1241" s="23" t="n">
        <v>12507309.36</v>
      </c>
      <c r="AG1241" s="23" t="n">
        <v>0</v>
      </c>
      <c r="AH1241" s="23" t="n">
        <v>-1576382.18</v>
      </c>
      <c r="AI1241" s="23" t="n">
        <v>1536.4</v>
      </c>
      <c r="AJ1241" s="18">
        <f>$R1241-$AE1241</f>
        <v/>
      </c>
      <c r="AK1241" s="18">
        <f>$U1241-$AF1241</f>
        <v/>
      </c>
      <c r="AL1241" s="18">
        <f>$AC1241-$AH1241</f>
        <v/>
      </c>
      <c r="AM1241" s="8">
        <f>IF(AND(ABS($AJ1241)&lt;=tol_mcx_inr,ABS($AK1241)&lt;=tol_mcx_inr,ABS($AL1241)&lt;=tol_mcx_inr),"PASS","FAIL")</f>
        <v/>
      </c>
    </row>
    <row r="1242">
      <c r="A1242" s="7" t="inlineStr">
        <is>
          <t>T05</t>
        </is>
      </c>
      <c r="B1242" s="7" t="inlineStr">
        <is>
          <t>T05-MCX-1</t>
        </is>
      </c>
      <c r="C1242" s="11" t="n">
        <v>44699</v>
      </c>
      <c r="D1242" s="7" t="n">
        <v>202205</v>
      </c>
      <c r="E1242" s="7" t="inlineStr">
        <is>
          <t>SELL</t>
        </is>
      </c>
      <c r="F1242" s="7" t="inlineStr">
        <is>
          <t>hold</t>
        </is>
      </c>
      <c r="G1242" s="17" t="b">
        <v>1</v>
      </c>
      <c r="H1242" s="6" t="n">
        <v>-105</v>
      </c>
      <c r="I1242" s="13" t="n">
        <v>5</v>
      </c>
      <c r="J1242" s="8">
        <f>OR($F1242="entry",$F1242="roll_in")</f>
        <v/>
      </c>
      <c r="K1242" s="8">
        <f>OR($F1242="exit",$F1242="roll_out")</f>
        <v/>
      </c>
      <c r="L1242" s="8">
        <f>OR(AND($E1242="SELL",$K1242),AND($E1242="BUY",$J1242))</f>
        <v/>
      </c>
      <c r="M1242" s="16">
        <f>((INDEX(Market_Daily!$B$6:$B$256,MATCH($C1242,Market_Daily!$A$6:$A$256,0))*INDEX(Market_Daily!$F$6:$F$256,MATCH($C1242,Market_Daily!$A$6:$A$256,0))/kg_per_mt*(1+bcd_primary_al_hs7601*(1+sws_rate_on_bcd))+mcx_domestic_premium_inr_kg)*(1+INDEX(Market_Daily!$I$6:$I$256,MATCH($C1242,Market_Daily!$A$6:$A$256,0))*MAX(0,INDEX(mcx_expiries,MATCH($D1242,mcx_months,0))-$C1242)/day_count_inr))</f>
        <v/>
      </c>
      <c r="N1242" s="16">
        <f>IF(INDEX(Market_Daily!$S$6:$S$256,MATCH($C1242,Market_Daily!$A$6:$A$256,0))=$D1242,INDEX(Market_Daily!$M$6:$M$256,MATCH($C1242,Market_Daily!$A$6:$A$256,0)),IF(INDEX(Market_Daily!$T$6:$T$256,MATCH($C1242,Market_Daily!$A$6:$A$256,0))=$D1242,INDEX(Market_Daily!$N$6:$N$256,MATCH($C1242,Market_Daily!$A$6:$A$256,0)),NA()))</f>
        <v/>
      </c>
      <c r="O1242" s="16">
        <f>$N1242-$M1242</f>
        <v/>
      </c>
      <c r="P1242" s="16">
        <f>IF(($B1241=$B1242),$M1241,"")</f>
        <v/>
      </c>
      <c r="Q1242" s="16">
        <f>$M1242+IF($L1242,1,-1)*mcx_slippage_ticks*mcx_al_tick_inr_kg</f>
        <v/>
      </c>
      <c r="R1242" s="18">
        <f>IF(($B1241=$B1242),$H1242*$I1242*kg_per_mt*($M1242-$M1241),0)</f>
        <v/>
      </c>
      <c r="S1242" s="18">
        <f>IF(($B1241=$B1242),$S1241,0)+$R1242</f>
        <v/>
      </c>
      <c r="T1242" s="18">
        <f>ABS($H1242)*$I1242*kg_per_mt*$M1242</f>
        <v/>
      </c>
      <c r="U1242" s="18">
        <f>IF($K1242,0,$T1242*mcx_al_margin_used_frac)</f>
        <v/>
      </c>
      <c r="V1242" s="18">
        <f>IF(($B1241=$B1242),$U1241,0)</f>
        <v/>
      </c>
      <c r="W1242" s="18">
        <f>$U1242-$V1242</f>
        <v/>
      </c>
      <c r="X1242" s="18">
        <f>IF($K1242,0,$T1242*0.12)</f>
        <v/>
      </c>
      <c r="Y1242" s="18">
        <f>IF($K1242,0,$T1242*0.15)</f>
        <v/>
      </c>
      <c r="Z1242" s="18">
        <f>IF($F1242="hold",0,-ABS($H1242)*$I1242*kg_per_mt*mcx_slippage_ticks*mcx_al_tick_inr_kg)</f>
        <v/>
      </c>
      <c r="AA1242" s="18">
        <f>IF($F1242="hold",0,-ABS($H1242)*$I1242*kg_per_mt*$Q1242*mcx_txn_cost_frac)</f>
        <v/>
      </c>
      <c r="AB1242" s="18">
        <f>$Z1242+$AA1242</f>
        <v/>
      </c>
      <c r="AC1242" s="18">
        <f>$R1242-$W1242+$AB1242</f>
        <v/>
      </c>
      <c r="AD1242" s="18">
        <f>IF(($B1241=$B1242),$AD1241,0)+$AC1242</f>
        <v/>
      </c>
      <c r="AE1242" s="23" t="n">
        <v>-586034.77</v>
      </c>
      <c r="AF1242" s="23" t="n">
        <v>12565912.84</v>
      </c>
      <c r="AG1242" s="23" t="n">
        <v>0</v>
      </c>
      <c r="AH1242" s="23" t="n">
        <v>-644638.25</v>
      </c>
      <c r="AI1242" s="23" t="n">
        <v>1117.47</v>
      </c>
      <c r="AJ1242" s="18">
        <f>$R1242-$AE1242</f>
        <v/>
      </c>
      <c r="AK1242" s="18">
        <f>$U1242-$AF1242</f>
        <v/>
      </c>
      <c r="AL1242" s="18">
        <f>$AC1242-$AH1242</f>
        <v/>
      </c>
      <c r="AM1242" s="8">
        <f>IF(AND(ABS($AJ1242)&lt;=tol_mcx_inr,ABS($AK1242)&lt;=tol_mcx_inr,ABS($AL1242)&lt;=tol_mcx_inr),"PASS","FAIL")</f>
        <v/>
      </c>
    </row>
    <row r="1243">
      <c r="A1243" s="7" t="inlineStr">
        <is>
          <t>T05</t>
        </is>
      </c>
      <c r="B1243" s="7" t="inlineStr">
        <is>
          <t>T05-MCX-1</t>
        </is>
      </c>
      <c r="C1243" s="11" t="n">
        <v>44700</v>
      </c>
      <c r="D1243" s="7" t="n">
        <v>202205</v>
      </c>
      <c r="E1243" s="7" t="inlineStr">
        <is>
          <t>SELL</t>
        </is>
      </c>
      <c r="F1243" s="7" t="inlineStr">
        <is>
          <t>hold</t>
        </is>
      </c>
      <c r="G1243" s="17" t="b">
        <v>1</v>
      </c>
      <c r="H1243" s="6" t="n">
        <v>-105</v>
      </c>
      <c r="I1243" s="13" t="n">
        <v>5</v>
      </c>
      <c r="J1243" s="8">
        <f>OR($F1243="entry",$F1243="roll_in")</f>
        <v/>
      </c>
      <c r="K1243" s="8">
        <f>OR($F1243="exit",$F1243="roll_out")</f>
        <v/>
      </c>
      <c r="L1243" s="8">
        <f>OR(AND($E1243="SELL",$K1243),AND($E1243="BUY",$J1243))</f>
        <v/>
      </c>
      <c r="M1243" s="16">
        <f>((INDEX(Market_Daily!$B$6:$B$256,MATCH($C1243,Market_Daily!$A$6:$A$256,0))*INDEX(Market_Daily!$F$6:$F$256,MATCH($C1243,Market_Daily!$A$6:$A$256,0))/kg_per_mt*(1+bcd_primary_al_hs7601*(1+sws_rate_on_bcd))+mcx_domestic_premium_inr_kg)*(1+INDEX(Market_Daily!$I$6:$I$256,MATCH($C1243,Market_Daily!$A$6:$A$256,0))*MAX(0,INDEX(mcx_expiries,MATCH($D1243,mcx_months,0))-$C1243)/day_count_inr))</f>
        <v/>
      </c>
      <c r="N1243" s="16">
        <f>IF(INDEX(Market_Daily!$S$6:$S$256,MATCH($C1243,Market_Daily!$A$6:$A$256,0))=$D1243,INDEX(Market_Daily!$M$6:$M$256,MATCH($C1243,Market_Daily!$A$6:$A$256,0)),IF(INDEX(Market_Daily!$T$6:$T$256,MATCH($C1243,Market_Daily!$A$6:$A$256,0))=$D1243,INDEX(Market_Daily!$N$6:$N$256,MATCH($C1243,Market_Daily!$A$6:$A$256,0)),NA()))</f>
        <v/>
      </c>
      <c r="O1243" s="16">
        <f>$N1243-$M1243</f>
        <v/>
      </c>
      <c r="P1243" s="16">
        <f>IF(($B1242=$B1243),$M1242,"")</f>
        <v/>
      </c>
      <c r="Q1243" s="16">
        <f>$M1243+IF($L1243,1,-1)*mcx_slippage_ticks*mcx_al_tick_inr_kg</f>
        <v/>
      </c>
      <c r="R1243" s="18">
        <f>IF(($B1242=$B1243),$H1243*$I1243*kg_per_mt*($M1243-$M1242),0)</f>
        <v/>
      </c>
      <c r="S1243" s="18">
        <f>IF(($B1242=$B1243),$S1242,0)+$R1243</f>
        <v/>
      </c>
      <c r="T1243" s="18">
        <f>ABS($H1243)*$I1243*kg_per_mt*$M1243</f>
        <v/>
      </c>
      <c r="U1243" s="18">
        <f>IF($K1243,0,$T1243*mcx_al_margin_used_frac)</f>
        <v/>
      </c>
      <c r="V1243" s="18">
        <f>IF(($B1242=$B1243),$U1242,0)</f>
        <v/>
      </c>
      <c r="W1243" s="18">
        <f>$U1243-$V1243</f>
        <v/>
      </c>
      <c r="X1243" s="18">
        <f>IF($K1243,0,$T1243*0.12)</f>
        <v/>
      </c>
      <c r="Y1243" s="18">
        <f>IF($K1243,0,$T1243*0.15)</f>
        <v/>
      </c>
      <c r="Z1243" s="18">
        <f>IF($F1243="hold",0,-ABS($H1243)*$I1243*kg_per_mt*mcx_slippage_ticks*mcx_al_tick_inr_kg)</f>
        <v/>
      </c>
      <c r="AA1243" s="18">
        <f>IF($F1243="hold",0,-ABS($H1243)*$I1243*kg_per_mt*$Q1243*mcx_txn_cost_frac)</f>
        <v/>
      </c>
      <c r="AB1243" s="18">
        <f>$Z1243+$AA1243</f>
        <v/>
      </c>
      <c r="AC1243" s="18">
        <f>$R1243-$W1243+$AB1243</f>
        <v/>
      </c>
      <c r="AD1243" s="18">
        <f>IF(($B1242=$B1243),$AD1242,0)+$AC1243</f>
        <v/>
      </c>
      <c r="AE1243" s="23" t="n">
        <v>778312.96</v>
      </c>
      <c r="AF1243" s="23" t="n">
        <v>12488081.54</v>
      </c>
      <c r="AG1243" s="23" t="n">
        <v>0</v>
      </c>
      <c r="AH1243" s="23" t="n">
        <v>856144.26</v>
      </c>
      <c r="AI1243" s="23" t="n">
        <v>946.16</v>
      </c>
      <c r="AJ1243" s="18">
        <f>$R1243-$AE1243</f>
        <v/>
      </c>
      <c r="AK1243" s="18">
        <f>$U1243-$AF1243</f>
        <v/>
      </c>
      <c r="AL1243" s="18">
        <f>$AC1243-$AH1243</f>
        <v/>
      </c>
      <c r="AM1243" s="8">
        <f>IF(AND(ABS($AJ1243)&lt;=tol_mcx_inr,ABS($AK1243)&lt;=tol_mcx_inr,ABS($AL1243)&lt;=tol_mcx_inr),"PASS","FAIL")</f>
        <v/>
      </c>
    </row>
    <row r="1244">
      <c r="A1244" s="7" t="inlineStr">
        <is>
          <t>T05</t>
        </is>
      </c>
      <c r="B1244" s="7" t="inlineStr">
        <is>
          <t>T05-MCX-1</t>
        </is>
      </c>
      <c r="C1244" s="11" t="n">
        <v>44701</v>
      </c>
      <c r="D1244" s="7" t="n">
        <v>202205</v>
      </c>
      <c r="E1244" s="7" t="inlineStr">
        <is>
          <t>SELL</t>
        </is>
      </c>
      <c r="F1244" s="7" t="inlineStr">
        <is>
          <t>roll_out</t>
        </is>
      </c>
      <c r="G1244" s="17" t="b">
        <v>1</v>
      </c>
      <c r="H1244" s="6" t="n">
        <v>-105</v>
      </c>
      <c r="I1244" s="13" t="n">
        <v>5</v>
      </c>
      <c r="J1244" s="8">
        <f>OR($F1244="entry",$F1244="roll_in")</f>
        <v/>
      </c>
      <c r="K1244" s="8">
        <f>OR($F1244="exit",$F1244="roll_out")</f>
        <v/>
      </c>
      <c r="L1244" s="8">
        <f>OR(AND($E1244="SELL",$K1244),AND($E1244="BUY",$J1244))</f>
        <v/>
      </c>
      <c r="M1244" s="16">
        <f>((INDEX(Market_Daily!$B$6:$B$256,MATCH($C1244,Market_Daily!$A$6:$A$256,0))*INDEX(Market_Daily!$F$6:$F$256,MATCH($C1244,Market_Daily!$A$6:$A$256,0))/kg_per_mt*(1+bcd_primary_al_hs7601*(1+sws_rate_on_bcd))+mcx_domestic_premium_inr_kg)*(1+INDEX(Market_Daily!$I$6:$I$256,MATCH($C1244,Market_Daily!$A$6:$A$256,0))*MAX(0,INDEX(mcx_expiries,MATCH($D1244,mcx_months,0))-$C1244)/day_count_inr))</f>
        <v/>
      </c>
      <c r="N1244" s="16">
        <f>IF(INDEX(Market_Daily!$S$6:$S$256,MATCH($C1244,Market_Daily!$A$6:$A$256,0))=$D1244,INDEX(Market_Daily!$M$6:$M$256,MATCH($C1244,Market_Daily!$A$6:$A$256,0)),IF(INDEX(Market_Daily!$T$6:$T$256,MATCH($C1244,Market_Daily!$A$6:$A$256,0))=$D1244,INDEX(Market_Daily!$N$6:$N$256,MATCH($C1244,Market_Daily!$A$6:$A$256,0)),NA()))</f>
        <v/>
      </c>
      <c r="O1244" s="16">
        <f>$N1244-$M1244</f>
        <v/>
      </c>
      <c r="P1244" s="16">
        <f>IF(($B1243=$B1244),$M1243,"")</f>
        <v/>
      </c>
      <c r="Q1244" s="16">
        <f>$M1244+IF($L1244,1,-1)*mcx_slippage_ticks*mcx_al_tick_inr_kg</f>
        <v/>
      </c>
      <c r="R1244" s="18">
        <f>IF(($B1243=$B1244),$H1244*$I1244*kg_per_mt*($M1244-$M1243),0)</f>
        <v/>
      </c>
      <c r="S1244" s="18">
        <f>IF(($B1243=$B1244),$S1243,0)+$R1244</f>
        <v/>
      </c>
      <c r="T1244" s="18">
        <f>ABS($H1244)*$I1244*kg_per_mt*$M1244</f>
        <v/>
      </c>
      <c r="U1244" s="18">
        <f>IF($K1244,0,$T1244*mcx_al_margin_used_frac)</f>
        <v/>
      </c>
      <c r="V1244" s="18">
        <f>IF(($B1243=$B1244),$U1243,0)</f>
        <v/>
      </c>
      <c r="W1244" s="18">
        <f>$U1244-$V1244</f>
        <v/>
      </c>
      <c r="X1244" s="18">
        <f>IF($K1244,0,$T1244*0.12)</f>
        <v/>
      </c>
      <c r="Y1244" s="18">
        <f>IF($K1244,0,$T1244*0.15)</f>
        <v/>
      </c>
      <c r="Z1244" s="18">
        <f>IF($F1244="hold",0,-ABS($H1244)*$I1244*kg_per_mt*mcx_slippage_ticks*mcx_al_tick_inr_kg)</f>
        <v/>
      </c>
      <c r="AA1244" s="18">
        <f>IF($F1244="hold",0,-ABS($H1244)*$I1244*kg_per_mt*$Q1244*mcx_txn_cost_frac)</f>
        <v/>
      </c>
      <c r="AB1244" s="18">
        <f>$Z1244+$AA1244</f>
        <v/>
      </c>
      <c r="AC1244" s="18">
        <f>$R1244-$W1244+$AB1244</f>
        <v/>
      </c>
      <c r="AD1244" s="18">
        <f>IF(($B1243=$B1244),$AD1243,0)+$AC1244</f>
        <v/>
      </c>
      <c r="AE1244" s="23" t="n">
        <v>-4696568.17</v>
      </c>
      <c r="AF1244" s="23" t="n">
        <v>0</v>
      </c>
      <c r="AG1244" s="23" t="n">
        <v>-91388.97</v>
      </c>
      <c r="AH1244" s="23" t="n">
        <v>7700124.4</v>
      </c>
      <c r="AI1244" s="23" t="n">
        <v>1173.68</v>
      </c>
      <c r="AJ1244" s="18">
        <f>$R1244-$AE1244</f>
        <v/>
      </c>
      <c r="AK1244" s="18">
        <f>$U1244-$AF1244</f>
        <v/>
      </c>
      <c r="AL1244" s="18">
        <f>$AC1244-$AH1244</f>
        <v/>
      </c>
      <c r="AM1244" s="8">
        <f>IF(AND(ABS($AJ1244)&lt;=tol_mcx_inr,ABS($AK1244)&lt;=tol_mcx_inr,ABS($AL1244)&lt;=tol_mcx_inr),"PASS","FAIL")</f>
        <v/>
      </c>
    </row>
    <row r="1245">
      <c r="A1245" s="7" t="inlineStr">
        <is>
          <t>T05</t>
        </is>
      </c>
      <c r="B1245" s="7" t="inlineStr">
        <is>
          <t>T05-MCX-2</t>
        </is>
      </c>
      <c r="C1245" s="11" t="n">
        <v>44701</v>
      </c>
      <c r="D1245" s="7" t="n">
        <v>202206</v>
      </c>
      <c r="E1245" s="7" t="inlineStr">
        <is>
          <t>SELL</t>
        </is>
      </c>
      <c r="F1245" s="7" t="inlineStr">
        <is>
          <t>roll_in</t>
        </is>
      </c>
      <c r="G1245" s="17" t="b">
        <v>1</v>
      </c>
      <c r="H1245" s="6" t="n">
        <v>-105</v>
      </c>
      <c r="I1245" s="13" t="n">
        <v>5</v>
      </c>
      <c r="J1245" s="8">
        <f>OR($F1245="entry",$F1245="roll_in")</f>
        <v/>
      </c>
      <c r="K1245" s="8">
        <f>OR($F1245="exit",$F1245="roll_out")</f>
        <v/>
      </c>
      <c r="L1245" s="8">
        <f>OR(AND($E1245="SELL",$K1245),AND($E1245="BUY",$J1245))</f>
        <v/>
      </c>
      <c r="M1245" s="16">
        <f>((INDEX(Market_Daily!$B$6:$B$256,MATCH($C1245,Market_Daily!$A$6:$A$256,0))*INDEX(Market_Daily!$F$6:$F$256,MATCH($C1245,Market_Daily!$A$6:$A$256,0))/kg_per_mt*(1+bcd_primary_al_hs7601*(1+sws_rate_on_bcd))+mcx_domestic_premium_inr_kg)*(1+INDEX(Market_Daily!$I$6:$I$256,MATCH($C1245,Market_Daily!$A$6:$A$256,0))*MAX(0,INDEX(mcx_expiries,MATCH($D1245,mcx_months,0))-$C1245)/day_count_inr))</f>
        <v/>
      </c>
      <c r="N1245" s="16">
        <f>IF(INDEX(Market_Daily!$S$6:$S$256,MATCH($C1245,Market_Daily!$A$6:$A$256,0))=$D1245,INDEX(Market_Daily!$M$6:$M$256,MATCH($C1245,Market_Daily!$A$6:$A$256,0)),IF(INDEX(Market_Daily!$T$6:$T$256,MATCH($C1245,Market_Daily!$A$6:$A$256,0))=$D1245,INDEX(Market_Daily!$N$6:$N$256,MATCH($C1245,Market_Daily!$A$6:$A$256,0)),NA()))</f>
        <v/>
      </c>
      <c r="O1245" s="16">
        <f>$N1245-$M1245</f>
        <v/>
      </c>
      <c r="P1245" s="16">
        <f>IF(($B1244=$B1245),$M1244,"")</f>
        <v/>
      </c>
      <c r="Q1245" s="16">
        <f>$M1245+IF($L1245,1,-1)*mcx_slippage_ticks*mcx_al_tick_inr_kg</f>
        <v/>
      </c>
      <c r="R1245" s="18">
        <f>IF(($B1244=$B1245),$H1245*$I1245*kg_per_mt*($M1245-$M1244),0)</f>
        <v/>
      </c>
      <c r="S1245" s="18">
        <f>IF(($B1244=$B1245),$S1244,0)+$R1245</f>
        <v/>
      </c>
      <c r="T1245" s="18">
        <f>ABS($H1245)*$I1245*kg_per_mt*$M1245</f>
        <v/>
      </c>
      <c r="U1245" s="18">
        <f>IF($K1245,0,$T1245*mcx_al_margin_used_frac)</f>
        <v/>
      </c>
      <c r="V1245" s="18">
        <f>IF(($B1244=$B1245),$U1244,0)</f>
        <v/>
      </c>
      <c r="W1245" s="18">
        <f>$U1245-$V1245</f>
        <v/>
      </c>
      <c r="X1245" s="18">
        <f>IF($K1245,0,$T1245*0.12)</f>
        <v/>
      </c>
      <c r="Y1245" s="18">
        <f>IF($K1245,0,$T1245*0.15)</f>
        <v/>
      </c>
      <c r="Z1245" s="18">
        <f>IF($F1245="hold",0,-ABS($H1245)*$I1245*kg_per_mt*mcx_slippage_ticks*mcx_al_tick_inr_kg)</f>
        <v/>
      </c>
      <c r="AA1245" s="18">
        <f>IF($F1245="hold",0,-ABS($H1245)*$I1245*kg_per_mt*$Q1245*mcx_txn_cost_frac)</f>
        <v/>
      </c>
      <c r="AB1245" s="18">
        <f>$Z1245+$AA1245</f>
        <v/>
      </c>
      <c r="AC1245" s="18">
        <f>$R1245-$W1245+$AB1245</f>
        <v/>
      </c>
      <c r="AD1245" s="18">
        <f>IF(($B1244=$B1245),$AD1244,0)+$AC1245</f>
        <v/>
      </c>
      <c r="AE1245" s="23" t="n">
        <v>0</v>
      </c>
      <c r="AF1245" s="23" t="n">
        <v>13008087.74</v>
      </c>
      <c r="AG1245" s="23" t="n">
        <v>-91508.50999999999</v>
      </c>
      <c r="AH1245" s="23" t="n">
        <v>-13099596.26</v>
      </c>
      <c r="AI1245" s="23" t="n">
        <v>0</v>
      </c>
      <c r="AJ1245" s="18">
        <f>$R1245-$AE1245</f>
        <v/>
      </c>
      <c r="AK1245" s="18">
        <f>$U1245-$AF1245</f>
        <v/>
      </c>
      <c r="AL1245" s="18">
        <f>$AC1245-$AH1245</f>
        <v/>
      </c>
      <c r="AM1245" s="8">
        <f>IF(AND(ABS($AJ1245)&lt;=tol_mcx_inr,ABS($AK1245)&lt;=tol_mcx_inr,ABS($AL1245)&lt;=tol_mcx_inr),"PASS","FAIL")</f>
        <v/>
      </c>
    </row>
    <row r="1246">
      <c r="A1246" s="7" t="inlineStr">
        <is>
          <t>T05</t>
        </is>
      </c>
      <c r="B1246" s="7" t="inlineStr">
        <is>
          <t>T05-MCX-2</t>
        </is>
      </c>
      <c r="C1246" s="11" t="n">
        <v>44704</v>
      </c>
      <c r="D1246" s="7" t="n">
        <v>202206</v>
      </c>
      <c r="E1246" s="7" t="inlineStr">
        <is>
          <t>SELL</t>
        </is>
      </c>
      <c r="F1246" s="7" t="inlineStr">
        <is>
          <t>hold</t>
        </is>
      </c>
      <c r="G1246" s="17" t="b">
        <v>1</v>
      </c>
      <c r="H1246" s="6" t="n">
        <v>-105</v>
      </c>
      <c r="I1246" s="13" t="n">
        <v>5</v>
      </c>
      <c r="J1246" s="8">
        <f>OR($F1246="entry",$F1246="roll_in")</f>
        <v/>
      </c>
      <c r="K1246" s="8">
        <f>OR($F1246="exit",$F1246="roll_out")</f>
        <v/>
      </c>
      <c r="L1246" s="8">
        <f>OR(AND($E1246="SELL",$K1246),AND($E1246="BUY",$J1246))</f>
        <v/>
      </c>
      <c r="M1246" s="16">
        <f>((INDEX(Market_Daily!$B$6:$B$256,MATCH($C1246,Market_Daily!$A$6:$A$256,0))*INDEX(Market_Daily!$F$6:$F$256,MATCH($C1246,Market_Daily!$A$6:$A$256,0))/kg_per_mt*(1+bcd_primary_al_hs7601*(1+sws_rate_on_bcd))+mcx_domestic_premium_inr_kg)*(1+INDEX(Market_Daily!$I$6:$I$256,MATCH($C1246,Market_Daily!$A$6:$A$256,0))*MAX(0,INDEX(mcx_expiries,MATCH($D1246,mcx_months,0))-$C1246)/day_count_inr))</f>
        <v/>
      </c>
      <c r="N1246" s="16">
        <f>IF(INDEX(Market_Daily!$S$6:$S$256,MATCH($C1246,Market_Daily!$A$6:$A$256,0))=$D1246,INDEX(Market_Daily!$M$6:$M$256,MATCH($C1246,Market_Daily!$A$6:$A$256,0)),IF(INDEX(Market_Daily!$T$6:$T$256,MATCH($C1246,Market_Daily!$A$6:$A$256,0))=$D1246,INDEX(Market_Daily!$N$6:$N$256,MATCH($C1246,Market_Daily!$A$6:$A$256,0)),NA()))</f>
        <v/>
      </c>
      <c r="O1246" s="16">
        <f>$N1246-$M1246</f>
        <v/>
      </c>
      <c r="P1246" s="16">
        <f>IF(($B1245=$B1246),$M1245,"")</f>
        <v/>
      </c>
      <c r="Q1246" s="16">
        <f>$M1246+IF($L1246,1,-1)*mcx_slippage_ticks*mcx_al_tick_inr_kg</f>
        <v/>
      </c>
      <c r="R1246" s="18">
        <f>IF(($B1245=$B1246),$H1246*$I1246*kg_per_mt*($M1246-$M1245),0)</f>
        <v/>
      </c>
      <c r="S1246" s="18">
        <f>IF(($B1245=$B1246),$S1245,0)+$R1246</f>
        <v/>
      </c>
      <c r="T1246" s="18">
        <f>ABS($H1246)*$I1246*kg_per_mt*$M1246</f>
        <v/>
      </c>
      <c r="U1246" s="18">
        <f>IF($K1246,0,$T1246*mcx_al_margin_used_frac)</f>
        <v/>
      </c>
      <c r="V1246" s="18">
        <f>IF(($B1245=$B1246),$U1245,0)</f>
        <v/>
      </c>
      <c r="W1246" s="18">
        <f>$U1246-$V1246</f>
        <v/>
      </c>
      <c r="X1246" s="18">
        <f>IF($K1246,0,$T1246*0.12)</f>
        <v/>
      </c>
      <c r="Y1246" s="18">
        <f>IF($K1246,0,$T1246*0.15)</f>
        <v/>
      </c>
      <c r="Z1246" s="18">
        <f>IF($F1246="hold",0,-ABS($H1246)*$I1246*kg_per_mt*mcx_slippage_ticks*mcx_al_tick_inr_kg)</f>
        <v/>
      </c>
      <c r="AA1246" s="18">
        <f>IF($F1246="hold",0,-ABS($H1246)*$I1246*kg_per_mt*$Q1246*mcx_txn_cost_frac)</f>
        <v/>
      </c>
      <c r="AB1246" s="18">
        <f>$Z1246+$AA1246</f>
        <v/>
      </c>
      <c r="AC1246" s="18">
        <f>$R1246-$W1246+$AB1246</f>
        <v/>
      </c>
      <c r="AD1246" s="18">
        <f>IF(($B1245=$B1246),$AD1245,0)+$AC1246</f>
        <v/>
      </c>
      <c r="AE1246" s="23" t="n">
        <v>-1180105.68</v>
      </c>
      <c r="AF1246" s="23" t="n">
        <v>13126098.31</v>
      </c>
      <c r="AG1246" s="23" t="n">
        <v>0</v>
      </c>
      <c r="AH1246" s="23" t="n">
        <v>-1298116.25</v>
      </c>
      <c r="AI1246" s="23" t="n">
        <v>-10443.79</v>
      </c>
      <c r="AJ1246" s="18">
        <f>$R1246-$AE1246</f>
        <v/>
      </c>
      <c r="AK1246" s="18">
        <f>$U1246-$AF1246</f>
        <v/>
      </c>
      <c r="AL1246" s="18">
        <f>$AC1246-$AH1246</f>
        <v/>
      </c>
      <c r="AM1246" s="8">
        <f>IF(AND(ABS($AJ1246)&lt;=tol_mcx_inr,ABS($AK1246)&lt;=tol_mcx_inr,ABS($AL1246)&lt;=tol_mcx_inr),"PASS","FAIL")</f>
        <v/>
      </c>
    </row>
    <row r="1247">
      <c r="A1247" s="7" t="inlineStr">
        <is>
          <t>T05</t>
        </is>
      </c>
      <c r="B1247" s="7" t="inlineStr">
        <is>
          <t>T05-MCX-2</t>
        </is>
      </c>
      <c r="C1247" s="11" t="n">
        <v>44705</v>
      </c>
      <c r="D1247" s="7" t="n">
        <v>202206</v>
      </c>
      <c r="E1247" s="7" t="inlineStr">
        <is>
          <t>SELL</t>
        </is>
      </c>
      <c r="F1247" s="7" t="inlineStr">
        <is>
          <t>hold</t>
        </is>
      </c>
      <c r="G1247" s="17" t="b">
        <v>1</v>
      </c>
      <c r="H1247" s="6" t="n">
        <v>-105</v>
      </c>
      <c r="I1247" s="13" t="n">
        <v>5</v>
      </c>
      <c r="J1247" s="8">
        <f>OR($F1247="entry",$F1247="roll_in")</f>
        <v/>
      </c>
      <c r="K1247" s="8">
        <f>OR($F1247="exit",$F1247="roll_out")</f>
        <v/>
      </c>
      <c r="L1247" s="8">
        <f>OR(AND($E1247="SELL",$K1247),AND($E1247="BUY",$J1247))</f>
        <v/>
      </c>
      <c r="M1247" s="16">
        <f>((INDEX(Market_Daily!$B$6:$B$256,MATCH($C1247,Market_Daily!$A$6:$A$256,0))*INDEX(Market_Daily!$F$6:$F$256,MATCH($C1247,Market_Daily!$A$6:$A$256,0))/kg_per_mt*(1+bcd_primary_al_hs7601*(1+sws_rate_on_bcd))+mcx_domestic_premium_inr_kg)*(1+INDEX(Market_Daily!$I$6:$I$256,MATCH($C1247,Market_Daily!$A$6:$A$256,0))*MAX(0,INDEX(mcx_expiries,MATCH($D1247,mcx_months,0))-$C1247)/day_count_inr))</f>
        <v/>
      </c>
      <c r="N1247" s="16">
        <f>IF(INDEX(Market_Daily!$S$6:$S$256,MATCH($C1247,Market_Daily!$A$6:$A$256,0))=$D1247,INDEX(Market_Daily!$M$6:$M$256,MATCH($C1247,Market_Daily!$A$6:$A$256,0)),IF(INDEX(Market_Daily!$T$6:$T$256,MATCH($C1247,Market_Daily!$A$6:$A$256,0))=$D1247,INDEX(Market_Daily!$N$6:$N$256,MATCH($C1247,Market_Daily!$A$6:$A$256,0)),NA()))</f>
        <v/>
      </c>
      <c r="O1247" s="16">
        <f>$N1247-$M1247</f>
        <v/>
      </c>
      <c r="P1247" s="16">
        <f>IF(($B1246=$B1247),$M1246,"")</f>
        <v/>
      </c>
      <c r="Q1247" s="16">
        <f>$M1247+IF($L1247,1,-1)*mcx_slippage_ticks*mcx_al_tick_inr_kg</f>
        <v/>
      </c>
      <c r="R1247" s="18">
        <f>IF(($B1246=$B1247),$H1247*$I1247*kg_per_mt*($M1247-$M1246),0)</f>
        <v/>
      </c>
      <c r="S1247" s="18">
        <f>IF(($B1246=$B1247),$S1246,0)+$R1247</f>
        <v/>
      </c>
      <c r="T1247" s="18">
        <f>ABS($H1247)*$I1247*kg_per_mt*$M1247</f>
        <v/>
      </c>
      <c r="U1247" s="18">
        <f>IF($K1247,0,$T1247*mcx_al_margin_used_frac)</f>
        <v/>
      </c>
      <c r="V1247" s="18">
        <f>IF(($B1246=$B1247),$U1246,0)</f>
        <v/>
      </c>
      <c r="W1247" s="18">
        <f>$U1247-$V1247</f>
        <v/>
      </c>
      <c r="X1247" s="18">
        <f>IF($K1247,0,$T1247*0.12)</f>
        <v/>
      </c>
      <c r="Y1247" s="18">
        <f>IF($K1247,0,$T1247*0.15)</f>
        <v/>
      </c>
      <c r="Z1247" s="18">
        <f>IF($F1247="hold",0,-ABS($H1247)*$I1247*kg_per_mt*mcx_slippage_ticks*mcx_al_tick_inr_kg)</f>
        <v/>
      </c>
      <c r="AA1247" s="18">
        <f>IF($F1247="hold",0,-ABS($H1247)*$I1247*kg_per_mt*$Q1247*mcx_txn_cost_frac)</f>
        <v/>
      </c>
      <c r="AB1247" s="18">
        <f>$Z1247+$AA1247</f>
        <v/>
      </c>
      <c r="AC1247" s="18">
        <f>$R1247-$W1247+$AB1247</f>
        <v/>
      </c>
      <c r="AD1247" s="18">
        <f>IF(($B1246=$B1247),$AD1246,0)+$AC1247</f>
        <v/>
      </c>
      <c r="AE1247" s="23" t="n">
        <v>3599555.89</v>
      </c>
      <c r="AF1247" s="23" t="n">
        <v>12766142.72</v>
      </c>
      <c r="AG1247" s="23" t="n">
        <v>0</v>
      </c>
      <c r="AH1247" s="23" t="n">
        <v>3959511.47</v>
      </c>
      <c r="AI1247" s="23" t="n">
        <v>-3826.24</v>
      </c>
      <c r="AJ1247" s="18">
        <f>$R1247-$AE1247</f>
        <v/>
      </c>
      <c r="AK1247" s="18">
        <f>$U1247-$AF1247</f>
        <v/>
      </c>
      <c r="AL1247" s="18">
        <f>$AC1247-$AH1247</f>
        <v/>
      </c>
      <c r="AM1247" s="8">
        <f>IF(AND(ABS($AJ1247)&lt;=tol_mcx_inr,ABS($AK1247)&lt;=tol_mcx_inr,ABS($AL1247)&lt;=tol_mcx_inr),"PASS","FAIL")</f>
        <v/>
      </c>
    </row>
    <row r="1248">
      <c r="A1248" s="7" t="inlineStr">
        <is>
          <t>T05</t>
        </is>
      </c>
      <c r="B1248" s="7" t="inlineStr">
        <is>
          <t>T05-MCX-2</t>
        </is>
      </c>
      <c r="C1248" s="11" t="n">
        <v>44706</v>
      </c>
      <c r="D1248" s="7" t="n">
        <v>202206</v>
      </c>
      <c r="E1248" s="7" t="inlineStr">
        <is>
          <t>SELL</t>
        </is>
      </c>
      <c r="F1248" s="7" t="inlineStr">
        <is>
          <t>hold</t>
        </is>
      </c>
      <c r="G1248" s="17" t="b">
        <v>1</v>
      </c>
      <c r="H1248" s="6" t="n">
        <v>-105</v>
      </c>
      <c r="I1248" s="13" t="n">
        <v>5</v>
      </c>
      <c r="J1248" s="8">
        <f>OR($F1248="entry",$F1248="roll_in")</f>
        <v/>
      </c>
      <c r="K1248" s="8">
        <f>OR($F1248="exit",$F1248="roll_out")</f>
        <v/>
      </c>
      <c r="L1248" s="8">
        <f>OR(AND($E1248="SELL",$K1248),AND($E1248="BUY",$J1248))</f>
        <v/>
      </c>
      <c r="M1248" s="16">
        <f>((INDEX(Market_Daily!$B$6:$B$256,MATCH($C1248,Market_Daily!$A$6:$A$256,0))*INDEX(Market_Daily!$F$6:$F$256,MATCH($C1248,Market_Daily!$A$6:$A$256,0))/kg_per_mt*(1+bcd_primary_al_hs7601*(1+sws_rate_on_bcd))+mcx_domestic_premium_inr_kg)*(1+INDEX(Market_Daily!$I$6:$I$256,MATCH($C1248,Market_Daily!$A$6:$A$256,0))*MAX(0,INDEX(mcx_expiries,MATCH($D1248,mcx_months,0))-$C1248)/day_count_inr))</f>
        <v/>
      </c>
      <c r="N1248" s="16">
        <f>IF(INDEX(Market_Daily!$S$6:$S$256,MATCH($C1248,Market_Daily!$A$6:$A$256,0))=$D1248,INDEX(Market_Daily!$M$6:$M$256,MATCH($C1248,Market_Daily!$A$6:$A$256,0)),IF(INDEX(Market_Daily!$T$6:$T$256,MATCH($C1248,Market_Daily!$A$6:$A$256,0))=$D1248,INDEX(Market_Daily!$N$6:$N$256,MATCH($C1248,Market_Daily!$A$6:$A$256,0)),NA()))</f>
        <v/>
      </c>
      <c r="O1248" s="16">
        <f>$N1248-$M1248</f>
        <v/>
      </c>
      <c r="P1248" s="16">
        <f>IF(($B1247=$B1248),$M1247,"")</f>
        <v/>
      </c>
      <c r="Q1248" s="16">
        <f>$M1248+IF($L1248,1,-1)*mcx_slippage_ticks*mcx_al_tick_inr_kg</f>
        <v/>
      </c>
      <c r="R1248" s="18">
        <f>IF(($B1247=$B1248),$H1248*$I1248*kg_per_mt*($M1248-$M1247),0)</f>
        <v/>
      </c>
      <c r="S1248" s="18">
        <f>IF(($B1247=$B1248),$S1247,0)+$R1248</f>
        <v/>
      </c>
      <c r="T1248" s="18">
        <f>ABS($H1248)*$I1248*kg_per_mt*$M1248</f>
        <v/>
      </c>
      <c r="U1248" s="18">
        <f>IF($K1248,0,$T1248*mcx_al_margin_used_frac)</f>
        <v/>
      </c>
      <c r="V1248" s="18">
        <f>IF(($B1247=$B1248),$U1247,0)</f>
        <v/>
      </c>
      <c r="W1248" s="18">
        <f>$U1248-$V1248</f>
        <v/>
      </c>
      <c r="X1248" s="18">
        <f>IF($K1248,0,$T1248*0.12)</f>
        <v/>
      </c>
      <c r="Y1248" s="18">
        <f>IF($K1248,0,$T1248*0.15)</f>
        <v/>
      </c>
      <c r="Z1248" s="18">
        <f>IF($F1248="hold",0,-ABS($H1248)*$I1248*kg_per_mt*mcx_slippage_ticks*mcx_al_tick_inr_kg)</f>
        <v/>
      </c>
      <c r="AA1248" s="18">
        <f>IF($F1248="hold",0,-ABS($H1248)*$I1248*kg_per_mt*$Q1248*mcx_txn_cost_frac)</f>
        <v/>
      </c>
      <c r="AB1248" s="18">
        <f>$Z1248+$AA1248</f>
        <v/>
      </c>
      <c r="AC1248" s="18">
        <f>$R1248-$W1248+$AB1248</f>
        <v/>
      </c>
      <c r="AD1248" s="18">
        <f>IF(($B1247=$B1248),$AD1247,0)+$AC1248</f>
        <v/>
      </c>
      <c r="AE1248" s="23" t="n">
        <v>2331184.26</v>
      </c>
      <c r="AF1248" s="23" t="n">
        <v>12533024.3</v>
      </c>
      <c r="AG1248" s="23" t="n">
        <v>0</v>
      </c>
      <c r="AH1248" s="23" t="n">
        <v>2564302.69</v>
      </c>
      <c r="AI1248" s="23" t="n">
        <v>-2773.99</v>
      </c>
      <c r="AJ1248" s="18">
        <f>$R1248-$AE1248</f>
        <v/>
      </c>
      <c r="AK1248" s="18">
        <f>$U1248-$AF1248</f>
        <v/>
      </c>
      <c r="AL1248" s="18">
        <f>$AC1248-$AH1248</f>
        <v/>
      </c>
      <c r="AM1248" s="8">
        <f>IF(AND(ABS($AJ1248)&lt;=tol_mcx_inr,ABS($AK1248)&lt;=tol_mcx_inr,ABS($AL1248)&lt;=tol_mcx_inr),"PASS","FAIL")</f>
        <v/>
      </c>
    </row>
    <row r="1249">
      <c r="A1249" s="7" t="inlineStr">
        <is>
          <t>T05</t>
        </is>
      </c>
      <c r="B1249" s="7" t="inlineStr">
        <is>
          <t>T05-MCX-2</t>
        </is>
      </c>
      <c r="C1249" s="11" t="n">
        <v>44707</v>
      </c>
      <c r="D1249" s="7" t="n">
        <v>202206</v>
      </c>
      <c r="E1249" s="7" t="inlineStr">
        <is>
          <t>SELL</t>
        </is>
      </c>
      <c r="F1249" s="7" t="inlineStr">
        <is>
          <t>hold</t>
        </is>
      </c>
      <c r="G1249" s="17" t="b">
        <v>1</v>
      </c>
      <c r="H1249" s="6" t="n">
        <v>-105</v>
      </c>
      <c r="I1249" s="13" t="n">
        <v>5</v>
      </c>
      <c r="J1249" s="8">
        <f>OR($F1249="entry",$F1249="roll_in")</f>
        <v/>
      </c>
      <c r="K1249" s="8">
        <f>OR($F1249="exit",$F1249="roll_out")</f>
        <v/>
      </c>
      <c r="L1249" s="8">
        <f>OR(AND($E1249="SELL",$K1249),AND($E1249="BUY",$J1249))</f>
        <v/>
      </c>
      <c r="M1249" s="16">
        <f>((INDEX(Market_Daily!$B$6:$B$256,MATCH($C1249,Market_Daily!$A$6:$A$256,0))*INDEX(Market_Daily!$F$6:$F$256,MATCH($C1249,Market_Daily!$A$6:$A$256,0))/kg_per_mt*(1+bcd_primary_al_hs7601*(1+sws_rate_on_bcd))+mcx_domestic_premium_inr_kg)*(1+INDEX(Market_Daily!$I$6:$I$256,MATCH($C1249,Market_Daily!$A$6:$A$256,0))*MAX(0,INDEX(mcx_expiries,MATCH($D1249,mcx_months,0))-$C1249)/day_count_inr))</f>
        <v/>
      </c>
      <c r="N1249" s="16">
        <f>IF(INDEX(Market_Daily!$S$6:$S$256,MATCH($C1249,Market_Daily!$A$6:$A$256,0))=$D1249,INDEX(Market_Daily!$M$6:$M$256,MATCH($C1249,Market_Daily!$A$6:$A$256,0)),IF(INDEX(Market_Daily!$T$6:$T$256,MATCH($C1249,Market_Daily!$A$6:$A$256,0))=$D1249,INDEX(Market_Daily!$N$6:$N$256,MATCH($C1249,Market_Daily!$A$6:$A$256,0)),NA()))</f>
        <v/>
      </c>
      <c r="O1249" s="16">
        <f>$N1249-$M1249</f>
        <v/>
      </c>
      <c r="P1249" s="16">
        <f>IF(($B1248=$B1249),$M1248,"")</f>
        <v/>
      </c>
      <c r="Q1249" s="16">
        <f>$M1249+IF($L1249,1,-1)*mcx_slippage_ticks*mcx_al_tick_inr_kg</f>
        <v/>
      </c>
      <c r="R1249" s="18">
        <f>IF(($B1248=$B1249),$H1249*$I1249*kg_per_mt*($M1249-$M1248),0)</f>
        <v/>
      </c>
      <c r="S1249" s="18">
        <f>IF(($B1248=$B1249),$S1248,0)+$R1249</f>
        <v/>
      </c>
      <c r="T1249" s="18">
        <f>ABS($H1249)*$I1249*kg_per_mt*$M1249</f>
        <v/>
      </c>
      <c r="U1249" s="18">
        <f>IF($K1249,0,$T1249*mcx_al_margin_used_frac)</f>
        <v/>
      </c>
      <c r="V1249" s="18">
        <f>IF(($B1248=$B1249),$U1248,0)</f>
        <v/>
      </c>
      <c r="W1249" s="18">
        <f>$U1249-$V1249</f>
        <v/>
      </c>
      <c r="X1249" s="18">
        <f>IF($K1249,0,$T1249*0.12)</f>
        <v/>
      </c>
      <c r="Y1249" s="18">
        <f>IF($K1249,0,$T1249*0.15)</f>
        <v/>
      </c>
      <c r="Z1249" s="18">
        <f>IF($F1249="hold",0,-ABS($H1249)*$I1249*kg_per_mt*mcx_slippage_ticks*mcx_al_tick_inr_kg)</f>
        <v/>
      </c>
      <c r="AA1249" s="18">
        <f>IF($F1249="hold",0,-ABS($H1249)*$I1249*kg_per_mt*$Q1249*mcx_txn_cost_frac)</f>
        <v/>
      </c>
      <c r="AB1249" s="18">
        <f>$Z1249+$AA1249</f>
        <v/>
      </c>
      <c r="AC1249" s="18">
        <f>$R1249-$W1249+$AB1249</f>
        <v/>
      </c>
      <c r="AD1249" s="18">
        <f>IF(($B1248=$B1249),$AD1248,0)+$AC1249</f>
        <v/>
      </c>
      <c r="AE1249" s="23" t="n">
        <v>160427.93</v>
      </c>
      <c r="AF1249" s="23" t="n">
        <v>12516981.5</v>
      </c>
      <c r="AG1249" s="23" t="n">
        <v>0</v>
      </c>
      <c r="AH1249" s="23" t="n">
        <v>176470.72</v>
      </c>
      <c r="AI1249" s="23" t="n">
        <v>-2092.52</v>
      </c>
      <c r="AJ1249" s="18">
        <f>$R1249-$AE1249</f>
        <v/>
      </c>
      <c r="AK1249" s="18">
        <f>$U1249-$AF1249</f>
        <v/>
      </c>
      <c r="AL1249" s="18">
        <f>$AC1249-$AH1249</f>
        <v/>
      </c>
      <c r="AM1249" s="8">
        <f>IF(AND(ABS($AJ1249)&lt;=tol_mcx_inr,ABS($AK1249)&lt;=tol_mcx_inr,ABS($AL1249)&lt;=tol_mcx_inr),"PASS","FAIL")</f>
        <v/>
      </c>
    </row>
    <row r="1250">
      <c r="A1250" s="7" t="inlineStr">
        <is>
          <t>T05</t>
        </is>
      </c>
      <c r="B1250" s="7" t="inlineStr">
        <is>
          <t>T05-MCX-2</t>
        </is>
      </c>
      <c r="C1250" s="11" t="n">
        <v>44708</v>
      </c>
      <c r="D1250" s="7" t="n">
        <v>202206</v>
      </c>
      <c r="E1250" s="7" t="inlineStr">
        <is>
          <t>SELL</t>
        </is>
      </c>
      <c r="F1250" s="7" t="inlineStr">
        <is>
          <t>hold</t>
        </is>
      </c>
      <c r="G1250" s="17" t="b">
        <v>1</v>
      </c>
      <c r="H1250" s="6" t="n">
        <v>-105</v>
      </c>
      <c r="I1250" s="13" t="n">
        <v>5</v>
      </c>
      <c r="J1250" s="8">
        <f>OR($F1250="entry",$F1250="roll_in")</f>
        <v/>
      </c>
      <c r="K1250" s="8">
        <f>OR($F1250="exit",$F1250="roll_out")</f>
        <v/>
      </c>
      <c r="L1250" s="8">
        <f>OR(AND($E1250="SELL",$K1250),AND($E1250="BUY",$J1250))</f>
        <v/>
      </c>
      <c r="M1250" s="16">
        <f>((INDEX(Market_Daily!$B$6:$B$256,MATCH($C1250,Market_Daily!$A$6:$A$256,0))*INDEX(Market_Daily!$F$6:$F$256,MATCH($C1250,Market_Daily!$A$6:$A$256,0))/kg_per_mt*(1+bcd_primary_al_hs7601*(1+sws_rate_on_bcd))+mcx_domestic_premium_inr_kg)*(1+INDEX(Market_Daily!$I$6:$I$256,MATCH($C1250,Market_Daily!$A$6:$A$256,0))*MAX(0,INDEX(mcx_expiries,MATCH($D1250,mcx_months,0))-$C1250)/day_count_inr))</f>
        <v/>
      </c>
      <c r="N1250" s="16">
        <f>IF(INDEX(Market_Daily!$S$6:$S$256,MATCH($C1250,Market_Daily!$A$6:$A$256,0))=$D1250,INDEX(Market_Daily!$M$6:$M$256,MATCH($C1250,Market_Daily!$A$6:$A$256,0)),IF(INDEX(Market_Daily!$T$6:$T$256,MATCH($C1250,Market_Daily!$A$6:$A$256,0))=$D1250,INDEX(Market_Daily!$N$6:$N$256,MATCH($C1250,Market_Daily!$A$6:$A$256,0)),NA()))</f>
        <v/>
      </c>
      <c r="O1250" s="16">
        <f>$N1250-$M1250</f>
        <v/>
      </c>
      <c r="P1250" s="16">
        <f>IF(($B1249=$B1250),$M1249,"")</f>
        <v/>
      </c>
      <c r="Q1250" s="16">
        <f>$M1250+IF($L1250,1,-1)*mcx_slippage_ticks*mcx_al_tick_inr_kg</f>
        <v/>
      </c>
      <c r="R1250" s="18">
        <f>IF(($B1249=$B1250),$H1250*$I1250*kg_per_mt*($M1250-$M1249),0)</f>
        <v/>
      </c>
      <c r="S1250" s="18">
        <f>IF(($B1249=$B1250),$S1249,0)+$R1250</f>
        <v/>
      </c>
      <c r="T1250" s="18">
        <f>ABS($H1250)*$I1250*kg_per_mt*$M1250</f>
        <v/>
      </c>
      <c r="U1250" s="18">
        <f>IF($K1250,0,$T1250*mcx_al_margin_used_frac)</f>
        <v/>
      </c>
      <c r="V1250" s="18">
        <f>IF(($B1249=$B1250),$U1249,0)</f>
        <v/>
      </c>
      <c r="W1250" s="18">
        <f>$U1250-$V1250</f>
        <v/>
      </c>
      <c r="X1250" s="18">
        <f>IF($K1250,0,$T1250*0.12)</f>
        <v/>
      </c>
      <c r="Y1250" s="18">
        <f>IF($K1250,0,$T1250*0.15)</f>
        <v/>
      </c>
      <c r="Z1250" s="18">
        <f>IF($F1250="hold",0,-ABS($H1250)*$I1250*kg_per_mt*mcx_slippage_ticks*mcx_al_tick_inr_kg)</f>
        <v/>
      </c>
      <c r="AA1250" s="18">
        <f>IF($F1250="hold",0,-ABS($H1250)*$I1250*kg_per_mt*$Q1250*mcx_txn_cost_frac)</f>
        <v/>
      </c>
      <c r="AB1250" s="18">
        <f>$Z1250+$AA1250</f>
        <v/>
      </c>
      <c r="AC1250" s="18">
        <f>$R1250-$W1250+$AB1250</f>
        <v/>
      </c>
      <c r="AD1250" s="18">
        <f>IF(($B1249=$B1250),$AD1249,0)+$AC1250</f>
        <v/>
      </c>
      <c r="AE1250" s="23" t="n">
        <v>140433.8</v>
      </c>
      <c r="AF1250" s="23" t="n">
        <v>12502938.13</v>
      </c>
      <c r="AG1250" s="23" t="n">
        <v>0</v>
      </c>
      <c r="AH1250" s="23" t="n">
        <v>154477.18</v>
      </c>
      <c r="AI1250" s="23" t="n">
        <v>-2045.62</v>
      </c>
      <c r="AJ1250" s="18">
        <f>$R1250-$AE1250</f>
        <v/>
      </c>
      <c r="AK1250" s="18">
        <f>$U1250-$AF1250</f>
        <v/>
      </c>
      <c r="AL1250" s="18">
        <f>$AC1250-$AH1250</f>
        <v/>
      </c>
      <c r="AM1250" s="8">
        <f>IF(AND(ABS($AJ1250)&lt;=tol_mcx_inr,ABS($AK1250)&lt;=tol_mcx_inr,ABS($AL1250)&lt;=tol_mcx_inr),"PASS","FAIL")</f>
        <v/>
      </c>
    </row>
    <row r="1251">
      <c r="A1251" s="7" t="inlineStr">
        <is>
          <t>T05</t>
        </is>
      </c>
      <c r="B1251" s="7" t="inlineStr">
        <is>
          <t>T05-MCX-2</t>
        </is>
      </c>
      <c r="C1251" s="11" t="n">
        <v>44711</v>
      </c>
      <c r="D1251" s="7" t="n">
        <v>202206</v>
      </c>
      <c r="E1251" s="7" t="inlineStr">
        <is>
          <t>SELL</t>
        </is>
      </c>
      <c r="F1251" s="7" t="inlineStr">
        <is>
          <t>hold</t>
        </is>
      </c>
      <c r="G1251" s="17" t="b">
        <v>1</v>
      </c>
      <c r="H1251" s="6" t="n">
        <v>-105</v>
      </c>
      <c r="I1251" s="13" t="n">
        <v>5</v>
      </c>
      <c r="J1251" s="8">
        <f>OR($F1251="entry",$F1251="roll_in")</f>
        <v/>
      </c>
      <c r="K1251" s="8">
        <f>OR($F1251="exit",$F1251="roll_out")</f>
        <v/>
      </c>
      <c r="L1251" s="8">
        <f>OR(AND($E1251="SELL",$K1251),AND($E1251="BUY",$J1251))</f>
        <v/>
      </c>
      <c r="M1251" s="16">
        <f>((INDEX(Market_Daily!$B$6:$B$256,MATCH($C1251,Market_Daily!$A$6:$A$256,0))*INDEX(Market_Daily!$F$6:$F$256,MATCH($C1251,Market_Daily!$A$6:$A$256,0))/kg_per_mt*(1+bcd_primary_al_hs7601*(1+sws_rate_on_bcd))+mcx_domestic_premium_inr_kg)*(1+INDEX(Market_Daily!$I$6:$I$256,MATCH($C1251,Market_Daily!$A$6:$A$256,0))*MAX(0,INDEX(mcx_expiries,MATCH($D1251,mcx_months,0))-$C1251)/day_count_inr))</f>
        <v/>
      </c>
      <c r="N1251" s="16">
        <f>IF(INDEX(Market_Daily!$S$6:$S$256,MATCH($C1251,Market_Daily!$A$6:$A$256,0))=$D1251,INDEX(Market_Daily!$M$6:$M$256,MATCH($C1251,Market_Daily!$A$6:$A$256,0)),IF(INDEX(Market_Daily!$T$6:$T$256,MATCH($C1251,Market_Daily!$A$6:$A$256,0))=$D1251,INDEX(Market_Daily!$N$6:$N$256,MATCH($C1251,Market_Daily!$A$6:$A$256,0)),NA()))</f>
        <v/>
      </c>
      <c r="O1251" s="16">
        <f>$N1251-$M1251</f>
        <v/>
      </c>
      <c r="P1251" s="16">
        <f>IF(($B1250=$B1251),$M1250,"")</f>
        <v/>
      </c>
      <c r="Q1251" s="16">
        <f>$M1251+IF($L1251,1,-1)*mcx_slippage_ticks*mcx_al_tick_inr_kg</f>
        <v/>
      </c>
      <c r="R1251" s="18">
        <f>IF(($B1250=$B1251),$H1251*$I1251*kg_per_mt*($M1251-$M1250),0)</f>
        <v/>
      </c>
      <c r="S1251" s="18">
        <f>IF(($B1250=$B1251),$S1250,0)+$R1251</f>
        <v/>
      </c>
      <c r="T1251" s="18">
        <f>ABS($H1251)*$I1251*kg_per_mt*$M1251</f>
        <v/>
      </c>
      <c r="U1251" s="18">
        <f>IF($K1251,0,$T1251*mcx_al_margin_used_frac)</f>
        <v/>
      </c>
      <c r="V1251" s="18">
        <f>IF(($B1250=$B1251),$U1250,0)</f>
        <v/>
      </c>
      <c r="W1251" s="18">
        <f>$U1251-$V1251</f>
        <v/>
      </c>
      <c r="X1251" s="18">
        <f>IF($K1251,0,$T1251*0.12)</f>
        <v/>
      </c>
      <c r="Y1251" s="18">
        <f>IF($K1251,0,$T1251*0.15)</f>
        <v/>
      </c>
      <c r="Z1251" s="18">
        <f>IF($F1251="hold",0,-ABS($H1251)*$I1251*kg_per_mt*mcx_slippage_ticks*mcx_al_tick_inr_kg)</f>
        <v/>
      </c>
      <c r="AA1251" s="18">
        <f>IF($F1251="hold",0,-ABS($H1251)*$I1251*kg_per_mt*$Q1251*mcx_txn_cost_frac)</f>
        <v/>
      </c>
      <c r="AB1251" s="18">
        <f>$Z1251+$AA1251</f>
        <v/>
      </c>
      <c r="AC1251" s="18">
        <f>$R1251-$W1251+$AB1251</f>
        <v/>
      </c>
      <c r="AD1251" s="18">
        <f>IF(($B1250=$B1251),$AD1250,0)+$AC1251</f>
        <v/>
      </c>
      <c r="AE1251" s="23" t="n">
        <v>-1658256.21</v>
      </c>
      <c r="AF1251" s="23" t="n">
        <v>12668763.75</v>
      </c>
      <c r="AG1251" s="23" t="n">
        <v>0</v>
      </c>
      <c r="AH1251" s="23" t="n">
        <v>-1824081.83</v>
      </c>
      <c r="AI1251" s="23" t="n">
        <v>-6013.69</v>
      </c>
      <c r="AJ1251" s="18">
        <f>$R1251-$AE1251</f>
        <v/>
      </c>
      <c r="AK1251" s="18">
        <f>$U1251-$AF1251</f>
        <v/>
      </c>
      <c r="AL1251" s="18">
        <f>$AC1251-$AH1251</f>
        <v/>
      </c>
      <c r="AM1251" s="8">
        <f>IF(AND(ABS($AJ1251)&lt;=tol_mcx_inr,ABS($AK1251)&lt;=tol_mcx_inr,ABS($AL1251)&lt;=tol_mcx_inr),"PASS","FAIL")</f>
        <v/>
      </c>
    </row>
    <row r="1252">
      <c r="A1252" s="7" t="inlineStr">
        <is>
          <t>T05</t>
        </is>
      </c>
      <c r="B1252" s="7" t="inlineStr">
        <is>
          <t>T05-MCX-2</t>
        </is>
      </c>
      <c r="C1252" s="11" t="n">
        <v>44712</v>
      </c>
      <c r="D1252" s="7" t="n">
        <v>202206</v>
      </c>
      <c r="E1252" s="7" t="inlineStr">
        <is>
          <t>SELL</t>
        </is>
      </c>
      <c r="F1252" s="7" t="inlineStr">
        <is>
          <t>hold</t>
        </is>
      </c>
      <c r="G1252" s="17" t="b">
        <v>1</v>
      </c>
      <c r="H1252" s="6" t="n">
        <v>-105</v>
      </c>
      <c r="I1252" s="13" t="n">
        <v>5</v>
      </c>
      <c r="J1252" s="8">
        <f>OR($F1252="entry",$F1252="roll_in")</f>
        <v/>
      </c>
      <c r="K1252" s="8">
        <f>OR($F1252="exit",$F1252="roll_out")</f>
        <v/>
      </c>
      <c r="L1252" s="8">
        <f>OR(AND($E1252="SELL",$K1252),AND($E1252="BUY",$J1252))</f>
        <v/>
      </c>
      <c r="M1252" s="16">
        <f>((INDEX(Market_Daily!$B$6:$B$256,MATCH($C1252,Market_Daily!$A$6:$A$256,0))*INDEX(Market_Daily!$F$6:$F$256,MATCH($C1252,Market_Daily!$A$6:$A$256,0))/kg_per_mt*(1+bcd_primary_al_hs7601*(1+sws_rate_on_bcd))+mcx_domestic_premium_inr_kg)*(1+INDEX(Market_Daily!$I$6:$I$256,MATCH($C1252,Market_Daily!$A$6:$A$256,0))*MAX(0,INDEX(mcx_expiries,MATCH($D1252,mcx_months,0))-$C1252)/day_count_inr))</f>
        <v/>
      </c>
      <c r="N1252" s="16">
        <f>IF(INDEX(Market_Daily!$S$6:$S$256,MATCH($C1252,Market_Daily!$A$6:$A$256,0))=$D1252,INDEX(Market_Daily!$M$6:$M$256,MATCH($C1252,Market_Daily!$A$6:$A$256,0)),IF(INDEX(Market_Daily!$T$6:$T$256,MATCH($C1252,Market_Daily!$A$6:$A$256,0))=$D1252,INDEX(Market_Daily!$N$6:$N$256,MATCH($C1252,Market_Daily!$A$6:$A$256,0)),NA()))</f>
        <v/>
      </c>
      <c r="O1252" s="16">
        <f>$N1252-$M1252</f>
        <v/>
      </c>
      <c r="P1252" s="16">
        <f>IF(($B1251=$B1252),$M1251,"")</f>
        <v/>
      </c>
      <c r="Q1252" s="16">
        <f>$M1252+IF($L1252,1,-1)*mcx_slippage_ticks*mcx_al_tick_inr_kg</f>
        <v/>
      </c>
      <c r="R1252" s="18">
        <f>IF(($B1251=$B1252),$H1252*$I1252*kg_per_mt*($M1252-$M1251),0)</f>
        <v/>
      </c>
      <c r="S1252" s="18">
        <f>IF(($B1251=$B1252),$S1251,0)+$R1252</f>
        <v/>
      </c>
      <c r="T1252" s="18">
        <f>ABS($H1252)*$I1252*kg_per_mt*$M1252</f>
        <v/>
      </c>
      <c r="U1252" s="18">
        <f>IF($K1252,0,$T1252*mcx_al_margin_used_frac)</f>
        <v/>
      </c>
      <c r="V1252" s="18">
        <f>IF(($B1251=$B1252),$U1251,0)</f>
        <v/>
      </c>
      <c r="W1252" s="18">
        <f>$U1252-$V1252</f>
        <v/>
      </c>
      <c r="X1252" s="18">
        <f>IF($K1252,0,$T1252*0.12)</f>
        <v/>
      </c>
      <c r="Y1252" s="18">
        <f>IF($K1252,0,$T1252*0.15)</f>
        <v/>
      </c>
      <c r="Z1252" s="18">
        <f>IF($F1252="hold",0,-ABS($H1252)*$I1252*kg_per_mt*mcx_slippage_ticks*mcx_al_tick_inr_kg)</f>
        <v/>
      </c>
      <c r="AA1252" s="18">
        <f>IF($F1252="hold",0,-ABS($H1252)*$I1252*kg_per_mt*$Q1252*mcx_txn_cost_frac)</f>
        <v/>
      </c>
      <c r="AB1252" s="18">
        <f>$Z1252+$AA1252</f>
        <v/>
      </c>
      <c r="AC1252" s="18">
        <f>$R1252-$W1252+$AB1252</f>
        <v/>
      </c>
      <c r="AD1252" s="18">
        <f>IF(($B1251=$B1252),$AD1251,0)+$AC1252</f>
        <v/>
      </c>
      <c r="AE1252" s="23" t="n">
        <v>1846510.88</v>
      </c>
      <c r="AF1252" s="23" t="n">
        <v>12484112.66</v>
      </c>
      <c r="AG1252" s="23" t="n">
        <v>0</v>
      </c>
      <c r="AH1252" s="23" t="n">
        <v>2031161.97</v>
      </c>
      <c r="AI1252" s="23" t="n">
        <v>-2489.32</v>
      </c>
      <c r="AJ1252" s="18">
        <f>$R1252-$AE1252</f>
        <v/>
      </c>
      <c r="AK1252" s="18">
        <f>$U1252-$AF1252</f>
        <v/>
      </c>
      <c r="AL1252" s="18">
        <f>$AC1252-$AH1252</f>
        <v/>
      </c>
      <c r="AM1252" s="8">
        <f>IF(AND(ABS($AJ1252)&lt;=tol_mcx_inr,ABS($AK1252)&lt;=tol_mcx_inr,ABS($AL1252)&lt;=tol_mcx_inr),"PASS","FAIL")</f>
        <v/>
      </c>
    </row>
    <row r="1253">
      <c r="A1253" s="7" t="inlineStr">
        <is>
          <t>T05</t>
        </is>
      </c>
      <c r="B1253" s="7" t="inlineStr">
        <is>
          <t>T05-MCX-2</t>
        </is>
      </c>
      <c r="C1253" s="11" t="n">
        <v>44713</v>
      </c>
      <c r="D1253" s="7" t="n">
        <v>202206</v>
      </c>
      <c r="E1253" s="7" t="inlineStr">
        <is>
          <t>SELL</t>
        </is>
      </c>
      <c r="F1253" s="7" t="inlineStr">
        <is>
          <t>hold</t>
        </is>
      </c>
      <c r="G1253" s="17" t="b">
        <v>1</v>
      </c>
      <c r="H1253" s="6" t="n">
        <v>-105</v>
      </c>
      <c r="I1253" s="13" t="n">
        <v>5</v>
      </c>
      <c r="J1253" s="8">
        <f>OR($F1253="entry",$F1253="roll_in")</f>
        <v/>
      </c>
      <c r="K1253" s="8">
        <f>OR($F1253="exit",$F1253="roll_out")</f>
        <v/>
      </c>
      <c r="L1253" s="8">
        <f>OR(AND($E1253="SELL",$K1253),AND($E1253="BUY",$J1253))</f>
        <v/>
      </c>
      <c r="M1253" s="16">
        <f>((INDEX(Market_Daily!$B$6:$B$256,MATCH($C1253,Market_Daily!$A$6:$A$256,0))*INDEX(Market_Daily!$F$6:$F$256,MATCH($C1253,Market_Daily!$A$6:$A$256,0))/kg_per_mt*(1+bcd_primary_al_hs7601*(1+sws_rate_on_bcd))+mcx_domestic_premium_inr_kg)*(1+INDEX(Market_Daily!$I$6:$I$256,MATCH($C1253,Market_Daily!$A$6:$A$256,0))*MAX(0,INDEX(mcx_expiries,MATCH($D1253,mcx_months,0))-$C1253)/day_count_inr))</f>
        <v/>
      </c>
      <c r="N1253" s="16">
        <f>IF(INDEX(Market_Daily!$S$6:$S$256,MATCH($C1253,Market_Daily!$A$6:$A$256,0))=$D1253,INDEX(Market_Daily!$M$6:$M$256,MATCH($C1253,Market_Daily!$A$6:$A$256,0)),IF(INDEX(Market_Daily!$T$6:$T$256,MATCH($C1253,Market_Daily!$A$6:$A$256,0))=$D1253,INDEX(Market_Daily!$N$6:$N$256,MATCH($C1253,Market_Daily!$A$6:$A$256,0)),NA()))</f>
        <v/>
      </c>
      <c r="O1253" s="16">
        <f>$N1253-$M1253</f>
        <v/>
      </c>
      <c r="P1253" s="16">
        <f>IF(($B1252=$B1253),$M1252,"")</f>
        <v/>
      </c>
      <c r="Q1253" s="16">
        <f>$M1253+IF($L1253,1,-1)*mcx_slippage_ticks*mcx_al_tick_inr_kg</f>
        <v/>
      </c>
      <c r="R1253" s="18">
        <f>IF(($B1252=$B1253),$H1253*$I1253*kg_per_mt*($M1253-$M1252),0)</f>
        <v/>
      </c>
      <c r="S1253" s="18">
        <f>IF(($B1252=$B1253),$S1252,0)+$R1253</f>
        <v/>
      </c>
      <c r="T1253" s="18">
        <f>ABS($H1253)*$I1253*kg_per_mt*$M1253</f>
        <v/>
      </c>
      <c r="U1253" s="18">
        <f>IF($K1253,0,$T1253*mcx_al_margin_used_frac)</f>
        <v/>
      </c>
      <c r="V1253" s="18">
        <f>IF(($B1252=$B1253),$U1252,0)</f>
        <v/>
      </c>
      <c r="W1253" s="18">
        <f>$U1253-$V1253</f>
        <v/>
      </c>
      <c r="X1253" s="18">
        <f>IF($K1253,0,$T1253*0.12)</f>
        <v/>
      </c>
      <c r="Y1253" s="18">
        <f>IF($K1253,0,$T1253*0.15)</f>
        <v/>
      </c>
      <c r="Z1253" s="18">
        <f>IF($F1253="hold",0,-ABS($H1253)*$I1253*kg_per_mt*mcx_slippage_ticks*mcx_al_tick_inr_kg)</f>
        <v/>
      </c>
      <c r="AA1253" s="18">
        <f>IF($F1253="hold",0,-ABS($H1253)*$I1253*kg_per_mt*$Q1253*mcx_txn_cost_frac)</f>
        <v/>
      </c>
      <c r="AB1253" s="18">
        <f>$Z1253+$AA1253</f>
        <v/>
      </c>
      <c r="AC1253" s="18">
        <f>$R1253-$W1253+$AB1253</f>
        <v/>
      </c>
      <c r="AD1253" s="18">
        <f>IF(($B1252=$B1253),$AD1252,0)+$AC1253</f>
        <v/>
      </c>
      <c r="AE1253" s="23" t="n">
        <v>5369474.21</v>
      </c>
      <c r="AF1253" s="23" t="n">
        <v>11947165.24</v>
      </c>
      <c r="AG1253" s="23" t="n">
        <v>0</v>
      </c>
      <c r="AH1253" s="23" t="n">
        <v>5906421.63</v>
      </c>
      <c r="AI1253" s="23" t="n">
        <v>-1949.53</v>
      </c>
      <c r="AJ1253" s="18">
        <f>$R1253-$AE1253</f>
        <v/>
      </c>
      <c r="AK1253" s="18">
        <f>$U1253-$AF1253</f>
        <v/>
      </c>
      <c r="AL1253" s="18">
        <f>$AC1253-$AH1253</f>
        <v/>
      </c>
      <c r="AM1253" s="8">
        <f>IF(AND(ABS($AJ1253)&lt;=tol_mcx_inr,ABS($AK1253)&lt;=tol_mcx_inr,ABS($AL1253)&lt;=tol_mcx_inr),"PASS","FAIL")</f>
        <v/>
      </c>
    </row>
    <row r="1254">
      <c r="A1254" s="7" t="inlineStr">
        <is>
          <t>T05</t>
        </is>
      </c>
      <c r="B1254" s="7" t="inlineStr">
        <is>
          <t>T05-MCX-2</t>
        </is>
      </c>
      <c r="C1254" s="11" t="n">
        <v>44718</v>
      </c>
      <c r="D1254" s="7" t="n">
        <v>202206</v>
      </c>
      <c r="E1254" s="7" t="inlineStr">
        <is>
          <t>SELL</t>
        </is>
      </c>
      <c r="F1254" s="7" t="inlineStr">
        <is>
          <t>hold</t>
        </is>
      </c>
      <c r="G1254" s="17" t="b">
        <v>1</v>
      </c>
      <c r="H1254" s="6" t="n">
        <v>-105</v>
      </c>
      <c r="I1254" s="13" t="n">
        <v>5</v>
      </c>
      <c r="J1254" s="8">
        <f>OR($F1254="entry",$F1254="roll_in")</f>
        <v/>
      </c>
      <c r="K1254" s="8">
        <f>OR($F1254="exit",$F1254="roll_out")</f>
        <v/>
      </c>
      <c r="L1254" s="8">
        <f>OR(AND($E1254="SELL",$K1254),AND($E1254="BUY",$J1254))</f>
        <v/>
      </c>
      <c r="M1254" s="16">
        <f>((INDEX(Market_Daily!$B$6:$B$256,MATCH($C1254,Market_Daily!$A$6:$A$256,0))*INDEX(Market_Daily!$F$6:$F$256,MATCH($C1254,Market_Daily!$A$6:$A$256,0))/kg_per_mt*(1+bcd_primary_al_hs7601*(1+sws_rate_on_bcd))+mcx_domestic_premium_inr_kg)*(1+INDEX(Market_Daily!$I$6:$I$256,MATCH($C1254,Market_Daily!$A$6:$A$256,0))*MAX(0,INDEX(mcx_expiries,MATCH($D1254,mcx_months,0))-$C1254)/day_count_inr))</f>
        <v/>
      </c>
      <c r="N1254" s="16">
        <f>IF(INDEX(Market_Daily!$S$6:$S$256,MATCH($C1254,Market_Daily!$A$6:$A$256,0))=$D1254,INDEX(Market_Daily!$M$6:$M$256,MATCH($C1254,Market_Daily!$A$6:$A$256,0)),IF(INDEX(Market_Daily!$T$6:$T$256,MATCH($C1254,Market_Daily!$A$6:$A$256,0))=$D1254,INDEX(Market_Daily!$N$6:$N$256,MATCH($C1254,Market_Daily!$A$6:$A$256,0)),NA()))</f>
        <v/>
      </c>
      <c r="O1254" s="16">
        <f>$N1254-$M1254</f>
        <v/>
      </c>
      <c r="P1254" s="16">
        <f>IF(($B1253=$B1254),$M1253,"")</f>
        <v/>
      </c>
      <c r="Q1254" s="16">
        <f>$M1254+IF($L1254,1,-1)*mcx_slippage_ticks*mcx_al_tick_inr_kg</f>
        <v/>
      </c>
      <c r="R1254" s="18">
        <f>IF(($B1253=$B1254),$H1254*$I1254*kg_per_mt*($M1254-$M1253),0)</f>
        <v/>
      </c>
      <c r="S1254" s="18">
        <f>IF(($B1253=$B1254),$S1253,0)+$R1254</f>
        <v/>
      </c>
      <c r="T1254" s="18">
        <f>ABS($H1254)*$I1254*kg_per_mt*$M1254</f>
        <v/>
      </c>
      <c r="U1254" s="18">
        <f>IF($K1254,0,$T1254*mcx_al_margin_used_frac)</f>
        <v/>
      </c>
      <c r="V1254" s="18">
        <f>IF(($B1253=$B1254),$U1253,0)</f>
        <v/>
      </c>
      <c r="W1254" s="18">
        <f>$U1254-$V1254</f>
        <v/>
      </c>
      <c r="X1254" s="18">
        <f>IF($K1254,0,$T1254*0.12)</f>
        <v/>
      </c>
      <c r="Y1254" s="18">
        <f>IF($K1254,0,$T1254*0.15)</f>
        <v/>
      </c>
      <c r="Z1254" s="18">
        <f>IF($F1254="hold",0,-ABS($H1254)*$I1254*kg_per_mt*mcx_slippage_ticks*mcx_al_tick_inr_kg)</f>
        <v/>
      </c>
      <c r="AA1254" s="18">
        <f>IF($F1254="hold",0,-ABS($H1254)*$I1254*kg_per_mt*$Q1254*mcx_txn_cost_frac)</f>
        <v/>
      </c>
      <c r="AB1254" s="18">
        <f>$Z1254+$AA1254</f>
        <v/>
      </c>
      <c r="AC1254" s="18">
        <f>$R1254-$W1254+$AB1254</f>
        <v/>
      </c>
      <c r="AD1254" s="18">
        <f>IF(($B1253=$B1254),$AD1253,0)+$AC1254</f>
        <v/>
      </c>
      <c r="AE1254" s="23" t="n">
        <v>-1838847.95</v>
      </c>
      <c r="AF1254" s="23" t="n">
        <v>12131050.03</v>
      </c>
      <c r="AG1254" s="23" t="n">
        <v>0</v>
      </c>
      <c r="AH1254" s="23" t="n">
        <v>-2022732.75</v>
      </c>
      <c r="AI1254" s="23" t="n">
        <v>-1899.4</v>
      </c>
      <c r="AJ1254" s="18">
        <f>$R1254-$AE1254</f>
        <v/>
      </c>
      <c r="AK1254" s="18">
        <f>$U1254-$AF1254</f>
        <v/>
      </c>
      <c r="AL1254" s="18">
        <f>$AC1254-$AH1254</f>
        <v/>
      </c>
      <c r="AM1254" s="8">
        <f>IF(AND(ABS($AJ1254)&lt;=tol_mcx_inr,ABS($AK1254)&lt;=tol_mcx_inr,ABS($AL1254)&lt;=tol_mcx_inr),"PASS","FAIL")</f>
        <v/>
      </c>
    </row>
    <row r="1255">
      <c r="A1255" s="7" t="inlineStr">
        <is>
          <t>T05</t>
        </is>
      </c>
      <c r="B1255" s="7" t="inlineStr">
        <is>
          <t>T05-MCX-2</t>
        </is>
      </c>
      <c r="C1255" s="11" t="n">
        <v>44719</v>
      </c>
      <c r="D1255" s="7" t="n">
        <v>202206</v>
      </c>
      <c r="E1255" s="7" t="inlineStr">
        <is>
          <t>SELL</t>
        </is>
      </c>
      <c r="F1255" s="7" t="inlineStr">
        <is>
          <t>hold</t>
        </is>
      </c>
      <c r="G1255" s="17" t="b">
        <v>1</v>
      </c>
      <c r="H1255" s="6" t="n">
        <v>-105</v>
      </c>
      <c r="I1255" s="13" t="n">
        <v>5</v>
      </c>
      <c r="J1255" s="8">
        <f>OR($F1255="entry",$F1255="roll_in")</f>
        <v/>
      </c>
      <c r="K1255" s="8">
        <f>OR($F1255="exit",$F1255="roll_out")</f>
        <v/>
      </c>
      <c r="L1255" s="8">
        <f>OR(AND($E1255="SELL",$K1255),AND($E1255="BUY",$J1255))</f>
        <v/>
      </c>
      <c r="M1255" s="16">
        <f>((INDEX(Market_Daily!$B$6:$B$256,MATCH($C1255,Market_Daily!$A$6:$A$256,0))*INDEX(Market_Daily!$F$6:$F$256,MATCH($C1255,Market_Daily!$A$6:$A$256,0))/kg_per_mt*(1+bcd_primary_al_hs7601*(1+sws_rate_on_bcd))+mcx_domestic_premium_inr_kg)*(1+INDEX(Market_Daily!$I$6:$I$256,MATCH($C1255,Market_Daily!$A$6:$A$256,0))*MAX(0,INDEX(mcx_expiries,MATCH($D1255,mcx_months,0))-$C1255)/day_count_inr))</f>
        <v/>
      </c>
      <c r="N1255" s="16">
        <f>IF(INDEX(Market_Daily!$S$6:$S$256,MATCH($C1255,Market_Daily!$A$6:$A$256,0))=$D1255,INDEX(Market_Daily!$M$6:$M$256,MATCH($C1255,Market_Daily!$A$6:$A$256,0)),IF(INDEX(Market_Daily!$T$6:$T$256,MATCH($C1255,Market_Daily!$A$6:$A$256,0))=$D1255,INDEX(Market_Daily!$N$6:$N$256,MATCH($C1255,Market_Daily!$A$6:$A$256,0)),NA()))</f>
        <v/>
      </c>
      <c r="O1255" s="16">
        <f>$N1255-$M1255</f>
        <v/>
      </c>
      <c r="P1255" s="16">
        <f>IF(($B1254=$B1255),$M1254,"")</f>
        <v/>
      </c>
      <c r="Q1255" s="16">
        <f>$M1255+IF($L1255,1,-1)*mcx_slippage_ticks*mcx_al_tick_inr_kg</f>
        <v/>
      </c>
      <c r="R1255" s="18">
        <f>IF(($B1254=$B1255),$H1255*$I1255*kg_per_mt*($M1255-$M1254),0)</f>
        <v/>
      </c>
      <c r="S1255" s="18">
        <f>IF(($B1254=$B1255),$S1254,0)+$R1255</f>
        <v/>
      </c>
      <c r="T1255" s="18">
        <f>ABS($H1255)*$I1255*kg_per_mt*$M1255</f>
        <v/>
      </c>
      <c r="U1255" s="18">
        <f>IF($K1255,0,$T1255*mcx_al_margin_used_frac)</f>
        <v/>
      </c>
      <c r="V1255" s="18">
        <f>IF(($B1254=$B1255),$U1254,0)</f>
        <v/>
      </c>
      <c r="W1255" s="18">
        <f>$U1255-$V1255</f>
        <v/>
      </c>
      <c r="X1255" s="18">
        <f>IF($K1255,0,$T1255*0.12)</f>
        <v/>
      </c>
      <c r="Y1255" s="18">
        <f>IF($K1255,0,$T1255*0.15)</f>
        <v/>
      </c>
      <c r="Z1255" s="18">
        <f>IF($F1255="hold",0,-ABS($H1255)*$I1255*kg_per_mt*mcx_slippage_ticks*mcx_al_tick_inr_kg)</f>
        <v/>
      </c>
      <c r="AA1255" s="18">
        <f>IF($F1255="hold",0,-ABS($H1255)*$I1255*kg_per_mt*$Q1255*mcx_txn_cost_frac)</f>
        <v/>
      </c>
      <c r="AB1255" s="18">
        <f>$Z1255+$AA1255</f>
        <v/>
      </c>
      <c r="AC1255" s="18">
        <f>$R1255-$W1255+$AB1255</f>
        <v/>
      </c>
      <c r="AD1255" s="18">
        <f>IF(($B1254=$B1255),$AD1254,0)+$AC1255</f>
        <v/>
      </c>
      <c r="AE1255" s="23" t="n">
        <v>1028849.07</v>
      </c>
      <c r="AF1255" s="23" t="n">
        <v>12028165.13</v>
      </c>
      <c r="AG1255" s="23" t="n">
        <v>0</v>
      </c>
      <c r="AH1255" s="23" t="n">
        <v>1131733.98</v>
      </c>
      <c r="AI1255" s="23" t="n">
        <v>-917.4299999999999</v>
      </c>
      <c r="AJ1255" s="18">
        <f>$R1255-$AE1255</f>
        <v/>
      </c>
      <c r="AK1255" s="18">
        <f>$U1255-$AF1255</f>
        <v/>
      </c>
      <c r="AL1255" s="18">
        <f>$AC1255-$AH1255</f>
        <v/>
      </c>
      <c r="AM1255" s="8">
        <f>IF(AND(ABS($AJ1255)&lt;=tol_mcx_inr,ABS($AK1255)&lt;=tol_mcx_inr,ABS($AL1255)&lt;=tol_mcx_inr),"PASS","FAIL")</f>
        <v/>
      </c>
    </row>
    <row r="1256">
      <c r="A1256" s="7" t="inlineStr">
        <is>
          <t>T05</t>
        </is>
      </c>
      <c r="B1256" s="7" t="inlineStr">
        <is>
          <t>T05-MCX-2</t>
        </is>
      </c>
      <c r="C1256" s="11" t="n">
        <v>44720</v>
      </c>
      <c r="D1256" s="7" t="n">
        <v>202206</v>
      </c>
      <c r="E1256" s="7" t="inlineStr">
        <is>
          <t>SELL</t>
        </is>
      </c>
      <c r="F1256" s="7" t="inlineStr">
        <is>
          <t>hold</t>
        </is>
      </c>
      <c r="G1256" s="17" t="b">
        <v>1</v>
      </c>
      <c r="H1256" s="6" t="n">
        <v>-105</v>
      </c>
      <c r="I1256" s="13" t="n">
        <v>5</v>
      </c>
      <c r="J1256" s="8">
        <f>OR($F1256="entry",$F1256="roll_in")</f>
        <v/>
      </c>
      <c r="K1256" s="8">
        <f>OR($F1256="exit",$F1256="roll_out")</f>
        <v/>
      </c>
      <c r="L1256" s="8">
        <f>OR(AND($E1256="SELL",$K1256),AND($E1256="BUY",$J1256))</f>
        <v/>
      </c>
      <c r="M1256" s="16">
        <f>((INDEX(Market_Daily!$B$6:$B$256,MATCH($C1256,Market_Daily!$A$6:$A$256,0))*INDEX(Market_Daily!$F$6:$F$256,MATCH($C1256,Market_Daily!$A$6:$A$256,0))/kg_per_mt*(1+bcd_primary_al_hs7601*(1+sws_rate_on_bcd))+mcx_domestic_premium_inr_kg)*(1+INDEX(Market_Daily!$I$6:$I$256,MATCH($C1256,Market_Daily!$A$6:$A$256,0))*MAX(0,INDEX(mcx_expiries,MATCH($D1256,mcx_months,0))-$C1256)/day_count_inr))</f>
        <v/>
      </c>
      <c r="N1256" s="16">
        <f>IF(INDEX(Market_Daily!$S$6:$S$256,MATCH($C1256,Market_Daily!$A$6:$A$256,0))=$D1256,INDEX(Market_Daily!$M$6:$M$256,MATCH($C1256,Market_Daily!$A$6:$A$256,0)),IF(INDEX(Market_Daily!$T$6:$T$256,MATCH($C1256,Market_Daily!$A$6:$A$256,0))=$D1256,INDEX(Market_Daily!$N$6:$N$256,MATCH($C1256,Market_Daily!$A$6:$A$256,0)),NA()))</f>
        <v/>
      </c>
      <c r="O1256" s="16">
        <f>$N1256-$M1256</f>
        <v/>
      </c>
      <c r="P1256" s="16">
        <f>IF(($B1255=$B1256),$M1255,"")</f>
        <v/>
      </c>
      <c r="Q1256" s="16">
        <f>$M1256+IF($L1256,1,-1)*mcx_slippage_ticks*mcx_al_tick_inr_kg</f>
        <v/>
      </c>
      <c r="R1256" s="18">
        <f>IF(($B1255=$B1256),$H1256*$I1256*kg_per_mt*($M1256-$M1255),0)</f>
        <v/>
      </c>
      <c r="S1256" s="18">
        <f>IF(($B1255=$B1256),$S1255,0)+$R1256</f>
        <v/>
      </c>
      <c r="T1256" s="18">
        <f>ABS($H1256)*$I1256*kg_per_mt*$M1256</f>
        <v/>
      </c>
      <c r="U1256" s="18">
        <f>IF($K1256,0,$T1256*mcx_al_margin_used_frac)</f>
        <v/>
      </c>
      <c r="V1256" s="18">
        <f>IF(($B1255=$B1256),$U1255,0)</f>
        <v/>
      </c>
      <c r="W1256" s="18">
        <f>$U1256-$V1256</f>
        <v/>
      </c>
      <c r="X1256" s="18">
        <f>IF($K1256,0,$T1256*0.12)</f>
        <v/>
      </c>
      <c r="Y1256" s="18">
        <f>IF($K1256,0,$T1256*0.15)</f>
        <v/>
      </c>
      <c r="Z1256" s="18">
        <f>IF($F1256="hold",0,-ABS($H1256)*$I1256*kg_per_mt*mcx_slippage_ticks*mcx_al_tick_inr_kg)</f>
        <v/>
      </c>
      <c r="AA1256" s="18">
        <f>IF($F1256="hold",0,-ABS($H1256)*$I1256*kg_per_mt*$Q1256*mcx_txn_cost_frac)</f>
        <v/>
      </c>
      <c r="AB1256" s="18">
        <f>$Z1256+$AA1256</f>
        <v/>
      </c>
      <c r="AC1256" s="18">
        <f>$R1256-$W1256+$AB1256</f>
        <v/>
      </c>
      <c r="AD1256" s="18">
        <f>IF(($B1255=$B1256),$AD1255,0)+$AC1256</f>
        <v/>
      </c>
      <c r="AE1256" s="23" t="n">
        <v>-2174221.46</v>
      </c>
      <c r="AF1256" s="23" t="n">
        <v>12245587.27</v>
      </c>
      <c r="AG1256" s="23" t="n">
        <v>0</v>
      </c>
      <c r="AH1256" s="23" t="n">
        <v>-2391643.61</v>
      </c>
      <c r="AI1256" s="23" t="n">
        <v>-616.67</v>
      </c>
      <c r="AJ1256" s="18">
        <f>$R1256-$AE1256</f>
        <v/>
      </c>
      <c r="AK1256" s="18">
        <f>$U1256-$AF1256</f>
        <v/>
      </c>
      <c r="AL1256" s="18">
        <f>$AC1256-$AH1256</f>
        <v/>
      </c>
      <c r="AM1256" s="8">
        <f>IF(AND(ABS($AJ1256)&lt;=tol_mcx_inr,ABS($AK1256)&lt;=tol_mcx_inr,ABS($AL1256)&lt;=tol_mcx_inr),"PASS","FAIL")</f>
        <v/>
      </c>
    </row>
    <row r="1257">
      <c r="A1257" s="7" t="inlineStr">
        <is>
          <t>T05</t>
        </is>
      </c>
      <c r="B1257" s="7" t="inlineStr">
        <is>
          <t>T05-MCX-2</t>
        </is>
      </c>
      <c r="C1257" s="11" t="n">
        <v>44721</v>
      </c>
      <c r="D1257" s="7" t="n">
        <v>202206</v>
      </c>
      <c r="E1257" s="7" t="inlineStr">
        <is>
          <t>SELL</t>
        </is>
      </c>
      <c r="F1257" s="7" t="inlineStr">
        <is>
          <t>hold</t>
        </is>
      </c>
      <c r="G1257" s="17" t="b">
        <v>1</v>
      </c>
      <c r="H1257" s="6" t="n">
        <v>-105</v>
      </c>
      <c r="I1257" s="13" t="n">
        <v>5</v>
      </c>
      <c r="J1257" s="8">
        <f>OR($F1257="entry",$F1257="roll_in")</f>
        <v/>
      </c>
      <c r="K1257" s="8">
        <f>OR($F1257="exit",$F1257="roll_out")</f>
        <v/>
      </c>
      <c r="L1257" s="8">
        <f>OR(AND($E1257="SELL",$K1257),AND($E1257="BUY",$J1257))</f>
        <v/>
      </c>
      <c r="M1257" s="16">
        <f>((INDEX(Market_Daily!$B$6:$B$256,MATCH($C1257,Market_Daily!$A$6:$A$256,0))*INDEX(Market_Daily!$F$6:$F$256,MATCH($C1257,Market_Daily!$A$6:$A$256,0))/kg_per_mt*(1+bcd_primary_al_hs7601*(1+sws_rate_on_bcd))+mcx_domestic_premium_inr_kg)*(1+INDEX(Market_Daily!$I$6:$I$256,MATCH($C1257,Market_Daily!$A$6:$A$256,0))*MAX(0,INDEX(mcx_expiries,MATCH($D1257,mcx_months,0))-$C1257)/day_count_inr))</f>
        <v/>
      </c>
      <c r="N1257" s="16">
        <f>IF(INDEX(Market_Daily!$S$6:$S$256,MATCH($C1257,Market_Daily!$A$6:$A$256,0))=$D1257,INDEX(Market_Daily!$M$6:$M$256,MATCH($C1257,Market_Daily!$A$6:$A$256,0)),IF(INDEX(Market_Daily!$T$6:$T$256,MATCH($C1257,Market_Daily!$A$6:$A$256,0))=$D1257,INDEX(Market_Daily!$N$6:$N$256,MATCH($C1257,Market_Daily!$A$6:$A$256,0)),NA()))</f>
        <v/>
      </c>
      <c r="O1257" s="16">
        <f>$N1257-$M1257</f>
        <v/>
      </c>
      <c r="P1257" s="16">
        <f>IF(($B1256=$B1257),$M1256,"")</f>
        <v/>
      </c>
      <c r="Q1257" s="16">
        <f>$M1257+IF($L1257,1,-1)*mcx_slippage_ticks*mcx_al_tick_inr_kg</f>
        <v/>
      </c>
      <c r="R1257" s="18">
        <f>IF(($B1256=$B1257),$H1257*$I1257*kg_per_mt*($M1257-$M1256),0)</f>
        <v/>
      </c>
      <c r="S1257" s="18">
        <f>IF(($B1256=$B1257),$S1256,0)+$R1257</f>
        <v/>
      </c>
      <c r="T1257" s="18">
        <f>ABS($H1257)*$I1257*kg_per_mt*$M1257</f>
        <v/>
      </c>
      <c r="U1257" s="18">
        <f>IF($K1257,0,$T1257*mcx_al_margin_used_frac)</f>
        <v/>
      </c>
      <c r="V1257" s="18">
        <f>IF(($B1256=$B1257),$U1256,0)</f>
        <v/>
      </c>
      <c r="W1257" s="18">
        <f>$U1257-$V1257</f>
        <v/>
      </c>
      <c r="X1257" s="18">
        <f>IF($K1257,0,$T1257*0.12)</f>
        <v/>
      </c>
      <c r="Y1257" s="18">
        <f>IF($K1257,0,$T1257*0.15)</f>
        <v/>
      </c>
      <c r="Z1257" s="18">
        <f>IF($F1257="hold",0,-ABS($H1257)*$I1257*kg_per_mt*mcx_slippage_ticks*mcx_al_tick_inr_kg)</f>
        <v/>
      </c>
      <c r="AA1257" s="18">
        <f>IF($F1257="hold",0,-ABS($H1257)*$I1257*kg_per_mt*$Q1257*mcx_txn_cost_frac)</f>
        <v/>
      </c>
      <c r="AB1257" s="18">
        <f>$Z1257+$AA1257</f>
        <v/>
      </c>
      <c r="AC1257" s="18">
        <f>$R1257-$W1257+$AB1257</f>
        <v/>
      </c>
      <c r="AD1257" s="18">
        <f>IF(($B1256=$B1257),$AD1256,0)+$AC1257</f>
        <v/>
      </c>
      <c r="AE1257" s="23" t="n">
        <v>474612.5</v>
      </c>
      <c r="AF1257" s="23" t="n">
        <v>12198126.02</v>
      </c>
      <c r="AG1257" s="23" t="n">
        <v>0</v>
      </c>
      <c r="AH1257" s="23" t="n">
        <v>522073.75</v>
      </c>
      <c r="AI1257" s="23" t="n">
        <v>-1252.25</v>
      </c>
      <c r="AJ1257" s="18">
        <f>$R1257-$AE1257</f>
        <v/>
      </c>
      <c r="AK1257" s="18">
        <f>$U1257-$AF1257</f>
        <v/>
      </c>
      <c r="AL1257" s="18">
        <f>$AC1257-$AH1257</f>
        <v/>
      </c>
      <c r="AM1257" s="8">
        <f>IF(AND(ABS($AJ1257)&lt;=tol_mcx_inr,ABS($AK1257)&lt;=tol_mcx_inr,ABS($AL1257)&lt;=tol_mcx_inr),"PASS","FAIL")</f>
        <v/>
      </c>
    </row>
    <row r="1258">
      <c r="A1258" s="7" t="inlineStr">
        <is>
          <t>T05</t>
        </is>
      </c>
      <c r="B1258" s="7" t="inlineStr">
        <is>
          <t>T05-MCX-2</t>
        </is>
      </c>
      <c r="C1258" s="11" t="n">
        <v>44722</v>
      </c>
      <c r="D1258" s="7" t="n">
        <v>202206</v>
      </c>
      <c r="E1258" s="7" t="inlineStr">
        <is>
          <t>SELL</t>
        </is>
      </c>
      <c r="F1258" s="7" t="inlineStr">
        <is>
          <t>hold</t>
        </is>
      </c>
      <c r="G1258" s="17" t="b">
        <v>1</v>
      </c>
      <c r="H1258" s="6" t="n">
        <v>-105</v>
      </c>
      <c r="I1258" s="13" t="n">
        <v>5</v>
      </c>
      <c r="J1258" s="8">
        <f>OR($F1258="entry",$F1258="roll_in")</f>
        <v/>
      </c>
      <c r="K1258" s="8">
        <f>OR($F1258="exit",$F1258="roll_out")</f>
        <v/>
      </c>
      <c r="L1258" s="8">
        <f>OR(AND($E1258="SELL",$K1258),AND($E1258="BUY",$J1258))</f>
        <v/>
      </c>
      <c r="M1258" s="16">
        <f>((INDEX(Market_Daily!$B$6:$B$256,MATCH($C1258,Market_Daily!$A$6:$A$256,0))*INDEX(Market_Daily!$F$6:$F$256,MATCH($C1258,Market_Daily!$A$6:$A$256,0))/kg_per_mt*(1+bcd_primary_al_hs7601*(1+sws_rate_on_bcd))+mcx_domestic_premium_inr_kg)*(1+INDEX(Market_Daily!$I$6:$I$256,MATCH($C1258,Market_Daily!$A$6:$A$256,0))*MAX(0,INDEX(mcx_expiries,MATCH($D1258,mcx_months,0))-$C1258)/day_count_inr))</f>
        <v/>
      </c>
      <c r="N1258" s="16">
        <f>IF(INDEX(Market_Daily!$S$6:$S$256,MATCH($C1258,Market_Daily!$A$6:$A$256,0))=$D1258,INDEX(Market_Daily!$M$6:$M$256,MATCH($C1258,Market_Daily!$A$6:$A$256,0)),IF(INDEX(Market_Daily!$T$6:$T$256,MATCH($C1258,Market_Daily!$A$6:$A$256,0))=$D1258,INDEX(Market_Daily!$N$6:$N$256,MATCH($C1258,Market_Daily!$A$6:$A$256,0)),NA()))</f>
        <v/>
      </c>
      <c r="O1258" s="16">
        <f>$N1258-$M1258</f>
        <v/>
      </c>
      <c r="P1258" s="16">
        <f>IF(($B1257=$B1258),$M1257,"")</f>
        <v/>
      </c>
      <c r="Q1258" s="16">
        <f>$M1258+IF($L1258,1,-1)*mcx_slippage_ticks*mcx_al_tick_inr_kg</f>
        <v/>
      </c>
      <c r="R1258" s="18">
        <f>IF(($B1257=$B1258),$H1258*$I1258*kg_per_mt*($M1258-$M1257),0)</f>
        <v/>
      </c>
      <c r="S1258" s="18">
        <f>IF(($B1257=$B1258),$S1257,0)+$R1258</f>
        <v/>
      </c>
      <c r="T1258" s="18">
        <f>ABS($H1258)*$I1258*kg_per_mt*$M1258</f>
        <v/>
      </c>
      <c r="U1258" s="18">
        <f>IF($K1258,0,$T1258*mcx_al_margin_used_frac)</f>
        <v/>
      </c>
      <c r="V1258" s="18">
        <f>IF(($B1257=$B1258),$U1257,0)</f>
        <v/>
      </c>
      <c r="W1258" s="18">
        <f>$U1258-$V1258</f>
        <v/>
      </c>
      <c r="X1258" s="18">
        <f>IF($K1258,0,$T1258*0.12)</f>
        <v/>
      </c>
      <c r="Y1258" s="18">
        <f>IF($K1258,0,$T1258*0.15)</f>
        <v/>
      </c>
      <c r="Z1258" s="18">
        <f>IF($F1258="hold",0,-ABS($H1258)*$I1258*kg_per_mt*mcx_slippage_ticks*mcx_al_tick_inr_kg)</f>
        <v/>
      </c>
      <c r="AA1258" s="18">
        <f>IF($F1258="hold",0,-ABS($H1258)*$I1258*kg_per_mt*$Q1258*mcx_txn_cost_frac)</f>
        <v/>
      </c>
      <c r="AB1258" s="18">
        <f>$Z1258+$AA1258</f>
        <v/>
      </c>
      <c r="AC1258" s="18">
        <f>$R1258-$W1258+$AB1258</f>
        <v/>
      </c>
      <c r="AD1258" s="18">
        <f>IF(($B1257=$B1258),$AD1257,0)+$AC1258</f>
        <v/>
      </c>
      <c r="AE1258" s="23" t="n">
        <v>2430887.32</v>
      </c>
      <c r="AF1258" s="23" t="n">
        <v>11955037.29</v>
      </c>
      <c r="AG1258" s="23" t="n">
        <v>0</v>
      </c>
      <c r="AH1258" s="23" t="n">
        <v>2673976.05</v>
      </c>
      <c r="AI1258" s="23" t="n">
        <v>-1113.51</v>
      </c>
      <c r="AJ1258" s="18">
        <f>$R1258-$AE1258</f>
        <v/>
      </c>
      <c r="AK1258" s="18">
        <f>$U1258-$AF1258</f>
        <v/>
      </c>
      <c r="AL1258" s="18">
        <f>$AC1258-$AH1258</f>
        <v/>
      </c>
      <c r="AM1258" s="8">
        <f>IF(AND(ABS($AJ1258)&lt;=tol_mcx_inr,ABS($AK1258)&lt;=tol_mcx_inr,ABS($AL1258)&lt;=tol_mcx_inr),"PASS","FAIL")</f>
        <v/>
      </c>
    </row>
    <row r="1259">
      <c r="A1259" s="7" t="inlineStr">
        <is>
          <t>T05</t>
        </is>
      </c>
      <c r="B1259" s="7" t="inlineStr">
        <is>
          <t>T05-MCX-2</t>
        </is>
      </c>
      <c r="C1259" s="11" t="n">
        <v>44725</v>
      </c>
      <c r="D1259" s="7" t="n">
        <v>202206</v>
      </c>
      <c r="E1259" s="7" t="inlineStr">
        <is>
          <t>SELL</t>
        </is>
      </c>
      <c r="F1259" s="7" t="inlineStr">
        <is>
          <t>hold</t>
        </is>
      </c>
      <c r="G1259" s="17" t="b">
        <v>1</v>
      </c>
      <c r="H1259" s="6" t="n">
        <v>-105</v>
      </c>
      <c r="I1259" s="13" t="n">
        <v>5</v>
      </c>
      <c r="J1259" s="8">
        <f>OR($F1259="entry",$F1259="roll_in")</f>
        <v/>
      </c>
      <c r="K1259" s="8">
        <f>OR($F1259="exit",$F1259="roll_out")</f>
        <v/>
      </c>
      <c r="L1259" s="8">
        <f>OR(AND($E1259="SELL",$K1259),AND($E1259="BUY",$J1259))</f>
        <v/>
      </c>
      <c r="M1259" s="16">
        <f>((INDEX(Market_Daily!$B$6:$B$256,MATCH($C1259,Market_Daily!$A$6:$A$256,0))*INDEX(Market_Daily!$F$6:$F$256,MATCH($C1259,Market_Daily!$A$6:$A$256,0))/kg_per_mt*(1+bcd_primary_al_hs7601*(1+sws_rate_on_bcd))+mcx_domestic_premium_inr_kg)*(1+INDEX(Market_Daily!$I$6:$I$256,MATCH($C1259,Market_Daily!$A$6:$A$256,0))*MAX(0,INDEX(mcx_expiries,MATCH($D1259,mcx_months,0))-$C1259)/day_count_inr))</f>
        <v/>
      </c>
      <c r="N1259" s="16">
        <f>IF(INDEX(Market_Daily!$S$6:$S$256,MATCH($C1259,Market_Daily!$A$6:$A$256,0))=$D1259,INDEX(Market_Daily!$M$6:$M$256,MATCH($C1259,Market_Daily!$A$6:$A$256,0)),IF(INDEX(Market_Daily!$T$6:$T$256,MATCH($C1259,Market_Daily!$A$6:$A$256,0))=$D1259,INDEX(Market_Daily!$N$6:$N$256,MATCH($C1259,Market_Daily!$A$6:$A$256,0)),NA()))</f>
        <v/>
      </c>
      <c r="O1259" s="16">
        <f>$N1259-$M1259</f>
        <v/>
      </c>
      <c r="P1259" s="16">
        <f>IF(($B1258=$B1259),$M1258,"")</f>
        <v/>
      </c>
      <c r="Q1259" s="16">
        <f>$M1259+IF($L1259,1,-1)*mcx_slippage_ticks*mcx_al_tick_inr_kg</f>
        <v/>
      </c>
      <c r="R1259" s="18">
        <f>IF(($B1258=$B1259),$H1259*$I1259*kg_per_mt*($M1259-$M1258),0)</f>
        <v/>
      </c>
      <c r="S1259" s="18">
        <f>IF(($B1258=$B1259),$S1258,0)+$R1259</f>
        <v/>
      </c>
      <c r="T1259" s="18">
        <f>ABS($H1259)*$I1259*kg_per_mt*$M1259</f>
        <v/>
      </c>
      <c r="U1259" s="18">
        <f>IF($K1259,0,$T1259*mcx_al_margin_used_frac)</f>
        <v/>
      </c>
      <c r="V1259" s="18">
        <f>IF(($B1258=$B1259),$U1258,0)</f>
        <v/>
      </c>
      <c r="W1259" s="18">
        <f>$U1259-$V1259</f>
        <v/>
      </c>
      <c r="X1259" s="18">
        <f>IF($K1259,0,$T1259*0.12)</f>
        <v/>
      </c>
      <c r="Y1259" s="18">
        <f>IF($K1259,0,$T1259*0.15)</f>
        <v/>
      </c>
      <c r="Z1259" s="18">
        <f>IF($F1259="hold",0,-ABS($H1259)*$I1259*kg_per_mt*mcx_slippage_ticks*mcx_al_tick_inr_kg)</f>
        <v/>
      </c>
      <c r="AA1259" s="18">
        <f>IF($F1259="hold",0,-ABS($H1259)*$I1259*kg_per_mt*$Q1259*mcx_txn_cost_frac)</f>
        <v/>
      </c>
      <c r="AB1259" s="18">
        <f>$Z1259+$AA1259</f>
        <v/>
      </c>
      <c r="AC1259" s="18">
        <f>$R1259-$W1259+$AB1259</f>
        <v/>
      </c>
      <c r="AD1259" s="18">
        <f>IF(($B1258=$B1259),$AD1258,0)+$AC1259</f>
        <v/>
      </c>
      <c r="AE1259" s="23" t="n">
        <v>4406800.9</v>
      </c>
      <c r="AF1259" s="23" t="n">
        <v>11514357.2</v>
      </c>
      <c r="AG1259" s="23" t="n">
        <v>0</v>
      </c>
      <c r="AH1259" s="23" t="n">
        <v>4847480.99</v>
      </c>
      <c r="AI1259" s="23" t="n">
        <v>-1208.68</v>
      </c>
      <c r="AJ1259" s="18">
        <f>$R1259-$AE1259</f>
        <v/>
      </c>
      <c r="AK1259" s="18">
        <f>$U1259-$AF1259</f>
        <v/>
      </c>
      <c r="AL1259" s="18">
        <f>$AC1259-$AH1259</f>
        <v/>
      </c>
      <c r="AM1259" s="8">
        <f>IF(AND(ABS($AJ1259)&lt;=tol_mcx_inr,ABS($AK1259)&lt;=tol_mcx_inr,ABS($AL1259)&lt;=tol_mcx_inr),"PASS","FAIL")</f>
        <v/>
      </c>
    </row>
    <row r="1260">
      <c r="A1260" s="7" t="inlineStr">
        <is>
          <t>T05</t>
        </is>
      </c>
      <c r="B1260" s="7" t="inlineStr">
        <is>
          <t>T05-MCX-2</t>
        </is>
      </c>
      <c r="C1260" s="11" t="n">
        <v>44726</v>
      </c>
      <c r="D1260" s="7" t="n">
        <v>202206</v>
      </c>
      <c r="E1260" s="7" t="inlineStr">
        <is>
          <t>SELL</t>
        </is>
      </c>
      <c r="F1260" s="7" t="inlineStr">
        <is>
          <t>hold</t>
        </is>
      </c>
      <c r="G1260" s="17" t="b">
        <v>1</v>
      </c>
      <c r="H1260" s="6" t="n">
        <v>-105</v>
      </c>
      <c r="I1260" s="13" t="n">
        <v>5</v>
      </c>
      <c r="J1260" s="8">
        <f>OR($F1260="entry",$F1260="roll_in")</f>
        <v/>
      </c>
      <c r="K1260" s="8">
        <f>OR($F1260="exit",$F1260="roll_out")</f>
        <v/>
      </c>
      <c r="L1260" s="8">
        <f>OR(AND($E1260="SELL",$K1260),AND($E1260="BUY",$J1260))</f>
        <v/>
      </c>
      <c r="M1260" s="16">
        <f>((INDEX(Market_Daily!$B$6:$B$256,MATCH($C1260,Market_Daily!$A$6:$A$256,0))*INDEX(Market_Daily!$F$6:$F$256,MATCH($C1260,Market_Daily!$A$6:$A$256,0))/kg_per_mt*(1+bcd_primary_al_hs7601*(1+sws_rate_on_bcd))+mcx_domestic_premium_inr_kg)*(1+INDEX(Market_Daily!$I$6:$I$256,MATCH($C1260,Market_Daily!$A$6:$A$256,0))*MAX(0,INDEX(mcx_expiries,MATCH($D1260,mcx_months,0))-$C1260)/day_count_inr))</f>
        <v/>
      </c>
      <c r="N1260" s="16">
        <f>IF(INDEX(Market_Daily!$S$6:$S$256,MATCH($C1260,Market_Daily!$A$6:$A$256,0))=$D1260,INDEX(Market_Daily!$M$6:$M$256,MATCH($C1260,Market_Daily!$A$6:$A$256,0)),IF(INDEX(Market_Daily!$T$6:$T$256,MATCH($C1260,Market_Daily!$A$6:$A$256,0))=$D1260,INDEX(Market_Daily!$N$6:$N$256,MATCH($C1260,Market_Daily!$A$6:$A$256,0)),NA()))</f>
        <v/>
      </c>
      <c r="O1260" s="16">
        <f>$N1260-$M1260</f>
        <v/>
      </c>
      <c r="P1260" s="16">
        <f>IF(($B1259=$B1260),$M1259,"")</f>
        <v/>
      </c>
      <c r="Q1260" s="16">
        <f>$M1260+IF($L1260,1,-1)*mcx_slippage_ticks*mcx_al_tick_inr_kg</f>
        <v/>
      </c>
      <c r="R1260" s="18">
        <f>IF(($B1259=$B1260),$H1260*$I1260*kg_per_mt*($M1260-$M1259),0)</f>
        <v/>
      </c>
      <c r="S1260" s="18">
        <f>IF(($B1259=$B1260),$S1259,0)+$R1260</f>
        <v/>
      </c>
      <c r="T1260" s="18">
        <f>ABS($H1260)*$I1260*kg_per_mt*$M1260</f>
        <v/>
      </c>
      <c r="U1260" s="18">
        <f>IF($K1260,0,$T1260*mcx_al_margin_used_frac)</f>
        <v/>
      </c>
      <c r="V1260" s="18">
        <f>IF(($B1259=$B1260),$U1259,0)</f>
        <v/>
      </c>
      <c r="W1260" s="18">
        <f>$U1260-$V1260</f>
        <v/>
      </c>
      <c r="X1260" s="18">
        <f>IF($K1260,0,$T1260*0.12)</f>
        <v/>
      </c>
      <c r="Y1260" s="18">
        <f>IF($K1260,0,$T1260*0.15)</f>
        <v/>
      </c>
      <c r="Z1260" s="18">
        <f>IF($F1260="hold",0,-ABS($H1260)*$I1260*kg_per_mt*mcx_slippage_ticks*mcx_al_tick_inr_kg)</f>
        <v/>
      </c>
      <c r="AA1260" s="18">
        <f>IF($F1260="hold",0,-ABS($H1260)*$I1260*kg_per_mt*$Q1260*mcx_txn_cost_frac)</f>
        <v/>
      </c>
      <c r="AB1260" s="18">
        <f>$Z1260+$AA1260</f>
        <v/>
      </c>
      <c r="AC1260" s="18">
        <f>$R1260-$W1260+$AB1260</f>
        <v/>
      </c>
      <c r="AD1260" s="18">
        <f>IF(($B1259=$B1260),$AD1259,0)+$AC1260</f>
        <v/>
      </c>
      <c r="AE1260" s="23" t="n">
        <v>116035.22</v>
      </c>
      <c r="AF1260" s="23" t="n">
        <v>11502753.68</v>
      </c>
      <c r="AG1260" s="23" t="n">
        <v>0</v>
      </c>
      <c r="AH1260" s="23" t="n">
        <v>127638.75</v>
      </c>
      <c r="AI1260" s="23" t="n">
        <v>885.34</v>
      </c>
      <c r="AJ1260" s="18">
        <f>$R1260-$AE1260</f>
        <v/>
      </c>
      <c r="AK1260" s="18">
        <f>$U1260-$AF1260</f>
        <v/>
      </c>
      <c r="AL1260" s="18">
        <f>$AC1260-$AH1260</f>
        <v/>
      </c>
      <c r="AM1260" s="8">
        <f>IF(AND(ABS($AJ1260)&lt;=tol_mcx_inr,ABS($AK1260)&lt;=tol_mcx_inr,ABS($AL1260)&lt;=tol_mcx_inr),"PASS","FAIL")</f>
        <v/>
      </c>
    </row>
    <row r="1261">
      <c r="A1261" s="7" t="inlineStr">
        <is>
          <t>T05</t>
        </is>
      </c>
      <c r="B1261" s="7" t="inlineStr">
        <is>
          <t>T05-MCX-2</t>
        </is>
      </c>
      <c r="C1261" s="11" t="n">
        <v>44727</v>
      </c>
      <c r="D1261" s="7" t="n">
        <v>202206</v>
      </c>
      <c r="E1261" s="7" t="inlineStr">
        <is>
          <t>SELL</t>
        </is>
      </c>
      <c r="F1261" s="7" t="inlineStr">
        <is>
          <t>hold</t>
        </is>
      </c>
      <c r="G1261" s="17" t="b">
        <v>1</v>
      </c>
      <c r="H1261" s="6" t="n">
        <v>-105</v>
      </c>
      <c r="I1261" s="13" t="n">
        <v>5</v>
      </c>
      <c r="J1261" s="8">
        <f>OR($F1261="entry",$F1261="roll_in")</f>
        <v/>
      </c>
      <c r="K1261" s="8">
        <f>OR($F1261="exit",$F1261="roll_out")</f>
        <v/>
      </c>
      <c r="L1261" s="8">
        <f>OR(AND($E1261="SELL",$K1261),AND($E1261="BUY",$J1261))</f>
        <v/>
      </c>
      <c r="M1261" s="16">
        <f>((INDEX(Market_Daily!$B$6:$B$256,MATCH($C1261,Market_Daily!$A$6:$A$256,0))*INDEX(Market_Daily!$F$6:$F$256,MATCH($C1261,Market_Daily!$A$6:$A$256,0))/kg_per_mt*(1+bcd_primary_al_hs7601*(1+sws_rate_on_bcd))+mcx_domestic_premium_inr_kg)*(1+INDEX(Market_Daily!$I$6:$I$256,MATCH($C1261,Market_Daily!$A$6:$A$256,0))*MAX(0,INDEX(mcx_expiries,MATCH($D1261,mcx_months,0))-$C1261)/day_count_inr))</f>
        <v/>
      </c>
      <c r="N1261" s="16">
        <f>IF(INDEX(Market_Daily!$S$6:$S$256,MATCH($C1261,Market_Daily!$A$6:$A$256,0))=$D1261,INDEX(Market_Daily!$M$6:$M$256,MATCH($C1261,Market_Daily!$A$6:$A$256,0)),IF(INDEX(Market_Daily!$T$6:$T$256,MATCH($C1261,Market_Daily!$A$6:$A$256,0))=$D1261,INDEX(Market_Daily!$N$6:$N$256,MATCH($C1261,Market_Daily!$A$6:$A$256,0)),NA()))</f>
        <v/>
      </c>
      <c r="O1261" s="16">
        <f>$N1261-$M1261</f>
        <v/>
      </c>
      <c r="P1261" s="16">
        <f>IF(($B1260=$B1261),$M1260,"")</f>
        <v/>
      </c>
      <c r="Q1261" s="16">
        <f>$M1261+IF($L1261,1,-1)*mcx_slippage_ticks*mcx_al_tick_inr_kg</f>
        <v/>
      </c>
      <c r="R1261" s="18">
        <f>IF(($B1260=$B1261),$H1261*$I1261*kg_per_mt*($M1261-$M1260),0)</f>
        <v/>
      </c>
      <c r="S1261" s="18">
        <f>IF(($B1260=$B1261),$S1260,0)+$R1261</f>
        <v/>
      </c>
      <c r="T1261" s="18">
        <f>ABS($H1261)*$I1261*kg_per_mt*$M1261</f>
        <v/>
      </c>
      <c r="U1261" s="18">
        <f>IF($K1261,0,$T1261*mcx_al_margin_used_frac)</f>
        <v/>
      </c>
      <c r="V1261" s="18">
        <f>IF(($B1260=$B1261),$U1260,0)</f>
        <v/>
      </c>
      <c r="W1261" s="18">
        <f>$U1261-$V1261</f>
        <v/>
      </c>
      <c r="X1261" s="18">
        <f>IF($K1261,0,$T1261*0.12)</f>
        <v/>
      </c>
      <c r="Y1261" s="18">
        <f>IF($K1261,0,$T1261*0.15)</f>
        <v/>
      </c>
      <c r="Z1261" s="18">
        <f>IF($F1261="hold",0,-ABS($H1261)*$I1261*kg_per_mt*mcx_slippage_ticks*mcx_al_tick_inr_kg)</f>
        <v/>
      </c>
      <c r="AA1261" s="18">
        <f>IF($F1261="hold",0,-ABS($H1261)*$I1261*kg_per_mt*$Q1261*mcx_txn_cost_frac)</f>
        <v/>
      </c>
      <c r="AB1261" s="18">
        <f>$Z1261+$AA1261</f>
        <v/>
      </c>
      <c r="AC1261" s="18">
        <f>$R1261-$W1261+$AB1261</f>
        <v/>
      </c>
      <c r="AD1261" s="18">
        <f>IF(($B1260=$B1261),$AD1260,0)+$AC1261</f>
        <v/>
      </c>
      <c r="AE1261" s="23" t="n">
        <v>204034.67</v>
      </c>
      <c r="AF1261" s="23" t="n">
        <v>11482350.21</v>
      </c>
      <c r="AG1261" s="23" t="n">
        <v>0</v>
      </c>
      <c r="AH1261" s="23" t="n">
        <v>224438.14</v>
      </c>
      <c r="AI1261" s="23" t="n">
        <v>919.26</v>
      </c>
      <c r="AJ1261" s="18">
        <f>$R1261-$AE1261</f>
        <v/>
      </c>
      <c r="AK1261" s="18">
        <f>$U1261-$AF1261</f>
        <v/>
      </c>
      <c r="AL1261" s="18">
        <f>$AC1261-$AH1261</f>
        <v/>
      </c>
      <c r="AM1261" s="8">
        <f>IF(AND(ABS($AJ1261)&lt;=tol_mcx_inr,ABS($AK1261)&lt;=tol_mcx_inr,ABS($AL1261)&lt;=tol_mcx_inr),"PASS","FAIL")</f>
        <v/>
      </c>
    </row>
    <row r="1262">
      <c r="A1262" s="7" t="inlineStr">
        <is>
          <t>T05</t>
        </is>
      </c>
      <c r="B1262" s="7" t="inlineStr">
        <is>
          <t>T05-MCX-2</t>
        </is>
      </c>
      <c r="C1262" s="11" t="n">
        <v>44728</v>
      </c>
      <c r="D1262" s="7" t="n">
        <v>202206</v>
      </c>
      <c r="E1262" s="7" t="inlineStr">
        <is>
          <t>SELL</t>
        </is>
      </c>
      <c r="F1262" s="7" t="inlineStr">
        <is>
          <t>hold</t>
        </is>
      </c>
      <c r="G1262" s="17" t="b">
        <v>1</v>
      </c>
      <c r="H1262" s="6" t="n">
        <v>-105</v>
      </c>
      <c r="I1262" s="13" t="n">
        <v>5</v>
      </c>
      <c r="J1262" s="8">
        <f>OR($F1262="entry",$F1262="roll_in")</f>
        <v/>
      </c>
      <c r="K1262" s="8">
        <f>OR($F1262="exit",$F1262="roll_out")</f>
        <v/>
      </c>
      <c r="L1262" s="8">
        <f>OR(AND($E1262="SELL",$K1262),AND($E1262="BUY",$J1262))</f>
        <v/>
      </c>
      <c r="M1262" s="16">
        <f>((INDEX(Market_Daily!$B$6:$B$256,MATCH($C1262,Market_Daily!$A$6:$A$256,0))*INDEX(Market_Daily!$F$6:$F$256,MATCH($C1262,Market_Daily!$A$6:$A$256,0))/kg_per_mt*(1+bcd_primary_al_hs7601*(1+sws_rate_on_bcd))+mcx_domestic_premium_inr_kg)*(1+INDEX(Market_Daily!$I$6:$I$256,MATCH($C1262,Market_Daily!$A$6:$A$256,0))*MAX(0,INDEX(mcx_expiries,MATCH($D1262,mcx_months,0))-$C1262)/day_count_inr))</f>
        <v/>
      </c>
      <c r="N1262" s="16">
        <f>IF(INDEX(Market_Daily!$S$6:$S$256,MATCH($C1262,Market_Daily!$A$6:$A$256,0))=$D1262,INDEX(Market_Daily!$M$6:$M$256,MATCH($C1262,Market_Daily!$A$6:$A$256,0)),IF(INDEX(Market_Daily!$T$6:$T$256,MATCH($C1262,Market_Daily!$A$6:$A$256,0))=$D1262,INDEX(Market_Daily!$N$6:$N$256,MATCH($C1262,Market_Daily!$A$6:$A$256,0)),NA()))</f>
        <v/>
      </c>
      <c r="O1262" s="16">
        <f>$N1262-$M1262</f>
        <v/>
      </c>
      <c r="P1262" s="16">
        <f>IF(($B1261=$B1262),$M1261,"")</f>
        <v/>
      </c>
      <c r="Q1262" s="16">
        <f>$M1262+IF($L1262,1,-1)*mcx_slippage_ticks*mcx_al_tick_inr_kg</f>
        <v/>
      </c>
      <c r="R1262" s="18">
        <f>IF(($B1261=$B1262),$H1262*$I1262*kg_per_mt*($M1262-$M1261),0)</f>
        <v/>
      </c>
      <c r="S1262" s="18">
        <f>IF(($B1261=$B1262),$S1261,0)+$R1262</f>
        <v/>
      </c>
      <c r="T1262" s="18">
        <f>ABS($H1262)*$I1262*kg_per_mt*$M1262</f>
        <v/>
      </c>
      <c r="U1262" s="18">
        <f>IF($K1262,0,$T1262*mcx_al_margin_used_frac)</f>
        <v/>
      </c>
      <c r="V1262" s="18">
        <f>IF(($B1261=$B1262),$U1261,0)</f>
        <v/>
      </c>
      <c r="W1262" s="18">
        <f>$U1262-$V1262</f>
        <v/>
      </c>
      <c r="X1262" s="18">
        <f>IF($K1262,0,$T1262*0.12)</f>
        <v/>
      </c>
      <c r="Y1262" s="18">
        <f>IF($K1262,0,$T1262*0.15)</f>
        <v/>
      </c>
      <c r="Z1262" s="18">
        <f>IF($F1262="hold",0,-ABS($H1262)*$I1262*kg_per_mt*mcx_slippage_ticks*mcx_al_tick_inr_kg)</f>
        <v/>
      </c>
      <c r="AA1262" s="18">
        <f>IF($F1262="hold",0,-ABS($H1262)*$I1262*kg_per_mt*$Q1262*mcx_txn_cost_frac)</f>
        <v/>
      </c>
      <c r="AB1262" s="18">
        <f>$Z1262+$AA1262</f>
        <v/>
      </c>
      <c r="AC1262" s="18">
        <f>$R1262-$W1262+$AB1262</f>
        <v/>
      </c>
      <c r="AD1262" s="18">
        <f>IF(($B1261=$B1262),$AD1261,0)+$AC1262</f>
        <v/>
      </c>
      <c r="AE1262" s="23" t="n">
        <v>3659885.3</v>
      </c>
      <c r="AF1262" s="23" t="n">
        <v>11116361.68</v>
      </c>
      <c r="AG1262" s="23" t="n">
        <v>0</v>
      </c>
      <c r="AH1262" s="23" t="n">
        <v>4025873.83</v>
      </c>
      <c r="AI1262" s="23" t="n">
        <v>999.09</v>
      </c>
      <c r="AJ1262" s="18">
        <f>$R1262-$AE1262</f>
        <v/>
      </c>
      <c r="AK1262" s="18">
        <f>$U1262-$AF1262</f>
        <v/>
      </c>
      <c r="AL1262" s="18">
        <f>$AC1262-$AH1262</f>
        <v/>
      </c>
      <c r="AM1262" s="8">
        <f>IF(AND(ABS($AJ1262)&lt;=tol_mcx_inr,ABS($AK1262)&lt;=tol_mcx_inr,ABS($AL1262)&lt;=tol_mcx_inr),"PASS","FAIL")</f>
        <v/>
      </c>
    </row>
    <row r="1263">
      <c r="A1263" s="7" t="inlineStr">
        <is>
          <t>T05</t>
        </is>
      </c>
      <c r="B1263" s="7" t="inlineStr">
        <is>
          <t>T05-MCX-2</t>
        </is>
      </c>
      <c r="C1263" s="11" t="n">
        <v>44729</v>
      </c>
      <c r="D1263" s="7" t="n">
        <v>202206</v>
      </c>
      <c r="E1263" s="7" t="inlineStr">
        <is>
          <t>SELL</t>
        </is>
      </c>
      <c r="F1263" s="7" t="inlineStr">
        <is>
          <t>hold</t>
        </is>
      </c>
      <c r="G1263" s="17" t="b">
        <v>1</v>
      </c>
      <c r="H1263" s="6" t="n">
        <v>-105</v>
      </c>
      <c r="I1263" s="13" t="n">
        <v>5</v>
      </c>
      <c r="J1263" s="8">
        <f>OR($F1263="entry",$F1263="roll_in")</f>
        <v/>
      </c>
      <c r="K1263" s="8">
        <f>OR($F1263="exit",$F1263="roll_out")</f>
        <v/>
      </c>
      <c r="L1263" s="8">
        <f>OR(AND($E1263="SELL",$K1263),AND($E1263="BUY",$J1263))</f>
        <v/>
      </c>
      <c r="M1263" s="16">
        <f>((INDEX(Market_Daily!$B$6:$B$256,MATCH($C1263,Market_Daily!$A$6:$A$256,0))*INDEX(Market_Daily!$F$6:$F$256,MATCH($C1263,Market_Daily!$A$6:$A$256,0))/kg_per_mt*(1+bcd_primary_al_hs7601*(1+sws_rate_on_bcd))+mcx_domestic_premium_inr_kg)*(1+INDEX(Market_Daily!$I$6:$I$256,MATCH($C1263,Market_Daily!$A$6:$A$256,0))*MAX(0,INDEX(mcx_expiries,MATCH($D1263,mcx_months,0))-$C1263)/day_count_inr))</f>
        <v/>
      </c>
      <c r="N1263" s="16">
        <f>IF(INDEX(Market_Daily!$S$6:$S$256,MATCH($C1263,Market_Daily!$A$6:$A$256,0))=$D1263,INDEX(Market_Daily!$M$6:$M$256,MATCH($C1263,Market_Daily!$A$6:$A$256,0)),IF(INDEX(Market_Daily!$T$6:$T$256,MATCH($C1263,Market_Daily!$A$6:$A$256,0))=$D1263,INDEX(Market_Daily!$N$6:$N$256,MATCH($C1263,Market_Daily!$A$6:$A$256,0)),NA()))</f>
        <v/>
      </c>
      <c r="O1263" s="16">
        <f>$N1263-$M1263</f>
        <v/>
      </c>
      <c r="P1263" s="16">
        <f>IF(($B1262=$B1263),$M1262,"")</f>
        <v/>
      </c>
      <c r="Q1263" s="16">
        <f>$M1263+IF($L1263,1,-1)*mcx_slippage_ticks*mcx_al_tick_inr_kg</f>
        <v/>
      </c>
      <c r="R1263" s="18">
        <f>IF(($B1262=$B1263),$H1263*$I1263*kg_per_mt*($M1263-$M1262),0)</f>
        <v/>
      </c>
      <c r="S1263" s="18">
        <f>IF(($B1262=$B1263),$S1262,0)+$R1263</f>
        <v/>
      </c>
      <c r="T1263" s="18">
        <f>ABS($H1263)*$I1263*kg_per_mt*$M1263</f>
        <v/>
      </c>
      <c r="U1263" s="18">
        <f>IF($K1263,0,$T1263*mcx_al_margin_used_frac)</f>
        <v/>
      </c>
      <c r="V1263" s="18">
        <f>IF(($B1262=$B1263),$U1262,0)</f>
        <v/>
      </c>
      <c r="W1263" s="18">
        <f>$U1263-$V1263</f>
        <v/>
      </c>
      <c r="X1263" s="18">
        <f>IF($K1263,0,$T1263*0.12)</f>
        <v/>
      </c>
      <c r="Y1263" s="18">
        <f>IF($K1263,0,$T1263*0.15)</f>
        <v/>
      </c>
      <c r="Z1263" s="18">
        <f>IF($F1263="hold",0,-ABS($H1263)*$I1263*kg_per_mt*mcx_slippage_ticks*mcx_al_tick_inr_kg)</f>
        <v/>
      </c>
      <c r="AA1263" s="18">
        <f>IF($F1263="hold",0,-ABS($H1263)*$I1263*kg_per_mt*$Q1263*mcx_txn_cost_frac)</f>
        <v/>
      </c>
      <c r="AB1263" s="18">
        <f>$Z1263+$AA1263</f>
        <v/>
      </c>
      <c r="AC1263" s="18">
        <f>$R1263-$W1263+$AB1263</f>
        <v/>
      </c>
      <c r="AD1263" s="18">
        <f>IF(($B1262=$B1263),$AD1262,0)+$AC1263</f>
        <v/>
      </c>
      <c r="AE1263" s="23" t="n">
        <v>1186657.28</v>
      </c>
      <c r="AF1263" s="23" t="n">
        <v>10997695.95</v>
      </c>
      <c r="AG1263" s="23" t="n">
        <v>0</v>
      </c>
      <c r="AH1263" s="23" t="n">
        <v>1305323</v>
      </c>
      <c r="AI1263" s="23" t="n">
        <v>2091.04</v>
      </c>
      <c r="AJ1263" s="18">
        <f>$R1263-$AE1263</f>
        <v/>
      </c>
      <c r="AK1263" s="18">
        <f>$U1263-$AF1263</f>
        <v/>
      </c>
      <c r="AL1263" s="18">
        <f>$AC1263-$AH1263</f>
        <v/>
      </c>
      <c r="AM1263" s="8">
        <f>IF(AND(ABS($AJ1263)&lt;=tol_mcx_inr,ABS($AK1263)&lt;=tol_mcx_inr,ABS($AL1263)&lt;=tol_mcx_inr),"PASS","FAIL")</f>
        <v/>
      </c>
    </row>
    <row r="1264">
      <c r="A1264" s="7" t="inlineStr">
        <is>
          <t>T05</t>
        </is>
      </c>
      <c r="B1264" s="7" t="inlineStr">
        <is>
          <t>T05-MCX-2</t>
        </is>
      </c>
      <c r="C1264" s="11" t="n">
        <v>44732</v>
      </c>
      <c r="D1264" s="7" t="n">
        <v>202206</v>
      </c>
      <c r="E1264" s="7" t="inlineStr">
        <is>
          <t>SELL</t>
        </is>
      </c>
      <c r="F1264" s="7" t="inlineStr">
        <is>
          <t>hold</t>
        </is>
      </c>
      <c r="G1264" s="17" t="b">
        <v>1</v>
      </c>
      <c r="H1264" s="6" t="n">
        <v>-105</v>
      </c>
      <c r="I1264" s="13" t="n">
        <v>5</v>
      </c>
      <c r="J1264" s="8">
        <f>OR($F1264="entry",$F1264="roll_in")</f>
        <v/>
      </c>
      <c r="K1264" s="8">
        <f>OR($F1264="exit",$F1264="roll_out")</f>
        <v/>
      </c>
      <c r="L1264" s="8">
        <f>OR(AND($E1264="SELL",$K1264),AND($E1264="BUY",$J1264))</f>
        <v/>
      </c>
      <c r="M1264" s="16">
        <f>((INDEX(Market_Daily!$B$6:$B$256,MATCH($C1264,Market_Daily!$A$6:$A$256,0))*INDEX(Market_Daily!$F$6:$F$256,MATCH($C1264,Market_Daily!$A$6:$A$256,0))/kg_per_mt*(1+bcd_primary_al_hs7601*(1+sws_rate_on_bcd))+mcx_domestic_premium_inr_kg)*(1+INDEX(Market_Daily!$I$6:$I$256,MATCH($C1264,Market_Daily!$A$6:$A$256,0))*MAX(0,INDEX(mcx_expiries,MATCH($D1264,mcx_months,0))-$C1264)/day_count_inr))</f>
        <v/>
      </c>
      <c r="N1264" s="16">
        <f>IF(INDEX(Market_Daily!$S$6:$S$256,MATCH($C1264,Market_Daily!$A$6:$A$256,0))=$D1264,INDEX(Market_Daily!$M$6:$M$256,MATCH($C1264,Market_Daily!$A$6:$A$256,0)),IF(INDEX(Market_Daily!$T$6:$T$256,MATCH($C1264,Market_Daily!$A$6:$A$256,0))=$D1264,INDEX(Market_Daily!$N$6:$N$256,MATCH($C1264,Market_Daily!$A$6:$A$256,0)),NA()))</f>
        <v/>
      </c>
      <c r="O1264" s="16">
        <f>$N1264-$M1264</f>
        <v/>
      </c>
      <c r="P1264" s="16">
        <f>IF(($B1263=$B1264),$M1263,"")</f>
        <v/>
      </c>
      <c r="Q1264" s="16">
        <f>$M1264+IF($L1264,1,-1)*mcx_slippage_ticks*mcx_al_tick_inr_kg</f>
        <v/>
      </c>
      <c r="R1264" s="18">
        <f>IF(($B1263=$B1264),$H1264*$I1264*kg_per_mt*($M1264-$M1263),0)</f>
        <v/>
      </c>
      <c r="S1264" s="18">
        <f>IF(($B1263=$B1264),$S1263,0)+$R1264</f>
        <v/>
      </c>
      <c r="T1264" s="18">
        <f>ABS($H1264)*$I1264*kg_per_mt*$M1264</f>
        <v/>
      </c>
      <c r="U1264" s="18">
        <f>IF($K1264,0,$T1264*mcx_al_margin_used_frac)</f>
        <v/>
      </c>
      <c r="V1264" s="18">
        <f>IF(($B1263=$B1264),$U1263,0)</f>
        <v/>
      </c>
      <c r="W1264" s="18">
        <f>$U1264-$V1264</f>
        <v/>
      </c>
      <c r="X1264" s="18">
        <f>IF($K1264,0,$T1264*0.12)</f>
        <v/>
      </c>
      <c r="Y1264" s="18">
        <f>IF($K1264,0,$T1264*0.15)</f>
        <v/>
      </c>
      <c r="Z1264" s="18">
        <f>IF($F1264="hold",0,-ABS($H1264)*$I1264*kg_per_mt*mcx_slippage_ticks*mcx_al_tick_inr_kg)</f>
        <v/>
      </c>
      <c r="AA1264" s="18">
        <f>IF($F1264="hold",0,-ABS($H1264)*$I1264*kg_per_mt*$Q1264*mcx_txn_cost_frac)</f>
        <v/>
      </c>
      <c r="AB1264" s="18">
        <f>$Z1264+$AA1264</f>
        <v/>
      </c>
      <c r="AC1264" s="18">
        <f>$R1264-$W1264+$AB1264</f>
        <v/>
      </c>
      <c r="AD1264" s="18">
        <f>IF(($B1263=$B1264),$AD1263,0)+$AC1264</f>
        <v/>
      </c>
      <c r="AE1264" s="23" t="n">
        <v>738207.74</v>
      </c>
      <c r="AF1264" s="23" t="n">
        <v>10923875.18</v>
      </c>
      <c r="AG1264" s="23" t="n">
        <v>0</v>
      </c>
      <c r="AH1264" s="23" t="n">
        <v>812028.51</v>
      </c>
      <c r="AI1264" s="23" t="n">
        <v>7335.26</v>
      </c>
      <c r="AJ1264" s="18">
        <f>$R1264-$AE1264</f>
        <v/>
      </c>
      <c r="AK1264" s="18">
        <f>$U1264-$AF1264</f>
        <v/>
      </c>
      <c r="AL1264" s="18">
        <f>$AC1264-$AH1264</f>
        <v/>
      </c>
      <c r="AM1264" s="8">
        <f>IF(AND(ABS($AJ1264)&lt;=tol_mcx_inr,ABS($AK1264)&lt;=tol_mcx_inr,ABS($AL1264)&lt;=tol_mcx_inr),"PASS","FAIL")</f>
        <v/>
      </c>
    </row>
    <row r="1265">
      <c r="A1265" s="7" t="inlineStr">
        <is>
          <t>T05</t>
        </is>
      </c>
      <c r="B1265" s="7" t="inlineStr">
        <is>
          <t>T05-MCX-2</t>
        </is>
      </c>
      <c r="C1265" s="11" t="n">
        <v>44733</v>
      </c>
      <c r="D1265" s="7" t="n">
        <v>202206</v>
      </c>
      <c r="E1265" s="7" t="inlineStr">
        <is>
          <t>SELL</t>
        </is>
      </c>
      <c r="F1265" s="7" t="inlineStr">
        <is>
          <t>roll_out</t>
        </is>
      </c>
      <c r="G1265" s="17" t="b">
        <v>1</v>
      </c>
      <c r="H1265" s="6" t="n">
        <v>-105</v>
      </c>
      <c r="I1265" s="13" t="n">
        <v>5</v>
      </c>
      <c r="J1265" s="8">
        <f>OR($F1265="entry",$F1265="roll_in")</f>
        <v/>
      </c>
      <c r="K1265" s="8">
        <f>OR($F1265="exit",$F1265="roll_out")</f>
        <v/>
      </c>
      <c r="L1265" s="8">
        <f>OR(AND($E1265="SELL",$K1265),AND($E1265="BUY",$J1265))</f>
        <v/>
      </c>
      <c r="M1265" s="16">
        <f>((INDEX(Market_Daily!$B$6:$B$256,MATCH($C1265,Market_Daily!$A$6:$A$256,0))*INDEX(Market_Daily!$F$6:$F$256,MATCH($C1265,Market_Daily!$A$6:$A$256,0))/kg_per_mt*(1+bcd_primary_al_hs7601*(1+sws_rate_on_bcd))+mcx_domestic_premium_inr_kg)*(1+INDEX(Market_Daily!$I$6:$I$256,MATCH($C1265,Market_Daily!$A$6:$A$256,0))*MAX(0,INDEX(mcx_expiries,MATCH($D1265,mcx_months,0))-$C1265)/day_count_inr))</f>
        <v/>
      </c>
      <c r="N1265" s="16">
        <f>IF(INDEX(Market_Daily!$S$6:$S$256,MATCH($C1265,Market_Daily!$A$6:$A$256,0))=$D1265,INDEX(Market_Daily!$M$6:$M$256,MATCH($C1265,Market_Daily!$A$6:$A$256,0)),IF(INDEX(Market_Daily!$T$6:$T$256,MATCH($C1265,Market_Daily!$A$6:$A$256,0))=$D1265,INDEX(Market_Daily!$N$6:$N$256,MATCH($C1265,Market_Daily!$A$6:$A$256,0)),NA()))</f>
        <v/>
      </c>
      <c r="O1265" s="16">
        <f>$N1265-$M1265</f>
        <v/>
      </c>
      <c r="P1265" s="16">
        <f>IF(($B1264=$B1265),$M1264,"")</f>
        <v/>
      </c>
      <c r="Q1265" s="16">
        <f>$M1265+IF($L1265,1,-1)*mcx_slippage_ticks*mcx_al_tick_inr_kg</f>
        <v/>
      </c>
      <c r="R1265" s="18">
        <f>IF(($B1264=$B1265),$H1265*$I1265*kg_per_mt*($M1265-$M1264),0)</f>
        <v/>
      </c>
      <c r="S1265" s="18">
        <f>IF(($B1264=$B1265),$S1264,0)+$R1265</f>
        <v/>
      </c>
      <c r="T1265" s="18">
        <f>ABS($H1265)*$I1265*kg_per_mt*$M1265</f>
        <v/>
      </c>
      <c r="U1265" s="18">
        <f>IF($K1265,0,$T1265*mcx_al_margin_used_frac)</f>
        <v/>
      </c>
      <c r="V1265" s="18">
        <f>IF(($B1264=$B1265),$U1264,0)</f>
        <v/>
      </c>
      <c r="W1265" s="18">
        <f>$U1265-$V1265</f>
        <v/>
      </c>
      <c r="X1265" s="18">
        <f>IF($K1265,0,$T1265*0.12)</f>
        <v/>
      </c>
      <c r="Y1265" s="18">
        <f>IF($K1265,0,$T1265*0.15)</f>
        <v/>
      </c>
      <c r="Z1265" s="18">
        <f>IF($F1265="hold",0,-ABS($H1265)*$I1265*kg_per_mt*mcx_slippage_ticks*mcx_al_tick_inr_kg)</f>
        <v/>
      </c>
      <c r="AA1265" s="18">
        <f>IF($F1265="hold",0,-ABS($H1265)*$I1265*kg_per_mt*$Q1265*mcx_txn_cost_frac)</f>
        <v/>
      </c>
      <c r="AB1265" s="18">
        <f>$Z1265+$AA1265</f>
        <v/>
      </c>
      <c r="AC1265" s="18">
        <f>$R1265-$W1265+$AB1265</f>
        <v/>
      </c>
      <c r="AD1265" s="18">
        <f>IF(($B1264=$B1265),$AD1264,0)+$AC1265</f>
        <v/>
      </c>
      <c r="AE1265" s="23" t="n">
        <v>-2768950.35</v>
      </c>
      <c r="AF1265" s="23" t="n">
        <v>0</v>
      </c>
      <c r="AG1265" s="23" t="n">
        <v>-86118.06</v>
      </c>
      <c r="AH1265" s="23" t="n">
        <v>8068806.77</v>
      </c>
      <c r="AI1265" s="23" t="n">
        <v>2665.34</v>
      </c>
      <c r="AJ1265" s="18">
        <f>$R1265-$AE1265</f>
        <v/>
      </c>
      <c r="AK1265" s="18">
        <f>$U1265-$AF1265</f>
        <v/>
      </c>
      <c r="AL1265" s="18">
        <f>$AC1265-$AH1265</f>
        <v/>
      </c>
      <c r="AM1265" s="8">
        <f>IF(AND(ABS($AJ1265)&lt;=tol_mcx_inr,ABS($AK1265)&lt;=tol_mcx_inr,ABS($AL1265)&lt;=tol_mcx_inr),"PASS","FAIL")</f>
        <v/>
      </c>
    </row>
    <row r="1266">
      <c r="A1266" s="7" t="inlineStr">
        <is>
          <t>T05</t>
        </is>
      </c>
      <c r="B1266" s="7" t="inlineStr">
        <is>
          <t>T05-MCX-3</t>
        </is>
      </c>
      <c r="C1266" s="11" t="n">
        <v>44728</v>
      </c>
      <c r="D1266" s="7" t="n">
        <v>202207</v>
      </c>
      <c r="E1266" s="7" t="inlineStr">
        <is>
          <t>SELL</t>
        </is>
      </c>
      <c r="F1266" s="7" t="inlineStr">
        <is>
          <t>entry</t>
        </is>
      </c>
      <c r="G1266" s="17" t="b">
        <v>1</v>
      </c>
      <c r="H1266" s="6" t="n">
        <v>-279</v>
      </c>
      <c r="I1266" s="13" t="n">
        <v>5</v>
      </c>
      <c r="J1266" s="8">
        <f>OR($F1266="entry",$F1266="roll_in")</f>
        <v/>
      </c>
      <c r="K1266" s="8">
        <f>OR($F1266="exit",$F1266="roll_out")</f>
        <v/>
      </c>
      <c r="L1266" s="8">
        <f>OR(AND($E1266="SELL",$K1266),AND($E1266="BUY",$J1266))</f>
        <v/>
      </c>
      <c r="M1266" s="16">
        <f>((INDEX(Market_Daily!$B$6:$B$256,MATCH($C1266,Market_Daily!$A$6:$A$256,0))*INDEX(Market_Daily!$F$6:$F$256,MATCH($C1266,Market_Daily!$A$6:$A$256,0))/kg_per_mt*(1+bcd_primary_al_hs7601*(1+sws_rate_on_bcd))+mcx_domestic_premium_inr_kg)*(1+INDEX(Market_Daily!$I$6:$I$256,MATCH($C1266,Market_Daily!$A$6:$A$256,0))*MAX(0,INDEX(mcx_expiries,MATCH($D1266,mcx_months,0))-$C1266)/day_count_inr))</f>
        <v/>
      </c>
      <c r="N1266" s="16">
        <f>IF(INDEX(Market_Daily!$S$6:$S$256,MATCH($C1266,Market_Daily!$A$6:$A$256,0))=$D1266,INDEX(Market_Daily!$M$6:$M$256,MATCH($C1266,Market_Daily!$A$6:$A$256,0)),IF(INDEX(Market_Daily!$T$6:$T$256,MATCH($C1266,Market_Daily!$A$6:$A$256,0))=$D1266,INDEX(Market_Daily!$N$6:$N$256,MATCH($C1266,Market_Daily!$A$6:$A$256,0)),NA()))</f>
        <v/>
      </c>
      <c r="O1266" s="16">
        <f>$N1266-$M1266</f>
        <v/>
      </c>
      <c r="P1266" s="16">
        <f>IF(($B1265=$B1266),$M1265,"")</f>
        <v/>
      </c>
      <c r="Q1266" s="16">
        <f>$M1266+IF($L1266,1,-1)*mcx_slippage_ticks*mcx_al_tick_inr_kg</f>
        <v/>
      </c>
      <c r="R1266" s="18">
        <f>IF(($B1265=$B1266),$H1266*$I1266*kg_per_mt*($M1266-$M1265),0)</f>
        <v/>
      </c>
      <c r="S1266" s="18">
        <f>IF(($B1265=$B1266),$S1265,0)+$R1266</f>
        <v/>
      </c>
      <c r="T1266" s="18">
        <f>ABS($H1266)*$I1266*kg_per_mt*$M1266</f>
        <v/>
      </c>
      <c r="U1266" s="18">
        <f>IF($K1266,0,$T1266*mcx_al_margin_used_frac)</f>
        <v/>
      </c>
      <c r="V1266" s="18">
        <f>IF(($B1265=$B1266),$U1265,0)</f>
        <v/>
      </c>
      <c r="W1266" s="18">
        <f>$U1266-$V1266</f>
        <v/>
      </c>
      <c r="X1266" s="18">
        <f>IF($K1266,0,$T1266*0.12)</f>
        <v/>
      </c>
      <c r="Y1266" s="18">
        <f>IF($K1266,0,$T1266*0.15)</f>
        <v/>
      </c>
      <c r="Z1266" s="18">
        <f>IF($F1266="hold",0,-ABS($H1266)*$I1266*kg_per_mt*mcx_slippage_ticks*mcx_al_tick_inr_kg)</f>
        <v/>
      </c>
      <c r="AA1266" s="18">
        <f>IF($F1266="hold",0,-ABS($H1266)*$I1266*kg_per_mt*$Q1266*mcx_txn_cost_frac)</f>
        <v/>
      </c>
      <c r="AB1266" s="18">
        <f>$Z1266+$AA1266</f>
        <v/>
      </c>
      <c r="AC1266" s="18">
        <f>$R1266-$W1266+$AB1266</f>
        <v/>
      </c>
      <c r="AD1266" s="18">
        <f>IF(($B1265=$B1266),$AD1265,0)+$AC1266</f>
        <v/>
      </c>
      <c r="AE1266" s="23" t="n">
        <v>0</v>
      </c>
      <c r="AF1266" s="23" t="n">
        <v>29658172.08</v>
      </c>
      <c r="AG1266" s="23" t="n">
        <v>-228432.67</v>
      </c>
      <c r="AH1266" s="23" t="n">
        <v>-29886604.75</v>
      </c>
      <c r="AI1266" s="23" t="n">
        <v>0</v>
      </c>
      <c r="AJ1266" s="18">
        <f>$R1266-$AE1266</f>
        <v/>
      </c>
      <c r="AK1266" s="18">
        <f>$U1266-$AF1266</f>
        <v/>
      </c>
      <c r="AL1266" s="18">
        <f>$AC1266-$AH1266</f>
        <v/>
      </c>
      <c r="AM1266" s="8">
        <f>IF(AND(ABS($AJ1266)&lt;=tol_mcx_inr,ABS($AK1266)&lt;=tol_mcx_inr,ABS($AL1266)&lt;=tol_mcx_inr),"PASS","FAIL")</f>
        <v/>
      </c>
    </row>
    <row r="1267">
      <c r="A1267" s="7" t="inlineStr">
        <is>
          <t>T05</t>
        </is>
      </c>
      <c r="B1267" s="7" t="inlineStr">
        <is>
          <t>T05-MCX-3</t>
        </is>
      </c>
      <c r="C1267" s="11" t="n">
        <v>44729</v>
      </c>
      <c r="D1267" s="7" t="n">
        <v>202207</v>
      </c>
      <c r="E1267" s="7" t="inlineStr">
        <is>
          <t>SELL</t>
        </is>
      </c>
      <c r="F1267" s="7" t="inlineStr">
        <is>
          <t>hold</t>
        </is>
      </c>
      <c r="G1267" s="17" t="b">
        <v>1</v>
      </c>
      <c r="H1267" s="6" t="n">
        <v>-279</v>
      </c>
      <c r="I1267" s="13" t="n">
        <v>5</v>
      </c>
      <c r="J1267" s="8">
        <f>OR($F1267="entry",$F1267="roll_in")</f>
        <v/>
      </c>
      <c r="K1267" s="8">
        <f>OR($F1267="exit",$F1267="roll_out")</f>
        <v/>
      </c>
      <c r="L1267" s="8">
        <f>OR(AND($E1267="SELL",$K1267),AND($E1267="BUY",$J1267))</f>
        <v/>
      </c>
      <c r="M1267" s="16">
        <f>((INDEX(Market_Daily!$B$6:$B$256,MATCH($C1267,Market_Daily!$A$6:$A$256,0))*INDEX(Market_Daily!$F$6:$F$256,MATCH($C1267,Market_Daily!$A$6:$A$256,0))/kg_per_mt*(1+bcd_primary_al_hs7601*(1+sws_rate_on_bcd))+mcx_domestic_premium_inr_kg)*(1+INDEX(Market_Daily!$I$6:$I$256,MATCH($C1267,Market_Daily!$A$6:$A$256,0))*MAX(0,INDEX(mcx_expiries,MATCH($D1267,mcx_months,0))-$C1267)/day_count_inr))</f>
        <v/>
      </c>
      <c r="N1267" s="16">
        <f>IF(INDEX(Market_Daily!$S$6:$S$256,MATCH($C1267,Market_Daily!$A$6:$A$256,0))=$D1267,INDEX(Market_Daily!$M$6:$M$256,MATCH($C1267,Market_Daily!$A$6:$A$256,0)),IF(INDEX(Market_Daily!$T$6:$T$256,MATCH($C1267,Market_Daily!$A$6:$A$256,0))=$D1267,INDEX(Market_Daily!$N$6:$N$256,MATCH($C1267,Market_Daily!$A$6:$A$256,0)),NA()))</f>
        <v/>
      </c>
      <c r="O1267" s="16">
        <f>$N1267-$M1267</f>
        <v/>
      </c>
      <c r="P1267" s="16">
        <f>IF(($B1266=$B1267),$M1266,"")</f>
        <v/>
      </c>
      <c r="Q1267" s="16">
        <f>$M1267+IF($L1267,1,-1)*mcx_slippage_ticks*mcx_al_tick_inr_kg</f>
        <v/>
      </c>
      <c r="R1267" s="18">
        <f>IF(($B1266=$B1267),$H1267*$I1267*kg_per_mt*($M1267-$M1266),0)</f>
        <v/>
      </c>
      <c r="S1267" s="18">
        <f>IF(($B1266=$B1267),$S1266,0)+$R1267</f>
        <v/>
      </c>
      <c r="T1267" s="18">
        <f>ABS($H1267)*$I1267*kg_per_mt*$M1267</f>
        <v/>
      </c>
      <c r="U1267" s="18">
        <f>IF($K1267,0,$T1267*mcx_al_margin_used_frac)</f>
        <v/>
      </c>
      <c r="V1267" s="18">
        <f>IF(($B1266=$B1267),$U1266,0)</f>
        <v/>
      </c>
      <c r="W1267" s="18">
        <f>$U1267-$V1267</f>
        <v/>
      </c>
      <c r="X1267" s="18">
        <f>IF($K1267,0,$T1267*0.12)</f>
        <v/>
      </c>
      <c r="Y1267" s="18">
        <f>IF($K1267,0,$T1267*0.15)</f>
        <v/>
      </c>
      <c r="Z1267" s="18">
        <f>IF($F1267="hold",0,-ABS($H1267)*$I1267*kg_per_mt*mcx_slippage_ticks*mcx_al_tick_inr_kg)</f>
        <v/>
      </c>
      <c r="AA1267" s="18">
        <f>IF($F1267="hold",0,-ABS($H1267)*$I1267*kg_per_mt*$Q1267*mcx_txn_cost_frac)</f>
        <v/>
      </c>
      <c r="AB1267" s="18">
        <f>$Z1267+$AA1267</f>
        <v/>
      </c>
      <c r="AC1267" s="18">
        <f>$R1267-$W1267+$AB1267</f>
        <v/>
      </c>
      <c r="AD1267" s="18">
        <f>IF(($B1266=$B1267),$AD1266,0)+$AC1267</f>
        <v/>
      </c>
      <c r="AE1267" s="23" t="n">
        <v>3165804.15</v>
      </c>
      <c r="AF1267" s="23" t="n">
        <v>29341591.67</v>
      </c>
      <c r="AG1267" s="23" t="n">
        <v>0</v>
      </c>
      <c r="AH1267" s="23" t="n">
        <v>3482384.57</v>
      </c>
      <c r="AI1267" s="23" t="n">
        <v>-8106.23</v>
      </c>
      <c r="AJ1267" s="18">
        <f>$R1267-$AE1267</f>
        <v/>
      </c>
      <c r="AK1267" s="18">
        <f>$U1267-$AF1267</f>
        <v/>
      </c>
      <c r="AL1267" s="18">
        <f>$AC1267-$AH1267</f>
        <v/>
      </c>
      <c r="AM1267" s="8">
        <f>IF(AND(ABS($AJ1267)&lt;=tol_mcx_inr,ABS($AK1267)&lt;=tol_mcx_inr,ABS($AL1267)&lt;=tol_mcx_inr),"PASS","FAIL")</f>
        <v/>
      </c>
    </row>
    <row r="1268">
      <c r="A1268" s="7" t="inlineStr">
        <is>
          <t>T05</t>
        </is>
      </c>
      <c r="B1268" s="7" t="inlineStr">
        <is>
          <t>T05-MCX-3</t>
        </is>
      </c>
      <c r="C1268" s="11" t="n">
        <v>44732</v>
      </c>
      <c r="D1268" s="7" t="n">
        <v>202207</v>
      </c>
      <c r="E1268" s="7" t="inlineStr">
        <is>
          <t>SELL</t>
        </is>
      </c>
      <c r="F1268" s="7" t="inlineStr">
        <is>
          <t>hold</t>
        </is>
      </c>
      <c r="G1268" s="17" t="b">
        <v>1</v>
      </c>
      <c r="H1268" s="6" t="n">
        <v>-279</v>
      </c>
      <c r="I1268" s="13" t="n">
        <v>5</v>
      </c>
      <c r="J1268" s="8">
        <f>OR($F1268="entry",$F1268="roll_in")</f>
        <v/>
      </c>
      <c r="K1268" s="8">
        <f>OR($F1268="exit",$F1268="roll_out")</f>
        <v/>
      </c>
      <c r="L1268" s="8">
        <f>OR(AND($E1268="SELL",$K1268),AND($E1268="BUY",$J1268))</f>
        <v/>
      </c>
      <c r="M1268" s="16">
        <f>((INDEX(Market_Daily!$B$6:$B$256,MATCH($C1268,Market_Daily!$A$6:$A$256,0))*INDEX(Market_Daily!$F$6:$F$256,MATCH($C1268,Market_Daily!$A$6:$A$256,0))/kg_per_mt*(1+bcd_primary_al_hs7601*(1+sws_rate_on_bcd))+mcx_domestic_premium_inr_kg)*(1+INDEX(Market_Daily!$I$6:$I$256,MATCH($C1268,Market_Daily!$A$6:$A$256,0))*MAX(0,INDEX(mcx_expiries,MATCH($D1268,mcx_months,0))-$C1268)/day_count_inr))</f>
        <v/>
      </c>
      <c r="N1268" s="16">
        <f>IF(INDEX(Market_Daily!$S$6:$S$256,MATCH($C1268,Market_Daily!$A$6:$A$256,0))=$D1268,INDEX(Market_Daily!$M$6:$M$256,MATCH($C1268,Market_Daily!$A$6:$A$256,0)),IF(INDEX(Market_Daily!$T$6:$T$256,MATCH($C1268,Market_Daily!$A$6:$A$256,0))=$D1268,INDEX(Market_Daily!$N$6:$N$256,MATCH($C1268,Market_Daily!$A$6:$A$256,0)),NA()))</f>
        <v/>
      </c>
      <c r="O1268" s="16">
        <f>$N1268-$M1268</f>
        <v/>
      </c>
      <c r="P1268" s="16">
        <f>IF(($B1267=$B1268),$M1267,"")</f>
        <v/>
      </c>
      <c r="Q1268" s="16">
        <f>$M1268+IF($L1268,1,-1)*mcx_slippage_ticks*mcx_al_tick_inr_kg</f>
        <v/>
      </c>
      <c r="R1268" s="18">
        <f>IF(($B1267=$B1268),$H1268*$I1268*kg_per_mt*($M1268-$M1267),0)</f>
        <v/>
      </c>
      <c r="S1268" s="18">
        <f>IF(($B1267=$B1268),$S1267,0)+$R1268</f>
        <v/>
      </c>
      <c r="T1268" s="18">
        <f>ABS($H1268)*$I1268*kg_per_mt*$M1268</f>
        <v/>
      </c>
      <c r="U1268" s="18">
        <f>IF($K1268,0,$T1268*mcx_al_margin_used_frac)</f>
        <v/>
      </c>
      <c r="V1268" s="18">
        <f>IF(($B1267=$B1268),$U1267,0)</f>
        <v/>
      </c>
      <c r="W1268" s="18">
        <f>$U1268-$V1268</f>
        <v/>
      </c>
      <c r="X1268" s="18">
        <f>IF($K1268,0,$T1268*0.12)</f>
        <v/>
      </c>
      <c r="Y1268" s="18">
        <f>IF($K1268,0,$T1268*0.15)</f>
        <v/>
      </c>
      <c r="Z1268" s="18">
        <f>IF($F1268="hold",0,-ABS($H1268)*$I1268*kg_per_mt*mcx_slippage_ticks*mcx_al_tick_inr_kg)</f>
        <v/>
      </c>
      <c r="AA1268" s="18">
        <f>IF($F1268="hold",0,-ABS($H1268)*$I1268*kg_per_mt*$Q1268*mcx_txn_cost_frac)</f>
        <v/>
      </c>
      <c r="AB1268" s="18">
        <f>$Z1268+$AA1268</f>
        <v/>
      </c>
      <c r="AC1268" s="18">
        <f>$R1268-$W1268+$AB1268</f>
        <v/>
      </c>
      <c r="AD1268" s="18">
        <f>IF(($B1267=$B1268),$AD1267,0)+$AC1268</f>
        <v/>
      </c>
      <c r="AE1268" s="23" t="n">
        <v>1969021.37</v>
      </c>
      <c r="AF1268" s="23" t="n">
        <v>29144689.53</v>
      </c>
      <c r="AG1268" s="23" t="n">
        <v>0</v>
      </c>
      <c r="AH1268" s="23" t="n">
        <v>2165923.51</v>
      </c>
      <c r="AI1268" s="23" t="n">
        <v>-21485.08</v>
      </c>
      <c r="AJ1268" s="18">
        <f>$R1268-$AE1268</f>
        <v/>
      </c>
      <c r="AK1268" s="18">
        <f>$U1268-$AF1268</f>
        <v/>
      </c>
      <c r="AL1268" s="18">
        <f>$AC1268-$AH1268</f>
        <v/>
      </c>
      <c r="AM1268" s="8">
        <f>IF(AND(ABS($AJ1268)&lt;=tol_mcx_inr,ABS($AK1268)&lt;=tol_mcx_inr,ABS($AL1268)&lt;=tol_mcx_inr),"PASS","FAIL")</f>
        <v/>
      </c>
    </row>
    <row r="1269">
      <c r="A1269" s="7" t="inlineStr">
        <is>
          <t>T05</t>
        </is>
      </c>
      <c r="B1269" s="7" t="inlineStr">
        <is>
          <t>T05-MCX-3</t>
        </is>
      </c>
      <c r="C1269" s="11" t="n">
        <v>44733</v>
      </c>
      <c r="D1269" s="7" t="n">
        <v>202207</v>
      </c>
      <c r="E1269" s="7" t="inlineStr">
        <is>
          <t>SELL</t>
        </is>
      </c>
      <c r="F1269" s="7" t="inlineStr">
        <is>
          <t>hold</t>
        </is>
      </c>
      <c r="G1269" s="17" t="b">
        <v>1</v>
      </c>
      <c r="H1269" s="6" t="n">
        <v>-279</v>
      </c>
      <c r="I1269" s="13" t="n">
        <v>5</v>
      </c>
      <c r="J1269" s="8">
        <f>OR($F1269="entry",$F1269="roll_in")</f>
        <v/>
      </c>
      <c r="K1269" s="8">
        <f>OR($F1269="exit",$F1269="roll_out")</f>
        <v/>
      </c>
      <c r="L1269" s="8">
        <f>OR(AND($E1269="SELL",$K1269),AND($E1269="BUY",$J1269))</f>
        <v/>
      </c>
      <c r="M1269" s="16">
        <f>((INDEX(Market_Daily!$B$6:$B$256,MATCH($C1269,Market_Daily!$A$6:$A$256,0))*INDEX(Market_Daily!$F$6:$F$256,MATCH($C1269,Market_Daily!$A$6:$A$256,0))/kg_per_mt*(1+bcd_primary_al_hs7601*(1+sws_rate_on_bcd))+mcx_domestic_premium_inr_kg)*(1+INDEX(Market_Daily!$I$6:$I$256,MATCH($C1269,Market_Daily!$A$6:$A$256,0))*MAX(0,INDEX(mcx_expiries,MATCH($D1269,mcx_months,0))-$C1269)/day_count_inr))</f>
        <v/>
      </c>
      <c r="N1269" s="16">
        <f>IF(INDEX(Market_Daily!$S$6:$S$256,MATCH($C1269,Market_Daily!$A$6:$A$256,0))=$D1269,INDEX(Market_Daily!$M$6:$M$256,MATCH($C1269,Market_Daily!$A$6:$A$256,0)),IF(INDEX(Market_Daily!$T$6:$T$256,MATCH($C1269,Market_Daily!$A$6:$A$256,0))=$D1269,INDEX(Market_Daily!$N$6:$N$256,MATCH($C1269,Market_Daily!$A$6:$A$256,0)),NA()))</f>
        <v/>
      </c>
      <c r="O1269" s="16">
        <f>$N1269-$M1269</f>
        <v/>
      </c>
      <c r="P1269" s="16">
        <f>IF(($B1268=$B1269),$M1268,"")</f>
        <v/>
      </c>
      <c r="Q1269" s="16">
        <f>$M1269+IF($L1269,1,-1)*mcx_slippage_ticks*mcx_al_tick_inr_kg</f>
        <v/>
      </c>
      <c r="R1269" s="18">
        <f>IF(($B1268=$B1269),$H1269*$I1269*kg_per_mt*($M1269-$M1268),0)</f>
        <v/>
      </c>
      <c r="S1269" s="18">
        <f>IF(($B1268=$B1269),$S1268,0)+$R1269</f>
        <v/>
      </c>
      <c r="T1269" s="18">
        <f>ABS($H1269)*$I1269*kg_per_mt*$M1269</f>
        <v/>
      </c>
      <c r="U1269" s="18">
        <f>IF($K1269,0,$T1269*mcx_al_margin_used_frac)</f>
        <v/>
      </c>
      <c r="V1269" s="18">
        <f>IF(($B1268=$B1269),$U1268,0)</f>
        <v/>
      </c>
      <c r="W1269" s="18">
        <f>$U1269-$V1269</f>
        <v/>
      </c>
      <c r="X1269" s="18">
        <f>IF($K1269,0,$T1269*0.12)</f>
        <v/>
      </c>
      <c r="Y1269" s="18">
        <f>IF($K1269,0,$T1269*0.15)</f>
        <v/>
      </c>
      <c r="Z1269" s="18">
        <f>IF($F1269="hold",0,-ABS($H1269)*$I1269*kg_per_mt*mcx_slippage_ticks*mcx_al_tick_inr_kg)</f>
        <v/>
      </c>
      <c r="AA1269" s="18">
        <f>IF($F1269="hold",0,-ABS($H1269)*$I1269*kg_per_mt*$Q1269*mcx_txn_cost_frac)</f>
        <v/>
      </c>
      <c r="AB1269" s="18">
        <f>$Z1269+$AA1269</f>
        <v/>
      </c>
      <c r="AC1269" s="18">
        <f>$R1269-$W1269+$AB1269</f>
        <v/>
      </c>
      <c r="AD1269" s="18">
        <f>IF(($B1268=$B1269),$AD1268,0)+$AC1269</f>
        <v/>
      </c>
      <c r="AE1269" s="23" t="n">
        <v>-7387677.21</v>
      </c>
      <c r="AF1269" s="23" t="n">
        <v>29883457.25</v>
      </c>
      <c r="AG1269" s="23" t="n">
        <v>0</v>
      </c>
      <c r="AH1269" s="23" t="n">
        <v>-8126444.93</v>
      </c>
      <c r="AI1269" s="23" t="n">
        <v>-6574.22</v>
      </c>
      <c r="AJ1269" s="18">
        <f>$R1269-$AE1269</f>
        <v/>
      </c>
      <c r="AK1269" s="18">
        <f>$U1269-$AF1269</f>
        <v/>
      </c>
      <c r="AL1269" s="18">
        <f>$AC1269-$AH1269</f>
        <v/>
      </c>
      <c r="AM1269" s="8">
        <f>IF(AND(ABS($AJ1269)&lt;=tol_mcx_inr,ABS($AK1269)&lt;=tol_mcx_inr,ABS($AL1269)&lt;=tol_mcx_inr),"PASS","FAIL")</f>
        <v/>
      </c>
    </row>
    <row r="1270">
      <c r="A1270" s="7" t="inlineStr">
        <is>
          <t>T05</t>
        </is>
      </c>
      <c r="B1270" s="7" t="inlineStr">
        <is>
          <t>T05-MCX-3</t>
        </is>
      </c>
      <c r="C1270" s="11" t="n">
        <v>44734</v>
      </c>
      <c r="D1270" s="7" t="n">
        <v>202207</v>
      </c>
      <c r="E1270" s="7" t="inlineStr">
        <is>
          <t>SELL</t>
        </is>
      </c>
      <c r="F1270" s="7" t="inlineStr">
        <is>
          <t>hold</t>
        </is>
      </c>
      <c r="G1270" s="17" t="b">
        <v>1</v>
      </c>
      <c r="H1270" s="6" t="n">
        <v>-279</v>
      </c>
      <c r="I1270" s="13" t="n">
        <v>5</v>
      </c>
      <c r="J1270" s="8">
        <f>OR($F1270="entry",$F1270="roll_in")</f>
        <v/>
      </c>
      <c r="K1270" s="8">
        <f>OR($F1270="exit",$F1270="roll_out")</f>
        <v/>
      </c>
      <c r="L1270" s="8">
        <f>OR(AND($E1270="SELL",$K1270),AND($E1270="BUY",$J1270))</f>
        <v/>
      </c>
      <c r="M1270" s="16">
        <f>((INDEX(Market_Daily!$B$6:$B$256,MATCH($C1270,Market_Daily!$A$6:$A$256,0))*INDEX(Market_Daily!$F$6:$F$256,MATCH($C1270,Market_Daily!$A$6:$A$256,0))/kg_per_mt*(1+bcd_primary_al_hs7601*(1+sws_rate_on_bcd))+mcx_domestic_premium_inr_kg)*(1+INDEX(Market_Daily!$I$6:$I$256,MATCH($C1270,Market_Daily!$A$6:$A$256,0))*MAX(0,INDEX(mcx_expiries,MATCH($D1270,mcx_months,0))-$C1270)/day_count_inr))</f>
        <v/>
      </c>
      <c r="N1270" s="16">
        <f>IF(INDEX(Market_Daily!$S$6:$S$256,MATCH($C1270,Market_Daily!$A$6:$A$256,0))=$D1270,INDEX(Market_Daily!$M$6:$M$256,MATCH($C1270,Market_Daily!$A$6:$A$256,0)),IF(INDEX(Market_Daily!$T$6:$T$256,MATCH($C1270,Market_Daily!$A$6:$A$256,0))=$D1270,INDEX(Market_Daily!$N$6:$N$256,MATCH($C1270,Market_Daily!$A$6:$A$256,0)),NA()))</f>
        <v/>
      </c>
      <c r="O1270" s="16">
        <f>$N1270-$M1270</f>
        <v/>
      </c>
      <c r="P1270" s="16">
        <f>IF(($B1269=$B1270),$M1269,"")</f>
        <v/>
      </c>
      <c r="Q1270" s="16">
        <f>$M1270+IF($L1270,1,-1)*mcx_slippage_ticks*mcx_al_tick_inr_kg</f>
        <v/>
      </c>
      <c r="R1270" s="18">
        <f>IF(($B1269=$B1270),$H1270*$I1270*kg_per_mt*($M1270-$M1269),0)</f>
        <v/>
      </c>
      <c r="S1270" s="18">
        <f>IF(($B1269=$B1270),$S1269,0)+$R1270</f>
        <v/>
      </c>
      <c r="T1270" s="18">
        <f>ABS($H1270)*$I1270*kg_per_mt*$M1270</f>
        <v/>
      </c>
      <c r="U1270" s="18">
        <f>IF($K1270,0,$T1270*mcx_al_margin_used_frac)</f>
        <v/>
      </c>
      <c r="V1270" s="18">
        <f>IF(($B1269=$B1270),$U1269,0)</f>
        <v/>
      </c>
      <c r="W1270" s="18">
        <f>$U1270-$V1270</f>
        <v/>
      </c>
      <c r="X1270" s="18">
        <f>IF($K1270,0,$T1270*0.12)</f>
        <v/>
      </c>
      <c r="Y1270" s="18">
        <f>IF($K1270,0,$T1270*0.15)</f>
        <v/>
      </c>
      <c r="Z1270" s="18">
        <f>IF($F1270="hold",0,-ABS($H1270)*$I1270*kg_per_mt*mcx_slippage_ticks*mcx_al_tick_inr_kg)</f>
        <v/>
      </c>
      <c r="AA1270" s="18">
        <f>IF($F1270="hold",0,-ABS($H1270)*$I1270*kg_per_mt*$Q1270*mcx_txn_cost_frac)</f>
        <v/>
      </c>
      <c r="AB1270" s="18">
        <f>$Z1270+$AA1270</f>
        <v/>
      </c>
      <c r="AC1270" s="18">
        <f>$R1270-$W1270+$AB1270</f>
        <v/>
      </c>
      <c r="AD1270" s="18">
        <f>IF(($B1269=$B1270),$AD1269,0)+$AC1270</f>
        <v/>
      </c>
      <c r="AE1270" s="23" t="n">
        <v>6884052.77</v>
      </c>
      <c r="AF1270" s="23" t="n">
        <v>29195051.98</v>
      </c>
      <c r="AG1270" s="23" t="n">
        <v>0</v>
      </c>
      <c r="AH1270" s="23" t="n">
        <v>7572458.05</v>
      </c>
      <c r="AI1270" s="23" t="n">
        <v>-8778.379999999999</v>
      </c>
      <c r="AJ1270" s="18">
        <f>$R1270-$AE1270</f>
        <v/>
      </c>
      <c r="AK1270" s="18">
        <f>$U1270-$AF1270</f>
        <v/>
      </c>
      <c r="AL1270" s="18">
        <f>$AC1270-$AH1270</f>
        <v/>
      </c>
      <c r="AM1270" s="8">
        <f>IF(AND(ABS($AJ1270)&lt;=tol_mcx_inr,ABS($AK1270)&lt;=tol_mcx_inr,ABS($AL1270)&lt;=tol_mcx_inr),"PASS","FAIL")</f>
        <v/>
      </c>
    </row>
    <row r="1271">
      <c r="A1271" s="7" t="inlineStr">
        <is>
          <t>T05</t>
        </is>
      </c>
      <c r="B1271" s="7" t="inlineStr">
        <is>
          <t>T05-MCX-3</t>
        </is>
      </c>
      <c r="C1271" s="11" t="n">
        <v>44735</v>
      </c>
      <c r="D1271" s="7" t="n">
        <v>202207</v>
      </c>
      <c r="E1271" s="7" t="inlineStr">
        <is>
          <t>SELL</t>
        </is>
      </c>
      <c r="F1271" s="7" t="inlineStr">
        <is>
          <t>hold</t>
        </is>
      </c>
      <c r="G1271" s="17" t="b">
        <v>1</v>
      </c>
      <c r="H1271" s="6" t="n">
        <v>-279</v>
      </c>
      <c r="I1271" s="13" t="n">
        <v>5</v>
      </c>
      <c r="J1271" s="8">
        <f>OR($F1271="entry",$F1271="roll_in")</f>
        <v/>
      </c>
      <c r="K1271" s="8">
        <f>OR($F1271="exit",$F1271="roll_out")</f>
        <v/>
      </c>
      <c r="L1271" s="8">
        <f>OR(AND($E1271="SELL",$K1271),AND($E1271="BUY",$J1271))</f>
        <v/>
      </c>
      <c r="M1271" s="16">
        <f>((INDEX(Market_Daily!$B$6:$B$256,MATCH($C1271,Market_Daily!$A$6:$A$256,0))*INDEX(Market_Daily!$F$6:$F$256,MATCH($C1271,Market_Daily!$A$6:$A$256,0))/kg_per_mt*(1+bcd_primary_al_hs7601*(1+sws_rate_on_bcd))+mcx_domestic_premium_inr_kg)*(1+INDEX(Market_Daily!$I$6:$I$256,MATCH($C1271,Market_Daily!$A$6:$A$256,0))*MAX(0,INDEX(mcx_expiries,MATCH($D1271,mcx_months,0))-$C1271)/day_count_inr))</f>
        <v/>
      </c>
      <c r="N1271" s="16">
        <f>IF(INDEX(Market_Daily!$S$6:$S$256,MATCH($C1271,Market_Daily!$A$6:$A$256,0))=$D1271,INDEX(Market_Daily!$M$6:$M$256,MATCH($C1271,Market_Daily!$A$6:$A$256,0)),IF(INDEX(Market_Daily!$T$6:$T$256,MATCH($C1271,Market_Daily!$A$6:$A$256,0))=$D1271,INDEX(Market_Daily!$N$6:$N$256,MATCH($C1271,Market_Daily!$A$6:$A$256,0)),NA()))</f>
        <v/>
      </c>
      <c r="O1271" s="16">
        <f>$N1271-$M1271</f>
        <v/>
      </c>
      <c r="P1271" s="16">
        <f>IF(($B1270=$B1271),$M1270,"")</f>
        <v/>
      </c>
      <c r="Q1271" s="16">
        <f>$M1271+IF($L1271,1,-1)*mcx_slippage_ticks*mcx_al_tick_inr_kg</f>
        <v/>
      </c>
      <c r="R1271" s="18">
        <f>IF(($B1270=$B1271),$H1271*$I1271*kg_per_mt*($M1271-$M1270),0)</f>
        <v/>
      </c>
      <c r="S1271" s="18">
        <f>IF(($B1270=$B1271),$S1270,0)+$R1271</f>
        <v/>
      </c>
      <c r="T1271" s="18">
        <f>ABS($H1271)*$I1271*kg_per_mt*$M1271</f>
        <v/>
      </c>
      <c r="U1271" s="18">
        <f>IF($K1271,0,$T1271*mcx_al_margin_used_frac)</f>
        <v/>
      </c>
      <c r="V1271" s="18">
        <f>IF(($B1270=$B1271),$U1270,0)</f>
        <v/>
      </c>
      <c r="W1271" s="18">
        <f>$U1271-$V1271</f>
        <v/>
      </c>
      <c r="X1271" s="18">
        <f>IF($K1271,0,$T1271*0.12)</f>
        <v/>
      </c>
      <c r="Y1271" s="18">
        <f>IF($K1271,0,$T1271*0.15)</f>
        <v/>
      </c>
      <c r="Z1271" s="18">
        <f>IF($F1271="hold",0,-ABS($H1271)*$I1271*kg_per_mt*mcx_slippage_ticks*mcx_al_tick_inr_kg)</f>
        <v/>
      </c>
      <c r="AA1271" s="18">
        <f>IF($F1271="hold",0,-ABS($H1271)*$I1271*kg_per_mt*$Q1271*mcx_txn_cost_frac)</f>
        <v/>
      </c>
      <c r="AB1271" s="18">
        <f>$Z1271+$AA1271</f>
        <v/>
      </c>
      <c r="AC1271" s="18">
        <f>$R1271-$W1271+$AB1271</f>
        <v/>
      </c>
      <c r="AD1271" s="18">
        <f>IF(($B1270=$B1271),$AD1270,0)+$AC1271</f>
        <v/>
      </c>
      <c r="AE1271" s="23" t="n">
        <v>-2730500.46</v>
      </c>
      <c r="AF1271" s="23" t="n">
        <v>29468102.02</v>
      </c>
      <c r="AG1271" s="23" t="n">
        <v>0</v>
      </c>
      <c r="AH1271" s="23" t="n">
        <v>-3003550.5</v>
      </c>
      <c r="AI1271" s="23" t="n">
        <v>-6724.48</v>
      </c>
      <c r="AJ1271" s="18">
        <f>$R1271-$AE1271</f>
        <v/>
      </c>
      <c r="AK1271" s="18">
        <f>$U1271-$AF1271</f>
        <v/>
      </c>
      <c r="AL1271" s="18">
        <f>$AC1271-$AH1271</f>
        <v/>
      </c>
      <c r="AM1271" s="8">
        <f>IF(AND(ABS($AJ1271)&lt;=tol_mcx_inr,ABS($AK1271)&lt;=tol_mcx_inr,ABS($AL1271)&lt;=tol_mcx_inr),"PASS","FAIL")</f>
        <v/>
      </c>
    </row>
    <row r="1272">
      <c r="A1272" s="7" t="inlineStr">
        <is>
          <t>T05</t>
        </is>
      </c>
      <c r="B1272" s="7" t="inlineStr">
        <is>
          <t>T05-MCX-3</t>
        </is>
      </c>
      <c r="C1272" s="11" t="n">
        <v>44736</v>
      </c>
      <c r="D1272" s="7" t="n">
        <v>202207</v>
      </c>
      <c r="E1272" s="7" t="inlineStr">
        <is>
          <t>SELL</t>
        </is>
      </c>
      <c r="F1272" s="7" t="inlineStr">
        <is>
          <t>hold</t>
        </is>
      </c>
      <c r="G1272" s="17" t="b">
        <v>1</v>
      </c>
      <c r="H1272" s="6" t="n">
        <v>-279</v>
      </c>
      <c r="I1272" s="13" t="n">
        <v>5</v>
      </c>
      <c r="J1272" s="8">
        <f>OR($F1272="entry",$F1272="roll_in")</f>
        <v/>
      </c>
      <c r="K1272" s="8">
        <f>OR($F1272="exit",$F1272="roll_out")</f>
        <v/>
      </c>
      <c r="L1272" s="8">
        <f>OR(AND($E1272="SELL",$K1272),AND($E1272="BUY",$J1272))</f>
        <v/>
      </c>
      <c r="M1272" s="16">
        <f>((INDEX(Market_Daily!$B$6:$B$256,MATCH($C1272,Market_Daily!$A$6:$A$256,0))*INDEX(Market_Daily!$F$6:$F$256,MATCH($C1272,Market_Daily!$A$6:$A$256,0))/kg_per_mt*(1+bcd_primary_al_hs7601*(1+sws_rate_on_bcd))+mcx_domestic_premium_inr_kg)*(1+INDEX(Market_Daily!$I$6:$I$256,MATCH($C1272,Market_Daily!$A$6:$A$256,0))*MAX(0,INDEX(mcx_expiries,MATCH($D1272,mcx_months,0))-$C1272)/day_count_inr))</f>
        <v/>
      </c>
      <c r="N1272" s="16">
        <f>IF(INDEX(Market_Daily!$S$6:$S$256,MATCH($C1272,Market_Daily!$A$6:$A$256,0))=$D1272,INDEX(Market_Daily!$M$6:$M$256,MATCH($C1272,Market_Daily!$A$6:$A$256,0)),IF(INDEX(Market_Daily!$T$6:$T$256,MATCH($C1272,Market_Daily!$A$6:$A$256,0))=$D1272,INDEX(Market_Daily!$N$6:$N$256,MATCH($C1272,Market_Daily!$A$6:$A$256,0)),NA()))</f>
        <v/>
      </c>
      <c r="O1272" s="16">
        <f>$N1272-$M1272</f>
        <v/>
      </c>
      <c r="P1272" s="16">
        <f>IF(($B1271=$B1272),$M1271,"")</f>
        <v/>
      </c>
      <c r="Q1272" s="16">
        <f>$M1272+IF($L1272,1,-1)*mcx_slippage_ticks*mcx_al_tick_inr_kg</f>
        <v/>
      </c>
      <c r="R1272" s="18">
        <f>IF(($B1271=$B1272),$H1272*$I1272*kg_per_mt*($M1272-$M1271),0)</f>
        <v/>
      </c>
      <c r="S1272" s="18">
        <f>IF(($B1271=$B1272),$S1271,0)+$R1272</f>
        <v/>
      </c>
      <c r="T1272" s="18">
        <f>ABS($H1272)*$I1272*kg_per_mt*$M1272</f>
        <v/>
      </c>
      <c r="U1272" s="18">
        <f>IF($K1272,0,$T1272*mcx_al_margin_used_frac)</f>
        <v/>
      </c>
      <c r="V1272" s="18">
        <f>IF(($B1271=$B1272),$U1271,0)</f>
        <v/>
      </c>
      <c r="W1272" s="18">
        <f>$U1272-$V1272</f>
        <v/>
      </c>
      <c r="X1272" s="18">
        <f>IF($K1272,0,$T1272*0.12)</f>
        <v/>
      </c>
      <c r="Y1272" s="18">
        <f>IF($K1272,0,$T1272*0.15)</f>
        <v/>
      </c>
      <c r="Z1272" s="18">
        <f>IF($F1272="hold",0,-ABS($H1272)*$I1272*kg_per_mt*mcx_slippage_ticks*mcx_al_tick_inr_kg)</f>
        <v/>
      </c>
      <c r="AA1272" s="18">
        <f>IF($F1272="hold",0,-ABS($H1272)*$I1272*kg_per_mt*$Q1272*mcx_txn_cost_frac)</f>
        <v/>
      </c>
      <c r="AB1272" s="18">
        <f>$Z1272+$AA1272</f>
        <v/>
      </c>
      <c r="AC1272" s="18">
        <f>$R1272-$W1272+$AB1272</f>
        <v/>
      </c>
      <c r="AD1272" s="18">
        <f>IF(($B1271=$B1272),$AD1271,0)+$AC1272</f>
        <v/>
      </c>
      <c r="AE1272" s="23" t="n">
        <v>5244376.15</v>
      </c>
      <c r="AF1272" s="23" t="n">
        <v>28943664.41</v>
      </c>
      <c r="AG1272" s="23" t="n">
        <v>0</v>
      </c>
      <c r="AH1272" s="23" t="n">
        <v>5768813.76</v>
      </c>
      <c r="AI1272" s="23" t="n">
        <v>-7539.14</v>
      </c>
      <c r="AJ1272" s="18">
        <f>$R1272-$AE1272</f>
        <v/>
      </c>
      <c r="AK1272" s="18">
        <f>$U1272-$AF1272</f>
        <v/>
      </c>
      <c r="AL1272" s="18">
        <f>$AC1272-$AH1272</f>
        <v/>
      </c>
      <c r="AM1272" s="8">
        <f>IF(AND(ABS($AJ1272)&lt;=tol_mcx_inr,ABS($AK1272)&lt;=tol_mcx_inr,ABS($AL1272)&lt;=tol_mcx_inr),"PASS","FAIL")</f>
        <v/>
      </c>
    </row>
    <row r="1273">
      <c r="A1273" s="7" t="inlineStr">
        <is>
          <t>T05</t>
        </is>
      </c>
      <c r="B1273" s="7" t="inlineStr">
        <is>
          <t>T05-MCX-3</t>
        </is>
      </c>
      <c r="C1273" s="11" t="n">
        <v>44739</v>
      </c>
      <c r="D1273" s="7" t="n">
        <v>202207</v>
      </c>
      <c r="E1273" s="7" t="inlineStr">
        <is>
          <t>SELL</t>
        </is>
      </c>
      <c r="F1273" s="7" t="inlineStr">
        <is>
          <t>hold</t>
        </is>
      </c>
      <c r="G1273" s="17" t="b">
        <v>1</v>
      </c>
      <c r="H1273" s="6" t="n">
        <v>-279</v>
      </c>
      <c r="I1273" s="13" t="n">
        <v>5</v>
      </c>
      <c r="J1273" s="8">
        <f>OR($F1273="entry",$F1273="roll_in")</f>
        <v/>
      </c>
      <c r="K1273" s="8">
        <f>OR($F1273="exit",$F1273="roll_out")</f>
        <v/>
      </c>
      <c r="L1273" s="8">
        <f>OR(AND($E1273="SELL",$K1273),AND($E1273="BUY",$J1273))</f>
        <v/>
      </c>
      <c r="M1273" s="16">
        <f>((INDEX(Market_Daily!$B$6:$B$256,MATCH($C1273,Market_Daily!$A$6:$A$256,0))*INDEX(Market_Daily!$F$6:$F$256,MATCH($C1273,Market_Daily!$A$6:$A$256,0))/kg_per_mt*(1+bcd_primary_al_hs7601*(1+sws_rate_on_bcd))+mcx_domestic_premium_inr_kg)*(1+INDEX(Market_Daily!$I$6:$I$256,MATCH($C1273,Market_Daily!$A$6:$A$256,0))*MAX(0,INDEX(mcx_expiries,MATCH($D1273,mcx_months,0))-$C1273)/day_count_inr))</f>
        <v/>
      </c>
      <c r="N1273" s="16">
        <f>IF(INDEX(Market_Daily!$S$6:$S$256,MATCH($C1273,Market_Daily!$A$6:$A$256,0))=$D1273,INDEX(Market_Daily!$M$6:$M$256,MATCH($C1273,Market_Daily!$A$6:$A$256,0)),IF(INDEX(Market_Daily!$T$6:$T$256,MATCH($C1273,Market_Daily!$A$6:$A$256,0))=$D1273,INDEX(Market_Daily!$N$6:$N$256,MATCH($C1273,Market_Daily!$A$6:$A$256,0)),NA()))</f>
        <v/>
      </c>
      <c r="O1273" s="16">
        <f>$N1273-$M1273</f>
        <v/>
      </c>
      <c r="P1273" s="16">
        <f>IF(($B1272=$B1273),$M1272,"")</f>
        <v/>
      </c>
      <c r="Q1273" s="16">
        <f>$M1273+IF($L1273,1,-1)*mcx_slippage_ticks*mcx_al_tick_inr_kg</f>
        <v/>
      </c>
      <c r="R1273" s="18">
        <f>IF(($B1272=$B1273),$H1273*$I1273*kg_per_mt*($M1273-$M1272),0)</f>
        <v/>
      </c>
      <c r="S1273" s="18">
        <f>IF(($B1272=$B1273),$S1272,0)+$R1273</f>
        <v/>
      </c>
      <c r="T1273" s="18">
        <f>ABS($H1273)*$I1273*kg_per_mt*$M1273</f>
        <v/>
      </c>
      <c r="U1273" s="18">
        <f>IF($K1273,0,$T1273*mcx_al_margin_used_frac)</f>
        <v/>
      </c>
      <c r="V1273" s="18">
        <f>IF(($B1272=$B1273),$U1272,0)</f>
        <v/>
      </c>
      <c r="W1273" s="18">
        <f>$U1273-$V1273</f>
        <v/>
      </c>
      <c r="X1273" s="18">
        <f>IF($K1273,0,$T1273*0.12)</f>
        <v/>
      </c>
      <c r="Y1273" s="18">
        <f>IF($K1273,0,$T1273*0.15)</f>
        <v/>
      </c>
      <c r="Z1273" s="18">
        <f>IF($F1273="hold",0,-ABS($H1273)*$I1273*kg_per_mt*mcx_slippage_ticks*mcx_al_tick_inr_kg)</f>
        <v/>
      </c>
      <c r="AA1273" s="18">
        <f>IF($F1273="hold",0,-ABS($H1273)*$I1273*kg_per_mt*$Q1273*mcx_txn_cost_frac)</f>
        <v/>
      </c>
      <c r="AB1273" s="18">
        <f>$Z1273+$AA1273</f>
        <v/>
      </c>
      <c r="AC1273" s="18">
        <f>$R1273-$W1273+$AB1273</f>
        <v/>
      </c>
      <c r="AD1273" s="18">
        <f>IF(($B1272=$B1273),$AD1272,0)+$AC1273</f>
        <v/>
      </c>
      <c r="AE1273" s="23" t="n">
        <v>-2453982.84</v>
      </c>
      <c r="AF1273" s="23" t="n">
        <v>29189062.69</v>
      </c>
      <c r="AG1273" s="23" t="n">
        <v>0</v>
      </c>
      <c r="AH1273" s="23" t="n">
        <v>-2699381.12</v>
      </c>
      <c r="AI1273" s="23" t="n">
        <v>-17923.36</v>
      </c>
      <c r="AJ1273" s="18">
        <f>$R1273-$AE1273</f>
        <v/>
      </c>
      <c r="AK1273" s="18">
        <f>$U1273-$AF1273</f>
        <v/>
      </c>
      <c r="AL1273" s="18">
        <f>$AC1273-$AH1273</f>
        <v/>
      </c>
      <c r="AM1273" s="8">
        <f>IF(AND(ABS($AJ1273)&lt;=tol_mcx_inr,ABS($AK1273)&lt;=tol_mcx_inr,ABS($AL1273)&lt;=tol_mcx_inr),"PASS","FAIL")</f>
        <v/>
      </c>
    </row>
    <row r="1274">
      <c r="A1274" s="7" t="inlineStr">
        <is>
          <t>T05</t>
        </is>
      </c>
      <c r="B1274" s="7" t="inlineStr">
        <is>
          <t>T05-MCX-3</t>
        </is>
      </c>
      <c r="C1274" s="11" t="n">
        <v>44740</v>
      </c>
      <c r="D1274" s="7" t="n">
        <v>202207</v>
      </c>
      <c r="E1274" s="7" t="inlineStr">
        <is>
          <t>SELL</t>
        </is>
      </c>
      <c r="F1274" s="7" t="inlineStr">
        <is>
          <t>hold</t>
        </is>
      </c>
      <c r="G1274" s="17" t="b">
        <v>1</v>
      </c>
      <c r="H1274" s="6" t="n">
        <v>-279</v>
      </c>
      <c r="I1274" s="13" t="n">
        <v>5</v>
      </c>
      <c r="J1274" s="8">
        <f>OR($F1274="entry",$F1274="roll_in")</f>
        <v/>
      </c>
      <c r="K1274" s="8">
        <f>OR($F1274="exit",$F1274="roll_out")</f>
        <v/>
      </c>
      <c r="L1274" s="8">
        <f>OR(AND($E1274="SELL",$K1274),AND($E1274="BUY",$J1274))</f>
        <v/>
      </c>
      <c r="M1274" s="16">
        <f>((INDEX(Market_Daily!$B$6:$B$256,MATCH($C1274,Market_Daily!$A$6:$A$256,0))*INDEX(Market_Daily!$F$6:$F$256,MATCH($C1274,Market_Daily!$A$6:$A$256,0))/kg_per_mt*(1+bcd_primary_al_hs7601*(1+sws_rate_on_bcd))+mcx_domestic_premium_inr_kg)*(1+INDEX(Market_Daily!$I$6:$I$256,MATCH($C1274,Market_Daily!$A$6:$A$256,0))*MAX(0,INDEX(mcx_expiries,MATCH($D1274,mcx_months,0))-$C1274)/day_count_inr))</f>
        <v/>
      </c>
      <c r="N1274" s="16">
        <f>IF(INDEX(Market_Daily!$S$6:$S$256,MATCH($C1274,Market_Daily!$A$6:$A$256,0))=$D1274,INDEX(Market_Daily!$M$6:$M$256,MATCH($C1274,Market_Daily!$A$6:$A$256,0)),IF(INDEX(Market_Daily!$T$6:$T$256,MATCH($C1274,Market_Daily!$A$6:$A$256,0))=$D1274,INDEX(Market_Daily!$N$6:$N$256,MATCH($C1274,Market_Daily!$A$6:$A$256,0)),NA()))</f>
        <v/>
      </c>
      <c r="O1274" s="16">
        <f>$N1274-$M1274</f>
        <v/>
      </c>
      <c r="P1274" s="16">
        <f>IF(($B1273=$B1274),$M1273,"")</f>
        <v/>
      </c>
      <c r="Q1274" s="16">
        <f>$M1274+IF($L1274,1,-1)*mcx_slippage_ticks*mcx_al_tick_inr_kg</f>
        <v/>
      </c>
      <c r="R1274" s="18">
        <f>IF(($B1273=$B1274),$H1274*$I1274*kg_per_mt*($M1274-$M1273),0)</f>
        <v/>
      </c>
      <c r="S1274" s="18">
        <f>IF(($B1273=$B1274),$S1273,0)+$R1274</f>
        <v/>
      </c>
      <c r="T1274" s="18">
        <f>ABS($H1274)*$I1274*kg_per_mt*$M1274</f>
        <v/>
      </c>
      <c r="U1274" s="18">
        <f>IF($K1274,0,$T1274*mcx_al_margin_used_frac)</f>
        <v/>
      </c>
      <c r="V1274" s="18">
        <f>IF(($B1273=$B1274),$U1273,0)</f>
        <v/>
      </c>
      <c r="W1274" s="18">
        <f>$U1274-$V1274</f>
        <v/>
      </c>
      <c r="X1274" s="18">
        <f>IF($K1274,0,$T1274*0.12)</f>
        <v/>
      </c>
      <c r="Y1274" s="18">
        <f>IF($K1274,0,$T1274*0.15)</f>
        <v/>
      </c>
      <c r="Z1274" s="18">
        <f>IF($F1274="hold",0,-ABS($H1274)*$I1274*kg_per_mt*mcx_slippage_ticks*mcx_al_tick_inr_kg)</f>
        <v/>
      </c>
      <c r="AA1274" s="18">
        <f>IF($F1274="hold",0,-ABS($H1274)*$I1274*kg_per_mt*$Q1274*mcx_txn_cost_frac)</f>
        <v/>
      </c>
      <c r="AB1274" s="18">
        <f>$Z1274+$AA1274</f>
        <v/>
      </c>
      <c r="AC1274" s="18">
        <f>$R1274-$W1274+$AB1274</f>
        <v/>
      </c>
      <c r="AD1274" s="18">
        <f>IF(($B1273=$B1274),$AD1273,0)+$AC1274</f>
        <v/>
      </c>
      <c r="AE1274" s="23" t="n">
        <v>-7568160.39</v>
      </c>
      <c r="AF1274" s="23" t="n">
        <v>29945878.73</v>
      </c>
      <c r="AG1274" s="23" t="n">
        <v>0</v>
      </c>
      <c r="AH1274" s="23" t="n">
        <v>-8324976.43</v>
      </c>
      <c r="AI1274" s="23" t="n">
        <v>-6706.61</v>
      </c>
      <c r="AJ1274" s="18">
        <f>$R1274-$AE1274</f>
        <v/>
      </c>
      <c r="AK1274" s="18">
        <f>$U1274-$AF1274</f>
        <v/>
      </c>
      <c r="AL1274" s="18">
        <f>$AC1274-$AH1274</f>
        <v/>
      </c>
      <c r="AM1274" s="8">
        <f>IF(AND(ABS($AJ1274)&lt;=tol_mcx_inr,ABS($AK1274)&lt;=tol_mcx_inr,ABS($AL1274)&lt;=tol_mcx_inr),"PASS","FAIL")</f>
        <v/>
      </c>
    </row>
    <row r="1275">
      <c r="A1275" s="7" t="inlineStr">
        <is>
          <t>T05</t>
        </is>
      </c>
      <c r="B1275" s="7" t="inlineStr">
        <is>
          <t>T05-MCX-3</t>
        </is>
      </c>
      <c r="C1275" s="11" t="n">
        <v>44741</v>
      </c>
      <c r="D1275" s="7" t="n">
        <v>202207</v>
      </c>
      <c r="E1275" s="7" t="inlineStr">
        <is>
          <t>SELL</t>
        </is>
      </c>
      <c r="F1275" s="7" t="inlineStr">
        <is>
          <t>hold</t>
        </is>
      </c>
      <c r="G1275" s="17" t="b">
        <v>1</v>
      </c>
      <c r="H1275" s="6" t="n">
        <v>-279</v>
      </c>
      <c r="I1275" s="13" t="n">
        <v>5</v>
      </c>
      <c r="J1275" s="8">
        <f>OR($F1275="entry",$F1275="roll_in")</f>
        <v/>
      </c>
      <c r="K1275" s="8">
        <f>OR($F1275="exit",$F1275="roll_out")</f>
        <v/>
      </c>
      <c r="L1275" s="8">
        <f>OR(AND($E1275="SELL",$K1275),AND($E1275="BUY",$J1275))</f>
        <v/>
      </c>
      <c r="M1275" s="16">
        <f>((INDEX(Market_Daily!$B$6:$B$256,MATCH($C1275,Market_Daily!$A$6:$A$256,0))*INDEX(Market_Daily!$F$6:$F$256,MATCH($C1275,Market_Daily!$A$6:$A$256,0))/kg_per_mt*(1+bcd_primary_al_hs7601*(1+sws_rate_on_bcd))+mcx_domestic_premium_inr_kg)*(1+INDEX(Market_Daily!$I$6:$I$256,MATCH($C1275,Market_Daily!$A$6:$A$256,0))*MAX(0,INDEX(mcx_expiries,MATCH($D1275,mcx_months,0))-$C1275)/day_count_inr))</f>
        <v/>
      </c>
      <c r="N1275" s="16">
        <f>IF(INDEX(Market_Daily!$S$6:$S$256,MATCH($C1275,Market_Daily!$A$6:$A$256,0))=$D1275,INDEX(Market_Daily!$M$6:$M$256,MATCH($C1275,Market_Daily!$A$6:$A$256,0)),IF(INDEX(Market_Daily!$T$6:$T$256,MATCH($C1275,Market_Daily!$A$6:$A$256,0))=$D1275,INDEX(Market_Daily!$N$6:$N$256,MATCH($C1275,Market_Daily!$A$6:$A$256,0)),NA()))</f>
        <v/>
      </c>
      <c r="O1275" s="16">
        <f>$N1275-$M1275</f>
        <v/>
      </c>
      <c r="P1275" s="16">
        <f>IF(($B1274=$B1275),$M1274,"")</f>
        <v/>
      </c>
      <c r="Q1275" s="16">
        <f>$M1275+IF($L1275,1,-1)*mcx_slippage_ticks*mcx_al_tick_inr_kg</f>
        <v/>
      </c>
      <c r="R1275" s="18">
        <f>IF(($B1274=$B1275),$H1275*$I1275*kg_per_mt*($M1275-$M1274),0)</f>
        <v/>
      </c>
      <c r="S1275" s="18">
        <f>IF(($B1274=$B1275),$S1274,0)+$R1275</f>
        <v/>
      </c>
      <c r="T1275" s="18">
        <f>ABS($H1275)*$I1275*kg_per_mt*$M1275</f>
        <v/>
      </c>
      <c r="U1275" s="18">
        <f>IF($K1275,0,$T1275*mcx_al_margin_used_frac)</f>
        <v/>
      </c>
      <c r="V1275" s="18">
        <f>IF(($B1274=$B1275),$U1274,0)</f>
        <v/>
      </c>
      <c r="W1275" s="18">
        <f>$U1275-$V1275</f>
        <v/>
      </c>
      <c r="X1275" s="18">
        <f>IF($K1275,0,$T1275*0.12)</f>
        <v/>
      </c>
      <c r="Y1275" s="18">
        <f>IF($K1275,0,$T1275*0.15)</f>
        <v/>
      </c>
      <c r="Z1275" s="18">
        <f>IF($F1275="hold",0,-ABS($H1275)*$I1275*kg_per_mt*mcx_slippage_ticks*mcx_al_tick_inr_kg)</f>
        <v/>
      </c>
      <c r="AA1275" s="18">
        <f>IF($F1275="hold",0,-ABS($H1275)*$I1275*kg_per_mt*$Q1275*mcx_txn_cost_frac)</f>
        <v/>
      </c>
      <c r="AB1275" s="18">
        <f>$Z1275+$AA1275</f>
        <v/>
      </c>
      <c r="AC1275" s="18">
        <f>$R1275-$W1275+$AB1275</f>
        <v/>
      </c>
      <c r="AD1275" s="18">
        <f>IF(($B1274=$B1275),$AD1274,0)+$AC1275</f>
        <v/>
      </c>
      <c r="AE1275" s="23" t="n">
        <v>5874088.52</v>
      </c>
      <c r="AF1275" s="23" t="n">
        <v>29358469.88</v>
      </c>
      <c r="AG1275" s="23" t="n">
        <v>0</v>
      </c>
      <c r="AH1275" s="23" t="n">
        <v>6461497.38</v>
      </c>
      <c r="AI1275" s="23" t="n">
        <v>-8964.620000000001</v>
      </c>
      <c r="AJ1275" s="18">
        <f>$R1275-$AE1275</f>
        <v/>
      </c>
      <c r="AK1275" s="18">
        <f>$U1275-$AF1275</f>
        <v/>
      </c>
      <c r="AL1275" s="18">
        <f>$AC1275-$AH1275</f>
        <v/>
      </c>
      <c r="AM1275" s="8">
        <f>IF(AND(ABS($AJ1275)&lt;=tol_mcx_inr,ABS($AK1275)&lt;=tol_mcx_inr,ABS($AL1275)&lt;=tol_mcx_inr),"PASS","FAIL")</f>
        <v/>
      </c>
    </row>
    <row r="1276">
      <c r="A1276" s="7" t="inlineStr">
        <is>
          <t>T05</t>
        </is>
      </c>
      <c r="B1276" s="7" t="inlineStr">
        <is>
          <t>T05-MCX-3</t>
        </is>
      </c>
      <c r="C1276" s="11" t="n">
        <v>44742</v>
      </c>
      <c r="D1276" s="7" t="n">
        <v>202207</v>
      </c>
      <c r="E1276" s="7" t="inlineStr">
        <is>
          <t>SELL</t>
        </is>
      </c>
      <c r="F1276" s="7" t="inlineStr">
        <is>
          <t>hold</t>
        </is>
      </c>
      <c r="G1276" s="17" t="b">
        <v>1</v>
      </c>
      <c r="H1276" s="6" t="n">
        <v>-279</v>
      </c>
      <c r="I1276" s="13" t="n">
        <v>5</v>
      </c>
      <c r="J1276" s="8">
        <f>OR($F1276="entry",$F1276="roll_in")</f>
        <v/>
      </c>
      <c r="K1276" s="8">
        <f>OR($F1276="exit",$F1276="roll_out")</f>
        <v/>
      </c>
      <c r="L1276" s="8">
        <f>OR(AND($E1276="SELL",$K1276),AND($E1276="BUY",$J1276))</f>
        <v/>
      </c>
      <c r="M1276" s="16">
        <f>((INDEX(Market_Daily!$B$6:$B$256,MATCH($C1276,Market_Daily!$A$6:$A$256,0))*INDEX(Market_Daily!$F$6:$F$256,MATCH($C1276,Market_Daily!$A$6:$A$256,0))/kg_per_mt*(1+bcd_primary_al_hs7601*(1+sws_rate_on_bcd))+mcx_domestic_premium_inr_kg)*(1+INDEX(Market_Daily!$I$6:$I$256,MATCH($C1276,Market_Daily!$A$6:$A$256,0))*MAX(0,INDEX(mcx_expiries,MATCH($D1276,mcx_months,0))-$C1276)/day_count_inr))</f>
        <v/>
      </c>
      <c r="N1276" s="16">
        <f>IF(INDEX(Market_Daily!$S$6:$S$256,MATCH($C1276,Market_Daily!$A$6:$A$256,0))=$D1276,INDEX(Market_Daily!$M$6:$M$256,MATCH($C1276,Market_Daily!$A$6:$A$256,0)),IF(INDEX(Market_Daily!$T$6:$T$256,MATCH($C1276,Market_Daily!$A$6:$A$256,0))=$D1276,INDEX(Market_Daily!$N$6:$N$256,MATCH($C1276,Market_Daily!$A$6:$A$256,0)),NA()))</f>
        <v/>
      </c>
      <c r="O1276" s="16">
        <f>$N1276-$M1276</f>
        <v/>
      </c>
      <c r="P1276" s="16">
        <f>IF(($B1275=$B1276),$M1275,"")</f>
        <v/>
      </c>
      <c r="Q1276" s="16">
        <f>$M1276+IF($L1276,1,-1)*mcx_slippage_ticks*mcx_al_tick_inr_kg</f>
        <v/>
      </c>
      <c r="R1276" s="18">
        <f>IF(($B1275=$B1276),$H1276*$I1276*kg_per_mt*($M1276-$M1275),0)</f>
        <v/>
      </c>
      <c r="S1276" s="18">
        <f>IF(($B1275=$B1276),$S1275,0)+$R1276</f>
        <v/>
      </c>
      <c r="T1276" s="18">
        <f>ABS($H1276)*$I1276*kg_per_mt*$M1276</f>
        <v/>
      </c>
      <c r="U1276" s="18">
        <f>IF($K1276,0,$T1276*mcx_al_margin_used_frac)</f>
        <v/>
      </c>
      <c r="V1276" s="18">
        <f>IF(($B1275=$B1276),$U1275,0)</f>
        <v/>
      </c>
      <c r="W1276" s="18">
        <f>$U1276-$V1276</f>
        <v/>
      </c>
      <c r="X1276" s="18">
        <f>IF($K1276,0,$T1276*0.12)</f>
        <v/>
      </c>
      <c r="Y1276" s="18">
        <f>IF($K1276,0,$T1276*0.15)</f>
        <v/>
      </c>
      <c r="Z1276" s="18">
        <f>IF($F1276="hold",0,-ABS($H1276)*$I1276*kg_per_mt*mcx_slippage_ticks*mcx_al_tick_inr_kg)</f>
        <v/>
      </c>
      <c r="AA1276" s="18">
        <f>IF($F1276="hold",0,-ABS($H1276)*$I1276*kg_per_mt*$Q1276*mcx_txn_cost_frac)</f>
        <v/>
      </c>
      <c r="AB1276" s="18">
        <f>$Z1276+$AA1276</f>
        <v/>
      </c>
      <c r="AC1276" s="18">
        <f>$R1276-$W1276+$AB1276</f>
        <v/>
      </c>
      <c r="AD1276" s="18">
        <f>IF(($B1275=$B1276),$AD1275,0)+$AC1276</f>
        <v/>
      </c>
      <c r="AE1276" s="23" t="n">
        <v>6267195.75</v>
      </c>
      <c r="AF1276" s="23" t="n">
        <v>28731750.3</v>
      </c>
      <c r="AG1276" s="23" t="n">
        <v>0</v>
      </c>
      <c r="AH1276" s="23" t="n">
        <v>6893915.33</v>
      </c>
      <c r="AI1276" s="23" t="n">
        <v>-7212.05</v>
      </c>
      <c r="AJ1276" s="18">
        <f>$R1276-$AE1276</f>
        <v/>
      </c>
      <c r="AK1276" s="18">
        <f>$U1276-$AF1276</f>
        <v/>
      </c>
      <c r="AL1276" s="18">
        <f>$AC1276-$AH1276</f>
        <v/>
      </c>
      <c r="AM1276" s="8">
        <f>IF(AND(ABS($AJ1276)&lt;=tol_mcx_inr,ABS($AK1276)&lt;=tol_mcx_inr,ABS($AL1276)&lt;=tol_mcx_inr),"PASS","FAIL")</f>
        <v/>
      </c>
    </row>
    <row r="1277">
      <c r="A1277" s="7" t="inlineStr">
        <is>
          <t>T05</t>
        </is>
      </c>
      <c r="B1277" s="7" t="inlineStr">
        <is>
          <t>T05-MCX-3</t>
        </is>
      </c>
      <c r="C1277" s="11" t="n">
        <v>44743</v>
      </c>
      <c r="D1277" s="7" t="n">
        <v>202207</v>
      </c>
      <c r="E1277" s="7" t="inlineStr">
        <is>
          <t>SELL</t>
        </is>
      </c>
      <c r="F1277" s="7" t="inlineStr">
        <is>
          <t>hold</t>
        </is>
      </c>
      <c r="G1277" s="17" t="b">
        <v>1</v>
      </c>
      <c r="H1277" s="6" t="n">
        <v>-279</v>
      </c>
      <c r="I1277" s="13" t="n">
        <v>5</v>
      </c>
      <c r="J1277" s="8">
        <f>OR($F1277="entry",$F1277="roll_in")</f>
        <v/>
      </c>
      <c r="K1277" s="8">
        <f>OR($F1277="exit",$F1277="roll_out")</f>
        <v/>
      </c>
      <c r="L1277" s="8">
        <f>OR(AND($E1277="SELL",$K1277),AND($E1277="BUY",$J1277))</f>
        <v/>
      </c>
      <c r="M1277" s="16">
        <f>((INDEX(Market_Daily!$B$6:$B$256,MATCH($C1277,Market_Daily!$A$6:$A$256,0))*INDEX(Market_Daily!$F$6:$F$256,MATCH($C1277,Market_Daily!$A$6:$A$256,0))/kg_per_mt*(1+bcd_primary_al_hs7601*(1+sws_rate_on_bcd))+mcx_domestic_premium_inr_kg)*(1+INDEX(Market_Daily!$I$6:$I$256,MATCH($C1277,Market_Daily!$A$6:$A$256,0))*MAX(0,INDEX(mcx_expiries,MATCH($D1277,mcx_months,0))-$C1277)/day_count_inr))</f>
        <v/>
      </c>
      <c r="N1277" s="16">
        <f>IF(INDEX(Market_Daily!$S$6:$S$256,MATCH($C1277,Market_Daily!$A$6:$A$256,0))=$D1277,INDEX(Market_Daily!$M$6:$M$256,MATCH($C1277,Market_Daily!$A$6:$A$256,0)),IF(INDEX(Market_Daily!$T$6:$T$256,MATCH($C1277,Market_Daily!$A$6:$A$256,0))=$D1277,INDEX(Market_Daily!$N$6:$N$256,MATCH($C1277,Market_Daily!$A$6:$A$256,0)),NA()))</f>
        <v/>
      </c>
      <c r="O1277" s="16">
        <f>$N1277-$M1277</f>
        <v/>
      </c>
      <c r="P1277" s="16">
        <f>IF(($B1276=$B1277),$M1276,"")</f>
        <v/>
      </c>
      <c r="Q1277" s="16">
        <f>$M1277+IF($L1277,1,-1)*mcx_slippage_ticks*mcx_al_tick_inr_kg</f>
        <v/>
      </c>
      <c r="R1277" s="18">
        <f>IF(($B1276=$B1277),$H1277*$I1277*kg_per_mt*($M1277-$M1276),0)</f>
        <v/>
      </c>
      <c r="S1277" s="18">
        <f>IF(($B1276=$B1277),$S1276,0)+$R1277</f>
        <v/>
      </c>
      <c r="T1277" s="18">
        <f>ABS($H1277)*$I1277*kg_per_mt*$M1277</f>
        <v/>
      </c>
      <c r="U1277" s="18">
        <f>IF($K1277,0,$T1277*mcx_al_margin_used_frac)</f>
        <v/>
      </c>
      <c r="V1277" s="18">
        <f>IF(($B1276=$B1277),$U1276,0)</f>
        <v/>
      </c>
      <c r="W1277" s="18">
        <f>$U1277-$V1277</f>
        <v/>
      </c>
      <c r="X1277" s="18">
        <f>IF($K1277,0,$T1277*0.12)</f>
        <v/>
      </c>
      <c r="Y1277" s="18">
        <f>IF($K1277,0,$T1277*0.15)</f>
        <v/>
      </c>
      <c r="Z1277" s="18">
        <f>IF($F1277="hold",0,-ABS($H1277)*$I1277*kg_per_mt*mcx_slippage_ticks*mcx_al_tick_inr_kg)</f>
        <v/>
      </c>
      <c r="AA1277" s="18">
        <f>IF($F1277="hold",0,-ABS($H1277)*$I1277*kg_per_mt*$Q1277*mcx_txn_cost_frac)</f>
        <v/>
      </c>
      <c r="AB1277" s="18">
        <f>$Z1277+$AA1277</f>
        <v/>
      </c>
      <c r="AC1277" s="18">
        <f>$R1277-$W1277+$AB1277</f>
        <v/>
      </c>
      <c r="AD1277" s="18">
        <f>IF(($B1276=$B1277),$AD1276,0)+$AC1277</f>
        <v/>
      </c>
      <c r="AE1277" s="23" t="n">
        <v>1695086.81</v>
      </c>
      <c r="AF1277" s="23" t="n">
        <v>28562241.62</v>
      </c>
      <c r="AG1277" s="23" t="n">
        <v>0</v>
      </c>
      <c r="AH1277" s="23" t="n">
        <v>1864595.49</v>
      </c>
      <c r="AI1277" s="23" t="n">
        <v>-5342.19</v>
      </c>
      <c r="AJ1277" s="18">
        <f>$R1277-$AE1277</f>
        <v/>
      </c>
      <c r="AK1277" s="18">
        <f>$U1277-$AF1277</f>
        <v/>
      </c>
      <c r="AL1277" s="18">
        <f>$AC1277-$AH1277</f>
        <v/>
      </c>
      <c r="AM1277" s="8">
        <f>IF(AND(ABS($AJ1277)&lt;=tol_mcx_inr,ABS($AK1277)&lt;=tol_mcx_inr,ABS($AL1277)&lt;=tol_mcx_inr),"PASS","FAIL")</f>
        <v/>
      </c>
    </row>
    <row r="1278">
      <c r="A1278" s="7" t="inlineStr">
        <is>
          <t>T05</t>
        </is>
      </c>
      <c r="B1278" s="7" t="inlineStr">
        <is>
          <t>T05-MCX-3</t>
        </is>
      </c>
      <c r="C1278" s="11" t="n">
        <v>44746</v>
      </c>
      <c r="D1278" s="7" t="n">
        <v>202207</v>
      </c>
      <c r="E1278" s="7" t="inlineStr">
        <is>
          <t>SELL</t>
        </is>
      </c>
      <c r="F1278" s="7" t="inlineStr">
        <is>
          <t>exit</t>
        </is>
      </c>
      <c r="G1278" s="17" t="b">
        <v>1</v>
      </c>
      <c r="H1278" s="6" t="n">
        <v>-279</v>
      </c>
      <c r="I1278" s="13" t="n">
        <v>5</v>
      </c>
      <c r="J1278" s="8">
        <f>OR($F1278="entry",$F1278="roll_in")</f>
        <v/>
      </c>
      <c r="K1278" s="8">
        <f>OR($F1278="exit",$F1278="roll_out")</f>
        <v/>
      </c>
      <c r="L1278" s="8">
        <f>OR(AND($E1278="SELL",$K1278),AND($E1278="BUY",$J1278))</f>
        <v/>
      </c>
      <c r="M1278" s="16">
        <f>((INDEX(Market_Daily!$B$6:$B$256,MATCH($C1278,Market_Daily!$A$6:$A$256,0))*INDEX(Market_Daily!$F$6:$F$256,MATCH($C1278,Market_Daily!$A$6:$A$256,0))/kg_per_mt*(1+bcd_primary_al_hs7601*(1+sws_rate_on_bcd))+mcx_domestic_premium_inr_kg)*(1+INDEX(Market_Daily!$I$6:$I$256,MATCH($C1278,Market_Daily!$A$6:$A$256,0))*MAX(0,INDEX(mcx_expiries,MATCH($D1278,mcx_months,0))-$C1278)/day_count_inr))</f>
        <v/>
      </c>
      <c r="N1278" s="16">
        <f>IF(INDEX(Market_Daily!$S$6:$S$256,MATCH($C1278,Market_Daily!$A$6:$A$256,0))=$D1278,INDEX(Market_Daily!$M$6:$M$256,MATCH($C1278,Market_Daily!$A$6:$A$256,0)),IF(INDEX(Market_Daily!$T$6:$T$256,MATCH($C1278,Market_Daily!$A$6:$A$256,0))=$D1278,INDEX(Market_Daily!$N$6:$N$256,MATCH($C1278,Market_Daily!$A$6:$A$256,0)),NA()))</f>
        <v/>
      </c>
      <c r="O1278" s="16">
        <f>$N1278-$M1278</f>
        <v/>
      </c>
      <c r="P1278" s="16">
        <f>IF(($B1277=$B1278),$M1277,"")</f>
        <v/>
      </c>
      <c r="Q1278" s="16">
        <f>$M1278+IF($L1278,1,-1)*mcx_slippage_ticks*mcx_al_tick_inr_kg</f>
        <v/>
      </c>
      <c r="R1278" s="18">
        <f>IF(($B1277=$B1278),$H1278*$I1278*kg_per_mt*($M1278-$M1277),0)</f>
        <v/>
      </c>
      <c r="S1278" s="18">
        <f>IF(($B1277=$B1278),$S1277,0)+$R1278</f>
        <v/>
      </c>
      <c r="T1278" s="18">
        <f>ABS($H1278)*$I1278*kg_per_mt*$M1278</f>
        <v/>
      </c>
      <c r="U1278" s="18">
        <f>IF($K1278,0,$T1278*mcx_al_margin_used_frac)</f>
        <v/>
      </c>
      <c r="V1278" s="18">
        <f>IF(($B1277=$B1278),$U1277,0)</f>
        <v/>
      </c>
      <c r="W1278" s="18">
        <f>$U1278-$V1278</f>
        <v/>
      </c>
      <c r="X1278" s="18">
        <f>IF($K1278,0,$T1278*0.12)</f>
        <v/>
      </c>
      <c r="Y1278" s="18">
        <f>IF($K1278,0,$T1278*0.15)</f>
        <v/>
      </c>
      <c r="Z1278" s="18">
        <f>IF($F1278="hold",0,-ABS($H1278)*$I1278*kg_per_mt*mcx_slippage_ticks*mcx_al_tick_inr_kg)</f>
        <v/>
      </c>
      <c r="AA1278" s="18">
        <f>IF($F1278="hold",0,-ABS($H1278)*$I1278*kg_per_mt*$Q1278*mcx_txn_cost_frac)</f>
        <v/>
      </c>
      <c r="AB1278" s="18">
        <f>$Z1278+$AA1278</f>
        <v/>
      </c>
      <c r="AC1278" s="18">
        <f>$R1278-$W1278+$AB1278</f>
        <v/>
      </c>
      <c r="AD1278" s="18">
        <f>IF(($B1277=$B1278),$AD1277,0)+$AC1278</f>
        <v/>
      </c>
      <c r="AE1278" s="23" t="n">
        <v>-5193854.6</v>
      </c>
      <c r="AF1278" s="23" t="n">
        <v>0</v>
      </c>
      <c r="AG1278" s="23" t="n">
        <v>-226786.73</v>
      </c>
      <c r="AH1278" s="23" t="n">
        <v>23141600.29</v>
      </c>
      <c r="AI1278" s="23" t="n">
        <v>-14509.36</v>
      </c>
      <c r="AJ1278" s="18">
        <f>$R1278-$AE1278</f>
        <v/>
      </c>
      <c r="AK1278" s="18">
        <f>$U1278-$AF1278</f>
        <v/>
      </c>
      <c r="AL1278" s="18">
        <f>$AC1278-$AH1278</f>
        <v/>
      </c>
      <c r="AM1278" s="8">
        <f>IF(AND(ABS($AJ1278)&lt;=tol_mcx_inr,ABS($AK1278)&lt;=tol_mcx_inr,ABS($AL1278)&lt;=tol_mcx_inr),"PASS","FAIL")</f>
        <v/>
      </c>
    </row>
    <row r="1279">
      <c r="A1279" s="7" t="inlineStr">
        <is>
          <t>T05</t>
        </is>
      </c>
      <c r="B1279" s="7" t="inlineStr">
        <is>
          <t>T05-MCX-4</t>
        </is>
      </c>
      <c r="C1279" s="11" t="n">
        <v>44733</v>
      </c>
      <c r="D1279" s="7" t="n">
        <v>202207</v>
      </c>
      <c r="E1279" s="7" t="inlineStr">
        <is>
          <t>SELL</t>
        </is>
      </c>
      <c r="F1279" s="7" t="inlineStr">
        <is>
          <t>roll_in</t>
        </is>
      </c>
      <c r="G1279" s="17" t="b">
        <v>1</v>
      </c>
      <c r="H1279" s="6" t="n">
        <v>-105</v>
      </c>
      <c r="I1279" s="13" t="n">
        <v>5</v>
      </c>
      <c r="J1279" s="8">
        <f>OR($F1279="entry",$F1279="roll_in")</f>
        <v/>
      </c>
      <c r="K1279" s="8">
        <f>OR($F1279="exit",$F1279="roll_out")</f>
        <v/>
      </c>
      <c r="L1279" s="8">
        <f>OR(AND($E1279="SELL",$K1279),AND($E1279="BUY",$J1279))</f>
        <v/>
      </c>
      <c r="M1279" s="16">
        <f>((INDEX(Market_Daily!$B$6:$B$256,MATCH($C1279,Market_Daily!$A$6:$A$256,0))*INDEX(Market_Daily!$F$6:$F$256,MATCH($C1279,Market_Daily!$A$6:$A$256,0))/kg_per_mt*(1+bcd_primary_al_hs7601*(1+sws_rate_on_bcd))+mcx_domestic_premium_inr_kg)*(1+INDEX(Market_Daily!$I$6:$I$256,MATCH($C1279,Market_Daily!$A$6:$A$256,0))*MAX(0,INDEX(mcx_expiries,MATCH($D1279,mcx_months,0))-$C1279)/day_count_inr))</f>
        <v/>
      </c>
      <c r="N1279" s="16">
        <f>IF(INDEX(Market_Daily!$S$6:$S$256,MATCH($C1279,Market_Daily!$A$6:$A$256,0))=$D1279,INDEX(Market_Daily!$M$6:$M$256,MATCH($C1279,Market_Daily!$A$6:$A$256,0)),IF(INDEX(Market_Daily!$T$6:$T$256,MATCH($C1279,Market_Daily!$A$6:$A$256,0))=$D1279,INDEX(Market_Daily!$N$6:$N$256,MATCH($C1279,Market_Daily!$A$6:$A$256,0)),NA()))</f>
        <v/>
      </c>
      <c r="O1279" s="16">
        <f>$N1279-$M1279</f>
        <v/>
      </c>
      <c r="P1279" s="16">
        <f>IF(($B1278=$B1279),$M1278,"")</f>
        <v/>
      </c>
      <c r="Q1279" s="16">
        <f>$M1279+IF($L1279,1,-1)*mcx_slippage_ticks*mcx_al_tick_inr_kg</f>
        <v/>
      </c>
      <c r="R1279" s="18">
        <f>IF(($B1278=$B1279),$H1279*$I1279*kg_per_mt*($M1279-$M1278),0)</f>
        <v/>
      </c>
      <c r="S1279" s="18">
        <f>IF(($B1278=$B1279),$S1278,0)+$R1279</f>
        <v/>
      </c>
      <c r="T1279" s="18">
        <f>ABS($H1279)*$I1279*kg_per_mt*$M1279</f>
        <v/>
      </c>
      <c r="U1279" s="18">
        <f>IF($K1279,0,$T1279*mcx_al_margin_used_frac)</f>
        <v/>
      </c>
      <c r="V1279" s="18">
        <f>IF(($B1278=$B1279),$U1278,0)</f>
        <v/>
      </c>
      <c r="W1279" s="18">
        <f>$U1279-$V1279</f>
        <v/>
      </c>
      <c r="X1279" s="18">
        <f>IF($K1279,0,$T1279*0.12)</f>
        <v/>
      </c>
      <c r="Y1279" s="18">
        <f>IF($K1279,0,$T1279*0.15)</f>
        <v/>
      </c>
      <c r="Z1279" s="18">
        <f>IF($F1279="hold",0,-ABS($H1279)*$I1279*kg_per_mt*mcx_slippage_ticks*mcx_al_tick_inr_kg)</f>
        <v/>
      </c>
      <c r="AA1279" s="18">
        <f>IF($F1279="hold",0,-ABS($H1279)*$I1279*kg_per_mt*$Q1279*mcx_txn_cost_frac)</f>
        <v/>
      </c>
      <c r="AB1279" s="18">
        <f>$Z1279+$AA1279</f>
        <v/>
      </c>
      <c r="AC1279" s="18">
        <f>$R1279-$W1279+$AB1279</f>
        <v/>
      </c>
      <c r="AD1279" s="18">
        <f>IF(($B1278=$B1279),$AD1278,0)+$AC1279</f>
        <v/>
      </c>
      <c r="AE1279" s="23" t="n">
        <v>0</v>
      </c>
      <c r="AF1279" s="23" t="n">
        <v>11246462.41</v>
      </c>
      <c r="AG1279" s="23" t="n">
        <v>-86223.64</v>
      </c>
      <c r="AH1279" s="23" t="n">
        <v>-11332686.04</v>
      </c>
      <c r="AI1279" s="23" t="n">
        <v>0</v>
      </c>
      <c r="AJ1279" s="18">
        <f>$R1279-$AE1279</f>
        <v/>
      </c>
      <c r="AK1279" s="18">
        <f>$U1279-$AF1279</f>
        <v/>
      </c>
      <c r="AL1279" s="18">
        <f>$AC1279-$AH1279</f>
        <v/>
      </c>
      <c r="AM1279" s="8">
        <f>IF(AND(ABS($AJ1279)&lt;=tol_mcx_inr,ABS($AK1279)&lt;=tol_mcx_inr,ABS($AL1279)&lt;=tol_mcx_inr),"PASS","FAIL")</f>
        <v/>
      </c>
    </row>
    <row r="1280">
      <c r="A1280" s="7" t="inlineStr">
        <is>
          <t>T05</t>
        </is>
      </c>
      <c r="B1280" s="7" t="inlineStr">
        <is>
          <t>T05-MCX-4</t>
        </is>
      </c>
      <c r="C1280" s="11" t="n">
        <v>44734</v>
      </c>
      <c r="D1280" s="7" t="n">
        <v>202207</v>
      </c>
      <c r="E1280" s="7" t="inlineStr">
        <is>
          <t>SELL</t>
        </is>
      </c>
      <c r="F1280" s="7" t="inlineStr">
        <is>
          <t>hold</t>
        </is>
      </c>
      <c r="G1280" s="17" t="b">
        <v>1</v>
      </c>
      <c r="H1280" s="6" t="n">
        <v>-105</v>
      </c>
      <c r="I1280" s="13" t="n">
        <v>5</v>
      </c>
      <c r="J1280" s="8">
        <f>OR($F1280="entry",$F1280="roll_in")</f>
        <v/>
      </c>
      <c r="K1280" s="8">
        <f>OR($F1280="exit",$F1280="roll_out")</f>
        <v/>
      </c>
      <c r="L1280" s="8">
        <f>OR(AND($E1280="SELL",$K1280),AND($E1280="BUY",$J1280))</f>
        <v/>
      </c>
      <c r="M1280" s="16">
        <f>((INDEX(Market_Daily!$B$6:$B$256,MATCH($C1280,Market_Daily!$A$6:$A$256,0))*INDEX(Market_Daily!$F$6:$F$256,MATCH($C1280,Market_Daily!$A$6:$A$256,0))/kg_per_mt*(1+bcd_primary_al_hs7601*(1+sws_rate_on_bcd))+mcx_domestic_premium_inr_kg)*(1+INDEX(Market_Daily!$I$6:$I$256,MATCH($C1280,Market_Daily!$A$6:$A$256,0))*MAX(0,INDEX(mcx_expiries,MATCH($D1280,mcx_months,0))-$C1280)/day_count_inr))</f>
        <v/>
      </c>
      <c r="N1280" s="16">
        <f>IF(INDEX(Market_Daily!$S$6:$S$256,MATCH($C1280,Market_Daily!$A$6:$A$256,0))=$D1280,INDEX(Market_Daily!$M$6:$M$256,MATCH($C1280,Market_Daily!$A$6:$A$256,0)),IF(INDEX(Market_Daily!$T$6:$T$256,MATCH($C1280,Market_Daily!$A$6:$A$256,0))=$D1280,INDEX(Market_Daily!$N$6:$N$256,MATCH($C1280,Market_Daily!$A$6:$A$256,0)),NA()))</f>
        <v/>
      </c>
      <c r="O1280" s="16">
        <f>$N1280-$M1280</f>
        <v/>
      </c>
      <c r="P1280" s="16">
        <f>IF(($B1279=$B1280),$M1279,"")</f>
        <v/>
      </c>
      <c r="Q1280" s="16">
        <f>$M1280+IF($L1280,1,-1)*mcx_slippage_ticks*mcx_al_tick_inr_kg</f>
        <v/>
      </c>
      <c r="R1280" s="18">
        <f>IF(($B1279=$B1280),$H1280*$I1280*kg_per_mt*($M1280-$M1279),0)</f>
        <v/>
      </c>
      <c r="S1280" s="18">
        <f>IF(($B1279=$B1280),$S1279,0)+$R1280</f>
        <v/>
      </c>
      <c r="T1280" s="18">
        <f>ABS($H1280)*$I1280*kg_per_mt*$M1280</f>
        <v/>
      </c>
      <c r="U1280" s="18">
        <f>IF($K1280,0,$T1280*mcx_al_margin_used_frac)</f>
        <v/>
      </c>
      <c r="V1280" s="18">
        <f>IF(($B1279=$B1280),$U1279,0)</f>
        <v/>
      </c>
      <c r="W1280" s="18">
        <f>$U1280-$V1280</f>
        <v/>
      </c>
      <c r="X1280" s="18">
        <f>IF($K1280,0,$T1280*0.12)</f>
        <v/>
      </c>
      <c r="Y1280" s="18">
        <f>IF($K1280,0,$T1280*0.15)</f>
        <v/>
      </c>
      <c r="Z1280" s="18">
        <f>IF($F1280="hold",0,-ABS($H1280)*$I1280*kg_per_mt*mcx_slippage_ticks*mcx_al_tick_inr_kg)</f>
        <v/>
      </c>
      <c r="AA1280" s="18">
        <f>IF($F1280="hold",0,-ABS($H1280)*$I1280*kg_per_mt*$Q1280*mcx_txn_cost_frac)</f>
        <v/>
      </c>
      <c r="AB1280" s="18">
        <f>$Z1280+$AA1280</f>
        <v/>
      </c>
      <c r="AC1280" s="18">
        <f>$R1280-$W1280+$AB1280</f>
        <v/>
      </c>
      <c r="AD1280" s="18">
        <f>IF(($B1279=$B1280),$AD1279,0)+$AC1280</f>
        <v/>
      </c>
      <c r="AE1280" s="23" t="n">
        <v>2590772.55</v>
      </c>
      <c r="AF1280" s="23" t="n">
        <v>10987385.15</v>
      </c>
      <c r="AG1280" s="23" t="n">
        <v>0</v>
      </c>
      <c r="AH1280" s="23" t="n">
        <v>2849849.8</v>
      </c>
      <c r="AI1280" s="23" t="n">
        <v>-3073.8</v>
      </c>
      <c r="AJ1280" s="18">
        <f>$R1280-$AE1280</f>
        <v/>
      </c>
      <c r="AK1280" s="18">
        <f>$U1280-$AF1280</f>
        <v/>
      </c>
      <c r="AL1280" s="18">
        <f>$AC1280-$AH1280</f>
        <v/>
      </c>
      <c r="AM1280" s="8">
        <f>IF(AND(ABS($AJ1280)&lt;=tol_mcx_inr,ABS($AK1280)&lt;=tol_mcx_inr,ABS($AL1280)&lt;=tol_mcx_inr),"PASS","FAIL")</f>
        <v/>
      </c>
    </row>
    <row r="1281">
      <c r="A1281" s="7" t="inlineStr">
        <is>
          <t>T05</t>
        </is>
      </c>
      <c r="B1281" s="7" t="inlineStr">
        <is>
          <t>T05-MCX-4</t>
        </is>
      </c>
      <c r="C1281" s="11" t="n">
        <v>44735</v>
      </c>
      <c r="D1281" s="7" t="n">
        <v>202207</v>
      </c>
      <c r="E1281" s="7" t="inlineStr">
        <is>
          <t>SELL</t>
        </is>
      </c>
      <c r="F1281" s="7" t="inlineStr">
        <is>
          <t>hold</t>
        </is>
      </c>
      <c r="G1281" s="17" t="b">
        <v>1</v>
      </c>
      <c r="H1281" s="6" t="n">
        <v>-105</v>
      </c>
      <c r="I1281" s="13" t="n">
        <v>5</v>
      </c>
      <c r="J1281" s="8">
        <f>OR($F1281="entry",$F1281="roll_in")</f>
        <v/>
      </c>
      <c r="K1281" s="8">
        <f>OR($F1281="exit",$F1281="roll_out")</f>
        <v/>
      </c>
      <c r="L1281" s="8">
        <f>OR(AND($E1281="SELL",$K1281),AND($E1281="BUY",$J1281))</f>
        <v/>
      </c>
      <c r="M1281" s="16">
        <f>((INDEX(Market_Daily!$B$6:$B$256,MATCH($C1281,Market_Daily!$A$6:$A$256,0))*INDEX(Market_Daily!$F$6:$F$256,MATCH($C1281,Market_Daily!$A$6:$A$256,0))/kg_per_mt*(1+bcd_primary_al_hs7601*(1+sws_rate_on_bcd))+mcx_domestic_premium_inr_kg)*(1+INDEX(Market_Daily!$I$6:$I$256,MATCH($C1281,Market_Daily!$A$6:$A$256,0))*MAX(0,INDEX(mcx_expiries,MATCH($D1281,mcx_months,0))-$C1281)/day_count_inr))</f>
        <v/>
      </c>
      <c r="N1281" s="16">
        <f>IF(INDEX(Market_Daily!$S$6:$S$256,MATCH($C1281,Market_Daily!$A$6:$A$256,0))=$D1281,INDEX(Market_Daily!$M$6:$M$256,MATCH($C1281,Market_Daily!$A$6:$A$256,0)),IF(INDEX(Market_Daily!$T$6:$T$256,MATCH($C1281,Market_Daily!$A$6:$A$256,0))=$D1281,INDEX(Market_Daily!$N$6:$N$256,MATCH($C1281,Market_Daily!$A$6:$A$256,0)),NA()))</f>
        <v/>
      </c>
      <c r="O1281" s="16">
        <f>$N1281-$M1281</f>
        <v/>
      </c>
      <c r="P1281" s="16">
        <f>IF(($B1280=$B1281),$M1280,"")</f>
        <v/>
      </c>
      <c r="Q1281" s="16">
        <f>$M1281+IF($L1281,1,-1)*mcx_slippage_ticks*mcx_al_tick_inr_kg</f>
        <v/>
      </c>
      <c r="R1281" s="18">
        <f>IF(($B1280=$B1281),$H1281*$I1281*kg_per_mt*($M1281-$M1280),0)</f>
        <v/>
      </c>
      <c r="S1281" s="18">
        <f>IF(($B1280=$B1281),$S1280,0)+$R1281</f>
        <v/>
      </c>
      <c r="T1281" s="18">
        <f>ABS($H1281)*$I1281*kg_per_mt*$M1281</f>
        <v/>
      </c>
      <c r="U1281" s="18">
        <f>IF($K1281,0,$T1281*mcx_al_margin_used_frac)</f>
        <v/>
      </c>
      <c r="V1281" s="18">
        <f>IF(($B1280=$B1281),$U1280,0)</f>
        <v/>
      </c>
      <c r="W1281" s="18">
        <f>$U1281-$V1281</f>
        <v/>
      </c>
      <c r="X1281" s="18">
        <f>IF($K1281,0,$T1281*0.12)</f>
        <v/>
      </c>
      <c r="Y1281" s="18">
        <f>IF($K1281,0,$T1281*0.15)</f>
        <v/>
      </c>
      <c r="Z1281" s="18">
        <f>IF($F1281="hold",0,-ABS($H1281)*$I1281*kg_per_mt*mcx_slippage_ticks*mcx_al_tick_inr_kg)</f>
        <v/>
      </c>
      <c r="AA1281" s="18">
        <f>IF($F1281="hold",0,-ABS($H1281)*$I1281*kg_per_mt*$Q1281*mcx_txn_cost_frac)</f>
        <v/>
      </c>
      <c r="AB1281" s="18">
        <f>$Z1281+$AA1281</f>
        <v/>
      </c>
      <c r="AC1281" s="18">
        <f>$R1281-$W1281+$AB1281</f>
        <v/>
      </c>
      <c r="AD1281" s="18">
        <f>IF(($B1280=$B1281),$AD1280,0)+$AC1281</f>
        <v/>
      </c>
      <c r="AE1281" s="23" t="n">
        <v>-1027607.7</v>
      </c>
      <c r="AF1281" s="23" t="n">
        <v>11090145.92</v>
      </c>
      <c r="AG1281" s="23" t="n">
        <v>0</v>
      </c>
      <c r="AH1281" s="23" t="n">
        <v>-1130368.47</v>
      </c>
      <c r="AI1281" s="23" t="n">
        <v>-2300.82</v>
      </c>
      <c r="AJ1281" s="18">
        <f>$R1281-$AE1281</f>
        <v/>
      </c>
      <c r="AK1281" s="18">
        <f>$U1281-$AF1281</f>
        <v/>
      </c>
      <c r="AL1281" s="18">
        <f>$AC1281-$AH1281</f>
        <v/>
      </c>
      <c r="AM1281" s="8">
        <f>IF(AND(ABS($AJ1281)&lt;=tol_mcx_inr,ABS($AK1281)&lt;=tol_mcx_inr,ABS($AL1281)&lt;=tol_mcx_inr),"PASS","FAIL")</f>
        <v/>
      </c>
    </row>
    <row r="1282">
      <c r="A1282" s="7" t="inlineStr">
        <is>
          <t>T05</t>
        </is>
      </c>
      <c r="B1282" s="7" t="inlineStr">
        <is>
          <t>T05-MCX-4</t>
        </is>
      </c>
      <c r="C1282" s="11" t="n">
        <v>44736</v>
      </c>
      <c r="D1282" s="7" t="n">
        <v>202207</v>
      </c>
      <c r="E1282" s="7" t="inlineStr">
        <is>
          <t>SELL</t>
        </is>
      </c>
      <c r="F1282" s="7" t="inlineStr">
        <is>
          <t>hold</t>
        </is>
      </c>
      <c r="G1282" s="17" t="b">
        <v>1</v>
      </c>
      <c r="H1282" s="6" t="n">
        <v>-105</v>
      </c>
      <c r="I1282" s="13" t="n">
        <v>5</v>
      </c>
      <c r="J1282" s="8">
        <f>OR($F1282="entry",$F1282="roll_in")</f>
        <v/>
      </c>
      <c r="K1282" s="8">
        <f>OR($F1282="exit",$F1282="roll_out")</f>
        <v/>
      </c>
      <c r="L1282" s="8">
        <f>OR(AND($E1282="SELL",$K1282),AND($E1282="BUY",$J1282))</f>
        <v/>
      </c>
      <c r="M1282" s="16">
        <f>((INDEX(Market_Daily!$B$6:$B$256,MATCH($C1282,Market_Daily!$A$6:$A$256,0))*INDEX(Market_Daily!$F$6:$F$256,MATCH($C1282,Market_Daily!$A$6:$A$256,0))/kg_per_mt*(1+bcd_primary_al_hs7601*(1+sws_rate_on_bcd))+mcx_domestic_premium_inr_kg)*(1+INDEX(Market_Daily!$I$6:$I$256,MATCH($C1282,Market_Daily!$A$6:$A$256,0))*MAX(0,INDEX(mcx_expiries,MATCH($D1282,mcx_months,0))-$C1282)/day_count_inr))</f>
        <v/>
      </c>
      <c r="N1282" s="16">
        <f>IF(INDEX(Market_Daily!$S$6:$S$256,MATCH($C1282,Market_Daily!$A$6:$A$256,0))=$D1282,INDEX(Market_Daily!$M$6:$M$256,MATCH($C1282,Market_Daily!$A$6:$A$256,0)),IF(INDEX(Market_Daily!$T$6:$T$256,MATCH($C1282,Market_Daily!$A$6:$A$256,0))=$D1282,INDEX(Market_Daily!$N$6:$N$256,MATCH($C1282,Market_Daily!$A$6:$A$256,0)),NA()))</f>
        <v/>
      </c>
      <c r="O1282" s="16">
        <f>$N1282-$M1282</f>
        <v/>
      </c>
      <c r="P1282" s="16">
        <f>IF(($B1281=$B1282),$M1281,"")</f>
        <v/>
      </c>
      <c r="Q1282" s="16">
        <f>$M1282+IF($L1282,1,-1)*mcx_slippage_ticks*mcx_al_tick_inr_kg</f>
        <v/>
      </c>
      <c r="R1282" s="18">
        <f>IF(($B1281=$B1282),$H1282*$I1282*kg_per_mt*($M1282-$M1281),0)</f>
        <v/>
      </c>
      <c r="S1282" s="18">
        <f>IF(($B1281=$B1282),$S1281,0)+$R1282</f>
        <v/>
      </c>
      <c r="T1282" s="18">
        <f>ABS($H1282)*$I1282*kg_per_mt*$M1282</f>
        <v/>
      </c>
      <c r="U1282" s="18">
        <f>IF($K1282,0,$T1282*mcx_al_margin_used_frac)</f>
        <v/>
      </c>
      <c r="V1282" s="18">
        <f>IF(($B1281=$B1282),$U1281,0)</f>
        <v/>
      </c>
      <c r="W1282" s="18">
        <f>$U1282-$V1282</f>
        <v/>
      </c>
      <c r="X1282" s="18">
        <f>IF($K1282,0,$T1282*0.12)</f>
        <v/>
      </c>
      <c r="Y1282" s="18">
        <f>IF($K1282,0,$T1282*0.15)</f>
        <v/>
      </c>
      <c r="Z1282" s="18">
        <f>IF($F1282="hold",0,-ABS($H1282)*$I1282*kg_per_mt*mcx_slippage_ticks*mcx_al_tick_inr_kg)</f>
        <v/>
      </c>
      <c r="AA1282" s="18">
        <f>IF($F1282="hold",0,-ABS($H1282)*$I1282*kg_per_mt*$Q1282*mcx_txn_cost_frac)</f>
        <v/>
      </c>
      <c r="AB1282" s="18">
        <f>$Z1282+$AA1282</f>
        <v/>
      </c>
      <c r="AC1282" s="18">
        <f>$R1282-$W1282+$AB1282</f>
        <v/>
      </c>
      <c r="AD1282" s="18">
        <f>IF(($B1281=$B1282),$AD1281,0)+$AC1282</f>
        <v/>
      </c>
      <c r="AE1282" s="23" t="n">
        <v>1973689.95</v>
      </c>
      <c r="AF1282" s="23" t="n">
        <v>10892776.93</v>
      </c>
      <c r="AG1282" s="23" t="n">
        <v>0</v>
      </c>
      <c r="AH1282" s="23" t="n">
        <v>2171058.94</v>
      </c>
      <c r="AI1282" s="23" t="n">
        <v>-2607.42</v>
      </c>
      <c r="AJ1282" s="18">
        <f>$R1282-$AE1282</f>
        <v/>
      </c>
      <c r="AK1282" s="18">
        <f>$U1282-$AF1282</f>
        <v/>
      </c>
      <c r="AL1282" s="18">
        <f>$AC1282-$AH1282</f>
        <v/>
      </c>
      <c r="AM1282" s="8">
        <f>IF(AND(ABS($AJ1282)&lt;=tol_mcx_inr,ABS($AK1282)&lt;=tol_mcx_inr,ABS($AL1282)&lt;=tol_mcx_inr),"PASS","FAIL")</f>
        <v/>
      </c>
    </row>
    <row r="1283">
      <c r="A1283" s="7" t="inlineStr">
        <is>
          <t>T05</t>
        </is>
      </c>
      <c r="B1283" s="7" t="inlineStr">
        <is>
          <t>T05-MCX-4</t>
        </is>
      </c>
      <c r="C1283" s="11" t="n">
        <v>44739</v>
      </c>
      <c r="D1283" s="7" t="n">
        <v>202207</v>
      </c>
      <c r="E1283" s="7" t="inlineStr">
        <is>
          <t>SELL</t>
        </is>
      </c>
      <c r="F1283" s="7" t="inlineStr">
        <is>
          <t>hold</t>
        </is>
      </c>
      <c r="G1283" s="17" t="b">
        <v>1</v>
      </c>
      <c r="H1283" s="6" t="n">
        <v>-105</v>
      </c>
      <c r="I1283" s="13" t="n">
        <v>5</v>
      </c>
      <c r="J1283" s="8">
        <f>OR($F1283="entry",$F1283="roll_in")</f>
        <v/>
      </c>
      <c r="K1283" s="8">
        <f>OR($F1283="exit",$F1283="roll_out")</f>
        <v/>
      </c>
      <c r="L1283" s="8">
        <f>OR(AND($E1283="SELL",$K1283),AND($E1283="BUY",$J1283))</f>
        <v/>
      </c>
      <c r="M1283" s="16">
        <f>((INDEX(Market_Daily!$B$6:$B$256,MATCH($C1283,Market_Daily!$A$6:$A$256,0))*INDEX(Market_Daily!$F$6:$F$256,MATCH($C1283,Market_Daily!$A$6:$A$256,0))/kg_per_mt*(1+bcd_primary_al_hs7601*(1+sws_rate_on_bcd))+mcx_domestic_premium_inr_kg)*(1+INDEX(Market_Daily!$I$6:$I$256,MATCH($C1283,Market_Daily!$A$6:$A$256,0))*MAX(0,INDEX(mcx_expiries,MATCH($D1283,mcx_months,0))-$C1283)/day_count_inr))</f>
        <v/>
      </c>
      <c r="N1283" s="16">
        <f>IF(INDEX(Market_Daily!$S$6:$S$256,MATCH($C1283,Market_Daily!$A$6:$A$256,0))=$D1283,INDEX(Market_Daily!$M$6:$M$256,MATCH($C1283,Market_Daily!$A$6:$A$256,0)),IF(INDEX(Market_Daily!$T$6:$T$256,MATCH($C1283,Market_Daily!$A$6:$A$256,0))=$D1283,INDEX(Market_Daily!$N$6:$N$256,MATCH($C1283,Market_Daily!$A$6:$A$256,0)),NA()))</f>
        <v/>
      </c>
      <c r="O1283" s="16">
        <f>$N1283-$M1283</f>
        <v/>
      </c>
      <c r="P1283" s="16">
        <f>IF(($B1282=$B1283),$M1282,"")</f>
        <v/>
      </c>
      <c r="Q1283" s="16">
        <f>$M1283+IF($L1283,1,-1)*mcx_slippage_ticks*mcx_al_tick_inr_kg</f>
        <v/>
      </c>
      <c r="R1283" s="18">
        <f>IF(($B1282=$B1283),$H1283*$I1283*kg_per_mt*($M1283-$M1282),0)</f>
        <v/>
      </c>
      <c r="S1283" s="18">
        <f>IF(($B1282=$B1283),$S1282,0)+$R1283</f>
        <v/>
      </c>
      <c r="T1283" s="18">
        <f>ABS($H1283)*$I1283*kg_per_mt*$M1283</f>
        <v/>
      </c>
      <c r="U1283" s="18">
        <f>IF($K1283,0,$T1283*mcx_al_margin_used_frac)</f>
        <v/>
      </c>
      <c r="V1283" s="18">
        <f>IF(($B1282=$B1283),$U1282,0)</f>
        <v/>
      </c>
      <c r="W1283" s="18">
        <f>$U1283-$V1283</f>
        <v/>
      </c>
      <c r="X1283" s="18">
        <f>IF($K1283,0,$T1283*0.12)</f>
        <v/>
      </c>
      <c r="Y1283" s="18">
        <f>IF($K1283,0,$T1283*0.15)</f>
        <v/>
      </c>
      <c r="Z1283" s="18">
        <f>IF($F1283="hold",0,-ABS($H1283)*$I1283*kg_per_mt*mcx_slippage_ticks*mcx_al_tick_inr_kg)</f>
        <v/>
      </c>
      <c r="AA1283" s="18">
        <f>IF($F1283="hold",0,-ABS($H1283)*$I1283*kg_per_mt*$Q1283*mcx_txn_cost_frac)</f>
        <v/>
      </c>
      <c r="AB1283" s="18">
        <f>$Z1283+$AA1283</f>
        <v/>
      </c>
      <c r="AC1283" s="18">
        <f>$R1283-$W1283+$AB1283</f>
        <v/>
      </c>
      <c r="AD1283" s="18">
        <f>IF(($B1282=$B1283),$AD1282,0)+$AC1283</f>
        <v/>
      </c>
      <c r="AE1283" s="23" t="n">
        <v>-923541.9300000001</v>
      </c>
      <c r="AF1283" s="23" t="n">
        <v>10985131.12</v>
      </c>
      <c r="AG1283" s="23" t="n">
        <v>0</v>
      </c>
      <c r="AH1283" s="23" t="n">
        <v>-1015896.12</v>
      </c>
      <c r="AI1283" s="23" t="n">
        <v>-6055.66</v>
      </c>
      <c r="AJ1283" s="18">
        <f>$R1283-$AE1283</f>
        <v/>
      </c>
      <c r="AK1283" s="18">
        <f>$U1283-$AF1283</f>
        <v/>
      </c>
      <c r="AL1283" s="18">
        <f>$AC1283-$AH1283</f>
        <v/>
      </c>
      <c r="AM1283" s="8">
        <f>IF(AND(ABS($AJ1283)&lt;=tol_mcx_inr,ABS($AK1283)&lt;=tol_mcx_inr,ABS($AL1283)&lt;=tol_mcx_inr),"PASS","FAIL")</f>
        <v/>
      </c>
    </row>
    <row r="1284">
      <c r="A1284" s="7" t="inlineStr">
        <is>
          <t>T05</t>
        </is>
      </c>
      <c r="B1284" s="7" t="inlineStr">
        <is>
          <t>T05-MCX-4</t>
        </is>
      </c>
      <c r="C1284" s="11" t="n">
        <v>44740</v>
      </c>
      <c r="D1284" s="7" t="n">
        <v>202207</v>
      </c>
      <c r="E1284" s="7" t="inlineStr">
        <is>
          <t>SELL</t>
        </is>
      </c>
      <c r="F1284" s="7" t="inlineStr">
        <is>
          <t>hold</t>
        </is>
      </c>
      <c r="G1284" s="17" t="b">
        <v>1</v>
      </c>
      <c r="H1284" s="6" t="n">
        <v>-105</v>
      </c>
      <c r="I1284" s="13" t="n">
        <v>5</v>
      </c>
      <c r="J1284" s="8">
        <f>OR($F1284="entry",$F1284="roll_in")</f>
        <v/>
      </c>
      <c r="K1284" s="8">
        <f>OR($F1284="exit",$F1284="roll_out")</f>
        <v/>
      </c>
      <c r="L1284" s="8">
        <f>OR(AND($E1284="SELL",$K1284),AND($E1284="BUY",$J1284))</f>
        <v/>
      </c>
      <c r="M1284" s="16">
        <f>((INDEX(Market_Daily!$B$6:$B$256,MATCH($C1284,Market_Daily!$A$6:$A$256,0))*INDEX(Market_Daily!$F$6:$F$256,MATCH($C1284,Market_Daily!$A$6:$A$256,0))/kg_per_mt*(1+bcd_primary_al_hs7601*(1+sws_rate_on_bcd))+mcx_domestic_premium_inr_kg)*(1+INDEX(Market_Daily!$I$6:$I$256,MATCH($C1284,Market_Daily!$A$6:$A$256,0))*MAX(0,INDEX(mcx_expiries,MATCH($D1284,mcx_months,0))-$C1284)/day_count_inr))</f>
        <v/>
      </c>
      <c r="N1284" s="16">
        <f>IF(INDEX(Market_Daily!$S$6:$S$256,MATCH($C1284,Market_Daily!$A$6:$A$256,0))=$D1284,INDEX(Market_Daily!$M$6:$M$256,MATCH($C1284,Market_Daily!$A$6:$A$256,0)),IF(INDEX(Market_Daily!$T$6:$T$256,MATCH($C1284,Market_Daily!$A$6:$A$256,0))=$D1284,INDEX(Market_Daily!$N$6:$N$256,MATCH($C1284,Market_Daily!$A$6:$A$256,0)),NA()))</f>
        <v/>
      </c>
      <c r="O1284" s="16">
        <f>$N1284-$M1284</f>
        <v/>
      </c>
      <c r="P1284" s="16">
        <f>IF(($B1283=$B1284),$M1283,"")</f>
        <v/>
      </c>
      <c r="Q1284" s="16">
        <f>$M1284+IF($L1284,1,-1)*mcx_slippage_ticks*mcx_al_tick_inr_kg</f>
        <v/>
      </c>
      <c r="R1284" s="18">
        <f>IF(($B1283=$B1284),$H1284*$I1284*kg_per_mt*($M1284-$M1283),0)</f>
        <v/>
      </c>
      <c r="S1284" s="18">
        <f>IF(($B1283=$B1284),$S1283,0)+$R1284</f>
        <v/>
      </c>
      <c r="T1284" s="18">
        <f>ABS($H1284)*$I1284*kg_per_mt*$M1284</f>
        <v/>
      </c>
      <c r="U1284" s="18">
        <f>IF($K1284,0,$T1284*mcx_al_margin_used_frac)</f>
        <v/>
      </c>
      <c r="V1284" s="18">
        <f>IF(($B1283=$B1284),$U1283,0)</f>
        <v/>
      </c>
      <c r="W1284" s="18">
        <f>$U1284-$V1284</f>
        <v/>
      </c>
      <c r="X1284" s="18">
        <f>IF($K1284,0,$T1284*0.12)</f>
        <v/>
      </c>
      <c r="Y1284" s="18">
        <f>IF($K1284,0,$T1284*0.15)</f>
        <v/>
      </c>
      <c r="Z1284" s="18">
        <f>IF($F1284="hold",0,-ABS($H1284)*$I1284*kg_per_mt*mcx_slippage_ticks*mcx_al_tick_inr_kg)</f>
        <v/>
      </c>
      <c r="AA1284" s="18">
        <f>IF($F1284="hold",0,-ABS($H1284)*$I1284*kg_per_mt*$Q1284*mcx_txn_cost_frac)</f>
        <v/>
      </c>
      <c r="AB1284" s="18">
        <f>$Z1284+$AA1284</f>
        <v/>
      </c>
      <c r="AC1284" s="18">
        <f>$R1284-$W1284+$AB1284</f>
        <v/>
      </c>
      <c r="AD1284" s="18">
        <f>IF(($B1283=$B1284),$AD1283,0)+$AC1284</f>
        <v/>
      </c>
      <c r="AE1284" s="23" t="n">
        <v>-2848232.4</v>
      </c>
      <c r="AF1284" s="23" t="n">
        <v>11269954.36</v>
      </c>
      <c r="AG1284" s="23" t="n">
        <v>0</v>
      </c>
      <c r="AH1284" s="23" t="n">
        <v>-3133055.65</v>
      </c>
      <c r="AI1284" s="23" t="n">
        <v>-2294.1</v>
      </c>
      <c r="AJ1284" s="18">
        <f>$R1284-$AE1284</f>
        <v/>
      </c>
      <c r="AK1284" s="18">
        <f>$U1284-$AF1284</f>
        <v/>
      </c>
      <c r="AL1284" s="18">
        <f>$AC1284-$AH1284</f>
        <v/>
      </c>
      <c r="AM1284" s="8">
        <f>IF(AND(ABS($AJ1284)&lt;=tol_mcx_inr,ABS($AK1284)&lt;=tol_mcx_inr,ABS($AL1284)&lt;=tol_mcx_inr),"PASS","FAIL")</f>
        <v/>
      </c>
    </row>
    <row r="1285">
      <c r="A1285" s="7" t="inlineStr">
        <is>
          <t>T05</t>
        </is>
      </c>
      <c r="B1285" s="7" t="inlineStr">
        <is>
          <t>T05-MCX-4</t>
        </is>
      </c>
      <c r="C1285" s="11" t="n">
        <v>44741</v>
      </c>
      <c r="D1285" s="7" t="n">
        <v>202207</v>
      </c>
      <c r="E1285" s="7" t="inlineStr">
        <is>
          <t>SELL</t>
        </is>
      </c>
      <c r="F1285" s="7" t="inlineStr">
        <is>
          <t>hold</t>
        </is>
      </c>
      <c r="G1285" s="17" t="b">
        <v>1</v>
      </c>
      <c r="H1285" s="6" t="n">
        <v>-105</v>
      </c>
      <c r="I1285" s="13" t="n">
        <v>5</v>
      </c>
      <c r="J1285" s="8">
        <f>OR($F1285="entry",$F1285="roll_in")</f>
        <v/>
      </c>
      <c r="K1285" s="8">
        <f>OR($F1285="exit",$F1285="roll_out")</f>
        <v/>
      </c>
      <c r="L1285" s="8">
        <f>OR(AND($E1285="SELL",$K1285),AND($E1285="BUY",$J1285))</f>
        <v/>
      </c>
      <c r="M1285" s="16">
        <f>((INDEX(Market_Daily!$B$6:$B$256,MATCH($C1285,Market_Daily!$A$6:$A$256,0))*INDEX(Market_Daily!$F$6:$F$256,MATCH($C1285,Market_Daily!$A$6:$A$256,0))/kg_per_mt*(1+bcd_primary_al_hs7601*(1+sws_rate_on_bcd))+mcx_domestic_premium_inr_kg)*(1+INDEX(Market_Daily!$I$6:$I$256,MATCH($C1285,Market_Daily!$A$6:$A$256,0))*MAX(0,INDEX(mcx_expiries,MATCH($D1285,mcx_months,0))-$C1285)/day_count_inr))</f>
        <v/>
      </c>
      <c r="N1285" s="16">
        <f>IF(INDEX(Market_Daily!$S$6:$S$256,MATCH($C1285,Market_Daily!$A$6:$A$256,0))=$D1285,INDEX(Market_Daily!$M$6:$M$256,MATCH($C1285,Market_Daily!$A$6:$A$256,0)),IF(INDEX(Market_Daily!$T$6:$T$256,MATCH($C1285,Market_Daily!$A$6:$A$256,0))=$D1285,INDEX(Market_Daily!$N$6:$N$256,MATCH($C1285,Market_Daily!$A$6:$A$256,0)),NA()))</f>
        <v/>
      </c>
      <c r="O1285" s="16">
        <f>$N1285-$M1285</f>
        <v/>
      </c>
      <c r="P1285" s="16">
        <f>IF(($B1284=$B1285),$M1284,"")</f>
        <v/>
      </c>
      <c r="Q1285" s="16">
        <f>$M1285+IF($L1285,1,-1)*mcx_slippage_ticks*mcx_al_tick_inr_kg</f>
        <v/>
      </c>
      <c r="R1285" s="18">
        <f>IF(($B1284=$B1285),$H1285*$I1285*kg_per_mt*($M1285-$M1284),0)</f>
        <v/>
      </c>
      <c r="S1285" s="18">
        <f>IF(($B1284=$B1285),$S1284,0)+$R1285</f>
        <v/>
      </c>
      <c r="T1285" s="18">
        <f>ABS($H1285)*$I1285*kg_per_mt*$M1285</f>
        <v/>
      </c>
      <c r="U1285" s="18">
        <f>IF($K1285,0,$T1285*mcx_al_margin_used_frac)</f>
        <v/>
      </c>
      <c r="V1285" s="18">
        <f>IF(($B1284=$B1285),$U1284,0)</f>
        <v/>
      </c>
      <c r="W1285" s="18">
        <f>$U1285-$V1285</f>
        <v/>
      </c>
      <c r="X1285" s="18">
        <f>IF($K1285,0,$T1285*0.12)</f>
        <v/>
      </c>
      <c r="Y1285" s="18">
        <f>IF($K1285,0,$T1285*0.15)</f>
        <v/>
      </c>
      <c r="Z1285" s="18">
        <f>IF($F1285="hold",0,-ABS($H1285)*$I1285*kg_per_mt*mcx_slippage_ticks*mcx_al_tick_inr_kg)</f>
        <v/>
      </c>
      <c r="AA1285" s="18">
        <f>IF($F1285="hold",0,-ABS($H1285)*$I1285*kg_per_mt*$Q1285*mcx_txn_cost_frac)</f>
        <v/>
      </c>
      <c r="AB1285" s="18">
        <f>$Z1285+$AA1285</f>
        <v/>
      </c>
      <c r="AC1285" s="18">
        <f>$R1285-$W1285+$AB1285</f>
        <v/>
      </c>
      <c r="AD1285" s="18">
        <f>IF(($B1284=$B1285),$AD1284,0)+$AC1285</f>
        <v/>
      </c>
      <c r="AE1285" s="23" t="n">
        <v>2210678.48</v>
      </c>
      <c r="AF1285" s="23" t="n">
        <v>11048886.51</v>
      </c>
      <c r="AG1285" s="23" t="n">
        <v>0</v>
      </c>
      <c r="AH1285" s="23" t="n">
        <v>2431746.32</v>
      </c>
      <c r="AI1285" s="23" t="n">
        <v>-3143.89</v>
      </c>
      <c r="AJ1285" s="18">
        <f>$R1285-$AE1285</f>
        <v/>
      </c>
      <c r="AK1285" s="18">
        <f>$U1285-$AF1285</f>
        <v/>
      </c>
      <c r="AL1285" s="18">
        <f>$AC1285-$AH1285</f>
        <v/>
      </c>
      <c r="AM1285" s="8">
        <f>IF(AND(ABS($AJ1285)&lt;=tol_mcx_inr,ABS($AK1285)&lt;=tol_mcx_inr,ABS($AL1285)&lt;=tol_mcx_inr),"PASS","FAIL")</f>
        <v/>
      </c>
    </row>
    <row r="1286">
      <c r="A1286" s="7" t="inlineStr">
        <is>
          <t>T05</t>
        </is>
      </c>
      <c r="B1286" s="7" t="inlineStr">
        <is>
          <t>T05-MCX-4</t>
        </is>
      </c>
      <c r="C1286" s="11" t="n">
        <v>44742</v>
      </c>
      <c r="D1286" s="7" t="n">
        <v>202207</v>
      </c>
      <c r="E1286" s="7" t="inlineStr">
        <is>
          <t>SELL</t>
        </is>
      </c>
      <c r="F1286" s="7" t="inlineStr">
        <is>
          <t>hold</t>
        </is>
      </c>
      <c r="G1286" s="17" t="b">
        <v>1</v>
      </c>
      <c r="H1286" s="6" t="n">
        <v>-105</v>
      </c>
      <c r="I1286" s="13" t="n">
        <v>5</v>
      </c>
      <c r="J1286" s="8">
        <f>OR($F1286="entry",$F1286="roll_in")</f>
        <v/>
      </c>
      <c r="K1286" s="8">
        <f>OR($F1286="exit",$F1286="roll_out")</f>
        <v/>
      </c>
      <c r="L1286" s="8">
        <f>OR(AND($E1286="SELL",$K1286),AND($E1286="BUY",$J1286))</f>
        <v/>
      </c>
      <c r="M1286" s="16">
        <f>((INDEX(Market_Daily!$B$6:$B$256,MATCH($C1286,Market_Daily!$A$6:$A$256,0))*INDEX(Market_Daily!$F$6:$F$256,MATCH($C1286,Market_Daily!$A$6:$A$256,0))/kg_per_mt*(1+bcd_primary_al_hs7601*(1+sws_rate_on_bcd))+mcx_domestic_premium_inr_kg)*(1+INDEX(Market_Daily!$I$6:$I$256,MATCH($C1286,Market_Daily!$A$6:$A$256,0))*MAX(0,INDEX(mcx_expiries,MATCH($D1286,mcx_months,0))-$C1286)/day_count_inr))</f>
        <v/>
      </c>
      <c r="N1286" s="16">
        <f>IF(INDEX(Market_Daily!$S$6:$S$256,MATCH($C1286,Market_Daily!$A$6:$A$256,0))=$D1286,INDEX(Market_Daily!$M$6:$M$256,MATCH($C1286,Market_Daily!$A$6:$A$256,0)),IF(INDEX(Market_Daily!$T$6:$T$256,MATCH($C1286,Market_Daily!$A$6:$A$256,0))=$D1286,INDEX(Market_Daily!$N$6:$N$256,MATCH($C1286,Market_Daily!$A$6:$A$256,0)),NA()))</f>
        <v/>
      </c>
      <c r="O1286" s="16">
        <f>$N1286-$M1286</f>
        <v/>
      </c>
      <c r="P1286" s="16">
        <f>IF(($B1285=$B1286),$M1285,"")</f>
        <v/>
      </c>
      <c r="Q1286" s="16">
        <f>$M1286+IF($L1286,1,-1)*mcx_slippage_ticks*mcx_al_tick_inr_kg</f>
        <v/>
      </c>
      <c r="R1286" s="18">
        <f>IF(($B1285=$B1286),$H1286*$I1286*kg_per_mt*($M1286-$M1285),0)</f>
        <v/>
      </c>
      <c r="S1286" s="18">
        <f>IF(($B1285=$B1286),$S1285,0)+$R1286</f>
        <v/>
      </c>
      <c r="T1286" s="18">
        <f>ABS($H1286)*$I1286*kg_per_mt*$M1286</f>
        <v/>
      </c>
      <c r="U1286" s="18">
        <f>IF($K1286,0,$T1286*mcx_al_margin_used_frac)</f>
        <v/>
      </c>
      <c r="V1286" s="18">
        <f>IF(($B1285=$B1286),$U1285,0)</f>
        <v/>
      </c>
      <c r="W1286" s="18">
        <f>$U1286-$V1286</f>
        <v/>
      </c>
      <c r="X1286" s="18">
        <f>IF($K1286,0,$T1286*0.12)</f>
        <v/>
      </c>
      <c r="Y1286" s="18">
        <f>IF($K1286,0,$T1286*0.15)</f>
        <v/>
      </c>
      <c r="Z1286" s="18">
        <f>IF($F1286="hold",0,-ABS($H1286)*$I1286*kg_per_mt*mcx_slippage_ticks*mcx_al_tick_inr_kg)</f>
        <v/>
      </c>
      <c r="AA1286" s="18">
        <f>IF($F1286="hold",0,-ABS($H1286)*$I1286*kg_per_mt*$Q1286*mcx_txn_cost_frac)</f>
        <v/>
      </c>
      <c r="AB1286" s="18">
        <f>$Z1286+$AA1286</f>
        <v/>
      </c>
      <c r="AC1286" s="18">
        <f>$R1286-$W1286+$AB1286</f>
        <v/>
      </c>
      <c r="AD1286" s="18">
        <f>IF(($B1285=$B1286),$AD1285,0)+$AC1286</f>
        <v/>
      </c>
      <c r="AE1286" s="23" t="n">
        <v>2358622.06</v>
      </c>
      <c r="AF1286" s="23" t="n">
        <v>10813024.31</v>
      </c>
      <c r="AG1286" s="23" t="n">
        <v>0</v>
      </c>
      <c r="AH1286" s="23" t="n">
        <v>2594484.26</v>
      </c>
      <c r="AI1286" s="23" t="n">
        <v>-2484.32</v>
      </c>
      <c r="AJ1286" s="18">
        <f>$R1286-$AE1286</f>
        <v/>
      </c>
      <c r="AK1286" s="18">
        <f>$U1286-$AF1286</f>
        <v/>
      </c>
      <c r="AL1286" s="18">
        <f>$AC1286-$AH1286</f>
        <v/>
      </c>
      <c r="AM1286" s="8">
        <f>IF(AND(ABS($AJ1286)&lt;=tol_mcx_inr,ABS($AK1286)&lt;=tol_mcx_inr,ABS($AL1286)&lt;=tol_mcx_inr),"PASS","FAIL")</f>
        <v/>
      </c>
    </row>
    <row r="1287">
      <c r="A1287" s="7" t="inlineStr">
        <is>
          <t>T05</t>
        </is>
      </c>
      <c r="B1287" s="7" t="inlineStr">
        <is>
          <t>T05-MCX-4</t>
        </is>
      </c>
      <c r="C1287" s="11" t="n">
        <v>44743</v>
      </c>
      <c r="D1287" s="7" t="n">
        <v>202207</v>
      </c>
      <c r="E1287" s="7" t="inlineStr">
        <is>
          <t>SELL</t>
        </is>
      </c>
      <c r="F1287" s="7" t="inlineStr">
        <is>
          <t>hold</t>
        </is>
      </c>
      <c r="G1287" s="17" t="b">
        <v>1</v>
      </c>
      <c r="H1287" s="6" t="n">
        <v>-105</v>
      </c>
      <c r="I1287" s="13" t="n">
        <v>5</v>
      </c>
      <c r="J1287" s="8">
        <f>OR($F1287="entry",$F1287="roll_in")</f>
        <v/>
      </c>
      <c r="K1287" s="8">
        <f>OR($F1287="exit",$F1287="roll_out")</f>
        <v/>
      </c>
      <c r="L1287" s="8">
        <f>OR(AND($E1287="SELL",$K1287),AND($E1287="BUY",$J1287))</f>
        <v/>
      </c>
      <c r="M1287" s="16">
        <f>((INDEX(Market_Daily!$B$6:$B$256,MATCH($C1287,Market_Daily!$A$6:$A$256,0))*INDEX(Market_Daily!$F$6:$F$256,MATCH($C1287,Market_Daily!$A$6:$A$256,0))/kg_per_mt*(1+bcd_primary_al_hs7601*(1+sws_rate_on_bcd))+mcx_domestic_premium_inr_kg)*(1+INDEX(Market_Daily!$I$6:$I$256,MATCH($C1287,Market_Daily!$A$6:$A$256,0))*MAX(0,INDEX(mcx_expiries,MATCH($D1287,mcx_months,0))-$C1287)/day_count_inr))</f>
        <v/>
      </c>
      <c r="N1287" s="16">
        <f>IF(INDEX(Market_Daily!$S$6:$S$256,MATCH($C1287,Market_Daily!$A$6:$A$256,0))=$D1287,INDEX(Market_Daily!$M$6:$M$256,MATCH($C1287,Market_Daily!$A$6:$A$256,0)),IF(INDEX(Market_Daily!$T$6:$T$256,MATCH($C1287,Market_Daily!$A$6:$A$256,0))=$D1287,INDEX(Market_Daily!$N$6:$N$256,MATCH($C1287,Market_Daily!$A$6:$A$256,0)),NA()))</f>
        <v/>
      </c>
      <c r="O1287" s="16">
        <f>$N1287-$M1287</f>
        <v/>
      </c>
      <c r="P1287" s="16">
        <f>IF(($B1286=$B1287),$M1286,"")</f>
        <v/>
      </c>
      <c r="Q1287" s="16">
        <f>$M1287+IF($L1287,1,-1)*mcx_slippage_ticks*mcx_al_tick_inr_kg</f>
        <v/>
      </c>
      <c r="R1287" s="18">
        <f>IF(($B1286=$B1287),$H1287*$I1287*kg_per_mt*($M1287-$M1286),0)</f>
        <v/>
      </c>
      <c r="S1287" s="18">
        <f>IF(($B1286=$B1287),$S1286,0)+$R1287</f>
        <v/>
      </c>
      <c r="T1287" s="18">
        <f>ABS($H1287)*$I1287*kg_per_mt*$M1287</f>
        <v/>
      </c>
      <c r="U1287" s="18">
        <f>IF($K1287,0,$T1287*mcx_al_margin_used_frac)</f>
        <v/>
      </c>
      <c r="V1287" s="18">
        <f>IF(($B1286=$B1287),$U1286,0)</f>
        <v/>
      </c>
      <c r="W1287" s="18">
        <f>$U1287-$V1287</f>
        <v/>
      </c>
      <c r="X1287" s="18">
        <f>IF($K1287,0,$T1287*0.12)</f>
        <v/>
      </c>
      <c r="Y1287" s="18">
        <f>IF($K1287,0,$T1287*0.15)</f>
        <v/>
      </c>
      <c r="Z1287" s="18">
        <f>IF($F1287="hold",0,-ABS($H1287)*$I1287*kg_per_mt*mcx_slippage_ticks*mcx_al_tick_inr_kg)</f>
        <v/>
      </c>
      <c r="AA1287" s="18">
        <f>IF($F1287="hold",0,-ABS($H1287)*$I1287*kg_per_mt*$Q1287*mcx_txn_cost_frac)</f>
        <v/>
      </c>
      <c r="AB1287" s="18">
        <f>$Z1287+$AA1287</f>
        <v/>
      </c>
      <c r="AC1287" s="18">
        <f>$R1287-$W1287+$AB1287</f>
        <v/>
      </c>
      <c r="AD1287" s="18">
        <f>IF(($B1286=$B1287),$AD1286,0)+$AC1287</f>
        <v/>
      </c>
      <c r="AE1287" s="23" t="n">
        <v>637935.9</v>
      </c>
      <c r="AF1287" s="23" t="n">
        <v>10749230.72</v>
      </c>
      <c r="AG1287" s="23" t="n">
        <v>0</v>
      </c>
      <c r="AH1287" s="23" t="n">
        <v>701729.48</v>
      </c>
      <c r="AI1287" s="23" t="n">
        <v>-1780.61</v>
      </c>
      <c r="AJ1287" s="18">
        <f>$R1287-$AE1287</f>
        <v/>
      </c>
      <c r="AK1287" s="18">
        <f>$U1287-$AF1287</f>
        <v/>
      </c>
      <c r="AL1287" s="18">
        <f>$AC1287-$AH1287</f>
        <v/>
      </c>
      <c r="AM1287" s="8">
        <f>IF(AND(ABS($AJ1287)&lt;=tol_mcx_inr,ABS($AK1287)&lt;=tol_mcx_inr,ABS($AL1287)&lt;=tol_mcx_inr),"PASS","FAIL")</f>
        <v/>
      </c>
    </row>
    <row r="1288">
      <c r="A1288" s="7" t="inlineStr">
        <is>
          <t>T05</t>
        </is>
      </c>
      <c r="B1288" s="7" t="inlineStr">
        <is>
          <t>T05-MCX-4</t>
        </is>
      </c>
      <c r="C1288" s="11" t="n">
        <v>44746</v>
      </c>
      <c r="D1288" s="7" t="n">
        <v>202207</v>
      </c>
      <c r="E1288" s="7" t="inlineStr">
        <is>
          <t>SELL</t>
        </is>
      </c>
      <c r="F1288" s="7" t="inlineStr">
        <is>
          <t>exit</t>
        </is>
      </c>
      <c r="G1288" s="17" t="b">
        <v>1</v>
      </c>
      <c r="H1288" s="6" t="n">
        <v>-105</v>
      </c>
      <c r="I1288" s="13" t="n">
        <v>5</v>
      </c>
      <c r="J1288" s="8">
        <f>OR($F1288="entry",$F1288="roll_in")</f>
        <v/>
      </c>
      <c r="K1288" s="8">
        <f>OR($F1288="exit",$F1288="roll_out")</f>
        <v/>
      </c>
      <c r="L1288" s="8">
        <f>OR(AND($E1288="SELL",$K1288),AND($E1288="BUY",$J1288))</f>
        <v/>
      </c>
      <c r="M1288" s="16">
        <f>((INDEX(Market_Daily!$B$6:$B$256,MATCH($C1288,Market_Daily!$A$6:$A$256,0))*INDEX(Market_Daily!$F$6:$F$256,MATCH($C1288,Market_Daily!$A$6:$A$256,0))/kg_per_mt*(1+bcd_primary_al_hs7601*(1+sws_rate_on_bcd))+mcx_domestic_premium_inr_kg)*(1+INDEX(Market_Daily!$I$6:$I$256,MATCH($C1288,Market_Daily!$A$6:$A$256,0))*MAX(0,INDEX(mcx_expiries,MATCH($D1288,mcx_months,0))-$C1288)/day_count_inr))</f>
        <v/>
      </c>
      <c r="N1288" s="16">
        <f>IF(INDEX(Market_Daily!$S$6:$S$256,MATCH($C1288,Market_Daily!$A$6:$A$256,0))=$D1288,INDEX(Market_Daily!$M$6:$M$256,MATCH($C1288,Market_Daily!$A$6:$A$256,0)),IF(INDEX(Market_Daily!$T$6:$T$256,MATCH($C1288,Market_Daily!$A$6:$A$256,0))=$D1288,INDEX(Market_Daily!$N$6:$N$256,MATCH($C1288,Market_Daily!$A$6:$A$256,0)),NA()))</f>
        <v/>
      </c>
      <c r="O1288" s="16">
        <f>$N1288-$M1288</f>
        <v/>
      </c>
      <c r="P1288" s="16">
        <f>IF(($B1287=$B1288),$M1287,"")</f>
        <v/>
      </c>
      <c r="Q1288" s="16">
        <f>$M1288+IF($L1288,1,-1)*mcx_slippage_ticks*mcx_al_tick_inr_kg</f>
        <v/>
      </c>
      <c r="R1288" s="18">
        <f>IF(($B1287=$B1288),$H1288*$I1288*kg_per_mt*($M1288-$M1287),0)</f>
        <v/>
      </c>
      <c r="S1288" s="18">
        <f>IF(($B1287=$B1288),$S1287,0)+$R1288</f>
        <v/>
      </c>
      <c r="T1288" s="18">
        <f>ABS($H1288)*$I1288*kg_per_mt*$M1288</f>
        <v/>
      </c>
      <c r="U1288" s="18">
        <f>IF($K1288,0,$T1288*mcx_al_margin_used_frac)</f>
        <v/>
      </c>
      <c r="V1288" s="18">
        <f>IF(($B1287=$B1288),$U1287,0)</f>
        <v/>
      </c>
      <c r="W1288" s="18">
        <f>$U1288-$V1288</f>
        <v/>
      </c>
      <c r="X1288" s="18">
        <f>IF($K1288,0,$T1288*0.12)</f>
        <v/>
      </c>
      <c r="Y1288" s="18">
        <f>IF($K1288,0,$T1288*0.15)</f>
        <v/>
      </c>
      <c r="Z1288" s="18">
        <f>IF($F1288="hold",0,-ABS($H1288)*$I1288*kg_per_mt*mcx_slippage_ticks*mcx_al_tick_inr_kg)</f>
        <v/>
      </c>
      <c r="AA1288" s="18">
        <f>IF($F1288="hold",0,-ABS($H1288)*$I1288*kg_per_mt*$Q1288*mcx_txn_cost_frac)</f>
        <v/>
      </c>
      <c r="AB1288" s="18">
        <f>$Z1288+$AA1288</f>
        <v/>
      </c>
      <c r="AC1288" s="18">
        <f>$R1288-$W1288+$AB1288</f>
        <v/>
      </c>
      <c r="AD1288" s="18">
        <f>IF(($B1287=$B1288),$AD1287,0)+$AC1288</f>
        <v/>
      </c>
      <c r="AE1288" s="23" t="n">
        <v>-1954676.46</v>
      </c>
      <c r="AF1288" s="23" t="n">
        <v>0</v>
      </c>
      <c r="AG1288" s="23" t="n">
        <v>-85349.85000000001</v>
      </c>
      <c r="AH1288" s="23" t="n">
        <v>8709204.41</v>
      </c>
      <c r="AI1288" s="23" t="n">
        <v>-4770.83</v>
      </c>
      <c r="AJ1288" s="18">
        <f>$R1288-$AE1288</f>
        <v/>
      </c>
      <c r="AK1288" s="18">
        <f>$U1288-$AF1288</f>
        <v/>
      </c>
      <c r="AL1288" s="18">
        <f>$AC1288-$AH1288</f>
        <v/>
      </c>
      <c r="AM1288" s="8">
        <f>IF(AND(ABS($AJ1288)&lt;=tol_mcx_inr,ABS($AK1288)&lt;=tol_mcx_inr,ABS($AL1288)&lt;=tol_mcx_inr),"PASS","FAIL")</f>
        <v/>
      </c>
    </row>
    <row r="1289">
      <c r="A1289" s="7" t="inlineStr">
        <is>
          <t>T06</t>
        </is>
      </c>
      <c r="B1289" s="7" t="inlineStr">
        <is>
          <t>T06-MCX-1</t>
        </is>
      </c>
      <c r="C1289" s="11" t="n">
        <v>44691</v>
      </c>
      <c r="D1289" s="7" t="n">
        <v>202205</v>
      </c>
      <c r="E1289" s="7" t="inlineStr">
        <is>
          <t>SELL</t>
        </is>
      </c>
      <c r="F1289" s="7" t="inlineStr">
        <is>
          <t>entry</t>
        </is>
      </c>
      <c r="G1289" s="17" t="b">
        <v>1</v>
      </c>
      <c r="H1289" s="6" t="n">
        <v>-176</v>
      </c>
      <c r="I1289" s="13" t="n">
        <v>5</v>
      </c>
      <c r="J1289" s="8">
        <f>OR($F1289="entry",$F1289="roll_in")</f>
        <v/>
      </c>
      <c r="K1289" s="8">
        <f>OR($F1289="exit",$F1289="roll_out")</f>
        <v/>
      </c>
      <c r="L1289" s="8">
        <f>OR(AND($E1289="SELL",$K1289),AND($E1289="BUY",$J1289))</f>
        <v/>
      </c>
      <c r="M1289" s="16">
        <f>((INDEX(Market_Daily!$B$6:$B$256,MATCH($C1289,Market_Daily!$A$6:$A$256,0))*INDEX(Market_Daily!$F$6:$F$256,MATCH($C1289,Market_Daily!$A$6:$A$256,0))/kg_per_mt*(1+bcd_primary_al_hs7601*(1+sws_rate_on_bcd))+mcx_domestic_premium_inr_kg)*(1+INDEX(Market_Daily!$I$6:$I$256,MATCH($C1289,Market_Daily!$A$6:$A$256,0))*MAX(0,INDEX(mcx_expiries,MATCH($D1289,mcx_months,0))-$C1289)/day_count_inr))</f>
        <v/>
      </c>
      <c r="N1289" s="16">
        <f>IF(INDEX(Market_Daily!$S$6:$S$256,MATCH($C1289,Market_Daily!$A$6:$A$256,0))=$D1289,INDEX(Market_Daily!$M$6:$M$256,MATCH($C1289,Market_Daily!$A$6:$A$256,0)),IF(INDEX(Market_Daily!$T$6:$T$256,MATCH($C1289,Market_Daily!$A$6:$A$256,0))=$D1289,INDEX(Market_Daily!$N$6:$N$256,MATCH($C1289,Market_Daily!$A$6:$A$256,0)),NA()))</f>
        <v/>
      </c>
      <c r="O1289" s="16">
        <f>$N1289-$M1289</f>
        <v/>
      </c>
      <c r="P1289" s="16">
        <f>IF(($B1288=$B1289),$M1288,"")</f>
        <v/>
      </c>
      <c r="Q1289" s="16">
        <f>$M1289+IF($L1289,1,-1)*mcx_slippage_ticks*mcx_al_tick_inr_kg</f>
        <v/>
      </c>
      <c r="R1289" s="18">
        <f>IF(($B1288=$B1289),$H1289*$I1289*kg_per_mt*($M1289-$M1288),0)</f>
        <v/>
      </c>
      <c r="S1289" s="18">
        <f>IF(($B1288=$B1289),$S1288,0)+$R1289</f>
        <v/>
      </c>
      <c r="T1289" s="18">
        <f>ABS($H1289)*$I1289*kg_per_mt*$M1289</f>
        <v/>
      </c>
      <c r="U1289" s="18">
        <f>IF($K1289,0,$T1289*mcx_al_margin_used_frac)</f>
        <v/>
      </c>
      <c r="V1289" s="18">
        <f>IF(($B1288=$B1289),$U1288,0)</f>
        <v/>
      </c>
      <c r="W1289" s="18">
        <f>$U1289-$V1289</f>
        <v/>
      </c>
      <c r="X1289" s="18">
        <f>IF($K1289,0,$T1289*0.12)</f>
        <v/>
      </c>
      <c r="Y1289" s="18">
        <f>IF($K1289,0,$T1289*0.15)</f>
        <v/>
      </c>
      <c r="Z1289" s="18">
        <f>IF($F1289="hold",0,-ABS($H1289)*$I1289*kg_per_mt*mcx_slippage_ticks*mcx_al_tick_inr_kg)</f>
        <v/>
      </c>
      <c r="AA1289" s="18">
        <f>IF($F1289="hold",0,-ABS($H1289)*$I1289*kg_per_mt*$Q1289*mcx_txn_cost_frac)</f>
        <v/>
      </c>
      <c r="AB1289" s="18">
        <f>$Z1289+$AA1289</f>
        <v/>
      </c>
      <c r="AC1289" s="18">
        <f>$R1289-$W1289+$AB1289</f>
        <v/>
      </c>
      <c r="AD1289" s="18">
        <f>IF(($B1288=$B1289),$AD1288,0)+$AC1289</f>
        <v/>
      </c>
      <c r="AE1289" s="23" t="n">
        <v>0</v>
      </c>
      <c r="AF1289" s="23" t="n">
        <v>19756379.54</v>
      </c>
      <c r="AG1289" s="23" t="n">
        <v>-147242.74</v>
      </c>
      <c r="AH1289" s="23" t="n">
        <v>-19903622.28</v>
      </c>
      <c r="AI1289" s="23" t="n">
        <v>0</v>
      </c>
      <c r="AJ1289" s="18">
        <f>$R1289-$AE1289</f>
        <v/>
      </c>
      <c r="AK1289" s="18">
        <f>$U1289-$AF1289</f>
        <v/>
      </c>
      <c r="AL1289" s="18">
        <f>$AC1289-$AH1289</f>
        <v/>
      </c>
      <c r="AM1289" s="8">
        <f>IF(AND(ABS($AJ1289)&lt;=tol_mcx_inr,ABS($AK1289)&lt;=tol_mcx_inr,ABS($AL1289)&lt;=tol_mcx_inr),"PASS","FAIL")</f>
        <v/>
      </c>
    </row>
    <row r="1290">
      <c r="A1290" s="7" t="inlineStr">
        <is>
          <t>T06</t>
        </is>
      </c>
      <c r="B1290" s="7" t="inlineStr">
        <is>
          <t>T06-MCX-1</t>
        </is>
      </c>
      <c r="C1290" s="11" t="n">
        <v>44692</v>
      </c>
      <c r="D1290" s="7" t="n">
        <v>202205</v>
      </c>
      <c r="E1290" s="7" t="inlineStr">
        <is>
          <t>SELL</t>
        </is>
      </c>
      <c r="F1290" s="7" t="inlineStr">
        <is>
          <t>hold</t>
        </is>
      </c>
      <c r="G1290" s="17" t="b">
        <v>1</v>
      </c>
      <c r="H1290" s="6" t="n">
        <v>-176</v>
      </c>
      <c r="I1290" s="13" t="n">
        <v>5</v>
      </c>
      <c r="J1290" s="8">
        <f>OR($F1290="entry",$F1290="roll_in")</f>
        <v/>
      </c>
      <c r="K1290" s="8">
        <f>OR($F1290="exit",$F1290="roll_out")</f>
        <v/>
      </c>
      <c r="L1290" s="8">
        <f>OR(AND($E1290="SELL",$K1290),AND($E1290="BUY",$J1290))</f>
        <v/>
      </c>
      <c r="M1290" s="16">
        <f>((INDEX(Market_Daily!$B$6:$B$256,MATCH($C1290,Market_Daily!$A$6:$A$256,0))*INDEX(Market_Daily!$F$6:$F$256,MATCH($C1290,Market_Daily!$A$6:$A$256,0))/kg_per_mt*(1+bcd_primary_al_hs7601*(1+sws_rate_on_bcd))+mcx_domestic_premium_inr_kg)*(1+INDEX(Market_Daily!$I$6:$I$256,MATCH($C1290,Market_Daily!$A$6:$A$256,0))*MAX(0,INDEX(mcx_expiries,MATCH($D1290,mcx_months,0))-$C1290)/day_count_inr))</f>
        <v/>
      </c>
      <c r="N1290" s="16">
        <f>IF(INDEX(Market_Daily!$S$6:$S$256,MATCH($C1290,Market_Daily!$A$6:$A$256,0))=$D1290,INDEX(Market_Daily!$M$6:$M$256,MATCH($C1290,Market_Daily!$A$6:$A$256,0)),IF(INDEX(Market_Daily!$T$6:$T$256,MATCH($C1290,Market_Daily!$A$6:$A$256,0))=$D1290,INDEX(Market_Daily!$N$6:$N$256,MATCH($C1290,Market_Daily!$A$6:$A$256,0)),NA()))</f>
        <v/>
      </c>
      <c r="O1290" s="16">
        <f>$N1290-$M1290</f>
        <v/>
      </c>
      <c r="P1290" s="16">
        <f>IF(($B1289=$B1290),$M1289,"")</f>
        <v/>
      </c>
      <c r="Q1290" s="16">
        <f>$M1290+IF($L1290,1,-1)*mcx_slippage_ticks*mcx_al_tick_inr_kg</f>
        <v/>
      </c>
      <c r="R1290" s="18">
        <f>IF(($B1289=$B1290),$H1290*$I1290*kg_per_mt*($M1290-$M1289),0)</f>
        <v/>
      </c>
      <c r="S1290" s="18">
        <f>IF(($B1289=$B1290),$S1289,0)+$R1290</f>
        <v/>
      </c>
      <c r="T1290" s="18">
        <f>ABS($H1290)*$I1290*kg_per_mt*$M1290</f>
        <v/>
      </c>
      <c r="U1290" s="18">
        <f>IF($K1290,0,$T1290*mcx_al_margin_used_frac)</f>
        <v/>
      </c>
      <c r="V1290" s="18">
        <f>IF(($B1289=$B1290),$U1289,0)</f>
        <v/>
      </c>
      <c r="W1290" s="18">
        <f>$U1290-$V1290</f>
        <v/>
      </c>
      <c r="X1290" s="18">
        <f>IF($K1290,0,$T1290*0.12)</f>
        <v/>
      </c>
      <c r="Y1290" s="18">
        <f>IF($K1290,0,$T1290*0.15)</f>
        <v/>
      </c>
      <c r="Z1290" s="18">
        <f>IF($F1290="hold",0,-ABS($H1290)*$I1290*kg_per_mt*mcx_slippage_ticks*mcx_al_tick_inr_kg)</f>
        <v/>
      </c>
      <c r="AA1290" s="18">
        <f>IF($F1290="hold",0,-ABS($H1290)*$I1290*kg_per_mt*$Q1290*mcx_txn_cost_frac)</f>
        <v/>
      </c>
      <c r="AB1290" s="18">
        <f>$Z1290+$AA1290</f>
        <v/>
      </c>
      <c r="AC1290" s="18">
        <f>$R1290-$W1290+$AB1290</f>
        <v/>
      </c>
      <c r="AD1290" s="18">
        <f>IF(($B1289=$B1290),$AD1289,0)+$AC1290</f>
        <v/>
      </c>
      <c r="AE1290" s="23" t="n">
        <v>-4299689.67</v>
      </c>
      <c r="AF1290" s="23" t="n">
        <v>20186348.51</v>
      </c>
      <c r="AG1290" s="23" t="n">
        <v>0</v>
      </c>
      <c r="AH1290" s="23" t="n">
        <v>-4729658.64</v>
      </c>
      <c r="AI1290" s="23" t="n">
        <v>-5234.93</v>
      </c>
      <c r="AJ1290" s="18">
        <f>$R1290-$AE1290</f>
        <v/>
      </c>
      <c r="AK1290" s="18">
        <f>$U1290-$AF1290</f>
        <v/>
      </c>
      <c r="AL1290" s="18">
        <f>$AC1290-$AH1290</f>
        <v/>
      </c>
      <c r="AM1290" s="8">
        <f>IF(AND(ABS($AJ1290)&lt;=tol_mcx_inr,ABS($AK1290)&lt;=tol_mcx_inr,ABS($AL1290)&lt;=tol_mcx_inr),"PASS","FAIL")</f>
        <v/>
      </c>
    </row>
    <row r="1291">
      <c r="A1291" s="7" t="inlineStr">
        <is>
          <t>T06</t>
        </is>
      </c>
      <c r="B1291" s="7" t="inlineStr">
        <is>
          <t>T06-MCX-1</t>
        </is>
      </c>
      <c r="C1291" s="11" t="n">
        <v>44693</v>
      </c>
      <c r="D1291" s="7" t="n">
        <v>202205</v>
      </c>
      <c r="E1291" s="7" t="inlineStr">
        <is>
          <t>SELL</t>
        </is>
      </c>
      <c r="F1291" s="7" t="inlineStr">
        <is>
          <t>hold</t>
        </is>
      </c>
      <c r="G1291" s="17" t="b">
        <v>1</v>
      </c>
      <c r="H1291" s="6" t="n">
        <v>-176</v>
      </c>
      <c r="I1291" s="13" t="n">
        <v>5</v>
      </c>
      <c r="J1291" s="8">
        <f>OR($F1291="entry",$F1291="roll_in")</f>
        <v/>
      </c>
      <c r="K1291" s="8">
        <f>OR($F1291="exit",$F1291="roll_out")</f>
        <v/>
      </c>
      <c r="L1291" s="8">
        <f>OR(AND($E1291="SELL",$K1291),AND($E1291="BUY",$J1291))</f>
        <v/>
      </c>
      <c r="M1291" s="16">
        <f>((INDEX(Market_Daily!$B$6:$B$256,MATCH($C1291,Market_Daily!$A$6:$A$256,0))*INDEX(Market_Daily!$F$6:$F$256,MATCH($C1291,Market_Daily!$A$6:$A$256,0))/kg_per_mt*(1+bcd_primary_al_hs7601*(1+sws_rate_on_bcd))+mcx_domestic_premium_inr_kg)*(1+INDEX(Market_Daily!$I$6:$I$256,MATCH($C1291,Market_Daily!$A$6:$A$256,0))*MAX(0,INDEX(mcx_expiries,MATCH($D1291,mcx_months,0))-$C1291)/day_count_inr))</f>
        <v/>
      </c>
      <c r="N1291" s="16">
        <f>IF(INDEX(Market_Daily!$S$6:$S$256,MATCH($C1291,Market_Daily!$A$6:$A$256,0))=$D1291,INDEX(Market_Daily!$M$6:$M$256,MATCH($C1291,Market_Daily!$A$6:$A$256,0)),IF(INDEX(Market_Daily!$T$6:$T$256,MATCH($C1291,Market_Daily!$A$6:$A$256,0))=$D1291,INDEX(Market_Daily!$N$6:$N$256,MATCH($C1291,Market_Daily!$A$6:$A$256,0)),NA()))</f>
        <v/>
      </c>
      <c r="O1291" s="16">
        <f>$N1291-$M1291</f>
        <v/>
      </c>
      <c r="P1291" s="16">
        <f>IF(($B1290=$B1291),$M1290,"")</f>
        <v/>
      </c>
      <c r="Q1291" s="16">
        <f>$M1291+IF($L1291,1,-1)*mcx_slippage_ticks*mcx_al_tick_inr_kg</f>
        <v/>
      </c>
      <c r="R1291" s="18">
        <f>IF(($B1290=$B1291),$H1291*$I1291*kg_per_mt*($M1291-$M1290),0)</f>
        <v/>
      </c>
      <c r="S1291" s="18">
        <f>IF(($B1290=$B1291),$S1290,0)+$R1291</f>
        <v/>
      </c>
      <c r="T1291" s="18">
        <f>ABS($H1291)*$I1291*kg_per_mt*$M1291</f>
        <v/>
      </c>
      <c r="U1291" s="18">
        <f>IF($K1291,0,$T1291*mcx_al_margin_used_frac)</f>
        <v/>
      </c>
      <c r="V1291" s="18">
        <f>IF(($B1290=$B1291),$U1290,0)</f>
        <v/>
      </c>
      <c r="W1291" s="18">
        <f>$U1291-$V1291</f>
        <v/>
      </c>
      <c r="X1291" s="18">
        <f>IF($K1291,0,$T1291*0.12)</f>
        <v/>
      </c>
      <c r="Y1291" s="18">
        <f>IF($K1291,0,$T1291*0.15)</f>
        <v/>
      </c>
      <c r="Z1291" s="18">
        <f>IF($F1291="hold",0,-ABS($H1291)*$I1291*kg_per_mt*mcx_slippage_ticks*mcx_al_tick_inr_kg)</f>
        <v/>
      </c>
      <c r="AA1291" s="18">
        <f>IF($F1291="hold",0,-ABS($H1291)*$I1291*kg_per_mt*$Q1291*mcx_txn_cost_frac)</f>
        <v/>
      </c>
      <c r="AB1291" s="18">
        <f>$Z1291+$AA1291</f>
        <v/>
      </c>
      <c r="AC1291" s="18">
        <f>$R1291-$W1291+$AB1291</f>
        <v/>
      </c>
      <c r="AD1291" s="18">
        <f>IF(($B1290=$B1291),$AD1290,0)+$AC1291</f>
        <v/>
      </c>
      <c r="AE1291" s="23" t="n">
        <v>2916476.58</v>
      </c>
      <c r="AF1291" s="23" t="n">
        <v>19894700.85</v>
      </c>
      <c r="AG1291" s="23" t="n">
        <v>0</v>
      </c>
      <c r="AH1291" s="23" t="n">
        <v>3208124.23</v>
      </c>
      <c r="AI1291" s="23" t="n">
        <v>-6478.89</v>
      </c>
      <c r="AJ1291" s="18">
        <f>$R1291-$AE1291</f>
        <v/>
      </c>
      <c r="AK1291" s="18">
        <f>$U1291-$AF1291</f>
        <v/>
      </c>
      <c r="AL1291" s="18">
        <f>$AC1291-$AH1291</f>
        <v/>
      </c>
      <c r="AM1291" s="8">
        <f>IF(AND(ABS($AJ1291)&lt;=tol_mcx_inr,ABS($AK1291)&lt;=tol_mcx_inr,ABS($AL1291)&lt;=tol_mcx_inr),"PASS","FAIL")</f>
        <v/>
      </c>
    </row>
    <row r="1292">
      <c r="A1292" s="7" t="inlineStr">
        <is>
          <t>T06</t>
        </is>
      </c>
      <c r="B1292" s="7" t="inlineStr">
        <is>
          <t>T06-MCX-1</t>
        </is>
      </c>
      <c r="C1292" s="11" t="n">
        <v>44694</v>
      </c>
      <c r="D1292" s="7" t="n">
        <v>202205</v>
      </c>
      <c r="E1292" s="7" t="inlineStr">
        <is>
          <t>SELL</t>
        </is>
      </c>
      <c r="F1292" s="7" t="inlineStr">
        <is>
          <t>hold</t>
        </is>
      </c>
      <c r="G1292" s="17" t="b">
        <v>1</v>
      </c>
      <c r="H1292" s="6" t="n">
        <v>-176</v>
      </c>
      <c r="I1292" s="13" t="n">
        <v>5</v>
      </c>
      <c r="J1292" s="8">
        <f>OR($F1292="entry",$F1292="roll_in")</f>
        <v/>
      </c>
      <c r="K1292" s="8">
        <f>OR($F1292="exit",$F1292="roll_out")</f>
        <v/>
      </c>
      <c r="L1292" s="8">
        <f>OR(AND($E1292="SELL",$K1292),AND($E1292="BUY",$J1292))</f>
        <v/>
      </c>
      <c r="M1292" s="16">
        <f>((INDEX(Market_Daily!$B$6:$B$256,MATCH($C1292,Market_Daily!$A$6:$A$256,0))*INDEX(Market_Daily!$F$6:$F$256,MATCH($C1292,Market_Daily!$A$6:$A$256,0))/kg_per_mt*(1+bcd_primary_al_hs7601*(1+sws_rate_on_bcd))+mcx_domestic_premium_inr_kg)*(1+INDEX(Market_Daily!$I$6:$I$256,MATCH($C1292,Market_Daily!$A$6:$A$256,0))*MAX(0,INDEX(mcx_expiries,MATCH($D1292,mcx_months,0))-$C1292)/day_count_inr))</f>
        <v/>
      </c>
      <c r="N1292" s="16">
        <f>IF(INDEX(Market_Daily!$S$6:$S$256,MATCH($C1292,Market_Daily!$A$6:$A$256,0))=$D1292,INDEX(Market_Daily!$M$6:$M$256,MATCH($C1292,Market_Daily!$A$6:$A$256,0)),IF(INDEX(Market_Daily!$T$6:$T$256,MATCH($C1292,Market_Daily!$A$6:$A$256,0))=$D1292,INDEX(Market_Daily!$N$6:$N$256,MATCH($C1292,Market_Daily!$A$6:$A$256,0)),NA()))</f>
        <v/>
      </c>
      <c r="O1292" s="16">
        <f>$N1292-$M1292</f>
        <v/>
      </c>
      <c r="P1292" s="16">
        <f>IF(($B1291=$B1292),$M1291,"")</f>
        <v/>
      </c>
      <c r="Q1292" s="16">
        <f>$M1292+IF($L1292,1,-1)*mcx_slippage_ticks*mcx_al_tick_inr_kg</f>
        <v/>
      </c>
      <c r="R1292" s="18">
        <f>IF(($B1291=$B1292),$H1292*$I1292*kg_per_mt*($M1292-$M1291),0)</f>
        <v/>
      </c>
      <c r="S1292" s="18">
        <f>IF(($B1291=$B1292),$S1291,0)+$R1292</f>
        <v/>
      </c>
      <c r="T1292" s="18">
        <f>ABS($H1292)*$I1292*kg_per_mt*$M1292</f>
        <v/>
      </c>
      <c r="U1292" s="18">
        <f>IF($K1292,0,$T1292*mcx_al_margin_used_frac)</f>
        <v/>
      </c>
      <c r="V1292" s="18">
        <f>IF(($B1291=$B1292),$U1291,0)</f>
        <v/>
      </c>
      <c r="W1292" s="18">
        <f>$U1292-$V1292</f>
        <v/>
      </c>
      <c r="X1292" s="18">
        <f>IF($K1292,0,$T1292*0.12)</f>
        <v/>
      </c>
      <c r="Y1292" s="18">
        <f>IF($K1292,0,$T1292*0.15)</f>
        <v/>
      </c>
      <c r="Z1292" s="18">
        <f>IF($F1292="hold",0,-ABS($H1292)*$I1292*kg_per_mt*mcx_slippage_ticks*mcx_al_tick_inr_kg)</f>
        <v/>
      </c>
      <c r="AA1292" s="18">
        <f>IF($F1292="hold",0,-ABS($H1292)*$I1292*kg_per_mt*$Q1292*mcx_txn_cost_frac)</f>
        <v/>
      </c>
      <c r="AB1292" s="18">
        <f>$Z1292+$AA1292</f>
        <v/>
      </c>
      <c r="AC1292" s="18">
        <f>$R1292-$W1292+$AB1292</f>
        <v/>
      </c>
      <c r="AD1292" s="18">
        <f>IF(($B1291=$B1292),$AD1291,0)+$AC1292</f>
        <v/>
      </c>
      <c r="AE1292" s="23" t="n">
        <v>-2421120.09</v>
      </c>
      <c r="AF1292" s="23" t="n">
        <v>20136812.86</v>
      </c>
      <c r="AG1292" s="23" t="n">
        <v>0</v>
      </c>
      <c r="AH1292" s="23" t="n">
        <v>-2663232.1</v>
      </c>
      <c r="AI1292" s="23" t="n">
        <v>-5635.11</v>
      </c>
      <c r="AJ1292" s="18">
        <f>$R1292-$AE1292</f>
        <v/>
      </c>
      <c r="AK1292" s="18">
        <f>$U1292-$AF1292</f>
        <v/>
      </c>
      <c r="AL1292" s="18">
        <f>$AC1292-$AH1292</f>
        <v/>
      </c>
      <c r="AM1292" s="8">
        <f>IF(AND(ABS($AJ1292)&lt;=tol_mcx_inr,ABS($AK1292)&lt;=tol_mcx_inr,ABS($AL1292)&lt;=tol_mcx_inr),"PASS","FAIL")</f>
        <v/>
      </c>
    </row>
    <row r="1293">
      <c r="A1293" s="7" t="inlineStr">
        <is>
          <t>T06</t>
        </is>
      </c>
      <c r="B1293" s="7" t="inlineStr">
        <is>
          <t>T06-MCX-1</t>
        </is>
      </c>
      <c r="C1293" s="11" t="n">
        <v>44697</v>
      </c>
      <c r="D1293" s="7" t="n">
        <v>202205</v>
      </c>
      <c r="E1293" s="7" t="inlineStr">
        <is>
          <t>SELL</t>
        </is>
      </c>
      <c r="F1293" s="7" t="inlineStr">
        <is>
          <t>hold</t>
        </is>
      </c>
      <c r="G1293" s="17" t="b">
        <v>1</v>
      </c>
      <c r="H1293" s="6" t="n">
        <v>-176</v>
      </c>
      <c r="I1293" s="13" t="n">
        <v>5</v>
      </c>
      <c r="J1293" s="8">
        <f>OR($F1293="entry",$F1293="roll_in")</f>
        <v/>
      </c>
      <c r="K1293" s="8">
        <f>OR($F1293="exit",$F1293="roll_out")</f>
        <v/>
      </c>
      <c r="L1293" s="8">
        <f>OR(AND($E1293="SELL",$K1293),AND($E1293="BUY",$J1293))</f>
        <v/>
      </c>
      <c r="M1293" s="16">
        <f>((INDEX(Market_Daily!$B$6:$B$256,MATCH($C1293,Market_Daily!$A$6:$A$256,0))*INDEX(Market_Daily!$F$6:$F$256,MATCH($C1293,Market_Daily!$A$6:$A$256,0))/kg_per_mt*(1+bcd_primary_al_hs7601*(1+sws_rate_on_bcd))+mcx_domestic_premium_inr_kg)*(1+INDEX(Market_Daily!$I$6:$I$256,MATCH($C1293,Market_Daily!$A$6:$A$256,0))*MAX(0,INDEX(mcx_expiries,MATCH($D1293,mcx_months,0))-$C1293)/day_count_inr))</f>
        <v/>
      </c>
      <c r="N1293" s="16">
        <f>IF(INDEX(Market_Daily!$S$6:$S$256,MATCH($C1293,Market_Daily!$A$6:$A$256,0))=$D1293,INDEX(Market_Daily!$M$6:$M$256,MATCH($C1293,Market_Daily!$A$6:$A$256,0)),IF(INDEX(Market_Daily!$T$6:$T$256,MATCH($C1293,Market_Daily!$A$6:$A$256,0))=$D1293,INDEX(Market_Daily!$N$6:$N$256,MATCH($C1293,Market_Daily!$A$6:$A$256,0)),NA()))</f>
        <v/>
      </c>
      <c r="O1293" s="16">
        <f>$N1293-$M1293</f>
        <v/>
      </c>
      <c r="P1293" s="16">
        <f>IF(($B1292=$B1293),$M1292,"")</f>
        <v/>
      </c>
      <c r="Q1293" s="16">
        <f>$M1293+IF($L1293,1,-1)*mcx_slippage_ticks*mcx_al_tick_inr_kg</f>
        <v/>
      </c>
      <c r="R1293" s="18">
        <f>IF(($B1292=$B1293),$H1293*$I1293*kg_per_mt*($M1293-$M1292),0)</f>
        <v/>
      </c>
      <c r="S1293" s="18">
        <f>IF(($B1292=$B1293),$S1292,0)+$R1293</f>
        <v/>
      </c>
      <c r="T1293" s="18">
        <f>ABS($H1293)*$I1293*kg_per_mt*$M1293</f>
        <v/>
      </c>
      <c r="U1293" s="18">
        <f>IF($K1293,0,$T1293*mcx_al_margin_used_frac)</f>
        <v/>
      </c>
      <c r="V1293" s="18">
        <f>IF(($B1292=$B1293),$U1292,0)</f>
        <v/>
      </c>
      <c r="W1293" s="18">
        <f>$U1293-$V1293</f>
        <v/>
      </c>
      <c r="X1293" s="18">
        <f>IF($K1293,0,$T1293*0.12)</f>
        <v/>
      </c>
      <c r="Y1293" s="18">
        <f>IF($K1293,0,$T1293*0.15)</f>
        <v/>
      </c>
      <c r="Z1293" s="18">
        <f>IF($F1293="hold",0,-ABS($H1293)*$I1293*kg_per_mt*mcx_slippage_ticks*mcx_al_tick_inr_kg)</f>
        <v/>
      </c>
      <c r="AA1293" s="18">
        <f>IF($F1293="hold",0,-ABS($H1293)*$I1293*kg_per_mt*$Q1293*mcx_txn_cost_frac)</f>
        <v/>
      </c>
      <c r="AB1293" s="18">
        <f>$Z1293+$AA1293</f>
        <v/>
      </c>
      <c r="AC1293" s="18">
        <f>$R1293-$W1293+$AB1293</f>
        <v/>
      </c>
      <c r="AD1293" s="18">
        <f>IF(($B1292=$B1293),$AD1292,0)+$AC1293</f>
        <v/>
      </c>
      <c r="AE1293" s="23" t="n">
        <v>-5876093.55</v>
      </c>
      <c r="AF1293" s="23" t="n">
        <v>20724422.21</v>
      </c>
      <c r="AG1293" s="23" t="n">
        <v>0</v>
      </c>
      <c r="AH1293" s="23" t="n">
        <v>-6463702.9</v>
      </c>
      <c r="AI1293" s="23" t="n">
        <v>-19006.73</v>
      </c>
      <c r="AJ1293" s="18">
        <f>$R1293-$AE1293</f>
        <v/>
      </c>
      <c r="AK1293" s="18">
        <f>$U1293-$AF1293</f>
        <v/>
      </c>
      <c r="AL1293" s="18">
        <f>$AC1293-$AH1293</f>
        <v/>
      </c>
      <c r="AM1293" s="8">
        <f>IF(AND(ABS($AJ1293)&lt;=tol_mcx_inr,ABS($AK1293)&lt;=tol_mcx_inr,ABS($AL1293)&lt;=tol_mcx_inr),"PASS","FAIL")</f>
        <v/>
      </c>
    </row>
    <row r="1294">
      <c r="A1294" s="7" t="inlineStr">
        <is>
          <t>T06</t>
        </is>
      </c>
      <c r="B1294" s="7" t="inlineStr">
        <is>
          <t>T06-MCX-1</t>
        </is>
      </c>
      <c r="C1294" s="11" t="n">
        <v>44698</v>
      </c>
      <c r="D1294" s="7" t="n">
        <v>202205</v>
      </c>
      <c r="E1294" s="7" t="inlineStr">
        <is>
          <t>SELL</t>
        </is>
      </c>
      <c r="F1294" s="7" t="inlineStr">
        <is>
          <t>hold</t>
        </is>
      </c>
      <c r="G1294" s="17" t="b">
        <v>1</v>
      </c>
      <c r="H1294" s="6" t="n">
        <v>-176</v>
      </c>
      <c r="I1294" s="13" t="n">
        <v>5</v>
      </c>
      <c r="J1294" s="8">
        <f>OR($F1294="entry",$F1294="roll_in")</f>
        <v/>
      </c>
      <c r="K1294" s="8">
        <f>OR($F1294="exit",$F1294="roll_out")</f>
        <v/>
      </c>
      <c r="L1294" s="8">
        <f>OR(AND($E1294="SELL",$K1294),AND($E1294="BUY",$J1294))</f>
        <v/>
      </c>
      <c r="M1294" s="16">
        <f>((INDEX(Market_Daily!$B$6:$B$256,MATCH($C1294,Market_Daily!$A$6:$A$256,0))*INDEX(Market_Daily!$F$6:$F$256,MATCH($C1294,Market_Daily!$A$6:$A$256,0))/kg_per_mt*(1+bcd_primary_al_hs7601*(1+sws_rate_on_bcd))+mcx_domestic_premium_inr_kg)*(1+INDEX(Market_Daily!$I$6:$I$256,MATCH($C1294,Market_Daily!$A$6:$A$256,0))*MAX(0,INDEX(mcx_expiries,MATCH($D1294,mcx_months,0))-$C1294)/day_count_inr))</f>
        <v/>
      </c>
      <c r="N1294" s="16">
        <f>IF(INDEX(Market_Daily!$S$6:$S$256,MATCH($C1294,Market_Daily!$A$6:$A$256,0))=$D1294,INDEX(Market_Daily!$M$6:$M$256,MATCH($C1294,Market_Daily!$A$6:$A$256,0)),IF(INDEX(Market_Daily!$T$6:$T$256,MATCH($C1294,Market_Daily!$A$6:$A$256,0))=$D1294,INDEX(Market_Daily!$N$6:$N$256,MATCH($C1294,Market_Daily!$A$6:$A$256,0)),NA()))</f>
        <v/>
      </c>
      <c r="O1294" s="16">
        <f>$N1294-$M1294</f>
        <v/>
      </c>
      <c r="P1294" s="16">
        <f>IF(($B1293=$B1294),$M1293,"")</f>
        <v/>
      </c>
      <c r="Q1294" s="16">
        <f>$M1294+IF($L1294,1,-1)*mcx_slippage_ticks*mcx_al_tick_inr_kg</f>
        <v/>
      </c>
      <c r="R1294" s="18">
        <f>IF(($B1293=$B1294),$H1294*$I1294*kg_per_mt*($M1294-$M1293),0)</f>
        <v/>
      </c>
      <c r="S1294" s="18">
        <f>IF(($B1293=$B1294),$S1293,0)+$R1294</f>
        <v/>
      </c>
      <c r="T1294" s="18">
        <f>ABS($H1294)*$I1294*kg_per_mt*$M1294</f>
        <v/>
      </c>
      <c r="U1294" s="18">
        <f>IF($K1294,0,$T1294*mcx_al_margin_used_frac)</f>
        <v/>
      </c>
      <c r="V1294" s="18">
        <f>IF(($B1293=$B1294),$U1293,0)</f>
        <v/>
      </c>
      <c r="W1294" s="18">
        <f>$U1294-$V1294</f>
        <v/>
      </c>
      <c r="X1294" s="18">
        <f>IF($K1294,0,$T1294*0.12)</f>
        <v/>
      </c>
      <c r="Y1294" s="18">
        <f>IF($K1294,0,$T1294*0.15)</f>
        <v/>
      </c>
      <c r="Z1294" s="18">
        <f>IF($F1294="hold",0,-ABS($H1294)*$I1294*kg_per_mt*mcx_slippage_ticks*mcx_al_tick_inr_kg)</f>
        <v/>
      </c>
      <c r="AA1294" s="18">
        <f>IF($F1294="hold",0,-ABS($H1294)*$I1294*kg_per_mt*$Q1294*mcx_txn_cost_frac)</f>
        <v/>
      </c>
      <c r="AB1294" s="18">
        <f>$Z1294+$AA1294</f>
        <v/>
      </c>
      <c r="AC1294" s="18">
        <f>$R1294-$W1294+$AB1294</f>
        <v/>
      </c>
      <c r="AD1294" s="18">
        <f>IF(($B1293=$B1294),$AD1293,0)+$AC1294</f>
        <v/>
      </c>
      <c r="AE1294" s="23" t="n">
        <v>-2402106.18</v>
      </c>
      <c r="AF1294" s="23" t="n">
        <v>20964632.83</v>
      </c>
      <c r="AG1294" s="23" t="n">
        <v>0</v>
      </c>
      <c r="AH1294" s="23" t="n">
        <v>-2642316.8</v>
      </c>
      <c r="AI1294" s="23" t="n">
        <v>-8119.32</v>
      </c>
      <c r="AJ1294" s="18">
        <f>$R1294-$AE1294</f>
        <v/>
      </c>
      <c r="AK1294" s="18">
        <f>$U1294-$AF1294</f>
        <v/>
      </c>
      <c r="AL1294" s="18">
        <f>$AC1294-$AH1294</f>
        <v/>
      </c>
      <c r="AM1294" s="8">
        <f>IF(AND(ABS($AJ1294)&lt;=tol_mcx_inr,ABS($AK1294)&lt;=tol_mcx_inr,ABS($AL1294)&lt;=tol_mcx_inr),"PASS","FAIL")</f>
        <v/>
      </c>
    </row>
    <row r="1295">
      <c r="A1295" s="7" t="inlineStr">
        <is>
          <t>T06</t>
        </is>
      </c>
      <c r="B1295" s="7" t="inlineStr">
        <is>
          <t>T06-MCX-1</t>
        </is>
      </c>
      <c r="C1295" s="11" t="n">
        <v>44699</v>
      </c>
      <c r="D1295" s="7" t="n">
        <v>202205</v>
      </c>
      <c r="E1295" s="7" t="inlineStr">
        <is>
          <t>SELL</t>
        </is>
      </c>
      <c r="F1295" s="7" t="inlineStr">
        <is>
          <t>hold</t>
        </is>
      </c>
      <c r="G1295" s="17" t="b">
        <v>1</v>
      </c>
      <c r="H1295" s="6" t="n">
        <v>-176</v>
      </c>
      <c r="I1295" s="13" t="n">
        <v>5</v>
      </c>
      <c r="J1295" s="8">
        <f>OR($F1295="entry",$F1295="roll_in")</f>
        <v/>
      </c>
      <c r="K1295" s="8">
        <f>OR($F1295="exit",$F1295="roll_out")</f>
        <v/>
      </c>
      <c r="L1295" s="8">
        <f>OR(AND($E1295="SELL",$K1295),AND($E1295="BUY",$J1295))</f>
        <v/>
      </c>
      <c r="M1295" s="16">
        <f>((INDEX(Market_Daily!$B$6:$B$256,MATCH($C1295,Market_Daily!$A$6:$A$256,0))*INDEX(Market_Daily!$F$6:$F$256,MATCH($C1295,Market_Daily!$A$6:$A$256,0))/kg_per_mt*(1+bcd_primary_al_hs7601*(1+sws_rate_on_bcd))+mcx_domestic_premium_inr_kg)*(1+INDEX(Market_Daily!$I$6:$I$256,MATCH($C1295,Market_Daily!$A$6:$A$256,0))*MAX(0,INDEX(mcx_expiries,MATCH($D1295,mcx_months,0))-$C1295)/day_count_inr))</f>
        <v/>
      </c>
      <c r="N1295" s="16">
        <f>IF(INDEX(Market_Daily!$S$6:$S$256,MATCH($C1295,Market_Daily!$A$6:$A$256,0))=$D1295,INDEX(Market_Daily!$M$6:$M$256,MATCH($C1295,Market_Daily!$A$6:$A$256,0)),IF(INDEX(Market_Daily!$T$6:$T$256,MATCH($C1295,Market_Daily!$A$6:$A$256,0))=$D1295,INDEX(Market_Daily!$N$6:$N$256,MATCH($C1295,Market_Daily!$A$6:$A$256,0)),NA()))</f>
        <v/>
      </c>
      <c r="O1295" s="16">
        <f>$N1295-$M1295</f>
        <v/>
      </c>
      <c r="P1295" s="16">
        <f>IF(($B1294=$B1295),$M1294,"")</f>
        <v/>
      </c>
      <c r="Q1295" s="16">
        <f>$M1295+IF($L1295,1,-1)*mcx_slippage_ticks*mcx_al_tick_inr_kg</f>
        <v/>
      </c>
      <c r="R1295" s="18">
        <f>IF(($B1294=$B1295),$H1295*$I1295*kg_per_mt*($M1295-$M1294),0)</f>
        <v/>
      </c>
      <c r="S1295" s="18">
        <f>IF(($B1294=$B1295),$S1294,0)+$R1295</f>
        <v/>
      </c>
      <c r="T1295" s="18">
        <f>ABS($H1295)*$I1295*kg_per_mt*$M1295</f>
        <v/>
      </c>
      <c r="U1295" s="18">
        <f>IF($K1295,0,$T1295*mcx_al_margin_used_frac)</f>
        <v/>
      </c>
      <c r="V1295" s="18">
        <f>IF(($B1294=$B1295),$U1294,0)</f>
        <v/>
      </c>
      <c r="W1295" s="18">
        <f>$U1295-$V1295</f>
        <v/>
      </c>
      <c r="X1295" s="18">
        <f>IF($K1295,0,$T1295*0.12)</f>
        <v/>
      </c>
      <c r="Y1295" s="18">
        <f>IF($K1295,0,$T1295*0.15)</f>
        <v/>
      </c>
      <c r="Z1295" s="18">
        <f>IF($F1295="hold",0,-ABS($H1295)*$I1295*kg_per_mt*mcx_slippage_ticks*mcx_al_tick_inr_kg)</f>
        <v/>
      </c>
      <c r="AA1295" s="18">
        <f>IF($F1295="hold",0,-ABS($H1295)*$I1295*kg_per_mt*$Q1295*mcx_txn_cost_frac)</f>
        <v/>
      </c>
      <c r="AB1295" s="18">
        <f>$Z1295+$AA1295</f>
        <v/>
      </c>
      <c r="AC1295" s="18">
        <f>$R1295-$W1295+$AB1295</f>
        <v/>
      </c>
      <c r="AD1295" s="18">
        <f>IF(($B1294=$B1295),$AD1294,0)+$AC1295</f>
        <v/>
      </c>
      <c r="AE1295" s="23" t="n">
        <v>-982305.9</v>
      </c>
      <c r="AF1295" s="23" t="n">
        <v>21062863.42</v>
      </c>
      <c r="AG1295" s="23" t="n">
        <v>0</v>
      </c>
      <c r="AH1295" s="23" t="n">
        <v>-1080536.49</v>
      </c>
      <c r="AI1295" s="23" t="n">
        <v>-8821.530000000001</v>
      </c>
      <c r="AJ1295" s="18">
        <f>$R1295-$AE1295</f>
        <v/>
      </c>
      <c r="AK1295" s="18">
        <f>$U1295-$AF1295</f>
        <v/>
      </c>
      <c r="AL1295" s="18">
        <f>$AC1295-$AH1295</f>
        <v/>
      </c>
      <c r="AM1295" s="8">
        <f>IF(AND(ABS($AJ1295)&lt;=tol_mcx_inr,ABS($AK1295)&lt;=tol_mcx_inr,ABS($AL1295)&lt;=tol_mcx_inr),"PASS","FAIL")</f>
        <v/>
      </c>
    </row>
    <row r="1296">
      <c r="A1296" s="7" t="inlineStr">
        <is>
          <t>T06</t>
        </is>
      </c>
      <c r="B1296" s="7" t="inlineStr">
        <is>
          <t>T06-MCX-1</t>
        </is>
      </c>
      <c r="C1296" s="11" t="n">
        <v>44700</v>
      </c>
      <c r="D1296" s="7" t="n">
        <v>202205</v>
      </c>
      <c r="E1296" s="7" t="inlineStr">
        <is>
          <t>SELL</t>
        </is>
      </c>
      <c r="F1296" s="7" t="inlineStr">
        <is>
          <t>hold</t>
        </is>
      </c>
      <c r="G1296" s="17" t="b">
        <v>1</v>
      </c>
      <c r="H1296" s="6" t="n">
        <v>-176</v>
      </c>
      <c r="I1296" s="13" t="n">
        <v>5</v>
      </c>
      <c r="J1296" s="8">
        <f>OR($F1296="entry",$F1296="roll_in")</f>
        <v/>
      </c>
      <c r="K1296" s="8">
        <f>OR($F1296="exit",$F1296="roll_out")</f>
        <v/>
      </c>
      <c r="L1296" s="8">
        <f>OR(AND($E1296="SELL",$K1296),AND($E1296="BUY",$J1296))</f>
        <v/>
      </c>
      <c r="M1296" s="16">
        <f>((INDEX(Market_Daily!$B$6:$B$256,MATCH($C1296,Market_Daily!$A$6:$A$256,0))*INDEX(Market_Daily!$F$6:$F$256,MATCH($C1296,Market_Daily!$A$6:$A$256,0))/kg_per_mt*(1+bcd_primary_al_hs7601*(1+sws_rate_on_bcd))+mcx_domestic_premium_inr_kg)*(1+INDEX(Market_Daily!$I$6:$I$256,MATCH($C1296,Market_Daily!$A$6:$A$256,0))*MAX(0,INDEX(mcx_expiries,MATCH($D1296,mcx_months,0))-$C1296)/day_count_inr))</f>
        <v/>
      </c>
      <c r="N1296" s="16">
        <f>IF(INDEX(Market_Daily!$S$6:$S$256,MATCH($C1296,Market_Daily!$A$6:$A$256,0))=$D1296,INDEX(Market_Daily!$M$6:$M$256,MATCH($C1296,Market_Daily!$A$6:$A$256,0)),IF(INDEX(Market_Daily!$T$6:$T$256,MATCH($C1296,Market_Daily!$A$6:$A$256,0))=$D1296,INDEX(Market_Daily!$N$6:$N$256,MATCH($C1296,Market_Daily!$A$6:$A$256,0)),NA()))</f>
        <v/>
      </c>
      <c r="O1296" s="16">
        <f>$N1296-$M1296</f>
        <v/>
      </c>
      <c r="P1296" s="16">
        <f>IF(($B1295=$B1296),$M1295,"")</f>
        <v/>
      </c>
      <c r="Q1296" s="16">
        <f>$M1296+IF($L1296,1,-1)*mcx_slippage_ticks*mcx_al_tick_inr_kg</f>
        <v/>
      </c>
      <c r="R1296" s="18">
        <f>IF(($B1295=$B1296),$H1296*$I1296*kg_per_mt*($M1296-$M1295),0)</f>
        <v/>
      </c>
      <c r="S1296" s="18">
        <f>IF(($B1295=$B1296),$S1295,0)+$R1296</f>
        <v/>
      </c>
      <c r="T1296" s="18">
        <f>ABS($H1296)*$I1296*kg_per_mt*$M1296</f>
        <v/>
      </c>
      <c r="U1296" s="18">
        <f>IF($K1296,0,$T1296*mcx_al_margin_used_frac)</f>
        <v/>
      </c>
      <c r="V1296" s="18">
        <f>IF(($B1295=$B1296),$U1295,0)</f>
        <v/>
      </c>
      <c r="W1296" s="18">
        <f>$U1296-$V1296</f>
        <v/>
      </c>
      <c r="X1296" s="18">
        <f>IF($K1296,0,$T1296*0.12)</f>
        <v/>
      </c>
      <c r="Y1296" s="18">
        <f>IF($K1296,0,$T1296*0.15)</f>
        <v/>
      </c>
      <c r="Z1296" s="18">
        <f>IF($F1296="hold",0,-ABS($H1296)*$I1296*kg_per_mt*mcx_slippage_ticks*mcx_al_tick_inr_kg)</f>
        <v/>
      </c>
      <c r="AA1296" s="18">
        <f>IF($F1296="hold",0,-ABS($H1296)*$I1296*kg_per_mt*$Q1296*mcx_txn_cost_frac)</f>
        <v/>
      </c>
      <c r="AB1296" s="18">
        <f>$Z1296+$AA1296</f>
        <v/>
      </c>
      <c r="AC1296" s="18">
        <f>$R1296-$W1296+$AB1296</f>
        <v/>
      </c>
      <c r="AD1296" s="18">
        <f>IF(($B1295=$B1296),$AD1295,0)+$AC1296</f>
        <v/>
      </c>
      <c r="AE1296" s="23" t="n">
        <v>1304600.77</v>
      </c>
      <c r="AF1296" s="23" t="n">
        <v>20932403.35</v>
      </c>
      <c r="AG1296" s="23" t="n">
        <v>0</v>
      </c>
      <c r="AH1296" s="23" t="n">
        <v>1435060.85</v>
      </c>
      <c r="AI1296" s="23" t="n">
        <v>-9108.68</v>
      </c>
      <c r="AJ1296" s="18">
        <f>$R1296-$AE1296</f>
        <v/>
      </c>
      <c r="AK1296" s="18">
        <f>$U1296-$AF1296</f>
        <v/>
      </c>
      <c r="AL1296" s="18">
        <f>$AC1296-$AH1296</f>
        <v/>
      </c>
      <c r="AM1296" s="8">
        <f>IF(AND(ABS($AJ1296)&lt;=tol_mcx_inr,ABS($AK1296)&lt;=tol_mcx_inr,ABS($AL1296)&lt;=tol_mcx_inr),"PASS","FAIL")</f>
        <v/>
      </c>
    </row>
    <row r="1297">
      <c r="A1297" s="7" t="inlineStr">
        <is>
          <t>T06</t>
        </is>
      </c>
      <c r="B1297" s="7" t="inlineStr">
        <is>
          <t>T06-MCX-1</t>
        </is>
      </c>
      <c r="C1297" s="11" t="n">
        <v>44701</v>
      </c>
      <c r="D1297" s="7" t="n">
        <v>202205</v>
      </c>
      <c r="E1297" s="7" t="inlineStr">
        <is>
          <t>SELL</t>
        </is>
      </c>
      <c r="F1297" s="7" t="inlineStr">
        <is>
          <t>roll_out</t>
        </is>
      </c>
      <c r="G1297" s="17" t="b">
        <v>1</v>
      </c>
      <c r="H1297" s="6" t="n">
        <v>-176</v>
      </c>
      <c r="I1297" s="13" t="n">
        <v>5</v>
      </c>
      <c r="J1297" s="8">
        <f>OR($F1297="entry",$F1297="roll_in")</f>
        <v/>
      </c>
      <c r="K1297" s="8">
        <f>OR($F1297="exit",$F1297="roll_out")</f>
        <v/>
      </c>
      <c r="L1297" s="8">
        <f>OR(AND($E1297="SELL",$K1297),AND($E1297="BUY",$J1297))</f>
        <v/>
      </c>
      <c r="M1297" s="16">
        <f>((INDEX(Market_Daily!$B$6:$B$256,MATCH($C1297,Market_Daily!$A$6:$A$256,0))*INDEX(Market_Daily!$F$6:$F$256,MATCH($C1297,Market_Daily!$A$6:$A$256,0))/kg_per_mt*(1+bcd_primary_al_hs7601*(1+sws_rate_on_bcd))+mcx_domestic_premium_inr_kg)*(1+INDEX(Market_Daily!$I$6:$I$256,MATCH($C1297,Market_Daily!$A$6:$A$256,0))*MAX(0,INDEX(mcx_expiries,MATCH($D1297,mcx_months,0))-$C1297)/day_count_inr))</f>
        <v/>
      </c>
      <c r="N1297" s="16">
        <f>IF(INDEX(Market_Daily!$S$6:$S$256,MATCH($C1297,Market_Daily!$A$6:$A$256,0))=$D1297,INDEX(Market_Daily!$M$6:$M$256,MATCH($C1297,Market_Daily!$A$6:$A$256,0)),IF(INDEX(Market_Daily!$T$6:$T$256,MATCH($C1297,Market_Daily!$A$6:$A$256,0))=$D1297,INDEX(Market_Daily!$N$6:$N$256,MATCH($C1297,Market_Daily!$A$6:$A$256,0)),NA()))</f>
        <v/>
      </c>
      <c r="O1297" s="16">
        <f>$N1297-$M1297</f>
        <v/>
      </c>
      <c r="P1297" s="16">
        <f>IF(($B1296=$B1297),$M1296,"")</f>
        <v/>
      </c>
      <c r="Q1297" s="16">
        <f>$M1297+IF($L1297,1,-1)*mcx_slippage_ticks*mcx_al_tick_inr_kg</f>
        <v/>
      </c>
      <c r="R1297" s="18">
        <f>IF(($B1296=$B1297),$H1297*$I1297*kg_per_mt*($M1297-$M1296),0)</f>
        <v/>
      </c>
      <c r="S1297" s="18">
        <f>IF(($B1296=$B1297),$S1296,0)+$R1297</f>
        <v/>
      </c>
      <c r="T1297" s="18">
        <f>ABS($H1297)*$I1297*kg_per_mt*$M1297</f>
        <v/>
      </c>
      <c r="U1297" s="18">
        <f>IF($K1297,0,$T1297*mcx_al_margin_used_frac)</f>
        <v/>
      </c>
      <c r="V1297" s="18">
        <f>IF(($B1296=$B1297),$U1296,0)</f>
        <v/>
      </c>
      <c r="W1297" s="18">
        <f>$U1297-$V1297</f>
        <v/>
      </c>
      <c r="X1297" s="18">
        <f>IF($K1297,0,$T1297*0.12)</f>
        <v/>
      </c>
      <c r="Y1297" s="18">
        <f>IF($K1297,0,$T1297*0.15)</f>
        <v/>
      </c>
      <c r="Z1297" s="18">
        <f>IF($F1297="hold",0,-ABS($H1297)*$I1297*kg_per_mt*mcx_slippage_ticks*mcx_al_tick_inr_kg)</f>
        <v/>
      </c>
      <c r="AA1297" s="18">
        <f>IF($F1297="hold",0,-ABS($H1297)*$I1297*kg_per_mt*$Q1297*mcx_txn_cost_frac)</f>
        <v/>
      </c>
      <c r="AB1297" s="18">
        <f>$Z1297+$AA1297</f>
        <v/>
      </c>
      <c r="AC1297" s="18">
        <f>$R1297-$W1297+$AB1297</f>
        <v/>
      </c>
      <c r="AD1297" s="18">
        <f>IF(($B1296=$B1297),$AD1296,0)+$AC1297</f>
        <v/>
      </c>
      <c r="AE1297" s="23" t="n">
        <v>-7872342.84</v>
      </c>
      <c r="AF1297" s="23" t="n">
        <v>0</v>
      </c>
      <c r="AG1297" s="23" t="n">
        <v>-153185.31</v>
      </c>
      <c r="AH1297" s="23" t="n">
        <v>12906875.19</v>
      </c>
      <c r="AI1297" s="23" t="n">
        <v>-8727.309999999999</v>
      </c>
      <c r="AJ1297" s="18">
        <f>$R1297-$AE1297</f>
        <v/>
      </c>
      <c r="AK1297" s="18">
        <f>$U1297-$AF1297</f>
        <v/>
      </c>
      <c r="AL1297" s="18">
        <f>$AC1297-$AH1297</f>
        <v/>
      </c>
      <c r="AM1297" s="8">
        <f>IF(AND(ABS($AJ1297)&lt;=tol_mcx_inr,ABS($AK1297)&lt;=tol_mcx_inr,ABS($AL1297)&lt;=tol_mcx_inr),"PASS","FAIL")</f>
        <v/>
      </c>
    </row>
    <row r="1298">
      <c r="A1298" s="7" t="inlineStr">
        <is>
          <t>T06</t>
        </is>
      </c>
      <c r="B1298" s="7" t="inlineStr">
        <is>
          <t>T06-MCX-2</t>
        </is>
      </c>
      <c r="C1298" s="11" t="n">
        <v>44701</v>
      </c>
      <c r="D1298" s="7" t="n">
        <v>202206</v>
      </c>
      <c r="E1298" s="7" t="inlineStr">
        <is>
          <t>SELL</t>
        </is>
      </c>
      <c r="F1298" s="7" t="inlineStr">
        <is>
          <t>roll_in</t>
        </is>
      </c>
      <c r="G1298" s="17" t="b">
        <v>1</v>
      </c>
      <c r="H1298" s="6" t="n">
        <v>-176</v>
      </c>
      <c r="I1298" s="13" t="n">
        <v>5</v>
      </c>
      <c r="J1298" s="8">
        <f>OR($F1298="entry",$F1298="roll_in")</f>
        <v/>
      </c>
      <c r="K1298" s="8">
        <f>OR($F1298="exit",$F1298="roll_out")</f>
        <v/>
      </c>
      <c r="L1298" s="8">
        <f>OR(AND($E1298="SELL",$K1298),AND($E1298="BUY",$J1298))</f>
        <v/>
      </c>
      <c r="M1298" s="16">
        <f>((INDEX(Market_Daily!$B$6:$B$256,MATCH($C1298,Market_Daily!$A$6:$A$256,0))*INDEX(Market_Daily!$F$6:$F$256,MATCH($C1298,Market_Daily!$A$6:$A$256,0))/kg_per_mt*(1+bcd_primary_al_hs7601*(1+sws_rate_on_bcd))+mcx_domestic_premium_inr_kg)*(1+INDEX(Market_Daily!$I$6:$I$256,MATCH($C1298,Market_Daily!$A$6:$A$256,0))*MAX(0,INDEX(mcx_expiries,MATCH($D1298,mcx_months,0))-$C1298)/day_count_inr))</f>
        <v/>
      </c>
      <c r="N1298" s="16">
        <f>IF(INDEX(Market_Daily!$S$6:$S$256,MATCH($C1298,Market_Daily!$A$6:$A$256,0))=$D1298,INDEX(Market_Daily!$M$6:$M$256,MATCH($C1298,Market_Daily!$A$6:$A$256,0)),IF(INDEX(Market_Daily!$T$6:$T$256,MATCH($C1298,Market_Daily!$A$6:$A$256,0))=$D1298,INDEX(Market_Daily!$N$6:$N$256,MATCH($C1298,Market_Daily!$A$6:$A$256,0)),NA()))</f>
        <v/>
      </c>
      <c r="O1298" s="16">
        <f>$N1298-$M1298</f>
        <v/>
      </c>
      <c r="P1298" s="16">
        <f>IF(($B1297=$B1298),$M1297,"")</f>
        <v/>
      </c>
      <c r="Q1298" s="16">
        <f>$M1298+IF($L1298,1,-1)*mcx_slippage_ticks*mcx_al_tick_inr_kg</f>
        <v/>
      </c>
      <c r="R1298" s="18">
        <f>IF(($B1297=$B1298),$H1298*$I1298*kg_per_mt*($M1298-$M1297),0)</f>
        <v/>
      </c>
      <c r="S1298" s="18">
        <f>IF(($B1297=$B1298),$S1297,0)+$R1298</f>
        <v/>
      </c>
      <c r="T1298" s="18">
        <f>ABS($H1298)*$I1298*kg_per_mt*$M1298</f>
        <v/>
      </c>
      <c r="U1298" s="18">
        <f>IF($K1298,0,$T1298*mcx_al_margin_used_frac)</f>
        <v/>
      </c>
      <c r="V1298" s="18">
        <f>IF(($B1297=$B1298),$U1297,0)</f>
        <v/>
      </c>
      <c r="W1298" s="18">
        <f>$U1298-$V1298</f>
        <v/>
      </c>
      <c r="X1298" s="18">
        <f>IF($K1298,0,$T1298*0.12)</f>
        <v/>
      </c>
      <c r="Y1298" s="18">
        <f>IF($K1298,0,$T1298*0.15)</f>
        <v/>
      </c>
      <c r="Z1298" s="18">
        <f>IF($F1298="hold",0,-ABS($H1298)*$I1298*kg_per_mt*mcx_slippage_ticks*mcx_al_tick_inr_kg)</f>
        <v/>
      </c>
      <c r="AA1298" s="18">
        <f>IF($F1298="hold",0,-ABS($H1298)*$I1298*kg_per_mt*$Q1298*mcx_txn_cost_frac)</f>
        <v/>
      </c>
      <c r="AB1298" s="18">
        <f>$Z1298+$AA1298</f>
        <v/>
      </c>
      <c r="AC1298" s="18">
        <f>$R1298-$W1298+$AB1298</f>
        <v/>
      </c>
      <c r="AD1298" s="18">
        <f>IF(($B1297=$B1298),$AD1297,0)+$AC1298</f>
        <v/>
      </c>
      <c r="AE1298" s="23" t="n">
        <v>0</v>
      </c>
      <c r="AF1298" s="23" t="n">
        <v>21804032.79</v>
      </c>
      <c r="AG1298" s="23" t="n">
        <v>-153385.7</v>
      </c>
      <c r="AH1298" s="23" t="n">
        <v>-21957418.49</v>
      </c>
      <c r="AI1298" s="23" t="n">
        <v>0</v>
      </c>
      <c r="AJ1298" s="18">
        <f>$R1298-$AE1298</f>
        <v/>
      </c>
      <c r="AK1298" s="18">
        <f>$U1298-$AF1298</f>
        <v/>
      </c>
      <c r="AL1298" s="18">
        <f>$AC1298-$AH1298</f>
        <v/>
      </c>
      <c r="AM1298" s="8">
        <f>IF(AND(ABS($AJ1298)&lt;=tol_mcx_inr,ABS($AK1298)&lt;=tol_mcx_inr,ABS($AL1298)&lt;=tol_mcx_inr),"PASS","FAIL")</f>
        <v/>
      </c>
    </row>
    <row r="1299">
      <c r="A1299" s="7" t="inlineStr">
        <is>
          <t>T06</t>
        </is>
      </c>
      <c r="B1299" s="7" t="inlineStr">
        <is>
          <t>T06-MCX-2</t>
        </is>
      </c>
      <c r="C1299" s="11" t="n">
        <v>44704</v>
      </c>
      <c r="D1299" s="7" t="n">
        <v>202206</v>
      </c>
      <c r="E1299" s="7" t="inlineStr">
        <is>
          <t>SELL</t>
        </is>
      </c>
      <c r="F1299" s="7" t="inlineStr">
        <is>
          <t>hold</t>
        </is>
      </c>
      <c r="G1299" s="17" t="b">
        <v>1</v>
      </c>
      <c r="H1299" s="6" t="n">
        <v>-176</v>
      </c>
      <c r="I1299" s="13" t="n">
        <v>5</v>
      </c>
      <c r="J1299" s="8">
        <f>OR($F1299="entry",$F1299="roll_in")</f>
        <v/>
      </c>
      <c r="K1299" s="8">
        <f>OR($F1299="exit",$F1299="roll_out")</f>
        <v/>
      </c>
      <c r="L1299" s="8">
        <f>OR(AND($E1299="SELL",$K1299),AND($E1299="BUY",$J1299))</f>
        <v/>
      </c>
      <c r="M1299" s="16">
        <f>((INDEX(Market_Daily!$B$6:$B$256,MATCH($C1299,Market_Daily!$A$6:$A$256,0))*INDEX(Market_Daily!$F$6:$F$256,MATCH($C1299,Market_Daily!$A$6:$A$256,0))/kg_per_mt*(1+bcd_primary_al_hs7601*(1+sws_rate_on_bcd))+mcx_domestic_premium_inr_kg)*(1+INDEX(Market_Daily!$I$6:$I$256,MATCH($C1299,Market_Daily!$A$6:$A$256,0))*MAX(0,INDEX(mcx_expiries,MATCH($D1299,mcx_months,0))-$C1299)/day_count_inr))</f>
        <v/>
      </c>
      <c r="N1299" s="16">
        <f>IF(INDEX(Market_Daily!$S$6:$S$256,MATCH($C1299,Market_Daily!$A$6:$A$256,0))=$D1299,INDEX(Market_Daily!$M$6:$M$256,MATCH($C1299,Market_Daily!$A$6:$A$256,0)),IF(INDEX(Market_Daily!$T$6:$T$256,MATCH($C1299,Market_Daily!$A$6:$A$256,0))=$D1299,INDEX(Market_Daily!$N$6:$N$256,MATCH($C1299,Market_Daily!$A$6:$A$256,0)),NA()))</f>
        <v/>
      </c>
      <c r="O1299" s="16">
        <f>$N1299-$M1299</f>
        <v/>
      </c>
      <c r="P1299" s="16">
        <f>IF(($B1298=$B1299),$M1298,"")</f>
        <v/>
      </c>
      <c r="Q1299" s="16">
        <f>$M1299+IF($L1299,1,-1)*mcx_slippage_ticks*mcx_al_tick_inr_kg</f>
        <v/>
      </c>
      <c r="R1299" s="18">
        <f>IF(($B1298=$B1299),$H1299*$I1299*kg_per_mt*($M1299-$M1298),0)</f>
        <v/>
      </c>
      <c r="S1299" s="18">
        <f>IF(($B1298=$B1299),$S1298,0)+$R1299</f>
        <v/>
      </c>
      <c r="T1299" s="18">
        <f>ABS($H1299)*$I1299*kg_per_mt*$M1299</f>
        <v/>
      </c>
      <c r="U1299" s="18">
        <f>IF($K1299,0,$T1299*mcx_al_margin_used_frac)</f>
        <v/>
      </c>
      <c r="V1299" s="18">
        <f>IF(($B1298=$B1299),$U1298,0)</f>
        <v/>
      </c>
      <c r="W1299" s="18">
        <f>$U1299-$V1299</f>
        <v/>
      </c>
      <c r="X1299" s="18">
        <f>IF($K1299,0,$T1299*0.12)</f>
        <v/>
      </c>
      <c r="Y1299" s="18">
        <f>IF($K1299,0,$T1299*0.15)</f>
        <v/>
      </c>
      <c r="Z1299" s="18">
        <f>IF($F1299="hold",0,-ABS($H1299)*$I1299*kg_per_mt*mcx_slippage_ticks*mcx_al_tick_inr_kg)</f>
        <v/>
      </c>
      <c r="AA1299" s="18">
        <f>IF($F1299="hold",0,-ABS($H1299)*$I1299*kg_per_mt*$Q1299*mcx_txn_cost_frac)</f>
        <v/>
      </c>
      <c r="AB1299" s="18">
        <f>$Z1299+$AA1299</f>
        <v/>
      </c>
      <c r="AC1299" s="18">
        <f>$R1299-$W1299+$AB1299</f>
        <v/>
      </c>
      <c r="AD1299" s="18">
        <f>IF(($B1298=$B1299),$AD1298,0)+$AC1299</f>
        <v/>
      </c>
      <c r="AE1299" s="23" t="n">
        <v>-1978081.91</v>
      </c>
      <c r="AF1299" s="23" t="n">
        <v>22001840.98</v>
      </c>
      <c r="AG1299" s="23" t="n">
        <v>0</v>
      </c>
      <c r="AH1299" s="23" t="n">
        <v>-2175890.1</v>
      </c>
      <c r="AI1299" s="23" t="n">
        <v>-17505.78</v>
      </c>
      <c r="AJ1299" s="18">
        <f>$R1299-$AE1299</f>
        <v/>
      </c>
      <c r="AK1299" s="18">
        <f>$U1299-$AF1299</f>
        <v/>
      </c>
      <c r="AL1299" s="18">
        <f>$AC1299-$AH1299</f>
        <v/>
      </c>
      <c r="AM1299" s="8">
        <f>IF(AND(ABS($AJ1299)&lt;=tol_mcx_inr,ABS($AK1299)&lt;=tol_mcx_inr,ABS($AL1299)&lt;=tol_mcx_inr),"PASS","FAIL")</f>
        <v/>
      </c>
    </row>
    <row r="1300">
      <c r="A1300" s="7" t="inlineStr">
        <is>
          <t>T06</t>
        </is>
      </c>
      <c r="B1300" s="7" t="inlineStr">
        <is>
          <t>T06-MCX-2</t>
        </is>
      </c>
      <c r="C1300" s="11" t="n">
        <v>44705</v>
      </c>
      <c r="D1300" s="7" t="n">
        <v>202206</v>
      </c>
      <c r="E1300" s="7" t="inlineStr">
        <is>
          <t>SELL</t>
        </is>
      </c>
      <c r="F1300" s="7" t="inlineStr">
        <is>
          <t>hold</t>
        </is>
      </c>
      <c r="G1300" s="17" t="b">
        <v>1</v>
      </c>
      <c r="H1300" s="6" t="n">
        <v>-176</v>
      </c>
      <c r="I1300" s="13" t="n">
        <v>5</v>
      </c>
      <c r="J1300" s="8">
        <f>OR($F1300="entry",$F1300="roll_in")</f>
        <v/>
      </c>
      <c r="K1300" s="8">
        <f>OR($F1300="exit",$F1300="roll_out")</f>
        <v/>
      </c>
      <c r="L1300" s="8">
        <f>OR(AND($E1300="SELL",$K1300),AND($E1300="BUY",$J1300))</f>
        <v/>
      </c>
      <c r="M1300" s="16">
        <f>((INDEX(Market_Daily!$B$6:$B$256,MATCH($C1300,Market_Daily!$A$6:$A$256,0))*INDEX(Market_Daily!$F$6:$F$256,MATCH($C1300,Market_Daily!$A$6:$A$256,0))/kg_per_mt*(1+bcd_primary_al_hs7601*(1+sws_rate_on_bcd))+mcx_domestic_premium_inr_kg)*(1+INDEX(Market_Daily!$I$6:$I$256,MATCH($C1300,Market_Daily!$A$6:$A$256,0))*MAX(0,INDEX(mcx_expiries,MATCH($D1300,mcx_months,0))-$C1300)/day_count_inr))</f>
        <v/>
      </c>
      <c r="N1300" s="16">
        <f>IF(INDEX(Market_Daily!$S$6:$S$256,MATCH($C1300,Market_Daily!$A$6:$A$256,0))=$D1300,INDEX(Market_Daily!$M$6:$M$256,MATCH($C1300,Market_Daily!$A$6:$A$256,0)),IF(INDEX(Market_Daily!$T$6:$T$256,MATCH($C1300,Market_Daily!$A$6:$A$256,0))=$D1300,INDEX(Market_Daily!$N$6:$N$256,MATCH($C1300,Market_Daily!$A$6:$A$256,0)),NA()))</f>
        <v/>
      </c>
      <c r="O1300" s="16">
        <f>$N1300-$M1300</f>
        <v/>
      </c>
      <c r="P1300" s="16">
        <f>IF(($B1299=$B1300),$M1299,"")</f>
        <v/>
      </c>
      <c r="Q1300" s="16">
        <f>$M1300+IF($L1300,1,-1)*mcx_slippage_ticks*mcx_al_tick_inr_kg</f>
        <v/>
      </c>
      <c r="R1300" s="18">
        <f>IF(($B1299=$B1300),$H1300*$I1300*kg_per_mt*($M1300-$M1299),0)</f>
        <v/>
      </c>
      <c r="S1300" s="18">
        <f>IF(($B1299=$B1300),$S1299,0)+$R1300</f>
        <v/>
      </c>
      <c r="T1300" s="18">
        <f>ABS($H1300)*$I1300*kg_per_mt*$M1300</f>
        <v/>
      </c>
      <c r="U1300" s="18">
        <f>IF($K1300,0,$T1300*mcx_al_margin_used_frac)</f>
        <v/>
      </c>
      <c r="V1300" s="18">
        <f>IF(($B1299=$B1300),$U1299,0)</f>
        <v/>
      </c>
      <c r="W1300" s="18">
        <f>$U1300-$V1300</f>
        <v/>
      </c>
      <c r="X1300" s="18">
        <f>IF($K1300,0,$T1300*0.12)</f>
        <v/>
      </c>
      <c r="Y1300" s="18">
        <f>IF($K1300,0,$T1300*0.15)</f>
        <v/>
      </c>
      <c r="Z1300" s="18">
        <f>IF($F1300="hold",0,-ABS($H1300)*$I1300*kg_per_mt*mcx_slippage_ticks*mcx_al_tick_inr_kg)</f>
        <v/>
      </c>
      <c r="AA1300" s="18">
        <f>IF($F1300="hold",0,-ABS($H1300)*$I1300*kg_per_mt*$Q1300*mcx_txn_cost_frac)</f>
        <v/>
      </c>
      <c r="AB1300" s="18">
        <f>$Z1300+$AA1300</f>
        <v/>
      </c>
      <c r="AC1300" s="18">
        <f>$R1300-$W1300+$AB1300</f>
        <v/>
      </c>
      <c r="AD1300" s="18">
        <f>IF(($B1299=$B1300),$AD1299,0)+$AC1300</f>
        <v/>
      </c>
      <c r="AE1300" s="23" t="n">
        <v>6033541.29</v>
      </c>
      <c r="AF1300" s="23" t="n">
        <v>21398486.85</v>
      </c>
      <c r="AG1300" s="23" t="n">
        <v>0</v>
      </c>
      <c r="AH1300" s="23" t="n">
        <v>6636895.42</v>
      </c>
      <c r="AI1300" s="23" t="n">
        <v>-6413.51</v>
      </c>
      <c r="AJ1300" s="18">
        <f>$R1300-$AE1300</f>
        <v/>
      </c>
      <c r="AK1300" s="18">
        <f>$U1300-$AF1300</f>
        <v/>
      </c>
      <c r="AL1300" s="18">
        <f>$AC1300-$AH1300</f>
        <v/>
      </c>
      <c r="AM1300" s="8">
        <f>IF(AND(ABS($AJ1300)&lt;=tol_mcx_inr,ABS($AK1300)&lt;=tol_mcx_inr,ABS($AL1300)&lt;=tol_mcx_inr),"PASS","FAIL")</f>
        <v/>
      </c>
    </row>
    <row r="1301">
      <c r="A1301" s="7" t="inlineStr">
        <is>
          <t>T06</t>
        </is>
      </c>
      <c r="B1301" s="7" t="inlineStr">
        <is>
          <t>T06-MCX-2</t>
        </is>
      </c>
      <c r="C1301" s="11" t="n">
        <v>44706</v>
      </c>
      <c r="D1301" s="7" t="n">
        <v>202206</v>
      </c>
      <c r="E1301" s="7" t="inlineStr">
        <is>
          <t>SELL</t>
        </is>
      </c>
      <c r="F1301" s="7" t="inlineStr">
        <is>
          <t>hold</t>
        </is>
      </c>
      <c r="G1301" s="17" t="b">
        <v>1</v>
      </c>
      <c r="H1301" s="6" t="n">
        <v>-176</v>
      </c>
      <c r="I1301" s="13" t="n">
        <v>5</v>
      </c>
      <c r="J1301" s="8">
        <f>OR($F1301="entry",$F1301="roll_in")</f>
        <v/>
      </c>
      <c r="K1301" s="8">
        <f>OR($F1301="exit",$F1301="roll_out")</f>
        <v/>
      </c>
      <c r="L1301" s="8">
        <f>OR(AND($E1301="SELL",$K1301),AND($E1301="BUY",$J1301))</f>
        <v/>
      </c>
      <c r="M1301" s="16">
        <f>((INDEX(Market_Daily!$B$6:$B$256,MATCH($C1301,Market_Daily!$A$6:$A$256,0))*INDEX(Market_Daily!$F$6:$F$256,MATCH($C1301,Market_Daily!$A$6:$A$256,0))/kg_per_mt*(1+bcd_primary_al_hs7601*(1+sws_rate_on_bcd))+mcx_domestic_premium_inr_kg)*(1+INDEX(Market_Daily!$I$6:$I$256,MATCH($C1301,Market_Daily!$A$6:$A$256,0))*MAX(0,INDEX(mcx_expiries,MATCH($D1301,mcx_months,0))-$C1301)/day_count_inr))</f>
        <v/>
      </c>
      <c r="N1301" s="16">
        <f>IF(INDEX(Market_Daily!$S$6:$S$256,MATCH($C1301,Market_Daily!$A$6:$A$256,0))=$D1301,INDEX(Market_Daily!$M$6:$M$256,MATCH($C1301,Market_Daily!$A$6:$A$256,0)),IF(INDEX(Market_Daily!$T$6:$T$256,MATCH($C1301,Market_Daily!$A$6:$A$256,0))=$D1301,INDEX(Market_Daily!$N$6:$N$256,MATCH($C1301,Market_Daily!$A$6:$A$256,0)),NA()))</f>
        <v/>
      </c>
      <c r="O1301" s="16">
        <f>$N1301-$M1301</f>
        <v/>
      </c>
      <c r="P1301" s="16">
        <f>IF(($B1300=$B1301),$M1300,"")</f>
        <v/>
      </c>
      <c r="Q1301" s="16">
        <f>$M1301+IF($L1301,1,-1)*mcx_slippage_ticks*mcx_al_tick_inr_kg</f>
        <v/>
      </c>
      <c r="R1301" s="18">
        <f>IF(($B1300=$B1301),$H1301*$I1301*kg_per_mt*($M1301-$M1300),0)</f>
        <v/>
      </c>
      <c r="S1301" s="18">
        <f>IF(($B1300=$B1301),$S1300,0)+$R1301</f>
        <v/>
      </c>
      <c r="T1301" s="18">
        <f>ABS($H1301)*$I1301*kg_per_mt*$M1301</f>
        <v/>
      </c>
      <c r="U1301" s="18">
        <f>IF($K1301,0,$T1301*mcx_al_margin_used_frac)</f>
        <v/>
      </c>
      <c r="V1301" s="18">
        <f>IF(($B1300=$B1301),$U1300,0)</f>
        <v/>
      </c>
      <c r="W1301" s="18">
        <f>$U1301-$V1301</f>
        <v/>
      </c>
      <c r="X1301" s="18">
        <f>IF($K1301,0,$T1301*0.12)</f>
        <v/>
      </c>
      <c r="Y1301" s="18">
        <f>IF($K1301,0,$T1301*0.15)</f>
        <v/>
      </c>
      <c r="Z1301" s="18">
        <f>IF($F1301="hold",0,-ABS($H1301)*$I1301*kg_per_mt*mcx_slippage_ticks*mcx_al_tick_inr_kg)</f>
        <v/>
      </c>
      <c r="AA1301" s="18">
        <f>IF($F1301="hold",0,-ABS($H1301)*$I1301*kg_per_mt*$Q1301*mcx_txn_cost_frac)</f>
        <v/>
      </c>
      <c r="AB1301" s="18">
        <f>$Z1301+$AA1301</f>
        <v/>
      </c>
      <c r="AC1301" s="18">
        <f>$R1301-$W1301+$AB1301</f>
        <v/>
      </c>
      <c r="AD1301" s="18">
        <f>IF(($B1300=$B1301),$AD1300,0)+$AC1301</f>
        <v/>
      </c>
      <c r="AE1301" s="23" t="n">
        <v>3907508.86</v>
      </c>
      <c r="AF1301" s="23" t="n">
        <v>21007735.97</v>
      </c>
      <c r="AG1301" s="23" t="n">
        <v>0</v>
      </c>
      <c r="AH1301" s="23" t="n">
        <v>4298259.74</v>
      </c>
      <c r="AI1301" s="23" t="n">
        <v>-4649.73</v>
      </c>
      <c r="AJ1301" s="18">
        <f>$R1301-$AE1301</f>
        <v/>
      </c>
      <c r="AK1301" s="18">
        <f>$U1301-$AF1301</f>
        <v/>
      </c>
      <c r="AL1301" s="18">
        <f>$AC1301-$AH1301</f>
        <v/>
      </c>
      <c r="AM1301" s="8">
        <f>IF(AND(ABS($AJ1301)&lt;=tol_mcx_inr,ABS($AK1301)&lt;=tol_mcx_inr,ABS($AL1301)&lt;=tol_mcx_inr),"PASS","FAIL")</f>
        <v/>
      </c>
    </row>
    <row r="1302">
      <c r="A1302" s="7" t="inlineStr">
        <is>
          <t>T06</t>
        </is>
      </c>
      <c r="B1302" s="7" t="inlineStr">
        <is>
          <t>T06-MCX-2</t>
        </is>
      </c>
      <c r="C1302" s="11" t="n">
        <v>44707</v>
      </c>
      <c r="D1302" s="7" t="n">
        <v>202206</v>
      </c>
      <c r="E1302" s="7" t="inlineStr">
        <is>
          <t>SELL</t>
        </is>
      </c>
      <c r="F1302" s="7" t="inlineStr">
        <is>
          <t>hold</t>
        </is>
      </c>
      <c r="G1302" s="17" t="b">
        <v>1</v>
      </c>
      <c r="H1302" s="6" t="n">
        <v>-176</v>
      </c>
      <c r="I1302" s="13" t="n">
        <v>5</v>
      </c>
      <c r="J1302" s="8">
        <f>OR($F1302="entry",$F1302="roll_in")</f>
        <v/>
      </c>
      <c r="K1302" s="8">
        <f>OR($F1302="exit",$F1302="roll_out")</f>
        <v/>
      </c>
      <c r="L1302" s="8">
        <f>OR(AND($E1302="SELL",$K1302),AND($E1302="BUY",$J1302))</f>
        <v/>
      </c>
      <c r="M1302" s="16">
        <f>((INDEX(Market_Daily!$B$6:$B$256,MATCH($C1302,Market_Daily!$A$6:$A$256,0))*INDEX(Market_Daily!$F$6:$F$256,MATCH($C1302,Market_Daily!$A$6:$A$256,0))/kg_per_mt*(1+bcd_primary_al_hs7601*(1+sws_rate_on_bcd))+mcx_domestic_premium_inr_kg)*(1+INDEX(Market_Daily!$I$6:$I$256,MATCH($C1302,Market_Daily!$A$6:$A$256,0))*MAX(0,INDEX(mcx_expiries,MATCH($D1302,mcx_months,0))-$C1302)/day_count_inr))</f>
        <v/>
      </c>
      <c r="N1302" s="16">
        <f>IF(INDEX(Market_Daily!$S$6:$S$256,MATCH($C1302,Market_Daily!$A$6:$A$256,0))=$D1302,INDEX(Market_Daily!$M$6:$M$256,MATCH($C1302,Market_Daily!$A$6:$A$256,0)),IF(INDEX(Market_Daily!$T$6:$T$256,MATCH($C1302,Market_Daily!$A$6:$A$256,0))=$D1302,INDEX(Market_Daily!$N$6:$N$256,MATCH($C1302,Market_Daily!$A$6:$A$256,0)),NA()))</f>
        <v/>
      </c>
      <c r="O1302" s="16">
        <f>$N1302-$M1302</f>
        <v/>
      </c>
      <c r="P1302" s="16">
        <f>IF(($B1301=$B1302),$M1301,"")</f>
        <v/>
      </c>
      <c r="Q1302" s="16">
        <f>$M1302+IF($L1302,1,-1)*mcx_slippage_ticks*mcx_al_tick_inr_kg</f>
        <v/>
      </c>
      <c r="R1302" s="18">
        <f>IF(($B1301=$B1302),$H1302*$I1302*kg_per_mt*($M1302-$M1301),0)</f>
        <v/>
      </c>
      <c r="S1302" s="18">
        <f>IF(($B1301=$B1302),$S1301,0)+$R1302</f>
        <v/>
      </c>
      <c r="T1302" s="18">
        <f>ABS($H1302)*$I1302*kg_per_mt*$M1302</f>
        <v/>
      </c>
      <c r="U1302" s="18">
        <f>IF($K1302,0,$T1302*mcx_al_margin_used_frac)</f>
        <v/>
      </c>
      <c r="V1302" s="18">
        <f>IF(($B1301=$B1302),$U1301,0)</f>
        <v/>
      </c>
      <c r="W1302" s="18">
        <f>$U1302-$V1302</f>
        <v/>
      </c>
      <c r="X1302" s="18">
        <f>IF($K1302,0,$T1302*0.12)</f>
        <v/>
      </c>
      <c r="Y1302" s="18">
        <f>IF($K1302,0,$T1302*0.15)</f>
        <v/>
      </c>
      <c r="Z1302" s="18">
        <f>IF($F1302="hold",0,-ABS($H1302)*$I1302*kg_per_mt*mcx_slippage_ticks*mcx_al_tick_inr_kg)</f>
        <v/>
      </c>
      <c r="AA1302" s="18">
        <f>IF($F1302="hold",0,-ABS($H1302)*$I1302*kg_per_mt*$Q1302*mcx_txn_cost_frac)</f>
        <v/>
      </c>
      <c r="AB1302" s="18">
        <f>$Z1302+$AA1302</f>
        <v/>
      </c>
      <c r="AC1302" s="18">
        <f>$R1302-$W1302+$AB1302</f>
        <v/>
      </c>
      <c r="AD1302" s="18">
        <f>IF(($B1301=$B1302),$AD1301,0)+$AC1302</f>
        <v/>
      </c>
      <c r="AE1302" s="23" t="n">
        <v>268907.76</v>
      </c>
      <c r="AF1302" s="23" t="n">
        <v>20980845.19</v>
      </c>
      <c r="AG1302" s="23" t="n">
        <v>0</v>
      </c>
      <c r="AH1302" s="23" t="n">
        <v>295798.54</v>
      </c>
      <c r="AI1302" s="23" t="n">
        <v>-3507.45</v>
      </c>
      <c r="AJ1302" s="18">
        <f>$R1302-$AE1302</f>
        <v/>
      </c>
      <c r="AK1302" s="18">
        <f>$U1302-$AF1302</f>
        <v/>
      </c>
      <c r="AL1302" s="18">
        <f>$AC1302-$AH1302</f>
        <v/>
      </c>
      <c r="AM1302" s="8">
        <f>IF(AND(ABS($AJ1302)&lt;=tol_mcx_inr,ABS($AK1302)&lt;=tol_mcx_inr,ABS($AL1302)&lt;=tol_mcx_inr),"PASS","FAIL")</f>
        <v/>
      </c>
    </row>
    <row r="1303">
      <c r="A1303" s="7" t="inlineStr">
        <is>
          <t>T06</t>
        </is>
      </c>
      <c r="B1303" s="7" t="inlineStr">
        <is>
          <t>T06-MCX-2</t>
        </is>
      </c>
      <c r="C1303" s="11" t="n">
        <v>44708</v>
      </c>
      <c r="D1303" s="7" t="n">
        <v>202206</v>
      </c>
      <c r="E1303" s="7" t="inlineStr">
        <is>
          <t>SELL</t>
        </is>
      </c>
      <c r="F1303" s="7" t="inlineStr">
        <is>
          <t>hold</t>
        </is>
      </c>
      <c r="G1303" s="17" t="b">
        <v>1</v>
      </c>
      <c r="H1303" s="6" t="n">
        <v>-176</v>
      </c>
      <c r="I1303" s="13" t="n">
        <v>5</v>
      </c>
      <c r="J1303" s="8">
        <f>OR($F1303="entry",$F1303="roll_in")</f>
        <v/>
      </c>
      <c r="K1303" s="8">
        <f>OR($F1303="exit",$F1303="roll_out")</f>
        <v/>
      </c>
      <c r="L1303" s="8">
        <f>OR(AND($E1303="SELL",$K1303),AND($E1303="BUY",$J1303))</f>
        <v/>
      </c>
      <c r="M1303" s="16">
        <f>((INDEX(Market_Daily!$B$6:$B$256,MATCH($C1303,Market_Daily!$A$6:$A$256,0))*INDEX(Market_Daily!$F$6:$F$256,MATCH($C1303,Market_Daily!$A$6:$A$256,0))/kg_per_mt*(1+bcd_primary_al_hs7601*(1+sws_rate_on_bcd))+mcx_domestic_premium_inr_kg)*(1+INDEX(Market_Daily!$I$6:$I$256,MATCH($C1303,Market_Daily!$A$6:$A$256,0))*MAX(0,INDEX(mcx_expiries,MATCH($D1303,mcx_months,0))-$C1303)/day_count_inr))</f>
        <v/>
      </c>
      <c r="N1303" s="16">
        <f>IF(INDEX(Market_Daily!$S$6:$S$256,MATCH($C1303,Market_Daily!$A$6:$A$256,0))=$D1303,INDEX(Market_Daily!$M$6:$M$256,MATCH($C1303,Market_Daily!$A$6:$A$256,0)),IF(INDEX(Market_Daily!$T$6:$T$256,MATCH($C1303,Market_Daily!$A$6:$A$256,0))=$D1303,INDEX(Market_Daily!$N$6:$N$256,MATCH($C1303,Market_Daily!$A$6:$A$256,0)),NA()))</f>
        <v/>
      </c>
      <c r="O1303" s="16">
        <f>$N1303-$M1303</f>
        <v/>
      </c>
      <c r="P1303" s="16">
        <f>IF(($B1302=$B1303),$M1302,"")</f>
        <v/>
      </c>
      <c r="Q1303" s="16">
        <f>$M1303+IF($L1303,1,-1)*mcx_slippage_ticks*mcx_al_tick_inr_kg</f>
        <v/>
      </c>
      <c r="R1303" s="18">
        <f>IF(($B1302=$B1303),$H1303*$I1303*kg_per_mt*($M1303-$M1302),0)</f>
        <v/>
      </c>
      <c r="S1303" s="18">
        <f>IF(($B1302=$B1303),$S1302,0)+$R1303</f>
        <v/>
      </c>
      <c r="T1303" s="18">
        <f>ABS($H1303)*$I1303*kg_per_mt*$M1303</f>
        <v/>
      </c>
      <c r="U1303" s="18">
        <f>IF($K1303,0,$T1303*mcx_al_margin_used_frac)</f>
        <v/>
      </c>
      <c r="V1303" s="18">
        <f>IF(($B1302=$B1303),$U1302,0)</f>
        <v/>
      </c>
      <c r="W1303" s="18">
        <f>$U1303-$V1303</f>
        <v/>
      </c>
      <c r="X1303" s="18">
        <f>IF($K1303,0,$T1303*0.12)</f>
        <v/>
      </c>
      <c r="Y1303" s="18">
        <f>IF($K1303,0,$T1303*0.15)</f>
        <v/>
      </c>
      <c r="Z1303" s="18">
        <f>IF($F1303="hold",0,-ABS($H1303)*$I1303*kg_per_mt*mcx_slippage_ticks*mcx_al_tick_inr_kg)</f>
        <v/>
      </c>
      <c r="AA1303" s="18">
        <f>IF($F1303="hold",0,-ABS($H1303)*$I1303*kg_per_mt*$Q1303*mcx_txn_cost_frac)</f>
        <v/>
      </c>
      <c r="AB1303" s="18">
        <f>$Z1303+$AA1303</f>
        <v/>
      </c>
      <c r="AC1303" s="18">
        <f>$R1303-$W1303+$AB1303</f>
        <v/>
      </c>
      <c r="AD1303" s="18">
        <f>IF(($B1302=$B1303),$AD1302,0)+$AC1303</f>
        <v/>
      </c>
      <c r="AE1303" s="23" t="n">
        <v>235393.79</v>
      </c>
      <c r="AF1303" s="23" t="n">
        <v>20957305.81</v>
      </c>
      <c r="AG1303" s="23" t="n">
        <v>0</v>
      </c>
      <c r="AH1303" s="23" t="n">
        <v>258933.17</v>
      </c>
      <c r="AI1303" s="23" t="n">
        <v>-3428.84</v>
      </c>
      <c r="AJ1303" s="18">
        <f>$R1303-$AE1303</f>
        <v/>
      </c>
      <c r="AK1303" s="18">
        <f>$U1303-$AF1303</f>
        <v/>
      </c>
      <c r="AL1303" s="18">
        <f>$AC1303-$AH1303</f>
        <v/>
      </c>
      <c r="AM1303" s="8">
        <f>IF(AND(ABS($AJ1303)&lt;=tol_mcx_inr,ABS($AK1303)&lt;=tol_mcx_inr,ABS($AL1303)&lt;=tol_mcx_inr),"PASS","FAIL")</f>
        <v/>
      </c>
    </row>
    <row r="1304">
      <c r="A1304" s="7" t="inlineStr">
        <is>
          <t>T06</t>
        </is>
      </c>
      <c r="B1304" s="7" t="inlineStr">
        <is>
          <t>T06-MCX-2</t>
        </is>
      </c>
      <c r="C1304" s="11" t="n">
        <v>44711</v>
      </c>
      <c r="D1304" s="7" t="n">
        <v>202206</v>
      </c>
      <c r="E1304" s="7" t="inlineStr">
        <is>
          <t>SELL</t>
        </is>
      </c>
      <c r="F1304" s="7" t="inlineStr">
        <is>
          <t>hold</t>
        </is>
      </c>
      <c r="G1304" s="17" t="b">
        <v>1</v>
      </c>
      <c r="H1304" s="6" t="n">
        <v>-176</v>
      </c>
      <c r="I1304" s="13" t="n">
        <v>5</v>
      </c>
      <c r="J1304" s="8">
        <f>OR($F1304="entry",$F1304="roll_in")</f>
        <v/>
      </c>
      <c r="K1304" s="8">
        <f>OR($F1304="exit",$F1304="roll_out")</f>
        <v/>
      </c>
      <c r="L1304" s="8">
        <f>OR(AND($E1304="SELL",$K1304),AND($E1304="BUY",$J1304))</f>
        <v/>
      </c>
      <c r="M1304" s="16">
        <f>((INDEX(Market_Daily!$B$6:$B$256,MATCH($C1304,Market_Daily!$A$6:$A$256,0))*INDEX(Market_Daily!$F$6:$F$256,MATCH($C1304,Market_Daily!$A$6:$A$256,0))/kg_per_mt*(1+bcd_primary_al_hs7601*(1+sws_rate_on_bcd))+mcx_domestic_premium_inr_kg)*(1+INDEX(Market_Daily!$I$6:$I$256,MATCH($C1304,Market_Daily!$A$6:$A$256,0))*MAX(0,INDEX(mcx_expiries,MATCH($D1304,mcx_months,0))-$C1304)/day_count_inr))</f>
        <v/>
      </c>
      <c r="N1304" s="16">
        <f>IF(INDEX(Market_Daily!$S$6:$S$256,MATCH($C1304,Market_Daily!$A$6:$A$256,0))=$D1304,INDEX(Market_Daily!$M$6:$M$256,MATCH($C1304,Market_Daily!$A$6:$A$256,0)),IF(INDEX(Market_Daily!$T$6:$T$256,MATCH($C1304,Market_Daily!$A$6:$A$256,0))=$D1304,INDEX(Market_Daily!$N$6:$N$256,MATCH($C1304,Market_Daily!$A$6:$A$256,0)),NA()))</f>
        <v/>
      </c>
      <c r="O1304" s="16">
        <f>$N1304-$M1304</f>
        <v/>
      </c>
      <c r="P1304" s="16">
        <f>IF(($B1303=$B1304),$M1303,"")</f>
        <v/>
      </c>
      <c r="Q1304" s="16">
        <f>$M1304+IF($L1304,1,-1)*mcx_slippage_ticks*mcx_al_tick_inr_kg</f>
        <v/>
      </c>
      <c r="R1304" s="18">
        <f>IF(($B1303=$B1304),$H1304*$I1304*kg_per_mt*($M1304-$M1303),0)</f>
        <v/>
      </c>
      <c r="S1304" s="18">
        <f>IF(($B1303=$B1304),$S1303,0)+$R1304</f>
        <v/>
      </c>
      <c r="T1304" s="18">
        <f>ABS($H1304)*$I1304*kg_per_mt*$M1304</f>
        <v/>
      </c>
      <c r="U1304" s="18">
        <f>IF($K1304,0,$T1304*mcx_al_margin_used_frac)</f>
        <v/>
      </c>
      <c r="V1304" s="18">
        <f>IF(($B1303=$B1304),$U1303,0)</f>
        <v/>
      </c>
      <c r="W1304" s="18">
        <f>$U1304-$V1304</f>
        <v/>
      </c>
      <c r="X1304" s="18">
        <f>IF($K1304,0,$T1304*0.12)</f>
        <v/>
      </c>
      <c r="Y1304" s="18">
        <f>IF($K1304,0,$T1304*0.15)</f>
        <v/>
      </c>
      <c r="Z1304" s="18">
        <f>IF($F1304="hold",0,-ABS($H1304)*$I1304*kg_per_mt*mcx_slippage_ticks*mcx_al_tick_inr_kg)</f>
        <v/>
      </c>
      <c r="AA1304" s="18">
        <f>IF($F1304="hold",0,-ABS($H1304)*$I1304*kg_per_mt*$Q1304*mcx_txn_cost_frac)</f>
        <v/>
      </c>
      <c r="AB1304" s="18">
        <f>$Z1304+$AA1304</f>
        <v/>
      </c>
      <c r="AC1304" s="18">
        <f>$R1304-$W1304+$AB1304</f>
        <v/>
      </c>
      <c r="AD1304" s="18">
        <f>IF(($B1303=$B1304),$AD1303,0)+$AC1304</f>
        <v/>
      </c>
      <c r="AE1304" s="23" t="n">
        <v>-2779553.27</v>
      </c>
      <c r="AF1304" s="23" t="n">
        <v>21235261.14</v>
      </c>
      <c r="AG1304" s="23" t="n">
        <v>0</v>
      </c>
      <c r="AH1304" s="23" t="n">
        <v>-3057508.6</v>
      </c>
      <c r="AI1304" s="23" t="n">
        <v>-10080.1</v>
      </c>
      <c r="AJ1304" s="18">
        <f>$R1304-$AE1304</f>
        <v/>
      </c>
      <c r="AK1304" s="18">
        <f>$U1304-$AF1304</f>
        <v/>
      </c>
      <c r="AL1304" s="18">
        <f>$AC1304-$AH1304</f>
        <v/>
      </c>
      <c r="AM1304" s="8">
        <f>IF(AND(ABS($AJ1304)&lt;=tol_mcx_inr,ABS($AK1304)&lt;=tol_mcx_inr,ABS($AL1304)&lt;=tol_mcx_inr),"PASS","FAIL")</f>
        <v/>
      </c>
    </row>
    <row r="1305">
      <c r="A1305" s="7" t="inlineStr">
        <is>
          <t>T06</t>
        </is>
      </c>
      <c r="B1305" s="7" t="inlineStr">
        <is>
          <t>T06-MCX-2</t>
        </is>
      </c>
      <c r="C1305" s="11" t="n">
        <v>44712</v>
      </c>
      <c r="D1305" s="7" t="n">
        <v>202206</v>
      </c>
      <c r="E1305" s="7" t="inlineStr">
        <is>
          <t>SELL</t>
        </is>
      </c>
      <c r="F1305" s="7" t="inlineStr">
        <is>
          <t>hold</t>
        </is>
      </c>
      <c r="G1305" s="17" t="b">
        <v>1</v>
      </c>
      <c r="H1305" s="6" t="n">
        <v>-176</v>
      </c>
      <c r="I1305" s="13" t="n">
        <v>5</v>
      </c>
      <c r="J1305" s="8">
        <f>OR($F1305="entry",$F1305="roll_in")</f>
        <v/>
      </c>
      <c r="K1305" s="8">
        <f>OR($F1305="exit",$F1305="roll_out")</f>
        <v/>
      </c>
      <c r="L1305" s="8">
        <f>OR(AND($E1305="SELL",$K1305),AND($E1305="BUY",$J1305))</f>
        <v/>
      </c>
      <c r="M1305" s="16">
        <f>((INDEX(Market_Daily!$B$6:$B$256,MATCH($C1305,Market_Daily!$A$6:$A$256,0))*INDEX(Market_Daily!$F$6:$F$256,MATCH($C1305,Market_Daily!$A$6:$A$256,0))/kg_per_mt*(1+bcd_primary_al_hs7601*(1+sws_rate_on_bcd))+mcx_domestic_premium_inr_kg)*(1+INDEX(Market_Daily!$I$6:$I$256,MATCH($C1305,Market_Daily!$A$6:$A$256,0))*MAX(0,INDEX(mcx_expiries,MATCH($D1305,mcx_months,0))-$C1305)/day_count_inr))</f>
        <v/>
      </c>
      <c r="N1305" s="16">
        <f>IF(INDEX(Market_Daily!$S$6:$S$256,MATCH($C1305,Market_Daily!$A$6:$A$256,0))=$D1305,INDEX(Market_Daily!$M$6:$M$256,MATCH($C1305,Market_Daily!$A$6:$A$256,0)),IF(INDEX(Market_Daily!$T$6:$T$256,MATCH($C1305,Market_Daily!$A$6:$A$256,0))=$D1305,INDEX(Market_Daily!$N$6:$N$256,MATCH($C1305,Market_Daily!$A$6:$A$256,0)),NA()))</f>
        <v/>
      </c>
      <c r="O1305" s="16">
        <f>$N1305-$M1305</f>
        <v/>
      </c>
      <c r="P1305" s="16">
        <f>IF(($B1304=$B1305),$M1304,"")</f>
        <v/>
      </c>
      <c r="Q1305" s="16">
        <f>$M1305+IF($L1305,1,-1)*mcx_slippage_ticks*mcx_al_tick_inr_kg</f>
        <v/>
      </c>
      <c r="R1305" s="18">
        <f>IF(($B1304=$B1305),$H1305*$I1305*kg_per_mt*($M1305-$M1304),0)</f>
        <v/>
      </c>
      <c r="S1305" s="18">
        <f>IF(($B1304=$B1305),$S1304,0)+$R1305</f>
        <v/>
      </c>
      <c r="T1305" s="18">
        <f>ABS($H1305)*$I1305*kg_per_mt*$M1305</f>
        <v/>
      </c>
      <c r="U1305" s="18">
        <f>IF($K1305,0,$T1305*mcx_al_margin_used_frac)</f>
        <v/>
      </c>
      <c r="V1305" s="18">
        <f>IF(($B1304=$B1305),$U1304,0)</f>
        <v/>
      </c>
      <c r="W1305" s="18">
        <f>$U1305-$V1305</f>
        <v/>
      </c>
      <c r="X1305" s="18">
        <f>IF($K1305,0,$T1305*0.12)</f>
        <v/>
      </c>
      <c r="Y1305" s="18">
        <f>IF($K1305,0,$T1305*0.15)</f>
        <v/>
      </c>
      <c r="Z1305" s="18">
        <f>IF($F1305="hold",0,-ABS($H1305)*$I1305*kg_per_mt*mcx_slippage_ticks*mcx_al_tick_inr_kg)</f>
        <v/>
      </c>
      <c r="AA1305" s="18">
        <f>IF($F1305="hold",0,-ABS($H1305)*$I1305*kg_per_mt*$Q1305*mcx_txn_cost_frac)</f>
        <v/>
      </c>
      <c r="AB1305" s="18">
        <f>$Z1305+$AA1305</f>
        <v/>
      </c>
      <c r="AC1305" s="18">
        <f>$R1305-$W1305+$AB1305</f>
        <v/>
      </c>
      <c r="AD1305" s="18">
        <f>IF(($B1304=$B1305),$AD1304,0)+$AC1305</f>
        <v/>
      </c>
      <c r="AE1305" s="23" t="n">
        <v>3095103.95</v>
      </c>
      <c r="AF1305" s="23" t="n">
        <v>20925750.74</v>
      </c>
      <c r="AG1305" s="23" t="n">
        <v>0</v>
      </c>
      <c r="AH1305" s="23" t="n">
        <v>3404614.35</v>
      </c>
      <c r="AI1305" s="23" t="n">
        <v>-4172.58</v>
      </c>
      <c r="AJ1305" s="18">
        <f>$R1305-$AE1305</f>
        <v/>
      </c>
      <c r="AK1305" s="18">
        <f>$U1305-$AF1305</f>
        <v/>
      </c>
      <c r="AL1305" s="18">
        <f>$AC1305-$AH1305</f>
        <v/>
      </c>
      <c r="AM1305" s="8">
        <f>IF(AND(ABS($AJ1305)&lt;=tol_mcx_inr,ABS($AK1305)&lt;=tol_mcx_inr,ABS($AL1305)&lt;=tol_mcx_inr),"PASS","FAIL")</f>
        <v/>
      </c>
    </row>
    <row r="1306">
      <c r="A1306" s="7" t="inlineStr">
        <is>
          <t>T06</t>
        </is>
      </c>
      <c r="B1306" s="7" t="inlineStr">
        <is>
          <t>T06-MCX-2</t>
        </is>
      </c>
      <c r="C1306" s="11" t="n">
        <v>44713</v>
      </c>
      <c r="D1306" s="7" t="n">
        <v>202206</v>
      </c>
      <c r="E1306" s="7" t="inlineStr">
        <is>
          <t>SELL</t>
        </is>
      </c>
      <c r="F1306" s="7" t="inlineStr">
        <is>
          <t>exit</t>
        </is>
      </c>
      <c r="G1306" s="17" t="b">
        <v>1</v>
      </c>
      <c r="H1306" s="6" t="n">
        <v>-176</v>
      </c>
      <c r="I1306" s="13" t="n">
        <v>5</v>
      </c>
      <c r="J1306" s="8">
        <f>OR($F1306="entry",$F1306="roll_in")</f>
        <v/>
      </c>
      <c r="K1306" s="8">
        <f>OR($F1306="exit",$F1306="roll_out")</f>
        <v/>
      </c>
      <c r="L1306" s="8">
        <f>OR(AND($E1306="SELL",$K1306),AND($E1306="BUY",$J1306))</f>
        <v/>
      </c>
      <c r="M1306" s="16">
        <f>((INDEX(Market_Daily!$B$6:$B$256,MATCH($C1306,Market_Daily!$A$6:$A$256,0))*INDEX(Market_Daily!$F$6:$F$256,MATCH($C1306,Market_Daily!$A$6:$A$256,0))/kg_per_mt*(1+bcd_primary_al_hs7601*(1+sws_rate_on_bcd))+mcx_domestic_premium_inr_kg)*(1+INDEX(Market_Daily!$I$6:$I$256,MATCH($C1306,Market_Daily!$A$6:$A$256,0))*MAX(0,INDEX(mcx_expiries,MATCH($D1306,mcx_months,0))-$C1306)/day_count_inr))</f>
        <v/>
      </c>
      <c r="N1306" s="16">
        <f>IF(INDEX(Market_Daily!$S$6:$S$256,MATCH($C1306,Market_Daily!$A$6:$A$256,0))=$D1306,INDEX(Market_Daily!$M$6:$M$256,MATCH($C1306,Market_Daily!$A$6:$A$256,0)),IF(INDEX(Market_Daily!$T$6:$T$256,MATCH($C1306,Market_Daily!$A$6:$A$256,0))=$D1306,INDEX(Market_Daily!$N$6:$N$256,MATCH($C1306,Market_Daily!$A$6:$A$256,0)),NA()))</f>
        <v/>
      </c>
      <c r="O1306" s="16">
        <f>$N1306-$M1306</f>
        <v/>
      </c>
      <c r="P1306" s="16">
        <f>IF(($B1305=$B1306),$M1305,"")</f>
        <v/>
      </c>
      <c r="Q1306" s="16">
        <f>$M1306+IF($L1306,1,-1)*mcx_slippage_ticks*mcx_al_tick_inr_kg</f>
        <v/>
      </c>
      <c r="R1306" s="18">
        <f>IF(($B1305=$B1306),$H1306*$I1306*kg_per_mt*($M1306-$M1305),0)</f>
        <v/>
      </c>
      <c r="S1306" s="18">
        <f>IF(($B1305=$B1306),$S1305,0)+$R1306</f>
        <v/>
      </c>
      <c r="T1306" s="18">
        <f>ABS($H1306)*$I1306*kg_per_mt*$M1306</f>
        <v/>
      </c>
      <c r="U1306" s="18">
        <f>IF($K1306,0,$T1306*mcx_al_margin_used_frac)</f>
        <v/>
      </c>
      <c r="V1306" s="18">
        <f>IF(($B1305=$B1306),$U1305,0)</f>
        <v/>
      </c>
      <c r="W1306" s="18">
        <f>$U1306-$V1306</f>
        <v/>
      </c>
      <c r="X1306" s="18">
        <f>IF($K1306,0,$T1306*0.12)</f>
        <v/>
      </c>
      <c r="Y1306" s="18">
        <f>IF($K1306,0,$T1306*0.15)</f>
        <v/>
      </c>
      <c r="Z1306" s="18">
        <f>IF($F1306="hold",0,-ABS($H1306)*$I1306*kg_per_mt*mcx_slippage_ticks*mcx_al_tick_inr_kg)</f>
        <v/>
      </c>
      <c r="AA1306" s="18">
        <f>IF($F1306="hold",0,-ABS($H1306)*$I1306*kg_per_mt*$Q1306*mcx_txn_cost_frac)</f>
        <v/>
      </c>
      <c r="AB1306" s="18">
        <f>$Z1306+$AA1306</f>
        <v/>
      </c>
      <c r="AC1306" s="18">
        <f>$R1306-$W1306+$AB1306</f>
        <v/>
      </c>
      <c r="AD1306" s="18">
        <f>IF(($B1305=$B1306),$AD1305,0)+$AC1306</f>
        <v/>
      </c>
      <c r="AE1306" s="23" t="n">
        <v>9000261.539999999</v>
      </c>
      <c r="AF1306" s="23" t="n">
        <v>0</v>
      </c>
      <c r="AG1306" s="23" t="n">
        <v>-148103.57</v>
      </c>
      <c r="AH1306" s="23" t="n">
        <v>29777908.71</v>
      </c>
      <c r="AI1306" s="23" t="n">
        <v>-3267.79</v>
      </c>
      <c r="AJ1306" s="18">
        <f>$R1306-$AE1306</f>
        <v/>
      </c>
      <c r="AK1306" s="18">
        <f>$U1306-$AF1306</f>
        <v/>
      </c>
      <c r="AL1306" s="18">
        <f>$AC1306-$AH1306</f>
        <v/>
      </c>
      <c r="AM1306" s="8">
        <f>IF(AND(ABS($AJ1306)&lt;=tol_mcx_inr,ABS($AK1306)&lt;=tol_mcx_inr,ABS($AL1306)&lt;=tol_mcx_inr),"PASS","FAIL")</f>
        <v/>
      </c>
    </row>
    <row r="1307">
      <c r="A1307" s="7" t="inlineStr">
        <is>
          <t>T07</t>
        </is>
      </c>
      <c r="B1307" s="7" t="inlineStr">
        <is>
          <t>T07-MCX-1</t>
        </is>
      </c>
      <c r="C1307" s="11" t="n">
        <v>44706</v>
      </c>
      <c r="D1307" s="7" t="n">
        <v>202206</v>
      </c>
      <c r="E1307" s="7" t="inlineStr">
        <is>
          <t>SELL</t>
        </is>
      </c>
      <c r="F1307" s="7" t="inlineStr">
        <is>
          <t>entry</t>
        </is>
      </c>
      <c r="G1307" s="17" t="b">
        <v>1</v>
      </c>
      <c r="H1307" s="6" t="n">
        <v>-247</v>
      </c>
      <c r="I1307" s="13" t="n">
        <v>5</v>
      </c>
      <c r="J1307" s="8">
        <f>OR($F1307="entry",$F1307="roll_in")</f>
        <v/>
      </c>
      <c r="K1307" s="8">
        <f>OR($F1307="exit",$F1307="roll_out")</f>
        <v/>
      </c>
      <c r="L1307" s="8">
        <f>OR(AND($E1307="SELL",$K1307),AND($E1307="BUY",$J1307))</f>
        <v/>
      </c>
      <c r="M1307" s="16">
        <f>((INDEX(Market_Daily!$B$6:$B$256,MATCH($C1307,Market_Daily!$A$6:$A$256,0))*INDEX(Market_Daily!$F$6:$F$256,MATCH($C1307,Market_Daily!$A$6:$A$256,0))/kg_per_mt*(1+bcd_primary_al_hs7601*(1+sws_rate_on_bcd))+mcx_domestic_premium_inr_kg)*(1+INDEX(Market_Daily!$I$6:$I$256,MATCH($C1307,Market_Daily!$A$6:$A$256,0))*MAX(0,INDEX(mcx_expiries,MATCH($D1307,mcx_months,0))-$C1307)/day_count_inr))</f>
        <v/>
      </c>
      <c r="N1307" s="16">
        <f>IF(INDEX(Market_Daily!$S$6:$S$256,MATCH($C1307,Market_Daily!$A$6:$A$256,0))=$D1307,INDEX(Market_Daily!$M$6:$M$256,MATCH($C1307,Market_Daily!$A$6:$A$256,0)),IF(INDEX(Market_Daily!$T$6:$T$256,MATCH($C1307,Market_Daily!$A$6:$A$256,0))=$D1307,INDEX(Market_Daily!$N$6:$N$256,MATCH($C1307,Market_Daily!$A$6:$A$256,0)),NA()))</f>
        <v/>
      </c>
      <c r="O1307" s="16">
        <f>$N1307-$M1307</f>
        <v/>
      </c>
      <c r="P1307" s="16">
        <f>IF(($B1306=$B1307),$M1306,"")</f>
        <v/>
      </c>
      <c r="Q1307" s="16">
        <f>$M1307+IF($L1307,1,-1)*mcx_slippage_ticks*mcx_al_tick_inr_kg</f>
        <v/>
      </c>
      <c r="R1307" s="18">
        <f>IF(($B1306=$B1307),$H1307*$I1307*kg_per_mt*($M1307-$M1306),0)</f>
        <v/>
      </c>
      <c r="S1307" s="18">
        <f>IF(($B1306=$B1307),$S1306,0)+$R1307</f>
        <v/>
      </c>
      <c r="T1307" s="18">
        <f>ABS($H1307)*$I1307*kg_per_mt*$M1307</f>
        <v/>
      </c>
      <c r="U1307" s="18">
        <f>IF($K1307,0,$T1307*mcx_al_margin_used_frac)</f>
        <v/>
      </c>
      <c r="V1307" s="18">
        <f>IF(($B1306=$B1307),$U1306,0)</f>
        <v/>
      </c>
      <c r="W1307" s="18">
        <f>$U1307-$V1307</f>
        <v/>
      </c>
      <c r="X1307" s="18">
        <f>IF($K1307,0,$T1307*0.12)</f>
        <v/>
      </c>
      <c r="Y1307" s="18">
        <f>IF($K1307,0,$T1307*0.15)</f>
        <v/>
      </c>
      <c r="Z1307" s="18">
        <f>IF($F1307="hold",0,-ABS($H1307)*$I1307*kg_per_mt*mcx_slippage_ticks*mcx_al_tick_inr_kg)</f>
        <v/>
      </c>
      <c r="AA1307" s="18">
        <f>IF($F1307="hold",0,-ABS($H1307)*$I1307*kg_per_mt*$Q1307*mcx_txn_cost_frac)</f>
        <v/>
      </c>
      <c r="AB1307" s="18">
        <f>$Z1307+$AA1307</f>
        <v/>
      </c>
      <c r="AC1307" s="18">
        <f>$R1307-$W1307+$AB1307</f>
        <v/>
      </c>
      <c r="AD1307" s="18">
        <f>IF(($B1306=$B1307),$AD1306,0)+$AC1307</f>
        <v/>
      </c>
      <c r="AE1307" s="23" t="n">
        <v>0</v>
      </c>
      <c r="AF1307" s="23" t="n">
        <v>29482447.63</v>
      </c>
      <c r="AG1307" s="23" t="n">
        <v>-211910.29</v>
      </c>
      <c r="AH1307" s="23" t="n">
        <v>-29694357.93</v>
      </c>
      <c r="AI1307" s="23" t="n">
        <v>0</v>
      </c>
      <c r="AJ1307" s="18">
        <f>$R1307-$AE1307</f>
        <v/>
      </c>
      <c r="AK1307" s="18">
        <f>$U1307-$AF1307</f>
        <v/>
      </c>
      <c r="AL1307" s="18">
        <f>$AC1307-$AH1307</f>
        <v/>
      </c>
      <c r="AM1307" s="8">
        <f>IF(AND(ABS($AJ1307)&lt;=tol_mcx_inr,ABS($AK1307)&lt;=tol_mcx_inr,ABS($AL1307)&lt;=tol_mcx_inr),"PASS","FAIL")</f>
        <v/>
      </c>
    </row>
    <row r="1308">
      <c r="A1308" s="7" t="inlineStr">
        <is>
          <t>T07</t>
        </is>
      </c>
      <c r="B1308" s="7" t="inlineStr">
        <is>
          <t>T07-MCX-1</t>
        </is>
      </c>
      <c r="C1308" s="11" t="n">
        <v>44707</v>
      </c>
      <c r="D1308" s="7" t="n">
        <v>202206</v>
      </c>
      <c r="E1308" s="7" t="inlineStr">
        <is>
          <t>SELL</t>
        </is>
      </c>
      <c r="F1308" s="7" t="inlineStr">
        <is>
          <t>hold</t>
        </is>
      </c>
      <c r="G1308" s="17" t="b">
        <v>1</v>
      </c>
      <c r="H1308" s="6" t="n">
        <v>-247</v>
      </c>
      <c r="I1308" s="13" t="n">
        <v>5</v>
      </c>
      <c r="J1308" s="8">
        <f>OR($F1308="entry",$F1308="roll_in")</f>
        <v/>
      </c>
      <c r="K1308" s="8">
        <f>OR($F1308="exit",$F1308="roll_out")</f>
        <v/>
      </c>
      <c r="L1308" s="8">
        <f>OR(AND($E1308="SELL",$K1308),AND($E1308="BUY",$J1308))</f>
        <v/>
      </c>
      <c r="M1308" s="16">
        <f>((INDEX(Market_Daily!$B$6:$B$256,MATCH($C1308,Market_Daily!$A$6:$A$256,0))*INDEX(Market_Daily!$F$6:$F$256,MATCH($C1308,Market_Daily!$A$6:$A$256,0))/kg_per_mt*(1+bcd_primary_al_hs7601*(1+sws_rate_on_bcd))+mcx_domestic_premium_inr_kg)*(1+INDEX(Market_Daily!$I$6:$I$256,MATCH($C1308,Market_Daily!$A$6:$A$256,0))*MAX(0,INDEX(mcx_expiries,MATCH($D1308,mcx_months,0))-$C1308)/day_count_inr))</f>
        <v/>
      </c>
      <c r="N1308" s="16">
        <f>IF(INDEX(Market_Daily!$S$6:$S$256,MATCH($C1308,Market_Daily!$A$6:$A$256,0))=$D1308,INDEX(Market_Daily!$M$6:$M$256,MATCH($C1308,Market_Daily!$A$6:$A$256,0)),IF(INDEX(Market_Daily!$T$6:$T$256,MATCH($C1308,Market_Daily!$A$6:$A$256,0))=$D1308,INDEX(Market_Daily!$N$6:$N$256,MATCH($C1308,Market_Daily!$A$6:$A$256,0)),NA()))</f>
        <v/>
      </c>
      <c r="O1308" s="16">
        <f>$N1308-$M1308</f>
        <v/>
      </c>
      <c r="P1308" s="16">
        <f>IF(($B1307=$B1308),$M1307,"")</f>
        <v/>
      </c>
      <c r="Q1308" s="16">
        <f>$M1308+IF($L1308,1,-1)*mcx_slippage_ticks*mcx_al_tick_inr_kg</f>
        <v/>
      </c>
      <c r="R1308" s="18">
        <f>IF(($B1307=$B1308),$H1308*$I1308*kg_per_mt*($M1308-$M1307),0)</f>
        <v/>
      </c>
      <c r="S1308" s="18">
        <f>IF(($B1307=$B1308),$S1307,0)+$R1308</f>
        <v/>
      </c>
      <c r="T1308" s="18">
        <f>ABS($H1308)*$I1308*kg_per_mt*$M1308</f>
        <v/>
      </c>
      <c r="U1308" s="18">
        <f>IF($K1308,0,$T1308*mcx_al_margin_used_frac)</f>
        <v/>
      </c>
      <c r="V1308" s="18">
        <f>IF(($B1307=$B1308),$U1307,0)</f>
        <v/>
      </c>
      <c r="W1308" s="18">
        <f>$U1308-$V1308</f>
        <v/>
      </c>
      <c r="X1308" s="18">
        <f>IF($K1308,0,$T1308*0.12)</f>
        <v/>
      </c>
      <c r="Y1308" s="18">
        <f>IF($K1308,0,$T1308*0.15)</f>
        <v/>
      </c>
      <c r="Z1308" s="18">
        <f>IF($F1308="hold",0,-ABS($H1308)*$I1308*kg_per_mt*mcx_slippage_ticks*mcx_al_tick_inr_kg)</f>
        <v/>
      </c>
      <c r="AA1308" s="18">
        <f>IF($F1308="hold",0,-ABS($H1308)*$I1308*kg_per_mt*$Q1308*mcx_txn_cost_frac)</f>
        <v/>
      </c>
      <c r="AB1308" s="18">
        <f>$Z1308+$AA1308</f>
        <v/>
      </c>
      <c r="AC1308" s="18">
        <f>$R1308-$W1308+$AB1308</f>
        <v/>
      </c>
      <c r="AD1308" s="18">
        <f>IF(($B1307=$B1308),$AD1307,0)+$AC1308</f>
        <v/>
      </c>
      <c r="AE1308" s="23" t="n">
        <v>377387.6</v>
      </c>
      <c r="AF1308" s="23" t="n">
        <v>29444708.87</v>
      </c>
      <c r="AG1308" s="23" t="n">
        <v>0</v>
      </c>
      <c r="AH1308" s="23" t="n">
        <v>415126.36</v>
      </c>
      <c r="AI1308" s="23" t="n">
        <v>-7891.38</v>
      </c>
      <c r="AJ1308" s="18">
        <f>$R1308-$AE1308</f>
        <v/>
      </c>
      <c r="AK1308" s="18">
        <f>$U1308-$AF1308</f>
        <v/>
      </c>
      <c r="AL1308" s="18">
        <f>$AC1308-$AH1308</f>
        <v/>
      </c>
      <c r="AM1308" s="8">
        <f>IF(AND(ABS($AJ1308)&lt;=tol_mcx_inr,ABS($AK1308)&lt;=tol_mcx_inr,ABS($AL1308)&lt;=tol_mcx_inr),"PASS","FAIL")</f>
        <v/>
      </c>
    </row>
    <row r="1309">
      <c r="A1309" s="7" t="inlineStr">
        <is>
          <t>T07</t>
        </is>
      </c>
      <c r="B1309" s="7" t="inlineStr">
        <is>
          <t>T07-MCX-1</t>
        </is>
      </c>
      <c r="C1309" s="11" t="n">
        <v>44708</v>
      </c>
      <c r="D1309" s="7" t="n">
        <v>202206</v>
      </c>
      <c r="E1309" s="7" t="inlineStr">
        <is>
          <t>SELL</t>
        </is>
      </c>
      <c r="F1309" s="7" t="inlineStr">
        <is>
          <t>hold</t>
        </is>
      </c>
      <c r="G1309" s="17" t="b">
        <v>1</v>
      </c>
      <c r="H1309" s="6" t="n">
        <v>-247</v>
      </c>
      <c r="I1309" s="13" t="n">
        <v>5</v>
      </c>
      <c r="J1309" s="8">
        <f>OR($F1309="entry",$F1309="roll_in")</f>
        <v/>
      </c>
      <c r="K1309" s="8">
        <f>OR($F1309="exit",$F1309="roll_out")</f>
        <v/>
      </c>
      <c r="L1309" s="8">
        <f>OR(AND($E1309="SELL",$K1309),AND($E1309="BUY",$J1309))</f>
        <v/>
      </c>
      <c r="M1309" s="16">
        <f>((INDEX(Market_Daily!$B$6:$B$256,MATCH($C1309,Market_Daily!$A$6:$A$256,0))*INDEX(Market_Daily!$F$6:$F$256,MATCH($C1309,Market_Daily!$A$6:$A$256,0))/kg_per_mt*(1+bcd_primary_al_hs7601*(1+sws_rate_on_bcd))+mcx_domestic_premium_inr_kg)*(1+INDEX(Market_Daily!$I$6:$I$256,MATCH($C1309,Market_Daily!$A$6:$A$256,0))*MAX(0,INDEX(mcx_expiries,MATCH($D1309,mcx_months,0))-$C1309)/day_count_inr))</f>
        <v/>
      </c>
      <c r="N1309" s="16">
        <f>IF(INDEX(Market_Daily!$S$6:$S$256,MATCH($C1309,Market_Daily!$A$6:$A$256,0))=$D1309,INDEX(Market_Daily!$M$6:$M$256,MATCH($C1309,Market_Daily!$A$6:$A$256,0)),IF(INDEX(Market_Daily!$T$6:$T$256,MATCH($C1309,Market_Daily!$A$6:$A$256,0))=$D1309,INDEX(Market_Daily!$N$6:$N$256,MATCH($C1309,Market_Daily!$A$6:$A$256,0)),NA()))</f>
        <v/>
      </c>
      <c r="O1309" s="16">
        <f>$N1309-$M1309</f>
        <v/>
      </c>
      <c r="P1309" s="16">
        <f>IF(($B1308=$B1309),$M1308,"")</f>
        <v/>
      </c>
      <c r="Q1309" s="16">
        <f>$M1309+IF($L1309,1,-1)*mcx_slippage_ticks*mcx_al_tick_inr_kg</f>
        <v/>
      </c>
      <c r="R1309" s="18">
        <f>IF(($B1308=$B1309),$H1309*$I1309*kg_per_mt*($M1309-$M1308),0)</f>
        <v/>
      </c>
      <c r="S1309" s="18">
        <f>IF(($B1308=$B1309),$S1308,0)+$R1309</f>
        <v/>
      </c>
      <c r="T1309" s="18">
        <f>ABS($H1309)*$I1309*kg_per_mt*$M1309</f>
        <v/>
      </c>
      <c r="U1309" s="18">
        <f>IF($K1309,0,$T1309*mcx_al_margin_used_frac)</f>
        <v/>
      </c>
      <c r="V1309" s="18">
        <f>IF(($B1308=$B1309),$U1308,0)</f>
        <v/>
      </c>
      <c r="W1309" s="18">
        <f>$U1309-$V1309</f>
        <v/>
      </c>
      <c r="X1309" s="18">
        <f>IF($K1309,0,$T1309*0.12)</f>
        <v/>
      </c>
      <c r="Y1309" s="18">
        <f>IF($K1309,0,$T1309*0.15)</f>
        <v/>
      </c>
      <c r="Z1309" s="18">
        <f>IF($F1309="hold",0,-ABS($H1309)*$I1309*kg_per_mt*mcx_slippage_ticks*mcx_al_tick_inr_kg)</f>
        <v/>
      </c>
      <c r="AA1309" s="18">
        <f>IF($F1309="hold",0,-ABS($H1309)*$I1309*kg_per_mt*$Q1309*mcx_txn_cost_frac)</f>
        <v/>
      </c>
      <c r="AB1309" s="18">
        <f>$Z1309+$AA1309</f>
        <v/>
      </c>
      <c r="AC1309" s="18">
        <f>$R1309-$W1309+$AB1309</f>
        <v/>
      </c>
      <c r="AD1309" s="18">
        <f>IF(($B1308=$B1309),$AD1308,0)+$AC1309</f>
        <v/>
      </c>
      <c r="AE1309" s="23" t="n">
        <v>330353.79</v>
      </c>
      <c r="AF1309" s="23" t="n">
        <v>29411673.49</v>
      </c>
      <c r="AG1309" s="23" t="n">
        <v>0</v>
      </c>
      <c r="AH1309" s="23" t="n">
        <v>363389.17</v>
      </c>
      <c r="AI1309" s="23" t="n">
        <v>-7781.06</v>
      </c>
      <c r="AJ1309" s="18">
        <f>$R1309-$AE1309</f>
        <v/>
      </c>
      <c r="AK1309" s="18">
        <f>$U1309-$AF1309</f>
        <v/>
      </c>
      <c r="AL1309" s="18">
        <f>$AC1309-$AH1309</f>
        <v/>
      </c>
      <c r="AM1309" s="8">
        <f>IF(AND(ABS($AJ1309)&lt;=tol_mcx_inr,ABS($AK1309)&lt;=tol_mcx_inr,ABS($AL1309)&lt;=tol_mcx_inr),"PASS","FAIL")</f>
        <v/>
      </c>
    </row>
    <row r="1310">
      <c r="A1310" s="7" t="inlineStr">
        <is>
          <t>T07</t>
        </is>
      </c>
      <c r="B1310" s="7" t="inlineStr">
        <is>
          <t>T07-MCX-1</t>
        </is>
      </c>
      <c r="C1310" s="11" t="n">
        <v>44711</v>
      </c>
      <c r="D1310" s="7" t="n">
        <v>202206</v>
      </c>
      <c r="E1310" s="7" t="inlineStr">
        <is>
          <t>SELL</t>
        </is>
      </c>
      <c r="F1310" s="7" t="inlineStr">
        <is>
          <t>hold</t>
        </is>
      </c>
      <c r="G1310" s="17" t="b">
        <v>1</v>
      </c>
      <c r="H1310" s="6" t="n">
        <v>-247</v>
      </c>
      <c r="I1310" s="13" t="n">
        <v>5</v>
      </c>
      <c r="J1310" s="8">
        <f>OR($F1310="entry",$F1310="roll_in")</f>
        <v/>
      </c>
      <c r="K1310" s="8">
        <f>OR($F1310="exit",$F1310="roll_out")</f>
        <v/>
      </c>
      <c r="L1310" s="8">
        <f>OR(AND($E1310="SELL",$K1310),AND($E1310="BUY",$J1310))</f>
        <v/>
      </c>
      <c r="M1310" s="16">
        <f>((INDEX(Market_Daily!$B$6:$B$256,MATCH($C1310,Market_Daily!$A$6:$A$256,0))*INDEX(Market_Daily!$F$6:$F$256,MATCH($C1310,Market_Daily!$A$6:$A$256,0))/kg_per_mt*(1+bcd_primary_al_hs7601*(1+sws_rate_on_bcd))+mcx_domestic_premium_inr_kg)*(1+INDEX(Market_Daily!$I$6:$I$256,MATCH($C1310,Market_Daily!$A$6:$A$256,0))*MAX(0,INDEX(mcx_expiries,MATCH($D1310,mcx_months,0))-$C1310)/day_count_inr))</f>
        <v/>
      </c>
      <c r="N1310" s="16">
        <f>IF(INDEX(Market_Daily!$S$6:$S$256,MATCH($C1310,Market_Daily!$A$6:$A$256,0))=$D1310,INDEX(Market_Daily!$M$6:$M$256,MATCH($C1310,Market_Daily!$A$6:$A$256,0)),IF(INDEX(Market_Daily!$T$6:$T$256,MATCH($C1310,Market_Daily!$A$6:$A$256,0))=$D1310,INDEX(Market_Daily!$N$6:$N$256,MATCH($C1310,Market_Daily!$A$6:$A$256,0)),NA()))</f>
        <v/>
      </c>
      <c r="O1310" s="16">
        <f>$N1310-$M1310</f>
        <v/>
      </c>
      <c r="P1310" s="16">
        <f>IF(($B1309=$B1310),$M1309,"")</f>
        <v/>
      </c>
      <c r="Q1310" s="16">
        <f>$M1310+IF($L1310,1,-1)*mcx_slippage_ticks*mcx_al_tick_inr_kg</f>
        <v/>
      </c>
      <c r="R1310" s="18">
        <f>IF(($B1309=$B1310),$H1310*$I1310*kg_per_mt*($M1310-$M1309),0)</f>
        <v/>
      </c>
      <c r="S1310" s="18">
        <f>IF(($B1309=$B1310),$S1309,0)+$R1310</f>
        <v/>
      </c>
      <c r="T1310" s="18">
        <f>ABS($H1310)*$I1310*kg_per_mt*$M1310</f>
        <v/>
      </c>
      <c r="U1310" s="18">
        <f>IF($K1310,0,$T1310*mcx_al_margin_used_frac)</f>
        <v/>
      </c>
      <c r="V1310" s="18">
        <f>IF(($B1309=$B1310),$U1309,0)</f>
        <v/>
      </c>
      <c r="W1310" s="18">
        <f>$U1310-$V1310</f>
        <v/>
      </c>
      <c r="X1310" s="18">
        <f>IF($K1310,0,$T1310*0.12)</f>
        <v/>
      </c>
      <c r="Y1310" s="18">
        <f>IF($K1310,0,$T1310*0.15)</f>
        <v/>
      </c>
      <c r="Z1310" s="18">
        <f>IF($F1310="hold",0,-ABS($H1310)*$I1310*kg_per_mt*mcx_slippage_ticks*mcx_al_tick_inr_kg)</f>
        <v/>
      </c>
      <c r="AA1310" s="18">
        <f>IF($F1310="hold",0,-ABS($H1310)*$I1310*kg_per_mt*$Q1310*mcx_txn_cost_frac)</f>
        <v/>
      </c>
      <c r="AB1310" s="18">
        <f>$Z1310+$AA1310</f>
        <v/>
      </c>
      <c r="AC1310" s="18">
        <f>$R1310-$W1310+$AB1310</f>
        <v/>
      </c>
      <c r="AD1310" s="18">
        <f>IF(($B1309=$B1310),$AD1309,0)+$AC1310</f>
        <v/>
      </c>
      <c r="AE1310" s="23" t="n">
        <v>-3900850.33</v>
      </c>
      <c r="AF1310" s="23" t="n">
        <v>29801758.53</v>
      </c>
      <c r="AG1310" s="23" t="n">
        <v>0</v>
      </c>
      <c r="AH1310" s="23" t="n">
        <v>-4290935.36</v>
      </c>
      <c r="AI1310" s="23" t="n">
        <v>-23053.45</v>
      </c>
      <c r="AJ1310" s="18">
        <f>$R1310-$AE1310</f>
        <v/>
      </c>
      <c r="AK1310" s="18">
        <f>$U1310-$AF1310</f>
        <v/>
      </c>
      <c r="AL1310" s="18">
        <f>$AC1310-$AH1310</f>
        <v/>
      </c>
      <c r="AM1310" s="8">
        <f>IF(AND(ABS($AJ1310)&lt;=tol_mcx_inr,ABS($AK1310)&lt;=tol_mcx_inr,ABS($AL1310)&lt;=tol_mcx_inr),"PASS","FAIL")</f>
        <v/>
      </c>
    </row>
    <row r="1311">
      <c r="A1311" s="7" t="inlineStr">
        <is>
          <t>T07</t>
        </is>
      </c>
      <c r="B1311" s="7" t="inlineStr">
        <is>
          <t>T07-MCX-1</t>
        </is>
      </c>
      <c r="C1311" s="11" t="n">
        <v>44712</v>
      </c>
      <c r="D1311" s="7" t="n">
        <v>202206</v>
      </c>
      <c r="E1311" s="7" t="inlineStr">
        <is>
          <t>SELL</t>
        </is>
      </c>
      <c r="F1311" s="7" t="inlineStr">
        <is>
          <t>hold</t>
        </is>
      </c>
      <c r="G1311" s="17" t="b">
        <v>1</v>
      </c>
      <c r="H1311" s="6" t="n">
        <v>-247</v>
      </c>
      <c r="I1311" s="13" t="n">
        <v>5</v>
      </c>
      <c r="J1311" s="8">
        <f>OR($F1311="entry",$F1311="roll_in")</f>
        <v/>
      </c>
      <c r="K1311" s="8">
        <f>OR($F1311="exit",$F1311="roll_out")</f>
        <v/>
      </c>
      <c r="L1311" s="8">
        <f>OR(AND($E1311="SELL",$K1311),AND($E1311="BUY",$J1311))</f>
        <v/>
      </c>
      <c r="M1311" s="16">
        <f>((INDEX(Market_Daily!$B$6:$B$256,MATCH($C1311,Market_Daily!$A$6:$A$256,0))*INDEX(Market_Daily!$F$6:$F$256,MATCH($C1311,Market_Daily!$A$6:$A$256,0))/kg_per_mt*(1+bcd_primary_al_hs7601*(1+sws_rate_on_bcd))+mcx_domestic_premium_inr_kg)*(1+INDEX(Market_Daily!$I$6:$I$256,MATCH($C1311,Market_Daily!$A$6:$A$256,0))*MAX(0,INDEX(mcx_expiries,MATCH($D1311,mcx_months,0))-$C1311)/day_count_inr))</f>
        <v/>
      </c>
      <c r="N1311" s="16">
        <f>IF(INDEX(Market_Daily!$S$6:$S$256,MATCH($C1311,Market_Daily!$A$6:$A$256,0))=$D1311,INDEX(Market_Daily!$M$6:$M$256,MATCH($C1311,Market_Daily!$A$6:$A$256,0)),IF(INDEX(Market_Daily!$T$6:$T$256,MATCH($C1311,Market_Daily!$A$6:$A$256,0))=$D1311,INDEX(Market_Daily!$N$6:$N$256,MATCH($C1311,Market_Daily!$A$6:$A$256,0)),NA()))</f>
        <v/>
      </c>
      <c r="O1311" s="16">
        <f>$N1311-$M1311</f>
        <v/>
      </c>
      <c r="P1311" s="16">
        <f>IF(($B1310=$B1311),$M1310,"")</f>
        <v/>
      </c>
      <c r="Q1311" s="16">
        <f>$M1311+IF($L1311,1,-1)*mcx_slippage_ticks*mcx_al_tick_inr_kg</f>
        <v/>
      </c>
      <c r="R1311" s="18">
        <f>IF(($B1310=$B1311),$H1311*$I1311*kg_per_mt*($M1311-$M1310),0)</f>
        <v/>
      </c>
      <c r="S1311" s="18">
        <f>IF(($B1310=$B1311),$S1310,0)+$R1311</f>
        <v/>
      </c>
      <c r="T1311" s="18">
        <f>ABS($H1311)*$I1311*kg_per_mt*$M1311</f>
        <v/>
      </c>
      <c r="U1311" s="18">
        <f>IF($K1311,0,$T1311*mcx_al_margin_used_frac)</f>
        <v/>
      </c>
      <c r="V1311" s="18">
        <f>IF(($B1310=$B1311),$U1310,0)</f>
        <v/>
      </c>
      <c r="W1311" s="18">
        <f>$U1311-$V1311</f>
        <v/>
      </c>
      <c r="X1311" s="18">
        <f>IF($K1311,0,$T1311*0.12)</f>
        <v/>
      </c>
      <c r="Y1311" s="18">
        <f>IF($K1311,0,$T1311*0.15)</f>
        <v/>
      </c>
      <c r="Z1311" s="18">
        <f>IF($F1311="hold",0,-ABS($H1311)*$I1311*kg_per_mt*mcx_slippage_ticks*mcx_al_tick_inr_kg)</f>
        <v/>
      </c>
      <c r="AA1311" s="18">
        <f>IF($F1311="hold",0,-ABS($H1311)*$I1311*kg_per_mt*$Q1311*mcx_txn_cost_frac)</f>
        <v/>
      </c>
      <c r="AB1311" s="18">
        <f>$Z1311+$AA1311</f>
        <v/>
      </c>
      <c r="AC1311" s="18">
        <f>$R1311-$W1311+$AB1311</f>
        <v/>
      </c>
      <c r="AD1311" s="18">
        <f>IF(($B1310=$B1311),$AD1310,0)+$AC1311</f>
        <v/>
      </c>
      <c r="AE1311" s="23" t="n">
        <v>4343697.02</v>
      </c>
      <c r="AF1311" s="23" t="n">
        <v>29367388.83</v>
      </c>
      <c r="AG1311" s="23" t="n">
        <v>0</v>
      </c>
      <c r="AH1311" s="23" t="n">
        <v>4778066.72</v>
      </c>
      <c r="AI1311" s="23" t="n">
        <v>-8824.809999999999</v>
      </c>
      <c r="AJ1311" s="18">
        <f>$R1311-$AE1311</f>
        <v/>
      </c>
      <c r="AK1311" s="18">
        <f>$U1311-$AF1311</f>
        <v/>
      </c>
      <c r="AL1311" s="18">
        <f>$AC1311-$AH1311</f>
        <v/>
      </c>
      <c r="AM1311" s="8">
        <f>IF(AND(ABS($AJ1311)&lt;=tol_mcx_inr,ABS($AK1311)&lt;=tol_mcx_inr,ABS($AL1311)&lt;=tol_mcx_inr),"PASS","FAIL")</f>
        <v/>
      </c>
    </row>
    <row r="1312">
      <c r="A1312" s="7" t="inlineStr">
        <is>
          <t>T07</t>
        </is>
      </c>
      <c r="B1312" s="7" t="inlineStr">
        <is>
          <t>T07-MCX-1</t>
        </is>
      </c>
      <c r="C1312" s="11" t="n">
        <v>44713</v>
      </c>
      <c r="D1312" s="7" t="n">
        <v>202206</v>
      </c>
      <c r="E1312" s="7" t="inlineStr">
        <is>
          <t>SELL</t>
        </is>
      </c>
      <c r="F1312" s="7" t="inlineStr">
        <is>
          <t>hold</t>
        </is>
      </c>
      <c r="G1312" s="17" t="b">
        <v>1</v>
      </c>
      <c r="H1312" s="6" t="n">
        <v>-247</v>
      </c>
      <c r="I1312" s="13" t="n">
        <v>5</v>
      </c>
      <c r="J1312" s="8">
        <f>OR($F1312="entry",$F1312="roll_in")</f>
        <v/>
      </c>
      <c r="K1312" s="8">
        <f>OR($F1312="exit",$F1312="roll_out")</f>
        <v/>
      </c>
      <c r="L1312" s="8">
        <f>OR(AND($E1312="SELL",$K1312),AND($E1312="BUY",$J1312))</f>
        <v/>
      </c>
      <c r="M1312" s="16">
        <f>((INDEX(Market_Daily!$B$6:$B$256,MATCH($C1312,Market_Daily!$A$6:$A$256,0))*INDEX(Market_Daily!$F$6:$F$256,MATCH($C1312,Market_Daily!$A$6:$A$256,0))/kg_per_mt*(1+bcd_primary_al_hs7601*(1+sws_rate_on_bcd))+mcx_domestic_premium_inr_kg)*(1+INDEX(Market_Daily!$I$6:$I$256,MATCH($C1312,Market_Daily!$A$6:$A$256,0))*MAX(0,INDEX(mcx_expiries,MATCH($D1312,mcx_months,0))-$C1312)/day_count_inr))</f>
        <v/>
      </c>
      <c r="N1312" s="16">
        <f>IF(INDEX(Market_Daily!$S$6:$S$256,MATCH($C1312,Market_Daily!$A$6:$A$256,0))=$D1312,INDEX(Market_Daily!$M$6:$M$256,MATCH($C1312,Market_Daily!$A$6:$A$256,0)),IF(INDEX(Market_Daily!$T$6:$T$256,MATCH($C1312,Market_Daily!$A$6:$A$256,0))=$D1312,INDEX(Market_Daily!$N$6:$N$256,MATCH($C1312,Market_Daily!$A$6:$A$256,0)),NA()))</f>
        <v/>
      </c>
      <c r="O1312" s="16">
        <f>$N1312-$M1312</f>
        <v/>
      </c>
      <c r="P1312" s="16">
        <f>IF(($B1311=$B1312),$M1311,"")</f>
        <v/>
      </c>
      <c r="Q1312" s="16">
        <f>$M1312+IF($L1312,1,-1)*mcx_slippage_ticks*mcx_al_tick_inr_kg</f>
        <v/>
      </c>
      <c r="R1312" s="18">
        <f>IF(($B1311=$B1312),$H1312*$I1312*kg_per_mt*($M1312-$M1311),0)</f>
        <v/>
      </c>
      <c r="S1312" s="18">
        <f>IF(($B1311=$B1312),$S1311,0)+$R1312</f>
        <v/>
      </c>
      <c r="T1312" s="18">
        <f>ABS($H1312)*$I1312*kg_per_mt*$M1312</f>
        <v/>
      </c>
      <c r="U1312" s="18">
        <f>IF($K1312,0,$T1312*mcx_al_margin_used_frac)</f>
        <v/>
      </c>
      <c r="V1312" s="18">
        <f>IF(($B1311=$B1312),$U1311,0)</f>
        <v/>
      </c>
      <c r="W1312" s="18">
        <f>$U1312-$V1312</f>
        <v/>
      </c>
      <c r="X1312" s="18">
        <f>IF($K1312,0,$T1312*0.12)</f>
        <v/>
      </c>
      <c r="Y1312" s="18">
        <f>IF($K1312,0,$T1312*0.15)</f>
        <v/>
      </c>
      <c r="Z1312" s="18">
        <f>IF($F1312="hold",0,-ABS($H1312)*$I1312*kg_per_mt*mcx_slippage_ticks*mcx_al_tick_inr_kg)</f>
        <v/>
      </c>
      <c r="AA1312" s="18">
        <f>IF($F1312="hold",0,-ABS($H1312)*$I1312*kg_per_mt*$Q1312*mcx_txn_cost_frac)</f>
        <v/>
      </c>
      <c r="AB1312" s="18">
        <f>$Z1312+$AA1312</f>
        <v/>
      </c>
      <c r="AC1312" s="18">
        <f>$R1312-$W1312+$AB1312</f>
        <v/>
      </c>
      <c r="AD1312" s="18">
        <f>IF(($B1311=$B1312),$AD1311,0)+$AC1312</f>
        <v/>
      </c>
      <c r="AE1312" s="23" t="n">
        <v>12631048.86</v>
      </c>
      <c r="AF1312" s="23" t="n">
        <v>28104283.94</v>
      </c>
      <c r="AG1312" s="23" t="n">
        <v>0</v>
      </c>
      <c r="AH1312" s="23" t="n">
        <v>13894153.75</v>
      </c>
      <c r="AI1312" s="23" t="n">
        <v>-7555.03</v>
      </c>
      <c r="AJ1312" s="18">
        <f>$R1312-$AE1312</f>
        <v/>
      </c>
      <c r="AK1312" s="18">
        <f>$U1312-$AF1312</f>
        <v/>
      </c>
      <c r="AL1312" s="18">
        <f>$AC1312-$AH1312</f>
        <v/>
      </c>
      <c r="AM1312" s="8">
        <f>IF(AND(ABS($AJ1312)&lt;=tol_mcx_inr,ABS($AK1312)&lt;=tol_mcx_inr,ABS($AL1312)&lt;=tol_mcx_inr),"PASS","FAIL")</f>
        <v/>
      </c>
    </row>
    <row r="1313">
      <c r="A1313" s="7" t="inlineStr">
        <is>
          <t>T07</t>
        </is>
      </c>
      <c r="B1313" s="7" t="inlineStr">
        <is>
          <t>T07-MCX-1</t>
        </is>
      </c>
      <c r="C1313" s="11" t="n">
        <v>44718</v>
      </c>
      <c r="D1313" s="7" t="n">
        <v>202206</v>
      </c>
      <c r="E1313" s="7" t="inlineStr">
        <is>
          <t>SELL</t>
        </is>
      </c>
      <c r="F1313" s="7" t="inlineStr">
        <is>
          <t>hold</t>
        </is>
      </c>
      <c r="G1313" s="17" t="b">
        <v>1</v>
      </c>
      <c r="H1313" s="6" t="n">
        <v>-247</v>
      </c>
      <c r="I1313" s="13" t="n">
        <v>5</v>
      </c>
      <c r="J1313" s="8">
        <f>OR($F1313="entry",$F1313="roll_in")</f>
        <v/>
      </c>
      <c r="K1313" s="8">
        <f>OR($F1313="exit",$F1313="roll_out")</f>
        <v/>
      </c>
      <c r="L1313" s="8">
        <f>OR(AND($E1313="SELL",$K1313),AND($E1313="BUY",$J1313))</f>
        <v/>
      </c>
      <c r="M1313" s="16">
        <f>((INDEX(Market_Daily!$B$6:$B$256,MATCH($C1313,Market_Daily!$A$6:$A$256,0))*INDEX(Market_Daily!$F$6:$F$256,MATCH($C1313,Market_Daily!$A$6:$A$256,0))/kg_per_mt*(1+bcd_primary_al_hs7601*(1+sws_rate_on_bcd))+mcx_domestic_premium_inr_kg)*(1+INDEX(Market_Daily!$I$6:$I$256,MATCH($C1313,Market_Daily!$A$6:$A$256,0))*MAX(0,INDEX(mcx_expiries,MATCH($D1313,mcx_months,0))-$C1313)/day_count_inr))</f>
        <v/>
      </c>
      <c r="N1313" s="16">
        <f>IF(INDEX(Market_Daily!$S$6:$S$256,MATCH($C1313,Market_Daily!$A$6:$A$256,0))=$D1313,INDEX(Market_Daily!$M$6:$M$256,MATCH($C1313,Market_Daily!$A$6:$A$256,0)),IF(INDEX(Market_Daily!$T$6:$T$256,MATCH($C1313,Market_Daily!$A$6:$A$256,0))=$D1313,INDEX(Market_Daily!$N$6:$N$256,MATCH($C1313,Market_Daily!$A$6:$A$256,0)),NA()))</f>
        <v/>
      </c>
      <c r="O1313" s="16">
        <f>$N1313-$M1313</f>
        <v/>
      </c>
      <c r="P1313" s="16">
        <f>IF(($B1312=$B1313),$M1312,"")</f>
        <v/>
      </c>
      <c r="Q1313" s="16">
        <f>$M1313+IF($L1313,1,-1)*mcx_slippage_ticks*mcx_al_tick_inr_kg</f>
        <v/>
      </c>
      <c r="R1313" s="18">
        <f>IF(($B1312=$B1313),$H1313*$I1313*kg_per_mt*($M1313-$M1312),0)</f>
        <v/>
      </c>
      <c r="S1313" s="18">
        <f>IF(($B1312=$B1313),$S1312,0)+$R1313</f>
        <v/>
      </c>
      <c r="T1313" s="18">
        <f>ABS($H1313)*$I1313*kg_per_mt*$M1313</f>
        <v/>
      </c>
      <c r="U1313" s="18">
        <f>IF($K1313,0,$T1313*mcx_al_margin_used_frac)</f>
        <v/>
      </c>
      <c r="V1313" s="18">
        <f>IF(($B1312=$B1313),$U1312,0)</f>
        <v/>
      </c>
      <c r="W1313" s="18">
        <f>$U1313-$V1313</f>
        <v/>
      </c>
      <c r="X1313" s="18">
        <f>IF($K1313,0,$T1313*0.12)</f>
        <v/>
      </c>
      <c r="Y1313" s="18">
        <f>IF($K1313,0,$T1313*0.15)</f>
        <v/>
      </c>
      <c r="Z1313" s="18">
        <f>IF($F1313="hold",0,-ABS($H1313)*$I1313*kg_per_mt*mcx_slippage_ticks*mcx_al_tick_inr_kg)</f>
        <v/>
      </c>
      <c r="AA1313" s="18">
        <f>IF($F1313="hold",0,-ABS($H1313)*$I1313*kg_per_mt*$Q1313*mcx_txn_cost_frac)</f>
        <v/>
      </c>
      <c r="AB1313" s="18">
        <f>$Z1313+$AA1313</f>
        <v/>
      </c>
      <c r="AC1313" s="18">
        <f>$R1313-$W1313+$AB1313</f>
        <v/>
      </c>
      <c r="AD1313" s="18">
        <f>IF(($B1312=$B1313),$AD1312,0)+$AC1313</f>
        <v/>
      </c>
      <c r="AE1313" s="23" t="n">
        <v>-4325670.89</v>
      </c>
      <c r="AF1313" s="23" t="n">
        <v>28536851.03</v>
      </c>
      <c r="AG1313" s="23" t="n">
        <v>0</v>
      </c>
      <c r="AH1313" s="23" t="n">
        <v>-4758237.98</v>
      </c>
      <c r="AI1313" s="23" t="n">
        <v>-19313.04</v>
      </c>
      <c r="AJ1313" s="18">
        <f>$R1313-$AE1313</f>
        <v/>
      </c>
      <c r="AK1313" s="18">
        <f>$U1313-$AF1313</f>
        <v/>
      </c>
      <c r="AL1313" s="18">
        <f>$AC1313-$AH1313</f>
        <v/>
      </c>
      <c r="AM1313" s="8">
        <f>IF(AND(ABS($AJ1313)&lt;=tol_mcx_inr,ABS($AK1313)&lt;=tol_mcx_inr,ABS($AL1313)&lt;=tol_mcx_inr),"PASS","FAIL")</f>
        <v/>
      </c>
    </row>
    <row r="1314">
      <c r="A1314" s="7" t="inlineStr">
        <is>
          <t>T07</t>
        </is>
      </c>
      <c r="B1314" s="7" t="inlineStr">
        <is>
          <t>T07-MCX-1</t>
        </is>
      </c>
      <c r="C1314" s="11" t="n">
        <v>44719</v>
      </c>
      <c r="D1314" s="7" t="n">
        <v>202206</v>
      </c>
      <c r="E1314" s="7" t="inlineStr">
        <is>
          <t>SELL</t>
        </is>
      </c>
      <c r="F1314" s="7" t="inlineStr">
        <is>
          <t>hold</t>
        </is>
      </c>
      <c r="G1314" s="17" t="b">
        <v>1</v>
      </c>
      <c r="H1314" s="6" t="n">
        <v>-247</v>
      </c>
      <c r="I1314" s="13" t="n">
        <v>5</v>
      </c>
      <c r="J1314" s="8">
        <f>OR($F1314="entry",$F1314="roll_in")</f>
        <v/>
      </c>
      <c r="K1314" s="8">
        <f>OR($F1314="exit",$F1314="roll_out")</f>
        <v/>
      </c>
      <c r="L1314" s="8">
        <f>OR(AND($E1314="SELL",$K1314),AND($E1314="BUY",$J1314))</f>
        <v/>
      </c>
      <c r="M1314" s="16">
        <f>((INDEX(Market_Daily!$B$6:$B$256,MATCH($C1314,Market_Daily!$A$6:$A$256,0))*INDEX(Market_Daily!$F$6:$F$256,MATCH($C1314,Market_Daily!$A$6:$A$256,0))/kg_per_mt*(1+bcd_primary_al_hs7601*(1+sws_rate_on_bcd))+mcx_domestic_premium_inr_kg)*(1+INDEX(Market_Daily!$I$6:$I$256,MATCH($C1314,Market_Daily!$A$6:$A$256,0))*MAX(0,INDEX(mcx_expiries,MATCH($D1314,mcx_months,0))-$C1314)/day_count_inr))</f>
        <v/>
      </c>
      <c r="N1314" s="16">
        <f>IF(INDEX(Market_Daily!$S$6:$S$256,MATCH($C1314,Market_Daily!$A$6:$A$256,0))=$D1314,INDEX(Market_Daily!$M$6:$M$256,MATCH($C1314,Market_Daily!$A$6:$A$256,0)),IF(INDEX(Market_Daily!$T$6:$T$256,MATCH($C1314,Market_Daily!$A$6:$A$256,0))=$D1314,INDEX(Market_Daily!$N$6:$N$256,MATCH($C1314,Market_Daily!$A$6:$A$256,0)),NA()))</f>
        <v/>
      </c>
      <c r="O1314" s="16">
        <f>$N1314-$M1314</f>
        <v/>
      </c>
      <c r="P1314" s="16">
        <f>IF(($B1313=$B1314),$M1313,"")</f>
        <v/>
      </c>
      <c r="Q1314" s="16">
        <f>$M1314+IF($L1314,1,-1)*mcx_slippage_ticks*mcx_al_tick_inr_kg</f>
        <v/>
      </c>
      <c r="R1314" s="18">
        <f>IF(($B1313=$B1314),$H1314*$I1314*kg_per_mt*($M1314-$M1313),0)</f>
        <v/>
      </c>
      <c r="S1314" s="18">
        <f>IF(($B1313=$B1314),$S1313,0)+$R1314</f>
        <v/>
      </c>
      <c r="T1314" s="18">
        <f>ABS($H1314)*$I1314*kg_per_mt*$M1314</f>
        <v/>
      </c>
      <c r="U1314" s="18">
        <f>IF($K1314,0,$T1314*mcx_al_margin_used_frac)</f>
        <v/>
      </c>
      <c r="V1314" s="18">
        <f>IF(($B1313=$B1314),$U1313,0)</f>
        <v/>
      </c>
      <c r="W1314" s="18">
        <f>$U1314-$V1314</f>
        <v/>
      </c>
      <c r="X1314" s="18">
        <f>IF($K1314,0,$T1314*0.12)</f>
        <v/>
      </c>
      <c r="Y1314" s="18">
        <f>IF($K1314,0,$T1314*0.15)</f>
        <v/>
      </c>
      <c r="Z1314" s="18">
        <f>IF($F1314="hold",0,-ABS($H1314)*$I1314*kg_per_mt*mcx_slippage_ticks*mcx_al_tick_inr_kg)</f>
        <v/>
      </c>
      <c r="AA1314" s="18">
        <f>IF($F1314="hold",0,-ABS($H1314)*$I1314*kg_per_mt*$Q1314*mcx_txn_cost_frac)</f>
        <v/>
      </c>
      <c r="AB1314" s="18">
        <f>$Z1314+$AA1314</f>
        <v/>
      </c>
      <c r="AC1314" s="18">
        <f>$R1314-$W1314+$AB1314</f>
        <v/>
      </c>
      <c r="AD1314" s="18">
        <f>IF(($B1313=$B1314),$AD1313,0)+$AC1314</f>
        <v/>
      </c>
      <c r="AE1314" s="23" t="n">
        <v>2420244.95</v>
      </c>
      <c r="AF1314" s="23" t="n">
        <v>28294826.53</v>
      </c>
      <c r="AG1314" s="23" t="n">
        <v>0</v>
      </c>
      <c r="AH1314" s="23" t="n">
        <v>2662269.45</v>
      </c>
      <c r="AI1314" s="23" t="n">
        <v>-5127.13</v>
      </c>
      <c r="AJ1314" s="18">
        <f>$R1314-$AE1314</f>
        <v/>
      </c>
      <c r="AK1314" s="18">
        <f>$U1314-$AF1314</f>
        <v/>
      </c>
      <c r="AL1314" s="18">
        <f>$AC1314-$AH1314</f>
        <v/>
      </c>
      <c r="AM1314" s="8">
        <f>IF(AND(ABS($AJ1314)&lt;=tol_mcx_inr,ABS($AK1314)&lt;=tol_mcx_inr,ABS($AL1314)&lt;=tol_mcx_inr),"PASS","FAIL")</f>
        <v/>
      </c>
    </row>
    <row r="1315">
      <c r="A1315" s="7" t="inlineStr">
        <is>
          <t>T07</t>
        </is>
      </c>
      <c r="B1315" s="7" t="inlineStr">
        <is>
          <t>T07-MCX-1</t>
        </is>
      </c>
      <c r="C1315" s="11" t="n">
        <v>44720</v>
      </c>
      <c r="D1315" s="7" t="n">
        <v>202206</v>
      </c>
      <c r="E1315" s="7" t="inlineStr">
        <is>
          <t>SELL</t>
        </is>
      </c>
      <c r="F1315" s="7" t="inlineStr">
        <is>
          <t>hold</t>
        </is>
      </c>
      <c r="G1315" s="17" t="b">
        <v>1</v>
      </c>
      <c r="H1315" s="6" t="n">
        <v>-247</v>
      </c>
      <c r="I1315" s="13" t="n">
        <v>5</v>
      </c>
      <c r="J1315" s="8">
        <f>OR($F1315="entry",$F1315="roll_in")</f>
        <v/>
      </c>
      <c r="K1315" s="8">
        <f>OR($F1315="exit",$F1315="roll_out")</f>
        <v/>
      </c>
      <c r="L1315" s="8">
        <f>OR(AND($E1315="SELL",$K1315),AND($E1315="BUY",$J1315))</f>
        <v/>
      </c>
      <c r="M1315" s="16">
        <f>((INDEX(Market_Daily!$B$6:$B$256,MATCH($C1315,Market_Daily!$A$6:$A$256,0))*INDEX(Market_Daily!$F$6:$F$256,MATCH($C1315,Market_Daily!$A$6:$A$256,0))/kg_per_mt*(1+bcd_primary_al_hs7601*(1+sws_rate_on_bcd))+mcx_domestic_premium_inr_kg)*(1+INDEX(Market_Daily!$I$6:$I$256,MATCH($C1315,Market_Daily!$A$6:$A$256,0))*MAX(0,INDEX(mcx_expiries,MATCH($D1315,mcx_months,0))-$C1315)/day_count_inr))</f>
        <v/>
      </c>
      <c r="N1315" s="16">
        <f>IF(INDEX(Market_Daily!$S$6:$S$256,MATCH($C1315,Market_Daily!$A$6:$A$256,0))=$D1315,INDEX(Market_Daily!$M$6:$M$256,MATCH($C1315,Market_Daily!$A$6:$A$256,0)),IF(INDEX(Market_Daily!$T$6:$T$256,MATCH($C1315,Market_Daily!$A$6:$A$256,0))=$D1315,INDEX(Market_Daily!$N$6:$N$256,MATCH($C1315,Market_Daily!$A$6:$A$256,0)),NA()))</f>
        <v/>
      </c>
      <c r="O1315" s="16">
        <f>$N1315-$M1315</f>
        <v/>
      </c>
      <c r="P1315" s="16">
        <f>IF(($B1314=$B1315),$M1314,"")</f>
        <v/>
      </c>
      <c r="Q1315" s="16">
        <f>$M1315+IF($L1315,1,-1)*mcx_slippage_ticks*mcx_al_tick_inr_kg</f>
        <v/>
      </c>
      <c r="R1315" s="18">
        <f>IF(($B1314=$B1315),$H1315*$I1315*kg_per_mt*($M1315-$M1314),0)</f>
        <v/>
      </c>
      <c r="S1315" s="18">
        <f>IF(($B1314=$B1315),$S1314,0)+$R1315</f>
        <v/>
      </c>
      <c r="T1315" s="18">
        <f>ABS($H1315)*$I1315*kg_per_mt*$M1315</f>
        <v/>
      </c>
      <c r="U1315" s="18">
        <f>IF($K1315,0,$T1315*mcx_al_margin_used_frac)</f>
        <v/>
      </c>
      <c r="V1315" s="18">
        <f>IF(($B1314=$B1315),$U1314,0)</f>
        <v/>
      </c>
      <c r="W1315" s="18">
        <f>$U1315-$V1315</f>
        <v/>
      </c>
      <c r="X1315" s="18">
        <f>IF($K1315,0,$T1315*0.12)</f>
        <v/>
      </c>
      <c r="Y1315" s="18">
        <f>IF($K1315,0,$T1315*0.15)</f>
        <v/>
      </c>
      <c r="Z1315" s="18">
        <f>IF($F1315="hold",0,-ABS($H1315)*$I1315*kg_per_mt*mcx_slippage_ticks*mcx_al_tick_inr_kg)</f>
        <v/>
      </c>
      <c r="AA1315" s="18">
        <f>IF($F1315="hold",0,-ABS($H1315)*$I1315*kg_per_mt*$Q1315*mcx_txn_cost_frac)</f>
        <v/>
      </c>
      <c r="AB1315" s="18">
        <f>$Z1315+$AA1315</f>
        <v/>
      </c>
      <c r="AC1315" s="18">
        <f>$R1315-$W1315+$AB1315</f>
        <v/>
      </c>
      <c r="AD1315" s="18">
        <f>IF(($B1314=$B1315),$AD1314,0)+$AC1315</f>
        <v/>
      </c>
      <c r="AE1315" s="23" t="n">
        <v>-5114597.16</v>
      </c>
      <c r="AF1315" s="23" t="n">
        <v>28806286.25</v>
      </c>
      <c r="AG1315" s="23" t="n">
        <v>0</v>
      </c>
      <c r="AH1315" s="23" t="n">
        <v>-5626056.87</v>
      </c>
      <c r="AI1315" s="23" t="n">
        <v>-4419.62</v>
      </c>
      <c r="AJ1315" s="18">
        <f>$R1315-$AE1315</f>
        <v/>
      </c>
      <c r="AK1315" s="18">
        <f>$U1315-$AF1315</f>
        <v/>
      </c>
      <c r="AL1315" s="18">
        <f>$AC1315-$AH1315</f>
        <v/>
      </c>
      <c r="AM1315" s="8">
        <f>IF(AND(ABS($AJ1315)&lt;=tol_mcx_inr,ABS($AK1315)&lt;=tol_mcx_inr,ABS($AL1315)&lt;=tol_mcx_inr),"PASS","FAIL")</f>
        <v/>
      </c>
    </row>
    <row r="1316">
      <c r="A1316" s="7" t="inlineStr">
        <is>
          <t>T07</t>
        </is>
      </c>
      <c r="B1316" s="7" t="inlineStr">
        <is>
          <t>T07-MCX-1</t>
        </is>
      </c>
      <c r="C1316" s="11" t="n">
        <v>44721</v>
      </c>
      <c r="D1316" s="7" t="n">
        <v>202206</v>
      </c>
      <c r="E1316" s="7" t="inlineStr">
        <is>
          <t>SELL</t>
        </is>
      </c>
      <c r="F1316" s="7" t="inlineStr">
        <is>
          <t>hold</t>
        </is>
      </c>
      <c r="G1316" s="17" t="b">
        <v>1</v>
      </c>
      <c r="H1316" s="6" t="n">
        <v>-247</v>
      </c>
      <c r="I1316" s="13" t="n">
        <v>5</v>
      </c>
      <c r="J1316" s="8">
        <f>OR($F1316="entry",$F1316="roll_in")</f>
        <v/>
      </c>
      <c r="K1316" s="8">
        <f>OR($F1316="exit",$F1316="roll_out")</f>
        <v/>
      </c>
      <c r="L1316" s="8">
        <f>OR(AND($E1316="SELL",$K1316),AND($E1316="BUY",$J1316))</f>
        <v/>
      </c>
      <c r="M1316" s="16">
        <f>((INDEX(Market_Daily!$B$6:$B$256,MATCH($C1316,Market_Daily!$A$6:$A$256,0))*INDEX(Market_Daily!$F$6:$F$256,MATCH($C1316,Market_Daily!$A$6:$A$256,0))/kg_per_mt*(1+bcd_primary_al_hs7601*(1+sws_rate_on_bcd))+mcx_domestic_premium_inr_kg)*(1+INDEX(Market_Daily!$I$6:$I$256,MATCH($C1316,Market_Daily!$A$6:$A$256,0))*MAX(0,INDEX(mcx_expiries,MATCH($D1316,mcx_months,0))-$C1316)/day_count_inr))</f>
        <v/>
      </c>
      <c r="N1316" s="16">
        <f>IF(INDEX(Market_Daily!$S$6:$S$256,MATCH($C1316,Market_Daily!$A$6:$A$256,0))=$D1316,INDEX(Market_Daily!$M$6:$M$256,MATCH($C1316,Market_Daily!$A$6:$A$256,0)),IF(INDEX(Market_Daily!$T$6:$T$256,MATCH($C1316,Market_Daily!$A$6:$A$256,0))=$D1316,INDEX(Market_Daily!$N$6:$N$256,MATCH($C1316,Market_Daily!$A$6:$A$256,0)),NA()))</f>
        <v/>
      </c>
      <c r="O1316" s="16">
        <f>$N1316-$M1316</f>
        <v/>
      </c>
      <c r="P1316" s="16">
        <f>IF(($B1315=$B1316),$M1315,"")</f>
        <v/>
      </c>
      <c r="Q1316" s="16">
        <f>$M1316+IF($L1316,1,-1)*mcx_slippage_ticks*mcx_al_tick_inr_kg</f>
        <v/>
      </c>
      <c r="R1316" s="18">
        <f>IF(($B1315=$B1316),$H1316*$I1316*kg_per_mt*($M1316-$M1315),0)</f>
        <v/>
      </c>
      <c r="S1316" s="18">
        <f>IF(($B1315=$B1316),$S1315,0)+$R1316</f>
        <v/>
      </c>
      <c r="T1316" s="18">
        <f>ABS($H1316)*$I1316*kg_per_mt*$M1316</f>
        <v/>
      </c>
      <c r="U1316" s="18">
        <f>IF($K1316,0,$T1316*mcx_al_margin_used_frac)</f>
        <v/>
      </c>
      <c r="V1316" s="18">
        <f>IF(($B1315=$B1316),$U1315,0)</f>
        <v/>
      </c>
      <c r="W1316" s="18">
        <f>$U1316-$V1316</f>
        <v/>
      </c>
      <c r="X1316" s="18">
        <f>IF($K1316,0,$T1316*0.12)</f>
        <v/>
      </c>
      <c r="Y1316" s="18">
        <f>IF($K1316,0,$T1316*0.15)</f>
        <v/>
      </c>
      <c r="Z1316" s="18">
        <f>IF($F1316="hold",0,-ABS($H1316)*$I1316*kg_per_mt*mcx_slippage_ticks*mcx_al_tick_inr_kg)</f>
        <v/>
      </c>
      <c r="AA1316" s="18">
        <f>IF($F1316="hold",0,-ABS($H1316)*$I1316*kg_per_mt*$Q1316*mcx_txn_cost_frac)</f>
        <v/>
      </c>
      <c r="AB1316" s="18">
        <f>$Z1316+$AA1316</f>
        <v/>
      </c>
      <c r="AC1316" s="18">
        <f>$R1316-$W1316+$AB1316</f>
        <v/>
      </c>
      <c r="AD1316" s="18">
        <f>IF(($B1315=$B1316),$AD1315,0)+$AC1316</f>
        <v/>
      </c>
      <c r="AE1316" s="23" t="n">
        <v>1116469.39</v>
      </c>
      <c r="AF1316" s="23" t="n">
        <v>28694639.31</v>
      </c>
      <c r="AG1316" s="23" t="n">
        <v>0</v>
      </c>
      <c r="AH1316" s="23" t="n">
        <v>1228116.33</v>
      </c>
      <c r="AI1316" s="23" t="n">
        <v>-5914.76</v>
      </c>
      <c r="AJ1316" s="18">
        <f>$R1316-$AE1316</f>
        <v/>
      </c>
      <c r="AK1316" s="18">
        <f>$U1316-$AF1316</f>
        <v/>
      </c>
      <c r="AL1316" s="18">
        <f>$AC1316-$AH1316</f>
        <v/>
      </c>
      <c r="AM1316" s="8">
        <f>IF(AND(ABS($AJ1316)&lt;=tol_mcx_inr,ABS($AK1316)&lt;=tol_mcx_inr,ABS($AL1316)&lt;=tol_mcx_inr),"PASS","FAIL")</f>
        <v/>
      </c>
    </row>
    <row r="1317">
      <c r="A1317" s="7" t="inlineStr">
        <is>
          <t>T07</t>
        </is>
      </c>
      <c r="B1317" s="7" t="inlineStr">
        <is>
          <t>T07-MCX-1</t>
        </is>
      </c>
      <c r="C1317" s="11" t="n">
        <v>44722</v>
      </c>
      <c r="D1317" s="7" t="n">
        <v>202206</v>
      </c>
      <c r="E1317" s="7" t="inlineStr">
        <is>
          <t>SELL</t>
        </is>
      </c>
      <c r="F1317" s="7" t="inlineStr">
        <is>
          <t>hold</t>
        </is>
      </c>
      <c r="G1317" s="17" t="b">
        <v>1</v>
      </c>
      <c r="H1317" s="6" t="n">
        <v>-247</v>
      </c>
      <c r="I1317" s="13" t="n">
        <v>5</v>
      </c>
      <c r="J1317" s="8">
        <f>OR($F1317="entry",$F1317="roll_in")</f>
        <v/>
      </c>
      <c r="K1317" s="8">
        <f>OR($F1317="exit",$F1317="roll_out")</f>
        <v/>
      </c>
      <c r="L1317" s="8">
        <f>OR(AND($E1317="SELL",$K1317),AND($E1317="BUY",$J1317))</f>
        <v/>
      </c>
      <c r="M1317" s="16">
        <f>((INDEX(Market_Daily!$B$6:$B$256,MATCH($C1317,Market_Daily!$A$6:$A$256,0))*INDEX(Market_Daily!$F$6:$F$256,MATCH($C1317,Market_Daily!$A$6:$A$256,0))/kg_per_mt*(1+bcd_primary_al_hs7601*(1+sws_rate_on_bcd))+mcx_domestic_premium_inr_kg)*(1+INDEX(Market_Daily!$I$6:$I$256,MATCH($C1317,Market_Daily!$A$6:$A$256,0))*MAX(0,INDEX(mcx_expiries,MATCH($D1317,mcx_months,0))-$C1317)/day_count_inr))</f>
        <v/>
      </c>
      <c r="N1317" s="16">
        <f>IF(INDEX(Market_Daily!$S$6:$S$256,MATCH($C1317,Market_Daily!$A$6:$A$256,0))=$D1317,INDEX(Market_Daily!$M$6:$M$256,MATCH($C1317,Market_Daily!$A$6:$A$256,0)),IF(INDEX(Market_Daily!$T$6:$T$256,MATCH($C1317,Market_Daily!$A$6:$A$256,0))=$D1317,INDEX(Market_Daily!$N$6:$N$256,MATCH($C1317,Market_Daily!$A$6:$A$256,0)),NA()))</f>
        <v/>
      </c>
      <c r="O1317" s="16">
        <f>$N1317-$M1317</f>
        <v/>
      </c>
      <c r="P1317" s="16">
        <f>IF(($B1316=$B1317),$M1316,"")</f>
        <v/>
      </c>
      <c r="Q1317" s="16">
        <f>$M1317+IF($L1317,1,-1)*mcx_slippage_ticks*mcx_al_tick_inr_kg</f>
        <v/>
      </c>
      <c r="R1317" s="18">
        <f>IF(($B1316=$B1317),$H1317*$I1317*kg_per_mt*($M1317-$M1316),0)</f>
        <v/>
      </c>
      <c r="S1317" s="18">
        <f>IF(($B1316=$B1317),$S1316,0)+$R1317</f>
        <v/>
      </c>
      <c r="T1317" s="18">
        <f>ABS($H1317)*$I1317*kg_per_mt*$M1317</f>
        <v/>
      </c>
      <c r="U1317" s="18">
        <f>IF($K1317,0,$T1317*mcx_al_margin_used_frac)</f>
        <v/>
      </c>
      <c r="V1317" s="18">
        <f>IF(($B1316=$B1317),$U1316,0)</f>
        <v/>
      </c>
      <c r="W1317" s="18">
        <f>$U1317-$V1317</f>
        <v/>
      </c>
      <c r="X1317" s="18">
        <f>IF($K1317,0,$T1317*0.12)</f>
        <v/>
      </c>
      <c r="Y1317" s="18">
        <f>IF($K1317,0,$T1317*0.15)</f>
        <v/>
      </c>
      <c r="Z1317" s="18">
        <f>IF($F1317="hold",0,-ABS($H1317)*$I1317*kg_per_mt*mcx_slippage_ticks*mcx_al_tick_inr_kg)</f>
        <v/>
      </c>
      <c r="AA1317" s="18">
        <f>IF($F1317="hold",0,-ABS($H1317)*$I1317*kg_per_mt*$Q1317*mcx_txn_cost_frac)</f>
        <v/>
      </c>
      <c r="AB1317" s="18">
        <f>$Z1317+$AA1317</f>
        <v/>
      </c>
      <c r="AC1317" s="18">
        <f>$R1317-$W1317+$AB1317</f>
        <v/>
      </c>
      <c r="AD1317" s="18">
        <f>IF(($B1316=$B1317),$AD1316,0)+$AC1317</f>
        <v/>
      </c>
      <c r="AE1317" s="23" t="n">
        <v>5718373.03</v>
      </c>
      <c r="AF1317" s="23" t="n">
        <v>28122802.01</v>
      </c>
      <c r="AG1317" s="23" t="n">
        <v>0</v>
      </c>
      <c r="AH1317" s="23" t="n">
        <v>6290210.34</v>
      </c>
      <c r="AI1317" s="23" t="n">
        <v>-5588.39</v>
      </c>
      <c r="AJ1317" s="18">
        <f>$R1317-$AE1317</f>
        <v/>
      </c>
      <c r="AK1317" s="18">
        <f>$U1317-$AF1317</f>
        <v/>
      </c>
      <c r="AL1317" s="18">
        <f>$AC1317-$AH1317</f>
        <v/>
      </c>
      <c r="AM1317" s="8">
        <f>IF(AND(ABS($AJ1317)&lt;=tol_mcx_inr,ABS($AK1317)&lt;=tol_mcx_inr,ABS($AL1317)&lt;=tol_mcx_inr),"PASS","FAIL")</f>
        <v/>
      </c>
    </row>
    <row r="1318">
      <c r="A1318" s="7" t="inlineStr">
        <is>
          <t>T07</t>
        </is>
      </c>
      <c r="B1318" s="7" t="inlineStr">
        <is>
          <t>T07-MCX-1</t>
        </is>
      </c>
      <c r="C1318" s="11" t="n">
        <v>44725</v>
      </c>
      <c r="D1318" s="7" t="n">
        <v>202206</v>
      </c>
      <c r="E1318" s="7" t="inlineStr">
        <is>
          <t>SELL</t>
        </is>
      </c>
      <c r="F1318" s="7" t="inlineStr">
        <is>
          <t>hold</t>
        </is>
      </c>
      <c r="G1318" s="17" t="b">
        <v>1</v>
      </c>
      <c r="H1318" s="6" t="n">
        <v>-247</v>
      </c>
      <c r="I1318" s="13" t="n">
        <v>5</v>
      </c>
      <c r="J1318" s="8">
        <f>OR($F1318="entry",$F1318="roll_in")</f>
        <v/>
      </c>
      <c r="K1318" s="8">
        <f>OR($F1318="exit",$F1318="roll_out")</f>
        <v/>
      </c>
      <c r="L1318" s="8">
        <f>OR(AND($E1318="SELL",$K1318),AND($E1318="BUY",$J1318))</f>
        <v/>
      </c>
      <c r="M1318" s="16">
        <f>((INDEX(Market_Daily!$B$6:$B$256,MATCH($C1318,Market_Daily!$A$6:$A$256,0))*INDEX(Market_Daily!$F$6:$F$256,MATCH($C1318,Market_Daily!$A$6:$A$256,0))/kg_per_mt*(1+bcd_primary_al_hs7601*(1+sws_rate_on_bcd))+mcx_domestic_premium_inr_kg)*(1+INDEX(Market_Daily!$I$6:$I$256,MATCH($C1318,Market_Daily!$A$6:$A$256,0))*MAX(0,INDEX(mcx_expiries,MATCH($D1318,mcx_months,0))-$C1318)/day_count_inr))</f>
        <v/>
      </c>
      <c r="N1318" s="16">
        <f>IF(INDEX(Market_Daily!$S$6:$S$256,MATCH($C1318,Market_Daily!$A$6:$A$256,0))=$D1318,INDEX(Market_Daily!$M$6:$M$256,MATCH($C1318,Market_Daily!$A$6:$A$256,0)),IF(INDEX(Market_Daily!$T$6:$T$256,MATCH($C1318,Market_Daily!$A$6:$A$256,0))=$D1318,INDEX(Market_Daily!$N$6:$N$256,MATCH($C1318,Market_Daily!$A$6:$A$256,0)),NA()))</f>
        <v/>
      </c>
      <c r="O1318" s="16">
        <f>$N1318-$M1318</f>
        <v/>
      </c>
      <c r="P1318" s="16">
        <f>IF(($B1317=$B1318),$M1317,"")</f>
        <v/>
      </c>
      <c r="Q1318" s="16">
        <f>$M1318+IF($L1318,1,-1)*mcx_slippage_ticks*mcx_al_tick_inr_kg</f>
        <v/>
      </c>
      <c r="R1318" s="18">
        <f>IF(($B1317=$B1318),$H1318*$I1318*kg_per_mt*($M1318-$M1317),0)</f>
        <v/>
      </c>
      <c r="S1318" s="18">
        <f>IF(($B1317=$B1318),$S1317,0)+$R1318</f>
        <v/>
      </c>
      <c r="T1318" s="18">
        <f>ABS($H1318)*$I1318*kg_per_mt*$M1318</f>
        <v/>
      </c>
      <c r="U1318" s="18">
        <f>IF($K1318,0,$T1318*mcx_al_margin_used_frac)</f>
        <v/>
      </c>
      <c r="V1318" s="18">
        <f>IF(($B1317=$B1318),$U1317,0)</f>
        <v/>
      </c>
      <c r="W1318" s="18">
        <f>$U1318-$V1318</f>
        <v/>
      </c>
      <c r="X1318" s="18">
        <f>IF($K1318,0,$T1318*0.12)</f>
        <v/>
      </c>
      <c r="Y1318" s="18">
        <f>IF($K1318,0,$T1318*0.15)</f>
        <v/>
      </c>
      <c r="Z1318" s="18">
        <f>IF($F1318="hold",0,-ABS($H1318)*$I1318*kg_per_mt*mcx_slippage_ticks*mcx_al_tick_inr_kg)</f>
        <v/>
      </c>
      <c r="AA1318" s="18">
        <f>IF($F1318="hold",0,-ABS($H1318)*$I1318*kg_per_mt*$Q1318*mcx_txn_cost_frac)</f>
        <v/>
      </c>
      <c r="AB1318" s="18">
        <f>$Z1318+$AA1318</f>
        <v/>
      </c>
      <c r="AC1318" s="18">
        <f>$R1318-$W1318+$AB1318</f>
        <v/>
      </c>
      <c r="AD1318" s="18">
        <f>IF(($B1317=$B1318),$AD1317,0)+$AC1318</f>
        <v/>
      </c>
      <c r="AE1318" s="23" t="n">
        <v>10366474.51</v>
      </c>
      <c r="AF1318" s="23" t="n">
        <v>27086154.56</v>
      </c>
      <c r="AG1318" s="23" t="n">
        <v>0</v>
      </c>
      <c r="AH1318" s="23" t="n">
        <v>11403121.96</v>
      </c>
      <c r="AI1318" s="23" t="n">
        <v>-11750.23</v>
      </c>
      <c r="AJ1318" s="18">
        <f>$R1318-$AE1318</f>
        <v/>
      </c>
      <c r="AK1318" s="18">
        <f>$U1318-$AF1318</f>
        <v/>
      </c>
      <c r="AL1318" s="18">
        <f>$AC1318-$AH1318</f>
        <v/>
      </c>
      <c r="AM1318" s="8">
        <f>IF(AND(ABS($AJ1318)&lt;=tol_mcx_inr,ABS($AK1318)&lt;=tol_mcx_inr,ABS($AL1318)&lt;=tol_mcx_inr),"PASS","FAIL")</f>
        <v/>
      </c>
    </row>
    <row r="1319">
      <c r="A1319" s="7" t="inlineStr">
        <is>
          <t>T07</t>
        </is>
      </c>
      <c r="B1319" s="7" t="inlineStr">
        <is>
          <t>T07-MCX-1</t>
        </is>
      </c>
      <c r="C1319" s="11" t="n">
        <v>44726</v>
      </c>
      <c r="D1319" s="7" t="n">
        <v>202206</v>
      </c>
      <c r="E1319" s="7" t="inlineStr">
        <is>
          <t>SELL</t>
        </is>
      </c>
      <c r="F1319" s="7" t="inlineStr">
        <is>
          <t>hold</t>
        </is>
      </c>
      <c r="G1319" s="17" t="b">
        <v>1</v>
      </c>
      <c r="H1319" s="6" t="n">
        <v>-247</v>
      </c>
      <c r="I1319" s="13" t="n">
        <v>5</v>
      </c>
      <c r="J1319" s="8">
        <f>OR($F1319="entry",$F1319="roll_in")</f>
        <v/>
      </c>
      <c r="K1319" s="8">
        <f>OR($F1319="exit",$F1319="roll_out")</f>
        <v/>
      </c>
      <c r="L1319" s="8">
        <f>OR(AND($E1319="SELL",$K1319),AND($E1319="BUY",$J1319))</f>
        <v/>
      </c>
      <c r="M1319" s="16">
        <f>((INDEX(Market_Daily!$B$6:$B$256,MATCH($C1319,Market_Daily!$A$6:$A$256,0))*INDEX(Market_Daily!$F$6:$F$256,MATCH($C1319,Market_Daily!$A$6:$A$256,0))/kg_per_mt*(1+bcd_primary_al_hs7601*(1+sws_rate_on_bcd))+mcx_domestic_premium_inr_kg)*(1+INDEX(Market_Daily!$I$6:$I$256,MATCH($C1319,Market_Daily!$A$6:$A$256,0))*MAX(0,INDEX(mcx_expiries,MATCH($D1319,mcx_months,0))-$C1319)/day_count_inr))</f>
        <v/>
      </c>
      <c r="N1319" s="16">
        <f>IF(INDEX(Market_Daily!$S$6:$S$256,MATCH($C1319,Market_Daily!$A$6:$A$256,0))=$D1319,INDEX(Market_Daily!$M$6:$M$256,MATCH($C1319,Market_Daily!$A$6:$A$256,0)),IF(INDEX(Market_Daily!$T$6:$T$256,MATCH($C1319,Market_Daily!$A$6:$A$256,0))=$D1319,INDEX(Market_Daily!$N$6:$N$256,MATCH($C1319,Market_Daily!$A$6:$A$256,0)),NA()))</f>
        <v/>
      </c>
      <c r="O1319" s="16">
        <f>$N1319-$M1319</f>
        <v/>
      </c>
      <c r="P1319" s="16">
        <f>IF(($B1318=$B1319),$M1318,"")</f>
        <v/>
      </c>
      <c r="Q1319" s="16">
        <f>$M1319+IF($L1319,1,-1)*mcx_slippage_ticks*mcx_al_tick_inr_kg</f>
        <v/>
      </c>
      <c r="R1319" s="18">
        <f>IF(($B1318=$B1319),$H1319*$I1319*kg_per_mt*($M1319-$M1318),0)</f>
        <v/>
      </c>
      <c r="S1319" s="18">
        <f>IF(($B1318=$B1319),$S1318,0)+$R1319</f>
        <v/>
      </c>
      <c r="T1319" s="18">
        <f>ABS($H1319)*$I1319*kg_per_mt*$M1319</f>
        <v/>
      </c>
      <c r="U1319" s="18">
        <f>IF($K1319,0,$T1319*mcx_al_margin_used_frac)</f>
        <v/>
      </c>
      <c r="V1319" s="18">
        <f>IF(($B1318=$B1319),$U1318,0)</f>
        <v/>
      </c>
      <c r="W1319" s="18">
        <f>$U1319-$V1319</f>
        <v/>
      </c>
      <c r="X1319" s="18">
        <f>IF($K1319,0,$T1319*0.12)</f>
        <v/>
      </c>
      <c r="Y1319" s="18">
        <f>IF($K1319,0,$T1319*0.15)</f>
        <v/>
      </c>
      <c r="Z1319" s="18">
        <f>IF($F1319="hold",0,-ABS($H1319)*$I1319*kg_per_mt*mcx_slippage_ticks*mcx_al_tick_inr_kg)</f>
        <v/>
      </c>
      <c r="AA1319" s="18">
        <f>IF($F1319="hold",0,-ABS($H1319)*$I1319*kg_per_mt*$Q1319*mcx_txn_cost_frac)</f>
        <v/>
      </c>
      <c r="AB1319" s="18">
        <f>$Z1319+$AA1319</f>
        <v/>
      </c>
      <c r="AC1319" s="18">
        <f>$R1319-$W1319+$AB1319</f>
        <v/>
      </c>
      <c r="AD1319" s="18">
        <f>IF(($B1318=$B1319),$AD1318,0)+$AC1319</f>
        <v/>
      </c>
      <c r="AE1319" s="23" t="n">
        <v>272959.05</v>
      </c>
      <c r="AF1319" s="23" t="n">
        <v>27058858.65</v>
      </c>
      <c r="AG1319" s="23" t="n">
        <v>0</v>
      </c>
      <c r="AH1319" s="23" t="n">
        <v>300254.95</v>
      </c>
      <c r="AI1319" s="23" t="n">
        <v>-886.3200000000001</v>
      </c>
      <c r="AJ1319" s="18">
        <f>$R1319-$AE1319</f>
        <v/>
      </c>
      <c r="AK1319" s="18">
        <f>$U1319-$AF1319</f>
        <v/>
      </c>
      <c r="AL1319" s="18">
        <f>$AC1319-$AH1319</f>
        <v/>
      </c>
      <c r="AM1319" s="8">
        <f>IF(AND(ABS($AJ1319)&lt;=tol_mcx_inr,ABS($AK1319)&lt;=tol_mcx_inr,ABS($AL1319)&lt;=tol_mcx_inr),"PASS","FAIL")</f>
        <v/>
      </c>
    </row>
    <row r="1320">
      <c r="A1320" s="7" t="inlineStr">
        <is>
          <t>T07</t>
        </is>
      </c>
      <c r="B1320" s="7" t="inlineStr">
        <is>
          <t>T07-MCX-1</t>
        </is>
      </c>
      <c r="C1320" s="11" t="n">
        <v>44727</v>
      </c>
      <c r="D1320" s="7" t="n">
        <v>202206</v>
      </c>
      <c r="E1320" s="7" t="inlineStr">
        <is>
          <t>SELL</t>
        </is>
      </c>
      <c r="F1320" s="7" t="inlineStr">
        <is>
          <t>hold</t>
        </is>
      </c>
      <c r="G1320" s="17" t="b">
        <v>1</v>
      </c>
      <c r="H1320" s="6" t="n">
        <v>-247</v>
      </c>
      <c r="I1320" s="13" t="n">
        <v>5</v>
      </c>
      <c r="J1320" s="8">
        <f>OR($F1320="entry",$F1320="roll_in")</f>
        <v/>
      </c>
      <c r="K1320" s="8">
        <f>OR($F1320="exit",$F1320="roll_out")</f>
        <v/>
      </c>
      <c r="L1320" s="8">
        <f>OR(AND($E1320="SELL",$K1320),AND($E1320="BUY",$J1320))</f>
        <v/>
      </c>
      <c r="M1320" s="16">
        <f>((INDEX(Market_Daily!$B$6:$B$256,MATCH($C1320,Market_Daily!$A$6:$A$256,0))*INDEX(Market_Daily!$F$6:$F$256,MATCH($C1320,Market_Daily!$A$6:$A$256,0))/kg_per_mt*(1+bcd_primary_al_hs7601*(1+sws_rate_on_bcd))+mcx_domestic_premium_inr_kg)*(1+INDEX(Market_Daily!$I$6:$I$256,MATCH($C1320,Market_Daily!$A$6:$A$256,0))*MAX(0,INDEX(mcx_expiries,MATCH($D1320,mcx_months,0))-$C1320)/day_count_inr))</f>
        <v/>
      </c>
      <c r="N1320" s="16">
        <f>IF(INDEX(Market_Daily!$S$6:$S$256,MATCH($C1320,Market_Daily!$A$6:$A$256,0))=$D1320,INDEX(Market_Daily!$M$6:$M$256,MATCH($C1320,Market_Daily!$A$6:$A$256,0)),IF(INDEX(Market_Daily!$T$6:$T$256,MATCH($C1320,Market_Daily!$A$6:$A$256,0))=$D1320,INDEX(Market_Daily!$N$6:$N$256,MATCH($C1320,Market_Daily!$A$6:$A$256,0)),NA()))</f>
        <v/>
      </c>
      <c r="O1320" s="16">
        <f>$N1320-$M1320</f>
        <v/>
      </c>
      <c r="P1320" s="16">
        <f>IF(($B1319=$B1320),$M1319,"")</f>
        <v/>
      </c>
      <c r="Q1320" s="16">
        <f>$M1320+IF($L1320,1,-1)*mcx_slippage_ticks*mcx_al_tick_inr_kg</f>
        <v/>
      </c>
      <c r="R1320" s="18">
        <f>IF(($B1319=$B1320),$H1320*$I1320*kg_per_mt*($M1320-$M1319),0)</f>
        <v/>
      </c>
      <c r="S1320" s="18">
        <f>IF(($B1319=$B1320),$S1319,0)+$R1320</f>
        <v/>
      </c>
      <c r="T1320" s="18">
        <f>ABS($H1320)*$I1320*kg_per_mt*$M1320</f>
        <v/>
      </c>
      <c r="U1320" s="18">
        <f>IF($K1320,0,$T1320*mcx_al_margin_used_frac)</f>
        <v/>
      </c>
      <c r="V1320" s="18">
        <f>IF(($B1319=$B1320),$U1319,0)</f>
        <v/>
      </c>
      <c r="W1320" s="18">
        <f>$U1320-$V1320</f>
        <v/>
      </c>
      <c r="X1320" s="18">
        <f>IF($K1320,0,$T1320*0.12)</f>
        <v/>
      </c>
      <c r="Y1320" s="18">
        <f>IF($K1320,0,$T1320*0.15)</f>
        <v/>
      </c>
      <c r="Z1320" s="18">
        <f>IF($F1320="hold",0,-ABS($H1320)*$I1320*kg_per_mt*mcx_slippage_ticks*mcx_al_tick_inr_kg)</f>
        <v/>
      </c>
      <c r="AA1320" s="18">
        <f>IF($F1320="hold",0,-ABS($H1320)*$I1320*kg_per_mt*$Q1320*mcx_txn_cost_frac)</f>
        <v/>
      </c>
      <c r="AB1320" s="18">
        <f>$Z1320+$AA1320</f>
        <v/>
      </c>
      <c r="AC1320" s="18">
        <f>$R1320-$W1320+$AB1320</f>
        <v/>
      </c>
      <c r="AD1320" s="18">
        <f>IF(($B1319=$B1320),$AD1319,0)+$AC1320</f>
        <v/>
      </c>
      <c r="AE1320" s="23" t="n">
        <v>479967.28</v>
      </c>
      <c r="AF1320" s="23" t="n">
        <v>27010861.92</v>
      </c>
      <c r="AG1320" s="23" t="n">
        <v>0</v>
      </c>
      <c r="AH1320" s="23" t="n">
        <v>527964.01</v>
      </c>
      <c r="AI1320" s="23" t="n">
        <v>-806.53</v>
      </c>
      <c r="AJ1320" s="18">
        <f>$R1320-$AE1320</f>
        <v/>
      </c>
      <c r="AK1320" s="18">
        <f>$U1320-$AF1320</f>
        <v/>
      </c>
      <c r="AL1320" s="18">
        <f>$AC1320-$AH1320</f>
        <v/>
      </c>
      <c r="AM1320" s="8">
        <f>IF(AND(ABS($AJ1320)&lt;=tol_mcx_inr,ABS($AK1320)&lt;=tol_mcx_inr,ABS($AL1320)&lt;=tol_mcx_inr),"PASS","FAIL")</f>
        <v/>
      </c>
    </row>
    <row r="1321">
      <c r="A1321" s="7" t="inlineStr">
        <is>
          <t>T07</t>
        </is>
      </c>
      <c r="B1321" s="7" t="inlineStr">
        <is>
          <t>T07-MCX-1</t>
        </is>
      </c>
      <c r="C1321" s="11" t="n">
        <v>44728</v>
      </c>
      <c r="D1321" s="7" t="n">
        <v>202206</v>
      </c>
      <c r="E1321" s="7" t="inlineStr">
        <is>
          <t>SELL</t>
        </is>
      </c>
      <c r="F1321" s="7" t="inlineStr">
        <is>
          <t>hold</t>
        </is>
      </c>
      <c r="G1321" s="17" t="b">
        <v>1</v>
      </c>
      <c r="H1321" s="6" t="n">
        <v>-247</v>
      </c>
      <c r="I1321" s="13" t="n">
        <v>5</v>
      </c>
      <c r="J1321" s="8">
        <f>OR($F1321="entry",$F1321="roll_in")</f>
        <v/>
      </c>
      <c r="K1321" s="8">
        <f>OR($F1321="exit",$F1321="roll_out")</f>
        <v/>
      </c>
      <c r="L1321" s="8">
        <f>OR(AND($E1321="SELL",$K1321),AND($E1321="BUY",$J1321))</f>
        <v/>
      </c>
      <c r="M1321" s="16">
        <f>((INDEX(Market_Daily!$B$6:$B$256,MATCH($C1321,Market_Daily!$A$6:$A$256,0))*INDEX(Market_Daily!$F$6:$F$256,MATCH($C1321,Market_Daily!$A$6:$A$256,0))/kg_per_mt*(1+bcd_primary_al_hs7601*(1+sws_rate_on_bcd))+mcx_domestic_premium_inr_kg)*(1+INDEX(Market_Daily!$I$6:$I$256,MATCH($C1321,Market_Daily!$A$6:$A$256,0))*MAX(0,INDEX(mcx_expiries,MATCH($D1321,mcx_months,0))-$C1321)/day_count_inr))</f>
        <v/>
      </c>
      <c r="N1321" s="16">
        <f>IF(INDEX(Market_Daily!$S$6:$S$256,MATCH($C1321,Market_Daily!$A$6:$A$256,0))=$D1321,INDEX(Market_Daily!$M$6:$M$256,MATCH($C1321,Market_Daily!$A$6:$A$256,0)),IF(INDEX(Market_Daily!$T$6:$T$256,MATCH($C1321,Market_Daily!$A$6:$A$256,0))=$D1321,INDEX(Market_Daily!$N$6:$N$256,MATCH($C1321,Market_Daily!$A$6:$A$256,0)),NA()))</f>
        <v/>
      </c>
      <c r="O1321" s="16">
        <f>$N1321-$M1321</f>
        <v/>
      </c>
      <c r="P1321" s="16">
        <f>IF(($B1320=$B1321),$M1320,"")</f>
        <v/>
      </c>
      <c r="Q1321" s="16">
        <f>$M1321+IF($L1321,1,-1)*mcx_slippage_ticks*mcx_al_tick_inr_kg</f>
        <v/>
      </c>
      <c r="R1321" s="18">
        <f>IF(($B1320=$B1321),$H1321*$I1321*kg_per_mt*($M1321-$M1320),0)</f>
        <v/>
      </c>
      <c r="S1321" s="18">
        <f>IF(($B1320=$B1321),$S1320,0)+$R1321</f>
        <v/>
      </c>
      <c r="T1321" s="18">
        <f>ABS($H1321)*$I1321*kg_per_mt*$M1321</f>
        <v/>
      </c>
      <c r="U1321" s="18">
        <f>IF($K1321,0,$T1321*mcx_al_margin_used_frac)</f>
        <v/>
      </c>
      <c r="V1321" s="18">
        <f>IF(($B1320=$B1321),$U1320,0)</f>
        <v/>
      </c>
      <c r="W1321" s="18">
        <f>$U1321-$V1321</f>
        <v/>
      </c>
      <c r="X1321" s="18">
        <f>IF($K1321,0,$T1321*0.12)</f>
        <v/>
      </c>
      <c r="Y1321" s="18">
        <f>IF($K1321,0,$T1321*0.15)</f>
        <v/>
      </c>
      <c r="Z1321" s="18">
        <f>IF($F1321="hold",0,-ABS($H1321)*$I1321*kg_per_mt*mcx_slippage_ticks*mcx_al_tick_inr_kg)</f>
        <v/>
      </c>
      <c r="AA1321" s="18">
        <f>IF($F1321="hold",0,-ABS($H1321)*$I1321*kg_per_mt*$Q1321*mcx_txn_cost_frac)</f>
        <v/>
      </c>
      <c r="AB1321" s="18">
        <f>$Z1321+$AA1321</f>
        <v/>
      </c>
      <c r="AC1321" s="18">
        <f>$R1321-$W1321+$AB1321</f>
        <v/>
      </c>
      <c r="AD1321" s="18">
        <f>IF(($B1320=$B1321),$AD1320,0)+$AC1321</f>
        <v/>
      </c>
      <c r="AE1321" s="23" t="n">
        <v>8609444.460000001</v>
      </c>
      <c r="AF1321" s="23" t="n">
        <v>26149917.48</v>
      </c>
      <c r="AG1321" s="23" t="n">
        <v>0</v>
      </c>
      <c r="AH1321" s="23" t="n">
        <v>9470388.91</v>
      </c>
      <c r="AI1321" s="23" t="n">
        <v>-679.96</v>
      </c>
      <c r="AJ1321" s="18">
        <f>$R1321-$AE1321</f>
        <v/>
      </c>
      <c r="AK1321" s="18">
        <f>$U1321-$AF1321</f>
        <v/>
      </c>
      <c r="AL1321" s="18">
        <f>$AC1321-$AH1321</f>
        <v/>
      </c>
      <c r="AM1321" s="8">
        <f>IF(AND(ABS($AJ1321)&lt;=tol_mcx_inr,ABS($AK1321)&lt;=tol_mcx_inr,ABS($AL1321)&lt;=tol_mcx_inr),"PASS","FAIL")</f>
        <v/>
      </c>
    </row>
    <row r="1322">
      <c r="A1322" s="7" t="inlineStr">
        <is>
          <t>T07</t>
        </is>
      </c>
      <c r="B1322" s="7" t="inlineStr">
        <is>
          <t>T07-MCX-1</t>
        </is>
      </c>
      <c r="C1322" s="11" t="n">
        <v>44729</v>
      </c>
      <c r="D1322" s="7" t="n">
        <v>202206</v>
      </c>
      <c r="E1322" s="7" t="inlineStr">
        <is>
          <t>SELL</t>
        </is>
      </c>
      <c r="F1322" s="7" t="inlineStr">
        <is>
          <t>hold</t>
        </is>
      </c>
      <c r="G1322" s="17" t="b">
        <v>1</v>
      </c>
      <c r="H1322" s="6" t="n">
        <v>-247</v>
      </c>
      <c r="I1322" s="13" t="n">
        <v>5</v>
      </c>
      <c r="J1322" s="8">
        <f>OR($F1322="entry",$F1322="roll_in")</f>
        <v/>
      </c>
      <c r="K1322" s="8">
        <f>OR($F1322="exit",$F1322="roll_out")</f>
        <v/>
      </c>
      <c r="L1322" s="8">
        <f>OR(AND($E1322="SELL",$K1322),AND($E1322="BUY",$J1322))</f>
        <v/>
      </c>
      <c r="M1322" s="16">
        <f>((INDEX(Market_Daily!$B$6:$B$256,MATCH($C1322,Market_Daily!$A$6:$A$256,0))*INDEX(Market_Daily!$F$6:$F$256,MATCH($C1322,Market_Daily!$A$6:$A$256,0))/kg_per_mt*(1+bcd_primary_al_hs7601*(1+sws_rate_on_bcd))+mcx_domestic_premium_inr_kg)*(1+INDEX(Market_Daily!$I$6:$I$256,MATCH($C1322,Market_Daily!$A$6:$A$256,0))*MAX(0,INDEX(mcx_expiries,MATCH($D1322,mcx_months,0))-$C1322)/day_count_inr))</f>
        <v/>
      </c>
      <c r="N1322" s="16">
        <f>IF(INDEX(Market_Daily!$S$6:$S$256,MATCH($C1322,Market_Daily!$A$6:$A$256,0))=$D1322,INDEX(Market_Daily!$M$6:$M$256,MATCH($C1322,Market_Daily!$A$6:$A$256,0)),IF(INDEX(Market_Daily!$T$6:$T$256,MATCH($C1322,Market_Daily!$A$6:$A$256,0))=$D1322,INDEX(Market_Daily!$N$6:$N$256,MATCH($C1322,Market_Daily!$A$6:$A$256,0)),NA()))</f>
        <v/>
      </c>
      <c r="O1322" s="16">
        <f>$N1322-$M1322</f>
        <v/>
      </c>
      <c r="P1322" s="16">
        <f>IF(($B1321=$B1322),$M1321,"")</f>
        <v/>
      </c>
      <c r="Q1322" s="16">
        <f>$M1322+IF($L1322,1,-1)*mcx_slippage_ticks*mcx_al_tick_inr_kg</f>
        <v/>
      </c>
      <c r="R1322" s="18">
        <f>IF(($B1321=$B1322),$H1322*$I1322*kg_per_mt*($M1322-$M1321),0)</f>
        <v/>
      </c>
      <c r="S1322" s="18">
        <f>IF(($B1321=$B1322),$S1321,0)+$R1322</f>
        <v/>
      </c>
      <c r="T1322" s="18">
        <f>ABS($H1322)*$I1322*kg_per_mt*$M1322</f>
        <v/>
      </c>
      <c r="U1322" s="18">
        <f>IF($K1322,0,$T1322*mcx_al_margin_used_frac)</f>
        <v/>
      </c>
      <c r="V1322" s="18">
        <f>IF(($B1321=$B1322),$U1321,0)</f>
        <v/>
      </c>
      <c r="W1322" s="18">
        <f>$U1322-$V1322</f>
        <v/>
      </c>
      <c r="X1322" s="18">
        <f>IF($K1322,0,$T1322*0.12)</f>
        <v/>
      </c>
      <c r="Y1322" s="18">
        <f>IF($K1322,0,$T1322*0.15)</f>
        <v/>
      </c>
      <c r="Z1322" s="18">
        <f>IF($F1322="hold",0,-ABS($H1322)*$I1322*kg_per_mt*mcx_slippage_ticks*mcx_al_tick_inr_kg)</f>
        <v/>
      </c>
      <c r="AA1322" s="18">
        <f>IF($F1322="hold",0,-ABS($H1322)*$I1322*kg_per_mt*$Q1322*mcx_txn_cost_frac)</f>
        <v/>
      </c>
      <c r="AB1322" s="18">
        <f>$Z1322+$AA1322</f>
        <v/>
      </c>
      <c r="AC1322" s="18">
        <f>$R1322-$W1322+$AB1322</f>
        <v/>
      </c>
      <c r="AD1322" s="18">
        <f>IF(($B1321=$B1322),$AD1321,0)+$AC1322</f>
        <v/>
      </c>
      <c r="AE1322" s="23" t="n">
        <v>2791469.97</v>
      </c>
      <c r="AF1322" s="23" t="n">
        <v>25870770.48</v>
      </c>
      <c r="AG1322" s="23" t="n">
        <v>0</v>
      </c>
      <c r="AH1322" s="23" t="n">
        <v>3070616.97</v>
      </c>
      <c r="AI1322" s="23" t="n">
        <v>1888.72</v>
      </c>
      <c r="AJ1322" s="18">
        <f>$R1322-$AE1322</f>
        <v/>
      </c>
      <c r="AK1322" s="18">
        <f>$U1322-$AF1322</f>
        <v/>
      </c>
      <c r="AL1322" s="18">
        <f>$AC1322-$AH1322</f>
        <v/>
      </c>
      <c r="AM1322" s="8">
        <f>IF(AND(ABS($AJ1322)&lt;=tol_mcx_inr,ABS($AK1322)&lt;=tol_mcx_inr,ABS($AL1322)&lt;=tol_mcx_inr),"PASS","FAIL")</f>
        <v/>
      </c>
    </row>
    <row r="1323">
      <c r="A1323" s="7" t="inlineStr">
        <is>
          <t>T07</t>
        </is>
      </c>
      <c r="B1323" s="7" t="inlineStr">
        <is>
          <t>T07-MCX-1</t>
        </is>
      </c>
      <c r="C1323" s="11" t="n">
        <v>44732</v>
      </c>
      <c r="D1323" s="7" t="n">
        <v>202206</v>
      </c>
      <c r="E1323" s="7" t="inlineStr">
        <is>
          <t>SELL</t>
        </is>
      </c>
      <c r="F1323" s="7" t="inlineStr">
        <is>
          <t>hold</t>
        </is>
      </c>
      <c r="G1323" s="17" t="b">
        <v>1</v>
      </c>
      <c r="H1323" s="6" t="n">
        <v>-247</v>
      </c>
      <c r="I1323" s="13" t="n">
        <v>5</v>
      </c>
      <c r="J1323" s="8">
        <f>OR($F1323="entry",$F1323="roll_in")</f>
        <v/>
      </c>
      <c r="K1323" s="8">
        <f>OR($F1323="exit",$F1323="roll_out")</f>
        <v/>
      </c>
      <c r="L1323" s="8">
        <f>OR(AND($E1323="SELL",$K1323),AND($E1323="BUY",$J1323))</f>
        <v/>
      </c>
      <c r="M1323" s="16">
        <f>((INDEX(Market_Daily!$B$6:$B$256,MATCH($C1323,Market_Daily!$A$6:$A$256,0))*INDEX(Market_Daily!$F$6:$F$256,MATCH($C1323,Market_Daily!$A$6:$A$256,0))/kg_per_mt*(1+bcd_primary_al_hs7601*(1+sws_rate_on_bcd))+mcx_domestic_premium_inr_kg)*(1+INDEX(Market_Daily!$I$6:$I$256,MATCH($C1323,Market_Daily!$A$6:$A$256,0))*MAX(0,INDEX(mcx_expiries,MATCH($D1323,mcx_months,0))-$C1323)/day_count_inr))</f>
        <v/>
      </c>
      <c r="N1323" s="16">
        <f>IF(INDEX(Market_Daily!$S$6:$S$256,MATCH($C1323,Market_Daily!$A$6:$A$256,0))=$D1323,INDEX(Market_Daily!$M$6:$M$256,MATCH($C1323,Market_Daily!$A$6:$A$256,0)),IF(INDEX(Market_Daily!$T$6:$T$256,MATCH($C1323,Market_Daily!$A$6:$A$256,0))=$D1323,INDEX(Market_Daily!$N$6:$N$256,MATCH($C1323,Market_Daily!$A$6:$A$256,0)),NA()))</f>
        <v/>
      </c>
      <c r="O1323" s="16">
        <f>$N1323-$M1323</f>
        <v/>
      </c>
      <c r="P1323" s="16">
        <f>IF(($B1322=$B1323),$M1322,"")</f>
        <v/>
      </c>
      <c r="Q1323" s="16">
        <f>$M1323+IF($L1323,1,-1)*mcx_slippage_ticks*mcx_al_tick_inr_kg</f>
        <v/>
      </c>
      <c r="R1323" s="18">
        <f>IF(($B1322=$B1323),$H1323*$I1323*kg_per_mt*($M1323-$M1322),0)</f>
        <v/>
      </c>
      <c r="S1323" s="18">
        <f>IF(($B1322=$B1323),$S1322,0)+$R1323</f>
        <v/>
      </c>
      <c r="T1323" s="18">
        <f>ABS($H1323)*$I1323*kg_per_mt*$M1323</f>
        <v/>
      </c>
      <c r="U1323" s="18">
        <f>IF($K1323,0,$T1323*mcx_al_margin_used_frac)</f>
        <v/>
      </c>
      <c r="V1323" s="18">
        <f>IF(($B1322=$B1323),$U1322,0)</f>
        <v/>
      </c>
      <c r="W1323" s="18">
        <f>$U1323-$V1323</f>
        <v/>
      </c>
      <c r="X1323" s="18">
        <f>IF($K1323,0,$T1323*0.12)</f>
        <v/>
      </c>
      <c r="Y1323" s="18">
        <f>IF($K1323,0,$T1323*0.15)</f>
        <v/>
      </c>
      <c r="Z1323" s="18">
        <f>IF($F1323="hold",0,-ABS($H1323)*$I1323*kg_per_mt*mcx_slippage_ticks*mcx_al_tick_inr_kg)</f>
        <v/>
      </c>
      <c r="AA1323" s="18">
        <f>IF($F1323="hold",0,-ABS($H1323)*$I1323*kg_per_mt*$Q1323*mcx_txn_cost_frac)</f>
        <v/>
      </c>
      <c r="AB1323" s="18">
        <f>$Z1323+$AA1323</f>
        <v/>
      </c>
      <c r="AC1323" s="18">
        <f>$R1323-$W1323+$AB1323</f>
        <v/>
      </c>
      <c r="AD1323" s="18">
        <f>IF(($B1322=$B1323),$AD1322,0)+$AC1323</f>
        <v/>
      </c>
      <c r="AE1323" s="23" t="n">
        <v>1736545.82</v>
      </c>
      <c r="AF1323" s="23" t="n">
        <v>25697115.9</v>
      </c>
      <c r="AG1323" s="23" t="n">
        <v>0</v>
      </c>
      <c r="AH1323" s="23" t="n">
        <v>1910200.4</v>
      </c>
      <c r="AI1323" s="23" t="n">
        <v>8164.73</v>
      </c>
      <c r="AJ1323" s="18">
        <f>$R1323-$AE1323</f>
        <v/>
      </c>
      <c r="AK1323" s="18">
        <f>$U1323-$AF1323</f>
        <v/>
      </c>
      <c r="AL1323" s="18">
        <f>$AC1323-$AH1323</f>
        <v/>
      </c>
      <c r="AM1323" s="8">
        <f>IF(AND(ABS($AJ1323)&lt;=tol_mcx_inr,ABS($AK1323)&lt;=tol_mcx_inr,ABS($AL1323)&lt;=tol_mcx_inr),"PASS","FAIL")</f>
        <v/>
      </c>
    </row>
    <row r="1324">
      <c r="A1324" s="7" t="inlineStr">
        <is>
          <t>T07</t>
        </is>
      </c>
      <c r="B1324" s="7" t="inlineStr">
        <is>
          <t>T07-MCX-1</t>
        </is>
      </c>
      <c r="C1324" s="11" t="n">
        <v>44733</v>
      </c>
      <c r="D1324" s="7" t="n">
        <v>202206</v>
      </c>
      <c r="E1324" s="7" t="inlineStr">
        <is>
          <t>SELL</t>
        </is>
      </c>
      <c r="F1324" s="7" t="inlineStr">
        <is>
          <t>roll_out</t>
        </is>
      </c>
      <c r="G1324" s="17" t="b">
        <v>1</v>
      </c>
      <c r="H1324" s="6" t="n">
        <v>-247</v>
      </c>
      <c r="I1324" s="13" t="n">
        <v>5</v>
      </c>
      <c r="J1324" s="8">
        <f>OR($F1324="entry",$F1324="roll_in")</f>
        <v/>
      </c>
      <c r="K1324" s="8">
        <f>OR($F1324="exit",$F1324="roll_out")</f>
        <v/>
      </c>
      <c r="L1324" s="8">
        <f>OR(AND($E1324="SELL",$K1324),AND($E1324="BUY",$J1324))</f>
        <v/>
      </c>
      <c r="M1324" s="16">
        <f>((INDEX(Market_Daily!$B$6:$B$256,MATCH($C1324,Market_Daily!$A$6:$A$256,0))*INDEX(Market_Daily!$F$6:$F$256,MATCH($C1324,Market_Daily!$A$6:$A$256,0))/kg_per_mt*(1+bcd_primary_al_hs7601*(1+sws_rate_on_bcd))+mcx_domestic_premium_inr_kg)*(1+INDEX(Market_Daily!$I$6:$I$256,MATCH($C1324,Market_Daily!$A$6:$A$256,0))*MAX(0,INDEX(mcx_expiries,MATCH($D1324,mcx_months,0))-$C1324)/day_count_inr))</f>
        <v/>
      </c>
      <c r="N1324" s="16">
        <f>IF(INDEX(Market_Daily!$S$6:$S$256,MATCH($C1324,Market_Daily!$A$6:$A$256,0))=$D1324,INDEX(Market_Daily!$M$6:$M$256,MATCH($C1324,Market_Daily!$A$6:$A$256,0)),IF(INDEX(Market_Daily!$T$6:$T$256,MATCH($C1324,Market_Daily!$A$6:$A$256,0))=$D1324,INDEX(Market_Daily!$N$6:$N$256,MATCH($C1324,Market_Daily!$A$6:$A$256,0)),NA()))</f>
        <v/>
      </c>
      <c r="O1324" s="16">
        <f>$N1324-$M1324</f>
        <v/>
      </c>
      <c r="P1324" s="16">
        <f>IF(($B1323=$B1324),$M1323,"")</f>
        <v/>
      </c>
      <c r="Q1324" s="16">
        <f>$M1324+IF($L1324,1,-1)*mcx_slippage_ticks*mcx_al_tick_inr_kg</f>
        <v/>
      </c>
      <c r="R1324" s="18">
        <f>IF(($B1323=$B1324),$H1324*$I1324*kg_per_mt*($M1324-$M1323),0)</f>
        <v/>
      </c>
      <c r="S1324" s="18">
        <f>IF(($B1323=$B1324),$S1323,0)+$R1324</f>
        <v/>
      </c>
      <c r="T1324" s="18">
        <f>ABS($H1324)*$I1324*kg_per_mt*$M1324</f>
        <v/>
      </c>
      <c r="U1324" s="18">
        <f>IF($K1324,0,$T1324*mcx_al_margin_used_frac)</f>
        <v/>
      </c>
      <c r="V1324" s="18">
        <f>IF(($B1323=$B1324),$U1323,0)</f>
        <v/>
      </c>
      <c r="W1324" s="18">
        <f>$U1324-$V1324</f>
        <v/>
      </c>
      <c r="X1324" s="18">
        <f>IF($K1324,0,$T1324*0.12)</f>
        <v/>
      </c>
      <c r="Y1324" s="18">
        <f>IF($K1324,0,$T1324*0.15)</f>
        <v/>
      </c>
      <c r="Z1324" s="18">
        <f>IF($F1324="hold",0,-ABS($H1324)*$I1324*kg_per_mt*mcx_slippage_ticks*mcx_al_tick_inr_kg)</f>
        <v/>
      </c>
      <c r="AA1324" s="18">
        <f>IF($F1324="hold",0,-ABS($H1324)*$I1324*kg_per_mt*$Q1324*mcx_txn_cost_frac)</f>
        <v/>
      </c>
      <c r="AB1324" s="18">
        <f>$Z1324+$AA1324</f>
        <v/>
      </c>
      <c r="AC1324" s="18">
        <f>$R1324-$W1324+$AB1324</f>
        <v/>
      </c>
      <c r="AD1324" s="18">
        <f>IF(($B1323=$B1324),$AD1323,0)+$AC1324</f>
        <v/>
      </c>
      <c r="AE1324" s="23" t="n">
        <v>-6513626.07</v>
      </c>
      <c r="AF1324" s="23" t="n">
        <v>0</v>
      </c>
      <c r="AG1324" s="23" t="n">
        <v>-202582.49</v>
      </c>
      <c r="AH1324" s="23" t="n">
        <v>18980907.35</v>
      </c>
      <c r="AI1324" s="23" t="n">
        <v>3239.68</v>
      </c>
      <c r="AJ1324" s="18">
        <f>$R1324-$AE1324</f>
        <v/>
      </c>
      <c r="AK1324" s="18">
        <f>$U1324-$AF1324</f>
        <v/>
      </c>
      <c r="AL1324" s="18">
        <f>$AC1324-$AH1324</f>
        <v/>
      </c>
      <c r="AM1324" s="8">
        <f>IF(AND(ABS($AJ1324)&lt;=tol_mcx_inr,ABS($AK1324)&lt;=tol_mcx_inr,ABS($AL1324)&lt;=tol_mcx_inr),"PASS","FAIL")</f>
        <v/>
      </c>
    </row>
    <row r="1325">
      <c r="A1325" s="7" t="inlineStr">
        <is>
          <t>T07</t>
        </is>
      </c>
      <c r="B1325" s="7" t="inlineStr">
        <is>
          <t>T07-MCX-2</t>
        </is>
      </c>
      <c r="C1325" s="11" t="n">
        <v>44733</v>
      </c>
      <c r="D1325" s="7" t="n">
        <v>202207</v>
      </c>
      <c r="E1325" s="7" t="inlineStr">
        <is>
          <t>SELL</t>
        </is>
      </c>
      <c r="F1325" s="7" t="inlineStr">
        <is>
          <t>roll_in</t>
        </is>
      </c>
      <c r="G1325" s="17" t="b">
        <v>1</v>
      </c>
      <c r="H1325" s="6" t="n">
        <v>-247</v>
      </c>
      <c r="I1325" s="13" t="n">
        <v>5</v>
      </c>
      <c r="J1325" s="8">
        <f>OR($F1325="entry",$F1325="roll_in")</f>
        <v/>
      </c>
      <c r="K1325" s="8">
        <f>OR($F1325="exit",$F1325="roll_out")</f>
        <v/>
      </c>
      <c r="L1325" s="8">
        <f>OR(AND($E1325="SELL",$K1325),AND($E1325="BUY",$J1325))</f>
        <v/>
      </c>
      <c r="M1325" s="16">
        <f>((INDEX(Market_Daily!$B$6:$B$256,MATCH($C1325,Market_Daily!$A$6:$A$256,0))*INDEX(Market_Daily!$F$6:$F$256,MATCH($C1325,Market_Daily!$A$6:$A$256,0))/kg_per_mt*(1+bcd_primary_al_hs7601*(1+sws_rate_on_bcd))+mcx_domestic_premium_inr_kg)*(1+INDEX(Market_Daily!$I$6:$I$256,MATCH($C1325,Market_Daily!$A$6:$A$256,0))*MAX(0,INDEX(mcx_expiries,MATCH($D1325,mcx_months,0))-$C1325)/day_count_inr))</f>
        <v/>
      </c>
      <c r="N1325" s="16">
        <f>IF(INDEX(Market_Daily!$S$6:$S$256,MATCH($C1325,Market_Daily!$A$6:$A$256,0))=$D1325,INDEX(Market_Daily!$M$6:$M$256,MATCH($C1325,Market_Daily!$A$6:$A$256,0)),IF(INDEX(Market_Daily!$T$6:$T$256,MATCH($C1325,Market_Daily!$A$6:$A$256,0))=$D1325,INDEX(Market_Daily!$N$6:$N$256,MATCH($C1325,Market_Daily!$A$6:$A$256,0)),NA()))</f>
        <v/>
      </c>
      <c r="O1325" s="16">
        <f>$N1325-$M1325</f>
        <v/>
      </c>
      <c r="P1325" s="16">
        <f>IF(($B1324=$B1325),$M1324,"")</f>
        <v/>
      </c>
      <c r="Q1325" s="16">
        <f>$M1325+IF($L1325,1,-1)*mcx_slippage_ticks*mcx_al_tick_inr_kg</f>
        <v/>
      </c>
      <c r="R1325" s="18">
        <f>IF(($B1324=$B1325),$H1325*$I1325*kg_per_mt*($M1325-$M1324),0)</f>
        <v/>
      </c>
      <c r="S1325" s="18">
        <f>IF(($B1324=$B1325),$S1324,0)+$R1325</f>
        <v/>
      </c>
      <c r="T1325" s="18">
        <f>ABS($H1325)*$I1325*kg_per_mt*$M1325</f>
        <v/>
      </c>
      <c r="U1325" s="18">
        <f>IF($K1325,0,$T1325*mcx_al_margin_used_frac)</f>
        <v/>
      </c>
      <c r="V1325" s="18">
        <f>IF(($B1324=$B1325),$U1324,0)</f>
        <v/>
      </c>
      <c r="W1325" s="18">
        <f>$U1325-$V1325</f>
        <v/>
      </c>
      <c r="X1325" s="18">
        <f>IF($K1325,0,$T1325*0.12)</f>
        <v/>
      </c>
      <c r="Y1325" s="18">
        <f>IF($K1325,0,$T1325*0.15)</f>
        <v/>
      </c>
      <c r="Z1325" s="18">
        <f>IF($F1325="hold",0,-ABS($H1325)*$I1325*kg_per_mt*mcx_slippage_ticks*mcx_al_tick_inr_kg)</f>
        <v/>
      </c>
      <c r="AA1325" s="18">
        <f>IF($F1325="hold",0,-ABS($H1325)*$I1325*kg_per_mt*$Q1325*mcx_txn_cost_frac)</f>
        <v/>
      </c>
      <c r="AB1325" s="18">
        <f>$Z1325+$AA1325</f>
        <v/>
      </c>
      <c r="AC1325" s="18">
        <f>$R1325-$W1325+$AB1325</f>
        <v/>
      </c>
      <c r="AD1325" s="18">
        <f>IF(($B1324=$B1325),$AD1324,0)+$AC1325</f>
        <v/>
      </c>
      <c r="AE1325" s="23" t="n">
        <v>0</v>
      </c>
      <c r="AF1325" s="23" t="n">
        <v>26455963.95</v>
      </c>
      <c r="AG1325" s="23" t="n">
        <v>-202830.84</v>
      </c>
      <c r="AH1325" s="23" t="n">
        <v>-26658794.79</v>
      </c>
      <c r="AI1325" s="23" t="n">
        <v>0</v>
      </c>
      <c r="AJ1325" s="18">
        <f>$R1325-$AE1325</f>
        <v/>
      </c>
      <c r="AK1325" s="18">
        <f>$U1325-$AF1325</f>
        <v/>
      </c>
      <c r="AL1325" s="18">
        <f>$AC1325-$AH1325</f>
        <v/>
      </c>
      <c r="AM1325" s="8">
        <f>IF(AND(ABS($AJ1325)&lt;=tol_mcx_inr,ABS($AK1325)&lt;=tol_mcx_inr,ABS($AL1325)&lt;=tol_mcx_inr),"PASS","FAIL")</f>
        <v/>
      </c>
    </row>
    <row r="1326">
      <c r="A1326" s="7" t="inlineStr">
        <is>
          <t>T07</t>
        </is>
      </c>
      <c r="B1326" s="7" t="inlineStr">
        <is>
          <t>T07-MCX-2</t>
        </is>
      </c>
      <c r="C1326" s="11" t="n">
        <v>44734</v>
      </c>
      <c r="D1326" s="7" t="n">
        <v>202207</v>
      </c>
      <c r="E1326" s="7" t="inlineStr">
        <is>
          <t>SELL</t>
        </is>
      </c>
      <c r="F1326" s="7" t="inlineStr">
        <is>
          <t>hold</t>
        </is>
      </c>
      <c r="G1326" s="17" t="b">
        <v>1</v>
      </c>
      <c r="H1326" s="6" t="n">
        <v>-247</v>
      </c>
      <c r="I1326" s="13" t="n">
        <v>5</v>
      </c>
      <c r="J1326" s="8">
        <f>OR($F1326="entry",$F1326="roll_in")</f>
        <v/>
      </c>
      <c r="K1326" s="8">
        <f>OR($F1326="exit",$F1326="roll_out")</f>
        <v/>
      </c>
      <c r="L1326" s="8">
        <f>OR(AND($E1326="SELL",$K1326),AND($E1326="BUY",$J1326))</f>
        <v/>
      </c>
      <c r="M1326" s="16">
        <f>((INDEX(Market_Daily!$B$6:$B$256,MATCH($C1326,Market_Daily!$A$6:$A$256,0))*INDEX(Market_Daily!$F$6:$F$256,MATCH($C1326,Market_Daily!$A$6:$A$256,0))/kg_per_mt*(1+bcd_primary_al_hs7601*(1+sws_rate_on_bcd))+mcx_domestic_premium_inr_kg)*(1+INDEX(Market_Daily!$I$6:$I$256,MATCH($C1326,Market_Daily!$A$6:$A$256,0))*MAX(0,INDEX(mcx_expiries,MATCH($D1326,mcx_months,0))-$C1326)/day_count_inr))</f>
        <v/>
      </c>
      <c r="N1326" s="16">
        <f>IF(INDEX(Market_Daily!$S$6:$S$256,MATCH($C1326,Market_Daily!$A$6:$A$256,0))=$D1326,INDEX(Market_Daily!$M$6:$M$256,MATCH($C1326,Market_Daily!$A$6:$A$256,0)),IF(INDEX(Market_Daily!$T$6:$T$256,MATCH($C1326,Market_Daily!$A$6:$A$256,0))=$D1326,INDEX(Market_Daily!$N$6:$N$256,MATCH($C1326,Market_Daily!$A$6:$A$256,0)),NA()))</f>
        <v/>
      </c>
      <c r="O1326" s="16">
        <f>$N1326-$M1326</f>
        <v/>
      </c>
      <c r="P1326" s="16">
        <f>IF(($B1325=$B1326),$M1325,"")</f>
        <v/>
      </c>
      <c r="Q1326" s="16">
        <f>$M1326+IF($L1326,1,-1)*mcx_slippage_ticks*mcx_al_tick_inr_kg</f>
        <v/>
      </c>
      <c r="R1326" s="18">
        <f>IF(($B1325=$B1326),$H1326*$I1326*kg_per_mt*($M1326-$M1325),0)</f>
        <v/>
      </c>
      <c r="S1326" s="18">
        <f>IF(($B1325=$B1326),$S1325,0)+$R1326</f>
        <v/>
      </c>
      <c r="T1326" s="18">
        <f>ABS($H1326)*$I1326*kg_per_mt*$M1326</f>
        <v/>
      </c>
      <c r="U1326" s="18">
        <f>IF($K1326,0,$T1326*mcx_al_margin_used_frac)</f>
        <v/>
      </c>
      <c r="V1326" s="18">
        <f>IF(($B1325=$B1326),$U1325,0)</f>
        <v/>
      </c>
      <c r="W1326" s="18">
        <f>$U1326-$V1326</f>
        <v/>
      </c>
      <c r="X1326" s="18">
        <f>IF($K1326,0,$T1326*0.12)</f>
        <v/>
      </c>
      <c r="Y1326" s="18">
        <f>IF($K1326,0,$T1326*0.15)</f>
        <v/>
      </c>
      <c r="Z1326" s="18">
        <f>IF($F1326="hold",0,-ABS($H1326)*$I1326*kg_per_mt*mcx_slippage_ticks*mcx_al_tick_inr_kg)</f>
        <v/>
      </c>
      <c r="AA1326" s="18">
        <f>IF($F1326="hold",0,-ABS($H1326)*$I1326*kg_per_mt*$Q1326*mcx_txn_cost_frac)</f>
        <v/>
      </c>
      <c r="AB1326" s="18">
        <f>$Z1326+$AA1326</f>
        <v/>
      </c>
      <c r="AC1326" s="18">
        <f>$R1326-$W1326+$AB1326</f>
        <v/>
      </c>
      <c r="AD1326" s="18">
        <f>IF(($B1325=$B1326),$AD1325,0)+$AC1326</f>
        <v/>
      </c>
      <c r="AE1326" s="23" t="n">
        <v>6094484</v>
      </c>
      <c r="AF1326" s="23" t="n">
        <v>25846515.55</v>
      </c>
      <c r="AG1326" s="23" t="n">
        <v>0</v>
      </c>
      <c r="AH1326" s="23" t="n">
        <v>6703932.4</v>
      </c>
      <c r="AI1326" s="23" t="n">
        <v>-7230.74</v>
      </c>
      <c r="AJ1326" s="18">
        <f>$R1326-$AE1326</f>
        <v/>
      </c>
      <c r="AK1326" s="18">
        <f>$U1326-$AF1326</f>
        <v/>
      </c>
      <c r="AL1326" s="18">
        <f>$AC1326-$AH1326</f>
        <v/>
      </c>
      <c r="AM1326" s="8">
        <f>IF(AND(ABS($AJ1326)&lt;=tol_mcx_inr,ABS($AK1326)&lt;=tol_mcx_inr,ABS($AL1326)&lt;=tol_mcx_inr),"PASS","FAIL")</f>
        <v/>
      </c>
    </row>
    <row r="1327">
      <c r="A1327" s="7" t="inlineStr">
        <is>
          <t>T07</t>
        </is>
      </c>
      <c r="B1327" s="7" t="inlineStr">
        <is>
          <t>T07-MCX-2</t>
        </is>
      </c>
      <c r="C1327" s="11" t="n">
        <v>44735</v>
      </c>
      <c r="D1327" s="7" t="n">
        <v>202207</v>
      </c>
      <c r="E1327" s="7" t="inlineStr">
        <is>
          <t>SELL</t>
        </is>
      </c>
      <c r="F1327" s="7" t="inlineStr">
        <is>
          <t>hold</t>
        </is>
      </c>
      <c r="G1327" s="17" t="b">
        <v>1</v>
      </c>
      <c r="H1327" s="6" t="n">
        <v>-247</v>
      </c>
      <c r="I1327" s="13" t="n">
        <v>5</v>
      </c>
      <c r="J1327" s="8">
        <f>OR($F1327="entry",$F1327="roll_in")</f>
        <v/>
      </c>
      <c r="K1327" s="8">
        <f>OR($F1327="exit",$F1327="roll_out")</f>
        <v/>
      </c>
      <c r="L1327" s="8">
        <f>OR(AND($E1327="SELL",$K1327),AND($E1327="BUY",$J1327))</f>
        <v/>
      </c>
      <c r="M1327" s="16">
        <f>((INDEX(Market_Daily!$B$6:$B$256,MATCH($C1327,Market_Daily!$A$6:$A$256,0))*INDEX(Market_Daily!$F$6:$F$256,MATCH($C1327,Market_Daily!$A$6:$A$256,0))/kg_per_mt*(1+bcd_primary_al_hs7601*(1+sws_rate_on_bcd))+mcx_domestic_premium_inr_kg)*(1+INDEX(Market_Daily!$I$6:$I$256,MATCH($C1327,Market_Daily!$A$6:$A$256,0))*MAX(0,INDEX(mcx_expiries,MATCH($D1327,mcx_months,0))-$C1327)/day_count_inr))</f>
        <v/>
      </c>
      <c r="N1327" s="16">
        <f>IF(INDEX(Market_Daily!$S$6:$S$256,MATCH($C1327,Market_Daily!$A$6:$A$256,0))=$D1327,INDEX(Market_Daily!$M$6:$M$256,MATCH($C1327,Market_Daily!$A$6:$A$256,0)),IF(INDEX(Market_Daily!$T$6:$T$256,MATCH($C1327,Market_Daily!$A$6:$A$256,0))=$D1327,INDEX(Market_Daily!$N$6:$N$256,MATCH($C1327,Market_Daily!$A$6:$A$256,0)),NA()))</f>
        <v/>
      </c>
      <c r="O1327" s="16">
        <f>$N1327-$M1327</f>
        <v/>
      </c>
      <c r="P1327" s="16">
        <f>IF(($B1326=$B1327),$M1326,"")</f>
        <v/>
      </c>
      <c r="Q1327" s="16">
        <f>$M1327+IF($L1327,1,-1)*mcx_slippage_ticks*mcx_al_tick_inr_kg</f>
        <v/>
      </c>
      <c r="R1327" s="18">
        <f>IF(($B1326=$B1327),$H1327*$I1327*kg_per_mt*($M1327-$M1326),0)</f>
        <v/>
      </c>
      <c r="S1327" s="18">
        <f>IF(($B1326=$B1327),$S1326,0)+$R1327</f>
        <v/>
      </c>
      <c r="T1327" s="18">
        <f>ABS($H1327)*$I1327*kg_per_mt*$M1327</f>
        <v/>
      </c>
      <c r="U1327" s="18">
        <f>IF($K1327,0,$T1327*mcx_al_margin_used_frac)</f>
        <v/>
      </c>
      <c r="V1327" s="18">
        <f>IF(($B1326=$B1327),$U1326,0)</f>
        <v/>
      </c>
      <c r="W1327" s="18">
        <f>$U1327-$V1327</f>
        <v/>
      </c>
      <c r="X1327" s="18">
        <f>IF($K1327,0,$T1327*0.12)</f>
        <v/>
      </c>
      <c r="Y1327" s="18">
        <f>IF($K1327,0,$T1327*0.15)</f>
        <v/>
      </c>
      <c r="Z1327" s="18">
        <f>IF($F1327="hold",0,-ABS($H1327)*$I1327*kg_per_mt*mcx_slippage_ticks*mcx_al_tick_inr_kg)</f>
        <v/>
      </c>
      <c r="AA1327" s="18">
        <f>IF($F1327="hold",0,-ABS($H1327)*$I1327*kg_per_mt*$Q1327*mcx_txn_cost_frac)</f>
        <v/>
      </c>
      <c r="AB1327" s="18">
        <f>$Z1327+$AA1327</f>
        <v/>
      </c>
      <c r="AC1327" s="18">
        <f>$R1327-$W1327+$AB1327</f>
        <v/>
      </c>
      <c r="AD1327" s="18">
        <f>IF(($B1326=$B1327),$AD1326,0)+$AC1327</f>
        <v/>
      </c>
      <c r="AE1327" s="23" t="n">
        <v>-2417324.78</v>
      </c>
      <c r="AF1327" s="23" t="n">
        <v>26088248.03</v>
      </c>
      <c r="AG1327" s="23" t="n">
        <v>0</v>
      </c>
      <c r="AH1327" s="23" t="n">
        <v>-2659057.25</v>
      </c>
      <c r="AI1327" s="23" t="n">
        <v>-5412.41</v>
      </c>
      <c r="AJ1327" s="18">
        <f>$R1327-$AE1327</f>
        <v/>
      </c>
      <c r="AK1327" s="18">
        <f>$U1327-$AF1327</f>
        <v/>
      </c>
      <c r="AL1327" s="18">
        <f>$AC1327-$AH1327</f>
        <v/>
      </c>
      <c r="AM1327" s="8">
        <f>IF(AND(ABS($AJ1327)&lt;=tol_mcx_inr,ABS($AK1327)&lt;=tol_mcx_inr,ABS($AL1327)&lt;=tol_mcx_inr),"PASS","FAIL")</f>
        <v/>
      </c>
    </row>
    <row r="1328">
      <c r="A1328" s="7" t="inlineStr">
        <is>
          <t>T07</t>
        </is>
      </c>
      <c r="B1328" s="7" t="inlineStr">
        <is>
          <t>T07-MCX-2</t>
        </is>
      </c>
      <c r="C1328" s="11" t="n">
        <v>44736</v>
      </c>
      <c r="D1328" s="7" t="n">
        <v>202207</v>
      </c>
      <c r="E1328" s="7" t="inlineStr">
        <is>
          <t>SELL</t>
        </is>
      </c>
      <c r="F1328" s="7" t="inlineStr">
        <is>
          <t>hold</t>
        </is>
      </c>
      <c r="G1328" s="17" t="b">
        <v>1</v>
      </c>
      <c r="H1328" s="6" t="n">
        <v>-247</v>
      </c>
      <c r="I1328" s="13" t="n">
        <v>5</v>
      </c>
      <c r="J1328" s="8">
        <f>OR($F1328="entry",$F1328="roll_in")</f>
        <v/>
      </c>
      <c r="K1328" s="8">
        <f>OR($F1328="exit",$F1328="roll_out")</f>
        <v/>
      </c>
      <c r="L1328" s="8">
        <f>OR(AND($E1328="SELL",$K1328),AND($E1328="BUY",$J1328))</f>
        <v/>
      </c>
      <c r="M1328" s="16">
        <f>((INDEX(Market_Daily!$B$6:$B$256,MATCH($C1328,Market_Daily!$A$6:$A$256,0))*INDEX(Market_Daily!$F$6:$F$256,MATCH($C1328,Market_Daily!$A$6:$A$256,0))/kg_per_mt*(1+bcd_primary_al_hs7601*(1+sws_rate_on_bcd))+mcx_domestic_premium_inr_kg)*(1+INDEX(Market_Daily!$I$6:$I$256,MATCH($C1328,Market_Daily!$A$6:$A$256,0))*MAX(0,INDEX(mcx_expiries,MATCH($D1328,mcx_months,0))-$C1328)/day_count_inr))</f>
        <v/>
      </c>
      <c r="N1328" s="16">
        <f>IF(INDEX(Market_Daily!$S$6:$S$256,MATCH($C1328,Market_Daily!$A$6:$A$256,0))=$D1328,INDEX(Market_Daily!$M$6:$M$256,MATCH($C1328,Market_Daily!$A$6:$A$256,0)),IF(INDEX(Market_Daily!$T$6:$T$256,MATCH($C1328,Market_Daily!$A$6:$A$256,0))=$D1328,INDEX(Market_Daily!$N$6:$N$256,MATCH($C1328,Market_Daily!$A$6:$A$256,0)),NA()))</f>
        <v/>
      </c>
      <c r="O1328" s="16">
        <f>$N1328-$M1328</f>
        <v/>
      </c>
      <c r="P1328" s="16">
        <f>IF(($B1327=$B1328),$M1327,"")</f>
        <v/>
      </c>
      <c r="Q1328" s="16">
        <f>$M1328+IF($L1328,1,-1)*mcx_slippage_ticks*mcx_al_tick_inr_kg</f>
        <v/>
      </c>
      <c r="R1328" s="18">
        <f>IF(($B1327=$B1328),$H1328*$I1328*kg_per_mt*($M1328-$M1327),0)</f>
        <v/>
      </c>
      <c r="S1328" s="18">
        <f>IF(($B1327=$B1328),$S1327,0)+$R1328</f>
        <v/>
      </c>
      <c r="T1328" s="18">
        <f>ABS($H1328)*$I1328*kg_per_mt*$M1328</f>
        <v/>
      </c>
      <c r="U1328" s="18">
        <f>IF($K1328,0,$T1328*mcx_al_margin_used_frac)</f>
        <v/>
      </c>
      <c r="V1328" s="18">
        <f>IF(($B1327=$B1328),$U1327,0)</f>
        <v/>
      </c>
      <c r="W1328" s="18">
        <f>$U1328-$V1328</f>
        <v/>
      </c>
      <c r="X1328" s="18">
        <f>IF($K1328,0,$T1328*0.12)</f>
        <v/>
      </c>
      <c r="Y1328" s="18">
        <f>IF($K1328,0,$T1328*0.15)</f>
        <v/>
      </c>
      <c r="Z1328" s="18">
        <f>IF($F1328="hold",0,-ABS($H1328)*$I1328*kg_per_mt*mcx_slippage_ticks*mcx_al_tick_inr_kg)</f>
        <v/>
      </c>
      <c r="AA1328" s="18">
        <f>IF($F1328="hold",0,-ABS($H1328)*$I1328*kg_per_mt*$Q1328*mcx_txn_cost_frac)</f>
        <v/>
      </c>
      <c r="AB1328" s="18">
        <f>$Z1328+$AA1328</f>
        <v/>
      </c>
      <c r="AC1328" s="18">
        <f>$R1328-$W1328+$AB1328</f>
        <v/>
      </c>
      <c r="AD1328" s="18">
        <f>IF(($B1327=$B1328),$AD1327,0)+$AC1328</f>
        <v/>
      </c>
      <c r="AE1328" s="23" t="n">
        <v>4642870.64</v>
      </c>
      <c r="AF1328" s="23" t="n">
        <v>25623960.96</v>
      </c>
      <c r="AG1328" s="23" t="n">
        <v>0</v>
      </c>
      <c r="AH1328" s="23" t="n">
        <v>5107157.7</v>
      </c>
      <c r="AI1328" s="23" t="n">
        <v>-6133.64</v>
      </c>
      <c r="AJ1328" s="18">
        <f>$R1328-$AE1328</f>
        <v/>
      </c>
      <c r="AK1328" s="18">
        <f>$U1328-$AF1328</f>
        <v/>
      </c>
      <c r="AL1328" s="18">
        <f>$AC1328-$AH1328</f>
        <v/>
      </c>
      <c r="AM1328" s="8">
        <f>IF(AND(ABS($AJ1328)&lt;=tol_mcx_inr,ABS($AK1328)&lt;=tol_mcx_inr,ABS($AL1328)&lt;=tol_mcx_inr),"PASS","FAIL")</f>
        <v/>
      </c>
    </row>
    <row r="1329">
      <c r="A1329" s="7" t="inlineStr">
        <is>
          <t>T07</t>
        </is>
      </c>
      <c r="B1329" s="7" t="inlineStr">
        <is>
          <t>T07-MCX-2</t>
        </is>
      </c>
      <c r="C1329" s="11" t="n">
        <v>44739</v>
      </c>
      <c r="D1329" s="7" t="n">
        <v>202207</v>
      </c>
      <c r="E1329" s="7" t="inlineStr">
        <is>
          <t>SELL</t>
        </is>
      </c>
      <c r="F1329" s="7" t="inlineStr">
        <is>
          <t>hold</t>
        </is>
      </c>
      <c r="G1329" s="17" t="b">
        <v>1</v>
      </c>
      <c r="H1329" s="6" t="n">
        <v>-247</v>
      </c>
      <c r="I1329" s="13" t="n">
        <v>5</v>
      </c>
      <c r="J1329" s="8">
        <f>OR($F1329="entry",$F1329="roll_in")</f>
        <v/>
      </c>
      <c r="K1329" s="8">
        <f>OR($F1329="exit",$F1329="roll_out")</f>
        <v/>
      </c>
      <c r="L1329" s="8">
        <f>OR(AND($E1329="SELL",$K1329),AND($E1329="BUY",$J1329))</f>
        <v/>
      </c>
      <c r="M1329" s="16">
        <f>((INDEX(Market_Daily!$B$6:$B$256,MATCH($C1329,Market_Daily!$A$6:$A$256,0))*INDEX(Market_Daily!$F$6:$F$256,MATCH($C1329,Market_Daily!$A$6:$A$256,0))/kg_per_mt*(1+bcd_primary_al_hs7601*(1+sws_rate_on_bcd))+mcx_domestic_premium_inr_kg)*(1+INDEX(Market_Daily!$I$6:$I$256,MATCH($C1329,Market_Daily!$A$6:$A$256,0))*MAX(0,INDEX(mcx_expiries,MATCH($D1329,mcx_months,0))-$C1329)/day_count_inr))</f>
        <v/>
      </c>
      <c r="N1329" s="16">
        <f>IF(INDEX(Market_Daily!$S$6:$S$256,MATCH($C1329,Market_Daily!$A$6:$A$256,0))=$D1329,INDEX(Market_Daily!$M$6:$M$256,MATCH($C1329,Market_Daily!$A$6:$A$256,0)),IF(INDEX(Market_Daily!$T$6:$T$256,MATCH($C1329,Market_Daily!$A$6:$A$256,0))=$D1329,INDEX(Market_Daily!$N$6:$N$256,MATCH($C1329,Market_Daily!$A$6:$A$256,0)),NA()))</f>
        <v/>
      </c>
      <c r="O1329" s="16">
        <f>$N1329-$M1329</f>
        <v/>
      </c>
      <c r="P1329" s="16">
        <f>IF(($B1328=$B1329),$M1328,"")</f>
        <v/>
      </c>
      <c r="Q1329" s="16">
        <f>$M1329+IF($L1329,1,-1)*mcx_slippage_ticks*mcx_al_tick_inr_kg</f>
        <v/>
      </c>
      <c r="R1329" s="18">
        <f>IF(($B1328=$B1329),$H1329*$I1329*kg_per_mt*($M1329-$M1328),0)</f>
        <v/>
      </c>
      <c r="S1329" s="18">
        <f>IF(($B1328=$B1329),$S1328,0)+$R1329</f>
        <v/>
      </c>
      <c r="T1329" s="18">
        <f>ABS($H1329)*$I1329*kg_per_mt*$M1329</f>
        <v/>
      </c>
      <c r="U1329" s="18">
        <f>IF($K1329,0,$T1329*mcx_al_margin_used_frac)</f>
        <v/>
      </c>
      <c r="V1329" s="18">
        <f>IF(($B1328=$B1329),$U1328,0)</f>
        <v/>
      </c>
      <c r="W1329" s="18">
        <f>$U1329-$V1329</f>
        <v/>
      </c>
      <c r="X1329" s="18">
        <f>IF($K1329,0,$T1329*0.12)</f>
        <v/>
      </c>
      <c r="Y1329" s="18">
        <f>IF($K1329,0,$T1329*0.15)</f>
        <v/>
      </c>
      <c r="Z1329" s="18">
        <f>IF($F1329="hold",0,-ABS($H1329)*$I1329*kg_per_mt*mcx_slippage_ticks*mcx_al_tick_inr_kg)</f>
        <v/>
      </c>
      <c r="AA1329" s="18">
        <f>IF($F1329="hold",0,-ABS($H1329)*$I1329*kg_per_mt*$Q1329*mcx_txn_cost_frac)</f>
        <v/>
      </c>
      <c r="AB1329" s="18">
        <f>$Z1329+$AA1329</f>
        <v/>
      </c>
      <c r="AC1329" s="18">
        <f>$R1329-$W1329+$AB1329</f>
        <v/>
      </c>
      <c r="AD1329" s="18">
        <f>IF(($B1328=$B1329),$AD1328,0)+$AC1329</f>
        <v/>
      </c>
      <c r="AE1329" s="23" t="n">
        <v>-2172522.44</v>
      </c>
      <c r="AF1329" s="23" t="n">
        <v>25841213.21</v>
      </c>
      <c r="AG1329" s="23" t="n">
        <v>0</v>
      </c>
      <c r="AH1329" s="23" t="n">
        <v>-2389774.69</v>
      </c>
      <c r="AI1329" s="23" t="n">
        <v>-14245.23</v>
      </c>
      <c r="AJ1329" s="18">
        <f>$R1329-$AE1329</f>
        <v/>
      </c>
      <c r="AK1329" s="18">
        <f>$U1329-$AF1329</f>
        <v/>
      </c>
      <c r="AL1329" s="18">
        <f>$AC1329-$AH1329</f>
        <v/>
      </c>
      <c r="AM1329" s="8">
        <f>IF(AND(ABS($AJ1329)&lt;=tol_mcx_inr,ABS($AK1329)&lt;=tol_mcx_inr,ABS($AL1329)&lt;=tol_mcx_inr),"PASS","FAIL")</f>
        <v/>
      </c>
    </row>
    <row r="1330">
      <c r="A1330" s="7" t="inlineStr">
        <is>
          <t>T07</t>
        </is>
      </c>
      <c r="B1330" s="7" t="inlineStr">
        <is>
          <t>T07-MCX-2</t>
        </is>
      </c>
      <c r="C1330" s="11" t="n">
        <v>44740</v>
      </c>
      <c r="D1330" s="7" t="n">
        <v>202207</v>
      </c>
      <c r="E1330" s="7" t="inlineStr">
        <is>
          <t>SELL</t>
        </is>
      </c>
      <c r="F1330" s="7" t="inlineStr">
        <is>
          <t>hold</t>
        </is>
      </c>
      <c r="G1330" s="17" t="b">
        <v>1</v>
      </c>
      <c r="H1330" s="6" t="n">
        <v>-247</v>
      </c>
      <c r="I1330" s="13" t="n">
        <v>5</v>
      </c>
      <c r="J1330" s="8">
        <f>OR($F1330="entry",$F1330="roll_in")</f>
        <v/>
      </c>
      <c r="K1330" s="8">
        <f>OR($F1330="exit",$F1330="roll_out")</f>
        <v/>
      </c>
      <c r="L1330" s="8">
        <f>OR(AND($E1330="SELL",$K1330),AND($E1330="BUY",$J1330))</f>
        <v/>
      </c>
      <c r="M1330" s="16">
        <f>((INDEX(Market_Daily!$B$6:$B$256,MATCH($C1330,Market_Daily!$A$6:$A$256,0))*INDEX(Market_Daily!$F$6:$F$256,MATCH($C1330,Market_Daily!$A$6:$A$256,0))/kg_per_mt*(1+bcd_primary_al_hs7601*(1+sws_rate_on_bcd))+mcx_domestic_premium_inr_kg)*(1+INDEX(Market_Daily!$I$6:$I$256,MATCH($C1330,Market_Daily!$A$6:$A$256,0))*MAX(0,INDEX(mcx_expiries,MATCH($D1330,mcx_months,0))-$C1330)/day_count_inr))</f>
        <v/>
      </c>
      <c r="N1330" s="16">
        <f>IF(INDEX(Market_Daily!$S$6:$S$256,MATCH($C1330,Market_Daily!$A$6:$A$256,0))=$D1330,INDEX(Market_Daily!$M$6:$M$256,MATCH($C1330,Market_Daily!$A$6:$A$256,0)),IF(INDEX(Market_Daily!$T$6:$T$256,MATCH($C1330,Market_Daily!$A$6:$A$256,0))=$D1330,INDEX(Market_Daily!$N$6:$N$256,MATCH($C1330,Market_Daily!$A$6:$A$256,0)),NA()))</f>
        <v/>
      </c>
      <c r="O1330" s="16">
        <f>$N1330-$M1330</f>
        <v/>
      </c>
      <c r="P1330" s="16">
        <f>IF(($B1329=$B1330),$M1329,"")</f>
        <v/>
      </c>
      <c r="Q1330" s="16">
        <f>$M1330+IF($L1330,1,-1)*mcx_slippage_ticks*mcx_al_tick_inr_kg</f>
        <v/>
      </c>
      <c r="R1330" s="18">
        <f>IF(($B1329=$B1330),$H1330*$I1330*kg_per_mt*($M1330-$M1329),0)</f>
        <v/>
      </c>
      <c r="S1330" s="18">
        <f>IF(($B1329=$B1330),$S1329,0)+$R1330</f>
        <v/>
      </c>
      <c r="T1330" s="18">
        <f>ABS($H1330)*$I1330*kg_per_mt*$M1330</f>
        <v/>
      </c>
      <c r="U1330" s="18">
        <f>IF($K1330,0,$T1330*mcx_al_margin_used_frac)</f>
        <v/>
      </c>
      <c r="V1330" s="18">
        <f>IF(($B1329=$B1330),$U1329,0)</f>
        <v/>
      </c>
      <c r="W1330" s="18">
        <f>$U1330-$V1330</f>
        <v/>
      </c>
      <c r="X1330" s="18">
        <f>IF($K1330,0,$T1330*0.12)</f>
        <v/>
      </c>
      <c r="Y1330" s="18">
        <f>IF($K1330,0,$T1330*0.15)</f>
        <v/>
      </c>
      <c r="Z1330" s="18">
        <f>IF($F1330="hold",0,-ABS($H1330)*$I1330*kg_per_mt*mcx_slippage_ticks*mcx_al_tick_inr_kg)</f>
        <v/>
      </c>
      <c r="AA1330" s="18">
        <f>IF($F1330="hold",0,-ABS($H1330)*$I1330*kg_per_mt*$Q1330*mcx_txn_cost_frac)</f>
        <v/>
      </c>
      <c r="AB1330" s="18">
        <f>$Z1330+$AA1330</f>
        <v/>
      </c>
      <c r="AC1330" s="18">
        <f>$R1330-$W1330+$AB1330</f>
        <v/>
      </c>
      <c r="AD1330" s="18">
        <f>IF(($B1329=$B1330),$AD1329,0)+$AC1330</f>
        <v/>
      </c>
      <c r="AE1330" s="23" t="n">
        <v>-6700127.66</v>
      </c>
      <c r="AF1330" s="23" t="n">
        <v>26511225.97</v>
      </c>
      <c r="AG1330" s="23" t="n">
        <v>0</v>
      </c>
      <c r="AH1330" s="23" t="n">
        <v>-7370140.42</v>
      </c>
      <c r="AI1330" s="23" t="n">
        <v>-5396.59</v>
      </c>
      <c r="AJ1330" s="18">
        <f>$R1330-$AE1330</f>
        <v/>
      </c>
      <c r="AK1330" s="18">
        <f>$U1330-$AF1330</f>
        <v/>
      </c>
      <c r="AL1330" s="18">
        <f>$AC1330-$AH1330</f>
        <v/>
      </c>
      <c r="AM1330" s="8">
        <f>IF(AND(ABS($AJ1330)&lt;=tol_mcx_inr,ABS($AK1330)&lt;=tol_mcx_inr,ABS($AL1330)&lt;=tol_mcx_inr),"PASS","FAIL")</f>
        <v/>
      </c>
    </row>
    <row r="1331">
      <c r="A1331" s="7" t="inlineStr">
        <is>
          <t>T07</t>
        </is>
      </c>
      <c r="B1331" s="7" t="inlineStr">
        <is>
          <t>T07-MCX-2</t>
        </is>
      </c>
      <c r="C1331" s="11" t="n">
        <v>44741</v>
      </c>
      <c r="D1331" s="7" t="n">
        <v>202207</v>
      </c>
      <c r="E1331" s="7" t="inlineStr">
        <is>
          <t>SELL</t>
        </is>
      </c>
      <c r="F1331" s="7" t="inlineStr">
        <is>
          <t>hold</t>
        </is>
      </c>
      <c r="G1331" s="17" t="b">
        <v>1</v>
      </c>
      <c r="H1331" s="6" t="n">
        <v>-247</v>
      </c>
      <c r="I1331" s="13" t="n">
        <v>5</v>
      </c>
      <c r="J1331" s="8">
        <f>OR($F1331="entry",$F1331="roll_in")</f>
        <v/>
      </c>
      <c r="K1331" s="8">
        <f>OR($F1331="exit",$F1331="roll_out")</f>
        <v/>
      </c>
      <c r="L1331" s="8">
        <f>OR(AND($E1331="SELL",$K1331),AND($E1331="BUY",$J1331))</f>
        <v/>
      </c>
      <c r="M1331" s="16">
        <f>((INDEX(Market_Daily!$B$6:$B$256,MATCH($C1331,Market_Daily!$A$6:$A$256,0))*INDEX(Market_Daily!$F$6:$F$256,MATCH($C1331,Market_Daily!$A$6:$A$256,0))/kg_per_mt*(1+bcd_primary_al_hs7601*(1+sws_rate_on_bcd))+mcx_domestic_premium_inr_kg)*(1+INDEX(Market_Daily!$I$6:$I$256,MATCH($C1331,Market_Daily!$A$6:$A$256,0))*MAX(0,INDEX(mcx_expiries,MATCH($D1331,mcx_months,0))-$C1331)/day_count_inr))</f>
        <v/>
      </c>
      <c r="N1331" s="16">
        <f>IF(INDEX(Market_Daily!$S$6:$S$256,MATCH($C1331,Market_Daily!$A$6:$A$256,0))=$D1331,INDEX(Market_Daily!$M$6:$M$256,MATCH($C1331,Market_Daily!$A$6:$A$256,0)),IF(INDEX(Market_Daily!$T$6:$T$256,MATCH($C1331,Market_Daily!$A$6:$A$256,0))=$D1331,INDEX(Market_Daily!$N$6:$N$256,MATCH($C1331,Market_Daily!$A$6:$A$256,0)),NA()))</f>
        <v/>
      </c>
      <c r="O1331" s="16">
        <f>$N1331-$M1331</f>
        <v/>
      </c>
      <c r="P1331" s="16">
        <f>IF(($B1330=$B1331),$M1330,"")</f>
        <v/>
      </c>
      <c r="Q1331" s="16">
        <f>$M1331+IF($L1331,1,-1)*mcx_slippage_ticks*mcx_al_tick_inr_kg</f>
        <v/>
      </c>
      <c r="R1331" s="18">
        <f>IF(($B1330=$B1331),$H1331*$I1331*kg_per_mt*($M1331-$M1330),0)</f>
        <v/>
      </c>
      <c r="S1331" s="18">
        <f>IF(($B1330=$B1331),$S1330,0)+$R1331</f>
        <v/>
      </c>
      <c r="T1331" s="18">
        <f>ABS($H1331)*$I1331*kg_per_mt*$M1331</f>
        <v/>
      </c>
      <c r="U1331" s="18">
        <f>IF($K1331,0,$T1331*mcx_al_margin_used_frac)</f>
        <v/>
      </c>
      <c r="V1331" s="18">
        <f>IF(($B1330=$B1331),$U1330,0)</f>
        <v/>
      </c>
      <c r="W1331" s="18">
        <f>$U1331-$V1331</f>
        <v/>
      </c>
      <c r="X1331" s="18">
        <f>IF($K1331,0,$T1331*0.12)</f>
        <v/>
      </c>
      <c r="Y1331" s="18">
        <f>IF($K1331,0,$T1331*0.15)</f>
        <v/>
      </c>
      <c r="Z1331" s="18">
        <f>IF($F1331="hold",0,-ABS($H1331)*$I1331*kg_per_mt*mcx_slippage_ticks*mcx_al_tick_inr_kg)</f>
        <v/>
      </c>
      <c r="AA1331" s="18">
        <f>IF($F1331="hold",0,-ABS($H1331)*$I1331*kg_per_mt*$Q1331*mcx_txn_cost_frac)</f>
        <v/>
      </c>
      <c r="AB1331" s="18">
        <f>$Z1331+$AA1331</f>
        <v/>
      </c>
      <c r="AC1331" s="18">
        <f>$R1331-$W1331+$AB1331</f>
        <v/>
      </c>
      <c r="AD1331" s="18">
        <f>IF(($B1330=$B1331),$AD1330,0)+$AC1331</f>
        <v/>
      </c>
      <c r="AE1331" s="23" t="n">
        <v>5200357.94</v>
      </c>
      <c r="AF1331" s="23" t="n">
        <v>25991190.18</v>
      </c>
      <c r="AG1331" s="23" t="n">
        <v>0</v>
      </c>
      <c r="AH1331" s="23" t="n">
        <v>5720393.74</v>
      </c>
      <c r="AI1331" s="23" t="n">
        <v>-7395.62</v>
      </c>
      <c r="AJ1331" s="18">
        <f>$R1331-$AE1331</f>
        <v/>
      </c>
      <c r="AK1331" s="18">
        <f>$U1331-$AF1331</f>
        <v/>
      </c>
      <c r="AL1331" s="18">
        <f>$AC1331-$AH1331</f>
        <v/>
      </c>
      <c r="AM1331" s="8">
        <f>IF(AND(ABS($AJ1331)&lt;=tol_mcx_inr,ABS($AK1331)&lt;=tol_mcx_inr,ABS($AL1331)&lt;=tol_mcx_inr),"PASS","FAIL")</f>
        <v/>
      </c>
    </row>
    <row r="1332">
      <c r="A1332" s="7" t="inlineStr">
        <is>
          <t>T07</t>
        </is>
      </c>
      <c r="B1332" s="7" t="inlineStr">
        <is>
          <t>T07-MCX-2</t>
        </is>
      </c>
      <c r="C1332" s="11" t="n">
        <v>44742</v>
      </c>
      <c r="D1332" s="7" t="n">
        <v>202207</v>
      </c>
      <c r="E1332" s="7" t="inlineStr">
        <is>
          <t>SELL</t>
        </is>
      </c>
      <c r="F1332" s="7" t="inlineStr">
        <is>
          <t>hold</t>
        </is>
      </c>
      <c r="G1332" s="17" t="b">
        <v>1</v>
      </c>
      <c r="H1332" s="6" t="n">
        <v>-247</v>
      </c>
      <c r="I1332" s="13" t="n">
        <v>5</v>
      </c>
      <c r="J1332" s="8">
        <f>OR($F1332="entry",$F1332="roll_in")</f>
        <v/>
      </c>
      <c r="K1332" s="8">
        <f>OR($F1332="exit",$F1332="roll_out")</f>
        <v/>
      </c>
      <c r="L1332" s="8">
        <f>OR(AND($E1332="SELL",$K1332),AND($E1332="BUY",$J1332))</f>
        <v/>
      </c>
      <c r="M1332" s="16">
        <f>((INDEX(Market_Daily!$B$6:$B$256,MATCH($C1332,Market_Daily!$A$6:$A$256,0))*INDEX(Market_Daily!$F$6:$F$256,MATCH($C1332,Market_Daily!$A$6:$A$256,0))/kg_per_mt*(1+bcd_primary_al_hs7601*(1+sws_rate_on_bcd))+mcx_domestic_premium_inr_kg)*(1+INDEX(Market_Daily!$I$6:$I$256,MATCH($C1332,Market_Daily!$A$6:$A$256,0))*MAX(0,INDEX(mcx_expiries,MATCH($D1332,mcx_months,0))-$C1332)/day_count_inr))</f>
        <v/>
      </c>
      <c r="N1332" s="16">
        <f>IF(INDEX(Market_Daily!$S$6:$S$256,MATCH($C1332,Market_Daily!$A$6:$A$256,0))=$D1332,INDEX(Market_Daily!$M$6:$M$256,MATCH($C1332,Market_Daily!$A$6:$A$256,0)),IF(INDEX(Market_Daily!$T$6:$T$256,MATCH($C1332,Market_Daily!$A$6:$A$256,0))=$D1332,INDEX(Market_Daily!$N$6:$N$256,MATCH($C1332,Market_Daily!$A$6:$A$256,0)),NA()))</f>
        <v/>
      </c>
      <c r="O1332" s="16">
        <f>$N1332-$M1332</f>
        <v/>
      </c>
      <c r="P1332" s="16">
        <f>IF(($B1331=$B1332),$M1331,"")</f>
        <v/>
      </c>
      <c r="Q1332" s="16">
        <f>$M1332+IF($L1332,1,-1)*mcx_slippage_ticks*mcx_al_tick_inr_kg</f>
        <v/>
      </c>
      <c r="R1332" s="18">
        <f>IF(($B1331=$B1332),$H1332*$I1332*kg_per_mt*($M1332-$M1331),0)</f>
        <v/>
      </c>
      <c r="S1332" s="18">
        <f>IF(($B1331=$B1332),$S1331,0)+$R1332</f>
        <v/>
      </c>
      <c r="T1332" s="18">
        <f>ABS($H1332)*$I1332*kg_per_mt*$M1332</f>
        <v/>
      </c>
      <c r="U1332" s="18">
        <f>IF($K1332,0,$T1332*mcx_al_margin_used_frac)</f>
        <v/>
      </c>
      <c r="V1332" s="18">
        <f>IF(($B1331=$B1332),$U1331,0)</f>
        <v/>
      </c>
      <c r="W1332" s="18">
        <f>$U1332-$V1332</f>
        <v/>
      </c>
      <c r="X1332" s="18">
        <f>IF($K1332,0,$T1332*0.12)</f>
        <v/>
      </c>
      <c r="Y1332" s="18">
        <f>IF($K1332,0,$T1332*0.15)</f>
        <v/>
      </c>
      <c r="Z1332" s="18">
        <f>IF($F1332="hold",0,-ABS($H1332)*$I1332*kg_per_mt*mcx_slippage_ticks*mcx_al_tick_inr_kg)</f>
        <v/>
      </c>
      <c r="AA1332" s="18">
        <f>IF($F1332="hold",0,-ABS($H1332)*$I1332*kg_per_mt*$Q1332*mcx_txn_cost_frac)</f>
        <v/>
      </c>
      <c r="AB1332" s="18">
        <f>$Z1332+$AA1332</f>
        <v/>
      </c>
      <c r="AC1332" s="18">
        <f>$R1332-$W1332+$AB1332</f>
        <v/>
      </c>
      <c r="AD1332" s="18">
        <f>IF(($B1331=$B1332),$AD1331,0)+$AC1332</f>
        <v/>
      </c>
      <c r="AE1332" s="23" t="n">
        <v>5548377.6</v>
      </c>
      <c r="AF1332" s="23" t="n">
        <v>25436352.42</v>
      </c>
      <c r="AG1332" s="23" t="n">
        <v>0</v>
      </c>
      <c r="AH1332" s="23" t="n">
        <v>6103215.36</v>
      </c>
      <c r="AI1332" s="23" t="n">
        <v>-5844.06</v>
      </c>
      <c r="AJ1332" s="18">
        <f>$R1332-$AE1332</f>
        <v/>
      </c>
      <c r="AK1332" s="18">
        <f>$U1332-$AF1332</f>
        <v/>
      </c>
      <c r="AL1332" s="18">
        <f>$AC1332-$AH1332</f>
        <v/>
      </c>
      <c r="AM1332" s="8">
        <f>IF(AND(ABS($AJ1332)&lt;=tol_mcx_inr,ABS($AK1332)&lt;=tol_mcx_inr,ABS($AL1332)&lt;=tol_mcx_inr),"PASS","FAIL")</f>
        <v/>
      </c>
    </row>
    <row r="1333">
      <c r="A1333" s="7" t="inlineStr">
        <is>
          <t>T07</t>
        </is>
      </c>
      <c r="B1333" s="7" t="inlineStr">
        <is>
          <t>T07-MCX-2</t>
        </is>
      </c>
      <c r="C1333" s="11" t="n">
        <v>44743</v>
      </c>
      <c r="D1333" s="7" t="n">
        <v>202207</v>
      </c>
      <c r="E1333" s="7" t="inlineStr">
        <is>
          <t>SELL</t>
        </is>
      </c>
      <c r="F1333" s="7" t="inlineStr">
        <is>
          <t>hold</t>
        </is>
      </c>
      <c r="G1333" s="17" t="b">
        <v>1</v>
      </c>
      <c r="H1333" s="6" t="n">
        <v>-247</v>
      </c>
      <c r="I1333" s="13" t="n">
        <v>5</v>
      </c>
      <c r="J1333" s="8">
        <f>OR($F1333="entry",$F1333="roll_in")</f>
        <v/>
      </c>
      <c r="K1333" s="8">
        <f>OR($F1333="exit",$F1333="roll_out")</f>
        <v/>
      </c>
      <c r="L1333" s="8">
        <f>OR(AND($E1333="SELL",$K1333),AND($E1333="BUY",$J1333))</f>
        <v/>
      </c>
      <c r="M1333" s="16">
        <f>((INDEX(Market_Daily!$B$6:$B$256,MATCH($C1333,Market_Daily!$A$6:$A$256,0))*INDEX(Market_Daily!$F$6:$F$256,MATCH($C1333,Market_Daily!$A$6:$A$256,0))/kg_per_mt*(1+bcd_primary_al_hs7601*(1+sws_rate_on_bcd))+mcx_domestic_premium_inr_kg)*(1+INDEX(Market_Daily!$I$6:$I$256,MATCH($C1333,Market_Daily!$A$6:$A$256,0))*MAX(0,INDEX(mcx_expiries,MATCH($D1333,mcx_months,0))-$C1333)/day_count_inr))</f>
        <v/>
      </c>
      <c r="N1333" s="16">
        <f>IF(INDEX(Market_Daily!$S$6:$S$256,MATCH($C1333,Market_Daily!$A$6:$A$256,0))=$D1333,INDEX(Market_Daily!$M$6:$M$256,MATCH($C1333,Market_Daily!$A$6:$A$256,0)),IF(INDEX(Market_Daily!$T$6:$T$256,MATCH($C1333,Market_Daily!$A$6:$A$256,0))=$D1333,INDEX(Market_Daily!$N$6:$N$256,MATCH($C1333,Market_Daily!$A$6:$A$256,0)),NA()))</f>
        <v/>
      </c>
      <c r="O1333" s="16">
        <f>$N1333-$M1333</f>
        <v/>
      </c>
      <c r="P1333" s="16">
        <f>IF(($B1332=$B1333),$M1332,"")</f>
        <v/>
      </c>
      <c r="Q1333" s="16">
        <f>$M1333+IF($L1333,1,-1)*mcx_slippage_ticks*mcx_al_tick_inr_kg</f>
        <v/>
      </c>
      <c r="R1333" s="18">
        <f>IF(($B1332=$B1333),$H1333*$I1333*kg_per_mt*($M1333-$M1332),0)</f>
        <v/>
      </c>
      <c r="S1333" s="18">
        <f>IF(($B1332=$B1333),$S1332,0)+$R1333</f>
        <v/>
      </c>
      <c r="T1333" s="18">
        <f>ABS($H1333)*$I1333*kg_per_mt*$M1333</f>
        <v/>
      </c>
      <c r="U1333" s="18">
        <f>IF($K1333,0,$T1333*mcx_al_margin_used_frac)</f>
        <v/>
      </c>
      <c r="V1333" s="18">
        <f>IF(($B1332=$B1333),$U1332,0)</f>
        <v/>
      </c>
      <c r="W1333" s="18">
        <f>$U1333-$V1333</f>
        <v/>
      </c>
      <c r="X1333" s="18">
        <f>IF($K1333,0,$T1333*0.12)</f>
        <v/>
      </c>
      <c r="Y1333" s="18">
        <f>IF($K1333,0,$T1333*0.15)</f>
        <v/>
      </c>
      <c r="Z1333" s="18">
        <f>IF($F1333="hold",0,-ABS($H1333)*$I1333*kg_per_mt*mcx_slippage_ticks*mcx_al_tick_inr_kg)</f>
        <v/>
      </c>
      <c r="AA1333" s="18">
        <f>IF($F1333="hold",0,-ABS($H1333)*$I1333*kg_per_mt*$Q1333*mcx_txn_cost_frac)</f>
        <v/>
      </c>
      <c r="AB1333" s="18">
        <f>$Z1333+$AA1333</f>
        <v/>
      </c>
      <c r="AC1333" s="18">
        <f>$R1333-$W1333+$AB1333</f>
        <v/>
      </c>
      <c r="AD1333" s="18">
        <f>IF(($B1332=$B1333),$AD1332,0)+$AC1333</f>
        <v/>
      </c>
      <c r="AE1333" s="23" t="n">
        <v>1500668.25</v>
      </c>
      <c r="AF1333" s="23" t="n">
        <v>25286285.59</v>
      </c>
      <c r="AG1333" s="23" t="n">
        <v>0</v>
      </c>
      <c r="AH1333" s="23" t="n">
        <v>1650735.07</v>
      </c>
      <c r="AI1333" s="23" t="n">
        <v>-4188.67</v>
      </c>
      <c r="AJ1333" s="18">
        <f>$R1333-$AE1333</f>
        <v/>
      </c>
      <c r="AK1333" s="18">
        <f>$U1333-$AF1333</f>
        <v/>
      </c>
      <c r="AL1333" s="18">
        <f>$AC1333-$AH1333</f>
        <v/>
      </c>
      <c r="AM1333" s="8">
        <f>IF(AND(ABS($AJ1333)&lt;=tol_mcx_inr,ABS($AK1333)&lt;=tol_mcx_inr,ABS($AL1333)&lt;=tol_mcx_inr),"PASS","FAIL")</f>
        <v/>
      </c>
    </row>
    <row r="1334">
      <c r="A1334" s="7" t="inlineStr">
        <is>
          <t>T07</t>
        </is>
      </c>
      <c r="B1334" s="7" t="inlineStr">
        <is>
          <t>T07-MCX-2</t>
        </is>
      </c>
      <c r="C1334" s="11" t="n">
        <v>44746</v>
      </c>
      <c r="D1334" s="7" t="n">
        <v>202207</v>
      </c>
      <c r="E1334" s="7" t="inlineStr">
        <is>
          <t>SELL</t>
        </is>
      </c>
      <c r="F1334" s="7" t="inlineStr">
        <is>
          <t>hold</t>
        </is>
      </c>
      <c r="G1334" s="17" t="b">
        <v>1</v>
      </c>
      <c r="H1334" s="6" t="n">
        <v>-247</v>
      </c>
      <c r="I1334" s="13" t="n">
        <v>5</v>
      </c>
      <c r="J1334" s="8">
        <f>OR($F1334="entry",$F1334="roll_in")</f>
        <v/>
      </c>
      <c r="K1334" s="8">
        <f>OR($F1334="exit",$F1334="roll_out")</f>
        <v/>
      </c>
      <c r="L1334" s="8">
        <f>OR(AND($E1334="SELL",$K1334),AND($E1334="BUY",$J1334))</f>
        <v/>
      </c>
      <c r="M1334" s="16">
        <f>((INDEX(Market_Daily!$B$6:$B$256,MATCH($C1334,Market_Daily!$A$6:$A$256,0))*INDEX(Market_Daily!$F$6:$F$256,MATCH($C1334,Market_Daily!$A$6:$A$256,0))/kg_per_mt*(1+bcd_primary_al_hs7601*(1+sws_rate_on_bcd))+mcx_domestic_premium_inr_kg)*(1+INDEX(Market_Daily!$I$6:$I$256,MATCH($C1334,Market_Daily!$A$6:$A$256,0))*MAX(0,INDEX(mcx_expiries,MATCH($D1334,mcx_months,0))-$C1334)/day_count_inr))</f>
        <v/>
      </c>
      <c r="N1334" s="16">
        <f>IF(INDEX(Market_Daily!$S$6:$S$256,MATCH($C1334,Market_Daily!$A$6:$A$256,0))=$D1334,INDEX(Market_Daily!$M$6:$M$256,MATCH($C1334,Market_Daily!$A$6:$A$256,0)),IF(INDEX(Market_Daily!$T$6:$T$256,MATCH($C1334,Market_Daily!$A$6:$A$256,0))=$D1334,INDEX(Market_Daily!$N$6:$N$256,MATCH($C1334,Market_Daily!$A$6:$A$256,0)),NA()))</f>
        <v/>
      </c>
      <c r="O1334" s="16">
        <f>$N1334-$M1334</f>
        <v/>
      </c>
      <c r="P1334" s="16">
        <f>IF(($B1333=$B1334),$M1333,"")</f>
        <v/>
      </c>
      <c r="Q1334" s="16">
        <f>$M1334+IF($L1334,1,-1)*mcx_slippage_ticks*mcx_al_tick_inr_kg</f>
        <v/>
      </c>
      <c r="R1334" s="18">
        <f>IF(($B1333=$B1334),$H1334*$I1334*kg_per_mt*($M1334-$M1333),0)</f>
        <v/>
      </c>
      <c r="S1334" s="18">
        <f>IF(($B1333=$B1334),$S1333,0)+$R1334</f>
        <v/>
      </c>
      <c r="T1334" s="18">
        <f>ABS($H1334)*$I1334*kg_per_mt*$M1334</f>
        <v/>
      </c>
      <c r="U1334" s="18">
        <f>IF($K1334,0,$T1334*mcx_al_margin_used_frac)</f>
        <v/>
      </c>
      <c r="V1334" s="18">
        <f>IF(($B1333=$B1334),$U1333,0)</f>
        <v/>
      </c>
      <c r="W1334" s="18">
        <f>$U1334-$V1334</f>
        <v/>
      </c>
      <c r="X1334" s="18">
        <f>IF($K1334,0,$T1334*0.12)</f>
        <v/>
      </c>
      <c r="Y1334" s="18">
        <f>IF($K1334,0,$T1334*0.15)</f>
        <v/>
      </c>
      <c r="Z1334" s="18">
        <f>IF($F1334="hold",0,-ABS($H1334)*$I1334*kg_per_mt*mcx_slippage_ticks*mcx_al_tick_inr_kg)</f>
        <v/>
      </c>
      <c r="AA1334" s="18">
        <f>IF($F1334="hold",0,-ABS($H1334)*$I1334*kg_per_mt*$Q1334*mcx_txn_cost_frac)</f>
        <v/>
      </c>
      <c r="AB1334" s="18">
        <f>$Z1334+$AA1334</f>
        <v/>
      </c>
      <c r="AC1334" s="18">
        <f>$R1334-$W1334+$AB1334</f>
        <v/>
      </c>
      <c r="AD1334" s="18">
        <f>IF(($B1333=$B1334),$AD1333,0)+$AC1334</f>
        <v/>
      </c>
      <c r="AE1334" s="23" t="n">
        <v>-4598143.68</v>
      </c>
      <c r="AF1334" s="23" t="n">
        <v>25746099.96</v>
      </c>
      <c r="AG1334" s="23" t="n">
        <v>0</v>
      </c>
      <c r="AH1334" s="23" t="n">
        <v>-5057958.05</v>
      </c>
      <c r="AI1334" s="23" t="n">
        <v>-11222.8</v>
      </c>
      <c r="AJ1334" s="18">
        <f>$R1334-$AE1334</f>
        <v/>
      </c>
      <c r="AK1334" s="18">
        <f>$U1334-$AF1334</f>
        <v/>
      </c>
      <c r="AL1334" s="18">
        <f>$AC1334-$AH1334</f>
        <v/>
      </c>
      <c r="AM1334" s="8">
        <f>IF(AND(ABS($AJ1334)&lt;=tol_mcx_inr,ABS($AK1334)&lt;=tol_mcx_inr,ABS($AL1334)&lt;=tol_mcx_inr),"PASS","FAIL")</f>
        <v/>
      </c>
    </row>
    <row r="1335">
      <c r="A1335" s="7" t="inlineStr">
        <is>
          <t>T07</t>
        </is>
      </c>
      <c r="B1335" s="7" t="inlineStr">
        <is>
          <t>T07-MCX-2</t>
        </is>
      </c>
      <c r="C1335" s="11" t="n">
        <v>44747</v>
      </c>
      <c r="D1335" s="7" t="n">
        <v>202207</v>
      </c>
      <c r="E1335" s="7" t="inlineStr">
        <is>
          <t>SELL</t>
        </is>
      </c>
      <c r="F1335" s="7" t="inlineStr">
        <is>
          <t>hold</t>
        </is>
      </c>
      <c r="G1335" s="17" t="b">
        <v>1</v>
      </c>
      <c r="H1335" s="6" t="n">
        <v>-247</v>
      </c>
      <c r="I1335" s="13" t="n">
        <v>5</v>
      </c>
      <c r="J1335" s="8">
        <f>OR($F1335="entry",$F1335="roll_in")</f>
        <v/>
      </c>
      <c r="K1335" s="8">
        <f>OR($F1335="exit",$F1335="roll_out")</f>
        <v/>
      </c>
      <c r="L1335" s="8">
        <f>OR(AND($E1335="SELL",$K1335),AND($E1335="BUY",$J1335))</f>
        <v/>
      </c>
      <c r="M1335" s="16">
        <f>((INDEX(Market_Daily!$B$6:$B$256,MATCH($C1335,Market_Daily!$A$6:$A$256,0))*INDEX(Market_Daily!$F$6:$F$256,MATCH($C1335,Market_Daily!$A$6:$A$256,0))/kg_per_mt*(1+bcd_primary_al_hs7601*(1+sws_rate_on_bcd))+mcx_domestic_premium_inr_kg)*(1+INDEX(Market_Daily!$I$6:$I$256,MATCH($C1335,Market_Daily!$A$6:$A$256,0))*MAX(0,INDEX(mcx_expiries,MATCH($D1335,mcx_months,0))-$C1335)/day_count_inr))</f>
        <v/>
      </c>
      <c r="N1335" s="16">
        <f>IF(INDEX(Market_Daily!$S$6:$S$256,MATCH($C1335,Market_Daily!$A$6:$A$256,0))=$D1335,INDEX(Market_Daily!$M$6:$M$256,MATCH($C1335,Market_Daily!$A$6:$A$256,0)),IF(INDEX(Market_Daily!$T$6:$T$256,MATCH($C1335,Market_Daily!$A$6:$A$256,0))=$D1335,INDEX(Market_Daily!$N$6:$N$256,MATCH($C1335,Market_Daily!$A$6:$A$256,0)),NA()))</f>
        <v/>
      </c>
      <c r="O1335" s="16">
        <f>$N1335-$M1335</f>
        <v/>
      </c>
      <c r="P1335" s="16">
        <f>IF(($B1334=$B1335),$M1334,"")</f>
        <v/>
      </c>
      <c r="Q1335" s="16">
        <f>$M1335+IF($L1335,1,-1)*mcx_slippage_ticks*mcx_al_tick_inr_kg</f>
        <v/>
      </c>
      <c r="R1335" s="18">
        <f>IF(($B1334=$B1335),$H1335*$I1335*kg_per_mt*($M1335-$M1334),0)</f>
        <v/>
      </c>
      <c r="S1335" s="18">
        <f>IF(($B1334=$B1335),$S1334,0)+$R1335</f>
        <v/>
      </c>
      <c r="T1335" s="18">
        <f>ABS($H1335)*$I1335*kg_per_mt*$M1335</f>
        <v/>
      </c>
      <c r="U1335" s="18">
        <f>IF($K1335,0,$T1335*mcx_al_margin_used_frac)</f>
        <v/>
      </c>
      <c r="V1335" s="18">
        <f>IF(($B1334=$B1335),$U1334,0)</f>
        <v/>
      </c>
      <c r="W1335" s="18">
        <f>$U1335-$V1335</f>
        <v/>
      </c>
      <c r="X1335" s="18">
        <f>IF($K1335,0,$T1335*0.12)</f>
        <v/>
      </c>
      <c r="Y1335" s="18">
        <f>IF($K1335,0,$T1335*0.15)</f>
        <v/>
      </c>
      <c r="Z1335" s="18">
        <f>IF($F1335="hold",0,-ABS($H1335)*$I1335*kg_per_mt*mcx_slippage_ticks*mcx_al_tick_inr_kg)</f>
        <v/>
      </c>
      <c r="AA1335" s="18">
        <f>IF($F1335="hold",0,-ABS($H1335)*$I1335*kg_per_mt*$Q1335*mcx_txn_cost_frac)</f>
        <v/>
      </c>
      <c r="AB1335" s="18">
        <f>$Z1335+$AA1335</f>
        <v/>
      </c>
      <c r="AC1335" s="18">
        <f>$R1335-$W1335+$AB1335</f>
        <v/>
      </c>
      <c r="AD1335" s="18">
        <f>IF(($B1334=$B1335),$AD1334,0)+$AC1335</f>
        <v/>
      </c>
      <c r="AE1335" s="23" t="n">
        <v>4675129.95</v>
      </c>
      <c r="AF1335" s="23" t="n">
        <v>25278586.97</v>
      </c>
      <c r="AG1335" s="23" t="n">
        <v>0</v>
      </c>
      <c r="AH1335" s="23" t="n">
        <v>5142642.95</v>
      </c>
      <c r="AI1335" s="23" t="n">
        <v>-5112.82</v>
      </c>
      <c r="AJ1335" s="18">
        <f>$R1335-$AE1335</f>
        <v/>
      </c>
      <c r="AK1335" s="18">
        <f>$U1335-$AF1335</f>
        <v/>
      </c>
      <c r="AL1335" s="18">
        <f>$AC1335-$AH1335</f>
        <v/>
      </c>
      <c r="AM1335" s="8">
        <f>IF(AND(ABS($AJ1335)&lt;=tol_mcx_inr,ABS($AK1335)&lt;=tol_mcx_inr,ABS($AL1335)&lt;=tol_mcx_inr),"PASS","FAIL")</f>
        <v/>
      </c>
    </row>
    <row r="1336">
      <c r="A1336" s="7" t="inlineStr">
        <is>
          <t>T07</t>
        </is>
      </c>
      <c r="B1336" s="7" t="inlineStr">
        <is>
          <t>T07-MCX-2</t>
        </is>
      </c>
      <c r="C1336" s="11" t="n">
        <v>44748</v>
      </c>
      <c r="D1336" s="7" t="n">
        <v>202207</v>
      </c>
      <c r="E1336" s="7" t="inlineStr">
        <is>
          <t>SELL</t>
        </is>
      </c>
      <c r="F1336" s="7" t="inlineStr">
        <is>
          <t>hold</t>
        </is>
      </c>
      <c r="G1336" s="17" t="b">
        <v>1</v>
      </c>
      <c r="H1336" s="6" t="n">
        <v>-247</v>
      </c>
      <c r="I1336" s="13" t="n">
        <v>5</v>
      </c>
      <c r="J1336" s="8">
        <f>OR($F1336="entry",$F1336="roll_in")</f>
        <v/>
      </c>
      <c r="K1336" s="8">
        <f>OR($F1336="exit",$F1336="roll_out")</f>
        <v/>
      </c>
      <c r="L1336" s="8">
        <f>OR(AND($E1336="SELL",$K1336),AND($E1336="BUY",$J1336))</f>
        <v/>
      </c>
      <c r="M1336" s="16">
        <f>((INDEX(Market_Daily!$B$6:$B$256,MATCH($C1336,Market_Daily!$A$6:$A$256,0))*INDEX(Market_Daily!$F$6:$F$256,MATCH($C1336,Market_Daily!$A$6:$A$256,0))/kg_per_mt*(1+bcd_primary_al_hs7601*(1+sws_rate_on_bcd))+mcx_domestic_premium_inr_kg)*(1+INDEX(Market_Daily!$I$6:$I$256,MATCH($C1336,Market_Daily!$A$6:$A$256,0))*MAX(0,INDEX(mcx_expiries,MATCH($D1336,mcx_months,0))-$C1336)/day_count_inr))</f>
        <v/>
      </c>
      <c r="N1336" s="16">
        <f>IF(INDEX(Market_Daily!$S$6:$S$256,MATCH($C1336,Market_Daily!$A$6:$A$256,0))=$D1336,INDEX(Market_Daily!$M$6:$M$256,MATCH($C1336,Market_Daily!$A$6:$A$256,0)),IF(INDEX(Market_Daily!$T$6:$T$256,MATCH($C1336,Market_Daily!$A$6:$A$256,0))=$D1336,INDEX(Market_Daily!$N$6:$N$256,MATCH($C1336,Market_Daily!$A$6:$A$256,0)),NA()))</f>
        <v/>
      </c>
      <c r="O1336" s="16">
        <f>$N1336-$M1336</f>
        <v/>
      </c>
      <c r="P1336" s="16">
        <f>IF(($B1335=$B1336),$M1335,"")</f>
        <v/>
      </c>
      <c r="Q1336" s="16">
        <f>$M1336+IF($L1336,1,-1)*mcx_slippage_ticks*mcx_al_tick_inr_kg</f>
        <v/>
      </c>
      <c r="R1336" s="18">
        <f>IF(($B1335=$B1336),$H1336*$I1336*kg_per_mt*($M1336-$M1335),0)</f>
        <v/>
      </c>
      <c r="S1336" s="18">
        <f>IF(($B1335=$B1336),$S1335,0)+$R1336</f>
        <v/>
      </c>
      <c r="T1336" s="18">
        <f>ABS($H1336)*$I1336*kg_per_mt*$M1336</f>
        <v/>
      </c>
      <c r="U1336" s="18">
        <f>IF($K1336,0,$T1336*mcx_al_margin_used_frac)</f>
        <v/>
      </c>
      <c r="V1336" s="18">
        <f>IF(($B1335=$B1336),$U1335,0)</f>
        <v/>
      </c>
      <c r="W1336" s="18">
        <f>$U1336-$V1336</f>
        <v/>
      </c>
      <c r="X1336" s="18">
        <f>IF($K1336,0,$T1336*0.12)</f>
        <v/>
      </c>
      <c r="Y1336" s="18">
        <f>IF($K1336,0,$T1336*0.15)</f>
        <v/>
      </c>
      <c r="Z1336" s="18">
        <f>IF($F1336="hold",0,-ABS($H1336)*$I1336*kg_per_mt*mcx_slippage_ticks*mcx_al_tick_inr_kg)</f>
        <v/>
      </c>
      <c r="AA1336" s="18">
        <f>IF($F1336="hold",0,-ABS($H1336)*$I1336*kg_per_mt*$Q1336*mcx_txn_cost_frac)</f>
        <v/>
      </c>
      <c r="AB1336" s="18">
        <f>$Z1336+$AA1336</f>
        <v/>
      </c>
      <c r="AC1336" s="18">
        <f>$R1336-$W1336+$AB1336</f>
        <v/>
      </c>
      <c r="AD1336" s="18">
        <f>IF(($B1335=$B1336),$AD1335,0)+$AC1336</f>
        <v/>
      </c>
      <c r="AE1336" s="23" t="n">
        <v>2498264.66</v>
      </c>
      <c r="AF1336" s="23" t="n">
        <v>25028760.5</v>
      </c>
      <c r="AG1336" s="23" t="n">
        <v>0</v>
      </c>
      <c r="AH1336" s="23" t="n">
        <v>2748091.13</v>
      </c>
      <c r="AI1336" s="23" t="n">
        <v>-3717.96</v>
      </c>
      <c r="AJ1336" s="18">
        <f>$R1336-$AE1336</f>
        <v/>
      </c>
      <c r="AK1336" s="18">
        <f>$U1336-$AF1336</f>
        <v/>
      </c>
      <c r="AL1336" s="18">
        <f>$AC1336-$AH1336</f>
        <v/>
      </c>
      <c r="AM1336" s="8">
        <f>IF(AND(ABS($AJ1336)&lt;=tol_mcx_inr,ABS($AK1336)&lt;=tol_mcx_inr,ABS($AL1336)&lt;=tol_mcx_inr),"PASS","FAIL")</f>
        <v/>
      </c>
    </row>
    <row r="1337">
      <c r="A1337" s="7" t="inlineStr">
        <is>
          <t>T07</t>
        </is>
      </c>
      <c r="B1337" s="7" t="inlineStr">
        <is>
          <t>T07-MCX-2</t>
        </is>
      </c>
      <c r="C1337" s="11" t="n">
        <v>44749</v>
      </c>
      <c r="D1337" s="7" t="n">
        <v>202207</v>
      </c>
      <c r="E1337" s="7" t="inlineStr">
        <is>
          <t>SELL</t>
        </is>
      </c>
      <c r="F1337" s="7" t="inlineStr">
        <is>
          <t>hold</t>
        </is>
      </c>
      <c r="G1337" s="17" t="b">
        <v>1</v>
      </c>
      <c r="H1337" s="6" t="n">
        <v>-247</v>
      </c>
      <c r="I1337" s="13" t="n">
        <v>5</v>
      </c>
      <c r="J1337" s="8">
        <f>OR($F1337="entry",$F1337="roll_in")</f>
        <v/>
      </c>
      <c r="K1337" s="8">
        <f>OR($F1337="exit",$F1337="roll_out")</f>
        <v/>
      </c>
      <c r="L1337" s="8">
        <f>OR(AND($E1337="SELL",$K1337),AND($E1337="BUY",$J1337))</f>
        <v/>
      </c>
      <c r="M1337" s="16">
        <f>((INDEX(Market_Daily!$B$6:$B$256,MATCH($C1337,Market_Daily!$A$6:$A$256,0))*INDEX(Market_Daily!$F$6:$F$256,MATCH($C1337,Market_Daily!$A$6:$A$256,0))/kg_per_mt*(1+bcd_primary_al_hs7601*(1+sws_rate_on_bcd))+mcx_domestic_premium_inr_kg)*(1+INDEX(Market_Daily!$I$6:$I$256,MATCH($C1337,Market_Daily!$A$6:$A$256,0))*MAX(0,INDEX(mcx_expiries,MATCH($D1337,mcx_months,0))-$C1337)/day_count_inr))</f>
        <v/>
      </c>
      <c r="N1337" s="16">
        <f>IF(INDEX(Market_Daily!$S$6:$S$256,MATCH($C1337,Market_Daily!$A$6:$A$256,0))=$D1337,INDEX(Market_Daily!$M$6:$M$256,MATCH($C1337,Market_Daily!$A$6:$A$256,0)),IF(INDEX(Market_Daily!$T$6:$T$256,MATCH($C1337,Market_Daily!$A$6:$A$256,0))=$D1337,INDEX(Market_Daily!$N$6:$N$256,MATCH($C1337,Market_Daily!$A$6:$A$256,0)),NA()))</f>
        <v/>
      </c>
      <c r="O1337" s="16">
        <f>$N1337-$M1337</f>
        <v/>
      </c>
      <c r="P1337" s="16">
        <f>IF(($B1336=$B1337),$M1336,"")</f>
        <v/>
      </c>
      <c r="Q1337" s="16">
        <f>$M1337+IF($L1337,1,-1)*mcx_slippage_ticks*mcx_al_tick_inr_kg</f>
        <v/>
      </c>
      <c r="R1337" s="18">
        <f>IF(($B1336=$B1337),$H1337*$I1337*kg_per_mt*($M1337-$M1336),0)</f>
        <v/>
      </c>
      <c r="S1337" s="18">
        <f>IF(($B1336=$B1337),$S1336,0)+$R1337</f>
        <v/>
      </c>
      <c r="T1337" s="18">
        <f>ABS($H1337)*$I1337*kg_per_mt*$M1337</f>
        <v/>
      </c>
      <c r="U1337" s="18">
        <f>IF($K1337,0,$T1337*mcx_al_margin_used_frac)</f>
        <v/>
      </c>
      <c r="V1337" s="18">
        <f>IF(($B1336=$B1337),$U1336,0)</f>
        <v/>
      </c>
      <c r="W1337" s="18">
        <f>$U1337-$V1337</f>
        <v/>
      </c>
      <c r="X1337" s="18">
        <f>IF($K1337,0,$T1337*0.12)</f>
        <v/>
      </c>
      <c r="Y1337" s="18">
        <f>IF($K1337,0,$T1337*0.15)</f>
        <v/>
      </c>
      <c r="Z1337" s="18">
        <f>IF($F1337="hold",0,-ABS($H1337)*$I1337*kg_per_mt*mcx_slippage_ticks*mcx_al_tick_inr_kg)</f>
        <v/>
      </c>
      <c r="AA1337" s="18">
        <f>IF($F1337="hold",0,-ABS($H1337)*$I1337*kg_per_mt*$Q1337*mcx_txn_cost_frac)</f>
        <v/>
      </c>
      <c r="AB1337" s="18">
        <f>$Z1337+$AA1337</f>
        <v/>
      </c>
      <c r="AC1337" s="18">
        <f>$R1337-$W1337+$AB1337</f>
        <v/>
      </c>
      <c r="AD1337" s="18">
        <f>IF(($B1336=$B1337),$AD1336,0)+$AC1337</f>
        <v/>
      </c>
      <c r="AE1337" s="23" t="n">
        <v>-6419064.04</v>
      </c>
      <c r="AF1337" s="23" t="n">
        <v>25670666.9</v>
      </c>
      <c r="AG1337" s="23" t="n">
        <v>0</v>
      </c>
      <c r="AH1337" s="23" t="n">
        <v>-7060970.44</v>
      </c>
      <c r="AI1337" s="23" t="n">
        <v>-2972.59</v>
      </c>
      <c r="AJ1337" s="18">
        <f>$R1337-$AE1337</f>
        <v/>
      </c>
      <c r="AK1337" s="18">
        <f>$U1337-$AF1337</f>
        <v/>
      </c>
      <c r="AL1337" s="18">
        <f>$AC1337-$AH1337</f>
        <v/>
      </c>
      <c r="AM1337" s="8">
        <f>IF(AND(ABS($AJ1337)&lt;=tol_mcx_inr,ABS($AK1337)&lt;=tol_mcx_inr,ABS($AL1337)&lt;=tol_mcx_inr),"PASS","FAIL")</f>
        <v/>
      </c>
    </row>
    <row r="1338">
      <c r="A1338" s="7" t="inlineStr">
        <is>
          <t>T07</t>
        </is>
      </c>
      <c r="B1338" s="7" t="inlineStr">
        <is>
          <t>T07-MCX-2</t>
        </is>
      </c>
      <c r="C1338" s="11" t="n">
        <v>44750</v>
      </c>
      <c r="D1338" s="7" t="n">
        <v>202207</v>
      </c>
      <c r="E1338" s="7" t="inlineStr">
        <is>
          <t>SELL</t>
        </is>
      </c>
      <c r="F1338" s="7" t="inlineStr">
        <is>
          <t>hold</t>
        </is>
      </c>
      <c r="G1338" s="17" t="b">
        <v>1</v>
      </c>
      <c r="H1338" s="6" t="n">
        <v>-247</v>
      </c>
      <c r="I1338" s="13" t="n">
        <v>5</v>
      </c>
      <c r="J1338" s="8">
        <f>OR($F1338="entry",$F1338="roll_in")</f>
        <v/>
      </c>
      <c r="K1338" s="8">
        <f>OR($F1338="exit",$F1338="roll_out")</f>
        <v/>
      </c>
      <c r="L1338" s="8">
        <f>OR(AND($E1338="SELL",$K1338),AND($E1338="BUY",$J1338))</f>
        <v/>
      </c>
      <c r="M1338" s="16">
        <f>((INDEX(Market_Daily!$B$6:$B$256,MATCH($C1338,Market_Daily!$A$6:$A$256,0))*INDEX(Market_Daily!$F$6:$F$256,MATCH($C1338,Market_Daily!$A$6:$A$256,0))/kg_per_mt*(1+bcd_primary_al_hs7601*(1+sws_rate_on_bcd))+mcx_domestic_premium_inr_kg)*(1+INDEX(Market_Daily!$I$6:$I$256,MATCH($C1338,Market_Daily!$A$6:$A$256,0))*MAX(0,INDEX(mcx_expiries,MATCH($D1338,mcx_months,0))-$C1338)/day_count_inr))</f>
        <v/>
      </c>
      <c r="N1338" s="16">
        <f>IF(INDEX(Market_Daily!$S$6:$S$256,MATCH($C1338,Market_Daily!$A$6:$A$256,0))=$D1338,INDEX(Market_Daily!$M$6:$M$256,MATCH($C1338,Market_Daily!$A$6:$A$256,0)),IF(INDEX(Market_Daily!$T$6:$T$256,MATCH($C1338,Market_Daily!$A$6:$A$256,0))=$D1338,INDEX(Market_Daily!$N$6:$N$256,MATCH($C1338,Market_Daily!$A$6:$A$256,0)),NA()))</f>
        <v/>
      </c>
      <c r="O1338" s="16">
        <f>$N1338-$M1338</f>
        <v/>
      </c>
      <c r="P1338" s="16">
        <f>IF(($B1337=$B1338),$M1337,"")</f>
        <v/>
      </c>
      <c r="Q1338" s="16">
        <f>$M1338+IF($L1338,1,-1)*mcx_slippage_ticks*mcx_al_tick_inr_kg</f>
        <v/>
      </c>
      <c r="R1338" s="18">
        <f>IF(($B1337=$B1338),$H1338*$I1338*kg_per_mt*($M1338-$M1337),0)</f>
        <v/>
      </c>
      <c r="S1338" s="18">
        <f>IF(($B1337=$B1338),$S1337,0)+$R1338</f>
        <v/>
      </c>
      <c r="T1338" s="18">
        <f>ABS($H1338)*$I1338*kg_per_mt*$M1338</f>
        <v/>
      </c>
      <c r="U1338" s="18">
        <f>IF($K1338,0,$T1338*mcx_al_margin_used_frac)</f>
        <v/>
      </c>
      <c r="V1338" s="18">
        <f>IF(($B1337=$B1338),$U1337,0)</f>
        <v/>
      </c>
      <c r="W1338" s="18">
        <f>$U1338-$V1338</f>
        <v/>
      </c>
      <c r="X1338" s="18">
        <f>IF($K1338,0,$T1338*0.12)</f>
        <v/>
      </c>
      <c r="Y1338" s="18">
        <f>IF($K1338,0,$T1338*0.15)</f>
        <v/>
      </c>
      <c r="Z1338" s="18">
        <f>IF($F1338="hold",0,-ABS($H1338)*$I1338*kg_per_mt*mcx_slippage_ticks*mcx_al_tick_inr_kg)</f>
        <v/>
      </c>
      <c r="AA1338" s="18">
        <f>IF($F1338="hold",0,-ABS($H1338)*$I1338*kg_per_mt*$Q1338*mcx_txn_cost_frac)</f>
        <v/>
      </c>
      <c r="AB1338" s="18">
        <f>$Z1338+$AA1338</f>
        <v/>
      </c>
      <c r="AC1338" s="18">
        <f>$R1338-$W1338+$AB1338</f>
        <v/>
      </c>
      <c r="AD1338" s="18">
        <f>IF(($B1337=$B1338),$AD1337,0)+$AC1338</f>
        <v/>
      </c>
      <c r="AE1338" s="23" t="n">
        <v>1750439.66</v>
      </c>
      <c r="AF1338" s="23" t="n">
        <v>25495622.94</v>
      </c>
      <c r="AG1338" s="23" t="n">
        <v>0</v>
      </c>
      <c r="AH1338" s="23" t="n">
        <v>1925483.63</v>
      </c>
      <c r="AI1338" s="23" t="n">
        <v>-4887.76</v>
      </c>
      <c r="AJ1338" s="18">
        <f>$R1338-$AE1338</f>
        <v/>
      </c>
      <c r="AK1338" s="18">
        <f>$U1338-$AF1338</f>
        <v/>
      </c>
      <c r="AL1338" s="18">
        <f>$AC1338-$AH1338</f>
        <v/>
      </c>
      <c r="AM1338" s="8">
        <f>IF(AND(ABS($AJ1338)&lt;=tol_mcx_inr,ABS($AK1338)&lt;=tol_mcx_inr,ABS($AL1338)&lt;=tol_mcx_inr),"PASS","FAIL")</f>
        <v/>
      </c>
    </row>
    <row r="1339">
      <c r="A1339" s="7" t="inlineStr">
        <is>
          <t>T07</t>
        </is>
      </c>
      <c r="B1339" s="7" t="inlineStr">
        <is>
          <t>T07-MCX-2</t>
        </is>
      </c>
      <c r="C1339" s="11" t="n">
        <v>44753</v>
      </c>
      <c r="D1339" s="7" t="n">
        <v>202207</v>
      </c>
      <c r="E1339" s="7" t="inlineStr">
        <is>
          <t>SELL</t>
        </is>
      </c>
      <c r="F1339" s="7" t="inlineStr">
        <is>
          <t>hold</t>
        </is>
      </c>
      <c r="G1339" s="17" t="b">
        <v>1</v>
      </c>
      <c r="H1339" s="6" t="n">
        <v>-247</v>
      </c>
      <c r="I1339" s="13" t="n">
        <v>5</v>
      </c>
      <c r="J1339" s="8">
        <f>OR($F1339="entry",$F1339="roll_in")</f>
        <v/>
      </c>
      <c r="K1339" s="8">
        <f>OR($F1339="exit",$F1339="roll_out")</f>
        <v/>
      </c>
      <c r="L1339" s="8">
        <f>OR(AND($E1339="SELL",$K1339),AND($E1339="BUY",$J1339))</f>
        <v/>
      </c>
      <c r="M1339" s="16">
        <f>((INDEX(Market_Daily!$B$6:$B$256,MATCH($C1339,Market_Daily!$A$6:$A$256,0))*INDEX(Market_Daily!$F$6:$F$256,MATCH($C1339,Market_Daily!$A$6:$A$256,0))/kg_per_mt*(1+bcd_primary_al_hs7601*(1+sws_rate_on_bcd))+mcx_domestic_premium_inr_kg)*(1+INDEX(Market_Daily!$I$6:$I$256,MATCH($C1339,Market_Daily!$A$6:$A$256,0))*MAX(0,INDEX(mcx_expiries,MATCH($D1339,mcx_months,0))-$C1339)/day_count_inr))</f>
        <v/>
      </c>
      <c r="N1339" s="16">
        <f>IF(INDEX(Market_Daily!$S$6:$S$256,MATCH($C1339,Market_Daily!$A$6:$A$256,0))=$D1339,INDEX(Market_Daily!$M$6:$M$256,MATCH($C1339,Market_Daily!$A$6:$A$256,0)),IF(INDEX(Market_Daily!$T$6:$T$256,MATCH($C1339,Market_Daily!$A$6:$A$256,0))=$D1339,INDEX(Market_Daily!$N$6:$N$256,MATCH($C1339,Market_Daily!$A$6:$A$256,0)),NA()))</f>
        <v/>
      </c>
      <c r="O1339" s="16">
        <f>$N1339-$M1339</f>
        <v/>
      </c>
      <c r="P1339" s="16">
        <f>IF(($B1338=$B1339),$M1338,"")</f>
        <v/>
      </c>
      <c r="Q1339" s="16">
        <f>$M1339+IF($L1339,1,-1)*mcx_slippage_ticks*mcx_al_tick_inr_kg</f>
        <v/>
      </c>
      <c r="R1339" s="18">
        <f>IF(($B1338=$B1339),$H1339*$I1339*kg_per_mt*($M1339-$M1338),0)</f>
        <v/>
      </c>
      <c r="S1339" s="18">
        <f>IF(($B1338=$B1339),$S1338,0)+$R1339</f>
        <v/>
      </c>
      <c r="T1339" s="18">
        <f>ABS($H1339)*$I1339*kg_per_mt*$M1339</f>
        <v/>
      </c>
      <c r="U1339" s="18">
        <f>IF($K1339,0,$T1339*mcx_al_margin_used_frac)</f>
        <v/>
      </c>
      <c r="V1339" s="18">
        <f>IF(($B1338=$B1339),$U1338,0)</f>
        <v/>
      </c>
      <c r="W1339" s="18">
        <f>$U1339-$V1339</f>
        <v/>
      </c>
      <c r="X1339" s="18">
        <f>IF($K1339,0,$T1339*0.12)</f>
        <v/>
      </c>
      <c r="Y1339" s="18">
        <f>IF($K1339,0,$T1339*0.15)</f>
        <v/>
      </c>
      <c r="Z1339" s="18">
        <f>IF($F1339="hold",0,-ABS($H1339)*$I1339*kg_per_mt*mcx_slippage_ticks*mcx_al_tick_inr_kg)</f>
        <v/>
      </c>
      <c r="AA1339" s="18">
        <f>IF($F1339="hold",0,-ABS($H1339)*$I1339*kg_per_mt*$Q1339*mcx_txn_cost_frac)</f>
        <v/>
      </c>
      <c r="AB1339" s="18">
        <f>$Z1339+$AA1339</f>
        <v/>
      </c>
      <c r="AC1339" s="18">
        <f>$R1339-$W1339+$AB1339</f>
        <v/>
      </c>
      <c r="AD1339" s="18">
        <f>IF(($B1338=$B1339),$AD1338,0)+$AC1339</f>
        <v/>
      </c>
      <c r="AE1339" s="23" t="n">
        <v>-2487286.91</v>
      </c>
      <c r="AF1339" s="23" t="n">
        <v>25744351.63</v>
      </c>
      <c r="AG1339" s="23" t="n">
        <v>0</v>
      </c>
      <c r="AH1339" s="23" t="n">
        <v>-2736015.6</v>
      </c>
      <c r="AI1339" s="23" t="n">
        <v>-13096.51</v>
      </c>
      <c r="AJ1339" s="18">
        <f>$R1339-$AE1339</f>
        <v/>
      </c>
      <c r="AK1339" s="18">
        <f>$U1339-$AF1339</f>
        <v/>
      </c>
      <c r="AL1339" s="18">
        <f>$AC1339-$AH1339</f>
        <v/>
      </c>
      <c r="AM1339" s="8">
        <f>IF(AND(ABS($AJ1339)&lt;=tol_mcx_inr,ABS($AK1339)&lt;=tol_mcx_inr,ABS($AL1339)&lt;=tol_mcx_inr),"PASS","FAIL")</f>
        <v/>
      </c>
    </row>
    <row r="1340">
      <c r="A1340" s="7" t="inlineStr">
        <is>
          <t>T07</t>
        </is>
      </c>
      <c r="B1340" s="7" t="inlineStr">
        <is>
          <t>T07-MCX-2</t>
        </is>
      </c>
      <c r="C1340" s="11" t="n">
        <v>44754</v>
      </c>
      <c r="D1340" s="7" t="n">
        <v>202207</v>
      </c>
      <c r="E1340" s="7" t="inlineStr">
        <is>
          <t>SELL</t>
        </is>
      </c>
      <c r="F1340" s="7" t="inlineStr">
        <is>
          <t>hold</t>
        </is>
      </c>
      <c r="G1340" s="17" t="b">
        <v>1</v>
      </c>
      <c r="H1340" s="6" t="n">
        <v>-247</v>
      </c>
      <c r="I1340" s="13" t="n">
        <v>5</v>
      </c>
      <c r="J1340" s="8">
        <f>OR($F1340="entry",$F1340="roll_in")</f>
        <v/>
      </c>
      <c r="K1340" s="8">
        <f>OR($F1340="exit",$F1340="roll_out")</f>
        <v/>
      </c>
      <c r="L1340" s="8">
        <f>OR(AND($E1340="SELL",$K1340),AND($E1340="BUY",$J1340))</f>
        <v/>
      </c>
      <c r="M1340" s="16">
        <f>((INDEX(Market_Daily!$B$6:$B$256,MATCH($C1340,Market_Daily!$A$6:$A$256,0))*INDEX(Market_Daily!$F$6:$F$256,MATCH($C1340,Market_Daily!$A$6:$A$256,0))/kg_per_mt*(1+bcd_primary_al_hs7601*(1+sws_rate_on_bcd))+mcx_domestic_premium_inr_kg)*(1+INDEX(Market_Daily!$I$6:$I$256,MATCH($C1340,Market_Daily!$A$6:$A$256,0))*MAX(0,INDEX(mcx_expiries,MATCH($D1340,mcx_months,0))-$C1340)/day_count_inr))</f>
        <v/>
      </c>
      <c r="N1340" s="16">
        <f>IF(INDEX(Market_Daily!$S$6:$S$256,MATCH($C1340,Market_Daily!$A$6:$A$256,0))=$D1340,INDEX(Market_Daily!$M$6:$M$256,MATCH($C1340,Market_Daily!$A$6:$A$256,0)),IF(INDEX(Market_Daily!$T$6:$T$256,MATCH($C1340,Market_Daily!$A$6:$A$256,0))=$D1340,INDEX(Market_Daily!$N$6:$N$256,MATCH($C1340,Market_Daily!$A$6:$A$256,0)),NA()))</f>
        <v/>
      </c>
      <c r="O1340" s="16">
        <f>$N1340-$M1340</f>
        <v/>
      </c>
      <c r="P1340" s="16">
        <f>IF(($B1339=$B1340),$M1339,"")</f>
        <v/>
      </c>
      <c r="Q1340" s="16">
        <f>$M1340+IF($L1340,1,-1)*mcx_slippage_ticks*mcx_al_tick_inr_kg</f>
        <v/>
      </c>
      <c r="R1340" s="18">
        <f>IF(($B1339=$B1340),$H1340*$I1340*kg_per_mt*($M1340-$M1339),0)</f>
        <v/>
      </c>
      <c r="S1340" s="18">
        <f>IF(($B1339=$B1340),$S1339,0)+$R1340</f>
        <v/>
      </c>
      <c r="T1340" s="18">
        <f>ABS($H1340)*$I1340*kg_per_mt*$M1340</f>
        <v/>
      </c>
      <c r="U1340" s="18">
        <f>IF($K1340,0,$T1340*mcx_al_margin_used_frac)</f>
        <v/>
      </c>
      <c r="V1340" s="18">
        <f>IF(($B1339=$B1340),$U1339,0)</f>
        <v/>
      </c>
      <c r="W1340" s="18">
        <f>$U1340-$V1340</f>
        <v/>
      </c>
      <c r="X1340" s="18">
        <f>IF($K1340,0,$T1340*0.12)</f>
        <v/>
      </c>
      <c r="Y1340" s="18">
        <f>IF($K1340,0,$T1340*0.15)</f>
        <v/>
      </c>
      <c r="Z1340" s="18">
        <f>IF($F1340="hold",0,-ABS($H1340)*$I1340*kg_per_mt*mcx_slippage_ticks*mcx_al_tick_inr_kg)</f>
        <v/>
      </c>
      <c r="AA1340" s="18">
        <f>IF($F1340="hold",0,-ABS($H1340)*$I1340*kg_per_mt*$Q1340*mcx_txn_cost_frac)</f>
        <v/>
      </c>
      <c r="AB1340" s="18">
        <f>$Z1340+$AA1340</f>
        <v/>
      </c>
      <c r="AC1340" s="18">
        <f>$R1340-$W1340+$AB1340</f>
        <v/>
      </c>
      <c r="AD1340" s="18">
        <f>IF(($B1339=$B1340),$AD1339,0)+$AC1340</f>
        <v/>
      </c>
      <c r="AE1340" s="23" t="n">
        <v>6012329.14</v>
      </c>
      <c r="AF1340" s="23" t="n">
        <v>25143118.71</v>
      </c>
      <c r="AG1340" s="23" t="n">
        <v>0</v>
      </c>
      <c r="AH1340" s="23" t="n">
        <v>6613562.05</v>
      </c>
      <c r="AI1340" s="23" t="n">
        <v>-5107.6</v>
      </c>
      <c r="AJ1340" s="18">
        <f>$R1340-$AE1340</f>
        <v/>
      </c>
      <c r="AK1340" s="18">
        <f>$U1340-$AF1340</f>
        <v/>
      </c>
      <c r="AL1340" s="18">
        <f>$AC1340-$AH1340</f>
        <v/>
      </c>
      <c r="AM1340" s="8">
        <f>IF(AND(ABS($AJ1340)&lt;=tol_mcx_inr,ABS($AK1340)&lt;=tol_mcx_inr,ABS($AL1340)&lt;=tol_mcx_inr),"PASS","FAIL")</f>
        <v/>
      </c>
    </row>
    <row r="1341">
      <c r="A1341" s="7" t="inlineStr">
        <is>
          <t>T07</t>
        </is>
      </c>
      <c r="B1341" s="7" t="inlineStr">
        <is>
          <t>T07-MCX-2</t>
        </is>
      </c>
      <c r="C1341" s="11" t="n">
        <v>44755</v>
      </c>
      <c r="D1341" s="7" t="n">
        <v>202207</v>
      </c>
      <c r="E1341" s="7" t="inlineStr">
        <is>
          <t>SELL</t>
        </is>
      </c>
      <c r="F1341" s="7" t="inlineStr">
        <is>
          <t>hold</t>
        </is>
      </c>
      <c r="G1341" s="17" t="b">
        <v>1</v>
      </c>
      <c r="H1341" s="6" t="n">
        <v>-247</v>
      </c>
      <c r="I1341" s="13" t="n">
        <v>5</v>
      </c>
      <c r="J1341" s="8">
        <f>OR($F1341="entry",$F1341="roll_in")</f>
        <v/>
      </c>
      <c r="K1341" s="8">
        <f>OR($F1341="exit",$F1341="roll_out")</f>
        <v/>
      </c>
      <c r="L1341" s="8">
        <f>OR(AND($E1341="SELL",$K1341),AND($E1341="BUY",$J1341))</f>
        <v/>
      </c>
      <c r="M1341" s="16">
        <f>((INDEX(Market_Daily!$B$6:$B$256,MATCH($C1341,Market_Daily!$A$6:$A$256,0))*INDEX(Market_Daily!$F$6:$F$256,MATCH($C1341,Market_Daily!$A$6:$A$256,0))/kg_per_mt*(1+bcd_primary_al_hs7601*(1+sws_rate_on_bcd))+mcx_domestic_premium_inr_kg)*(1+INDEX(Market_Daily!$I$6:$I$256,MATCH($C1341,Market_Daily!$A$6:$A$256,0))*MAX(0,INDEX(mcx_expiries,MATCH($D1341,mcx_months,0))-$C1341)/day_count_inr))</f>
        <v/>
      </c>
      <c r="N1341" s="16">
        <f>IF(INDEX(Market_Daily!$S$6:$S$256,MATCH($C1341,Market_Daily!$A$6:$A$256,0))=$D1341,INDEX(Market_Daily!$M$6:$M$256,MATCH($C1341,Market_Daily!$A$6:$A$256,0)),IF(INDEX(Market_Daily!$T$6:$T$256,MATCH($C1341,Market_Daily!$A$6:$A$256,0))=$D1341,INDEX(Market_Daily!$N$6:$N$256,MATCH($C1341,Market_Daily!$A$6:$A$256,0)),NA()))</f>
        <v/>
      </c>
      <c r="O1341" s="16">
        <f>$N1341-$M1341</f>
        <v/>
      </c>
      <c r="P1341" s="16">
        <f>IF(($B1340=$B1341),$M1340,"")</f>
        <v/>
      </c>
      <c r="Q1341" s="16">
        <f>$M1341+IF($L1341,1,-1)*mcx_slippage_ticks*mcx_al_tick_inr_kg</f>
        <v/>
      </c>
      <c r="R1341" s="18">
        <f>IF(($B1340=$B1341),$H1341*$I1341*kg_per_mt*($M1341-$M1340),0)</f>
        <v/>
      </c>
      <c r="S1341" s="18">
        <f>IF(($B1340=$B1341),$S1340,0)+$R1341</f>
        <v/>
      </c>
      <c r="T1341" s="18">
        <f>ABS($H1341)*$I1341*kg_per_mt*$M1341</f>
        <v/>
      </c>
      <c r="U1341" s="18">
        <f>IF($K1341,0,$T1341*mcx_al_margin_used_frac)</f>
        <v/>
      </c>
      <c r="V1341" s="18">
        <f>IF(($B1340=$B1341),$U1340,0)</f>
        <v/>
      </c>
      <c r="W1341" s="18">
        <f>$U1341-$V1341</f>
        <v/>
      </c>
      <c r="X1341" s="18">
        <f>IF($K1341,0,$T1341*0.12)</f>
        <v/>
      </c>
      <c r="Y1341" s="18">
        <f>IF($K1341,0,$T1341*0.15)</f>
        <v/>
      </c>
      <c r="Z1341" s="18">
        <f>IF($F1341="hold",0,-ABS($H1341)*$I1341*kg_per_mt*mcx_slippage_ticks*mcx_al_tick_inr_kg)</f>
        <v/>
      </c>
      <c r="AA1341" s="18">
        <f>IF($F1341="hold",0,-ABS($H1341)*$I1341*kg_per_mt*$Q1341*mcx_txn_cost_frac)</f>
        <v/>
      </c>
      <c r="AB1341" s="18">
        <f>$Z1341+$AA1341</f>
        <v/>
      </c>
      <c r="AC1341" s="18">
        <f>$R1341-$W1341+$AB1341</f>
        <v/>
      </c>
      <c r="AD1341" s="18">
        <f>IF(($B1340=$B1341),$AD1340,0)+$AC1341</f>
        <v/>
      </c>
      <c r="AE1341" s="23" t="n">
        <v>1532410.84</v>
      </c>
      <c r="AF1341" s="23" t="n">
        <v>24989877.63</v>
      </c>
      <c r="AG1341" s="23" t="n">
        <v>0</v>
      </c>
      <c r="AH1341" s="23" t="n">
        <v>1685651.92</v>
      </c>
      <c r="AI1341" s="23" t="n">
        <v>-3313.79</v>
      </c>
      <c r="AJ1341" s="18">
        <f>$R1341-$AE1341</f>
        <v/>
      </c>
      <c r="AK1341" s="18">
        <f>$U1341-$AF1341</f>
        <v/>
      </c>
      <c r="AL1341" s="18">
        <f>$AC1341-$AH1341</f>
        <v/>
      </c>
      <c r="AM1341" s="8">
        <f>IF(AND(ABS($AJ1341)&lt;=tol_mcx_inr,ABS($AK1341)&lt;=tol_mcx_inr,ABS($AL1341)&lt;=tol_mcx_inr),"PASS","FAIL")</f>
        <v/>
      </c>
    </row>
    <row r="1342">
      <c r="A1342" s="7" t="inlineStr">
        <is>
          <t>T07</t>
        </is>
      </c>
      <c r="B1342" s="7" t="inlineStr">
        <is>
          <t>T07-MCX-2</t>
        </is>
      </c>
      <c r="C1342" s="11" t="n">
        <v>44756</v>
      </c>
      <c r="D1342" s="7" t="n">
        <v>202207</v>
      </c>
      <c r="E1342" s="7" t="inlineStr">
        <is>
          <t>SELL</t>
        </is>
      </c>
      <c r="F1342" s="7" t="inlineStr">
        <is>
          <t>hold</t>
        </is>
      </c>
      <c r="G1342" s="17" t="b">
        <v>1</v>
      </c>
      <c r="H1342" s="6" t="n">
        <v>-247</v>
      </c>
      <c r="I1342" s="13" t="n">
        <v>5</v>
      </c>
      <c r="J1342" s="8">
        <f>OR($F1342="entry",$F1342="roll_in")</f>
        <v/>
      </c>
      <c r="K1342" s="8">
        <f>OR($F1342="exit",$F1342="roll_out")</f>
        <v/>
      </c>
      <c r="L1342" s="8">
        <f>OR(AND($E1342="SELL",$K1342),AND($E1342="BUY",$J1342))</f>
        <v/>
      </c>
      <c r="M1342" s="16">
        <f>((INDEX(Market_Daily!$B$6:$B$256,MATCH($C1342,Market_Daily!$A$6:$A$256,0))*INDEX(Market_Daily!$F$6:$F$256,MATCH($C1342,Market_Daily!$A$6:$A$256,0))/kg_per_mt*(1+bcd_primary_al_hs7601*(1+sws_rate_on_bcd))+mcx_domestic_premium_inr_kg)*(1+INDEX(Market_Daily!$I$6:$I$256,MATCH($C1342,Market_Daily!$A$6:$A$256,0))*MAX(0,INDEX(mcx_expiries,MATCH($D1342,mcx_months,0))-$C1342)/day_count_inr))</f>
        <v/>
      </c>
      <c r="N1342" s="16">
        <f>IF(INDEX(Market_Daily!$S$6:$S$256,MATCH($C1342,Market_Daily!$A$6:$A$256,0))=$D1342,INDEX(Market_Daily!$M$6:$M$256,MATCH($C1342,Market_Daily!$A$6:$A$256,0)),IF(INDEX(Market_Daily!$T$6:$T$256,MATCH($C1342,Market_Daily!$A$6:$A$256,0))=$D1342,INDEX(Market_Daily!$N$6:$N$256,MATCH($C1342,Market_Daily!$A$6:$A$256,0)),NA()))</f>
        <v/>
      </c>
      <c r="O1342" s="16">
        <f>$N1342-$M1342</f>
        <v/>
      </c>
      <c r="P1342" s="16">
        <f>IF(($B1341=$B1342),$M1341,"")</f>
        <v/>
      </c>
      <c r="Q1342" s="16">
        <f>$M1342+IF($L1342,1,-1)*mcx_slippage_ticks*mcx_al_tick_inr_kg</f>
        <v/>
      </c>
      <c r="R1342" s="18">
        <f>IF(($B1341=$B1342),$H1342*$I1342*kg_per_mt*($M1342-$M1341),0)</f>
        <v/>
      </c>
      <c r="S1342" s="18">
        <f>IF(($B1341=$B1342),$S1341,0)+$R1342</f>
        <v/>
      </c>
      <c r="T1342" s="18">
        <f>ABS($H1342)*$I1342*kg_per_mt*$M1342</f>
        <v/>
      </c>
      <c r="U1342" s="18">
        <f>IF($K1342,0,$T1342*mcx_al_margin_used_frac)</f>
        <v/>
      </c>
      <c r="V1342" s="18">
        <f>IF(($B1341=$B1342),$U1341,0)</f>
        <v/>
      </c>
      <c r="W1342" s="18">
        <f>$U1342-$V1342</f>
        <v/>
      </c>
      <c r="X1342" s="18">
        <f>IF($K1342,0,$T1342*0.12)</f>
        <v/>
      </c>
      <c r="Y1342" s="18">
        <f>IF($K1342,0,$T1342*0.15)</f>
        <v/>
      </c>
      <c r="Z1342" s="18">
        <f>IF($F1342="hold",0,-ABS($H1342)*$I1342*kg_per_mt*mcx_slippage_ticks*mcx_al_tick_inr_kg)</f>
        <v/>
      </c>
      <c r="AA1342" s="18">
        <f>IF($F1342="hold",0,-ABS($H1342)*$I1342*kg_per_mt*$Q1342*mcx_txn_cost_frac)</f>
        <v/>
      </c>
      <c r="AB1342" s="18">
        <f>$Z1342+$AA1342</f>
        <v/>
      </c>
      <c r="AC1342" s="18">
        <f>$R1342-$W1342+$AB1342</f>
        <v/>
      </c>
      <c r="AD1342" s="18">
        <f>IF(($B1341=$B1342),$AD1341,0)+$AC1342</f>
        <v/>
      </c>
      <c r="AE1342" s="23" t="n">
        <v>156294.51</v>
      </c>
      <c r="AF1342" s="23" t="n">
        <v>24974248.18</v>
      </c>
      <c r="AG1342" s="23" t="n">
        <v>0</v>
      </c>
      <c r="AH1342" s="23" t="n">
        <v>171923.96</v>
      </c>
      <c r="AI1342" s="23" t="n">
        <v>-2856.58</v>
      </c>
      <c r="AJ1342" s="18">
        <f>$R1342-$AE1342</f>
        <v/>
      </c>
      <c r="AK1342" s="18">
        <f>$U1342-$AF1342</f>
        <v/>
      </c>
      <c r="AL1342" s="18">
        <f>$AC1342-$AH1342</f>
        <v/>
      </c>
      <c r="AM1342" s="8">
        <f>IF(AND(ABS($AJ1342)&lt;=tol_mcx_inr,ABS($AK1342)&lt;=tol_mcx_inr,ABS($AL1342)&lt;=tol_mcx_inr),"PASS","FAIL")</f>
        <v/>
      </c>
    </row>
    <row r="1343">
      <c r="A1343" s="7" t="inlineStr">
        <is>
          <t>T07</t>
        </is>
      </c>
      <c r="B1343" s="7" t="inlineStr">
        <is>
          <t>T07-MCX-2</t>
        </is>
      </c>
      <c r="C1343" s="11" t="n">
        <v>44757</v>
      </c>
      <c r="D1343" s="7" t="n">
        <v>202207</v>
      </c>
      <c r="E1343" s="7" t="inlineStr">
        <is>
          <t>SELL</t>
        </is>
      </c>
      <c r="F1343" s="7" t="inlineStr">
        <is>
          <t>hold</t>
        </is>
      </c>
      <c r="G1343" s="17" t="b">
        <v>1</v>
      </c>
      <c r="H1343" s="6" t="n">
        <v>-247</v>
      </c>
      <c r="I1343" s="13" t="n">
        <v>5</v>
      </c>
      <c r="J1343" s="8">
        <f>OR($F1343="entry",$F1343="roll_in")</f>
        <v/>
      </c>
      <c r="K1343" s="8">
        <f>OR($F1343="exit",$F1343="roll_out")</f>
        <v/>
      </c>
      <c r="L1343" s="8">
        <f>OR(AND($E1343="SELL",$K1343),AND($E1343="BUY",$J1343))</f>
        <v/>
      </c>
      <c r="M1343" s="16">
        <f>((INDEX(Market_Daily!$B$6:$B$256,MATCH($C1343,Market_Daily!$A$6:$A$256,0))*INDEX(Market_Daily!$F$6:$F$256,MATCH($C1343,Market_Daily!$A$6:$A$256,0))/kg_per_mt*(1+bcd_primary_al_hs7601*(1+sws_rate_on_bcd))+mcx_domestic_premium_inr_kg)*(1+INDEX(Market_Daily!$I$6:$I$256,MATCH($C1343,Market_Daily!$A$6:$A$256,0))*MAX(0,INDEX(mcx_expiries,MATCH($D1343,mcx_months,0))-$C1343)/day_count_inr))</f>
        <v/>
      </c>
      <c r="N1343" s="16">
        <f>IF(INDEX(Market_Daily!$S$6:$S$256,MATCH($C1343,Market_Daily!$A$6:$A$256,0))=$D1343,INDEX(Market_Daily!$M$6:$M$256,MATCH($C1343,Market_Daily!$A$6:$A$256,0)),IF(INDEX(Market_Daily!$T$6:$T$256,MATCH($C1343,Market_Daily!$A$6:$A$256,0))=$D1343,INDEX(Market_Daily!$N$6:$N$256,MATCH($C1343,Market_Daily!$A$6:$A$256,0)),NA()))</f>
        <v/>
      </c>
      <c r="O1343" s="16">
        <f>$N1343-$M1343</f>
        <v/>
      </c>
      <c r="P1343" s="16">
        <f>IF(($B1342=$B1343),$M1342,"")</f>
        <v/>
      </c>
      <c r="Q1343" s="16">
        <f>$M1343+IF($L1343,1,-1)*mcx_slippage_ticks*mcx_al_tick_inr_kg</f>
        <v/>
      </c>
      <c r="R1343" s="18">
        <f>IF(($B1342=$B1343),$H1343*$I1343*kg_per_mt*($M1343-$M1342),0)</f>
        <v/>
      </c>
      <c r="S1343" s="18">
        <f>IF(($B1342=$B1343),$S1342,0)+$R1343</f>
        <v/>
      </c>
      <c r="T1343" s="18">
        <f>ABS($H1343)*$I1343*kg_per_mt*$M1343</f>
        <v/>
      </c>
      <c r="U1343" s="18">
        <f>IF($K1343,0,$T1343*mcx_al_margin_used_frac)</f>
        <v/>
      </c>
      <c r="V1343" s="18">
        <f>IF(($B1342=$B1343),$U1342,0)</f>
        <v/>
      </c>
      <c r="W1343" s="18">
        <f>$U1343-$V1343</f>
        <v/>
      </c>
      <c r="X1343" s="18">
        <f>IF($K1343,0,$T1343*0.12)</f>
        <v/>
      </c>
      <c r="Y1343" s="18">
        <f>IF($K1343,0,$T1343*0.15)</f>
        <v/>
      </c>
      <c r="Z1343" s="18">
        <f>IF($F1343="hold",0,-ABS($H1343)*$I1343*kg_per_mt*mcx_slippage_ticks*mcx_al_tick_inr_kg)</f>
        <v/>
      </c>
      <c r="AA1343" s="18">
        <f>IF($F1343="hold",0,-ABS($H1343)*$I1343*kg_per_mt*$Q1343*mcx_txn_cost_frac)</f>
        <v/>
      </c>
      <c r="AB1343" s="18">
        <f>$Z1343+$AA1343</f>
        <v/>
      </c>
      <c r="AC1343" s="18">
        <f>$R1343-$W1343+$AB1343</f>
        <v/>
      </c>
      <c r="AD1343" s="18">
        <f>IF(($B1342=$B1343),$AD1342,0)+$AC1343</f>
        <v/>
      </c>
      <c r="AE1343" s="23" t="n">
        <v>1539163.99</v>
      </c>
      <c r="AF1343" s="23" t="n">
        <v>24820331.78</v>
      </c>
      <c r="AG1343" s="23" t="n">
        <v>0</v>
      </c>
      <c r="AH1343" s="23" t="n">
        <v>1693080.39</v>
      </c>
      <c r="AI1343" s="23" t="n">
        <v>-2809.95</v>
      </c>
      <c r="AJ1343" s="18">
        <f>$R1343-$AE1343</f>
        <v/>
      </c>
      <c r="AK1343" s="18">
        <f>$U1343-$AF1343</f>
        <v/>
      </c>
      <c r="AL1343" s="18">
        <f>$AC1343-$AH1343</f>
        <v/>
      </c>
      <c r="AM1343" s="8">
        <f>IF(AND(ABS($AJ1343)&lt;=tol_mcx_inr,ABS($AK1343)&lt;=tol_mcx_inr,ABS($AL1343)&lt;=tol_mcx_inr),"PASS","FAIL")</f>
        <v/>
      </c>
    </row>
    <row r="1344">
      <c r="A1344" s="7" t="inlineStr">
        <is>
          <t>T07</t>
        </is>
      </c>
      <c r="B1344" s="7" t="inlineStr">
        <is>
          <t>T07-MCX-2</t>
        </is>
      </c>
      <c r="C1344" s="11" t="n">
        <v>44760</v>
      </c>
      <c r="D1344" s="7" t="n">
        <v>202207</v>
      </c>
      <c r="E1344" s="7" t="inlineStr">
        <is>
          <t>SELL</t>
        </is>
      </c>
      <c r="F1344" s="7" t="inlineStr">
        <is>
          <t>hold</t>
        </is>
      </c>
      <c r="G1344" s="17" t="b">
        <v>1</v>
      </c>
      <c r="H1344" s="6" t="n">
        <v>-247</v>
      </c>
      <c r="I1344" s="13" t="n">
        <v>5</v>
      </c>
      <c r="J1344" s="8">
        <f>OR($F1344="entry",$F1344="roll_in")</f>
        <v/>
      </c>
      <c r="K1344" s="8">
        <f>OR($F1344="exit",$F1344="roll_out")</f>
        <v/>
      </c>
      <c r="L1344" s="8">
        <f>OR(AND($E1344="SELL",$K1344),AND($E1344="BUY",$J1344))</f>
        <v/>
      </c>
      <c r="M1344" s="16">
        <f>((INDEX(Market_Daily!$B$6:$B$256,MATCH($C1344,Market_Daily!$A$6:$A$256,0))*INDEX(Market_Daily!$F$6:$F$256,MATCH($C1344,Market_Daily!$A$6:$A$256,0))/kg_per_mt*(1+bcd_primary_al_hs7601*(1+sws_rate_on_bcd))+mcx_domestic_premium_inr_kg)*(1+INDEX(Market_Daily!$I$6:$I$256,MATCH($C1344,Market_Daily!$A$6:$A$256,0))*MAX(0,INDEX(mcx_expiries,MATCH($D1344,mcx_months,0))-$C1344)/day_count_inr))</f>
        <v/>
      </c>
      <c r="N1344" s="16">
        <f>IF(INDEX(Market_Daily!$S$6:$S$256,MATCH($C1344,Market_Daily!$A$6:$A$256,0))=$D1344,INDEX(Market_Daily!$M$6:$M$256,MATCH($C1344,Market_Daily!$A$6:$A$256,0)),IF(INDEX(Market_Daily!$T$6:$T$256,MATCH($C1344,Market_Daily!$A$6:$A$256,0))=$D1344,INDEX(Market_Daily!$N$6:$N$256,MATCH($C1344,Market_Daily!$A$6:$A$256,0)),NA()))</f>
        <v/>
      </c>
      <c r="O1344" s="16">
        <f>$N1344-$M1344</f>
        <v/>
      </c>
      <c r="P1344" s="16">
        <f>IF(($B1343=$B1344),$M1343,"")</f>
        <v/>
      </c>
      <c r="Q1344" s="16">
        <f>$M1344+IF($L1344,1,-1)*mcx_slippage_ticks*mcx_al_tick_inr_kg</f>
        <v/>
      </c>
      <c r="R1344" s="18">
        <f>IF(($B1343=$B1344),$H1344*$I1344*kg_per_mt*($M1344-$M1343),0)</f>
        <v/>
      </c>
      <c r="S1344" s="18">
        <f>IF(($B1343=$B1344),$S1343,0)+$R1344</f>
        <v/>
      </c>
      <c r="T1344" s="18">
        <f>ABS($H1344)*$I1344*kg_per_mt*$M1344</f>
        <v/>
      </c>
      <c r="U1344" s="18">
        <f>IF($K1344,0,$T1344*mcx_al_margin_used_frac)</f>
        <v/>
      </c>
      <c r="V1344" s="18">
        <f>IF(($B1343=$B1344),$U1343,0)</f>
        <v/>
      </c>
      <c r="W1344" s="18">
        <f>$U1344-$V1344</f>
        <v/>
      </c>
      <c r="X1344" s="18">
        <f>IF($K1344,0,$T1344*0.12)</f>
        <v/>
      </c>
      <c r="Y1344" s="18">
        <f>IF($K1344,0,$T1344*0.15)</f>
        <v/>
      </c>
      <c r="Z1344" s="18">
        <f>IF($F1344="hold",0,-ABS($H1344)*$I1344*kg_per_mt*mcx_slippage_ticks*mcx_al_tick_inr_kg)</f>
        <v/>
      </c>
      <c r="AA1344" s="18">
        <f>IF($F1344="hold",0,-ABS($H1344)*$I1344*kg_per_mt*$Q1344*mcx_txn_cost_frac)</f>
        <v/>
      </c>
      <c r="AB1344" s="18">
        <f>$Z1344+$AA1344</f>
        <v/>
      </c>
      <c r="AC1344" s="18">
        <f>$R1344-$W1344+$AB1344</f>
        <v/>
      </c>
      <c r="AD1344" s="18">
        <f>IF(($B1343=$B1344),$AD1343,0)+$AC1344</f>
        <v/>
      </c>
      <c r="AE1344" s="23" t="n">
        <v>-6435816.4</v>
      </c>
      <c r="AF1344" s="23" t="n">
        <v>25463913.42</v>
      </c>
      <c r="AG1344" s="23" t="n">
        <v>0</v>
      </c>
      <c r="AH1344" s="23" t="n">
        <v>-7079398.04</v>
      </c>
      <c r="AI1344" s="23" t="n">
        <v>-7123.43</v>
      </c>
      <c r="AJ1344" s="18">
        <f>$R1344-$AE1344</f>
        <v/>
      </c>
      <c r="AK1344" s="18">
        <f>$U1344-$AF1344</f>
        <v/>
      </c>
      <c r="AL1344" s="18">
        <f>$AC1344-$AH1344</f>
        <v/>
      </c>
      <c r="AM1344" s="8">
        <f>IF(AND(ABS($AJ1344)&lt;=tol_mcx_inr,ABS($AK1344)&lt;=tol_mcx_inr,ABS($AL1344)&lt;=tol_mcx_inr),"PASS","FAIL")</f>
        <v/>
      </c>
    </row>
    <row r="1345">
      <c r="A1345" s="7" t="inlineStr">
        <is>
          <t>T07</t>
        </is>
      </c>
      <c r="B1345" s="7" t="inlineStr">
        <is>
          <t>T07-MCX-2</t>
        </is>
      </c>
      <c r="C1345" s="11" t="n">
        <v>44761</v>
      </c>
      <c r="D1345" s="7" t="n">
        <v>202207</v>
      </c>
      <c r="E1345" s="7" t="inlineStr">
        <is>
          <t>SELL</t>
        </is>
      </c>
      <c r="F1345" s="7" t="inlineStr">
        <is>
          <t>hold</t>
        </is>
      </c>
      <c r="G1345" s="17" t="b">
        <v>1</v>
      </c>
      <c r="H1345" s="6" t="n">
        <v>-247</v>
      </c>
      <c r="I1345" s="13" t="n">
        <v>5</v>
      </c>
      <c r="J1345" s="8">
        <f>OR($F1345="entry",$F1345="roll_in")</f>
        <v/>
      </c>
      <c r="K1345" s="8">
        <f>OR($F1345="exit",$F1345="roll_out")</f>
        <v/>
      </c>
      <c r="L1345" s="8">
        <f>OR(AND($E1345="SELL",$K1345),AND($E1345="BUY",$J1345))</f>
        <v/>
      </c>
      <c r="M1345" s="16">
        <f>((INDEX(Market_Daily!$B$6:$B$256,MATCH($C1345,Market_Daily!$A$6:$A$256,0))*INDEX(Market_Daily!$F$6:$F$256,MATCH($C1345,Market_Daily!$A$6:$A$256,0))/kg_per_mt*(1+bcd_primary_al_hs7601*(1+sws_rate_on_bcd))+mcx_domestic_premium_inr_kg)*(1+INDEX(Market_Daily!$I$6:$I$256,MATCH($C1345,Market_Daily!$A$6:$A$256,0))*MAX(0,INDEX(mcx_expiries,MATCH($D1345,mcx_months,0))-$C1345)/day_count_inr))</f>
        <v/>
      </c>
      <c r="N1345" s="16">
        <f>IF(INDEX(Market_Daily!$S$6:$S$256,MATCH($C1345,Market_Daily!$A$6:$A$256,0))=$D1345,INDEX(Market_Daily!$M$6:$M$256,MATCH($C1345,Market_Daily!$A$6:$A$256,0)),IF(INDEX(Market_Daily!$T$6:$T$256,MATCH($C1345,Market_Daily!$A$6:$A$256,0))=$D1345,INDEX(Market_Daily!$N$6:$N$256,MATCH($C1345,Market_Daily!$A$6:$A$256,0)),NA()))</f>
        <v/>
      </c>
      <c r="O1345" s="16">
        <f>$N1345-$M1345</f>
        <v/>
      </c>
      <c r="P1345" s="16">
        <f>IF(($B1344=$B1345),$M1344,"")</f>
        <v/>
      </c>
      <c r="Q1345" s="16">
        <f>$M1345+IF($L1345,1,-1)*mcx_slippage_ticks*mcx_al_tick_inr_kg</f>
        <v/>
      </c>
      <c r="R1345" s="18">
        <f>IF(($B1344=$B1345),$H1345*$I1345*kg_per_mt*($M1345-$M1344),0)</f>
        <v/>
      </c>
      <c r="S1345" s="18">
        <f>IF(($B1344=$B1345),$S1344,0)+$R1345</f>
        <v/>
      </c>
      <c r="T1345" s="18">
        <f>ABS($H1345)*$I1345*kg_per_mt*$M1345</f>
        <v/>
      </c>
      <c r="U1345" s="18">
        <f>IF($K1345,0,$T1345*mcx_al_margin_used_frac)</f>
        <v/>
      </c>
      <c r="V1345" s="18">
        <f>IF(($B1344=$B1345),$U1344,0)</f>
        <v/>
      </c>
      <c r="W1345" s="18">
        <f>$U1345-$V1345</f>
        <v/>
      </c>
      <c r="X1345" s="18">
        <f>IF($K1345,0,$T1345*0.12)</f>
        <v/>
      </c>
      <c r="Y1345" s="18">
        <f>IF($K1345,0,$T1345*0.15)</f>
        <v/>
      </c>
      <c r="Z1345" s="18">
        <f>IF($F1345="hold",0,-ABS($H1345)*$I1345*kg_per_mt*mcx_slippage_ticks*mcx_al_tick_inr_kg)</f>
        <v/>
      </c>
      <c r="AA1345" s="18">
        <f>IF($F1345="hold",0,-ABS($H1345)*$I1345*kg_per_mt*$Q1345*mcx_txn_cost_frac)</f>
        <v/>
      </c>
      <c r="AB1345" s="18">
        <f>$Z1345+$AA1345</f>
        <v/>
      </c>
      <c r="AC1345" s="18">
        <f>$R1345-$W1345+$AB1345</f>
        <v/>
      </c>
      <c r="AD1345" s="18">
        <f>IF(($B1344=$B1345),$AD1344,0)+$AC1345</f>
        <v/>
      </c>
      <c r="AE1345" s="23" t="n">
        <v>-3506735.84</v>
      </c>
      <c r="AF1345" s="23" t="n">
        <v>25814587</v>
      </c>
      <c r="AG1345" s="23" t="n">
        <v>0</v>
      </c>
      <c r="AH1345" s="23" t="n">
        <v>-3857409.42</v>
      </c>
      <c r="AI1345" s="23" t="n">
        <v>-4314.04</v>
      </c>
      <c r="AJ1345" s="18">
        <f>$R1345-$AE1345</f>
        <v/>
      </c>
      <c r="AK1345" s="18">
        <f>$U1345-$AF1345</f>
        <v/>
      </c>
      <c r="AL1345" s="18">
        <f>$AC1345-$AH1345</f>
        <v/>
      </c>
      <c r="AM1345" s="8">
        <f>IF(AND(ABS($AJ1345)&lt;=tol_mcx_inr,ABS($AK1345)&lt;=tol_mcx_inr,ABS($AL1345)&lt;=tol_mcx_inr),"PASS","FAIL")</f>
        <v/>
      </c>
    </row>
    <row r="1346">
      <c r="A1346" s="7" t="inlineStr">
        <is>
          <t>T07</t>
        </is>
      </c>
      <c r="B1346" s="7" t="inlineStr">
        <is>
          <t>T07-MCX-2</t>
        </is>
      </c>
      <c r="C1346" s="11" t="n">
        <v>44762</v>
      </c>
      <c r="D1346" s="7" t="n">
        <v>202207</v>
      </c>
      <c r="E1346" s="7" t="inlineStr">
        <is>
          <t>SELL</t>
        </is>
      </c>
      <c r="F1346" s="7" t="inlineStr">
        <is>
          <t>roll_out</t>
        </is>
      </c>
      <c r="G1346" s="17" t="b">
        <v>1</v>
      </c>
      <c r="H1346" s="6" t="n">
        <v>-247</v>
      </c>
      <c r="I1346" s="13" t="n">
        <v>5</v>
      </c>
      <c r="J1346" s="8">
        <f>OR($F1346="entry",$F1346="roll_in")</f>
        <v/>
      </c>
      <c r="K1346" s="8">
        <f>OR($F1346="exit",$F1346="roll_out")</f>
        <v/>
      </c>
      <c r="L1346" s="8">
        <f>OR(AND($E1346="SELL",$K1346),AND($E1346="BUY",$J1346))</f>
        <v/>
      </c>
      <c r="M1346" s="16">
        <f>((INDEX(Market_Daily!$B$6:$B$256,MATCH($C1346,Market_Daily!$A$6:$A$256,0))*INDEX(Market_Daily!$F$6:$F$256,MATCH($C1346,Market_Daily!$A$6:$A$256,0))/kg_per_mt*(1+bcd_primary_al_hs7601*(1+sws_rate_on_bcd))+mcx_domestic_premium_inr_kg)*(1+INDEX(Market_Daily!$I$6:$I$256,MATCH($C1346,Market_Daily!$A$6:$A$256,0))*MAX(0,INDEX(mcx_expiries,MATCH($D1346,mcx_months,0))-$C1346)/day_count_inr))</f>
        <v/>
      </c>
      <c r="N1346" s="16">
        <f>IF(INDEX(Market_Daily!$S$6:$S$256,MATCH($C1346,Market_Daily!$A$6:$A$256,0))=$D1346,INDEX(Market_Daily!$M$6:$M$256,MATCH($C1346,Market_Daily!$A$6:$A$256,0)),IF(INDEX(Market_Daily!$T$6:$T$256,MATCH($C1346,Market_Daily!$A$6:$A$256,0))=$D1346,INDEX(Market_Daily!$N$6:$N$256,MATCH($C1346,Market_Daily!$A$6:$A$256,0)),NA()))</f>
        <v/>
      </c>
      <c r="O1346" s="16">
        <f>$N1346-$M1346</f>
        <v/>
      </c>
      <c r="P1346" s="16">
        <f>IF(($B1345=$B1346),$M1345,"")</f>
        <v/>
      </c>
      <c r="Q1346" s="16">
        <f>$M1346+IF($L1346,1,-1)*mcx_slippage_ticks*mcx_al_tick_inr_kg</f>
        <v/>
      </c>
      <c r="R1346" s="18">
        <f>IF(($B1345=$B1346),$H1346*$I1346*kg_per_mt*($M1346-$M1345),0)</f>
        <v/>
      </c>
      <c r="S1346" s="18">
        <f>IF(($B1345=$B1346),$S1345,0)+$R1346</f>
        <v/>
      </c>
      <c r="T1346" s="18">
        <f>ABS($H1346)*$I1346*kg_per_mt*$M1346</f>
        <v/>
      </c>
      <c r="U1346" s="18">
        <f>IF($K1346,0,$T1346*mcx_al_margin_used_frac)</f>
        <v/>
      </c>
      <c r="V1346" s="18">
        <f>IF(($B1345=$B1346),$U1345,0)</f>
        <v/>
      </c>
      <c r="W1346" s="18">
        <f>$U1346-$V1346</f>
        <v/>
      </c>
      <c r="X1346" s="18">
        <f>IF($K1346,0,$T1346*0.12)</f>
        <v/>
      </c>
      <c r="Y1346" s="18">
        <f>IF($K1346,0,$T1346*0.15)</f>
        <v/>
      </c>
      <c r="Z1346" s="18">
        <f>IF($F1346="hold",0,-ABS($H1346)*$I1346*kg_per_mt*mcx_slippage_ticks*mcx_al_tick_inr_kg)</f>
        <v/>
      </c>
      <c r="AA1346" s="18">
        <f>IF($F1346="hold",0,-ABS($H1346)*$I1346*kg_per_mt*$Q1346*mcx_txn_cost_frac)</f>
        <v/>
      </c>
      <c r="AB1346" s="18">
        <f>$Z1346+$AA1346</f>
        <v/>
      </c>
      <c r="AC1346" s="18">
        <f>$R1346-$W1346+$AB1346</f>
        <v/>
      </c>
      <c r="AD1346" s="18">
        <f>IF(($B1345=$B1346),$AD1345,0)+$AC1346</f>
        <v/>
      </c>
      <c r="AE1346" s="23" t="n">
        <v>-4946070.72</v>
      </c>
      <c r="AF1346" s="23" t="n">
        <v>0</v>
      </c>
      <c r="AG1346" s="23" t="n">
        <v>-202464.63</v>
      </c>
      <c r="AH1346" s="23" t="n">
        <v>20666051.65</v>
      </c>
      <c r="AI1346" s="23" t="n">
        <v>-5370.86</v>
      </c>
      <c r="AJ1346" s="18">
        <f>$R1346-$AE1346</f>
        <v/>
      </c>
      <c r="AK1346" s="18">
        <f>$U1346-$AF1346</f>
        <v/>
      </c>
      <c r="AL1346" s="18">
        <f>$AC1346-$AH1346</f>
        <v/>
      </c>
      <c r="AM1346" s="8">
        <f>IF(AND(ABS($AJ1346)&lt;=tol_mcx_inr,ABS($AK1346)&lt;=tol_mcx_inr,ABS($AL1346)&lt;=tol_mcx_inr),"PASS","FAIL")</f>
        <v/>
      </c>
    </row>
    <row r="1347">
      <c r="A1347" s="7" t="inlineStr">
        <is>
          <t>T07</t>
        </is>
      </c>
      <c r="B1347" s="7" t="inlineStr">
        <is>
          <t>T07-MCX-3</t>
        </is>
      </c>
      <c r="C1347" s="11" t="n">
        <v>44762</v>
      </c>
      <c r="D1347" s="7" t="n">
        <v>202208</v>
      </c>
      <c r="E1347" s="7" t="inlineStr">
        <is>
          <t>SELL</t>
        </is>
      </c>
      <c r="F1347" s="7" t="inlineStr">
        <is>
          <t>roll_in</t>
        </is>
      </c>
      <c r="G1347" s="17" t="b">
        <v>1</v>
      </c>
      <c r="H1347" s="6" t="n">
        <v>-247</v>
      </c>
      <c r="I1347" s="13" t="n">
        <v>5</v>
      </c>
      <c r="J1347" s="8">
        <f>OR($F1347="entry",$F1347="roll_in")</f>
        <v/>
      </c>
      <c r="K1347" s="8">
        <f>OR($F1347="exit",$F1347="roll_out")</f>
        <v/>
      </c>
      <c r="L1347" s="8">
        <f>OR(AND($E1347="SELL",$K1347),AND($E1347="BUY",$J1347))</f>
        <v/>
      </c>
      <c r="M1347" s="16">
        <f>((INDEX(Market_Daily!$B$6:$B$256,MATCH($C1347,Market_Daily!$A$6:$A$256,0))*INDEX(Market_Daily!$F$6:$F$256,MATCH($C1347,Market_Daily!$A$6:$A$256,0))/kg_per_mt*(1+bcd_primary_al_hs7601*(1+sws_rate_on_bcd))+mcx_domestic_premium_inr_kg)*(1+INDEX(Market_Daily!$I$6:$I$256,MATCH($C1347,Market_Daily!$A$6:$A$256,0))*MAX(0,INDEX(mcx_expiries,MATCH($D1347,mcx_months,0))-$C1347)/day_count_inr))</f>
        <v/>
      </c>
      <c r="N1347" s="16">
        <f>IF(INDEX(Market_Daily!$S$6:$S$256,MATCH($C1347,Market_Daily!$A$6:$A$256,0))=$D1347,INDEX(Market_Daily!$M$6:$M$256,MATCH($C1347,Market_Daily!$A$6:$A$256,0)),IF(INDEX(Market_Daily!$T$6:$T$256,MATCH($C1347,Market_Daily!$A$6:$A$256,0))=$D1347,INDEX(Market_Daily!$N$6:$N$256,MATCH($C1347,Market_Daily!$A$6:$A$256,0)),NA()))</f>
        <v/>
      </c>
      <c r="O1347" s="16">
        <f>$N1347-$M1347</f>
        <v/>
      </c>
      <c r="P1347" s="16">
        <f>IF(($B1346=$B1347),$M1346,"")</f>
        <v/>
      </c>
      <c r="Q1347" s="16">
        <f>$M1347+IF($L1347,1,-1)*mcx_slippage_ticks*mcx_al_tick_inr_kg</f>
        <v/>
      </c>
      <c r="R1347" s="18">
        <f>IF(($B1346=$B1347),$H1347*$I1347*kg_per_mt*($M1347-$M1346),0)</f>
        <v/>
      </c>
      <c r="S1347" s="18">
        <f>IF(($B1346=$B1347),$S1346,0)+$R1347</f>
        <v/>
      </c>
      <c r="T1347" s="18">
        <f>ABS($H1347)*$I1347*kg_per_mt*$M1347</f>
        <v/>
      </c>
      <c r="U1347" s="18">
        <f>IF($K1347,0,$T1347*mcx_al_margin_used_frac)</f>
        <v/>
      </c>
      <c r="V1347" s="18">
        <f>IF(($B1346=$B1347),$U1346,0)</f>
        <v/>
      </c>
      <c r="W1347" s="18">
        <f>$U1347-$V1347</f>
        <v/>
      </c>
      <c r="X1347" s="18">
        <f>IF($K1347,0,$T1347*0.12)</f>
        <v/>
      </c>
      <c r="Y1347" s="18">
        <f>IF($K1347,0,$T1347*0.15)</f>
        <v/>
      </c>
      <c r="Z1347" s="18">
        <f>IF($F1347="hold",0,-ABS($H1347)*$I1347*kg_per_mt*mcx_slippage_ticks*mcx_al_tick_inr_kg)</f>
        <v/>
      </c>
      <c r="AA1347" s="18">
        <f>IF($F1347="hold",0,-ABS($H1347)*$I1347*kg_per_mt*$Q1347*mcx_txn_cost_frac)</f>
        <v/>
      </c>
      <c r="AB1347" s="18">
        <f>$Z1347+$AA1347</f>
        <v/>
      </c>
      <c r="AC1347" s="18">
        <f>$R1347-$W1347+$AB1347</f>
        <v/>
      </c>
      <c r="AD1347" s="18">
        <f>IF(($B1346=$B1347),$AD1346,0)+$AC1347</f>
        <v/>
      </c>
      <c r="AE1347" s="23" t="n">
        <v>0</v>
      </c>
      <c r="AF1347" s="23" t="n">
        <v>26435382.12</v>
      </c>
      <c r="AG1347" s="23" t="n">
        <v>-202769.1</v>
      </c>
      <c r="AH1347" s="23" t="n">
        <v>-26638151.22</v>
      </c>
      <c r="AI1347" s="23" t="n">
        <v>0</v>
      </c>
      <c r="AJ1347" s="18">
        <f>$R1347-$AE1347</f>
        <v/>
      </c>
      <c r="AK1347" s="18">
        <f>$U1347-$AF1347</f>
        <v/>
      </c>
      <c r="AL1347" s="18">
        <f>$AC1347-$AH1347</f>
        <v/>
      </c>
      <c r="AM1347" s="8">
        <f>IF(AND(ABS($AJ1347)&lt;=tol_mcx_inr,ABS($AK1347)&lt;=tol_mcx_inr,ABS($AL1347)&lt;=tol_mcx_inr),"PASS","FAIL")</f>
        <v/>
      </c>
    </row>
    <row r="1348">
      <c r="A1348" s="7" t="inlineStr">
        <is>
          <t>T07</t>
        </is>
      </c>
      <c r="B1348" s="7" t="inlineStr">
        <is>
          <t>T07-MCX-3</t>
        </is>
      </c>
      <c r="C1348" s="11" t="n">
        <v>44763</v>
      </c>
      <c r="D1348" s="7" t="n">
        <v>202208</v>
      </c>
      <c r="E1348" s="7" t="inlineStr">
        <is>
          <t>SELL</t>
        </is>
      </c>
      <c r="F1348" s="7" t="inlineStr">
        <is>
          <t>hold</t>
        </is>
      </c>
      <c r="G1348" s="17" t="b">
        <v>1</v>
      </c>
      <c r="H1348" s="6" t="n">
        <v>-247</v>
      </c>
      <c r="I1348" s="13" t="n">
        <v>5</v>
      </c>
      <c r="J1348" s="8">
        <f>OR($F1348="entry",$F1348="roll_in")</f>
        <v/>
      </c>
      <c r="K1348" s="8">
        <f>OR($F1348="exit",$F1348="roll_out")</f>
        <v/>
      </c>
      <c r="L1348" s="8">
        <f>OR(AND($E1348="SELL",$K1348),AND($E1348="BUY",$J1348))</f>
        <v/>
      </c>
      <c r="M1348" s="16">
        <f>((INDEX(Market_Daily!$B$6:$B$256,MATCH($C1348,Market_Daily!$A$6:$A$256,0))*INDEX(Market_Daily!$F$6:$F$256,MATCH($C1348,Market_Daily!$A$6:$A$256,0))/kg_per_mt*(1+bcd_primary_al_hs7601*(1+sws_rate_on_bcd))+mcx_domestic_premium_inr_kg)*(1+INDEX(Market_Daily!$I$6:$I$256,MATCH($C1348,Market_Daily!$A$6:$A$256,0))*MAX(0,INDEX(mcx_expiries,MATCH($D1348,mcx_months,0))-$C1348)/day_count_inr))</f>
        <v/>
      </c>
      <c r="N1348" s="16">
        <f>IF(INDEX(Market_Daily!$S$6:$S$256,MATCH($C1348,Market_Daily!$A$6:$A$256,0))=$D1348,INDEX(Market_Daily!$M$6:$M$256,MATCH($C1348,Market_Daily!$A$6:$A$256,0)),IF(INDEX(Market_Daily!$T$6:$T$256,MATCH($C1348,Market_Daily!$A$6:$A$256,0))=$D1348,INDEX(Market_Daily!$N$6:$N$256,MATCH($C1348,Market_Daily!$A$6:$A$256,0)),NA()))</f>
        <v/>
      </c>
      <c r="O1348" s="16">
        <f>$N1348-$M1348</f>
        <v/>
      </c>
      <c r="P1348" s="16">
        <f>IF(($B1347=$B1348),$M1347,"")</f>
        <v/>
      </c>
      <c r="Q1348" s="16">
        <f>$M1348+IF($L1348,1,-1)*mcx_slippage_ticks*mcx_al_tick_inr_kg</f>
        <v/>
      </c>
      <c r="R1348" s="18">
        <f>IF(($B1347=$B1348),$H1348*$I1348*kg_per_mt*($M1348-$M1347),0)</f>
        <v/>
      </c>
      <c r="S1348" s="18">
        <f>IF(($B1347=$B1348),$S1347,0)+$R1348</f>
        <v/>
      </c>
      <c r="T1348" s="18">
        <f>ABS($H1348)*$I1348*kg_per_mt*$M1348</f>
        <v/>
      </c>
      <c r="U1348" s="18">
        <f>IF($K1348,0,$T1348*mcx_al_margin_used_frac)</f>
        <v/>
      </c>
      <c r="V1348" s="18">
        <f>IF(($B1347=$B1348),$U1347,0)</f>
        <v/>
      </c>
      <c r="W1348" s="18">
        <f>$U1348-$V1348</f>
        <v/>
      </c>
      <c r="X1348" s="18">
        <f>IF($K1348,0,$T1348*0.12)</f>
        <v/>
      </c>
      <c r="Y1348" s="18">
        <f>IF($K1348,0,$T1348*0.15)</f>
        <v/>
      </c>
      <c r="Z1348" s="18">
        <f>IF($F1348="hold",0,-ABS($H1348)*$I1348*kg_per_mt*mcx_slippage_ticks*mcx_al_tick_inr_kg)</f>
        <v/>
      </c>
      <c r="AA1348" s="18">
        <f>IF($F1348="hold",0,-ABS($H1348)*$I1348*kg_per_mt*$Q1348*mcx_txn_cost_frac)</f>
        <v/>
      </c>
      <c r="AB1348" s="18">
        <f>$Z1348+$AA1348</f>
        <v/>
      </c>
      <c r="AC1348" s="18">
        <f>$R1348-$W1348+$AB1348</f>
        <v/>
      </c>
      <c r="AD1348" s="18">
        <f>IF(($B1347=$B1348),$AD1347,0)+$AC1348</f>
        <v/>
      </c>
      <c r="AE1348" s="23" t="n">
        <v>3793400.68</v>
      </c>
      <c r="AF1348" s="23" t="n">
        <v>26056042.05</v>
      </c>
      <c r="AG1348" s="23" t="n">
        <v>0</v>
      </c>
      <c r="AH1348" s="23" t="n">
        <v>4172740.75</v>
      </c>
      <c r="AI1348" s="23" t="n">
        <v>-7298.12</v>
      </c>
      <c r="AJ1348" s="18">
        <f>$R1348-$AE1348</f>
        <v/>
      </c>
      <c r="AK1348" s="18">
        <f>$U1348-$AF1348</f>
        <v/>
      </c>
      <c r="AL1348" s="18">
        <f>$AC1348-$AH1348</f>
        <v/>
      </c>
      <c r="AM1348" s="8">
        <f>IF(AND(ABS($AJ1348)&lt;=tol_mcx_inr,ABS($AK1348)&lt;=tol_mcx_inr,ABS($AL1348)&lt;=tol_mcx_inr),"PASS","FAIL")</f>
        <v/>
      </c>
    </row>
    <row r="1349">
      <c r="A1349" s="7" t="inlineStr">
        <is>
          <t>T07</t>
        </is>
      </c>
      <c r="B1349" s="7" t="inlineStr">
        <is>
          <t>T07-MCX-3</t>
        </is>
      </c>
      <c r="C1349" s="11" t="n">
        <v>44764</v>
      </c>
      <c r="D1349" s="7" t="n">
        <v>202208</v>
      </c>
      <c r="E1349" s="7" t="inlineStr">
        <is>
          <t>SELL</t>
        </is>
      </c>
      <c r="F1349" s="7" t="inlineStr">
        <is>
          <t>hold</t>
        </is>
      </c>
      <c r="G1349" s="17" t="b">
        <v>1</v>
      </c>
      <c r="H1349" s="6" t="n">
        <v>-247</v>
      </c>
      <c r="I1349" s="13" t="n">
        <v>5</v>
      </c>
      <c r="J1349" s="8">
        <f>OR($F1349="entry",$F1349="roll_in")</f>
        <v/>
      </c>
      <c r="K1349" s="8">
        <f>OR($F1349="exit",$F1349="roll_out")</f>
        <v/>
      </c>
      <c r="L1349" s="8">
        <f>OR(AND($E1349="SELL",$K1349),AND($E1349="BUY",$J1349))</f>
        <v/>
      </c>
      <c r="M1349" s="16">
        <f>((INDEX(Market_Daily!$B$6:$B$256,MATCH($C1349,Market_Daily!$A$6:$A$256,0))*INDEX(Market_Daily!$F$6:$F$256,MATCH($C1349,Market_Daily!$A$6:$A$256,0))/kg_per_mt*(1+bcd_primary_al_hs7601*(1+sws_rate_on_bcd))+mcx_domestic_premium_inr_kg)*(1+INDEX(Market_Daily!$I$6:$I$256,MATCH($C1349,Market_Daily!$A$6:$A$256,0))*MAX(0,INDEX(mcx_expiries,MATCH($D1349,mcx_months,0))-$C1349)/day_count_inr))</f>
        <v/>
      </c>
      <c r="N1349" s="16">
        <f>IF(INDEX(Market_Daily!$S$6:$S$256,MATCH($C1349,Market_Daily!$A$6:$A$256,0))=$D1349,INDEX(Market_Daily!$M$6:$M$256,MATCH($C1349,Market_Daily!$A$6:$A$256,0)),IF(INDEX(Market_Daily!$T$6:$T$256,MATCH($C1349,Market_Daily!$A$6:$A$256,0))=$D1349,INDEX(Market_Daily!$N$6:$N$256,MATCH($C1349,Market_Daily!$A$6:$A$256,0)),NA()))</f>
        <v/>
      </c>
      <c r="O1349" s="16">
        <f>$N1349-$M1349</f>
        <v/>
      </c>
      <c r="P1349" s="16">
        <f>IF(($B1348=$B1349),$M1348,"")</f>
        <v/>
      </c>
      <c r="Q1349" s="16">
        <f>$M1349+IF($L1349,1,-1)*mcx_slippage_ticks*mcx_al_tick_inr_kg</f>
        <v/>
      </c>
      <c r="R1349" s="18">
        <f>IF(($B1348=$B1349),$H1349*$I1349*kg_per_mt*($M1349-$M1348),0)</f>
        <v/>
      </c>
      <c r="S1349" s="18">
        <f>IF(($B1348=$B1349),$S1348,0)+$R1349</f>
        <v/>
      </c>
      <c r="T1349" s="18">
        <f>ABS($H1349)*$I1349*kg_per_mt*$M1349</f>
        <v/>
      </c>
      <c r="U1349" s="18">
        <f>IF($K1349,0,$T1349*mcx_al_margin_used_frac)</f>
        <v/>
      </c>
      <c r="V1349" s="18">
        <f>IF(($B1348=$B1349),$U1348,0)</f>
        <v/>
      </c>
      <c r="W1349" s="18">
        <f>$U1349-$V1349</f>
        <v/>
      </c>
      <c r="X1349" s="18">
        <f>IF($K1349,0,$T1349*0.12)</f>
        <v/>
      </c>
      <c r="Y1349" s="18">
        <f>IF($K1349,0,$T1349*0.15)</f>
        <v/>
      </c>
      <c r="Z1349" s="18">
        <f>IF($F1349="hold",0,-ABS($H1349)*$I1349*kg_per_mt*mcx_slippage_ticks*mcx_al_tick_inr_kg)</f>
        <v/>
      </c>
      <c r="AA1349" s="18">
        <f>IF($F1349="hold",0,-ABS($H1349)*$I1349*kg_per_mt*$Q1349*mcx_txn_cost_frac)</f>
        <v/>
      </c>
      <c r="AB1349" s="18">
        <f>$Z1349+$AA1349</f>
        <v/>
      </c>
      <c r="AC1349" s="18">
        <f>$R1349-$W1349+$AB1349</f>
        <v/>
      </c>
      <c r="AD1349" s="18">
        <f>IF(($B1348=$B1349),$AD1348,0)+$AC1349</f>
        <v/>
      </c>
      <c r="AE1349" s="23" t="n">
        <v>-3629035.65</v>
      </c>
      <c r="AF1349" s="23" t="n">
        <v>26418945.62</v>
      </c>
      <c r="AG1349" s="23" t="n">
        <v>0</v>
      </c>
      <c r="AH1349" s="23" t="n">
        <v>-3991939.21</v>
      </c>
      <c r="AI1349" s="23" t="n">
        <v>-6154.91</v>
      </c>
      <c r="AJ1349" s="18">
        <f>$R1349-$AE1349</f>
        <v/>
      </c>
      <c r="AK1349" s="18">
        <f>$U1349-$AF1349</f>
        <v/>
      </c>
      <c r="AL1349" s="18">
        <f>$AC1349-$AH1349</f>
        <v/>
      </c>
      <c r="AM1349" s="8">
        <f>IF(AND(ABS($AJ1349)&lt;=tol_mcx_inr,ABS($AK1349)&lt;=tol_mcx_inr,ABS($AL1349)&lt;=tol_mcx_inr),"PASS","FAIL")</f>
        <v/>
      </c>
    </row>
    <row r="1350">
      <c r="A1350" s="7" t="inlineStr">
        <is>
          <t>T07</t>
        </is>
      </c>
      <c r="B1350" s="7" t="inlineStr">
        <is>
          <t>T07-MCX-3</t>
        </is>
      </c>
      <c r="C1350" s="11" t="n">
        <v>44767</v>
      </c>
      <c r="D1350" s="7" t="n">
        <v>202208</v>
      </c>
      <c r="E1350" s="7" t="inlineStr">
        <is>
          <t>SELL</t>
        </is>
      </c>
      <c r="F1350" s="7" t="inlineStr">
        <is>
          <t>hold</t>
        </is>
      </c>
      <c r="G1350" s="17" t="b">
        <v>1</v>
      </c>
      <c r="H1350" s="6" t="n">
        <v>-247</v>
      </c>
      <c r="I1350" s="13" t="n">
        <v>5</v>
      </c>
      <c r="J1350" s="8">
        <f>OR($F1350="entry",$F1350="roll_in")</f>
        <v/>
      </c>
      <c r="K1350" s="8">
        <f>OR($F1350="exit",$F1350="roll_out")</f>
        <v/>
      </c>
      <c r="L1350" s="8">
        <f>OR(AND($E1350="SELL",$K1350),AND($E1350="BUY",$J1350))</f>
        <v/>
      </c>
      <c r="M1350" s="16">
        <f>((INDEX(Market_Daily!$B$6:$B$256,MATCH($C1350,Market_Daily!$A$6:$A$256,0))*INDEX(Market_Daily!$F$6:$F$256,MATCH($C1350,Market_Daily!$A$6:$A$256,0))/kg_per_mt*(1+bcd_primary_al_hs7601*(1+sws_rate_on_bcd))+mcx_domestic_premium_inr_kg)*(1+INDEX(Market_Daily!$I$6:$I$256,MATCH($C1350,Market_Daily!$A$6:$A$256,0))*MAX(0,INDEX(mcx_expiries,MATCH($D1350,mcx_months,0))-$C1350)/day_count_inr))</f>
        <v/>
      </c>
      <c r="N1350" s="16">
        <f>IF(INDEX(Market_Daily!$S$6:$S$256,MATCH($C1350,Market_Daily!$A$6:$A$256,0))=$D1350,INDEX(Market_Daily!$M$6:$M$256,MATCH($C1350,Market_Daily!$A$6:$A$256,0)),IF(INDEX(Market_Daily!$T$6:$T$256,MATCH($C1350,Market_Daily!$A$6:$A$256,0))=$D1350,INDEX(Market_Daily!$N$6:$N$256,MATCH($C1350,Market_Daily!$A$6:$A$256,0)),NA()))</f>
        <v/>
      </c>
      <c r="O1350" s="16">
        <f>$N1350-$M1350</f>
        <v/>
      </c>
      <c r="P1350" s="16">
        <f>IF(($B1349=$B1350),$M1349,"")</f>
        <v/>
      </c>
      <c r="Q1350" s="16">
        <f>$M1350+IF($L1350,1,-1)*mcx_slippage_ticks*mcx_al_tick_inr_kg</f>
        <v/>
      </c>
      <c r="R1350" s="18">
        <f>IF(($B1349=$B1350),$H1350*$I1350*kg_per_mt*($M1350-$M1349),0)</f>
        <v/>
      </c>
      <c r="S1350" s="18">
        <f>IF(($B1349=$B1350),$S1349,0)+$R1350</f>
        <v/>
      </c>
      <c r="T1350" s="18">
        <f>ABS($H1350)*$I1350*kg_per_mt*$M1350</f>
        <v/>
      </c>
      <c r="U1350" s="18">
        <f>IF($K1350,0,$T1350*mcx_al_margin_used_frac)</f>
        <v/>
      </c>
      <c r="V1350" s="18">
        <f>IF(($B1349=$B1350),$U1349,0)</f>
        <v/>
      </c>
      <c r="W1350" s="18">
        <f>$U1350-$V1350</f>
        <v/>
      </c>
      <c r="X1350" s="18">
        <f>IF($K1350,0,$T1350*0.12)</f>
        <v/>
      </c>
      <c r="Y1350" s="18">
        <f>IF($K1350,0,$T1350*0.15)</f>
        <v/>
      </c>
      <c r="Z1350" s="18">
        <f>IF($F1350="hold",0,-ABS($H1350)*$I1350*kg_per_mt*mcx_slippage_ticks*mcx_al_tick_inr_kg)</f>
        <v/>
      </c>
      <c r="AA1350" s="18">
        <f>IF($F1350="hold",0,-ABS($H1350)*$I1350*kg_per_mt*$Q1350*mcx_txn_cost_frac)</f>
        <v/>
      </c>
      <c r="AB1350" s="18">
        <f>$Z1350+$AA1350</f>
        <v/>
      </c>
      <c r="AC1350" s="18">
        <f>$R1350-$W1350+$AB1350</f>
        <v/>
      </c>
      <c r="AD1350" s="18">
        <f>IF(($B1349=$B1350),$AD1349,0)+$AC1350</f>
        <v/>
      </c>
      <c r="AE1350" s="23" t="n">
        <v>3441742.32</v>
      </c>
      <c r="AF1350" s="23" t="n">
        <v>26074771.39</v>
      </c>
      <c r="AG1350" s="23" t="n">
        <v>0</v>
      </c>
      <c r="AH1350" s="23" t="n">
        <v>3785916.55</v>
      </c>
      <c r="AI1350" s="23" t="n">
        <v>-21745.77</v>
      </c>
      <c r="AJ1350" s="18">
        <f>$R1350-$AE1350</f>
        <v/>
      </c>
      <c r="AK1350" s="18">
        <f>$U1350-$AF1350</f>
        <v/>
      </c>
      <c r="AL1350" s="18">
        <f>$AC1350-$AH1350</f>
        <v/>
      </c>
      <c r="AM1350" s="8">
        <f>IF(AND(ABS($AJ1350)&lt;=tol_mcx_inr,ABS($AK1350)&lt;=tol_mcx_inr,ABS($AL1350)&lt;=tol_mcx_inr),"PASS","FAIL")</f>
        <v/>
      </c>
    </row>
    <row r="1351">
      <c r="A1351" s="7" t="inlineStr">
        <is>
          <t>T07</t>
        </is>
      </c>
      <c r="B1351" s="7" t="inlineStr">
        <is>
          <t>T07-MCX-3</t>
        </is>
      </c>
      <c r="C1351" s="11" t="n">
        <v>44768</v>
      </c>
      <c r="D1351" s="7" t="n">
        <v>202208</v>
      </c>
      <c r="E1351" s="7" t="inlineStr">
        <is>
          <t>SELL</t>
        </is>
      </c>
      <c r="F1351" s="7" t="inlineStr">
        <is>
          <t>exit</t>
        </is>
      </c>
      <c r="G1351" s="17" t="b">
        <v>1</v>
      </c>
      <c r="H1351" s="6" t="n">
        <v>-247</v>
      </c>
      <c r="I1351" s="13" t="n">
        <v>5</v>
      </c>
      <c r="J1351" s="8">
        <f>OR($F1351="entry",$F1351="roll_in")</f>
        <v/>
      </c>
      <c r="K1351" s="8">
        <f>OR($F1351="exit",$F1351="roll_out")</f>
        <v/>
      </c>
      <c r="L1351" s="8">
        <f>OR(AND($E1351="SELL",$K1351),AND($E1351="BUY",$J1351))</f>
        <v/>
      </c>
      <c r="M1351" s="16">
        <f>((INDEX(Market_Daily!$B$6:$B$256,MATCH($C1351,Market_Daily!$A$6:$A$256,0))*INDEX(Market_Daily!$F$6:$F$256,MATCH($C1351,Market_Daily!$A$6:$A$256,0))/kg_per_mt*(1+bcd_primary_al_hs7601*(1+sws_rate_on_bcd))+mcx_domestic_premium_inr_kg)*(1+INDEX(Market_Daily!$I$6:$I$256,MATCH($C1351,Market_Daily!$A$6:$A$256,0))*MAX(0,INDEX(mcx_expiries,MATCH($D1351,mcx_months,0))-$C1351)/day_count_inr))</f>
        <v/>
      </c>
      <c r="N1351" s="16">
        <f>IF(INDEX(Market_Daily!$S$6:$S$256,MATCH($C1351,Market_Daily!$A$6:$A$256,0))=$D1351,INDEX(Market_Daily!$M$6:$M$256,MATCH($C1351,Market_Daily!$A$6:$A$256,0)),IF(INDEX(Market_Daily!$T$6:$T$256,MATCH($C1351,Market_Daily!$A$6:$A$256,0))=$D1351,INDEX(Market_Daily!$N$6:$N$256,MATCH($C1351,Market_Daily!$A$6:$A$256,0)),NA()))</f>
        <v/>
      </c>
      <c r="O1351" s="16">
        <f>$N1351-$M1351</f>
        <v/>
      </c>
      <c r="P1351" s="16">
        <f>IF(($B1350=$B1351),$M1350,"")</f>
        <v/>
      </c>
      <c r="Q1351" s="16">
        <f>$M1351+IF($L1351,1,-1)*mcx_slippage_ticks*mcx_al_tick_inr_kg</f>
        <v/>
      </c>
      <c r="R1351" s="18">
        <f>IF(($B1350=$B1351),$H1351*$I1351*kg_per_mt*($M1351-$M1350),0)</f>
        <v/>
      </c>
      <c r="S1351" s="18">
        <f>IF(($B1350=$B1351),$S1350,0)+$R1351</f>
        <v/>
      </c>
      <c r="T1351" s="18">
        <f>ABS($H1351)*$I1351*kg_per_mt*$M1351</f>
        <v/>
      </c>
      <c r="U1351" s="18">
        <f>IF($K1351,0,$T1351*mcx_al_margin_used_frac)</f>
        <v/>
      </c>
      <c r="V1351" s="18">
        <f>IF(($B1350=$B1351),$U1350,0)</f>
        <v/>
      </c>
      <c r="W1351" s="18">
        <f>$U1351-$V1351</f>
        <v/>
      </c>
      <c r="X1351" s="18">
        <f>IF($K1351,0,$T1351*0.12)</f>
        <v/>
      </c>
      <c r="Y1351" s="18">
        <f>IF($K1351,0,$T1351*0.15)</f>
        <v/>
      </c>
      <c r="Z1351" s="18">
        <f>IF($F1351="hold",0,-ABS($H1351)*$I1351*kg_per_mt*mcx_slippage_ticks*mcx_al_tick_inr_kg)</f>
        <v/>
      </c>
      <c r="AA1351" s="18">
        <f>IF($F1351="hold",0,-ABS($H1351)*$I1351*kg_per_mt*$Q1351*mcx_txn_cost_frac)</f>
        <v/>
      </c>
      <c r="AB1351" s="18">
        <f>$Z1351+$AA1351</f>
        <v/>
      </c>
      <c r="AC1351" s="18">
        <f>$R1351-$W1351+$AB1351</f>
        <v/>
      </c>
      <c r="AD1351" s="18">
        <f>IF(($B1350=$B1351),$AD1350,0)+$AC1351</f>
        <v/>
      </c>
      <c r="AE1351" s="23" t="n">
        <v>-652520.26</v>
      </c>
      <c r="AF1351" s="23" t="n">
        <v>0</v>
      </c>
      <c r="AG1351" s="23" t="n">
        <v>-201957.12</v>
      </c>
      <c r="AH1351" s="23" t="n">
        <v>25220294</v>
      </c>
      <c r="AI1351" s="23" t="n">
        <v>-6211.35</v>
      </c>
      <c r="AJ1351" s="18">
        <f>$R1351-$AE1351</f>
        <v/>
      </c>
      <c r="AK1351" s="18">
        <f>$U1351-$AF1351</f>
        <v/>
      </c>
      <c r="AL1351" s="18">
        <f>$AC1351-$AH1351</f>
        <v/>
      </c>
      <c r="AM1351" s="8">
        <f>IF(AND(ABS($AJ1351)&lt;=tol_mcx_inr,ABS($AK1351)&lt;=tol_mcx_inr,ABS($AL1351)&lt;=tol_mcx_inr),"PASS","FAIL")</f>
        <v/>
      </c>
    </row>
    <row r="1352">
      <c r="A1352" s="7" t="inlineStr">
        <is>
          <t>T08</t>
        </is>
      </c>
      <c r="B1352" s="7" t="inlineStr">
        <is>
          <t>T08-MCX-1</t>
        </is>
      </c>
      <c r="C1352" s="11" t="n">
        <v>44757</v>
      </c>
      <c r="D1352" s="7" t="n">
        <v>202208</v>
      </c>
      <c r="E1352" s="7" t="inlineStr">
        <is>
          <t>SELL</t>
        </is>
      </c>
      <c r="F1352" s="7" t="inlineStr">
        <is>
          <t>entry</t>
        </is>
      </c>
      <c r="G1352" s="17" t="b">
        <v>1</v>
      </c>
      <c r="H1352" s="6" t="n">
        <v>-230</v>
      </c>
      <c r="I1352" s="13" t="n">
        <v>5</v>
      </c>
      <c r="J1352" s="8">
        <f>OR($F1352="entry",$F1352="roll_in")</f>
        <v/>
      </c>
      <c r="K1352" s="8">
        <f>OR($F1352="exit",$F1352="roll_out")</f>
        <v/>
      </c>
      <c r="L1352" s="8">
        <f>OR(AND($E1352="SELL",$K1352),AND($E1352="BUY",$J1352))</f>
        <v/>
      </c>
      <c r="M1352" s="16">
        <f>((INDEX(Market_Daily!$B$6:$B$256,MATCH($C1352,Market_Daily!$A$6:$A$256,0))*INDEX(Market_Daily!$F$6:$F$256,MATCH($C1352,Market_Daily!$A$6:$A$256,0))/kg_per_mt*(1+bcd_primary_al_hs7601*(1+sws_rate_on_bcd))+mcx_domestic_premium_inr_kg)*(1+INDEX(Market_Daily!$I$6:$I$256,MATCH($C1352,Market_Daily!$A$6:$A$256,0))*MAX(0,INDEX(mcx_expiries,MATCH($D1352,mcx_months,0))-$C1352)/day_count_inr))</f>
        <v/>
      </c>
      <c r="N1352" s="16">
        <f>IF(INDEX(Market_Daily!$S$6:$S$256,MATCH($C1352,Market_Daily!$A$6:$A$256,0))=$D1352,INDEX(Market_Daily!$M$6:$M$256,MATCH($C1352,Market_Daily!$A$6:$A$256,0)),IF(INDEX(Market_Daily!$T$6:$T$256,MATCH($C1352,Market_Daily!$A$6:$A$256,0))=$D1352,INDEX(Market_Daily!$N$6:$N$256,MATCH($C1352,Market_Daily!$A$6:$A$256,0)),NA()))</f>
        <v/>
      </c>
      <c r="O1352" s="16">
        <f>$N1352-$M1352</f>
        <v/>
      </c>
      <c r="P1352" s="16">
        <f>IF(($B1351=$B1352),$M1351,"")</f>
        <v/>
      </c>
      <c r="Q1352" s="16">
        <f>$M1352+IF($L1352,1,-1)*mcx_slippage_ticks*mcx_al_tick_inr_kg</f>
        <v/>
      </c>
      <c r="R1352" s="18">
        <f>IF(($B1351=$B1352),$H1352*$I1352*kg_per_mt*($M1352-$M1351),0)</f>
        <v/>
      </c>
      <c r="S1352" s="18">
        <f>IF(($B1351=$B1352),$S1351,0)+$R1352</f>
        <v/>
      </c>
      <c r="T1352" s="18">
        <f>ABS($H1352)*$I1352*kg_per_mt*$M1352</f>
        <v/>
      </c>
      <c r="U1352" s="18">
        <f>IF($K1352,0,$T1352*mcx_al_margin_used_frac)</f>
        <v/>
      </c>
      <c r="V1352" s="18">
        <f>IF(($B1351=$B1352),$U1351,0)</f>
        <v/>
      </c>
      <c r="W1352" s="18">
        <f>$U1352-$V1352</f>
        <v/>
      </c>
      <c r="X1352" s="18">
        <f>IF($K1352,0,$T1352*0.12)</f>
        <v/>
      </c>
      <c r="Y1352" s="18">
        <f>IF($K1352,0,$T1352*0.15)</f>
        <v/>
      </c>
      <c r="Z1352" s="18">
        <f>IF($F1352="hold",0,-ABS($H1352)*$I1352*kg_per_mt*mcx_slippage_ticks*mcx_al_tick_inr_kg)</f>
        <v/>
      </c>
      <c r="AA1352" s="18">
        <f>IF($F1352="hold",0,-ABS($H1352)*$I1352*kg_per_mt*$Q1352*mcx_txn_cost_frac)</f>
        <v/>
      </c>
      <c r="AB1352" s="18">
        <f>$Z1352+$AA1352</f>
        <v/>
      </c>
      <c r="AC1352" s="18">
        <f>$R1352-$W1352+$AB1352</f>
        <v/>
      </c>
      <c r="AD1352" s="18">
        <f>IF(($B1351=$B1352),$AD1351,0)+$AC1352</f>
        <v/>
      </c>
      <c r="AE1352" s="23" t="n">
        <v>0</v>
      </c>
      <c r="AF1352" s="23" t="n">
        <v>23222822.77</v>
      </c>
      <c r="AG1352" s="23" t="n">
        <v>-184633.97</v>
      </c>
      <c r="AH1352" s="23" t="n">
        <v>-23407456.73</v>
      </c>
      <c r="AI1352" s="23" t="n">
        <v>0</v>
      </c>
      <c r="AJ1352" s="18">
        <f>$R1352-$AE1352</f>
        <v/>
      </c>
      <c r="AK1352" s="18">
        <f>$U1352-$AF1352</f>
        <v/>
      </c>
      <c r="AL1352" s="18">
        <f>$AC1352-$AH1352</f>
        <v/>
      </c>
      <c r="AM1352" s="8">
        <f>IF(AND(ABS($AJ1352)&lt;=tol_mcx_inr,ABS($AK1352)&lt;=tol_mcx_inr,ABS($AL1352)&lt;=tol_mcx_inr),"PASS","FAIL")</f>
        <v/>
      </c>
    </row>
    <row r="1353">
      <c r="A1353" s="7" t="inlineStr">
        <is>
          <t>T08</t>
        </is>
      </c>
      <c r="B1353" s="7" t="inlineStr">
        <is>
          <t>T08-MCX-1</t>
        </is>
      </c>
      <c r="C1353" s="11" t="n">
        <v>44760</v>
      </c>
      <c r="D1353" s="7" t="n">
        <v>202208</v>
      </c>
      <c r="E1353" s="7" t="inlineStr">
        <is>
          <t>SELL</t>
        </is>
      </c>
      <c r="F1353" s="7" t="inlineStr">
        <is>
          <t>hold</t>
        </is>
      </c>
      <c r="G1353" s="17" t="b">
        <v>1</v>
      </c>
      <c r="H1353" s="6" t="n">
        <v>-230</v>
      </c>
      <c r="I1353" s="13" t="n">
        <v>5</v>
      </c>
      <c r="J1353" s="8">
        <f>OR($F1353="entry",$F1353="roll_in")</f>
        <v/>
      </c>
      <c r="K1353" s="8">
        <f>OR($F1353="exit",$F1353="roll_out")</f>
        <v/>
      </c>
      <c r="L1353" s="8">
        <f>OR(AND($E1353="SELL",$K1353),AND($E1353="BUY",$J1353))</f>
        <v/>
      </c>
      <c r="M1353" s="16">
        <f>((INDEX(Market_Daily!$B$6:$B$256,MATCH($C1353,Market_Daily!$A$6:$A$256,0))*INDEX(Market_Daily!$F$6:$F$256,MATCH($C1353,Market_Daily!$A$6:$A$256,0))/kg_per_mt*(1+bcd_primary_al_hs7601*(1+sws_rate_on_bcd))+mcx_domestic_premium_inr_kg)*(1+INDEX(Market_Daily!$I$6:$I$256,MATCH($C1353,Market_Daily!$A$6:$A$256,0))*MAX(0,INDEX(mcx_expiries,MATCH($D1353,mcx_months,0))-$C1353)/day_count_inr))</f>
        <v/>
      </c>
      <c r="N1353" s="16">
        <f>IF(INDEX(Market_Daily!$S$6:$S$256,MATCH($C1353,Market_Daily!$A$6:$A$256,0))=$D1353,INDEX(Market_Daily!$M$6:$M$256,MATCH($C1353,Market_Daily!$A$6:$A$256,0)),IF(INDEX(Market_Daily!$T$6:$T$256,MATCH($C1353,Market_Daily!$A$6:$A$256,0))=$D1353,INDEX(Market_Daily!$N$6:$N$256,MATCH($C1353,Market_Daily!$A$6:$A$256,0)),NA()))</f>
        <v/>
      </c>
      <c r="O1353" s="16">
        <f>$N1353-$M1353</f>
        <v/>
      </c>
      <c r="P1353" s="16">
        <f>IF(($B1352=$B1353),$M1352,"")</f>
        <v/>
      </c>
      <c r="Q1353" s="16">
        <f>$M1353+IF($L1353,1,-1)*mcx_slippage_ticks*mcx_al_tick_inr_kg</f>
        <v/>
      </c>
      <c r="R1353" s="18">
        <f>IF(($B1352=$B1353),$H1353*$I1353*kg_per_mt*($M1353-$M1352),0)</f>
        <v/>
      </c>
      <c r="S1353" s="18">
        <f>IF(($B1352=$B1353),$S1352,0)+$R1353</f>
        <v/>
      </c>
      <c r="T1353" s="18">
        <f>ABS($H1353)*$I1353*kg_per_mt*$M1353</f>
        <v/>
      </c>
      <c r="U1353" s="18">
        <f>IF($K1353,0,$T1353*mcx_al_margin_used_frac)</f>
        <v/>
      </c>
      <c r="V1353" s="18">
        <f>IF(($B1352=$B1353),$U1352,0)</f>
        <v/>
      </c>
      <c r="W1353" s="18">
        <f>$U1353-$V1353</f>
        <v/>
      </c>
      <c r="X1353" s="18">
        <f>IF($K1353,0,$T1353*0.12)</f>
        <v/>
      </c>
      <c r="Y1353" s="18">
        <f>IF($K1353,0,$T1353*0.15)</f>
        <v/>
      </c>
      <c r="Z1353" s="18">
        <f>IF($F1353="hold",0,-ABS($H1353)*$I1353*kg_per_mt*mcx_slippage_ticks*mcx_al_tick_inr_kg)</f>
        <v/>
      </c>
      <c r="AA1353" s="18">
        <f>IF($F1353="hold",0,-ABS($H1353)*$I1353*kg_per_mt*$Q1353*mcx_txn_cost_frac)</f>
        <v/>
      </c>
      <c r="AB1353" s="18">
        <f>$Z1353+$AA1353</f>
        <v/>
      </c>
      <c r="AC1353" s="18">
        <f>$R1353-$W1353+$AB1353</f>
        <v/>
      </c>
      <c r="AD1353" s="18">
        <f>IF(($B1352=$B1353),$AD1352,0)+$AC1353</f>
        <v/>
      </c>
      <c r="AE1353" s="23" t="n">
        <v>-6022083.85</v>
      </c>
      <c r="AF1353" s="23" t="n">
        <v>23825031.15</v>
      </c>
      <c r="AG1353" s="23" t="n">
        <v>0</v>
      </c>
      <c r="AH1353" s="23" t="n">
        <v>-6624292.24</v>
      </c>
      <c r="AI1353" s="23" t="n">
        <v>-19239.01</v>
      </c>
      <c r="AJ1353" s="18">
        <f>$R1353-$AE1353</f>
        <v/>
      </c>
      <c r="AK1353" s="18">
        <f>$U1353-$AF1353</f>
        <v/>
      </c>
      <c r="AL1353" s="18">
        <f>$AC1353-$AH1353</f>
        <v/>
      </c>
      <c r="AM1353" s="8">
        <f>IF(AND(ABS($AJ1353)&lt;=tol_mcx_inr,ABS($AK1353)&lt;=tol_mcx_inr,ABS($AL1353)&lt;=tol_mcx_inr),"PASS","FAIL")</f>
        <v/>
      </c>
    </row>
    <row r="1354">
      <c r="A1354" s="7" t="inlineStr">
        <is>
          <t>T08</t>
        </is>
      </c>
      <c r="B1354" s="7" t="inlineStr">
        <is>
          <t>T08-MCX-1</t>
        </is>
      </c>
      <c r="C1354" s="11" t="n">
        <v>44761</v>
      </c>
      <c r="D1354" s="7" t="n">
        <v>202208</v>
      </c>
      <c r="E1354" s="7" t="inlineStr">
        <is>
          <t>SELL</t>
        </is>
      </c>
      <c r="F1354" s="7" t="inlineStr">
        <is>
          <t>hold</t>
        </is>
      </c>
      <c r="G1354" s="17" t="b">
        <v>1</v>
      </c>
      <c r="H1354" s="6" t="n">
        <v>-230</v>
      </c>
      <c r="I1354" s="13" t="n">
        <v>5</v>
      </c>
      <c r="J1354" s="8">
        <f>OR($F1354="entry",$F1354="roll_in")</f>
        <v/>
      </c>
      <c r="K1354" s="8">
        <f>OR($F1354="exit",$F1354="roll_out")</f>
        <v/>
      </c>
      <c r="L1354" s="8">
        <f>OR(AND($E1354="SELL",$K1354),AND($E1354="BUY",$J1354))</f>
        <v/>
      </c>
      <c r="M1354" s="16">
        <f>((INDEX(Market_Daily!$B$6:$B$256,MATCH($C1354,Market_Daily!$A$6:$A$256,0))*INDEX(Market_Daily!$F$6:$F$256,MATCH($C1354,Market_Daily!$A$6:$A$256,0))/kg_per_mt*(1+bcd_primary_al_hs7601*(1+sws_rate_on_bcd))+mcx_domestic_premium_inr_kg)*(1+INDEX(Market_Daily!$I$6:$I$256,MATCH($C1354,Market_Daily!$A$6:$A$256,0))*MAX(0,INDEX(mcx_expiries,MATCH($D1354,mcx_months,0))-$C1354)/day_count_inr))</f>
        <v/>
      </c>
      <c r="N1354" s="16">
        <f>IF(INDEX(Market_Daily!$S$6:$S$256,MATCH($C1354,Market_Daily!$A$6:$A$256,0))=$D1354,INDEX(Market_Daily!$M$6:$M$256,MATCH($C1354,Market_Daily!$A$6:$A$256,0)),IF(INDEX(Market_Daily!$T$6:$T$256,MATCH($C1354,Market_Daily!$A$6:$A$256,0))=$D1354,INDEX(Market_Daily!$N$6:$N$256,MATCH($C1354,Market_Daily!$A$6:$A$256,0)),NA()))</f>
        <v/>
      </c>
      <c r="O1354" s="16">
        <f>$N1354-$M1354</f>
        <v/>
      </c>
      <c r="P1354" s="16">
        <f>IF(($B1353=$B1354),$M1353,"")</f>
        <v/>
      </c>
      <c r="Q1354" s="16">
        <f>$M1354+IF($L1354,1,-1)*mcx_slippage_ticks*mcx_al_tick_inr_kg</f>
        <v/>
      </c>
      <c r="R1354" s="18">
        <f>IF(($B1353=$B1354),$H1354*$I1354*kg_per_mt*($M1354-$M1353),0)</f>
        <v/>
      </c>
      <c r="S1354" s="18">
        <f>IF(($B1353=$B1354),$S1353,0)+$R1354</f>
        <v/>
      </c>
      <c r="T1354" s="18">
        <f>ABS($H1354)*$I1354*kg_per_mt*$M1354</f>
        <v/>
      </c>
      <c r="U1354" s="18">
        <f>IF($K1354,0,$T1354*mcx_al_margin_used_frac)</f>
        <v/>
      </c>
      <c r="V1354" s="18">
        <f>IF(($B1353=$B1354),$U1353,0)</f>
        <v/>
      </c>
      <c r="W1354" s="18">
        <f>$U1354-$V1354</f>
        <v/>
      </c>
      <c r="X1354" s="18">
        <f>IF($K1354,0,$T1354*0.12)</f>
        <v/>
      </c>
      <c r="Y1354" s="18">
        <f>IF($K1354,0,$T1354*0.15)</f>
        <v/>
      </c>
      <c r="Z1354" s="18">
        <f>IF($F1354="hold",0,-ABS($H1354)*$I1354*kg_per_mt*mcx_slippage_ticks*mcx_al_tick_inr_kg)</f>
        <v/>
      </c>
      <c r="AA1354" s="18">
        <f>IF($F1354="hold",0,-ABS($H1354)*$I1354*kg_per_mt*$Q1354*mcx_txn_cost_frac)</f>
        <v/>
      </c>
      <c r="AB1354" s="18">
        <f>$Z1354+$AA1354</f>
        <v/>
      </c>
      <c r="AC1354" s="18">
        <f>$R1354-$W1354+$AB1354</f>
        <v/>
      </c>
      <c r="AD1354" s="18">
        <f>IF(($B1353=$B1354),$AD1353,0)+$AC1354</f>
        <v/>
      </c>
      <c r="AE1354" s="23" t="n">
        <v>-3281206.4</v>
      </c>
      <c r="AF1354" s="23" t="n">
        <v>24153151.79</v>
      </c>
      <c r="AG1354" s="23" t="n">
        <v>0</v>
      </c>
      <c r="AH1354" s="23" t="n">
        <v>-3609327.04</v>
      </c>
      <c r="AI1354" s="23" t="n">
        <v>-8227.879999999999</v>
      </c>
      <c r="AJ1354" s="18">
        <f>$R1354-$AE1354</f>
        <v/>
      </c>
      <c r="AK1354" s="18">
        <f>$U1354-$AF1354</f>
        <v/>
      </c>
      <c r="AL1354" s="18">
        <f>$AC1354-$AH1354</f>
        <v/>
      </c>
      <c r="AM1354" s="8">
        <f>IF(AND(ABS($AJ1354)&lt;=tol_mcx_inr,ABS($AK1354)&lt;=tol_mcx_inr,ABS($AL1354)&lt;=tol_mcx_inr),"PASS","FAIL")</f>
        <v/>
      </c>
    </row>
    <row r="1355">
      <c r="A1355" s="7" t="inlineStr">
        <is>
          <t>T08</t>
        </is>
      </c>
      <c r="B1355" s="7" t="inlineStr">
        <is>
          <t>T08-MCX-1</t>
        </is>
      </c>
      <c r="C1355" s="11" t="n">
        <v>44762</v>
      </c>
      <c r="D1355" s="7" t="n">
        <v>202208</v>
      </c>
      <c r="E1355" s="7" t="inlineStr">
        <is>
          <t>SELL</t>
        </is>
      </c>
      <c r="F1355" s="7" t="inlineStr">
        <is>
          <t>hold</t>
        </is>
      </c>
      <c r="G1355" s="17" t="b">
        <v>1</v>
      </c>
      <c r="H1355" s="6" t="n">
        <v>-230</v>
      </c>
      <c r="I1355" s="13" t="n">
        <v>5</v>
      </c>
      <c r="J1355" s="8">
        <f>OR($F1355="entry",$F1355="roll_in")</f>
        <v/>
      </c>
      <c r="K1355" s="8">
        <f>OR($F1355="exit",$F1355="roll_out")</f>
        <v/>
      </c>
      <c r="L1355" s="8">
        <f>OR(AND($E1355="SELL",$K1355),AND($E1355="BUY",$J1355))</f>
        <v/>
      </c>
      <c r="M1355" s="16">
        <f>((INDEX(Market_Daily!$B$6:$B$256,MATCH($C1355,Market_Daily!$A$6:$A$256,0))*INDEX(Market_Daily!$F$6:$F$256,MATCH($C1355,Market_Daily!$A$6:$A$256,0))/kg_per_mt*(1+bcd_primary_al_hs7601*(1+sws_rate_on_bcd))+mcx_domestic_premium_inr_kg)*(1+INDEX(Market_Daily!$I$6:$I$256,MATCH($C1355,Market_Daily!$A$6:$A$256,0))*MAX(0,INDEX(mcx_expiries,MATCH($D1355,mcx_months,0))-$C1355)/day_count_inr))</f>
        <v/>
      </c>
      <c r="N1355" s="16">
        <f>IF(INDEX(Market_Daily!$S$6:$S$256,MATCH($C1355,Market_Daily!$A$6:$A$256,0))=$D1355,INDEX(Market_Daily!$M$6:$M$256,MATCH($C1355,Market_Daily!$A$6:$A$256,0)),IF(INDEX(Market_Daily!$T$6:$T$256,MATCH($C1355,Market_Daily!$A$6:$A$256,0))=$D1355,INDEX(Market_Daily!$N$6:$N$256,MATCH($C1355,Market_Daily!$A$6:$A$256,0)),NA()))</f>
        <v/>
      </c>
      <c r="O1355" s="16">
        <f>$N1355-$M1355</f>
        <v/>
      </c>
      <c r="P1355" s="16">
        <f>IF(($B1354=$B1355),$M1354,"")</f>
        <v/>
      </c>
      <c r="Q1355" s="16">
        <f>$M1355+IF($L1355,1,-1)*mcx_slippage_ticks*mcx_al_tick_inr_kg</f>
        <v/>
      </c>
      <c r="R1355" s="18">
        <f>IF(($B1354=$B1355),$H1355*$I1355*kg_per_mt*($M1355-$M1354),0)</f>
        <v/>
      </c>
      <c r="S1355" s="18">
        <f>IF(($B1354=$B1355),$S1354,0)+$R1355</f>
        <v/>
      </c>
      <c r="T1355" s="18">
        <f>ABS($H1355)*$I1355*kg_per_mt*$M1355</f>
        <v/>
      </c>
      <c r="U1355" s="18">
        <f>IF($K1355,0,$T1355*mcx_al_margin_used_frac)</f>
        <v/>
      </c>
      <c r="V1355" s="18">
        <f>IF(($B1354=$B1355),$U1354,0)</f>
        <v/>
      </c>
      <c r="W1355" s="18">
        <f>$U1355-$V1355</f>
        <v/>
      </c>
      <c r="X1355" s="18">
        <f>IF($K1355,0,$T1355*0.12)</f>
        <v/>
      </c>
      <c r="Y1355" s="18">
        <f>IF($K1355,0,$T1355*0.15)</f>
        <v/>
      </c>
      <c r="Z1355" s="18">
        <f>IF($F1355="hold",0,-ABS($H1355)*$I1355*kg_per_mt*mcx_slippage_ticks*mcx_al_tick_inr_kg)</f>
        <v/>
      </c>
      <c r="AA1355" s="18">
        <f>IF($F1355="hold",0,-ABS($H1355)*$I1355*kg_per_mt*$Q1355*mcx_txn_cost_frac)</f>
        <v/>
      </c>
      <c r="AB1355" s="18">
        <f>$Z1355+$AA1355</f>
        <v/>
      </c>
      <c r="AC1355" s="18">
        <f>$R1355-$W1355+$AB1355</f>
        <v/>
      </c>
      <c r="AD1355" s="18">
        <f>IF(($B1354=$B1355),$AD1354,0)+$AC1355</f>
        <v/>
      </c>
      <c r="AE1355" s="23" t="n">
        <v>-4627910.76</v>
      </c>
      <c r="AF1355" s="23" t="n">
        <v>24615942.87</v>
      </c>
      <c r="AG1355" s="23" t="n">
        <v>0</v>
      </c>
      <c r="AH1355" s="23" t="n">
        <v>-5090701.84</v>
      </c>
      <c r="AI1355" s="23" t="n">
        <v>-9216.73</v>
      </c>
      <c r="AJ1355" s="18">
        <f>$R1355-$AE1355</f>
        <v/>
      </c>
      <c r="AK1355" s="18">
        <f>$U1355-$AF1355</f>
        <v/>
      </c>
      <c r="AL1355" s="18">
        <f>$AC1355-$AH1355</f>
        <v/>
      </c>
      <c r="AM1355" s="8">
        <f>IF(AND(ABS($AJ1355)&lt;=tol_mcx_inr,ABS($AK1355)&lt;=tol_mcx_inr,ABS($AL1355)&lt;=tol_mcx_inr),"PASS","FAIL")</f>
        <v/>
      </c>
    </row>
    <row r="1356">
      <c r="A1356" s="7" t="inlineStr">
        <is>
          <t>T08</t>
        </is>
      </c>
      <c r="B1356" s="7" t="inlineStr">
        <is>
          <t>T08-MCX-1</t>
        </is>
      </c>
      <c r="C1356" s="11" t="n">
        <v>44763</v>
      </c>
      <c r="D1356" s="7" t="n">
        <v>202208</v>
      </c>
      <c r="E1356" s="7" t="inlineStr">
        <is>
          <t>SELL</t>
        </is>
      </c>
      <c r="F1356" s="7" t="inlineStr">
        <is>
          <t>hold</t>
        </is>
      </c>
      <c r="G1356" s="17" t="b">
        <v>1</v>
      </c>
      <c r="H1356" s="6" t="n">
        <v>-230</v>
      </c>
      <c r="I1356" s="13" t="n">
        <v>5</v>
      </c>
      <c r="J1356" s="8">
        <f>OR($F1356="entry",$F1356="roll_in")</f>
        <v/>
      </c>
      <c r="K1356" s="8">
        <f>OR($F1356="exit",$F1356="roll_out")</f>
        <v/>
      </c>
      <c r="L1356" s="8">
        <f>OR(AND($E1356="SELL",$K1356),AND($E1356="BUY",$J1356))</f>
        <v/>
      </c>
      <c r="M1356" s="16">
        <f>((INDEX(Market_Daily!$B$6:$B$256,MATCH($C1356,Market_Daily!$A$6:$A$256,0))*INDEX(Market_Daily!$F$6:$F$256,MATCH($C1356,Market_Daily!$A$6:$A$256,0))/kg_per_mt*(1+bcd_primary_al_hs7601*(1+sws_rate_on_bcd))+mcx_domestic_premium_inr_kg)*(1+INDEX(Market_Daily!$I$6:$I$256,MATCH($C1356,Market_Daily!$A$6:$A$256,0))*MAX(0,INDEX(mcx_expiries,MATCH($D1356,mcx_months,0))-$C1356)/day_count_inr))</f>
        <v/>
      </c>
      <c r="N1356" s="16">
        <f>IF(INDEX(Market_Daily!$S$6:$S$256,MATCH($C1356,Market_Daily!$A$6:$A$256,0))=$D1356,INDEX(Market_Daily!$M$6:$M$256,MATCH($C1356,Market_Daily!$A$6:$A$256,0)),IF(INDEX(Market_Daily!$T$6:$T$256,MATCH($C1356,Market_Daily!$A$6:$A$256,0))=$D1356,INDEX(Market_Daily!$N$6:$N$256,MATCH($C1356,Market_Daily!$A$6:$A$256,0)),NA()))</f>
        <v/>
      </c>
      <c r="O1356" s="16">
        <f>$N1356-$M1356</f>
        <v/>
      </c>
      <c r="P1356" s="16">
        <f>IF(($B1355=$B1356),$M1355,"")</f>
        <v/>
      </c>
      <c r="Q1356" s="16">
        <f>$M1356+IF($L1356,1,-1)*mcx_slippage_ticks*mcx_al_tick_inr_kg</f>
        <v/>
      </c>
      <c r="R1356" s="18">
        <f>IF(($B1355=$B1356),$H1356*$I1356*kg_per_mt*($M1356-$M1355),0)</f>
        <v/>
      </c>
      <c r="S1356" s="18">
        <f>IF(($B1355=$B1356),$S1355,0)+$R1356</f>
        <v/>
      </c>
      <c r="T1356" s="18">
        <f>ABS($H1356)*$I1356*kg_per_mt*$M1356</f>
        <v/>
      </c>
      <c r="U1356" s="18">
        <f>IF($K1356,0,$T1356*mcx_al_margin_used_frac)</f>
        <v/>
      </c>
      <c r="V1356" s="18">
        <f>IF(($B1355=$B1356),$U1355,0)</f>
        <v/>
      </c>
      <c r="W1356" s="18">
        <f>$U1356-$V1356</f>
        <v/>
      </c>
      <c r="X1356" s="18">
        <f>IF($K1356,0,$T1356*0.12)</f>
        <v/>
      </c>
      <c r="Y1356" s="18">
        <f>IF($K1356,0,$T1356*0.15)</f>
        <v/>
      </c>
      <c r="Z1356" s="18">
        <f>IF($F1356="hold",0,-ABS($H1356)*$I1356*kg_per_mt*mcx_slippage_ticks*mcx_al_tick_inr_kg)</f>
        <v/>
      </c>
      <c r="AA1356" s="18">
        <f>IF($F1356="hold",0,-ABS($H1356)*$I1356*kg_per_mt*$Q1356*mcx_txn_cost_frac)</f>
        <v/>
      </c>
      <c r="AB1356" s="18">
        <f>$Z1356+$AA1356</f>
        <v/>
      </c>
      <c r="AC1356" s="18">
        <f>$R1356-$W1356+$AB1356</f>
        <v/>
      </c>
      <c r="AD1356" s="18">
        <f>IF(($B1355=$B1356),$AD1355,0)+$AC1356</f>
        <v/>
      </c>
      <c r="AE1356" s="23" t="n">
        <v>3532316.42</v>
      </c>
      <c r="AF1356" s="23" t="n">
        <v>24262711.22</v>
      </c>
      <c r="AG1356" s="23" t="n">
        <v>0</v>
      </c>
      <c r="AH1356" s="23" t="n">
        <v>3885548.06</v>
      </c>
      <c r="AI1356" s="23" t="n">
        <v>-10611.45</v>
      </c>
      <c r="AJ1356" s="18">
        <f>$R1356-$AE1356</f>
        <v/>
      </c>
      <c r="AK1356" s="18">
        <f>$U1356-$AF1356</f>
        <v/>
      </c>
      <c r="AL1356" s="18">
        <f>$AC1356-$AH1356</f>
        <v/>
      </c>
      <c r="AM1356" s="8">
        <f>IF(AND(ABS($AJ1356)&lt;=tol_mcx_inr,ABS($AK1356)&lt;=tol_mcx_inr,ABS($AL1356)&lt;=tol_mcx_inr),"PASS","FAIL")</f>
        <v/>
      </c>
    </row>
    <row r="1357">
      <c r="A1357" s="7" t="inlineStr">
        <is>
          <t>T08</t>
        </is>
      </c>
      <c r="B1357" s="7" t="inlineStr">
        <is>
          <t>T08-MCX-1</t>
        </is>
      </c>
      <c r="C1357" s="11" t="n">
        <v>44764</v>
      </c>
      <c r="D1357" s="7" t="n">
        <v>202208</v>
      </c>
      <c r="E1357" s="7" t="inlineStr">
        <is>
          <t>SELL</t>
        </is>
      </c>
      <c r="F1357" s="7" t="inlineStr">
        <is>
          <t>hold</t>
        </is>
      </c>
      <c r="G1357" s="17" t="b">
        <v>1</v>
      </c>
      <c r="H1357" s="6" t="n">
        <v>-230</v>
      </c>
      <c r="I1357" s="13" t="n">
        <v>5</v>
      </c>
      <c r="J1357" s="8">
        <f>OR($F1357="entry",$F1357="roll_in")</f>
        <v/>
      </c>
      <c r="K1357" s="8">
        <f>OR($F1357="exit",$F1357="roll_out")</f>
        <v/>
      </c>
      <c r="L1357" s="8">
        <f>OR(AND($E1357="SELL",$K1357),AND($E1357="BUY",$J1357))</f>
        <v/>
      </c>
      <c r="M1357" s="16">
        <f>((INDEX(Market_Daily!$B$6:$B$256,MATCH($C1357,Market_Daily!$A$6:$A$256,0))*INDEX(Market_Daily!$F$6:$F$256,MATCH($C1357,Market_Daily!$A$6:$A$256,0))/kg_per_mt*(1+bcd_primary_al_hs7601*(1+sws_rate_on_bcd))+mcx_domestic_premium_inr_kg)*(1+INDEX(Market_Daily!$I$6:$I$256,MATCH($C1357,Market_Daily!$A$6:$A$256,0))*MAX(0,INDEX(mcx_expiries,MATCH($D1357,mcx_months,0))-$C1357)/day_count_inr))</f>
        <v/>
      </c>
      <c r="N1357" s="16">
        <f>IF(INDEX(Market_Daily!$S$6:$S$256,MATCH($C1357,Market_Daily!$A$6:$A$256,0))=$D1357,INDEX(Market_Daily!$M$6:$M$256,MATCH($C1357,Market_Daily!$A$6:$A$256,0)),IF(INDEX(Market_Daily!$T$6:$T$256,MATCH($C1357,Market_Daily!$A$6:$A$256,0))=$D1357,INDEX(Market_Daily!$N$6:$N$256,MATCH($C1357,Market_Daily!$A$6:$A$256,0)),NA()))</f>
        <v/>
      </c>
      <c r="O1357" s="16">
        <f>$N1357-$M1357</f>
        <v/>
      </c>
      <c r="P1357" s="16">
        <f>IF(($B1356=$B1357),$M1356,"")</f>
        <v/>
      </c>
      <c r="Q1357" s="16">
        <f>$M1357+IF($L1357,1,-1)*mcx_slippage_ticks*mcx_al_tick_inr_kg</f>
        <v/>
      </c>
      <c r="R1357" s="18">
        <f>IF(($B1356=$B1357),$H1357*$I1357*kg_per_mt*($M1357-$M1356),0)</f>
        <v/>
      </c>
      <c r="S1357" s="18">
        <f>IF(($B1356=$B1357),$S1356,0)+$R1357</f>
        <v/>
      </c>
      <c r="T1357" s="18">
        <f>ABS($H1357)*$I1357*kg_per_mt*$M1357</f>
        <v/>
      </c>
      <c r="U1357" s="18">
        <f>IF($K1357,0,$T1357*mcx_al_margin_used_frac)</f>
        <v/>
      </c>
      <c r="V1357" s="18">
        <f>IF(($B1356=$B1357),$U1356,0)</f>
        <v/>
      </c>
      <c r="W1357" s="18">
        <f>$U1357-$V1357</f>
        <v/>
      </c>
      <c r="X1357" s="18">
        <f>IF($K1357,0,$T1357*0.12)</f>
        <v/>
      </c>
      <c r="Y1357" s="18">
        <f>IF($K1357,0,$T1357*0.15)</f>
        <v/>
      </c>
      <c r="Z1357" s="18">
        <f>IF($F1357="hold",0,-ABS($H1357)*$I1357*kg_per_mt*mcx_slippage_ticks*mcx_al_tick_inr_kg)</f>
        <v/>
      </c>
      <c r="AA1357" s="18">
        <f>IF($F1357="hold",0,-ABS($H1357)*$I1357*kg_per_mt*$Q1357*mcx_txn_cost_frac)</f>
        <v/>
      </c>
      <c r="AB1357" s="18">
        <f>$Z1357+$AA1357</f>
        <v/>
      </c>
      <c r="AC1357" s="18">
        <f>$R1357-$W1357+$AB1357</f>
        <v/>
      </c>
      <c r="AD1357" s="18">
        <f>IF(($B1356=$B1357),$AD1356,0)+$AC1357</f>
        <v/>
      </c>
      <c r="AE1357" s="23" t="n">
        <v>-3379263.96</v>
      </c>
      <c r="AF1357" s="23" t="n">
        <v>24600637.62</v>
      </c>
      <c r="AG1357" s="23" t="n">
        <v>0</v>
      </c>
      <c r="AH1357" s="23" t="n">
        <v>-3717190.36</v>
      </c>
      <c r="AI1357" s="23" t="n">
        <v>-9546.91</v>
      </c>
      <c r="AJ1357" s="18">
        <f>$R1357-$AE1357</f>
        <v/>
      </c>
      <c r="AK1357" s="18">
        <f>$U1357-$AF1357</f>
        <v/>
      </c>
      <c r="AL1357" s="18">
        <f>$AC1357-$AH1357</f>
        <v/>
      </c>
      <c r="AM1357" s="8">
        <f>IF(AND(ABS($AJ1357)&lt;=tol_mcx_inr,ABS($AK1357)&lt;=tol_mcx_inr,ABS($AL1357)&lt;=tol_mcx_inr),"PASS","FAIL")</f>
        <v/>
      </c>
    </row>
    <row r="1358">
      <c r="A1358" s="7" t="inlineStr">
        <is>
          <t>T08</t>
        </is>
      </c>
      <c r="B1358" s="7" t="inlineStr">
        <is>
          <t>T08-MCX-1</t>
        </is>
      </c>
      <c r="C1358" s="11" t="n">
        <v>44767</v>
      </c>
      <c r="D1358" s="7" t="n">
        <v>202208</v>
      </c>
      <c r="E1358" s="7" t="inlineStr">
        <is>
          <t>SELL</t>
        </is>
      </c>
      <c r="F1358" s="7" t="inlineStr">
        <is>
          <t>hold</t>
        </is>
      </c>
      <c r="G1358" s="17" t="b">
        <v>1</v>
      </c>
      <c r="H1358" s="6" t="n">
        <v>-230</v>
      </c>
      <c r="I1358" s="13" t="n">
        <v>5</v>
      </c>
      <c r="J1358" s="8">
        <f>OR($F1358="entry",$F1358="roll_in")</f>
        <v/>
      </c>
      <c r="K1358" s="8">
        <f>OR($F1358="exit",$F1358="roll_out")</f>
        <v/>
      </c>
      <c r="L1358" s="8">
        <f>OR(AND($E1358="SELL",$K1358),AND($E1358="BUY",$J1358))</f>
        <v/>
      </c>
      <c r="M1358" s="16">
        <f>((INDEX(Market_Daily!$B$6:$B$256,MATCH($C1358,Market_Daily!$A$6:$A$256,0))*INDEX(Market_Daily!$F$6:$F$256,MATCH($C1358,Market_Daily!$A$6:$A$256,0))/kg_per_mt*(1+bcd_primary_al_hs7601*(1+sws_rate_on_bcd))+mcx_domestic_premium_inr_kg)*(1+INDEX(Market_Daily!$I$6:$I$256,MATCH($C1358,Market_Daily!$A$6:$A$256,0))*MAX(0,INDEX(mcx_expiries,MATCH($D1358,mcx_months,0))-$C1358)/day_count_inr))</f>
        <v/>
      </c>
      <c r="N1358" s="16">
        <f>IF(INDEX(Market_Daily!$S$6:$S$256,MATCH($C1358,Market_Daily!$A$6:$A$256,0))=$D1358,INDEX(Market_Daily!$M$6:$M$256,MATCH($C1358,Market_Daily!$A$6:$A$256,0)),IF(INDEX(Market_Daily!$T$6:$T$256,MATCH($C1358,Market_Daily!$A$6:$A$256,0))=$D1358,INDEX(Market_Daily!$N$6:$N$256,MATCH($C1358,Market_Daily!$A$6:$A$256,0)),NA()))</f>
        <v/>
      </c>
      <c r="O1358" s="16">
        <f>$N1358-$M1358</f>
        <v/>
      </c>
      <c r="P1358" s="16">
        <f>IF(($B1357=$B1358),$M1357,"")</f>
        <v/>
      </c>
      <c r="Q1358" s="16">
        <f>$M1358+IF($L1358,1,-1)*mcx_slippage_ticks*mcx_al_tick_inr_kg</f>
        <v/>
      </c>
      <c r="R1358" s="18">
        <f>IF(($B1357=$B1358),$H1358*$I1358*kg_per_mt*($M1358-$M1357),0)</f>
        <v/>
      </c>
      <c r="S1358" s="18">
        <f>IF(($B1357=$B1358),$S1357,0)+$R1358</f>
        <v/>
      </c>
      <c r="T1358" s="18">
        <f>ABS($H1358)*$I1358*kg_per_mt*$M1358</f>
        <v/>
      </c>
      <c r="U1358" s="18">
        <f>IF($K1358,0,$T1358*mcx_al_margin_used_frac)</f>
        <v/>
      </c>
      <c r="V1358" s="18">
        <f>IF(($B1357=$B1358),$U1357,0)</f>
        <v/>
      </c>
      <c r="W1358" s="18">
        <f>$U1358-$V1358</f>
        <v/>
      </c>
      <c r="X1358" s="18">
        <f>IF($K1358,0,$T1358*0.12)</f>
        <v/>
      </c>
      <c r="Y1358" s="18">
        <f>IF($K1358,0,$T1358*0.15)</f>
        <v/>
      </c>
      <c r="Z1358" s="18">
        <f>IF($F1358="hold",0,-ABS($H1358)*$I1358*kg_per_mt*mcx_slippage_ticks*mcx_al_tick_inr_kg)</f>
        <v/>
      </c>
      <c r="AA1358" s="18">
        <f>IF($F1358="hold",0,-ABS($H1358)*$I1358*kg_per_mt*$Q1358*mcx_txn_cost_frac)</f>
        <v/>
      </c>
      <c r="AB1358" s="18">
        <f>$Z1358+$AA1358</f>
        <v/>
      </c>
      <c r="AC1358" s="18">
        <f>$R1358-$W1358+$AB1358</f>
        <v/>
      </c>
      <c r="AD1358" s="18">
        <f>IF(($B1357=$B1358),$AD1357,0)+$AC1358</f>
        <v/>
      </c>
      <c r="AE1358" s="23" t="n">
        <v>3204861.27</v>
      </c>
      <c r="AF1358" s="23" t="n">
        <v>24280151.49</v>
      </c>
      <c r="AG1358" s="23" t="n">
        <v>0</v>
      </c>
      <c r="AH1358" s="23" t="n">
        <v>3525347.4</v>
      </c>
      <c r="AI1358" s="23" t="n">
        <v>-31695.96</v>
      </c>
      <c r="AJ1358" s="18">
        <f>$R1358-$AE1358</f>
        <v/>
      </c>
      <c r="AK1358" s="18">
        <f>$U1358-$AF1358</f>
        <v/>
      </c>
      <c r="AL1358" s="18">
        <f>$AC1358-$AH1358</f>
        <v/>
      </c>
      <c r="AM1358" s="8">
        <f>IF(AND(ABS($AJ1358)&lt;=tol_mcx_inr,ABS($AK1358)&lt;=tol_mcx_inr,ABS($AL1358)&lt;=tol_mcx_inr),"PASS","FAIL")</f>
        <v/>
      </c>
    </row>
    <row r="1359">
      <c r="A1359" s="7" t="inlineStr">
        <is>
          <t>T08</t>
        </is>
      </c>
      <c r="B1359" s="7" t="inlineStr">
        <is>
          <t>T08-MCX-1</t>
        </is>
      </c>
      <c r="C1359" s="11" t="n">
        <v>44768</v>
      </c>
      <c r="D1359" s="7" t="n">
        <v>202208</v>
      </c>
      <c r="E1359" s="7" t="inlineStr">
        <is>
          <t>SELL</t>
        </is>
      </c>
      <c r="F1359" s="7" t="inlineStr">
        <is>
          <t>hold</t>
        </is>
      </c>
      <c r="G1359" s="17" t="b">
        <v>1</v>
      </c>
      <c r="H1359" s="6" t="n">
        <v>-230</v>
      </c>
      <c r="I1359" s="13" t="n">
        <v>5</v>
      </c>
      <c r="J1359" s="8">
        <f>OR($F1359="entry",$F1359="roll_in")</f>
        <v/>
      </c>
      <c r="K1359" s="8">
        <f>OR($F1359="exit",$F1359="roll_out")</f>
        <v/>
      </c>
      <c r="L1359" s="8">
        <f>OR(AND($E1359="SELL",$K1359),AND($E1359="BUY",$J1359))</f>
        <v/>
      </c>
      <c r="M1359" s="16">
        <f>((INDEX(Market_Daily!$B$6:$B$256,MATCH($C1359,Market_Daily!$A$6:$A$256,0))*INDEX(Market_Daily!$F$6:$F$256,MATCH($C1359,Market_Daily!$A$6:$A$256,0))/kg_per_mt*(1+bcd_primary_al_hs7601*(1+sws_rate_on_bcd))+mcx_domestic_premium_inr_kg)*(1+INDEX(Market_Daily!$I$6:$I$256,MATCH($C1359,Market_Daily!$A$6:$A$256,0))*MAX(0,INDEX(mcx_expiries,MATCH($D1359,mcx_months,0))-$C1359)/day_count_inr))</f>
        <v/>
      </c>
      <c r="N1359" s="16">
        <f>IF(INDEX(Market_Daily!$S$6:$S$256,MATCH($C1359,Market_Daily!$A$6:$A$256,0))=$D1359,INDEX(Market_Daily!$M$6:$M$256,MATCH($C1359,Market_Daily!$A$6:$A$256,0)),IF(INDEX(Market_Daily!$T$6:$T$256,MATCH($C1359,Market_Daily!$A$6:$A$256,0))=$D1359,INDEX(Market_Daily!$N$6:$N$256,MATCH($C1359,Market_Daily!$A$6:$A$256,0)),NA()))</f>
        <v/>
      </c>
      <c r="O1359" s="16">
        <f>$N1359-$M1359</f>
        <v/>
      </c>
      <c r="P1359" s="16">
        <f>IF(($B1358=$B1359),$M1358,"")</f>
        <v/>
      </c>
      <c r="Q1359" s="16">
        <f>$M1359+IF($L1359,1,-1)*mcx_slippage_ticks*mcx_al_tick_inr_kg</f>
        <v/>
      </c>
      <c r="R1359" s="18">
        <f>IF(($B1358=$B1359),$H1359*$I1359*kg_per_mt*($M1359-$M1358),0)</f>
        <v/>
      </c>
      <c r="S1359" s="18">
        <f>IF(($B1358=$B1359),$S1358,0)+$R1359</f>
        <v/>
      </c>
      <c r="T1359" s="18">
        <f>ABS($H1359)*$I1359*kg_per_mt*$M1359</f>
        <v/>
      </c>
      <c r="U1359" s="18">
        <f>IF($K1359,0,$T1359*mcx_al_margin_used_frac)</f>
        <v/>
      </c>
      <c r="V1359" s="18">
        <f>IF(($B1358=$B1359),$U1358,0)</f>
        <v/>
      </c>
      <c r="W1359" s="18">
        <f>$U1359-$V1359</f>
        <v/>
      </c>
      <c r="X1359" s="18">
        <f>IF($K1359,0,$T1359*0.12)</f>
        <v/>
      </c>
      <c r="Y1359" s="18">
        <f>IF($K1359,0,$T1359*0.15)</f>
        <v/>
      </c>
      <c r="Z1359" s="18">
        <f>IF($F1359="hold",0,-ABS($H1359)*$I1359*kg_per_mt*mcx_slippage_ticks*mcx_al_tick_inr_kg)</f>
        <v/>
      </c>
      <c r="AA1359" s="18">
        <f>IF($F1359="hold",0,-ABS($H1359)*$I1359*kg_per_mt*$Q1359*mcx_txn_cost_frac)</f>
        <v/>
      </c>
      <c r="AB1359" s="18">
        <f>$Z1359+$AA1359</f>
        <v/>
      </c>
      <c r="AC1359" s="18">
        <f>$R1359-$W1359+$AB1359</f>
        <v/>
      </c>
      <c r="AD1359" s="18">
        <f>IF(($B1358=$B1359),$AD1358,0)+$AC1359</f>
        <v/>
      </c>
      <c r="AE1359" s="23" t="n">
        <v>-607609.96</v>
      </c>
      <c r="AF1359" s="23" t="n">
        <v>24340912.49</v>
      </c>
      <c r="AG1359" s="23" t="n">
        <v>0</v>
      </c>
      <c r="AH1359" s="23" t="n">
        <v>-668370.96</v>
      </c>
      <c r="AI1359" s="23" t="n">
        <v>-9599.469999999999</v>
      </c>
      <c r="AJ1359" s="18">
        <f>$R1359-$AE1359</f>
        <v/>
      </c>
      <c r="AK1359" s="18">
        <f>$U1359-$AF1359</f>
        <v/>
      </c>
      <c r="AL1359" s="18">
        <f>$AC1359-$AH1359</f>
        <v/>
      </c>
      <c r="AM1359" s="8">
        <f>IF(AND(ABS($AJ1359)&lt;=tol_mcx_inr,ABS($AK1359)&lt;=tol_mcx_inr,ABS($AL1359)&lt;=tol_mcx_inr),"PASS","FAIL")</f>
        <v/>
      </c>
    </row>
    <row r="1360">
      <c r="A1360" s="7" t="inlineStr">
        <is>
          <t>T08</t>
        </is>
      </c>
      <c r="B1360" s="7" t="inlineStr">
        <is>
          <t>T08-MCX-1</t>
        </is>
      </c>
      <c r="C1360" s="11" t="n">
        <v>44769</v>
      </c>
      <c r="D1360" s="7" t="n">
        <v>202208</v>
      </c>
      <c r="E1360" s="7" t="inlineStr">
        <is>
          <t>SELL</t>
        </is>
      </c>
      <c r="F1360" s="7" t="inlineStr">
        <is>
          <t>hold</t>
        </is>
      </c>
      <c r="G1360" s="17" t="b">
        <v>1</v>
      </c>
      <c r="H1360" s="6" t="n">
        <v>-230</v>
      </c>
      <c r="I1360" s="13" t="n">
        <v>5</v>
      </c>
      <c r="J1360" s="8">
        <f>OR($F1360="entry",$F1360="roll_in")</f>
        <v/>
      </c>
      <c r="K1360" s="8">
        <f>OR($F1360="exit",$F1360="roll_out")</f>
        <v/>
      </c>
      <c r="L1360" s="8">
        <f>OR(AND($E1360="SELL",$K1360),AND($E1360="BUY",$J1360))</f>
        <v/>
      </c>
      <c r="M1360" s="16">
        <f>((INDEX(Market_Daily!$B$6:$B$256,MATCH($C1360,Market_Daily!$A$6:$A$256,0))*INDEX(Market_Daily!$F$6:$F$256,MATCH($C1360,Market_Daily!$A$6:$A$256,0))/kg_per_mt*(1+bcd_primary_al_hs7601*(1+sws_rate_on_bcd))+mcx_domestic_premium_inr_kg)*(1+INDEX(Market_Daily!$I$6:$I$256,MATCH($C1360,Market_Daily!$A$6:$A$256,0))*MAX(0,INDEX(mcx_expiries,MATCH($D1360,mcx_months,0))-$C1360)/day_count_inr))</f>
        <v/>
      </c>
      <c r="N1360" s="16">
        <f>IF(INDEX(Market_Daily!$S$6:$S$256,MATCH($C1360,Market_Daily!$A$6:$A$256,0))=$D1360,INDEX(Market_Daily!$M$6:$M$256,MATCH($C1360,Market_Daily!$A$6:$A$256,0)),IF(INDEX(Market_Daily!$T$6:$T$256,MATCH($C1360,Market_Daily!$A$6:$A$256,0))=$D1360,INDEX(Market_Daily!$N$6:$N$256,MATCH($C1360,Market_Daily!$A$6:$A$256,0)),NA()))</f>
        <v/>
      </c>
      <c r="O1360" s="16">
        <f>$N1360-$M1360</f>
        <v/>
      </c>
      <c r="P1360" s="16">
        <f>IF(($B1359=$B1360),$M1359,"")</f>
        <v/>
      </c>
      <c r="Q1360" s="16">
        <f>$M1360+IF($L1360,1,-1)*mcx_slippage_ticks*mcx_al_tick_inr_kg</f>
        <v/>
      </c>
      <c r="R1360" s="18">
        <f>IF(($B1359=$B1360),$H1360*$I1360*kg_per_mt*($M1360-$M1359),0)</f>
        <v/>
      </c>
      <c r="S1360" s="18">
        <f>IF(($B1359=$B1360),$S1359,0)+$R1360</f>
        <v/>
      </c>
      <c r="T1360" s="18">
        <f>ABS($H1360)*$I1360*kg_per_mt*$M1360</f>
        <v/>
      </c>
      <c r="U1360" s="18">
        <f>IF($K1360,0,$T1360*mcx_al_margin_used_frac)</f>
        <v/>
      </c>
      <c r="V1360" s="18">
        <f>IF(($B1359=$B1360),$U1359,0)</f>
        <v/>
      </c>
      <c r="W1360" s="18">
        <f>$U1360-$V1360</f>
        <v/>
      </c>
      <c r="X1360" s="18">
        <f>IF($K1360,0,$T1360*0.12)</f>
        <v/>
      </c>
      <c r="Y1360" s="18">
        <f>IF($K1360,0,$T1360*0.15)</f>
        <v/>
      </c>
      <c r="Z1360" s="18">
        <f>IF($F1360="hold",0,-ABS($H1360)*$I1360*kg_per_mt*mcx_slippage_ticks*mcx_al_tick_inr_kg)</f>
        <v/>
      </c>
      <c r="AA1360" s="18">
        <f>IF($F1360="hold",0,-ABS($H1360)*$I1360*kg_per_mt*$Q1360*mcx_txn_cost_frac)</f>
        <v/>
      </c>
      <c r="AB1360" s="18">
        <f>$Z1360+$AA1360</f>
        <v/>
      </c>
      <c r="AC1360" s="18">
        <f>$R1360-$W1360+$AB1360</f>
        <v/>
      </c>
      <c r="AD1360" s="18">
        <f>IF(($B1359=$B1360),$AD1359,0)+$AC1360</f>
        <v/>
      </c>
      <c r="AE1360" s="23" t="n">
        <v>4365257.94</v>
      </c>
      <c r="AF1360" s="23" t="n">
        <v>23904386.7</v>
      </c>
      <c r="AG1360" s="23" t="n">
        <v>0</v>
      </c>
      <c r="AH1360" s="23" t="n">
        <v>4801783.74</v>
      </c>
      <c r="AI1360" s="23" t="n">
        <v>-9782.59</v>
      </c>
      <c r="AJ1360" s="18">
        <f>$R1360-$AE1360</f>
        <v/>
      </c>
      <c r="AK1360" s="18">
        <f>$U1360-$AF1360</f>
        <v/>
      </c>
      <c r="AL1360" s="18">
        <f>$AC1360-$AH1360</f>
        <v/>
      </c>
      <c r="AM1360" s="8">
        <f>IF(AND(ABS($AJ1360)&lt;=tol_mcx_inr,ABS($AK1360)&lt;=tol_mcx_inr,ABS($AL1360)&lt;=tol_mcx_inr),"PASS","FAIL")</f>
        <v/>
      </c>
    </row>
    <row r="1361">
      <c r="A1361" s="7" t="inlineStr">
        <is>
          <t>T08</t>
        </is>
      </c>
      <c r="B1361" s="7" t="inlineStr">
        <is>
          <t>T08-MCX-1</t>
        </is>
      </c>
      <c r="C1361" s="11" t="n">
        <v>44770</v>
      </c>
      <c r="D1361" s="7" t="n">
        <v>202208</v>
      </c>
      <c r="E1361" s="7" t="inlineStr">
        <is>
          <t>SELL</t>
        </is>
      </c>
      <c r="F1361" s="7" t="inlineStr">
        <is>
          <t>hold</t>
        </is>
      </c>
      <c r="G1361" s="17" t="b">
        <v>1</v>
      </c>
      <c r="H1361" s="6" t="n">
        <v>-230</v>
      </c>
      <c r="I1361" s="13" t="n">
        <v>5</v>
      </c>
      <c r="J1361" s="8">
        <f>OR($F1361="entry",$F1361="roll_in")</f>
        <v/>
      </c>
      <c r="K1361" s="8">
        <f>OR($F1361="exit",$F1361="roll_out")</f>
        <v/>
      </c>
      <c r="L1361" s="8">
        <f>OR(AND($E1361="SELL",$K1361),AND($E1361="BUY",$J1361))</f>
        <v/>
      </c>
      <c r="M1361" s="16">
        <f>((INDEX(Market_Daily!$B$6:$B$256,MATCH($C1361,Market_Daily!$A$6:$A$256,0))*INDEX(Market_Daily!$F$6:$F$256,MATCH($C1361,Market_Daily!$A$6:$A$256,0))/kg_per_mt*(1+bcd_primary_al_hs7601*(1+sws_rate_on_bcd))+mcx_domestic_premium_inr_kg)*(1+INDEX(Market_Daily!$I$6:$I$256,MATCH($C1361,Market_Daily!$A$6:$A$256,0))*MAX(0,INDEX(mcx_expiries,MATCH($D1361,mcx_months,0))-$C1361)/day_count_inr))</f>
        <v/>
      </c>
      <c r="N1361" s="16">
        <f>IF(INDEX(Market_Daily!$S$6:$S$256,MATCH($C1361,Market_Daily!$A$6:$A$256,0))=$D1361,INDEX(Market_Daily!$M$6:$M$256,MATCH($C1361,Market_Daily!$A$6:$A$256,0)),IF(INDEX(Market_Daily!$T$6:$T$256,MATCH($C1361,Market_Daily!$A$6:$A$256,0))=$D1361,INDEX(Market_Daily!$N$6:$N$256,MATCH($C1361,Market_Daily!$A$6:$A$256,0)),NA()))</f>
        <v/>
      </c>
      <c r="O1361" s="16">
        <f>$N1361-$M1361</f>
        <v/>
      </c>
      <c r="P1361" s="16">
        <f>IF(($B1360=$B1361),$M1360,"")</f>
        <v/>
      </c>
      <c r="Q1361" s="16">
        <f>$M1361+IF($L1361,1,-1)*mcx_slippage_ticks*mcx_al_tick_inr_kg</f>
        <v/>
      </c>
      <c r="R1361" s="18">
        <f>IF(($B1360=$B1361),$H1361*$I1361*kg_per_mt*($M1361-$M1360),0)</f>
        <v/>
      </c>
      <c r="S1361" s="18">
        <f>IF(($B1360=$B1361),$S1360,0)+$R1361</f>
        <v/>
      </c>
      <c r="T1361" s="18">
        <f>ABS($H1361)*$I1361*kg_per_mt*$M1361</f>
        <v/>
      </c>
      <c r="U1361" s="18">
        <f>IF($K1361,0,$T1361*mcx_al_margin_used_frac)</f>
        <v/>
      </c>
      <c r="V1361" s="18">
        <f>IF(($B1360=$B1361),$U1360,0)</f>
        <v/>
      </c>
      <c r="W1361" s="18">
        <f>$U1361-$V1361</f>
        <v/>
      </c>
      <c r="X1361" s="18">
        <f>IF($K1361,0,$T1361*0.12)</f>
        <v/>
      </c>
      <c r="Y1361" s="18">
        <f>IF($K1361,0,$T1361*0.15)</f>
        <v/>
      </c>
      <c r="Z1361" s="18">
        <f>IF($F1361="hold",0,-ABS($H1361)*$I1361*kg_per_mt*mcx_slippage_ticks*mcx_al_tick_inr_kg)</f>
        <v/>
      </c>
      <c r="AA1361" s="18">
        <f>IF($F1361="hold",0,-ABS($H1361)*$I1361*kg_per_mt*$Q1361*mcx_txn_cost_frac)</f>
        <v/>
      </c>
      <c r="AB1361" s="18">
        <f>$Z1361+$AA1361</f>
        <v/>
      </c>
      <c r="AC1361" s="18">
        <f>$R1361-$W1361+$AB1361</f>
        <v/>
      </c>
      <c r="AD1361" s="18">
        <f>IF(($B1360=$B1361),$AD1360,0)+$AC1361</f>
        <v/>
      </c>
      <c r="AE1361" s="23" t="n">
        <v>-5979916.28</v>
      </c>
      <c r="AF1361" s="23" t="n">
        <v>24502378.32</v>
      </c>
      <c r="AG1361" s="23" t="n">
        <v>0</v>
      </c>
      <c r="AH1361" s="23" t="n">
        <v>-6577907.91</v>
      </c>
      <c r="AI1361" s="23" t="n">
        <v>-8467.030000000001</v>
      </c>
      <c r="AJ1361" s="18">
        <f>$R1361-$AE1361</f>
        <v/>
      </c>
      <c r="AK1361" s="18">
        <f>$U1361-$AF1361</f>
        <v/>
      </c>
      <c r="AL1361" s="18">
        <f>$AC1361-$AH1361</f>
        <v/>
      </c>
      <c r="AM1361" s="8">
        <f>IF(AND(ABS($AJ1361)&lt;=tol_mcx_inr,ABS($AK1361)&lt;=tol_mcx_inr,ABS($AL1361)&lt;=tol_mcx_inr),"PASS","FAIL")</f>
        <v/>
      </c>
    </row>
    <row r="1362">
      <c r="A1362" s="7" t="inlineStr">
        <is>
          <t>T08</t>
        </is>
      </c>
      <c r="B1362" s="7" t="inlineStr">
        <is>
          <t>T08-MCX-1</t>
        </is>
      </c>
      <c r="C1362" s="11" t="n">
        <v>44771</v>
      </c>
      <c r="D1362" s="7" t="n">
        <v>202208</v>
      </c>
      <c r="E1362" s="7" t="inlineStr">
        <is>
          <t>SELL</t>
        </is>
      </c>
      <c r="F1362" s="7" t="inlineStr">
        <is>
          <t>hold</t>
        </is>
      </c>
      <c r="G1362" s="17" t="b">
        <v>1</v>
      </c>
      <c r="H1362" s="6" t="n">
        <v>-230</v>
      </c>
      <c r="I1362" s="13" t="n">
        <v>5</v>
      </c>
      <c r="J1362" s="8">
        <f>OR($F1362="entry",$F1362="roll_in")</f>
        <v/>
      </c>
      <c r="K1362" s="8">
        <f>OR($F1362="exit",$F1362="roll_out")</f>
        <v/>
      </c>
      <c r="L1362" s="8">
        <f>OR(AND($E1362="SELL",$K1362),AND($E1362="BUY",$J1362))</f>
        <v/>
      </c>
      <c r="M1362" s="16">
        <f>((INDEX(Market_Daily!$B$6:$B$256,MATCH($C1362,Market_Daily!$A$6:$A$256,0))*INDEX(Market_Daily!$F$6:$F$256,MATCH($C1362,Market_Daily!$A$6:$A$256,0))/kg_per_mt*(1+bcd_primary_al_hs7601*(1+sws_rate_on_bcd))+mcx_domestic_premium_inr_kg)*(1+INDEX(Market_Daily!$I$6:$I$256,MATCH($C1362,Market_Daily!$A$6:$A$256,0))*MAX(0,INDEX(mcx_expiries,MATCH($D1362,mcx_months,0))-$C1362)/day_count_inr))</f>
        <v/>
      </c>
      <c r="N1362" s="16">
        <f>IF(INDEX(Market_Daily!$S$6:$S$256,MATCH($C1362,Market_Daily!$A$6:$A$256,0))=$D1362,INDEX(Market_Daily!$M$6:$M$256,MATCH($C1362,Market_Daily!$A$6:$A$256,0)),IF(INDEX(Market_Daily!$T$6:$T$256,MATCH($C1362,Market_Daily!$A$6:$A$256,0))=$D1362,INDEX(Market_Daily!$N$6:$N$256,MATCH($C1362,Market_Daily!$A$6:$A$256,0)),NA()))</f>
        <v/>
      </c>
      <c r="O1362" s="16">
        <f>$N1362-$M1362</f>
        <v/>
      </c>
      <c r="P1362" s="16">
        <f>IF(($B1361=$B1362),$M1361,"")</f>
        <v/>
      </c>
      <c r="Q1362" s="16">
        <f>$M1362+IF($L1362,1,-1)*mcx_slippage_ticks*mcx_al_tick_inr_kg</f>
        <v/>
      </c>
      <c r="R1362" s="18">
        <f>IF(($B1361=$B1362),$H1362*$I1362*kg_per_mt*($M1362-$M1361),0)</f>
        <v/>
      </c>
      <c r="S1362" s="18">
        <f>IF(($B1361=$B1362),$S1361,0)+$R1362</f>
        <v/>
      </c>
      <c r="T1362" s="18">
        <f>ABS($H1362)*$I1362*kg_per_mt*$M1362</f>
        <v/>
      </c>
      <c r="U1362" s="18">
        <f>IF($K1362,0,$T1362*mcx_al_margin_used_frac)</f>
        <v/>
      </c>
      <c r="V1362" s="18">
        <f>IF(($B1361=$B1362),$U1361,0)</f>
        <v/>
      </c>
      <c r="W1362" s="18">
        <f>$U1362-$V1362</f>
        <v/>
      </c>
      <c r="X1362" s="18">
        <f>IF($K1362,0,$T1362*0.12)</f>
        <v/>
      </c>
      <c r="Y1362" s="18">
        <f>IF($K1362,0,$T1362*0.15)</f>
        <v/>
      </c>
      <c r="Z1362" s="18">
        <f>IF($F1362="hold",0,-ABS($H1362)*$I1362*kg_per_mt*mcx_slippage_ticks*mcx_al_tick_inr_kg)</f>
        <v/>
      </c>
      <c r="AA1362" s="18">
        <f>IF($F1362="hold",0,-ABS($H1362)*$I1362*kg_per_mt*$Q1362*mcx_txn_cost_frac)</f>
        <v/>
      </c>
      <c r="AB1362" s="18">
        <f>$Z1362+$AA1362</f>
        <v/>
      </c>
      <c r="AC1362" s="18">
        <f>$R1362-$W1362+$AB1362</f>
        <v/>
      </c>
      <c r="AD1362" s="18">
        <f>IF(($B1361=$B1362),$AD1361,0)+$AC1362</f>
        <v/>
      </c>
      <c r="AE1362" s="23" t="n">
        <v>1767713.47</v>
      </c>
      <c r="AF1362" s="23" t="n">
        <v>24325606.98</v>
      </c>
      <c r="AG1362" s="23" t="n">
        <v>0</v>
      </c>
      <c r="AH1362" s="23" t="n">
        <v>1944484.82</v>
      </c>
      <c r="AI1362" s="23" t="n">
        <v>-10269.2</v>
      </c>
      <c r="AJ1362" s="18">
        <f>$R1362-$AE1362</f>
        <v/>
      </c>
      <c r="AK1362" s="18">
        <f>$U1362-$AF1362</f>
        <v/>
      </c>
      <c r="AL1362" s="18">
        <f>$AC1362-$AH1362</f>
        <v/>
      </c>
      <c r="AM1362" s="8">
        <f>IF(AND(ABS($AJ1362)&lt;=tol_mcx_inr,ABS($AK1362)&lt;=tol_mcx_inr,ABS($AL1362)&lt;=tol_mcx_inr),"PASS","FAIL")</f>
        <v/>
      </c>
    </row>
    <row r="1363">
      <c r="A1363" s="7" t="inlineStr">
        <is>
          <t>T08</t>
        </is>
      </c>
      <c r="B1363" s="7" t="inlineStr">
        <is>
          <t>T08-MCX-1</t>
        </is>
      </c>
      <c r="C1363" s="11" t="n">
        <v>44774</v>
      </c>
      <c r="D1363" s="7" t="n">
        <v>202208</v>
      </c>
      <c r="E1363" s="7" t="inlineStr">
        <is>
          <t>SELL</t>
        </is>
      </c>
      <c r="F1363" s="7" t="inlineStr">
        <is>
          <t>hold</t>
        </is>
      </c>
      <c r="G1363" s="17" t="b">
        <v>1</v>
      </c>
      <c r="H1363" s="6" t="n">
        <v>-230</v>
      </c>
      <c r="I1363" s="13" t="n">
        <v>5</v>
      </c>
      <c r="J1363" s="8">
        <f>OR($F1363="entry",$F1363="roll_in")</f>
        <v/>
      </c>
      <c r="K1363" s="8">
        <f>OR($F1363="exit",$F1363="roll_out")</f>
        <v/>
      </c>
      <c r="L1363" s="8">
        <f>OR(AND($E1363="SELL",$K1363),AND($E1363="BUY",$J1363))</f>
        <v/>
      </c>
      <c r="M1363" s="16">
        <f>((INDEX(Market_Daily!$B$6:$B$256,MATCH($C1363,Market_Daily!$A$6:$A$256,0))*INDEX(Market_Daily!$F$6:$F$256,MATCH($C1363,Market_Daily!$A$6:$A$256,0))/kg_per_mt*(1+bcd_primary_al_hs7601*(1+sws_rate_on_bcd))+mcx_domestic_premium_inr_kg)*(1+INDEX(Market_Daily!$I$6:$I$256,MATCH($C1363,Market_Daily!$A$6:$A$256,0))*MAX(0,INDEX(mcx_expiries,MATCH($D1363,mcx_months,0))-$C1363)/day_count_inr))</f>
        <v/>
      </c>
      <c r="N1363" s="16">
        <f>IF(INDEX(Market_Daily!$S$6:$S$256,MATCH($C1363,Market_Daily!$A$6:$A$256,0))=$D1363,INDEX(Market_Daily!$M$6:$M$256,MATCH($C1363,Market_Daily!$A$6:$A$256,0)),IF(INDEX(Market_Daily!$T$6:$T$256,MATCH($C1363,Market_Daily!$A$6:$A$256,0))=$D1363,INDEX(Market_Daily!$N$6:$N$256,MATCH($C1363,Market_Daily!$A$6:$A$256,0)),NA()))</f>
        <v/>
      </c>
      <c r="O1363" s="16">
        <f>$N1363-$M1363</f>
        <v/>
      </c>
      <c r="P1363" s="16">
        <f>IF(($B1362=$B1363),$M1362,"")</f>
        <v/>
      </c>
      <c r="Q1363" s="16">
        <f>$M1363+IF($L1363,1,-1)*mcx_slippage_ticks*mcx_al_tick_inr_kg</f>
        <v/>
      </c>
      <c r="R1363" s="18">
        <f>IF(($B1362=$B1363),$H1363*$I1363*kg_per_mt*($M1363-$M1362),0)</f>
        <v/>
      </c>
      <c r="S1363" s="18">
        <f>IF(($B1362=$B1363),$S1362,0)+$R1363</f>
        <v/>
      </c>
      <c r="T1363" s="18">
        <f>ABS($H1363)*$I1363*kg_per_mt*$M1363</f>
        <v/>
      </c>
      <c r="U1363" s="18">
        <f>IF($K1363,0,$T1363*mcx_al_margin_used_frac)</f>
        <v/>
      </c>
      <c r="V1363" s="18">
        <f>IF(($B1362=$B1363),$U1362,0)</f>
        <v/>
      </c>
      <c r="W1363" s="18">
        <f>$U1363-$V1363</f>
        <v/>
      </c>
      <c r="X1363" s="18">
        <f>IF($K1363,0,$T1363*0.12)</f>
        <v/>
      </c>
      <c r="Y1363" s="18">
        <f>IF($K1363,0,$T1363*0.15)</f>
        <v/>
      </c>
      <c r="Z1363" s="18">
        <f>IF($F1363="hold",0,-ABS($H1363)*$I1363*kg_per_mt*mcx_slippage_ticks*mcx_al_tick_inr_kg)</f>
        <v/>
      </c>
      <c r="AA1363" s="18">
        <f>IF($F1363="hold",0,-ABS($H1363)*$I1363*kg_per_mt*$Q1363*mcx_txn_cost_frac)</f>
        <v/>
      </c>
      <c r="AB1363" s="18">
        <f>$Z1363+$AA1363</f>
        <v/>
      </c>
      <c r="AC1363" s="18">
        <f>$R1363-$W1363+$AB1363</f>
        <v/>
      </c>
      <c r="AD1363" s="18">
        <f>IF(($B1362=$B1363),$AD1362,0)+$AC1363</f>
        <v/>
      </c>
      <c r="AE1363" s="23" t="n">
        <v>-913799.8100000001</v>
      </c>
      <c r="AF1363" s="23" t="n">
        <v>24416986.96</v>
      </c>
      <c r="AG1363" s="23" t="n">
        <v>0</v>
      </c>
      <c r="AH1363" s="23" t="n">
        <v>-1005179.79</v>
      </c>
      <c r="AI1363" s="23" t="n">
        <v>-29209.38</v>
      </c>
      <c r="AJ1363" s="18">
        <f>$R1363-$AE1363</f>
        <v/>
      </c>
      <c r="AK1363" s="18">
        <f>$U1363-$AF1363</f>
        <v/>
      </c>
      <c r="AL1363" s="18">
        <f>$AC1363-$AH1363</f>
        <v/>
      </c>
      <c r="AM1363" s="8">
        <f>IF(AND(ABS($AJ1363)&lt;=tol_mcx_inr,ABS($AK1363)&lt;=tol_mcx_inr,ABS($AL1363)&lt;=tol_mcx_inr),"PASS","FAIL")</f>
        <v/>
      </c>
    </row>
    <row r="1364">
      <c r="A1364" s="7" t="inlineStr">
        <is>
          <t>T08</t>
        </is>
      </c>
      <c r="B1364" s="7" t="inlineStr">
        <is>
          <t>T08-MCX-1</t>
        </is>
      </c>
      <c r="C1364" s="11" t="n">
        <v>44775</v>
      </c>
      <c r="D1364" s="7" t="n">
        <v>202208</v>
      </c>
      <c r="E1364" s="7" t="inlineStr">
        <is>
          <t>SELL</t>
        </is>
      </c>
      <c r="F1364" s="7" t="inlineStr">
        <is>
          <t>hold</t>
        </is>
      </c>
      <c r="G1364" s="17" t="b">
        <v>1</v>
      </c>
      <c r="H1364" s="6" t="n">
        <v>-230</v>
      </c>
      <c r="I1364" s="13" t="n">
        <v>5</v>
      </c>
      <c r="J1364" s="8">
        <f>OR($F1364="entry",$F1364="roll_in")</f>
        <v/>
      </c>
      <c r="K1364" s="8">
        <f>OR($F1364="exit",$F1364="roll_out")</f>
        <v/>
      </c>
      <c r="L1364" s="8">
        <f>OR(AND($E1364="SELL",$K1364),AND($E1364="BUY",$J1364))</f>
        <v/>
      </c>
      <c r="M1364" s="16">
        <f>((INDEX(Market_Daily!$B$6:$B$256,MATCH($C1364,Market_Daily!$A$6:$A$256,0))*INDEX(Market_Daily!$F$6:$F$256,MATCH($C1364,Market_Daily!$A$6:$A$256,0))/kg_per_mt*(1+bcd_primary_al_hs7601*(1+sws_rate_on_bcd))+mcx_domestic_premium_inr_kg)*(1+INDEX(Market_Daily!$I$6:$I$256,MATCH($C1364,Market_Daily!$A$6:$A$256,0))*MAX(0,INDEX(mcx_expiries,MATCH($D1364,mcx_months,0))-$C1364)/day_count_inr))</f>
        <v/>
      </c>
      <c r="N1364" s="16">
        <f>IF(INDEX(Market_Daily!$S$6:$S$256,MATCH($C1364,Market_Daily!$A$6:$A$256,0))=$D1364,INDEX(Market_Daily!$M$6:$M$256,MATCH($C1364,Market_Daily!$A$6:$A$256,0)),IF(INDEX(Market_Daily!$T$6:$T$256,MATCH($C1364,Market_Daily!$A$6:$A$256,0))=$D1364,INDEX(Market_Daily!$N$6:$N$256,MATCH($C1364,Market_Daily!$A$6:$A$256,0)),NA()))</f>
        <v/>
      </c>
      <c r="O1364" s="16">
        <f>$N1364-$M1364</f>
        <v/>
      </c>
      <c r="P1364" s="16">
        <f>IF(($B1363=$B1364),$M1363,"")</f>
        <v/>
      </c>
      <c r="Q1364" s="16">
        <f>$M1364+IF($L1364,1,-1)*mcx_slippage_ticks*mcx_al_tick_inr_kg</f>
        <v/>
      </c>
      <c r="R1364" s="18">
        <f>IF(($B1363=$B1364),$H1364*$I1364*kg_per_mt*($M1364-$M1363),0)</f>
        <v/>
      </c>
      <c r="S1364" s="18">
        <f>IF(($B1363=$B1364),$S1363,0)+$R1364</f>
        <v/>
      </c>
      <c r="T1364" s="18">
        <f>ABS($H1364)*$I1364*kg_per_mt*$M1364</f>
        <v/>
      </c>
      <c r="U1364" s="18">
        <f>IF($K1364,0,$T1364*mcx_al_margin_used_frac)</f>
        <v/>
      </c>
      <c r="V1364" s="18">
        <f>IF(($B1363=$B1364),$U1363,0)</f>
        <v/>
      </c>
      <c r="W1364" s="18">
        <f>$U1364-$V1364</f>
        <v/>
      </c>
      <c r="X1364" s="18">
        <f>IF($K1364,0,$T1364*0.12)</f>
        <v/>
      </c>
      <c r="Y1364" s="18">
        <f>IF($K1364,0,$T1364*0.15)</f>
        <v/>
      </c>
      <c r="Z1364" s="18">
        <f>IF($F1364="hold",0,-ABS($H1364)*$I1364*kg_per_mt*mcx_slippage_ticks*mcx_al_tick_inr_kg)</f>
        <v/>
      </c>
      <c r="AA1364" s="18">
        <f>IF($F1364="hold",0,-ABS($H1364)*$I1364*kg_per_mt*$Q1364*mcx_txn_cost_frac)</f>
        <v/>
      </c>
      <c r="AB1364" s="18">
        <f>$Z1364+$AA1364</f>
        <v/>
      </c>
      <c r="AC1364" s="18">
        <f>$R1364-$W1364+$AB1364</f>
        <v/>
      </c>
      <c r="AD1364" s="18">
        <f>IF(($B1363=$B1364),$AD1363,0)+$AC1364</f>
        <v/>
      </c>
      <c r="AE1364" s="23" t="n">
        <v>3720776.99</v>
      </c>
      <c r="AF1364" s="23" t="n">
        <v>24044909.26</v>
      </c>
      <c r="AG1364" s="23" t="n">
        <v>0</v>
      </c>
      <c r="AH1364" s="23" t="n">
        <v>4092854.69</v>
      </c>
      <c r="AI1364" s="23" t="n">
        <v>-10011.85</v>
      </c>
      <c r="AJ1364" s="18">
        <f>$R1364-$AE1364</f>
        <v/>
      </c>
      <c r="AK1364" s="18">
        <f>$U1364-$AF1364</f>
        <v/>
      </c>
      <c r="AL1364" s="18">
        <f>$AC1364-$AH1364</f>
        <v/>
      </c>
      <c r="AM1364" s="8">
        <f>IF(AND(ABS($AJ1364)&lt;=tol_mcx_inr,ABS($AK1364)&lt;=tol_mcx_inr,ABS($AL1364)&lt;=tol_mcx_inr),"PASS","FAIL")</f>
        <v/>
      </c>
    </row>
    <row r="1365">
      <c r="A1365" s="7" t="inlineStr">
        <is>
          <t>T08</t>
        </is>
      </c>
      <c r="B1365" s="7" t="inlineStr">
        <is>
          <t>T08-MCX-1</t>
        </is>
      </c>
      <c r="C1365" s="11" t="n">
        <v>44776</v>
      </c>
      <c r="D1365" s="7" t="n">
        <v>202208</v>
      </c>
      <c r="E1365" s="7" t="inlineStr">
        <is>
          <t>SELL</t>
        </is>
      </c>
      <c r="F1365" s="7" t="inlineStr">
        <is>
          <t>hold</t>
        </is>
      </c>
      <c r="G1365" s="17" t="b">
        <v>1</v>
      </c>
      <c r="H1365" s="6" t="n">
        <v>-230</v>
      </c>
      <c r="I1365" s="13" t="n">
        <v>5</v>
      </c>
      <c r="J1365" s="8">
        <f>OR($F1365="entry",$F1365="roll_in")</f>
        <v/>
      </c>
      <c r="K1365" s="8">
        <f>OR($F1365="exit",$F1365="roll_out")</f>
        <v/>
      </c>
      <c r="L1365" s="8">
        <f>OR(AND($E1365="SELL",$K1365),AND($E1365="BUY",$J1365))</f>
        <v/>
      </c>
      <c r="M1365" s="16">
        <f>((INDEX(Market_Daily!$B$6:$B$256,MATCH($C1365,Market_Daily!$A$6:$A$256,0))*INDEX(Market_Daily!$F$6:$F$256,MATCH($C1365,Market_Daily!$A$6:$A$256,0))/kg_per_mt*(1+bcd_primary_al_hs7601*(1+sws_rate_on_bcd))+mcx_domestic_premium_inr_kg)*(1+INDEX(Market_Daily!$I$6:$I$256,MATCH($C1365,Market_Daily!$A$6:$A$256,0))*MAX(0,INDEX(mcx_expiries,MATCH($D1365,mcx_months,0))-$C1365)/day_count_inr))</f>
        <v/>
      </c>
      <c r="N1365" s="16">
        <f>IF(INDEX(Market_Daily!$S$6:$S$256,MATCH($C1365,Market_Daily!$A$6:$A$256,0))=$D1365,INDEX(Market_Daily!$M$6:$M$256,MATCH($C1365,Market_Daily!$A$6:$A$256,0)),IF(INDEX(Market_Daily!$T$6:$T$256,MATCH($C1365,Market_Daily!$A$6:$A$256,0))=$D1365,INDEX(Market_Daily!$N$6:$N$256,MATCH($C1365,Market_Daily!$A$6:$A$256,0)),NA()))</f>
        <v/>
      </c>
      <c r="O1365" s="16">
        <f>$N1365-$M1365</f>
        <v/>
      </c>
      <c r="P1365" s="16">
        <f>IF(($B1364=$B1365),$M1364,"")</f>
        <v/>
      </c>
      <c r="Q1365" s="16">
        <f>$M1365+IF($L1365,1,-1)*mcx_slippage_ticks*mcx_al_tick_inr_kg</f>
        <v/>
      </c>
      <c r="R1365" s="18">
        <f>IF(($B1364=$B1365),$H1365*$I1365*kg_per_mt*($M1365-$M1364),0)</f>
        <v/>
      </c>
      <c r="S1365" s="18">
        <f>IF(($B1364=$B1365),$S1364,0)+$R1365</f>
        <v/>
      </c>
      <c r="T1365" s="18">
        <f>ABS($H1365)*$I1365*kg_per_mt*$M1365</f>
        <v/>
      </c>
      <c r="U1365" s="18">
        <f>IF($K1365,0,$T1365*mcx_al_margin_used_frac)</f>
        <v/>
      </c>
      <c r="V1365" s="18">
        <f>IF(($B1364=$B1365),$U1364,0)</f>
        <v/>
      </c>
      <c r="W1365" s="18">
        <f>$U1365-$V1365</f>
        <v/>
      </c>
      <c r="X1365" s="18">
        <f>IF($K1365,0,$T1365*0.12)</f>
        <v/>
      </c>
      <c r="Y1365" s="18">
        <f>IF($K1365,0,$T1365*0.15)</f>
        <v/>
      </c>
      <c r="Z1365" s="18">
        <f>IF($F1365="hold",0,-ABS($H1365)*$I1365*kg_per_mt*mcx_slippage_ticks*mcx_al_tick_inr_kg)</f>
        <v/>
      </c>
      <c r="AA1365" s="18">
        <f>IF($F1365="hold",0,-ABS($H1365)*$I1365*kg_per_mt*$Q1365*mcx_txn_cost_frac)</f>
        <v/>
      </c>
      <c r="AB1365" s="18">
        <f>$Z1365+$AA1365</f>
        <v/>
      </c>
      <c r="AC1365" s="18">
        <f>$R1365-$W1365+$AB1365</f>
        <v/>
      </c>
      <c r="AD1365" s="18">
        <f>IF(($B1364=$B1365),$AD1364,0)+$AC1365</f>
        <v/>
      </c>
      <c r="AE1365" s="23" t="n">
        <v>2731225.38</v>
      </c>
      <c r="AF1365" s="23" t="n">
        <v>23771786.72</v>
      </c>
      <c r="AG1365" s="23" t="n">
        <v>0</v>
      </c>
      <c r="AH1365" s="23" t="n">
        <v>3004347.92</v>
      </c>
      <c r="AI1365" s="23" t="n">
        <v>-8890.52</v>
      </c>
      <c r="AJ1365" s="18">
        <f>$R1365-$AE1365</f>
        <v/>
      </c>
      <c r="AK1365" s="18">
        <f>$U1365-$AF1365</f>
        <v/>
      </c>
      <c r="AL1365" s="18">
        <f>$AC1365-$AH1365</f>
        <v/>
      </c>
      <c r="AM1365" s="8">
        <f>IF(AND(ABS($AJ1365)&lt;=tol_mcx_inr,ABS($AK1365)&lt;=tol_mcx_inr,ABS($AL1365)&lt;=tol_mcx_inr),"PASS","FAIL")</f>
        <v/>
      </c>
    </row>
    <row r="1366">
      <c r="A1366" s="7" t="inlineStr">
        <is>
          <t>T08</t>
        </is>
      </c>
      <c r="B1366" s="7" t="inlineStr">
        <is>
          <t>T08-MCX-1</t>
        </is>
      </c>
      <c r="C1366" s="11" t="n">
        <v>44777</v>
      </c>
      <c r="D1366" s="7" t="n">
        <v>202208</v>
      </c>
      <c r="E1366" s="7" t="inlineStr">
        <is>
          <t>SELL</t>
        </is>
      </c>
      <c r="F1366" s="7" t="inlineStr">
        <is>
          <t>hold</t>
        </is>
      </c>
      <c r="G1366" s="17" t="b">
        <v>1</v>
      </c>
      <c r="H1366" s="6" t="n">
        <v>-230</v>
      </c>
      <c r="I1366" s="13" t="n">
        <v>5</v>
      </c>
      <c r="J1366" s="8">
        <f>OR($F1366="entry",$F1366="roll_in")</f>
        <v/>
      </c>
      <c r="K1366" s="8">
        <f>OR($F1366="exit",$F1366="roll_out")</f>
        <v/>
      </c>
      <c r="L1366" s="8">
        <f>OR(AND($E1366="SELL",$K1366),AND($E1366="BUY",$J1366))</f>
        <v/>
      </c>
      <c r="M1366" s="16">
        <f>((INDEX(Market_Daily!$B$6:$B$256,MATCH($C1366,Market_Daily!$A$6:$A$256,0))*INDEX(Market_Daily!$F$6:$F$256,MATCH($C1366,Market_Daily!$A$6:$A$256,0))/kg_per_mt*(1+bcd_primary_al_hs7601*(1+sws_rate_on_bcd))+mcx_domestic_premium_inr_kg)*(1+INDEX(Market_Daily!$I$6:$I$256,MATCH($C1366,Market_Daily!$A$6:$A$256,0))*MAX(0,INDEX(mcx_expiries,MATCH($D1366,mcx_months,0))-$C1366)/day_count_inr))</f>
        <v/>
      </c>
      <c r="N1366" s="16">
        <f>IF(INDEX(Market_Daily!$S$6:$S$256,MATCH($C1366,Market_Daily!$A$6:$A$256,0))=$D1366,INDEX(Market_Daily!$M$6:$M$256,MATCH($C1366,Market_Daily!$A$6:$A$256,0)),IF(INDEX(Market_Daily!$T$6:$T$256,MATCH($C1366,Market_Daily!$A$6:$A$256,0))=$D1366,INDEX(Market_Daily!$N$6:$N$256,MATCH($C1366,Market_Daily!$A$6:$A$256,0)),NA()))</f>
        <v/>
      </c>
      <c r="O1366" s="16">
        <f>$N1366-$M1366</f>
        <v/>
      </c>
      <c r="P1366" s="16">
        <f>IF(($B1365=$B1366),$M1365,"")</f>
        <v/>
      </c>
      <c r="Q1366" s="16">
        <f>$M1366+IF($L1366,1,-1)*mcx_slippage_ticks*mcx_al_tick_inr_kg</f>
        <v/>
      </c>
      <c r="R1366" s="18">
        <f>IF(($B1365=$B1366),$H1366*$I1366*kg_per_mt*($M1366-$M1365),0)</f>
        <v/>
      </c>
      <c r="S1366" s="18">
        <f>IF(($B1365=$B1366),$S1365,0)+$R1366</f>
        <v/>
      </c>
      <c r="T1366" s="18">
        <f>ABS($H1366)*$I1366*kg_per_mt*$M1366</f>
        <v/>
      </c>
      <c r="U1366" s="18">
        <f>IF($K1366,0,$T1366*mcx_al_margin_used_frac)</f>
        <v/>
      </c>
      <c r="V1366" s="18">
        <f>IF(($B1365=$B1366),$U1365,0)</f>
        <v/>
      </c>
      <c r="W1366" s="18">
        <f>$U1366-$V1366</f>
        <v/>
      </c>
      <c r="X1366" s="18">
        <f>IF($K1366,0,$T1366*0.12)</f>
        <v/>
      </c>
      <c r="Y1366" s="18">
        <f>IF($K1366,0,$T1366*0.15)</f>
        <v/>
      </c>
      <c r="Z1366" s="18">
        <f>IF($F1366="hold",0,-ABS($H1366)*$I1366*kg_per_mt*mcx_slippage_ticks*mcx_al_tick_inr_kg)</f>
        <v/>
      </c>
      <c r="AA1366" s="18">
        <f>IF($F1366="hold",0,-ABS($H1366)*$I1366*kg_per_mt*$Q1366*mcx_txn_cost_frac)</f>
        <v/>
      </c>
      <c r="AB1366" s="18">
        <f>$Z1366+$AA1366</f>
        <v/>
      </c>
      <c r="AC1366" s="18">
        <f>$R1366-$W1366+$AB1366</f>
        <v/>
      </c>
      <c r="AD1366" s="18">
        <f>IF(($B1365=$B1366),$AD1365,0)+$AC1366</f>
        <v/>
      </c>
      <c r="AE1366" s="23" t="n">
        <v>2363067.83</v>
      </c>
      <c r="AF1366" s="23" t="n">
        <v>23535479.94</v>
      </c>
      <c r="AG1366" s="23" t="n">
        <v>0</v>
      </c>
      <c r="AH1366" s="23" t="n">
        <v>2599374.62</v>
      </c>
      <c r="AI1366" s="23" t="n">
        <v>-8067.41</v>
      </c>
      <c r="AJ1366" s="18">
        <f>$R1366-$AE1366</f>
        <v/>
      </c>
      <c r="AK1366" s="18">
        <f>$U1366-$AF1366</f>
        <v/>
      </c>
      <c r="AL1366" s="18">
        <f>$AC1366-$AH1366</f>
        <v/>
      </c>
      <c r="AM1366" s="8">
        <f>IF(AND(ABS($AJ1366)&lt;=tol_mcx_inr,ABS($AK1366)&lt;=tol_mcx_inr,ABS($AL1366)&lt;=tol_mcx_inr),"PASS","FAIL")</f>
        <v/>
      </c>
    </row>
    <row r="1367">
      <c r="A1367" s="7" t="inlineStr">
        <is>
          <t>T08</t>
        </is>
      </c>
      <c r="B1367" s="7" t="inlineStr">
        <is>
          <t>T08-MCX-1</t>
        </is>
      </c>
      <c r="C1367" s="11" t="n">
        <v>44778</v>
      </c>
      <c r="D1367" s="7" t="n">
        <v>202208</v>
      </c>
      <c r="E1367" s="7" t="inlineStr">
        <is>
          <t>SELL</t>
        </is>
      </c>
      <c r="F1367" s="7" t="inlineStr">
        <is>
          <t>hold</t>
        </is>
      </c>
      <c r="G1367" s="17" t="b">
        <v>1</v>
      </c>
      <c r="H1367" s="6" t="n">
        <v>-230</v>
      </c>
      <c r="I1367" s="13" t="n">
        <v>5</v>
      </c>
      <c r="J1367" s="8">
        <f>OR($F1367="entry",$F1367="roll_in")</f>
        <v/>
      </c>
      <c r="K1367" s="8">
        <f>OR($F1367="exit",$F1367="roll_out")</f>
        <v/>
      </c>
      <c r="L1367" s="8">
        <f>OR(AND($E1367="SELL",$K1367),AND($E1367="BUY",$J1367))</f>
        <v/>
      </c>
      <c r="M1367" s="16">
        <f>((INDEX(Market_Daily!$B$6:$B$256,MATCH($C1367,Market_Daily!$A$6:$A$256,0))*INDEX(Market_Daily!$F$6:$F$256,MATCH($C1367,Market_Daily!$A$6:$A$256,0))/kg_per_mt*(1+bcd_primary_al_hs7601*(1+sws_rate_on_bcd))+mcx_domestic_premium_inr_kg)*(1+INDEX(Market_Daily!$I$6:$I$256,MATCH($C1367,Market_Daily!$A$6:$A$256,0))*MAX(0,INDEX(mcx_expiries,MATCH($D1367,mcx_months,0))-$C1367)/day_count_inr))</f>
        <v/>
      </c>
      <c r="N1367" s="16">
        <f>IF(INDEX(Market_Daily!$S$6:$S$256,MATCH($C1367,Market_Daily!$A$6:$A$256,0))=$D1367,INDEX(Market_Daily!$M$6:$M$256,MATCH($C1367,Market_Daily!$A$6:$A$256,0)),IF(INDEX(Market_Daily!$T$6:$T$256,MATCH($C1367,Market_Daily!$A$6:$A$256,0))=$D1367,INDEX(Market_Daily!$N$6:$N$256,MATCH($C1367,Market_Daily!$A$6:$A$256,0)),NA()))</f>
        <v/>
      </c>
      <c r="O1367" s="16">
        <f>$N1367-$M1367</f>
        <v/>
      </c>
      <c r="P1367" s="16">
        <f>IF(($B1366=$B1367),$M1366,"")</f>
        <v/>
      </c>
      <c r="Q1367" s="16">
        <f>$M1367+IF($L1367,1,-1)*mcx_slippage_ticks*mcx_al_tick_inr_kg</f>
        <v/>
      </c>
      <c r="R1367" s="18">
        <f>IF(($B1366=$B1367),$H1367*$I1367*kg_per_mt*($M1367-$M1366),0)</f>
        <v/>
      </c>
      <c r="S1367" s="18">
        <f>IF(($B1366=$B1367),$S1366,0)+$R1367</f>
        <v/>
      </c>
      <c r="T1367" s="18">
        <f>ABS($H1367)*$I1367*kg_per_mt*$M1367</f>
        <v/>
      </c>
      <c r="U1367" s="18">
        <f>IF($K1367,0,$T1367*mcx_al_margin_used_frac)</f>
        <v/>
      </c>
      <c r="V1367" s="18">
        <f>IF(($B1366=$B1367),$U1366,0)</f>
        <v/>
      </c>
      <c r="W1367" s="18">
        <f>$U1367-$V1367</f>
        <v/>
      </c>
      <c r="X1367" s="18">
        <f>IF($K1367,0,$T1367*0.12)</f>
        <v/>
      </c>
      <c r="Y1367" s="18">
        <f>IF($K1367,0,$T1367*0.15)</f>
        <v/>
      </c>
      <c r="Z1367" s="18">
        <f>IF($F1367="hold",0,-ABS($H1367)*$I1367*kg_per_mt*mcx_slippage_ticks*mcx_al_tick_inr_kg)</f>
        <v/>
      </c>
      <c r="AA1367" s="18">
        <f>IF($F1367="hold",0,-ABS($H1367)*$I1367*kg_per_mt*$Q1367*mcx_txn_cost_frac)</f>
        <v/>
      </c>
      <c r="AB1367" s="18">
        <f>$Z1367+$AA1367</f>
        <v/>
      </c>
      <c r="AC1367" s="18">
        <f>$R1367-$W1367+$AB1367</f>
        <v/>
      </c>
      <c r="AD1367" s="18">
        <f>IF(($B1366=$B1367),$AD1366,0)+$AC1367</f>
        <v/>
      </c>
      <c r="AE1367" s="23" t="n">
        <v>-6928797.71</v>
      </c>
      <c r="AF1367" s="23" t="n">
        <v>24228359.71</v>
      </c>
      <c r="AG1367" s="23" t="n">
        <v>0</v>
      </c>
      <c r="AH1367" s="23" t="n">
        <v>-7621677.48</v>
      </c>
      <c r="AI1367" s="23" t="n">
        <v>-7355.26</v>
      </c>
      <c r="AJ1367" s="18">
        <f>$R1367-$AE1367</f>
        <v/>
      </c>
      <c r="AK1367" s="18">
        <f>$U1367-$AF1367</f>
        <v/>
      </c>
      <c r="AL1367" s="18">
        <f>$AC1367-$AH1367</f>
        <v/>
      </c>
      <c r="AM1367" s="8">
        <f>IF(AND(ABS($AJ1367)&lt;=tol_mcx_inr,ABS($AK1367)&lt;=tol_mcx_inr,ABS($AL1367)&lt;=tol_mcx_inr),"PASS","FAIL")</f>
        <v/>
      </c>
    </row>
    <row r="1368">
      <c r="A1368" s="7" t="inlineStr">
        <is>
          <t>T08</t>
        </is>
      </c>
      <c r="B1368" s="7" t="inlineStr">
        <is>
          <t>T08-MCX-1</t>
        </is>
      </c>
      <c r="C1368" s="11" t="n">
        <v>44781</v>
      </c>
      <c r="D1368" s="7" t="n">
        <v>202208</v>
      </c>
      <c r="E1368" s="7" t="inlineStr">
        <is>
          <t>SELL</t>
        </is>
      </c>
      <c r="F1368" s="7" t="inlineStr">
        <is>
          <t>hold</t>
        </is>
      </c>
      <c r="G1368" s="17" t="b">
        <v>1</v>
      </c>
      <c r="H1368" s="6" t="n">
        <v>-230</v>
      </c>
      <c r="I1368" s="13" t="n">
        <v>5</v>
      </c>
      <c r="J1368" s="8">
        <f>OR($F1368="entry",$F1368="roll_in")</f>
        <v/>
      </c>
      <c r="K1368" s="8">
        <f>OR($F1368="exit",$F1368="roll_out")</f>
        <v/>
      </c>
      <c r="L1368" s="8">
        <f>OR(AND($E1368="SELL",$K1368),AND($E1368="BUY",$J1368))</f>
        <v/>
      </c>
      <c r="M1368" s="16">
        <f>((INDEX(Market_Daily!$B$6:$B$256,MATCH($C1368,Market_Daily!$A$6:$A$256,0))*INDEX(Market_Daily!$F$6:$F$256,MATCH($C1368,Market_Daily!$A$6:$A$256,0))/kg_per_mt*(1+bcd_primary_al_hs7601*(1+sws_rate_on_bcd))+mcx_domestic_premium_inr_kg)*(1+INDEX(Market_Daily!$I$6:$I$256,MATCH($C1368,Market_Daily!$A$6:$A$256,0))*MAX(0,INDEX(mcx_expiries,MATCH($D1368,mcx_months,0))-$C1368)/day_count_inr))</f>
        <v/>
      </c>
      <c r="N1368" s="16">
        <f>IF(INDEX(Market_Daily!$S$6:$S$256,MATCH($C1368,Market_Daily!$A$6:$A$256,0))=$D1368,INDEX(Market_Daily!$M$6:$M$256,MATCH($C1368,Market_Daily!$A$6:$A$256,0)),IF(INDEX(Market_Daily!$T$6:$T$256,MATCH($C1368,Market_Daily!$A$6:$A$256,0))=$D1368,INDEX(Market_Daily!$N$6:$N$256,MATCH($C1368,Market_Daily!$A$6:$A$256,0)),NA()))</f>
        <v/>
      </c>
      <c r="O1368" s="16">
        <f>$N1368-$M1368</f>
        <v/>
      </c>
      <c r="P1368" s="16">
        <f>IF(($B1367=$B1368),$M1367,"")</f>
        <v/>
      </c>
      <c r="Q1368" s="16">
        <f>$M1368+IF($L1368,1,-1)*mcx_slippage_ticks*mcx_al_tick_inr_kg</f>
        <v/>
      </c>
      <c r="R1368" s="18">
        <f>IF(($B1367=$B1368),$H1368*$I1368*kg_per_mt*($M1368-$M1367),0)</f>
        <v/>
      </c>
      <c r="S1368" s="18">
        <f>IF(($B1367=$B1368),$S1367,0)+$R1368</f>
        <v/>
      </c>
      <c r="T1368" s="18">
        <f>ABS($H1368)*$I1368*kg_per_mt*$M1368</f>
        <v/>
      </c>
      <c r="U1368" s="18">
        <f>IF($K1368,0,$T1368*mcx_al_margin_used_frac)</f>
        <v/>
      </c>
      <c r="V1368" s="18">
        <f>IF(($B1367=$B1368),$U1367,0)</f>
        <v/>
      </c>
      <c r="W1368" s="18">
        <f>$U1368-$V1368</f>
        <v/>
      </c>
      <c r="X1368" s="18">
        <f>IF($K1368,0,$T1368*0.12)</f>
        <v/>
      </c>
      <c r="Y1368" s="18">
        <f>IF($K1368,0,$T1368*0.15)</f>
        <v/>
      </c>
      <c r="Z1368" s="18">
        <f>IF($F1368="hold",0,-ABS($H1368)*$I1368*kg_per_mt*mcx_slippage_ticks*mcx_al_tick_inr_kg)</f>
        <v/>
      </c>
      <c r="AA1368" s="18">
        <f>IF($F1368="hold",0,-ABS($H1368)*$I1368*kg_per_mt*$Q1368*mcx_txn_cost_frac)</f>
        <v/>
      </c>
      <c r="AB1368" s="18">
        <f>$Z1368+$AA1368</f>
        <v/>
      </c>
      <c r="AC1368" s="18">
        <f>$R1368-$W1368+$AB1368</f>
        <v/>
      </c>
      <c r="AD1368" s="18">
        <f>IF(($B1367=$B1368),$AD1367,0)+$AC1368</f>
        <v/>
      </c>
      <c r="AE1368" s="23" t="n">
        <v>140627.73</v>
      </c>
      <c r="AF1368" s="23" t="n">
        <v>24214296.93</v>
      </c>
      <c r="AG1368" s="23" t="n">
        <v>0</v>
      </c>
      <c r="AH1368" s="23" t="n">
        <v>154690.5</v>
      </c>
      <c r="AI1368" s="23" t="n">
        <v>-28330.16</v>
      </c>
      <c r="AJ1368" s="18">
        <f>$R1368-$AE1368</f>
        <v/>
      </c>
      <c r="AK1368" s="18">
        <f>$U1368-$AF1368</f>
        <v/>
      </c>
      <c r="AL1368" s="18">
        <f>$AC1368-$AH1368</f>
        <v/>
      </c>
      <c r="AM1368" s="8">
        <f>IF(AND(ABS($AJ1368)&lt;=tol_mcx_inr,ABS($AK1368)&lt;=tol_mcx_inr,ABS($AL1368)&lt;=tol_mcx_inr),"PASS","FAIL")</f>
        <v/>
      </c>
    </row>
    <row r="1369">
      <c r="A1369" s="7" t="inlineStr">
        <is>
          <t>T08</t>
        </is>
      </c>
      <c r="B1369" s="7" t="inlineStr">
        <is>
          <t>T08-MCX-1</t>
        </is>
      </c>
      <c r="C1369" s="11" t="n">
        <v>44782</v>
      </c>
      <c r="D1369" s="7" t="n">
        <v>202208</v>
      </c>
      <c r="E1369" s="7" t="inlineStr">
        <is>
          <t>SELL</t>
        </is>
      </c>
      <c r="F1369" s="7" t="inlineStr">
        <is>
          <t>hold</t>
        </is>
      </c>
      <c r="G1369" s="17" t="b">
        <v>1</v>
      </c>
      <c r="H1369" s="6" t="n">
        <v>-230</v>
      </c>
      <c r="I1369" s="13" t="n">
        <v>5</v>
      </c>
      <c r="J1369" s="8">
        <f>OR($F1369="entry",$F1369="roll_in")</f>
        <v/>
      </c>
      <c r="K1369" s="8">
        <f>OR($F1369="exit",$F1369="roll_out")</f>
        <v/>
      </c>
      <c r="L1369" s="8">
        <f>OR(AND($E1369="SELL",$K1369),AND($E1369="BUY",$J1369))</f>
        <v/>
      </c>
      <c r="M1369" s="16">
        <f>((INDEX(Market_Daily!$B$6:$B$256,MATCH($C1369,Market_Daily!$A$6:$A$256,0))*INDEX(Market_Daily!$F$6:$F$256,MATCH($C1369,Market_Daily!$A$6:$A$256,0))/kg_per_mt*(1+bcd_primary_al_hs7601*(1+sws_rate_on_bcd))+mcx_domestic_premium_inr_kg)*(1+INDEX(Market_Daily!$I$6:$I$256,MATCH($C1369,Market_Daily!$A$6:$A$256,0))*MAX(0,INDEX(mcx_expiries,MATCH($D1369,mcx_months,0))-$C1369)/day_count_inr))</f>
        <v/>
      </c>
      <c r="N1369" s="16">
        <f>IF(INDEX(Market_Daily!$S$6:$S$256,MATCH($C1369,Market_Daily!$A$6:$A$256,0))=$D1369,INDEX(Market_Daily!$M$6:$M$256,MATCH($C1369,Market_Daily!$A$6:$A$256,0)),IF(INDEX(Market_Daily!$T$6:$T$256,MATCH($C1369,Market_Daily!$A$6:$A$256,0))=$D1369,INDEX(Market_Daily!$N$6:$N$256,MATCH($C1369,Market_Daily!$A$6:$A$256,0)),NA()))</f>
        <v/>
      </c>
      <c r="O1369" s="16">
        <f>$N1369-$M1369</f>
        <v/>
      </c>
      <c r="P1369" s="16">
        <f>IF(($B1368=$B1369),$M1368,"")</f>
        <v/>
      </c>
      <c r="Q1369" s="16">
        <f>$M1369+IF($L1369,1,-1)*mcx_slippage_ticks*mcx_al_tick_inr_kg</f>
        <v/>
      </c>
      <c r="R1369" s="18">
        <f>IF(($B1368=$B1369),$H1369*$I1369*kg_per_mt*($M1369-$M1368),0)</f>
        <v/>
      </c>
      <c r="S1369" s="18">
        <f>IF(($B1368=$B1369),$S1368,0)+$R1369</f>
        <v/>
      </c>
      <c r="T1369" s="18">
        <f>ABS($H1369)*$I1369*kg_per_mt*$M1369</f>
        <v/>
      </c>
      <c r="U1369" s="18">
        <f>IF($K1369,0,$T1369*mcx_al_margin_used_frac)</f>
        <v/>
      </c>
      <c r="V1369" s="18">
        <f>IF(($B1368=$B1369),$U1368,0)</f>
        <v/>
      </c>
      <c r="W1369" s="18">
        <f>$U1369-$V1369</f>
        <v/>
      </c>
      <c r="X1369" s="18">
        <f>IF($K1369,0,$T1369*0.12)</f>
        <v/>
      </c>
      <c r="Y1369" s="18">
        <f>IF($K1369,0,$T1369*0.15)</f>
        <v/>
      </c>
      <c r="Z1369" s="18">
        <f>IF($F1369="hold",0,-ABS($H1369)*$I1369*kg_per_mt*mcx_slippage_ticks*mcx_al_tick_inr_kg)</f>
        <v/>
      </c>
      <c r="AA1369" s="18">
        <f>IF($F1369="hold",0,-ABS($H1369)*$I1369*kg_per_mt*$Q1369*mcx_txn_cost_frac)</f>
        <v/>
      </c>
      <c r="AB1369" s="18">
        <f>$Z1369+$AA1369</f>
        <v/>
      </c>
      <c r="AC1369" s="18">
        <f>$R1369-$W1369+$AB1369</f>
        <v/>
      </c>
      <c r="AD1369" s="18">
        <f>IF(($B1368=$B1369),$AD1368,0)+$AC1369</f>
        <v/>
      </c>
      <c r="AE1369" s="23" t="n">
        <v>-5064711.1</v>
      </c>
      <c r="AF1369" s="23" t="n">
        <v>24720768.04</v>
      </c>
      <c r="AG1369" s="23" t="n">
        <v>0</v>
      </c>
      <c r="AH1369" s="23" t="n">
        <v>-5571182.21</v>
      </c>
      <c r="AI1369" s="23" t="n">
        <v>-9401.01</v>
      </c>
      <c r="AJ1369" s="18">
        <f>$R1369-$AE1369</f>
        <v/>
      </c>
      <c r="AK1369" s="18">
        <f>$U1369-$AF1369</f>
        <v/>
      </c>
      <c r="AL1369" s="18">
        <f>$AC1369-$AH1369</f>
        <v/>
      </c>
      <c r="AM1369" s="8">
        <f>IF(AND(ABS($AJ1369)&lt;=tol_mcx_inr,ABS($AK1369)&lt;=tol_mcx_inr,ABS($AL1369)&lt;=tol_mcx_inr),"PASS","FAIL")</f>
        <v/>
      </c>
    </row>
    <row r="1370">
      <c r="A1370" s="7" t="inlineStr">
        <is>
          <t>T08</t>
        </is>
      </c>
      <c r="B1370" s="7" t="inlineStr">
        <is>
          <t>T08-MCX-1</t>
        </is>
      </c>
      <c r="C1370" s="11" t="n">
        <v>44783</v>
      </c>
      <c r="D1370" s="7" t="n">
        <v>202208</v>
      </c>
      <c r="E1370" s="7" t="inlineStr">
        <is>
          <t>SELL</t>
        </is>
      </c>
      <c r="F1370" s="7" t="inlineStr">
        <is>
          <t>hold</t>
        </is>
      </c>
      <c r="G1370" s="17" t="b">
        <v>1</v>
      </c>
      <c r="H1370" s="6" t="n">
        <v>-230</v>
      </c>
      <c r="I1370" s="13" t="n">
        <v>5</v>
      </c>
      <c r="J1370" s="8">
        <f>OR($F1370="entry",$F1370="roll_in")</f>
        <v/>
      </c>
      <c r="K1370" s="8">
        <f>OR($F1370="exit",$F1370="roll_out")</f>
        <v/>
      </c>
      <c r="L1370" s="8">
        <f>OR(AND($E1370="SELL",$K1370),AND($E1370="BUY",$J1370))</f>
        <v/>
      </c>
      <c r="M1370" s="16">
        <f>((INDEX(Market_Daily!$B$6:$B$256,MATCH($C1370,Market_Daily!$A$6:$A$256,0))*INDEX(Market_Daily!$F$6:$F$256,MATCH($C1370,Market_Daily!$A$6:$A$256,0))/kg_per_mt*(1+bcd_primary_al_hs7601*(1+sws_rate_on_bcd))+mcx_domestic_premium_inr_kg)*(1+INDEX(Market_Daily!$I$6:$I$256,MATCH($C1370,Market_Daily!$A$6:$A$256,0))*MAX(0,INDEX(mcx_expiries,MATCH($D1370,mcx_months,0))-$C1370)/day_count_inr))</f>
        <v/>
      </c>
      <c r="N1370" s="16">
        <f>IF(INDEX(Market_Daily!$S$6:$S$256,MATCH($C1370,Market_Daily!$A$6:$A$256,0))=$D1370,INDEX(Market_Daily!$M$6:$M$256,MATCH($C1370,Market_Daily!$A$6:$A$256,0)),IF(INDEX(Market_Daily!$T$6:$T$256,MATCH($C1370,Market_Daily!$A$6:$A$256,0))=$D1370,INDEX(Market_Daily!$N$6:$N$256,MATCH($C1370,Market_Daily!$A$6:$A$256,0)),NA()))</f>
        <v/>
      </c>
      <c r="O1370" s="16">
        <f>$N1370-$M1370</f>
        <v/>
      </c>
      <c r="P1370" s="16">
        <f>IF(($B1369=$B1370),$M1369,"")</f>
        <v/>
      </c>
      <c r="Q1370" s="16">
        <f>$M1370+IF($L1370,1,-1)*mcx_slippage_ticks*mcx_al_tick_inr_kg</f>
        <v/>
      </c>
      <c r="R1370" s="18">
        <f>IF(($B1369=$B1370),$H1370*$I1370*kg_per_mt*($M1370-$M1369),0)</f>
        <v/>
      </c>
      <c r="S1370" s="18">
        <f>IF(($B1369=$B1370),$S1369,0)+$R1370</f>
        <v/>
      </c>
      <c r="T1370" s="18">
        <f>ABS($H1370)*$I1370*kg_per_mt*$M1370</f>
        <v/>
      </c>
      <c r="U1370" s="18">
        <f>IF($K1370,0,$T1370*mcx_al_margin_used_frac)</f>
        <v/>
      </c>
      <c r="V1370" s="18">
        <f>IF(($B1369=$B1370),$U1369,0)</f>
        <v/>
      </c>
      <c r="W1370" s="18">
        <f>$U1370-$V1370</f>
        <v/>
      </c>
      <c r="X1370" s="18">
        <f>IF($K1370,0,$T1370*0.12)</f>
        <v/>
      </c>
      <c r="Y1370" s="18">
        <f>IF($K1370,0,$T1370*0.15)</f>
        <v/>
      </c>
      <c r="Z1370" s="18">
        <f>IF($F1370="hold",0,-ABS($H1370)*$I1370*kg_per_mt*mcx_slippage_ticks*mcx_al_tick_inr_kg)</f>
        <v/>
      </c>
      <c r="AA1370" s="18">
        <f>IF($F1370="hold",0,-ABS($H1370)*$I1370*kg_per_mt*$Q1370*mcx_txn_cost_frac)</f>
        <v/>
      </c>
      <c r="AB1370" s="18">
        <f>$Z1370+$AA1370</f>
        <v/>
      </c>
      <c r="AC1370" s="18">
        <f>$R1370-$W1370+$AB1370</f>
        <v/>
      </c>
      <c r="AD1370" s="18">
        <f>IF(($B1369=$B1370),$AD1369,0)+$AC1370</f>
        <v/>
      </c>
      <c r="AE1370" s="23" t="n">
        <v>2814953.91</v>
      </c>
      <c r="AF1370" s="23" t="n">
        <v>24439272.65</v>
      </c>
      <c r="AG1370" s="23" t="n">
        <v>0</v>
      </c>
      <c r="AH1370" s="23" t="n">
        <v>3096449.3</v>
      </c>
      <c r="AI1370" s="23" t="n">
        <v>-10927.36</v>
      </c>
      <c r="AJ1370" s="18">
        <f>$R1370-$AE1370</f>
        <v/>
      </c>
      <c r="AK1370" s="18">
        <f>$U1370-$AF1370</f>
        <v/>
      </c>
      <c r="AL1370" s="18">
        <f>$AC1370-$AH1370</f>
        <v/>
      </c>
      <c r="AM1370" s="8">
        <f>IF(AND(ABS($AJ1370)&lt;=tol_mcx_inr,ABS($AK1370)&lt;=tol_mcx_inr,ABS($AL1370)&lt;=tol_mcx_inr),"PASS","FAIL")</f>
        <v/>
      </c>
    </row>
    <row r="1371">
      <c r="A1371" s="7" t="inlineStr">
        <is>
          <t>T08</t>
        </is>
      </c>
      <c r="B1371" s="7" t="inlineStr">
        <is>
          <t>T08-MCX-1</t>
        </is>
      </c>
      <c r="C1371" s="11" t="n">
        <v>44784</v>
      </c>
      <c r="D1371" s="7" t="n">
        <v>202208</v>
      </c>
      <c r="E1371" s="7" t="inlineStr">
        <is>
          <t>SELL</t>
        </is>
      </c>
      <c r="F1371" s="7" t="inlineStr">
        <is>
          <t>hold</t>
        </is>
      </c>
      <c r="G1371" s="17" t="b">
        <v>1</v>
      </c>
      <c r="H1371" s="6" t="n">
        <v>-230</v>
      </c>
      <c r="I1371" s="13" t="n">
        <v>5</v>
      </c>
      <c r="J1371" s="8">
        <f>OR($F1371="entry",$F1371="roll_in")</f>
        <v/>
      </c>
      <c r="K1371" s="8">
        <f>OR($F1371="exit",$F1371="roll_out")</f>
        <v/>
      </c>
      <c r="L1371" s="8">
        <f>OR(AND($E1371="SELL",$K1371),AND($E1371="BUY",$J1371))</f>
        <v/>
      </c>
      <c r="M1371" s="16">
        <f>((INDEX(Market_Daily!$B$6:$B$256,MATCH($C1371,Market_Daily!$A$6:$A$256,0))*INDEX(Market_Daily!$F$6:$F$256,MATCH($C1371,Market_Daily!$A$6:$A$256,0))/kg_per_mt*(1+bcd_primary_al_hs7601*(1+sws_rate_on_bcd))+mcx_domestic_premium_inr_kg)*(1+INDEX(Market_Daily!$I$6:$I$256,MATCH($C1371,Market_Daily!$A$6:$A$256,0))*MAX(0,INDEX(mcx_expiries,MATCH($D1371,mcx_months,0))-$C1371)/day_count_inr))</f>
        <v/>
      </c>
      <c r="N1371" s="16">
        <f>IF(INDEX(Market_Daily!$S$6:$S$256,MATCH($C1371,Market_Daily!$A$6:$A$256,0))=$D1371,INDEX(Market_Daily!$M$6:$M$256,MATCH($C1371,Market_Daily!$A$6:$A$256,0)),IF(INDEX(Market_Daily!$T$6:$T$256,MATCH($C1371,Market_Daily!$A$6:$A$256,0))=$D1371,INDEX(Market_Daily!$N$6:$N$256,MATCH($C1371,Market_Daily!$A$6:$A$256,0)),NA()))</f>
        <v/>
      </c>
      <c r="O1371" s="16">
        <f>$N1371-$M1371</f>
        <v/>
      </c>
      <c r="P1371" s="16">
        <f>IF(($B1370=$B1371),$M1370,"")</f>
        <v/>
      </c>
      <c r="Q1371" s="16">
        <f>$M1371+IF($L1371,1,-1)*mcx_slippage_ticks*mcx_al_tick_inr_kg</f>
        <v/>
      </c>
      <c r="R1371" s="18">
        <f>IF(($B1370=$B1371),$H1371*$I1371*kg_per_mt*($M1371-$M1370),0)</f>
        <v/>
      </c>
      <c r="S1371" s="18">
        <f>IF(($B1370=$B1371),$S1370,0)+$R1371</f>
        <v/>
      </c>
      <c r="T1371" s="18">
        <f>ABS($H1371)*$I1371*kg_per_mt*$M1371</f>
        <v/>
      </c>
      <c r="U1371" s="18">
        <f>IF($K1371,0,$T1371*mcx_al_margin_used_frac)</f>
        <v/>
      </c>
      <c r="V1371" s="18">
        <f>IF(($B1370=$B1371),$U1370,0)</f>
        <v/>
      </c>
      <c r="W1371" s="18">
        <f>$U1371-$V1371</f>
        <v/>
      </c>
      <c r="X1371" s="18">
        <f>IF($K1371,0,$T1371*0.12)</f>
        <v/>
      </c>
      <c r="Y1371" s="18">
        <f>IF($K1371,0,$T1371*0.15)</f>
        <v/>
      </c>
      <c r="Z1371" s="18">
        <f>IF($F1371="hold",0,-ABS($H1371)*$I1371*kg_per_mt*mcx_slippage_ticks*mcx_al_tick_inr_kg)</f>
        <v/>
      </c>
      <c r="AA1371" s="18">
        <f>IF($F1371="hold",0,-ABS($H1371)*$I1371*kg_per_mt*$Q1371*mcx_txn_cost_frac)</f>
        <v/>
      </c>
      <c r="AB1371" s="18">
        <f>$Z1371+$AA1371</f>
        <v/>
      </c>
      <c r="AC1371" s="18">
        <f>$R1371-$W1371+$AB1371</f>
        <v/>
      </c>
      <c r="AD1371" s="18">
        <f>IF(($B1370=$B1371),$AD1370,0)+$AC1371</f>
        <v/>
      </c>
      <c r="AE1371" s="23" t="n">
        <v>-3886477.55</v>
      </c>
      <c r="AF1371" s="23" t="n">
        <v>24827920.41</v>
      </c>
      <c r="AG1371" s="23" t="n">
        <v>0</v>
      </c>
      <c r="AH1371" s="23" t="n">
        <v>-4275125.3</v>
      </c>
      <c r="AI1371" s="23" t="n">
        <v>-10079.02</v>
      </c>
      <c r="AJ1371" s="18">
        <f>$R1371-$AE1371</f>
        <v/>
      </c>
      <c r="AK1371" s="18">
        <f>$U1371-$AF1371</f>
        <v/>
      </c>
      <c r="AL1371" s="18">
        <f>$AC1371-$AH1371</f>
        <v/>
      </c>
      <c r="AM1371" s="8">
        <f>IF(AND(ABS($AJ1371)&lt;=tol_mcx_inr,ABS($AK1371)&lt;=tol_mcx_inr,ABS($AL1371)&lt;=tol_mcx_inr),"PASS","FAIL")</f>
        <v/>
      </c>
    </row>
    <row r="1372">
      <c r="A1372" s="7" t="inlineStr">
        <is>
          <t>T08</t>
        </is>
      </c>
      <c r="B1372" s="7" t="inlineStr">
        <is>
          <t>T08-MCX-1</t>
        </is>
      </c>
      <c r="C1372" s="11" t="n">
        <v>44785</v>
      </c>
      <c r="D1372" s="7" t="n">
        <v>202208</v>
      </c>
      <c r="E1372" s="7" t="inlineStr">
        <is>
          <t>SELL</t>
        </is>
      </c>
      <c r="F1372" s="7" t="inlineStr">
        <is>
          <t>hold</t>
        </is>
      </c>
      <c r="G1372" s="17" t="b">
        <v>1</v>
      </c>
      <c r="H1372" s="6" t="n">
        <v>-230</v>
      </c>
      <c r="I1372" s="13" t="n">
        <v>5</v>
      </c>
      <c r="J1372" s="8">
        <f>OR($F1372="entry",$F1372="roll_in")</f>
        <v/>
      </c>
      <c r="K1372" s="8">
        <f>OR($F1372="exit",$F1372="roll_out")</f>
        <v/>
      </c>
      <c r="L1372" s="8">
        <f>OR(AND($E1372="SELL",$K1372),AND($E1372="BUY",$J1372))</f>
        <v/>
      </c>
      <c r="M1372" s="16">
        <f>((INDEX(Market_Daily!$B$6:$B$256,MATCH($C1372,Market_Daily!$A$6:$A$256,0))*INDEX(Market_Daily!$F$6:$F$256,MATCH($C1372,Market_Daily!$A$6:$A$256,0))/kg_per_mt*(1+bcd_primary_al_hs7601*(1+sws_rate_on_bcd))+mcx_domestic_premium_inr_kg)*(1+INDEX(Market_Daily!$I$6:$I$256,MATCH($C1372,Market_Daily!$A$6:$A$256,0))*MAX(0,INDEX(mcx_expiries,MATCH($D1372,mcx_months,0))-$C1372)/day_count_inr))</f>
        <v/>
      </c>
      <c r="N1372" s="16">
        <f>IF(INDEX(Market_Daily!$S$6:$S$256,MATCH($C1372,Market_Daily!$A$6:$A$256,0))=$D1372,INDEX(Market_Daily!$M$6:$M$256,MATCH($C1372,Market_Daily!$A$6:$A$256,0)),IF(INDEX(Market_Daily!$T$6:$T$256,MATCH($C1372,Market_Daily!$A$6:$A$256,0))=$D1372,INDEX(Market_Daily!$N$6:$N$256,MATCH($C1372,Market_Daily!$A$6:$A$256,0)),NA()))</f>
        <v/>
      </c>
      <c r="O1372" s="16">
        <f>$N1372-$M1372</f>
        <v/>
      </c>
      <c r="P1372" s="16">
        <f>IF(($B1371=$B1372),$M1371,"")</f>
        <v/>
      </c>
      <c r="Q1372" s="16">
        <f>$M1372+IF($L1372,1,-1)*mcx_slippage_ticks*mcx_al_tick_inr_kg</f>
        <v/>
      </c>
      <c r="R1372" s="18">
        <f>IF(($B1371=$B1372),$H1372*$I1372*kg_per_mt*($M1372-$M1371),0)</f>
        <v/>
      </c>
      <c r="S1372" s="18">
        <f>IF(($B1371=$B1372),$S1371,0)+$R1372</f>
        <v/>
      </c>
      <c r="T1372" s="18">
        <f>ABS($H1372)*$I1372*kg_per_mt*$M1372</f>
        <v/>
      </c>
      <c r="U1372" s="18">
        <f>IF($K1372,0,$T1372*mcx_al_margin_used_frac)</f>
        <v/>
      </c>
      <c r="V1372" s="18">
        <f>IF(($B1371=$B1372),$U1371,0)</f>
        <v/>
      </c>
      <c r="W1372" s="18">
        <f>$U1372-$V1372</f>
        <v/>
      </c>
      <c r="X1372" s="18">
        <f>IF($K1372,0,$T1372*0.12)</f>
        <v/>
      </c>
      <c r="Y1372" s="18">
        <f>IF($K1372,0,$T1372*0.15)</f>
        <v/>
      </c>
      <c r="Z1372" s="18">
        <f>IF($F1372="hold",0,-ABS($H1372)*$I1372*kg_per_mt*mcx_slippage_ticks*mcx_al_tick_inr_kg)</f>
        <v/>
      </c>
      <c r="AA1372" s="18">
        <f>IF($F1372="hold",0,-ABS($H1372)*$I1372*kg_per_mt*$Q1372*mcx_txn_cost_frac)</f>
        <v/>
      </c>
      <c r="AB1372" s="18">
        <f>$Z1372+$AA1372</f>
        <v/>
      </c>
      <c r="AC1372" s="18">
        <f>$R1372-$W1372+$AB1372</f>
        <v/>
      </c>
      <c r="AD1372" s="18">
        <f>IF(($B1371=$B1372),$AD1371,0)+$AC1372</f>
        <v/>
      </c>
      <c r="AE1372" s="23" t="n">
        <v>2577822.88</v>
      </c>
      <c r="AF1372" s="23" t="n">
        <v>24570138.12</v>
      </c>
      <c r="AG1372" s="23" t="n">
        <v>0</v>
      </c>
      <c r="AH1372" s="23" t="n">
        <v>2835605.17</v>
      </c>
      <c r="AI1372" s="23" t="n">
        <v>-11250.28</v>
      </c>
      <c r="AJ1372" s="18">
        <f>$R1372-$AE1372</f>
        <v/>
      </c>
      <c r="AK1372" s="18">
        <f>$U1372-$AF1372</f>
        <v/>
      </c>
      <c r="AL1372" s="18">
        <f>$AC1372-$AH1372</f>
        <v/>
      </c>
      <c r="AM1372" s="8">
        <f>IF(AND(ABS($AJ1372)&lt;=tol_mcx_inr,ABS($AK1372)&lt;=tol_mcx_inr,ABS($AL1372)&lt;=tol_mcx_inr),"PASS","FAIL")</f>
        <v/>
      </c>
    </row>
    <row r="1373">
      <c r="A1373" s="7" t="inlineStr">
        <is>
          <t>T08</t>
        </is>
      </c>
      <c r="B1373" s="7" t="inlineStr">
        <is>
          <t>T08-MCX-1</t>
        </is>
      </c>
      <c r="C1373" s="11" t="n">
        <v>44788</v>
      </c>
      <c r="D1373" s="7" t="n">
        <v>202208</v>
      </c>
      <c r="E1373" s="7" t="inlineStr">
        <is>
          <t>SELL</t>
        </is>
      </c>
      <c r="F1373" s="7" t="inlineStr">
        <is>
          <t>hold</t>
        </is>
      </c>
      <c r="G1373" s="17" t="b">
        <v>1</v>
      </c>
      <c r="H1373" s="6" t="n">
        <v>-230</v>
      </c>
      <c r="I1373" s="13" t="n">
        <v>5</v>
      </c>
      <c r="J1373" s="8">
        <f>OR($F1373="entry",$F1373="roll_in")</f>
        <v/>
      </c>
      <c r="K1373" s="8">
        <f>OR($F1373="exit",$F1373="roll_out")</f>
        <v/>
      </c>
      <c r="L1373" s="8">
        <f>OR(AND($E1373="SELL",$K1373),AND($E1373="BUY",$J1373))</f>
        <v/>
      </c>
      <c r="M1373" s="16">
        <f>((INDEX(Market_Daily!$B$6:$B$256,MATCH($C1373,Market_Daily!$A$6:$A$256,0))*INDEX(Market_Daily!$F$6:$F$256,MATCH($C1373,Market_Daily!$A$6:$A$256,0))/kg_per_mt*(1+bcd_primary_al_hs7601*(1+sws_rate_on_bcd))+mcx_domestic_premium_inr_kg)*(1+INDEX(Market_Daily!$I$6:$I$256,MATCH($C1373,Market_Daily!$A$6:$A$256,0))*MAX(0,INDEX(mcx_expiries,MATCH($D1373,mcx_months,0))-$C1373)/day_count_inr))</f>
        <v/>
      </c>
      <c r="N1373" s="16">
        <f>IF(INDEX(Market_Daily!$S$6:$S$256,MATCH($C1373,Market_Daily!$A$6:$A$256,0))=$D1373,INDEX(Market_Daily!$M$6:$M$256,MATCH($C1373,Market_Daily!$A$6:$A$256,0)),IF(INDEX(Market_Daily!$T$6:$T$256,MATCH($C1373,Market_Daily!$A$6:$A$256,0))=$D1373,INDEX(Market_Daily!$N$6:$N$256,MATCH($C1373,Market_Daily!$A$6:$A$256,0)),NA()))</f>
        <v/>
      </c>
      <c r="O1373" s="16">
        <f>$N1373-$M1373</f>
        <v/>
      </c>
      <c r="P1373" s="16">
        <f>IF(($B1372=$B1373),$M1372,"")</f>
        <v/>
      </c>
      <c r="Q1373" s="16">
        <f>$M1373+IF($L1373,1,-1)*mcx_slippage_ticks*mcx_al_tick_inr_kg</f>
        <v/>
      </c>
      <c r="R1373" s="18">
        <f>IF(($B1372=$B1373),$H1373*$I1373*kg_per_mt*($M1373-$M1372),0)</f>
        <v/>
      </c>
      <c r="S1373" s="18">
        <f>IF(($B1372=$B1373),$S1372,0)+$R1373</f>
        <v/>
      </c>
      <c r="T1373" s="18">
        <f>ABS($H1373)*$I1373*kg_per_mt*$M1373</f>
        <v/>
      </c>
      <c r="U1373" s="18">
        <f>IF($K1373,0,$T1373*mcx_al_margin_used_frac)</f>
        <v/>
      </c>
      <c r="V1373" s="18">
        <f>IF(($B1372=$B1373),$U1372,0)</f>
        <v/>
      </c>
      <c r="W1373" s="18">
        <f>$U1373-$V1373</f>
        <v/>
      </c>
      <c r="X1373" s="18">
        <f>IF($K1373,0,$T1373*0.12)</f>
        <v/>
      </c>
      <c r="Y1373" s="18">
        <f>IF($K1373,0,$T1373*0.15)</f>
        <v/>
      </c>
      <c r="Z1373" s="18">
        <f>IF($F1373="hold",0,-ABS($H1373)*$I1373*kg_per_mt*mcx_slippage_ticks*mcx_al_tick_inr_kg)</f>
        <v/>
      </c>
      <c r="AA1373" s="18">
        <f>IF($F1373="hold",0,-ABS($H1373)*$I1373*kg_per_mt*$Q1373*mcx_txn_cost_frac)</f>
        <v/>
      </c>
      <c r="AB1373" s="18">
        <f>$Z1373+$AA1373</f>
        <v/>
      </c>
      <c r="AC1373" s="18">
        <f>$R1373-$W1373+$AB1373</f>
        <v/>
      </c>
      <c r="AD1373" s="18">
        <f>IF(($B1372=$B1373),$AD1372,0)+$AC1373</f>
        <v/>
      </c>
      <c r="AE1373" s="23" t="n">
        <v>8602125.789999999</v>
      </c>
      <c r="AF1373" s="23" t="n">
        <v>23709925.54</v>
      </c>
      <c r="AG1373" s="23" t="n">
        <v>0</v>
      </c>
      <c r="AH1373" s="23" t="n">
        <v>9462338.369999999</v>
      </c>
      <c r="AI1373" s="23" t="n">
        <v>-31420.21</v>
      </c>
      <c r="AJ1373" s="18">
        <f>$R1373-$AE1373</f>
        <v/>
      </c>
      <c r="AK1373" s="18">
        <f>$U1373-$AF1373</f>
        <v/>
      </c>
      <c r="AL1373" s="18">
        <f>$AC1373-$AH1373</f>
        <v/>
      </c>
      <c r="AM1373" s="8">
        <f>IF(AND(ABS($AJ1373)&lt;=tol_mcx_inr,ABS($AK1373)&lt;=tol_mcx_inr,ABS($AL1373)&lt;=tol_mcx_inr),"PASS","FAIL")</f>
        <v/>
      </c>
    </row>
    <row r="1374">
      <c r="A1374" s="7" t="inlineStr">
        <is>
          <t>T08</t>
        </is>
      </c>
      <c r="B1374" s="7" t="inlineStr">
        <is>
          <t>T08-MCX-1</t>
        </is>
      </c>
      <c r="C1374" s="11" t="n">
        <v>44789</v>
      </c>
      <c r="D1374" s="7" t="n">
        <v>202208</v>
      </c>
      <c r="E1374" s="7" t="inlineStr">
        <is>
          <t>SELL</t>
        </is>
      </c>
      <c r="F1374" s="7" t="inlineStr">
        <is>
          <t>exit</t>
        </is>
      </c>
      <c r="G1374" s="17" t="b">
        <v>1</v>
      </c>
      <c r="H1374" s="6" t="n">
        <v>-230</v>
      </c>
      <c r="I1374" s="13" t="n">
        <v>5</v>
      </c>
      <c r="J1374" s="8">
        <f>OR($F1374="entry",$F1374="roll_in")</f>
        <v/>
      </c>
      <c r="K1374" s="8">
        <f>OR($F1374="exit",$F1374="roll_out")</f>
        <v/>
      </c>
      <c r="L1374" s="8">
        <f>OR(AND($E1374="SELL",$K1374),AND($E1374="BUY",$J1374))</f>
        <v/>
      </c>
      <c r="M1374" s="16">
        <f>((INDEX(Market_Daily!$B$6:$B$256,MATCH($C1374,Market_Daily!$A$6:$A$256,0))*INDEX(Market_Daily!$F$6:$F$256,MATCH($C1374,Market_Daily!$A$6:$A$256,0))/kg_per_mt*(1+bcd_primary_al_hs7601*(1+sws_rate_on_bcd))+mcx_domestic_premium_inr_kg)*(1+INDEX(Market_Daily!$I$6:$I$256,MATCH($C1374,Market_Daily!$A$6:$A$256,0))*MAX(0,INDEX(mcx_expiries,MATCH($D1374,mcx_months,0))-$C1374)/day_count_inr))</f>
        <v/>
      </c>
      <c r="N1374" s="16">
        <f>IF(INDEX(Market_Daily!$S$6:$S$256,MATCH($C1374,Market_Daily!$A$6:$A$256,0))=$D1374,INDEX(Market_Daily!$M$6:$M$256,MATCH($C1374,Market_Daily!$A$6:$A$256,0)),IF(INDEX(Market_Daily!$T$6:$T$256,MATCH($C1374,Market_Daily!$A$6:$A$256,0))=$D1374,INDEX(Market_Daily!$N$6:$N$256,MATCH($C1374,Market_Daily!$A$6:$A$256,0)),NA()))</f>
        <v/>
      </c>
      <c r="O1374" s="16">
        <f>$N1374-$M1374</f>
        <v/>
      </c>
      <c r="P1374" s="16">
        <f>IF(($B1373=$B1374),$M1373,"")</f>
        <v/>
      </c>
      <c r="Q1374" s="16">
        <f>$M1374+IF($L1374,1,-1)*mcx_slippage_ticks*mcx_al_tick_inr_kg</f>
        <v/>
      </c>
      <c r="R1374" s="18">
        <f>IF(($B1373=$B1374),$H1374*$I1374*kg_per_mt*($M1374-$M1373),0)</f>
        <v/>
      </c>
      <c r="S1374" s="18">
        <f>IF(($B1373=$B1374),$S1373,0)+$R1374</f>
        <v/>
      </c>
      <c r="T1374" s="18">
        <f>ABS($H1374)*$I1374*kg_per_mt*$M1374</f>
        <v/>
      </c>
      <c r="U1374" s="18">
        <f>IF($K1374,0,$T1374*mcx_al_margin_used_frac)</f>
        <v/>
      </c>
      <c r="V1374" s="18">
        <f>IF(($B1373=$B1374),$U1373,0)</f>
        <v/>
      </c>
      <c r="W1374" s="18">
        <f>$U1374-$V1374</f>
        <v/>
      </c>
      <c r="X1374" s="18">
        <f>IF($K1374,0,$T1374*0.12)</f>
        <v/>
      </c>
      <c r="Y1374" s="18">
        <f>IF($K1374,0,$T1374*0.15)</f>
        <v/>
      </c>
      <c r="Z1374" s="18">
        <f>IF($F1374="hold",0,-ABS($H1374)*$I1374*kg_per_mt*mcx_slippage_ticks*mcx_al_tick_inr_kg)</f>
        <v/>
      </c>
      <c r="AA1374" s="18">
        <f>IF($F1374="hold",0,-ABS($H1374)*$I1374*kg_per_mt*$Q1374*mcx_txn_cost_frac)</f>
        <v/>
      </c>
      <c r="AB1374" s="18">
        <f>$Z1374+$AA1374</f>
        <v/>
      </c>
      <c r="AC1374" s="18">
        <f>$R1374-$W1374+$AB1374</f>
        <v/>
      </c>
      <c r="AD1374" s="18">
        <f>IF(($B1373=$B1374),$AD1373,0)+$AC1374</f>
        <v/>
      </c>
      <c r="AE1374" s="23" t="n">
        <v>-4637824.13</v>
      </c>
      <c r="AF1374" s="23" t="n">
        <v>0</v>
      </c>
      <c r="AG1374" s="23" t="n">
        <v>-187555.62</v>
      </c>
      <c r="AH1374" s="23" t="n">
        <v>18884545.79</v>
      </c>
      <c r="AI1374" s="23" t="n">
        <v>-8038.6</v>
      </c>
      <c r="AJ1374" s="18">
        <f>$R1374-$AE1374</f>
        <v/>
      </c>
      <c r="AK1374" s="18">
        <f>$U1374-$AF1374</f>
        <v/>
      </c>
      <c r="AL1374" s="18">
        <f>$AC1374-$AH1374</f>
        <v/>
      </c>
      <c r="AM1374" s="8">
        <f>IF(AND(ABS($AJ1374)&lt;=tol_mcx_inr,ABS($AK1374)&lt;=tol_mcx_inr,ABS($AL1374)&lt;=tol_mcx_inr),"PASS","FAIL")</f>
        <v/>
      </c>
    </row>
    <row r="1375">
      <c r="A1375" s="7" t="inlineStr">
        <is>
          <t>T09</t>
        </is>
      </c>
      <c r="B1375" s="7" t="inlineStr">
        <is>
          <t>T09-MCX-1</t>
        </is>
      </c>
      <c r="C1375" s="11" t="n">
        <v>44776</v>
      </c>
      <c r="D1375" s="7" t="n">
        <v>202208</v>
      </c>
      <c r="E1375" s="7" t="inlineStr">
        <is>
          <t>SELL</t>
        </is>
      </c>
      <c r="F1375" s="7" t="inlineStr">
        <is>
          <t>entry</t>
        </is>
      </c>
      <c r="G1375" s="17" t="b">
        <v>1</v>
      </c>
      <c r="H1375" s="6" t="n">
        <v>-157</v>
      </c>
      <c r="I1375" s="13" t="n">
        <v>5</v>
      </c>
      <c r="J1375" s="8">
        <f>OR($F1375="entry",$F1375="roll_in")</f>
        <v/>
      </c>
      <c r="K1375" s="8">
        <f>OR($F1375="exit",$F1375="roll_out")</f>
        <v/>
      </c>
      <c r="L1375" s="8">
        <f>OR(AND($E1375="SELL",$K1375),AND($E1375="BUY",$J1375))</f>
        <v/>
      </c>
      <c r="M1375" s="16">
        <f>((INDEX(Market_Daily!$B$6:$B$256,MATCH($C1375,Market_Daily!$A$6:$A$256,0))*INDEX(Market_Daily!$F$6:$F$256,MATCH($C1375,Market_Daily!$A$6:$A$256,0))/kg_per_mt*(1+bcd_primary_al_hs7601*(1+sws_rate_on_bcd))+mcx_domestic_premium_inr_kg)*(1+INDEX(Market_Daily!$I$6:$I$256,MATCH($C1375,Market_Daily!$A$6:$A$256,0))*MAX(0,INDEX(mcx_expiries,MATCH($D1375,mcx_months,0))-$C1375)/day_count_inr))</f>
        <v/>
      </c>
      <c r="N1375" s="16">
        <f>IF(INDEX(Market_Daily!$S$6:$S$256,MATCH($C1375,Market_Daily!$A$6:$A$256,0))=$D1375,INDEX(Market_Daily!$M$6:$M$256,MATCH($C1375,Market_Daily!$A$6:$A$256,0)),IF(INDEX(Market_Daily!$T$6:$T$256,MATCH($C1375,Market_Daily!$A$6:$A$256,0))=$D1375,INDEX(Market_Daily!$N$6:$N$256,MATCH($C1375,Market_Daily!$A$6:$A$256,0)),NA()))</f>
        <v/>
      </c>
      <c r="O1375" s="16">
        <f>$N1375-$M1375</f>
        <v/>
      </c>
      <c r="P1375" s="16">
        <f>IF(($B1374=$B1375),$M1374,"")</f>
        <v/>
      </c>
      <c r="Q1375" s="16">
        <f>$M1375+IF($L1375,1,-1)*mcx_slippage_ticks*mcx_al_tick_inr_kg</f>
        <v/>
      </c>
      <c r="R1375" s="18">
        <f>IF(($B1374=$B1375),$H1375*$I1375*kg_per_mt*($M1375-$M1374),0)</f>
        <v/>
      </c>
      <c r="S1375" s="18">
        <f>IF(($B1374=$B1375),$S1374,0)+$R1375</f>
        <v/>
      </c>
      <c r="T1375" s="18">
        <f>ABS($H1375)*$I1375*kg_per_mt*$M1375</f>
        <v/>
      </c>
      <c r="U1375" s="18">
        <f>IF($K1375,0,$T1375*mcx_al_margin_used_frac)</f>
        <v/>
      </c>
      <c r="V1375" s="18">
        <f>IF(($B1374=$B1375),$U1374,0)</f>
        <v/>
      </c>
      <c r="W1375" s="18">
        <f>$U1375-$V1375</f>
        <v/>
      </c>
      <c r="X1375" s="18">
        <f>IF($K1375,0,$T1375*0.12)</f>
        <v/>
      </c>
      <c r="Y1375" s="18">
        <f>IF($K1375,0,$T1375*0.15)</f>
        <v/>
      </c>
      <c r="Z1375" s="18">
        <f>IF($F1375="hold",0,-ABS($H1375)*$I1375*kg_per_mt*mcx_slippage_ticks*mcx_al_tick_inr_kg)</f>
        <v/>
      </c>
      <c r="AA1375" s="18">
        <f>IF($F1375="hold",0,-ABS($H1375)*$I1375*kg_per_mt*$Q1375*mcx_txn_cost_frac)</f>
        <v/>
      </c>
      <c r="AB1375" s="18">
        <f>$Z1375+$AA1375</f>
        <v/>
      </c>
      <c r="AC1375" s="18">
        <f>$R1375-$W1375+$AB1375</f>
        <v/>
      </c>
      <c r="AD1375" s="18">
        <f>IF(($B1374=$B1375),$AD1374,0)+$AC1375</f>
        <v/>
      </c>
      <c r="AE1375" s="23" t="n">
        <v>0</v>
      </c>
      <c r="AF1375" s="23" t="n">
        <v>16226828.33</v>
      </c>
      <c r="AG1375" s="23" t="n">
        <v>-127156.93</v>
      </c>
      <c r="AH1375" s="23" t="n">
        <v>-16353985.26</v>
      </c>
      <c r="AI1375" s="23" t="n">
        <v>0</v>
      </c>
      <c r="AJ1375" s="18">
        <f>$R1375-$AE1375</f>
        <v/>
      </c>
      <c r="AK1375" s="18">
        <f>$U1375-$AF1375</f>
        <v/>
      </c>
      <c r="AL1375" s="18">
        <f>$AC1375-$AH1375</f>
        <v/>
      </c>
      <c r="AM1375" s="8">
        <f>IF(AND(ABS($AJ1375)&lt;=tol_mcx_inr,ABS($AK1375)&lt;=tol_mcx_inr,ABS($AL1375)&lt;=tol_mcx_inr),"PASS","FAIL")</f>
        <v/>
      </c>
    </row>
    <row r="1376">
      <c r="A1376" s="7" t="inlineStr">
        <is>
          <t>T09</t>
        </is>
      </c>
      <c r="B1376" s="7" t="inlineStr">
        <is>
          <t>T09-MCX-1</t>
        </is>
      </c>
      <c r="C1376" s="11" t="n">
        <v>44777</v>
      </c>
      <c r="D1376" s="7" t="n">
        <v>202208</v>
      </c>
      <c r="E1376" s="7" t="inlineStr">
        <is>
          <t>SELL</t>
        </is>
      </c>
      <c r="F1376" s="7" t="inlineStr">
        <is>
          <t>hold</t>
        </is>
      </c>
      <c r="G1376" s="17" t="b">
        <v>1</v>
      </c>
      <c r="H1376" s="6" t="n">
        <v>-157</v>
      </c>
      <c r="I1376" s="13" t="n">
        <v>5</v>
      </c>
      <c r="J1376" s="8">
        <f>OR($F1376="entry",$F1376="roll_in")</f>
        <v/>
      </c>
      <c r="K1376" s="8">
        <f>OR($F1376="exit",$F1376="roll_out")</f>
        <v/>
      </c>
      <c r="L1376" s="8">
        <f>OR(AND($E1376="SELL",$K1376),AND($E1376="BUY",$J1376))</f>
        <v/>
      </c>
      <c r="M1376" s="16">
        <f>((INDEX(Market_Daily!$B$6:$B$256,MATCH($C1376,Market_Daily!$A$6:$A$256,0))*INDEX(Market_Daily!$F$6:$F$256,MATCH($C1376,Market_Daily!$A$6:$A$256,0))/kg_per_mt*(1+bcd_primary_al_hs7601*(1+sws_rate_on_bcd))+mcx_domestic_premium_inr_kg)*(1+INDEX(Market_Daily!$I$6:$I$256,MATCH($C1376,Market_Daily!$A$6:$A$256,0))*MAX(0,INDEX(mcx_expiries,MATCH($D1376,mcx_months,0))-$C1376)/day_count_inr))</f>
        <v/>
      </c>
      <c r="N1376" s="16">
        <f>IF(INDEX(Market_Daily!$S$6:$S$256,MATCH($C1376,Market_Daily!$A$6:$A$256,0))=$D1376,INDEX(Market_Daily!$M$6:$M$256,MATCH($C1376,Market_Daily!$A$6:$A$256,0)),IF(INDEX(Market_Daily!$T$6:$T$256,MATCH($C1376,Market_Daily!$A$6:$A$256,0))=$D1376,INDEX(Market_Daily!$N$6:$N$256,MATCH($C1376,Market_Daily!$A$6:$A$256,0)),NA()))</f>
        <v/>
      </c>
      <c r="O1376" s="16">
        <f>$N1376-$M1376</f>
        <v/>
      </c>
      <c r="P1376" s="16">
        <f>IF(($B1375=$B1376),$M1375,"")</f>
        <v/>
      </c>
      <c r="Q1376" s="16">
        <f>$M1376+IF($L1376,1,-1)*mcx_slippage_ticks*mcx_al_tick_inr_kg</f>
        <v/>
      </c>
      <c r="R1376" s="18">
        <f>IF(($B1375=$B1376),$H1376*$I1376*kg_per_mt*($M1376-$M1375),0)</f>
        <v/>
      </c>
      <c r="S1376" s="18">
        <f>IF(($B1375=$B1376),$S1375,0)+$R1376</f>
        <v/>
      </c>
      <c r="T1376" s="18">
        <f>ABS($H1376)*$I1376*kg_per_mt*$M1376</f>
        <v/>
      </c>
      <c r="U1376" s="18">
        <f>IF($K1376,0,$T1376*mcx_al_margin_used_frac)</f>
        <v/>
      </c>
      <c r="V1376" s="18">
        <f>IF(($B1375=$B1376),$U1375,0)</f>
        <v/>
      </c>
      <c r="W1376" s="18">
        <f>$U1376-$V1376</f>
        <v/>
      </c>
      <c r="X1376" s="18">
        <f>IF($K1376,0,$T1376*0.12)</f>
        <v/>
      </c>
      <c r="Y1376" s="18">
        <f>IF($K1376,0,$T1376*0.15)</f>
        <v/>
      </c>
      <c r="Z1376" s="18">
        <f>IF($F1376="hold",0,-ABS($H1376)*$I1376*kg_per_mt*mcx_slippage_ticks*mcx_al_tick_inr_kg)</f>
        <v/>
      </c>
      <c r="AA1376" s="18">
        <f>IF($F1376="hold",0,-ABS($H1376)*$I1376*kg_per_mt*$Q1376*mcx_txn_cost_frac)</f>
        <v/>
      </c>
      <c r="AB1376" s="18">
        <f>$Z1376+$AA1376</f>
        <v/>
      </c>
      <c r="AC1376" s="18">
        <f>$R1376-$W1376+$AB1376</f>
        <v/>
      </c>
      <c r="AD1376" s="18">
        <f>IF(($B1375=$B1376),$AD1375,0)+$AC1376</f>
        <v/>
      </c>
      <c r="AE1376" s="23" t="n">
        <v>1613050.65</v>
      </c>
      <c r="AF1376" s="23" t="n">
        <v>16065523.26</v>
      </c>
      <c r="AG1376" s="23" t="n">
        <v>0</v>
      </c>
      <c r="AH1376" s="23" t="n">
        <v>1774355.72</v>
      </c>
      <c r="AI1376" s="23" t="n">
        <v>-4480.54</v>
      </c>
      <c r="AJ1376" s="18">
        <f>$R1376-$AE1376</f>
        <v/>
      </c>
      <c r="AK1376" s="18">
        <f>$U1376-$AF1376</f>
        <v/>
      </c>
      <c r="AL1376" s="18">
        <f>$AC1376-$AH1376</f>
        <v/>
      </c>
      <c r="AM1376" s="8">
        <f>IF(AND(ABS($AJ1376)&lt;=tol_mcx_inr,ABS($AK1376)&lt;=tol_mcx_inr,ABS($AL1376)&lt;=tol_mcx_inr),"PASS","FAIL")</f>
        <v/>
      </c>
    </row>
    <row r="1377">
      <c r="A1377" s="7" t="inlineStr">
        <is>
          <t>T09</t>
        </is>
      </c>
      <c r="B1377" s="7" t="inlineStr">
        <is>
          <t>T09-MCX-1</t>
        </is>
      </c>
      <c r="C1377" s="11" t="n">
        <v>44778</v>
      </c>
      <c r="D1377" s="7" t="n">
        <v>202208</v>
      </c>
      <c r="E1377" s="7" t="inlineStr">
        <is>
          <t>SELL</t>
        </is>
      </c>
      <c r="F1377" s="7" t="inlineStr">
        <is>
          <t>hold</t>
        </is>
      </c>
      <c r="G1377" s="17" t="b">
        <v>1</v>
      </c>
      <c r="H1377" s="6" t="n">
        <v>-157</v>
      </c>
      <c r="I1377" s="13" t="n">
        <v>5</v>
      </c>
      <c r="J1377" s="8">
        <f>OR($F1377="entry",$F1377="roll_in")</f>
        <v/>
      </c>
      <c r="K1377" s="8">
        <f>OR($F1377="exit",$F1377="roll_out")</f>
        <v/>
      </c>
      <c r="L1377" s="8">
        <f>OR(AND($E1377="SELL",$K1377),AND($E1377="BUY",$J1377))</f>
        <v/>
      </c>
      <c r="M1377" s="16">
        <f>((INDEX(Market_Daily!$B$6:$B$256,MATCH($C1377,Market_Daily!$A$6:$A$256,0))*INDEX(Market_Daily!$F$6:$F$256,MATCH($C1377,Market_Daily!$A$6:$A$256,0))/kg_per_mt*(1+bcd_primary_al_hs7601*(1+sws_rate_on_bcd))+mcx_domestic_premium_inr_kg)*(1+INDEX(Market_Daily!$I$6:$I$256,MATCH($C1377,Market_Daily!$A$6:$A$256,0))*MAX(0,INDEX(mcx_expiries,MATCH($D1377,mcx_months,0))-$C1377)/day_count_inr))</f>
        <v/>
      </c>
      <c r="N1377" s="16">
        <f>IF(INDEX(Market_Daily!$S$6:$S$256,MATCH($C1377,Market_Daily!$A$6:$A$256,0))=$D1377,INDEX(Market_Daily!$M$6:$M$256,MATCH($C1377,Market_Daily!$A$6:$A$256,0)),IF(INDEX(Market_Daily!$T$6:$T$256,MATCH($C1377,Market_Daily!$A$6:$A$256,0))=$D1377,INDEX(Market_Daily!$N$6:$N$256,MATCH($C1377,Market_Daily!$A$6:$A$256,0)),NA()))</f>
        <v/>
      </c>
      <c r="O1377" s="16">
        <f>$N1377-$M1377</f>
        <v/>
      </c>
      <c r="P1377" s="16">
        <f>IF(($B1376=$B1377),$M1376,"")</f>
        <v/>
      </c>
      <c r="Q1377" s="16">
        <f>$M1377+IF($L1377,1,-1)*mcx_slippage_ticks*mcx_al_tick_inr_kg</f>
        <v/>
      </c>
      <c r="R1377" s="18">
        <f>IF(($B1376=$B1377),$H1377*$I1377*kg_per_mt*($M1377-$M1376),0)</f>
        <v/>
      </c>
      <c r="S1377" s="18">
        <f>IF(($B1376=$B1377),$S1376,0)+$R1377</f>
        <v/>
      </c>
      <c r="T1377" s="18">
        <f>ABS($H1377)*$I1377*kg_per_mt*$M1377</f>
        <v/>
      </c>
      <c r="U1377" s="18">
        <f>IF($K1377,0,$T1377*mcx_al_margin_used_frac)</f>
        <v/>
      </c>
      <c r="V1377" s="18">
        <f>IF(($B1376=$B1377),$U1376,0)</f>
        <v/>
      </c>
      <c r="W1377" s="18">
        <f>$U1377-$V1377</f>
        <v/>
      </c>
      <c r="X1377" s="18">
        <f>IF($K1377,0,$T1377*0.12)</f>
        <v/>
      </c>
      <c r="Y1377" s="18">
        <f>IF($K1377,0,$T1377*0.15)</f>
        <v/>
      </c>
      <c r="Z1377" s="18">
        <f>IF($F1377="hold",0,-ABS($H1377)*$I1377*kg_per_mt*mcx_slippage_ticks*mcx_al_tick_inr_kg)</f>
        <v/>
      </c>
      <c r="AA1377" s="18">
        <f>IF($F1377="hold",0,-ABS($H1377)*$I1377*kg_per_mt*$Q1377*mcx_txn_cost_frac)</f>
        <v/>
      </c>
      <c r="AB1377" s="18">
        <f>$Z1377+$AA1377</f>
        <v/>
      </c>
      <c r="AC1377" s="18">
        <f>$R1377-$W1377+$AB1377</f>
        <v/>
      </c>
      <c r="AD1377" s="18">
        <f>IF(($B1376=$B1377),$AD1376,0)+$AC1377</f>
        <v/>
      </c>
      <c r="AE1377" s="23" t="n">
        <v>-4729657.56</v>
      </c>
      <c r="AF1377" s="23" t="n">
        <v>16538489.02</v>
      </c>
      <c r="AG1377" s="23" t="n">
        <v>0</v>
      </c>
      <c r="AH1377" s="23" t="n">
        <v>-5202623.32</v>
      </c>
      <c r="AI1377" s="23" t="n">
        <v>-3994.42</v>
      </c>
      <c r="AJ1377" s="18">
        <f>$R1377-$AE1377</f>
        <v/>
      </c>
      <c r="AK1377" s="18">
        <f>$U1377-$AF1377</f>
        <v/>
      </c>
      <c r="AL1377" s="18">
        <f>$AC1377-$AH1377</f>
        <v/>
      </c>
      <c r="AM1377" s="8">
        <f>IF(AND(ABS($AJ1377)&lt;=tol_mcx_inr,ABS($AK1377)&lt;=tol_mcx_inr,ABS($AL1377)&lt;=tol_mcx_inr),"PASS","FAIL")</f>
        <v/>
      </c>
    </row>
    <row r="1378">
      <c r="A1378" s="7" t="inlineStr">
        <is>
          <t>T09</t>
        </is>
      </c>
      <c r="B1378" s="7" t="inlineStr">
        <is>
          <t>T09-MCX-1</t>
        </is>
      </c>
      <c r="C1378" s="11" t="n">
        <v>44781</v>
      </c>
      <c r="D1378" s="7" t="n">
        <v>202208</v>
      </c>
      <c r="E1378" s="7" t="inlineStr">
        <is>
          <t>SELL</t>
        </is>
      </c>
      <c r="F1378" s="7" t="inlineStr">
        <is>
          <t>hold</t>
        </is>
      </c>
      <c r="G1378" s="17" t="b">
        <v>1</v>
      </c>
      <c r="H1378" s="6" t="n">
        <v>-157</v>
      </c>
      <c r="I1378" s="13" t="n">
        <v>5</v>
      </c>
      <c r="J1378" s="8">
        <f>OR($F1378="entry",$F1378="roll_in")</f>
        <v/>
      </c>
      <c r="K1378" s="8">
        <f>OR($F1378="exit",$F1378="roll_out")</f>
        <v/>
      </c>
      <c r="L1378" s="8">
        <f>OR(AND($E1378="SELL",$K1378),AND($E1378="BUY",$J1378))</f>
        <v/>
      </c>
      <c r="M1378" s="16">
        <f>((INDEX(Market_Daily!$B$6:$B$256,MATCH($C1378,Market_Daily!$A$6:$A$256,0))*INDEX(Market_Daily!$F$6:$F$256,MATCH($C1378,Market_Daily!$A$6:$A$256,0))/kg_per_mt*(1+bcd_primary_al_hs7601*(1+sws_rate_on_bcd))+mcx_domestic_premium_inr_kg)*(1+INDEX(Market_Daily!$I$6:$I$256,MATCH($C1378,Market_Daily!$A$6:$A$256,0))*MAX(0,INDEX(mcx_expiries,MATCH($D1378,mcx_months,0))-$C1378)/day_count_inr))</f>
        <v/>
      </c>
      <c r="N1378" s="16">
        <f>IF(INDEX(Market_Daily!$S$6:$S$256,MATCH($C1378,Market_Daily!$A$6:$A$256,0))=$D1378,INDEX(Market_Daily!$M$6:$M$256,MATCH($C1378,Market_Daily!$A$6:$A$256,0)),IF(INDEX(Market_Daily!$T$6:$T$256,MATCH($C1378,Market_Daily!$A$6:$A$256,0))=$D1378,INDEX(Market_Daily!$N$6:$N$256,MATCH($C1378,Market_Daily!$A$6:$A$256,0)),NA()))</f>
        <v/>
      </c>
      <c r="O1378" s="16">
        <f>$N1378-$M1378</f>
        <v/>
      </c>
      <c r="P1378" s="16">
        <f>IF(($B1377=$B1378),$M1377,"")</f>
        <v/>
      </c>
      <c r="Q1378" s="16">
        <f>$M1378+IF($L1378,1,-1)*mcx_slippage_ticks*mcx_al_tick_inr_kg</f>
        <v/>
      </c>
      <c r="R1378" s="18">
        <f>IF(($B1377=$B1378),$H1378*$I1378*kg_per_mt*($M1378-$M1377),0)</f>
        <v/>
      </c>
      <c r="S1378" s="18">
        <f>IF(($B1377=$B1378),$S1377,0)+$R1378</f>
        <v/>
      </c>
      <c r="T1378" s="18">
        <f>ABS($H1378)*$I1378*kg_per_mt*$M1378</f>
        <v/>
      </c>
      <c r="U1378" s="18">
        <f>IF($K1378,0,$T1378*mcx_al_margin_used_frac)</f>
        <v/>
      </c>
      <c r="V1378" s="18">
        <f>IF(($B1377=$B1378),$U1377,0)</f>
        <v/>
      </c>
      <c r="W1378" s="18">
        <f>$U1378-$V1378</f>
        <v/>
      </c>
      <c r="X1378" s="18">
        <f>IF($K1378,0,$T1378*0.12)</f>
        <v/>
      </c>
      <c r="Y1378" s="18">
        <f>IF($K1378,0,$T1378*0.15)</f>
        <v/>
      </c>
      <c r="Z1378" s="18">
        <f>IF($F1378="hold",0,-ABS($H1378)*$I1378*kg_per_mt*mcx_slippage_ticks*mcx_al_tick_inr_kg)</f>
        <v/>
      </c>
      <c r="AA1378" s="18">
        <f>IF($F1378="hold",0,-ABS($H1378)*$I1378*kg_per_mt*$Q1378*mcx_txn_cost_frac)</f>
        <v/>
      </c>
      <c r="AB1378" s="18">
        <f>$Z1378+$AA1378</f>
        <v/>
      </c>
      <c r="AC1378" s="18">
        <f>$R1378-$W1378+$AB1378</f>
        <v/>
      </c>
      <c r="AD1378" s="18">
        <f>IF(($B1377=$B1378),$AD1377,0)+$AC1378</f>
        <v/>
      </c>
      <c r="AE1378" s="23" t="n">
        <v>95993.71000000001</v>
      </c>
      <c r="AF1378" s="23" t="n">
        <v>16528889.65</v>
      </c>
      <c r="AG1378" s="23" t="n">
        <v>0</v>
      </c>
      <c r="AH1378" s="23" t="n">
        <v>105593.08</v>
      </c>
      <c r="AI1378" s="23" t="n">
        <v>-16259.39</v>
      </c>
      <c r="AJ1378" s="18">
        <f>$R1378-$AE1378</f>
        <v/>
      </c>
      <c r="AK1378" s="18">
        <f>$U1378-$AF1378</f>
        <v/>
      </c>
      <c r="AL1378" s="18">
        <f>$AC1378-$AH1378</f>
        <v/>
      </c>
      <c r="AM1378" s="8">
        <f>IF(AND(ABS($AJ1378)&lt;=tol_mcx_inr,ABS($AK1378)&lt;=tol_mcx_inr,ABS($AL1378)&lt;=tol_mcx_inr),"PASS","FAIL")</f>
        <v/>
      </c>
    </row>
    <row r="1379">
      <c r="A1379" s="7" t="inlineStr">
        <is>
          <t>T09</t>
        </is>
      </c>
      <c r="B1379" s="7" t="inlineStr">
        <is>
          <t>T09-MCX-1</t>
        </is>
      </c>
      <c r="C1379" s="11" t="n">
        <v>44782</v>
      </c>
      <c r="D1379" s="7" t="n">
        <v>202208</v>
      </c>
      <c r="E1379" s="7" t="inlineStr">
        <is>
          <t>SELL</t>
        </is>
      </c>
      <c r="F1379" s="7" t="inlineStr">
        <is>
          <t>hold</t>
        </is>
      </c>
      <c r="G1379" s="17" t="b">
        <v>1</v>
      </c>
      <c r="H1379" s="6" t="n">
        <v>-157</v>
      </c>
      <c r="I1379" s="13" t="n">
        <v>5</v>
      </c>
      <c r="J1379" s="8">
        <f>OR($F1379="entry",$F1379="roll_in")</f>
        <v/>
      </c>
      <c r="K1379" s="8">
        <f>OR($F1379="exit",$F1379="roll_out")</f>
        <v/>
      </c>
      <c r="L1379" s="8">
        <f>OR(AND($E1379="SELL",$K1379),AND($E1379="BUY",$J1379))</f>
        <v/>
      </c>
      <c r="M1379" s="16">
        <f>((INDEX(Market_Daily!$B$6:$B$256,MATCH($C1379,Market_Daily!$A$6:$A$256,0))*INDEX(Market_Daily!$F$6:$F$256,MATCH($C1379,Market_Daily!$A$6:$A$256,0))/kg_per_mt*(1+bcd_primary_al_hs7601*(1+sws_rate_on_bcd))+mcx_domestic_premium_inr_kg)*(1+INDEX(Market_Daily!$I$6:$I$256,MATCH($C1379,Market_Daily!$A$6:$A$256,0))*MAX(0,INDEX(mcx_expiries,MATCH($D1379,mcx_months,0))-$C1379)/day_count_inr))</f>
        <v/>
      </c>
      <c r="N1379" s="16">
        <f>IF(INDEX(Market_Daily!$S$6:$S$256,MATCH($C1379,Market_Daily!$A$6:$A$256,0))=$D1379,INDEX(Market_Daily!$M$6:$M$256,MATCH($C1379,Market_Daily!$A$6:$A$256,0)),IF(INDEX(Market_Daily!$T$6:$T$256,MATCH($C1379,Market_Daily!$A$6:$A$256,0))=$D1379,INDEX(Market_Daily!$N$6:$N$256,MATCH($C1379,Market_Daily!$A$6:$A$256,0)),NA()))</f>
        <v/>
      </c>
      <c r="O1379" s="16">
        <f>$N1379-$M1379</f>
        <v/>
      </c>
      <c r="P1379" s="16">
        <f>IF(($B1378=$B1379),$M1378,"")</f>
        <v/>
      </c>
      <c r="Q1379" s="16">
        <f>$M1379+IF($L1379,1,-1)*mcx_slippage_ticks*mcx_al_tick_inr_kg</f>
        <v/>
      </c>
      <c r="R1379" s="18">
        <f>IF(($B1378=$B1379),$H1379*$I1379*kg_per_mt*($M1379-$M1378),0)</f>
        <v/>
      </c>
      <c r="S1379" s="18">
        <f>IF(($B1378=$B1379),$S1378,0)+$R1379</f>
        <v/>
      </c>
      <c r="T1379" s="18">
        <f>ABS($H1379)*$I1379*kg_per_mt*$M1379</f>
        <v/>
      </c>
      <c r="U1379" s="18">
        <f>IF($K1379,0,$T1379*mcx_al_margin_used_frac)</f>
        <v/>
      </c>
      <c r="V1379" s="18">
        <f>IF(($B1378=$B1379),$U1378,0)</f>
        <v/>
      </c>
      <c r="W1379" s="18">
        <f>$U1379-$V1379</f>
        <v/>
      </c>
      <c r="X1379" s="18">
        <f>IF($K1379,0,$T1379*0.12)</f>
        <v/>
      </c>
      <c r="Y1379" s="18">
        <f>IF($K1379,0,$T1379*0.15)</f>
        <v/>
      </c>
      <c r="Z1379" s="18">
        <f>IF($F1379="hold",0,-ABS($H1379)*$I1379*kg_per_mt*mcx_slippage_ticks*mcx_al_tick_inr_kg)</f>
        <v/>
      </c>
      <c r="AA1379" s="18">
        <f>IF($F1379="hold",0,-ABS($H1379)*$I1379*kg_per_mt*$Q1379*mcx_txn_cost_frac)</f>
        <v/>
      </c>
      <c r="AB1379" s="18">
        <f>$Z1379+$AA1379</f>
        <v/>
      </c>
      <c r="AC1379" s="18">
        <f>$R1379-$W1379+$AB1379</f>
        <v/>
      </c>
      <c r="AD1379" s="18">
        <f>IF(($B1378=$B1379),$AD1378,0)+$AC1379</f>
        <v/>
      </c>
      <c r="AE1379" s="23" t="n">
        <v>-3457215.84</v>
      </c>
      <c r="AF1379" s="23" t="n">
        <v>16874611.23</v>
      </c>
      <c r="AG1379" s="23" t="n">
        <v>0</v>
      </c>
      <c r="AH1379" s="23" t="n">
        <v>-3802937.42</v>
      </c>
      <c r="AI1379" s="23" t="n">
        <v>-5390.87</v>
      </c>
      <c r="AJ1379" s="18">
        <f>$R1379-$AE1379</f>
        <v/>
      </c>
      <c r="AK1379" s="18">
        <f>$U1379-$AF1379</f>
        <v/>
      </c>
      <c r="AL1379" s="18">
        <f>$AC1379-$AH1379</f>
        <v/>
      </c>
      <c r="AM1379" s="8">
        <f>IF(AND(ABS($AJ1379)&lt;=tol_mcx_inr,ABS($AK1379)&lt;=tol_mcx_inr,ABS($AL1379)&lt;=tol_mcx_inr),"PASS","FAIL")</f>
        <v/>
      </c>
    </row>
    <row r="1380">
      <c r="A1380" s="7" t="inlineStr">
        <is>
          <t>T09</t>
        </is>
      </c>
      <c r="B1380" s="7" t="inlineStr">
        <is>
          <t>T09-MCX-1</t>
        </is>
      </c>
      <c r="C1380" s="11" t="n">
        <v>44783</v>
      </c>
      <c r="D1380" s="7" t="n">
        <v>202208</v>
      </c>
      <c r="E1380" s="7" t="inlineStr">
        <is>
          <t>SELL</t>
        </is>
      </c>
      <c r="F1380" s="7" t="inlineStr">
        <is>
          <t>hold</t>
        </is>
      </c>
      <c r="G1380" s="17" t="b">
        <v>1</v>
      </c>
      <c r="H1380" s="6" t="n">
        <v>-157</v>
      </c>
      <c r="I1380" s="13" t="n">
        <v>5</v>
      </c>
      <c r="J1380" s="8">
        <f>OR($F1380="entry",$F1380="roll_in")</f>
        <v/>
      </c>
      <c r="K1380" s="8">
        <f>OR($F1380="exit",$F1380="roll_out")</f>
        <v/>
      </c>
      <c r="L1380" s="8">
        <f>OR(AND($E1380="SELL",$K1380),AND($E1380="BUY",$J1380))</f>
        <v/>
      </c>
      <c r="M1380" s="16">
        <f>((INDEX(Market_Daily!$B$6:$B$256,MATCH($C1380,Market_Daily!$A$6:$A$256,0))*INDEX(Market_Daily!$F$6:$F$256,MATCH($C1380,Market_Daily!$A$6:$A$256,0))/kg_per_mt*(1+bcd_primary_al_hs7601*(1+sws_rate_on_bcd))+mcx_domestic_premium_inr_kg)*(1+INDEX(Market_Daily!$I$6:$I$256,MATCH($C1380,Market_Daily!$A$6:$A$256,0))*MAX(0,INDEX(mcx_expiries,MATCH($D1380,mcx_months,0))-$C1380)/day_count_inr))</f>
        <v/>
      </c>
      <c r="N1380" s="16">
        <f>IF(INDEX(Market_Daily!$S$6:$S$256,MATCH($C1380,Market_Daily!$A$6:$A$256,0))=$D1380,INDEX(Market_Daily!$M$6:$M$256,MATCH($C1380,Market_Daily!$A$6:$A$256,0)),IF(INDEX(Market_Daily!$T$6:$T$256,MATCH($C1380,Market_Daily!$A$6:$A$256,0))=$D1380,INDEX(Market_Daily!$N$6:$N$256,MATCH($C1380,Market_Daily!$A$6:$A$256,0)),NA()))</f>
        <v/>
      </c>
      <c r="O1380" s="16">
        <f>$N1380-$M1380</f>
        <v/>
      </c>
      <c r="P1380" s="16">
        <f>IF(($B1379=$B1380),$M1379,"")</f>
        <v/>
      </c>
      <c r="Q1380" s="16">
        <f>$M1380+IF($L1380,1,-1)*mcx_slippage_ticks*mcx_al_tick_inr_kg</f>
        <v/>
      </c>
      <c r="R1380" s="18">
        <f>IF(($B1379=$B1380),$H1380*$I1380*kg_per_mt*($M1380-$M1379),0)</f>
        <v/>
      </c>
      <c r="S1380" s="18">
        <f>IF(($B1379=$B1380),$S1379,0)+$R1380</f>
        <v/>
      </c>
      <c r="T1380" s="18">
        <f>ABS($H1380)*$I1380*kg_per_mt*$M1380</f>
        <v/>
      </c>
      <c r="U1380" s="18">
        <f>IF($K1380,0,$T1380*mcx_al_margin_used_frac)</f>
        <v/>
      </c>
      <c r="V1380" s="18">
        <f>IF(($B1379=$B1380),$U1379,0)</f>
        <v/>
      </c>
      <c r="W1380" s="18">
        <f>$U1380-$V1380</f>
        <v/>
      </c>
      <c r="X1380" s="18">
        <f>IF($K1380,0,$T1380*0.12)</f>
        <v/>
      </c>
      <c r="Y1380" s="18">
        <f>IF($K1380,0,$T1380*0.15)</f>
        <v/>
      </c>
      <c r="Z1380" s="18">
        <f>IF($F1380="hold",0,-ABS($H1380)*$I1380*kg_per_mt*mcx_slippage_ticks*mcx_al_tick_inr_kg)</f>
        <v/>
      </c>
      <c r="AA1380" s="18">
        <f>IF($F1380="hold",0,-ABS($H1380)*$I1380*kg_per_mt*$Q1380*mcx_txn_cost_frac)</f>
        <v/>
      </c>
      <c r="AB1380" s="18">
        <f>$Z1380+$AA1380</f>
        <v/>
      </c>
      <c r="AC1380" s="18">
        <f>$R1380-$W1380+$AB1380</f>
        <v/>
      </c>
      <c r="AD1380" s="18">
        <f>IF(($B1379=$B1380),$AD1379,0)+$AC1380</f>
        <v/>
      </c>
      <c r="AE1380" s="23" t="n">
        <v>1921512.02</v>
      </c>
      <c r="AF1380" s="23" t="n">
        <v>16682460.03</v>
      </c>
      <c r="AG1380" s="23" t="n">
        <v>0</v>
      </c>
      <c r="AH1380" s="23" t="n">
        <v>2113663.22</v>
      </c>
      <c r="AI1380" s="23" t="n">
        <v>-6432.77</v>
      </c>
      <c r="AJ1380" s="18">
        <f>$R1380-$AE1380</f>
        <v/>
      </c>
      <c r="AK1380" s="18">
        <f>$U1380-$AF1380</f>
        <v/>
      </c>
      <c r="AL1380" s="18">
        <f>$AC1380-$AH1380</f>
        <v/>
      </c>
      <c r="AM1380" s="8">
        <f>IF(AND(ABS($AJ1380)&lt;=tol_mcx_inr,ABS($AK1380)&lt;=tol_mcx_inr,ABS($AL1380)&lt;=tol_mcx_inr),"PASS","FAIL")</f>
        <v/>
      </c>
    </row>
    <row r="1381">
      <c r="A1381" s="7" t="inlineStr">
        <is>
          <t>T09</t>
        </is>
      </c>
      <c r="B1381" s="7" t="inlineStr">
        <is>
          <t>T09-MCX-1</t>
        </is>
      </c>
      <c r="C1381" s="11" t="n">
        <v>44784</v>
      </c>
      <c r="D1381" s="7" t="n">
        <v>202208</v>
      </c>
      <c r="E1381" s="7" t="inlineStr">
        <is>
          <t>SELL</t>
        </is>
      </c>
      <c r="F1381" s="7" t="inlineStr">
        <is>
          <t>hold</t>
        </is>
      </c>
      <c r="G1381" s="17" t="b">
        <v>1</v>
      </c>
      <c r="H1381" s="6" t="n">
        <v>-157</v>
      </c>
      <c r="I1381" s="13" t="n">
        <v>5</v>
      </c>
      <c r="J1381" s="8">
        <f>OR($F1381="entry",$F1381="roll_in")</f>
        <v/>
      </c>
      <c r="K1381" s="8">
        <f>OR($F1381="exit",$F1381="roll_out")</f>
        <v/>
      </c>
      <c r="L1381" s="8">
        <f>OR(AND($E1381="SELL",$K1381),AND($E1381="BUY",$J1381))</f>
        <v/>
      </c>
      <c r="M1381" s="16">
        <f>((INDEX(Market_Daily!$B$6:$B$256,MATCH($C1381,Market_Daily!$A$6:$A$256,0))*INDEX(Market_Daily!$F$6:$F$256,MATCH($C1381,Market_Daily!$A$6:$A$256,0))/kg_per_mt*(1+bcd_primary_al_hs7601*(1+sws_rate_on_bcd))+mcx_domestic_premium_inr_kg)*(1+INDEX(Market_Daily!$I$6:$I$256,MATCH($C1381,Market_Daily!$A$6:$A$256,0))*MAX(0,INDEX(mcx_expiries,MATCH($D1381,mcx_months,0))-$C1381)/day_count_inr))</f>
        <v/>
      </c>
      <c r="N1381" s="16">
        <f>IF(INDEX(Market_Daily!$S$6:$S$256,MATCH($C1381,Market_Daily!$A$6:$A$256,0))=$D1381,INDEX(Market_Daily!$M$6:$M$256,MATCH($C1381,Market_Daily!$A$6:$A$256,0)),IF(INDEX(Market_Daily!$T$6:$T$256,MATCH($C1381,Market_Daily!$A$6:$A$256,0))=$D1381,INDEX(Market_Daily!$N$6:$N$256,MATCH($C1381,Market_Daily!$A$6:$A$256,0)),NA()))</f>
        <v/>
      </c>
      <c r="O1381" s="16">
        <f>$N1381-$M1381</f>
        <v/>
      </c>
      <c r="P1381" s="16">
        <f>IF(($B1380=$B1381),$M1380,"")</f>
        <v/>
      </c>
      <c r="Q1381" s="16">
        <f>$M1381+IF($L1381,1,-1)*mcx_slippage_ticks*mcx_al_tick_inr_kg</f>
        <v/>
      </c>
      <c r="R1381" s="18">
        <f>IF(($B1380=$B1381),$H1381*$I1381*kg_per_mt*($M1381-$M1380),0)</f>
        <v/>
      </c>
      <c r="S1381" s="18">
        <f>IF(($B1380=$B1381),$S1380,0)+$R1381</f>
        <v/>
      </c>
      <c r="T1381" s="18">
        <f>ABS($H1381)*$I1381*kg_per_mt*$M1381</f>
        <v/>
      </c>
      <c r="U1381" s="18">
        <f>IF($K1381,0,$T1381*mcx_al_margin_used_frac)</f>
        <v/>
      </c>
      <c r="V1381" s="18">
        <f>IF(($B1380=$B1381),$U1380,0)</f>
        <v/>
      </c>
      <c r="W1381" s="18">
        <f>$U1381-$V1381</f>
        <v/>
      </c>
      <c r="X1381" s="18">
        <f>IF($K1381,0,$T1381*0.12)</f>
        <v/>
      </c>
      <c r="Y1381" s="18">
        <f>IF($K1381,0,$T1381*0.15)</f>
        <v/>
      </c>
      <c r="Z1381" s="18">
        <f>IF($F1381="hold",0,-ABS($H1381)*$I1381*kg_per_mt*mcx_slippage_ticks*mcx_al_tick_inr_kg)</f>
        <v/>
      </c>
      <c r="AA1381" s="18">
        <f>IF($F1381="hold",0,-ABS($H1381)*$I1381*kg_per_mt*$Q1381*mcx_txn_cost_frac)</f>
        <v/>
      </c>
      <c r="AB1381" s="18">
        <f>$Z1381+$AA1381</f>
        <v/>
      </c>
      <c r="AC1381" s="18">
        <f>$R1381-$W1381+$AB1381</f>
        <v/>
      </c>
      <c r="AD1381" s="18">
        <f>IF(($B1380=$B1381),$AD1380,0)+$AC1381</f>
        <v/>
      </c>
      <c r="AE1381" s="23" t="n">
        <v>-2652943.37</v>
      </c>
      <c r="AF1381" s="23" t="n">
        <v>16947754.37</v>
      </c>
      <c r="AG1381" s="23" t="n">
        <v>0</v>
      </c>
      <c r="AH1381" s="23" t="n">
        <v>-2918237.71</v>
      </c>
      <c r="AI1381" s="23" t="n">
        <v>-5853.68</v>
      </c>
      <c r="AJ1381" s="18">
        <f>$R1381-$AE1381</f>
        <v/>
      </c>
      <c r="AK1381" s="18">
        <f>$U1381-$AF1381</f>
        <v/>
      </c>
      <c r="AL1381" s="18">
        <f>$AC1381-$AH1381</f>
        <v/>
      </c>
      <c r="AM1381" s="8">
        <f>IF(AND(ABS($AJ1381)&lt;=tol_mcx_inr,ABS($AK1381)&lt;=tol_mcx_inr,ABS($AL1381)&lt;=tol_mcx_inr),"PASS","FAIL")</f>
        <v/>
      </c>
    </row>
    <row r="1382">
      <c r="A1382" s="7" t="inlineStr">
        <is>
          <t>T09</t>
        </is>
      </c>
      <c r="B1382" s="7" t="inlineStr">
        <is>
          <t>T09-MCX-1</t>
        </is>
      </c>
      <c r="C1382" s="11" t="n">
        <v>44785</v>
      </c>
      <c r="D1382" s="7" t="n">
        <v>202208</v>
      </c>
      <c r="E1382" s="7" t="inlineStr">
        <is>
          <t>SELL</t>
        </is>
      </c>
      <c r="F1382" s="7" t="inlineStr">
        <is>
          <t>hold</t>
        </is>
      </c>
      <c r="G1382" s="17" t="b">
        <v>1</v>
      </c>
      <c r="H1382" s="6" t="n">
        <v>-157</v>
      </c>
      <c r="I1382" s="13" t="n">
        <v>5</v>
      </c>
      <c r="J1382" s="8">
        <f>OR($F1382="entry",$F1382="roll_in")</f>
        <v/>
      </c>
      <c r="K1382" s="8">
        <f>OR($F1382="exit",$F1382="roll_out")</f>
        <v/>
      </c>
      <c r="L1382" s="8">
        <f>OR(AND($E1382="SELL",$K1382),AND($E1382="BUY",$J1382))</f>
        <v/>
      </c>
      <c r="M1382" s="16">
        <f>((INDEX(Market_Daily!$B$6:$B$256,MATCH($C1382,Market_Daily!$A$6:$A$256,0))*INDEX(Market_Daily!$F$6:$F$256,MATCH($C1382,Market_Daily!$A$6:$A$256,0))/kg_per_mt*(1+bcd_primary_al_hs7601*(1+sws_rate_on_bcd))+mcx_domestic_premium_inr_kg)*(1+INDEX(Market_Daily!$I$6:$I$256,MATCH($C1382,Market_Daily!$A$6:$A$256,0))*MAX(0,INDEX(mcx_expiries,MATCH($D1382,mcx_months,0))-$C1382)/day_count_inr))</f>
        <v/>
      </c>
      <c r="N1382" s="16">
        <f>IF(INDEX(Market_Daily!$S$6:$S$256,MATCH($C1382,Market_Daily!$A$6:$A$256,0))=$D1382,INDEX(Market_Daily!$M$6:$M$256,MATCH($C1382,Market_Daily!$A$6:$A$256,0)),IF(INDEX(Market_Daily!$T$6:$T$256,MATCH($C1382,Market_Daily!$A$6:$A$256,0))=$D1382,INDEX(Market_Daily!$N$6:$N$256,MATCH($C1382,Market_Daily!$A$6:$A$256,0)),NA()))</f>
        <v/>
      </c>
      <c r="O1382" s="16">
        <f>$N1382-$M1382</f>
        <v/>
      </c>
      <c r="P1382" s="16">
        <f>IF(($B1381=$B1382),$M1381,"")</f>
        <v/>
      </c>
      <c r="Q1382" s="16">
        <f>$M1382+IF($L1382,1,-1)*mcx_slippage_ticks*mcx_al_tick_inr_kg</f>
        <v/>
      </c>
      <c r="R1382" s="18">
        <f>IF(($B1381=$B1382),$H1382*$I1382*kg_per_mt*($M1382-$M1381),0)</f>
        <v/>
      </c>
      <c r="S1382" s="18">
        <f>IF(($B1381=$B1382),$S1381,0)+$R1382</f>
        <v/>
      </c>
      <c r="T1382" s="18">
        <f>ABS($H1382)*$I1382*kg_per_mt*$M1382</f>
        <v/>
      </c>
      <c r="U1382" s="18">
        <f>IF($K1382,0,$T1382*mcx_al_margin_used_frac)</f>
        <v/>
      </c>
      <c r="V1382" s="18">
        <f>IF(($B1381=$B1382),$U1381,0)</f>
        <v/>
      </c>
      <c r="W1382" s="18">
        <f>$U1382-$V1382</f>
        <v/>
      </c>
      <c r="X1382" s="18">
        <f>IF($K1382,0,$T1382*0.12)</f>
        <v/>
      </c>
      <c r="Y1382" s="18">
        <f>IF($K1382,0,$T1382*0.15)</f>
        <v/>
      </c>
      <c r="Z1382" s="18">
        <f>IF($F1382="hold",0,-ABS($H1382)*$I1382*kg_per_mt*mcx_slippage_ticks*mcx_al_tick_inr_kg)</f>
        <v/>
      </c>
      <c r="AA1382" s="18">
        <f>IF($F1382="hold",0,-ABS($H1382)*$I1382*kg_per_mt*$Q1382*mcx_txn_cost_frac)</f>
        <v/>
      </c>
      <c r="AB1382" s="18">
        <f>$Z1382+$AA1382</f>
        <v/>
      </c>
      <c r="AC1382" s="18">
        <f>$R1382-$W1382+$AB1382</f>
        <v/>
      </c>
      <c r="AD1382" s="18">
        <f>IF(($B1381=$B1382),$AD1381,0)+$AC1382</f>
        <v/>
      </c>
      <c r="AE1382" s="23" t="n">
        <v>1759644.31</v>
      </c>
      <c r="AF1382" s="23" t="n">
        <v>16771789.93</v>
      </c>
      <c r="AG1382" s="23" t="n">
        <v>0</v>
      </c>
      <c r="AH1382" s="23" t="n">
        <v>1935608.75</v>
      </c>
      <c r="AI1382" s="23" t="n">
        <v>-6653.2</v>
      </c>
      <c r="AJ1382" s="18">
        <f>$R1382-$AE1382</f>
        <v/>
      </c>
      <c r="AK1382" s="18">
        <f>$U1382-$AF1382</f>
        <v/>
      </c>
      <c r="AL1382" s="18">
        <f>$AC1382-$AH1382</f>
        <v/>
      </c>
      <c r="AM1382" s="8">
        <f>IF(AND(ABS($AJ1382)&lt;=tol_mcx_inr,ABS($AK1382)&lt;=tol_mcx_inr,ABS($AL1382)&lt;=tol_mcx_inr),"PASS","FAIL")</f>
        <v/>
      </c>
    </row>
    <row r="1383">
      <c r="A1383" s="7" t="inlineStr">
        <is>
          <t>T09</t>
        </is>
      </c>
      <c r="B1383" s="7" t="inlineStr">
        <is>
          <t>T09-MCX-1</t>
        </is>
      </c>
      <c r="C1383" s="11" t="n">
        <v>44788</v>
      </c>
      <c r="D1383" s="7" t="n">
        <v>202208</v>
      </c>
      <c r="E1383" s="7" t="inlineStr">
        <is>
          <t>SELL</t>
        </is>
      </c>
      <c r="F1383" s="7" t="inlineStr">
        <is>
          <t>hold</t>
        </is>
      </c>
      <c r="G1383" s="17" t="b">
        <v>1</v>
      </c>
      <c r="H1383" s="6" t="n">
        <v>-157</v>
      </c>
      <c r="I1383" s="13" t="n">
        <v>5</v>
      </c>
      <c r="J1383" s="8">
        <f>OR($F1383="entry",$F1383="roll_in")</f>
        <v/>
      </c>
      <c r="K1383" s="8">
        <f>OR($F1383="exit",$F1383="roll_out")</f>
        <v/>
      </c>
      <c r="L1383" s="8">
        <f>OR(AND($E1383="SELL",$K1383),AND($E1383="BUY",$J1383))</f>
        <v/>
      </c>
      <c r="M1383" s="16">
        <f>((INDEX(Market_Daily!$B$6:$B$256,MATCH($C1383,Market_Daily!$A$6:$A$256,0))*INDEX(Market_Daily!$F$6:$F$256,MATCH($C1383,Market_Daily!$A$6:$A$256,0))/kg_per_mt*(1+bcd_primary_al_hs7601*(1+sws_rate_on_bcd))+mcx_domestic_premium_inr_kg)*(1+INDEX(Market_Daily!$I$6:$I$256,MATCH($C1383,Market_Daily!$A$6:$A$256,0))*MAX(0,INDEX(mcx_expiries,MATCH($D1383,mcx_months,0))-$C1383)/day_count_inr))</f>
        <v/>
      </c>
      <c r="N1383" s="16">
        <f>IF(INDEX(Market_Daily!$S$6:$S$256,MATCH($C1383,Market_Daily!$A$6:$A$256,0))=$D1383,INDEX(Market_Daily!$M$6:$M$256,MATCH($C1383,Market_Daily!$A$6:$A$256,0)),IF(INDEX(Market_Daily!$T$6:$T$256,MATCH($C1383,Market_Daily!$A$6:$A$256,0))=$D1383,INDEX(Market_Daily!$N$6:$N$256,MATCH($C1383,Market_Daily!$A$6:$A$256,0)),NA()))</f>
        <v/>
      </c>
      <c r="O1383" s="16">
        <f>$N1383-$M1383</f>
        <v/>
      </c>
      <c r="P1383" s="16">
        <f>IF(($B1382=$B1383),$M1382,"")</f>
        <v/>
      </c>
      <c r="Q1383" s="16">
        <f>$M1383+IF($L1383,1,-1)*mcx_slippage_ticks*mcx_al_tick_inr_kg</f>
        <v/>
      </c>
      <c r="R1383" s="18">
        <f>IF(($B1382=$B1383),$H1383*$I1383*kg_per_mt*($M1383-$M1382),0)</f>
        <v/>
      </c>
      <c r="S1383" s="18">
        <f>IF(($B1382=$B1383),$S1382,0)+$R1383</f>
        <v/>
      </c>
      <c r="T1383" s="18">
        <f>ABS($H1383)*$I1383*kg_per_mt*$M1383</f>
        <v/>
      </c>
      <c r="U1383" s="18">
        <f>IF($K1383,0,$T1383*mcx_al_margin_used_frac)</f>
        <v/>
      </c>
      <c r="V1383" s="18">
        <f>IF(($B1382=$B1383),$U1382,0)</f>
        <v/>
      </c>
      <c r="W1383" s="18">
        <f>$U1383-$V1383</f>
        <v/>
      </c>
      <c r="X1383" s="18">
        <f>IF($K1383,0,$T1383*0.12)</f>
        <v/>
      </c>
      <c r="Y1383" s="18">
        <f>IF($K1383,0,$T1383*0.15)</f>
        <v/>
      </c>
      <c r="Z1383" s="18">
        <f>IF($F1383="hold",0,-ABS($H1383)*$I1383*kg_per_mt*mcx_slippage_ticks*mcx_al_tick_inr_kg)</f>
        <v/>
      </c>
      <c r="AA1383" s="18">
        <f>IF($F1383="hold",0,-ABS($H1383)*$I1383*kg_per_mt*$Q1383*mcx_txn_cost_frac)</f>
        <v/>
      </c>
      <c r="AB1383" s="18">
        <f>$Z1383+$AA1383</f>
        <v/>
      </c>
      <c r="AC1383" s="18">
        <f>$R1383-$W1383+$AB1383</f>
        <v/>
      </c>
      <c r="AD1383" s="18">
        <f>IF(($B1382=$B1383),$AD1382,0)+$AC1383</f>
        <v/>
      </c>
      <c r="AE1383" s="23" t="n">
        <v>5871885.86</v>
      </c>
      <c r="AF1383" s="23" t="n">
        <v>16184601.35</v>
      </c>
      <c r="AG1383" s="23" t="n">
        <v>0</v>
      </c>
      <c r="AH1383" s="23" t="n">
        <v>6459074.45</v>
      </c>
      <c r="AI1383" s="23" t="n">
        <v>-18368.68</v>
      </c>
      <c r="AJ1383" s="18">
        <f>$R1383-$AE1383</f>
        <v/>
      </c>
      <c r="AK1383" s="18">
        <f>$U1383-$AF1383</f>
        <v/>
      </c>
      <c r="AL1383" s="18">
        <f>$AC1383-$AH1383</f>
        <v/>
      </c>
      <c r="AM1383" s="8">
        <f>IF(AND(ABS($AJ1383)&lt;=tol_mcx_inr,ABS($AK1383)&lt;=tol_mcx_inr,ABS($AL1383)&lt;=tol_mcx_inr),"PASS","FAIL")</f>
        <v/>
      </c>
    </row>
    <row r="1384">
      <c r="A1384" s="7" t="inlineStr">
        <is>
          <t>T09</t>
        </is>
      </c>
      <c r="B1384" s="7" t="inlineStr">
        <is>
          <t>T09-MCX-1</t>
        </is>
      </c>
      <c r="C1384" s="11" t="n">
        <v>44789</v>
      </c>
      <c r="D1384" s="7" t="n">
        <v>202208</v>
      </c>
      <c r="E1384" s="7" t="inlineStr">
        <is>
          <t>SELL</t>
        </is>
      </c>
      <c r="F1384" s="7" t="inlineStr">
        <is>
          <t>hold</t>
        </is>
      </c>
      <c r="G1384" s="17" t="b">
        <v>1</v>
      </c>
      <c r="H1384" s="6" t="n">
        <v>-157</v>
      </c>
      <c r="I1384" s="13" t="n">
        <v>5</v>
      </c>
      <c r="J1384" s="8">
        <f>OR($F1384="entry",$F1384="roll_in")</f>
        <v/>
      </c>
      <c r="K1384" s="8">
        <f>OR($F1384="exit",$F1384="roll_out")</f>
        <v/>
      </c>
      <c r="L1384" s="8">
        <f>OR(AND($E1384="SELL",$K1384),AND($E1384="BUY",$J1384))</f>
        <v/>
      </c>
      <c r="M1384" s="16">
        <f>((INDEX(Market_Daily!$B$6:$B$256,MATCH($C1384,Market_Daily!$A$6:$A$256,0))*INDEX(Market_Daily!$F$6:$F$256,MATCH($C1384,Market_Daily!$A$6:$A$256,0))/kg_per_mt*(1+bcd_primary_al_hs7601*(1+sws_rate_on_bcd))+mcx_domestic_premium_inr_kg)*(1+INDEX(Market_Daily!$I$6:$I$256,MATCH($C1384,Market_Daily!$A$6:$A$256,0))*MAX(0,INDEX(mcx_expiries,MATCH($D1384,mcx_months,0))-$C1384)/day_count_inr))</f>
        <v/>
      </c>
      <c r="N1384" s="16">
        <f>IF(INDEX(Market_Daily!$S$6:$S$256,MATCH($C1384,Market_Daily!$A$6:$A$256,0))=$D1384,INDEX(Market_Daily!$M$6:$M$256,MATCH($C1384,Market_Daily!$A$6:$A$256,0)),IF(INDEX(Market_Daily!$T$6:$T$256,MATCH($C1384,Market_Daily!$A$6:$A$256,0))=$D1384,INDEX(Market_Daily!$N$6:$N$256,MATCH($C1384,Market_Daily!$A$6:$A$256,0)),NA()))</f>
        <v/>
      </c>
      <c r="O1384" s="16">
        <f>$N1384-$M1384</f>
        <v/>
      </c>
      <c r="P1384" s="16">
        <f>IF(($B1383=$B1384),$M1383,"")</f>
        <v/>
      </c>
      <c r="Q1384" s="16">
        <f>$M1384+IF($L1384,1,-1)*mcx_slippage_ticks*mcx_al_tick_inr_kg</f>
        <v/>
      </c>
      <c r="R1384" s="18">
        <f>IF(($B1383=$B1384),$H1384*$I1384*kg_per_mt*($M1384-$M1383),0)</f>
        <v/>
      </c>
      <c r="S1384" s="18">
        <f>IF(($B1383=$B1384),$S1383,0)+$R1384</f>
        <v/>
      </c>
      <c r="T1384" s="18">
        <f>ABS($H1384)*$I1384*kg_per_mt*$M1384</f>
        <v/>
      </c>
      <c r="U1384" s="18">
        <f>IF($K1384,0,$T1384*mcx_al_margin_used_frac)</f>
        <v/>
      </c>
      <c r="V1384" s="18">
        <f>IF(($B1383=$B1384),$U1383,0)</f>
        <v/>
      </c>
      <c r="W1384" s="18">
        <f>$U1384-$V1384</f>
        <v/>
      </c>
      <c r="X1384" s="18">
        <f>IF($K1384,0,$T1384*0.12)</f>
        <v/>
      </c>
      <c r="Y1384" s="18">
        <f>IF($K1384,0,$T1384*0.15)</f>
        <v/>
      </c>
      <c r="Z1384" s="18">
        <f>IF($F1384="hold",0,-ABS($H1384)*$I1384*kg_per_mt*mcx_slippage_ticks*mcx_al_tick_inr_kg)</f>
        <v/>
      </c>
      <c r="AA1384" s="18">
        <f>IF($F1384="hold",0,-ABS($H1384)*$I1384*kg_per_mt*$Q1384*mcx_txn_cost_frac)</f>
        <v/>
      </c>
      <c r="AB1384" s="18">
        <f>$Z1384+$AA1384</f>
        <v/>
      </c>
      <c r="AC1384" s="18">
        <f>$R1384-$W1384+$AB1384</f>
        <v/>
      </c>
      <c r="AD1384" s="18">
        <f>IF(($B1383=$B1384),$AD1383,0)+$AC1384</f>
        <v/>
      </c>
      <c r="AE1384" s="23" t="n">
        <v>-3165819.08</v>
      </c>
      <c r="AF1384" s="23" t="n">
        <v>16501183.26</v>
      </c>
      <c r="AG1384" s="23" t="n">
        <v>0</v>
      </c>
      <c r="AH1384" s="23" t="n">
        <v>-3482400.99</v>
      </c>
      <c r="AI1384" s="23" t="n">
        <v>-4440.35</v>
      </c>
      <c r="AJ1384" s="18">
        <f>$R1384-$AE1384</f>
        <v/>
      </c>
      <c r="AK1384" s="18">
        <f>$U1384-$AF1384</f>
        <v/>
      </c>
      <c r="AL1384" s="18">
        <f>$AC1384-$AH1384</f>
        <v/>
      </c>
      <c r="AM1384" s="8">
        <f>IF(AND(ABS($AJ1384)&lt;=tol_mcx_inr,ABS($AK1384)&lt;=tol_mcx_inr,ABS($AL1384)&lt;=tol_mcx_inr),"PASS","FAIL")</f>
        <v/>
      </c>
    </row>
    <row r="1385">
      <c r="A1385" s="7" t="inlineStr">
        <is>
          <t>T09</t>
        </is>
      </c>
      <c r="B1385" s="7" t="inlineStr">
        <is>
          <t>T09-MCX-1</t>
        </is>
      </c>
      <c r="C1385" s="11" t="n">
        <v>44790</v>
      </c>
      <c r="D1385" s="7" t="n">
        <v>202208</v>
      </c>
      <c r="E1385" s="7" t="inlineStr">
        <is>
          <t>SELL</t>
        </is>
      </c>
      <c r="F1385" s="7" t="inlineStr">
        <is>
          <t>hold</t>
        </is>
      </c>
      <c r="G1385" s="17" t="b">
        <v>1</v>
      </c>
      <c r="H1385" s="6" t="n">
        <v>-157</v>
      </c>
      <c r="I1385" s="13" t="n">
        <v>5</v>
      </c>
      <c r="J1385" s="8">
        <f>OR($F1385="entry",$F1385="roll_in")</f>
        <v/>
      </c>
      <c r="K1385" s="8">
        <f>OR($F1385="exit",$F1385="roll_out")</f>
        <v/>
      </c>
      <c r="L1385" s="8">
        <f>OR(AND($E1385="SELL",$K1385),AND($E1385="BUY",$J1385))</f>
        <v/>
      </c>
      <c r="M1385" s="16">
        <f>((INDEX(Market_Daily!$B$6:$B$256,MATCH($C1385,Market_Daily!$A$6:$A$256,0))*INDEX(Market_Daily!$F$6:$F$256,MATCH($C1385,Market_Daily!$A$6:$A$256,0))/kg_per_mt*(1+bcd_primary_al_hs7601*(1+sws_rate_on_bcd))+mcx_domestic_premium_inr_kg)*(1+INDEX(Market_Daily!$I$6:$I$256,MATCH($C1385,Market_Daily!$A$6:$A$256,0))*MAX(0,INDEX(mcx_expiries,MATCH($D1385,mcx_months,0))-$C1385)/day_count_inr))</f>
        <v/>
      </c>
      <c r="N1385" s="16">
        <f>IF(INDEX(Market_Daily!$S$6:$S$256,MATCH($C1385,Market_Daily!$A$6:$A$256,0))=$D1385,INDEX(Market_Daily!$M$6:$M$256,MATCH($C1385,Market_Daily!$A$6:$A$256,0)),IF(INDEX(Market_Daily!$T$6:$T$256,MATCH($C1385,Market_Daily!$A$6:$A$256,0))=$D1385,INDEX(Market_Daily!$N$6:$N$256,MATCH($C1385,Market_Daily!$A$6:$A$256,0)),NA()))</f>
        <v/>
      </c>
      <c r="O1385" s="16">
        <f>$N1385-$M1385</f>
        <v/>
      </c>
      <c r="P1385" s="16">
        <f>IF(($B1384=$B1385),$M1384,"")</f>
        <v/>
      </c>
      <c r="Q1385" s="16">
        <f>$M1385+IF($L1385,1,-1)*mcx_slippage_ticks*mcx_al_tick_inr_kg</f>
        <v/>
      </c>
      <c r="R1385" s="18">
        <f>IF(($B1384=$B1385),$H1385*$I1385*kg_per_mt*($M1385-$M1384),0)</f>
        <v/>
      </c>
      <c r="S1385" s="18">
        <f>IF(($B1384=$B1385),$S1384,0)+$R1385</f>
        <v/>
      </c>
      <c r="T1385" s="18">
        <f>ABS($H1385)*$I1385*kg_per_mt*$M1385</f>
        <v/>
      </c>
      <c r="U1385" s="18">
        <f>IF($K1385,0,$T1385*mcx_al_margin_used_frac)</f>
        <v/>
      </c>
      <c r="V1385" s="18">
        <f>IF(($B1384=$B1385),$U1384,0)</f>
        <v/>
      </c>
      <c r="W1385" s="18">
        <f>$U1385-$V1385</f>
        <v/>
      </c>
      <c r="X1385" s="18">
        <f>IF($K1385,0,$T1385*0.12)</f>
        <v/>
      </c>
      <c r="Y1385" s="18">
        <f>IF($K1385,0,$T1385*0.15)</f>
        <v/>
      </c>
      <c r="Z1385" s="18">
        <f>IF($F1385="hold",0,-ABS($H1385)*$I1385*kg_per_mt*mcx_slippage_ticks*mcx_al_tick_inr_kg)</f>
        <v/>
      </c>
      <c r="AA1385" s="18">
        <f>IF($F1385="hold",0,-ABS($H1385)*$I1385*kg_per_mt*$Q1385*mcx_txn_cost_frac)</f>
        <v/>
      </c>
      <c r="AB1385" s="18">
        <f>$Z1385+$AA1385</f>
        <v/>
      </c>
      <c r="AC1385" s="18">
        <f>$R1385-$W1385+$AB1385</f>
        <v/>
      </c>
      <c r="AD1385" s="18">
        <f>IF(($B1384=$B1385),$AD1384,0)+$AC1385</f>
        <v/>
      </c>
      <c r="AE1385" s="23" t="n">
        <v>1676045.69</v>
      </c>
      <c r="AF1385" s="23" t="n">
        <v>16333578.69</v>
      </c>
      <c r="AG1385" s="23" t="n">
        <v>0</v>
      </c>
      <c r="AH1385" s="23" t="n">
        <v>1843650.25</v>
      </c>
      <c r="AI1385" s="23" t="n">
        <v>-5413.51</v>
      </c>
      <c r="AJ1385" s="18">
        <f>$R1385-$AE1385</f>
        <v/>
      </c>
      <c r="AK1385" s="18">
        <f>$U1385-$AF1385</f>
        <v/>
      </c>
      <c r="AL1385" s="18">
        <f>$AC1385-$AH1385</f>
        <v/>
      </c>
      <c r="AM1385" s="8">
        <f>IF(AND(ABS($AJ1385)&lt;=tol_mcx_inr,ABS($AK1385)&lt;=tol_mcx_inr,ABS($AL1385)&lt;=tol_mcx_inr),"PASS","FAIL")</f>
        <v/>
      </c>
    </row>
    <row r="1386">
      <c r="A1386" s="7" t="inlineStr">
        <is>
          <t>T09</t>
        </is>
      </c>
      <c r="B1386" s="7" t="inlineStr">
        <is>
          <t>T09-MCX-1</t>
        </is>
      </c>
      <c r="C1386" s="11" t="n">
        <v>44791</v>
      </c>
      <c r="D1386" s="7" t="n">
        <v>202208</v>
      </c>
      <c r="E1386" s="7" t="inlineStr">
        <is>
          <t>SELL</t>
        </is>
      </c>
      <c r="F1386" s="7" t="inlineStr">
        <is>
          <t>roll_out</t>
        </is>
      </c>
      <c r="G1386" s="17" t="b">
        <v>1</v>
      </c>
      <c r="H1386" s="6" t="n">
        <v>-157</v>
      </c>
      <c r="I1386" s="13" t="n">
        <v>5</v>
      </c>
      <c r="J1386" s="8">
        <f>OR($F1386="entry",$F1386="roll_in")</f>
        <v/>
      </c>
      <c r="K1386" s="8">
        <f>OR($F1386="exit",$F1386="roll_out")</f>
        <v/>
      </c>
      <c r="L1386" s="8">
        <f>OR(AND($E1386="SELL",$K1386),AND($E1386="BUY",$J1386))</f>
        <v/>
      </c>
      <c r="M1386" s="16">
        <f>((INDEX(Market_Daily!$B$6:$B$256,MATCH($C1386,Market_Daily!$A$6:$A$256,0))*INDEX(Market_Daily!$F$6:$F$256,MATCH($C1386,Market_Daily!$A$6:$A$256,0))/kg_per_mt*(1+bcd_primary_al_hs7601*(1+sws_rate_on_bcd))+mcx_domestic_premium_inr_kg)*(1+INDEX(Market_Daily!$I$6:$I$256,MATCH($C1386,Market_Daily!$A$6:$A$256,0))*MAX(0,INDEX(mcx_expiries,MATCH($D1386,mcx_months,0))-$C1386)/day_count_inr))</f>
        <v/>
      </c>
      <c r="N1386" s="16">
        <f>IF(INDEX(Market_Daily!$S$6:$S$256,MATCH($C1386,Market_Daily!$A$6:$A$256,0))=$D1386,INDEX(Market_Daily!$M$6:$M$256,MATCH($C1386,Market_Daily!$A$6:$A$256,0)),IF(INDEX(Market_Daily!$T$6:$T$256,MATCH($C1386,Market_Daily!$A$6:$A$256,0))=$D1386,INDEX(Market_Daily!$N$6:$N$256,MATCH($C1386,Market_Daily!$A$6:$A$256,0)),NA()))</f>
        <v/>
      </c>
      <c r="O1386" s="16">
        <f>$N1386-$M1386</f>
        <v/>
      </c>
      <c r="P1386" s="16">
        <f>IF(($B1385=$B1386),$M1385,"")</f>
        <v/>
      </c>
      <c r="Q1386" s="16">
        <f>$M1386+IF($L1386,1,-1)*mcx_slippage_ticks*mcx_al_tick_inr_kg</f>
        <v/>
      </c>
      <c r="R1386" s="18">
        <f>IF(($B1385=$B1386),$H1386*$I1386*kg_per_mt*($M1386-$M1385),0)</f>
        <v/>
      </c>
      <c r="S1386" s="18">
        <f>IF(($B1385=$B1386),$S1385,0)+$R1386</f>
        <v/>
      </c>
      <c r="T1386" s="18">
        <f>ABS($H1386)*$I1386*kg_per_mt*$M1386</f>
        <v/>
      </c>
      <c r="U1386" s="18">
        <f>IF($K1386,0,$T1386*mcx_al_margin_used_frac)</f>
        <v/>
      </c>
      <c r="V1386" s="18">
        <f>IF(($B1385=$B1386),$U1385,0)</f>
        <v/>
      </c>
      <c r="W1386" s="18">
        <f>$U1386-$V1386</f>
        <v/>
      </c>
      <c r="X1386" s="18">
        <f>IF($K1386,0,$T1386*0.12)</f>
        <v/>
      </c>
      <c r="Y1386" s="18">
        <f>IF($K1386,0,$T1386*0.15)</f>
        <v/>
      </c>
      <c r="Z1386" s="18">
        <f>IF($F1386="hold",0,-ABS($H1386)*$I1386*kg_per_mt*mcx_slippage_ticks*mcx_al_tick_inr_kg)</f>
        <v/>
      </c>
      <c r="AA1386" s="18">
        <f>IF($F1386="hold",0,-ABS($H1386)*$I1386*kg_per_mt*$Q1386*mcx_txn_cost_frac)</f>
        <v/>
      </c>
      <c r="AB1386" s="18">
        <f>$Z1386+$AA1386</f>
        <v/>
      </c>
      <c r="AC1386" s="18">
        <f>$R1386-$W1386+$AB1386</f>
        <v/>
      </c>
      <c r="AD1386" s="18">
        <f>IF(($B1385=$B1386),$AD1385,0)+$AC1386</f>
        <v/>
      </c>
      <c r="AE1386" s="23" t="n">
        <v>-193155.51</v>
      </c>
      <c r="AF1386" s="23" t="n">
        <v>0</v>
      </c>
      <c r="AG1386" s="23" t="n">
        <v>-127582.23</v>
      </c>
      <c r="AH1386" s="23" t="n">
        <v>16012840.94</v>
      </c>
      <c r="AI1386" s="23" t="n">
        <v>-4898.3</v>
      </c>
      <c r="AJ1386" s="18">
        <f>$R1386-$AE1386</f>
        <v/>
      </c>
      <c r="AK1386" s="18">
        <f>$U1386-$AF1386</f>
        <v/>
      </c>
      <c r="AL1386" s="18">
        <f>$AC1386-$AH1386</f>
        <v/>
      </c>
      <c r="AM1386" s="8">
        <f>IF(AND(ABS($AJ1386)&lt;=tol_mcx_inr,ABS($AK1386)&lt;=tol_mcx_inr,ABS($AL1386)&lt;=tol_mcx_inr),"PASS","FAIL")</f>
        <v/>
      </c>
    </row>
    <row r="1387">
      <c r="A1387" s="7" t="inlineStr">
        <is>
          <t>T09</t>
        </is>
      </c>
      <c r="B1387" s="7" t="inlineStr">
        <is>
          <t>T09-MCX-2</t>
        </is>
      </c>
      <c r="C1387" s="11" t="n">
        <v>44791</v>
      </c>
      <c r="D1387" s="7" t="n">
        <v>202209</v>
      </c>
      <c r="E1387" s="7" t="inlineStr">
        <is>
          <t>SELL</t>
        </is>
      </c>
      <c r="F1387" s="7" t="inlineStr">
        <is>
          <t>roll_in</t>
        </is>
      </c>
      <c r="G1387" s="17" t="b">
        <v>1</v>
      </c>
      <c r="H1387" s="6" t="n">
        <v>-157</v>
      </c>
      <c r="I1387" s="13" t="n">
        <v>5</v>
      </c>
      <c r="J1387" s="8">
        <f>OR($F1387="entry",$F1387="roll_in")</f>
        <v/>
      </c>
      <c r="K1387" s="8">
        <f>OR($F1387="exit",$F1387="roll_out")</f>
        <v/>
      </c>
      <c r="L1387" s="8">
        <f>OR(AND($E1387="SELL",$K1387),AND($E1387="BUY",$J1387))</f>
        <v/>
      </c>
      <c r="M1387" s="16">
        <f>((INDEX(Market_Daily!$B$6:$B$256,MATCH($C1387,Market_Daily!$A$6:$A$256,0))*INDEX(Market_Daily!$F$6:$F$256,MATCH($C1387,Market_Daily!$A$6:$A$256,0))/kg_per_mt*(1+bcd_primary_al_hs7601*(1+sws_rate_on_bcd))+mcx_domestic_premium_inr_kg)*(1+INDEX(Market_Daily!$I$6:$I$256,MATCH($C1387,Market_Daily!$A$6:$A$256,0))*MAX(0,INDEX(mcx_expiries,MATCH($D1387,mcx_months,0))-$C1387)/day_count_inr))</f>
        <v/>
      </c>
      <c r="N1387" s="16">
        <f>IF(INDEX(Market_Daily!$S$6:$S$256,MATCH($C1387,Market_Daily!$A$6:$A$256,0))=$D1387,INDEX(Market_Daily!$M$6:$M$256,MATCH($C1387,Market_Daily!$A$6:$A$256,0)),IF(INDEX(Market_Daily!$T$6:$T$256,MATCH($C1387,Market_Daily!$A$6:$A$256,0))=$D1387,INDEX(Market_Daily!$N$6:$N$256,MATCH($C1387,Market_Daily!$A$6:$A$256,0)),NA()))</f>
        <v/>
      </c>
      <c r="O1387" s="16">
        <f>$N1387-$M1387</f>
        <v/>
      </c>
      <c r="P1387" s="16">
        <f>IF(($B1386=$B1387),$M1386,"")</f>
        <v/>
      </c>
      <c r="Q1387" s="16">
        <f>$M1387+IF($L1387,1,-1)*mcx_slippage_ticks*mcx_al_tick_inr_kg</f>
        <v/>
      </c>
      <c r="R1387" s="18">
        <f>IF(($B1386=$B1387),$H1387*$I1387*kg_per_mt*($M1387-$M1386),0)</f>
        <v/>
      </c>
      <c r="S1387" s="18">
        <f>IF(($B1386=$B1387),$S1386,0)+$R1387</f>
        <v/>
      </c>
      <c r="T1387" s="18">
        <f>ABS($H1387)*$I1387*kg_per_mt*$M1387</f>
        <v/>
      </c>
      <c r="U1387" s="18">
        <f>IF($K1387,0,$T1387*mcx_al_margin_used_frac)</f>
        <v/>
      </c>
      <c r="V1387" s="18">
        <f>IF(($B1386=$B1387),$U1386,0)</f>
        <v/>
      </c>
      <c r="W1387" s="18">
        <f>$U1387-$V1387</f>
        <v/>
      </c>
      <c r="X1387" s="18">
        <f>IF($K1387,0,$T1387*0.12)</f>
        <v/>
      </c>
      <c r="Y1387" s="18">
        <f>IF($K1387,0,$T1387*0.15)</f>
        <v/>
      </c>
      <c r="Z1387" s="18">
        <f>IF($F1387="hold",0,-ABS($H1387)*$I1387*kg_per_mt*mcx_slippage_ticks*mcx_al_tick_inr_kg)</f>
        <v/>
      </c>
      <c r="AA1387" s="18">
        <f>IF($F1387="hold",0,-ABS($H1387)*$I1387*kg_per_mt*$Q1387*mcx_txn_cost_frac)</f>
        <v/>
      </c>
      <c r="AB1387" s="18">
        <f>$Z1387+$AA1387</f>
        <v/>
      </c>
      <c r="AC1387" s="18">
        <f>$R1387-$W1387+$AB1387</f>
        <v/>
      </c>
      <c r="AD1387" s="18">
        <f>IF(($B1386=$B1387),$AD1386,0)+$AC1387</f>
        <v/>
      </c>
      <c r="AE1387" s="23" t="n">
        <v>0</v>
      </c>
      <c r="AF1387" s="23" t="n">
        <v>16428585.5</v>
      </c>
      <c r="AG1387" s="23" t="n">
        <v>-127762.21</v>
      </c>
      <c r="AH1387" s="23" t="n">
        <v>-16556347.7</v>
      </c>
      <c r="AI1387" s="23" t="n">
        <v>0</v>
      </c>
      <c r="AJ1387" s="18">
        <f>$R1387-$AE1387</f>
        <v/>
      </c>
      <c r="AK1387" s="18">
        <f>$U1387-$AF1387</f>
        <v/>
      </c>
      <c r="AL1387" s="18">
        <f>$AC1387-$AH1387</f>
        <v/>
      </c>
      <c r="AM1387" s="8">
        <f>IF(AND(ABS($AJ1387)&lt;=tol_mcx_inr,ABS($AK1387)&lt;=tol_mcx_inr,ABS($AL1387)&lt;=tol_mcx_inr),"PASS","FAIL")</f>
        <v/>
      </c>
    </row>
    <row r="1388">
      <c r="A1388" s="7" t="inlineStr">
        <is>
          <t>T09</t>
        </is>
      </c>
      <c r="B1388" s="7" t="inlineStr">
        <is>
          <t>T09-MCX-2</t>
        </is>
      </c>
      <c r="C1388" s="11" t="n">
        <v>44792</v>
      </c>
      <c r="D1388" s="7" t="n">
        <v>202209</v>
      </c>
      <c r="E1388" s="7" t="inlineStr">
        <is>
          <t>SELL</t>
        </is>
      </c>
      <c r="F1388" s="7" t="inlineStr">
        <is>
          <t>hold</t>
        </is>
      </c>
      <c r="G1388" s="17" t="b">
        <v>1</v>
      </c>
      <c r="H1388" s="6" t="n">
        <v>-157</v>
      </c>
      <c r="I1388" s="13" t="n">
        <v>5</v>
      </c>
      <c r="J1388" s="8">
        <f>OR($F1388="entry",$F1388="roll_in")</f>
        <v/>
      </c>
      <c r="K1388" s="8">
        <f>OR($F1388="exit",$F1388="roll_out")</f>
        <v/>
      </c>
      <c r="L1388" s="8">
        <f>OR(AND($E1388="SELL",$K1388),AND($E1388="BUY",$J1388))</f>
        <v/>
      </c>
      <c r="M1388" s="16">
        <f>((INDEX(Market_Daily!$B$6:$B$256,MATCH($C1388,Market_Daily!$A$6:$A$256,0))*INDEX(Market_Daily!$F$6:$F$256,MATCH($C1388,Market_Daily!$A$6:$A$256,0))/kg_per_mt*(1+bcd_primary_al_hs7601*(1+sws_rate_on_bcd))+mcx_domestic_premium_inr_kg)*(1+INDEX(Market_Daily!$I$6:$I$256,MATCH($C1388,Market_Daily!$A$6:$A$256,0))*MAX(0,INDEX(mcx_expiries,MATCH($D1388,mcx_months,0))-$C1388)/day_count_inr))</f>
        <v/>
      </c>
      <c r="N1388" s="16">
        <f>IF(INDEX(Market_Daily!$S$6:$S$256,MATCH($C1388,Market_Daily!$A$6:$A$256,0))=$D1388,INDEX(Market_Daily!$M$6:$M$256,MATCH($C1388,Market_Daily!$A$6:$A$256,0)),IF(INDEX(Market_Daily!$T$6:$T$256,MATCH($C1388,Market_Daily!$A$6:$A$256,0))=$D1388,INDEX(Market_Daily!$N$6:$N$256,MATCH($C1388,Market_Daily!$A$6:$A$256,0)),NA()))</f>
        <v/>
      </c>
      <c r="O1388" s="16">
        <f>$N1388-$M1388</f>
        <v/>
      </c>
      <c r="P1388" s="16">
        <f>IF(($B1387=$B1388),$M1387,"")</f>
        <v/>
      </c>
      <c r="Q1388" s="16">
        <f>$M1388+IF($L1388,1,-1)*mcx_slippage_ticks*mcx_al_tick_inr_kg</f>
        <v/>
      </c>
      <c r="R1388" s="18">
        <f>IF(($B1387=$B1388),$H1388*$I1388*kg_per_mt*($M1388-$M1387),0)</f>
        <v/>
      </c>
      <c r="S1388" s="18">
        <f>IF(($B1387=$B1388),$S1387,0)+$R1388</f>
        <v/>
      </c>
      <c r="T1388" s="18">
        <f>ABS($H1388)*$I1388*kg_per_mt*$M1388</f>
        <v/>
      </c>
      <c r="U1388" s="18">
        <f>IF($K1388,0,$T1388*mcx_al_margin_used_frac)</f>
        <v/>
      </c>
      <c r="V1388" s="18">
        <f>IF(($B1387=$B1388),$U1387,0)</f>
        <v/>
      </c>
      <c r="W1388" s="18">
        <f>$U1388-$V1388</f>
        <v/>
      </c>
      <c r="X1388" s="18">
        <f>IF($K1388,0,$T1388*0.12)</f>
        <v/>
      </c>
      <c r="Y1388" s="18">
        <f>IF($K1388,0,$T1388*0.15)</f>
        <v/>
      </c>
      <c r="Z1388" s="18">
        <f>IF($F1388="hold",0,-ABS($H1388)*$I1388*kg_per_mt*mcx_slippage_ticks*mcx_al_tick_inr_kg)</f>
        <v/>
      </c>
      <c r="AA1388" s="18">
        <f>IF($F1388="hold",0,-ABS($H1388)*$I1388*kg_per_mt*$Q1388*mcx_txn_cost_frac)</f>
        <v/>
      </c>
      <c r="AB1388" s="18">
        <f>$Z1388+$AA1388</f>
        <v/>
      </c>
      <c r="AC1388" s="18">
        <f>$R1388-$W1388+$AB1388</f>
        <v/>
      </c>
      <c r="AD1388" s="18">
        <f>IF(($B1387=$B1388),$AD1387,0)+$AC1388</f>
        <v/>
      </c>
      <c r="AE1388" s="23" t="n">
        <v>1983476.61</v>
      </c>
      <c r="AF1388" s="23" t="n">
        <v>16230237.83</v>
      </c>
      <c r="AG1388" s="23" t="n">
        <v>0</v>
      </c>
      <c r="AH1388" s="23" t="n">
        <v>2181824.27</v>
      </c>
      <c r="AI1388" s="23" t="n">
        <v>-4626.71</v>
      </c>
      <c r="AJ1388" s="18">
        <f>$R1388-$AE1388</f>
        <v/>
      </c>
      <c r="AK1388" s="18">
        <f>$U1388-$AF1388</f>
        <v/>
      </c>
      <c r="AL1388" s="18">
        <f>$AC1388-$AH1388</f>
        <v/>
      </c>
      <c r="AM1388" s="8">
        <f>IF(AND(ABS($AJ1388)&lt;=tol_mcx_inr,ABS($AK1388)&lt;=tol_mcx_inr,ABS($AL1388)&lt;=tol_mcx_inr),"PASS","FAIL")</f>
        <v/>
      </c>
    </row>
    <row r="1389">
      <c r="A1389" s="7" t="inlineStr">
        <is>
          <t>T09</t>
        </is>
      </c>
      <c r="B1389" s="7" t="inlineStr">
        <is>
          <t>T09-MCX-2</t>
        </is>
      </c>
      <c r="C1389" s="11" t="n">
        <v>44795</v>
      </c>
      <c r="D1389" s="7" t="n">
        <v>202209</v>
      </c>
      <c r="E1389" s="7" t="inlineStr">
        <is>
          <t>SELL</t>
        </is>
      </c>
      <c r="F1389" s="7" t="inlineStr">
        <is>
          <t>hold</t>
        </is>
      </c>
      <c r="G1389" s="17" t="b">
        <v>1</v>
      </c>
      <c r="H1389" s="6" t="n">
        <v>-157</v>
      </c>
      <c r="I1389" s="13" t="n">
        <v>5</v>
      </c>
      <c r="J1389" s="8">
        <f>OR($F1389="entry",$F1389="roll_in")</f>
        <v/>
      </c>
      <c r="K1389" s="8">
        <f>OR($F1389="exit",$F1389="roll_out")</f>
        <v/>
      </c>
      <c r="L1389" s="8">
        <f>OR(AND($E1389="SELL",$K1389),AND($E1389="BUY",$J1389))</f>
        <v/>
      </c>
      <c r="M1389" s="16">
        <f>((INDEX(Market_Daily!$B$6:$B$256,MATCH($C1389,Market_Daily!$A$6:$A$256,0))*INDEX(Market_Daily!$F$6:$F$256,MATCH($C1389,Market_Daily!$A$6:$A$256,0))/kg_per_mt*(1+bcd_primary_al_hs7601*(1+sws_rate_on_bcd))+mcx_domestic_premium_inr_kg)*(1+INDEX(Market_Daily!$I$6:$I$256,MATCH($C1389,Market_Daily!$A$6:$A$256,0))*MAX(0,INDEX(mcx_expiries,MATCH($D1389,mcx_months,0))-$C1389)/day_count_inr))</f>
        <v/>
      </c>
      <c r="N1389" s="16">
        <f>IF(INDEX(Market_Daily!$S$6:$S$256,MATCH($C1389,Market_Daily!$A$6:$A$256,0))=$D1389,INDEX(Market_Daily!$M$6:$M$256,MATCH($C1389,Market_Daily!$A$6:$A$256,0)),IF(INDEX(Market_Daily!$T$6:$T$256,MATCH($C1389,Market_Daily!$A$6:$A$256,0))=$D1389,INDEX(Market_Daily!$N$6:$N$256,MATCH($C1389,Market_Daily!$A$6:$A$256,0)),NA()))</f>
        <v/>
      </c>
      <c r="O1389" s="16">
        <f>$N1389-$M1389</f>
        <v/>
      </c>
      <c r="P1389" s="16">
        <f>IF(($B1388=$B1389),$M1388,"")</f>
        <v/>
      </c>
      <c r="Q1389" s="16">
        <f>$M1389+IF($L1389,1,-1)*mcx_slippage_ticks*mcx_al_tick_inr_kg</f>
        <v/>
      </c>
      <c r="R1389" s="18">
        <f>IF(($B1388=$B1389),$H1389*$I1389*kg_per_mt*($M1389-$M1388),0)</f>
        <v/>
      </c>
      <c r="S1389" s="18">
        <f>IF(($B1388=$B1389),$S1388,0)+$R1389</f>
        <v/>
      </c>
      <c r="T1389" s="18">
        <f>ABS($H1389)*$I1389*kg_per_mt*$M1389</f>
        <v/>
      </c>
      <c r="U1389" s="18">
        <f>IF($K1389,0,$T1389*mcx_al_margin_used_frac)</f>
        <v/>
      </c>
      <c r="V1389" s="18">
        <f>IF(($B1388=$B1389),$U1388,0)</f>
        <v/>
      </c>
      <c r="W1389" s="18">
        <f>$U1389-$V1389</f>
        <v/>
      </c>
      <c r="X1389" s="18">
        <f>IF($K1389,0,$T1389*0.12)</f>
        <v/>
      </c>
      <c r="Y1389" s="18">
        <f>IF($K1389,0,$T1389*0.15)</f>
        <v/>
      </c>
      <c r="Z1389" s="18">
        <f>IF($F1389="hold",0,-ABS($H1389)*$I1389*kg_per_mt*mcx_slippage_ticks*mcx_al_tick_inr_kg)</f>
        <v/>
      </c>
      <c r="AA1389" s="18">
        <f>IF($F1389="hold",0,-ABS($H1389)*$I1389*kg_per_mt*$Q1389*mcx_txn_cost_frac)</f>
        <v/>
      </c>
      <c r="AB1389" s="18">
        <f>$Z1389+$AA1389</f>
        <v/>
      </c>
      <c r="AC1389" s="18">
        <f>$R1389-$W1389+$AB1389</f>
        <v/>
      </c>
      <c r="AD1389" s="18">
        <f>IF(($B1388=$B1389),$AD1388,0)+$AC1389</f>
        <v/>
      </c>
      <c r="AE1389" s="23" t="n">
        <v>-681829</v>
      </c>
      <c r="AF1389" s="23" t="n">
        <v>16298420.73</v>
      </c>
      <c r="AG1389" s="23" t="n">
        <v>0</v>
      </c>
      <c r="AH1389" s="23" t="n">
        <v>-750011.9</v>
      </c>
      <c r="AI1389" s="23" t="n">
        <v>-12050.97</v>
      </c>
      <c r="AJ1389" s="18">
        <f>$R1389-$AE1389</f>
        <v/>
      </c>
      <c r="AK1389" s="18">
        <f>$U1389-$AF1389</f>
        <v/>
      </c>
      <c r="AL1389" s="18">
        <f>$AC1389-$AH1389</f>
        <v/>
      </c>
      <c r="AM1389" s="8">
        <f>IF(AND(ABS($AJ1389)&lt;=tol_mcx_inr,ABS($AK1389)&lt;=tol_mcx_inr,ABS($AL1389)&lt;=tol_mcx_inr),"PASS","FAIL")</f>
        <v/>
      </c>
    </row>
    <row r="1390">
      <c r="A1390" s="7" t="inlineStr">
        <is>
          <t>T09</t>
        </is>
      </c>
      <c r="B1390" s="7" t="inlineStr">
        <is>
          <t>T09-MCX-2</t>
        </is>
      </c>
      <c r="C1390" s="11" t="n">
        <v>44796</v>
      </c>
      <c r="D1390" s="7" t="n">
        <v>202209</v>
      </c>
      <c r="E1390" s="7" t="inlineStr">
        <is>
          <t>SELL</t>
        </is>
      </c>
      <c r="F1390" s="7" t="inlineStr">
        <is>
          <t>hold</t>
        </is>
      </c>
      <c r="G1390" s="17" t="b">
        <v>1</v>
      </c>
      <c r="H1390" s="6" t="n">
        <v>-157</v>
      </c>
      <c r="I1390" s="13" t="n">
        <v>5</v>
      </c>
      <c r="J1390" s="8">
        <f>OR($F1390="entry",$F1390="roll_in")</f>
        <v/>
      </c>
      <c r="K1390" s="8">
        <f>OR($F1390="exit",$F1390="roll_out")</f>
        <v/>
      </c>
      <c r="L1390" s="8">
        <f>OR(AND($E1390="SELL",$K1390),AND($E1390="BUY",$J1390))</f>
        <v/>
      </c>
      <c r="M1390" s="16">
        <f>((INDEX(Market_Daily!$B$6:$B$256,MATCH($C1390,Market_Daily!$A$6:$A$256,0))*INDEX(Market_Daily!$F$6:$F$256,MATCH($C1390,Market_Daily!$A$6:$A$256,0))/kg_per_mt*(1+bcd_primary_al_hs7601*(1+sws_rate_on_bcd))+mcx_domestic_premium_inr_kg)*(1+INDEX(Market_Daily!$I$6:$I$256,MATCH($C1390,Market_Daily!$A$6:$A$256,0))*MAX(0,INDEX(mcx_expiries,MATCH($D1390,mcx_months,0))-$C1390)/day_count_inr))</f>
        <v/>
      </c>
      <c r="N1390" s="16">
        <f>IF(INDEX(Market_Daily!$S$6:$S$256,MATCH($C1390,Market_Daily!$A$6:$A$256,0))=$D1390,INDEX(Market_Daily!$M$6:$M$256,MATCH($C1390,Market_Daily!$A$6:$A$256,0)),IF(INDEX(Market_Daily!$T$6:$T$256,MATCH($C1390,Market_Daily!$A$6:$A$256,0))=$D1390,INDEX(Market_Daily!$N$6:$N$256,MATCH($C1390,Market_Daily!$A$6:$A$256,0)),NA()))</f>
        <v/>
      </c>
      <c r="O1390" s="16">
        <f>$N1390-$M1390</f>
        <v/>
      </c>
      <c r="P1390" s="16">
        <f>IF(($B1389=$B1390),$M1389,"")</f>
        <v/>
      </c>
      <c r="Q1390" s="16">
        <f>$M1390+IF($L1390,1,-1)*mcx_slippage_ticks*mcx_al_tick_inr_kg</f>
        <v/>
      </c>
      <c r="R1390" s="18">
        <f>IF(($B1389=$B1390),$H1390*$I1390*kg_per_mt*($M1390-$M1389),0)</f>
        <v/>
      </c>
      <c r="S1390" s="18">
        <f>IF(($B1389=$B1390),$S1389,0)+$R1390</f>
        <v/>
      </c>
      <c r="T1390" s="18">
        <f>ABS($H1390)*$I1390*kg_per_mt*$M1390</f>
        <v/>
      </c>
      <c r="U1390" s="18">
        <f>IF($K1390,0,$T1390*mcx_al_margin_used_frac)</f>
        <v/>
      </c>
      <c r="V1390" s="18">
        <f>IF(($B1389=$B1390),$U1389,0)</f>
        <v/>
      </c>
      <c r="W1390" s="18">
        <f>$U1390-$V1390</f>
        <v/>
      </c>
      <c r="X1390" s="18">
        <f>IF($K1390,0,$T1390*0.12)</f>
        <v/>
      </c>
      <c r="Y1390" s="18">
        <f>IF($K1390,0,$T1390*0.15)</f>
        <v/>
      </c>
      <c r="Z1390" s="18">
        <f>IF($F1390="hold",0,-ABS($H1390)*$I1390*kg_per_mt*mcx_slippage_ticks*mcx_al_tick_inr_kg)</f>
        <v/>
      </c>
      <c r="AA1390" s="18">
        <f>IF($F1390="hold",0,-ABS($H1390)*$I1390*kg_per_mt*$Q1390*mcx_txn_cost_frac)</f>
        <v/>
      </c>
      <c r="AB1390" s="18">
        <f>$Z1390+$AA1390</f>
        <v/>
      </c>
      <c r="AC1390" s="18">
        <f>$R1390-$W1390+$AB1390</f>
        <v/>
      </c>
      <c r="AD1390" s="18">
        <f>IF(($B1389=$B1390),$AD1389,0)+$AC1390</f>
        <v/>
      </c>
      <c r="AE1390" s="23" t="n">
        <v>-3476809.74</v>
      </c>
      <c r="AF1390" s="23" t="n">
        <v>16646101.71</v>
      </c>
      <c r="AG1390" s="23" t="n">
        <v>0</v>
      </c>
      <c r="AH1390" s="23" t="n">
        <v>-3824490.72</v>
      </c>
      <c r="AI1390" s="23" t="n">
        <v>-4226.58</v>
      </c>
      <c r="AJ1390" s="18">
        <f>$R1390-$AE1390</f>
        <v/>
      </c>
      <c r="AK1390" s="18">
        <f>$U1390-$AF1390</f>
        <v/>
      </c>
      <c r="AL1390" s="18">
        <f>$AC1390-$AH1390</f>
        <v/>
      </c>
      <c r="AM1390" s="8">
        <f>IF(AND(ABS($AJ1390)&lt;=tol_mcx_inr,ABS($AK1390)&lt;=tol_mcx_inr,ABS($AL1390)&lt;=tol_mcx_inr),"PASS","FAIL")</f>
        <v/>
      </c>
    </row>
    <row r="1391">
      <c r="A1391" s="7" t="inlineStr">
        <is>
          <t>T09</t>
        </is>
      </c>
      <c r="B1391" s="7" t="inlineStr">
        <is>
          <t>T09-MCX-2</t>
        </is>
      </c>
      <c r="C1391" s="11" t="n">
        <v>44797</v>
      </c>
      <c r="D1391" s="7" t="n">
        <v>202209</v>
      </c>
      <c r="E1391" s="7" t="inlineStr">
        <is>
          <t>SELL</t>
        </is>
      </c>
      <c r="F1391" s="7" t="inlineStr">
        <is>
          <t>hold</t>
        </is>
      </c>
      <c r="G1391" s="17" t="b">
        <v>1</v>
      </c>
      <c r="H1391" s="6" t="n">
        <v>-157</v>
      </c>
      <c r="I1391" s="13" t="n">
        <v>5</v>
      </c>
      <c r="J1391" s="8">
        <f>OR($F1391="entry",$F1391="roll_in")</f>
        <v/>
      </c>
      <c r="K1391" s="8">
        <f>OR($F1391="exit",$F1391="roll_out")</f>
        <v/>
      </c>
      <c r="L1391" s="8">
        <f>OR(AND($E1391="SELL",$K1391),AND($E1391="BUY",$J1391))</f>
        <v/>
      </c>
      <c r="M1391" s="16">
        <f>((INDEX(Market_Daily!$B$6:$B$256,MATCH($C1391,Market_Daily!$A$6:$A$256,0))*INDEX(Market_Daily!$F$6:$F$256,MATCH($C1391,Market_Daily!$A$6:$A$256,0))/kg_per_mt*(1+bcd_primary_al_hs7601*(1+sws_rate_on_bcd))+mcx_domestic_premium_inr_kg)*(1+INDEX(Market_Daily!$I$6:$I$256,MATCH($C1391,Market_Daily!$A$6:$A$256,0))*MAX(0,INDEX(mcx_expiries,MATCH($D1391,mcx_months,0))-$C1391)/day_count_inr))</f>
        <v/>
      </c>
      <c r="N1391" s="16">
        <f>IF(INDEX(Market_Daily!$S$6:$S$256,MATCH($C1391,Market_Daily!$A$6:$A$256,0))=$D1391,INDEX(Market_Daily!$M$6:$M$256,MATCH($C1391,Market_Daily!$A$6:$A$256,0)),IF(INDEX(Market_Daily!$T$6:$T$256,MATCH($C1391,Market_Daily!$A$6:$A$256,0))=$D1391,INDEX(Market_Daily!$N$6:$N$256,MATCH($C1391,Market_Daily!$A$6:$A$256,0)),NA()))</f>
        <v/>
      </c>
      <c r="O1391" s="16">
        <f>$N1391-$M1391</f>
        <v/>
      </c>
      <c r="P1391" s="16">
        <f>IF(($B1390=$B1391),$M1390,"")</f>
        <v/>
      </c>
      <c r="Q1391" s="16">
        <f>$M1391+IF($L1391,1,-1)*mcx_slippage_ticks*mcx_al_tick_inr_kg</f>
        <v/>
      </c>
      <c r="R1391" s="18">
        <f>IF(($B1390=$B1391),$H1391*$I1391*kg_per_mt*($M1391-$M1390),0)</f>
        <v/>
      </c>
      <c r="S1391" s="18">
        <f>IF(($B1390=$B1391),$S1390,0)+$R1391</f>
        <v/>
      </c>
      <c r="T1391" s="18">
        <f>ABS($H1391)*$I1391*kg_per_mt*$M1391</f>
        <v/>
      </c>
      <c r="U1391" s="18">
        <f>IF($K1391,0,$T1391*mcx_al_margin_used_frac)</f>
        <v/>
      </c>
      <c r="V1391" s="18">
        <f>IF(($B1390=$B1391),$U1390,0)</f>
        <v/>
      </c>
      <c r="W1391" s="18">
        <f>$U1391-$V1391</f>
        <v/>
      </c>
      <c r="X1391" s="18">
        <f>IF($K1391,0,$T1391*0.12)</f>
        <v/>
      </c>
      <c r="Y1391" s="18">
        <f>IF($K1391,0,$T1391*0.15)</f>
        <v/>
      </c>
      <c r="Z1391" s="18">
        <f>IF($F1391="hold",0,-ABS($H1391)*$I1391*kg_per_mt*mcx_slippage_ticks*mcx_al_tick_inr_kg)</f>
        <v/>
      </c>
      <c r="AA1391" s="18">
        <f>IF($F1391="hold",0,-ABS($H1391)*$I1391*kg_per_mt*$Q1391*mcx_txn_cost_frac)</f>
        <v/>
      </c>
      <c r="AB1391" s="18">
        <f>$Z1391+$AA1391</f>
        <v/>
      </c>
      <c r="AC1391" s="18">
        <f>$R1391-$W1391+$AB1391</f>
        <v/>
      </c>
      <c r="AD1391" s="18">
        <f>IF(($B1390=$B1391),$AD1390,0)+$AC1391</f>
        <v/>
      </c>
      <c r="AE1391" s="23" t="n">
        <v>1226278.26</v>
      </c>
      <c r="AF1391" s="23" t="n">
        <v>16523473.88</v>
      </c>
      <c r="AG1391" s="23" t="n">
        <v>0</v>
      </c>
      <c r="AH1391" s="23" t="n">
        <v>1348906.08</v>
      </c>
      <c r="AI1391" s="23" t="n">
        <v>-5295.34</v>
      </c>
      <c r="AJ1391" s="18">
        <f>$R1391-$AE1391</f>
        <v/>
      </c>
      <c r="AK1391" s="18">
        <f>$U1391-$AF1391</f>
        <v/>
      </c>
      <c r="AL1391" s="18">
        <f>$AC1391-$AH1391</f>
        <v/>
      </c>
      <c r="AM1391" s="8">
        <f>IF(AND(ABS($AJ1391)&lt;=tol_mcx_inr,ABS($AK1391)&lt;=tol_mcx_inr,ABS($AL1391)&lt;=tol_mcx_inr),"PASS","FAIL")</f>
        <v/>
      </c>
    </row>
    <row r="1392">
      <c r="A1392" s="7" t="inlineStr">
        <is>
          <t>T09</t>
        </is>
      </c>
      <c r="B1392" s="7" t="inlineStr">
        <is>
          <t>T09-MCX-2</t>
        </is>
      </c>
      <c r="C1392" s="11" t="n">
        <v>44798</v>
      </c>
      <c r="D1392" s="7" t="n">
        <v>202209</v>
      </c>
      <c r="E1392" s="7" t="inlineStr">
        <is>
          <t>SELL</t>
        </is>
      </c>
      <c r="F1392" s="7" t="inlineStr">
        <is>
          <t>hold</t>
        </is>
      </c>
      <c r="G1392" s="17" t="b">
        <v>1</v>
      </c>
      <c r="H1392" s="6" t="n">
        <v>-157</v>
      </c>
      <c r="I1392" s="13" t="n">
        <v>5</v>
      </c>
      <c r="J1392" s="8">
        <f>OR($F1392="entry",$F1392="roll_in")</f>
        <v/>
      </c>
      <c r="K1392" s="8">
        <f>OR($F1392="exit",$F1392="roll_out")</f>
        <v/>
      </c>
      <c r="L1392" s="8">
        <f>OR(AND($E1392="SELL",$K1392),AND($E1392="BUY",$J1392))</f>
        <v/>
      </c>
      <c r="M1392" s="16">
        <f>((INDEX(Market_Daily!$B$6:$B$256,MATCH($C1392,Market_Daily!$A$6:$A$256,0))*INDEX(Market_Daily!$F$6:$F$256,MATCH($C1392,Market_Daily!$A$6:$A$256,0))/kg_per_mt*(1+bcd_primary_al_hs7601*(1+sws_rate_on_bcd))+mcx_domestic_premium_inr_kg)*(1+INDEX(Market_Daily!$I$6:$I$256,MATCH($C1392,Market_Daily!$A$6:$A$256,0))*MAX(0,INDEX(mcx_expiries,MATCH($D1392,mcx_months,0))-$C1392)/day_count_inr))</f>
        <v/>
      </c>
      <c r="N1392" s="16">
        <f>IF(INDEX(Market_Daily!$S$6:$S$256,MATCH($C1392,Market_Daily!$A$6:$A$256,0))=$D1392,INDEX(Market_Daily!$M$6:$M$256,MATCH($C1392,Market_Daily!$A$6:$A$256,0)),IF(INDEX(Market_Daily!$T$6:$T$256,MATCH($C1392,Market_Daily!$A$6:$A$256,0))=$D1392,INDEX(Market_Daily!$N$6:$N$256,MATCH($C1392,Market_Daily!$A$6:$A$256,0)),NA()))</f>
        <v/>
      </c>
      <c r="O1392" s="16">
        <f>$N1392-$M1392</f>
        <v/>
      </c>
      <c r="P1392" s="16">
        <f>IF(($B1391=$B1392),$M1391,"")</f>
        <v/>
      </c>
      <c r="Q1392" s="16">
        <f>$M1392+IF($L1392,1,-1)*mcx_slippage_ticks*mcx_al_tick_inr_kg</f>
        <v/>
      </c>
      <c r="R1392" s="18">
        <f>IF(($B1391=$B1392),$H1392*$I1392*kg_per_mt*($M1392-$M1391),0)</f>
        <v/>
      </c>
      <c r="S1392" s="18">
        <f>IF(($B1391=$B1392),$S1391,0)+$R1392</f>
        <v/>
      </c>
      <c r="T1392" s="18">
        <f>ABS($H1392)*$I1392*kg_per_mt*$M1392</f>
        <v/>
      </c>
      <c r="U1392" s="18">
        <f>IF($K1392,0,$T1392*mcx_al_margin_used_frac)</f>
        <v/>
      </c>
      <c r="V1392" s="18">
        <f>IF(($B1391=$B1392),$U1391,0)</f>
        <v/>
      </c>
      <c r="W1392" s="18">
        <f>$U1392-$V1392</f>
        <v/>
      </c>
      <c r="X1392" s="18">
        <f>IF($K1392,0,$T1392*0.12)</f>
        <v/>
      </c>
      <c r="Y1392" s="18">
        <f>IF($K1392,0,$T1392*0.15)</f>
        <v/>
      </c>
      <c r="Z1392" s="18">
        <f>IF($F1392="hold",0,-ABS($H1392)*$I1392*kg_per_mt*mcx_slippage_ticks*mcx_al_tick_inr_kg)</f>
        <v/>
      </c>
      <c r="AA1392" s="18">
        <f>IF($F1392="hold",0,-ABS($H1392)*$I1392*kg_per_mt*$Q1392*mcx_txn_cost_frac)</f>
        <v/>
      </c>
      <c r="AB1392" s="18">
        <f>$Z1392+$AA1392</f>
        <v/>
      </c>
      <c r="AC1392" s="18">
        <f>$R1392-$W1392+$AB1392</f>
        <v/>
      </c>
      <c r="AD1392" s="18">
        <f>IF(($B1391=$B1392),$AD1391,0)+$AC1392</f>
        <v/>
      </c>
      <c r="AE1392" s="23" t="n">
        <v>-1514241.82</v>
      </c>
      <c r="AF1392" s="23" t="n">
        <v>16674898.06</v>
      </c>
      <c r="AG1392" s="23" t="n">
        <v>0</v>
      </c>
      <c r="AH1392" s="23" t="n">
        <v>-1665666</v>
      </c>
      <c r="AI1392" s="23" t="n">
        <v>-4918.39</v>
      </c>
      <c r="AJ1392" s="18">
        <f>$R1392-$AE1392</f>
        <v/>
      </c>
      <c r="AK1392" s="18">
        <f>$U1392-$AF1392</f>
        <v/>
      </c>
      <c r="AL1392" s="18">
        <f>$AC1392-$AH1392</f>
        <v/>
      </c>
      <c r="AM1392" s="8">
        <f>IF(AND(ABS($AJ1392)&lt;=tol_mcx_inr,ABS($AK1392)&lt;=tol_mcx_inr,ABS($AL1392)&lt;=tol_mcx_inr),"PASS","FAIL")</f>
        <v/>
      </c>
    </row>
    <row r="1393">
      <c r="A1393" s="7" t="inlineStr">
        <is>
          <t>T09</t>
        </is>
      </c>
      <c r="B1393" s="7" t="inlineStr">
        <is>
          <t>T09-MCX-2</t>
        </is>
      </c>
      <c r="C1393" s="11" t="n">
        <v>44799</v>
      </c>
      <c r="D1393" s="7" t="n">
        <v>202209</v>
      </c>
      <c r="E1393" s="7" t="inlineStr">
        <is>
          <t>SELL</t>
        </is>
      </c>
      <c r="F1393" s="7" t="inlineStr">
        <is>
          <t>exit</t>
        </is>
      </c>
      <c r="G1393" s="17" t="b">
        <v>1</v>
      </c>
      <c r="H1393" s="6" t="n">
        <v>-157</v>
      </c>
      <c r="I1393" s="13" t="n">
        <v>5</v>
      </c>
      <c r="J1393" s="8">
        <f>OR($F1393="entry",$F1393="roll_in")</f>
        <v/>
      </c>
      <c r="K1393" s="8">
        <f>OR($F1393="exit",$F1393="roll_out")</f>
        <v/>
      </c>
      <c r="L1393" s="8">
        <f>OR(AND($E1393="SELL",$K1393),AND($E1393="BUY",$J1393))</f>
        <v/>
      </c>
      <c r="M1393" s="16">
        <f>((INDEX(Market_Daily!$B$6:$B$256,MATCH($C1393,Market_Daily!$A$6:$A$256,0))*INDEX(Market_Daily!$F$6:$F$256,MATCH($C1393,Market_Daily!$A$6:$A$256,0))/kg_per_mt*(1+bcd_primary_al_hs7601*(1+sws_rate_on_bcd))+mcx_domestic_premium_inr_kg)*(1+INDEX(Market_Daily!$I$6:$I$256,MATCH($C1393,Market_Daily!$A$6:$A$256,0))*MAX(0,INDEX(mcx_expiries,MATCH($D1393,mcx_months,0))-$C1393)/day_count_inr))</f>
        <v/>
      </c>
      <c r="N1393" s="16">
        <f>IF(INDEX(Market_Daily!$S$6:$S$256,MATCH($C1393,Market_Daily!$A$6:$A$256,0))=$D1393,INDEX(Market_Daily!$M$6:$M$256,MATCH($C1393,Market_Daily!$A$6:$A$256,0)),IF(INDEX(Market_Daily!$T$6:$T$256,MATCH($C1393,Market_Daily!$A$6:$A$256,0))=$D1393,INDEX(Market_Daily!$N$6:$N$256,MATCH($C1393,Market_Daily!$A$6:$A$256,0)),NA()))</f>
        <v/>
      </c>
      <c r="O1393" s="16">
        <f>$N1393-$M1393</f>
        <v/>
      </c>
      <c r="P1393" s="16">
        <f>IF(($B1392=$B1393),$M1392,"")</f>
        <v/>
      </c>
      <c r="Q1393" s="16">
        <f>$M1393+IF($L1393,1,-1)*mcx_slippage_ticks*mcx_al_tick_inr_kg</f>
        <v/>
      </c>
      <c r="R1393" s="18">
        <f>IF(($B1392=$B1393),$H1393*$I1393*kg_per_mt*($M1393-$M1392),0)</f>
        <v/>
      </c>
      <c r="S1393" s="18">
        <f>IF(($B1392=$B1393),$S1392,0)+$R1393</f>
        <v/>
      </c>
      <c r="T1393" s="18">
        <f>ABS($H1393)*$I1393*kg_per_mt*$M1393</f>
        <v/>
      </c>
      <c r="U1393" s="18">
        <f>IF($K1393,0,$T1393*mcx_al_margin_used_frac)</f>
        <v/>
      </c>
      <c r="V1393" s="18">
        <f>IF(($B1392=$B1393),$U1392,0)</f>
        <v/>
      </c>
      <c r="W1393" s="18">
        <f>$U1393-$V1393</f>
        <v/>
      </c>
      <c r="X1393" s="18">
        <f>IF($K1393,0,$T1393*0.12)</f>
        <v/>
      </c>
      <c r="Y1393" s="18">
        <f>IF($K1393,0,$T1393*0.15)</f>
        <v/>
      </c>
      <c r="Z1393" s="18">
        <f>IF($F1393="hold",0,-ABS($H1393)*$I1393*kg_per_mt*mcx_slippage_ticks*mcx_al_tick_inr_kg)</f>
        <v/>
      </c>
      <c r="AA1393" s="18">
        <f>IF($F1393="hold",0,-ABS($H1393)*$I1393*kg_per_mt*$Q1393*mcx_txn_cost_frac)</f>
        <v/>
      </c>
      <c r="AB1393" s="18">
        <f>$Z1393+$AA1393</f>
        <v/>
      </c>
      <c r="AC1393" s="18">
        <f>$R1393-$W1393+$AB1393</f>
        <v/>
      </c>
      <c r="AD1393" s="18">
        <f>IF(($B1392=$B1393),$AD1392,0)+$AC1393</f>
        <v/>
      </c>
      <c r="AE1393" s="23" t="n">
        <v>-3454379.89</v>
      </c>
      <c r="AF1393" s="23" t="n">
        <v>0</v>
      </c>
      <c r="AG1393" s="23" t="n">
        <v>-129584.56</v>
      </c>
      <c r="AH1393" s="23" t="n">
        <v>13090933.61</v>
      </c>
      <c r="AI1393" s="23" t="n">
        <v>-5383.86</v>
      </c>
      <c r="AJ1393" s="18">
        <f>$R1393-$AE1393</f>
        <v/>
      </c>
      <c r="AK1393" s="18">
        <f>$U1393-$AF1393</f>
        <v/>
      </c>
      <c r="AL1393" s="18">
        <f>$AC1393-$AH1393</f>
        <v/>
      </c>
      <c r="AM1393" s="8">
        <f>IF(AND(ABS($AJ1393)&lt;=tol_mcx_inr,ABS($AK1393)&lt;=tol_mcx_inr,ABS($AL1393)&lt;=tol_mcx_inr),"PASS","FAIL")</f>
        <v/>
      </c>
    </row>
  </sheetData>
  <autoFilter ref="A7:AB103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Q1467"/>
  <sheetViews>
    <sheetView showGridLines="0" workbookViewId="0">
      <pane xSplit="13" ySplit="5" topLeftCell="N6"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8" customWidth="1" min="3" max="3"/>
    <col width="18" customWidth="1" min="4" max="4"/>
    <col width="18" customWidth="1" min="5" max="5"/>
    <col width="18" customWidth="1" min="6" max="6"/>
    <col width="18" customWidth="1" min="7" max="7"/>
    <col width="18" customWidth="1" min="8" max="8"/>
    <col width="18" customWidth="1" min="9" max="9"/>
    <col width="13" customWidth="1" min="10" max="10"/>
    <col width="13" customWidth="1" min="11" max="11"/>
    <col width="13" customWidth="1" min="12" max="12"/>
    <col width="13"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6" customWidth="1" min="21" max="21"/>
    <col width="16" customWidth="1" min="22" max="22"/>
    <col width="16" customWidth="1" min="23" max="23"/>
    <col width="16"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s>
  <sheetData>
    <row r="1">
      <c r="A1" s="1" t="inlineStr">
        <is>
          <t>ACADEMIC SIMULATION — not actual trades</t>
        </is>
      </c>
    </row>
    <row r="2">
      <c r="A2" s="2" t="inlineStr">
        <is>
          <t>MTM_Daily — leg valuations on the declared marking grid, and cumulative P&amp;L per trade</t>
        </is>
      </c>
    </row>
    <row r="3">
      <c r="A3" s="3" t="inlineStr">
        <is>
          <t>Marking grid: month-end panel days + every trade date + the adverse-event endpoints + WINDOW_END + HORIZON_END. Settled legs are omitted (their mark is zero); their cash is on Cashflows. Green = carried from the Python lifecycle, see value_src.</t>
        </is>
      </c>
    </row>
    <row r="5" ht="30" customHeight="1">
      <c r="A5" s="5" t="inlineStr">
        <is>
          <t>mark_date</t>
        </is>
      </c>
      <c r="B5" s="5" t="inlineStr">
        <is>
          <t>trade_id</t>
        </is>
      </c>
      <c r="C5" s="5" t="inlineStr">
        <is>
          <t>leg_id</t>
        </is>
      </c>
      <c r="D5" s="5" t="inlineStr">
        <is>
          <t>leg_type</t>
        </is>
      </c>
      <c r="E5" s="5" t="inlineStr">
        <is>
          <t>instrument</t>
        </is>
      </c>
      <c r="F5" s="5" t="inlineStr">
        <is>
          <t>lot_id</t>
        </is>
      </c>
      <c r="G5" s="5" t="inlineStr">
        <is>
          <t>counterparty_id</t>
        </is>
      </c>
      <c r="H5" s="5" t="inlineStr">
        <is>
          <t>grade</t>
        </is>
      </c>
      <c r="I5" s="5" t="inlineStr">
        <is>
          <t>lane</t>
        </is>
      </c>
      <c r="J5" s="5" t="inlineStr">
        <is>
          <t>currency</t>
        </is>
      </c>
      <c r="K5" s="5" t="inlineStr">
        <is>
          <t>status</t>
        </is>
      </c>
      <c r="L5" s="5" t="inlineStr">
        <is>
          <t>pnl_class</t>
        </is>
      </c>
      <c r="M5" s="5" t="inlineStr">
        <is>
          <t>settle_date</t>
        </is>
      </c>
      <c r="N5" s="5" t="inlineStr">
        <is>
          <t>qty_mt</t>
        </is>
      </c>
      <c r="O5" s="5" t="inlineStr">
        <is>
          <t>lots</t>
        </is>
      </c>
      <c r="P5" s="5" t="inlineStr">
        <is>
          <t>notional_usd</t>
        </is>
      </c>
      <c r="Q5" s="5" t="inlineStr">
        <is>
          <t>one_month_days</t>
        </is>
      </c>
      <c r="R5" s="5" t="inlineStr">
        <is>
          <t>n_settle_dates</t>
        </is>
      </c>
      <c r="S5" s="5" t="inlineStr">
        <is>
          <t>fx_value_date</t>
        </is>
      </c>
      <c r="T5" s="5" t="inlineStr">
        <is>
          <t>fx_strike_inr</t>
        </is>
      </c>
      <c r="U5" s="5" t="inlineStr">
        <is>
          <t>mtm_ccy_py</t>
        </is>
      </c>
      <c r="V5" s="5" t="inlineStr">
        <is>
          <t>mtm_inr_py</t>
        </is>
      </c>
      <c r="W5" s="5" t="inlineStr">
        <is>
          <t>px_inr_t_py</t>
        </is>
      </c>
      <c r="X5" s="5" t="inlineStr">
        <is>
          <t>fx_rate_used_py</t>
        </is>
      </c>
      <c r="Y5" s="5" t="inlineStr">
        <is>
          <t>rep_box</t>
        </is>
      </c>
      <c r="Z5" s="5" t="inlineStr">
        <is>
          <t>rep_port_key</t>
        </is>
      </c>
      <c r="AA5" s="5" t="inlineStr">
        <is>
          <t>rep_payload_scale</t>
        </is>
      </c>
      <c r="AB5" s="5" t="inlineStr">
        <is>
          <t>rep_cfr_usd_t</t>
        </is>
      </c>
      <c r="AC5" s="5" t="inlineStr">
        <is>
          <t>rep_cif_usd_t</t>
        </is>
      </c>
      <c r="AD5" s="5" t="inlineStr">
        <is>
          <t>rep_goods_fx</t>
        </is>
      </c>
      <c r="AE5" s="5" t="inlineStr">
        <is>
          <t>rep_goods_inr_t</t>
        </is>
      </c>
      <c r="AF5" s="5" t="inlineStr">
        <is>
          <t>rep_av_inr_t</t>
        </is>
      </c>
      <c r="AG5" s="5" t="inlineStr">
        <is>
          <t>rep_duty_inr_t</t>
        </is>
      </c>
      <c r="AH5" s="5" t="inlineStr">
        <is>
          <t>rep_port_inr_t</t>
        </is>
      </c>
      <c r="AI5" s="5" t="inlineStr">
        <is>
          <t>rep_igst_inr_t</t>
        </is>
      </c>
      <c r="AJ5" s="5" t="inlineStr">
        <is>
          <t>replacement_inr_t</t>
        </is>
      </c>
      <c r="AK5" s="5" t="inlineStr">
        <is>
          <t>value_src</t>
        </is>
      </c>
      <c r="AL5" s="5" t="inlineStr">
        <is>
          <t>fx_x_calc</t>
        </is>
      </c>
      <c r="AM5" s="5" t="inlineStr">
        <is>
          <t>diff_fx_rate</t>
        </is>
      </c>
      <c r="AN5" s="5" t="inlineStr">
        <is>
          <t>amount_ccy_calc</t>
        </is>
      </c>
      <c r="AO5" s="5" t="inlineStr">
        <is>
          <t>mtm_inr_calc</t>
        </is>
      </c>
      <c r="AP5" s="5" t="inlineStr">
        <is>
          <t>diff_inr</t>
        </is>
      </c>
      <c r="AQ5" s="5" t="inlineStr">
        <is>
          <t>check</t>
        </is>
      </c>
    </row>
    <row r="6">
      <c r="A6" s="11" t="n">
        <v>44628</v>
      </c>
      <c r="B6" s="7" t="inlineStr">
        <is>
          <t>T01</t>
        </is>
      </c>
      <c r="C6" s="7" t="inlineStr">
        <is>
          <t>BILL_COMMISSION:L1</t>
        </is>
      </c>
      <c r="D6" s="7" t="inlineStr">
        <is>
          <t>BILL_COMMISSION</t>
        </is>
      </c>
      <c r="E6" s="7" t="inlineStr">
        <is>
          <t>physical</t>
        </is>
      </c>
      <c r="F6" s="7" t="inlineStr">
        <is>
          <t>L1</t>
        </is>
      </c>
      <c r="H6" s="7" t="inlineStr">
        <is>
          <t>zorba</t>
        </is>
      </c>
      <c r="I6" s="7" t="inlineStr">
        <is>
          <t>USEC_MUN</t>
        </is>
      </c>
      <c r="J6" s="7" t="inlineStr">
        <is>
          <t>USD</t>
        </is>
      </c>
      <c r="K6" s="7" t="inlineStr">
        <is>
          <t>floating</t>
        </is>
      </c>
      <c r="L6" s="7" t="inlineStr">
        <is>
          <t>PNL</t>
        </is>
      </c>
      <c r="M6" s="11" t="n">
        <v>44656</v>
      </c>
      <c r="N6" s="13" t="n">
        <v>0</v>
      </c>
      <c r="O6" s="6" t="n">
        <v>0</v>
      </c>
      <c r="P6" s="13" t="n">
        <v>0</v>
      </c>
      <c r="Q6" s="22" t="n">
        <v>31</v>
      </c>
      <c r="R6" s="6" t="n">
        <v>1</v>
      </c>
      <c r="U6" s="9" t="n">
        <v>-2358.72</v>
      </c>
      <c r="V6" s="9" t="n">
        <v>-182216.99</v>
      </c>
      <c r="X6" s="9" t="n">
        <v>77.2525</v>
      </c>
      <c r="AK6" s="7" t="inlineStr">
        <is>
          <t>PYTHON_LIFECYCLE</t>
        </is>
      </c>
      <c r="AL6" s="8">
        <f>IF($J6="INR",1,IF($M6&lt;$A6,INDEX(Market_Daily!$F$6:$F$256,MATCH($M6,Market_Daily!$A$6:$A$256,1)),IF($M6=$A6,INDEX(Market_Daily!$F$6:$F$256,MATCH($A6,Market_Daily!$A$6:$A$256,0)),(INDEX(Market_Daily!$F$6:$F$256,MATCH($A6,Market_Daily!$A$6:$A$256,0))*(1+INDEX(Market_Daily!$I$6:$I$256,MATCH($A6,Market_Daily!$A$6:$A$256,0))*($M6-$A6)/day_count_inr)/(1+INDEX(Market_Daily!$J$6:$J$256,MATCH($A6,Market_Daily!$A$6:$A$256,0))*($M6-$A6)/day_count_usd)))))</f>
        <v/>
      </c>
      <c r="AM6" s="8">
        <f>IF(OR($J6="INR",$R6&gt;1),"",$AL6-$X6)</f>
        <v/>
      </c>
      <c r="AN6" s="8">
        <f>$U6</f>
        <v/>
      </c>
      <c r="AO6" s="8">
        <f>$AN6*IF($J6="INR",1,$AL6)</f>
        <v/>
      </c>
      <c r="AP6" s="18">
        <f>$AO6-$V6</f>
        <v/>
      </c>
      <c r="AQ6" s="8">
        <f>IF(ABS($AP6)&lt;=tol_trade_inr,"PASS","FAIL")</f>
        <v/>
      </c>
    </row>
    <row r="7">
      <c r="A7" s="11" t="n">
        <v>44628</v>
      </c>
      <c r="B7" s="7" t="inlineStr">
        <is>
          <t>T01</t>
        </is>
      </c>
      <c r="C7" s="7" t="inlineStr">
        <is>
          <t>BILL_COMMISSION:L2</t>
        </is>
      </c>
      <c r="D7" s="7" t="inlineStr">
        <is>
          <t>BILL_COMMISSION</t>
        </is>
      </c>
      <c r="E7" s="7" t="inlineStr">
        <is>
          <t>physical</t>
        </is>
      </c>
      <c r="F7" s="7" t="inlineStr">
        <is>
          <t>L2</t>
        </is>
      </c>
      <c r="H7" s="7" t="inlineStr">
        <is>
          <t>zorba</t>
        </is>
      </c>
      <c r="I7" s="7" t="inlineStr">
        <is>
          <t>USEC_MUN</t>
        </is>
      </c>
      <c r="J7" s="7" t="inlineStr">
        <is>
          <t>USD</t>
        </is>
      </c>
      <c r="K7" s="7" t="inlineStr">
        <is>
          <t>floating</t>
        </is>
      </c>
      <c r="L7" s="7" t="inlineStr">
        <is>
          <t>PNL</t>
        </is>
      </c>
      <c r="M7" s="11" t="n">
        <v>44662</v>
      </c>
      <c r="N7" s="13" t="n">
        <v>0</v>
      </c>
      <c r="O7" s="6" t="n">
        <v>0</v>
      </c>
      <c r="P7" s="13" t="n">
        <v>0</v>
      </c>
      <c r="Q7" s="22" t="n">
        <v>31</v>
      </c>
      <c r="R7" s="6" t="n">
        <v>1</v>
      </c>
      <c r="U7" s="9" t="n">
        <v>-2358.72</v>
      </c>
      <c r="V7" s="9" t="n">
        <v>-182318.8</v>
      </c>
      <c r="X7" s="9" t="n">
        <v>77.2957</v>
      </c>
      <c r="AK7" s="7" t="inlineStr">
        <is>
          <t>PYTHON_LIFECYCLE</t>
        </is>
      </c>
      <c r="AL7" s="8">
        <f>IF($J7="INR",1,IF($M7&lt;$A7,INDEX(Market_Daily!$F$6:$F$256,MATCH($M7,Market_Daily!$A$6:$A$256,1)),IF($M7=$A7,INDEX(Market_Daily!$F$6:$F$256,MATCH($A7,Market_Daily!$A$6:$A$256,0)),(INDEX(Market_Daily!$F$6:$F$256,MATCH($A7,Market_Daily!$A$6:$A$256,0))*(1+INDEX(Market_Daily!$I$6:$I$256,MATCH($A7,Market_Daily!$A$6:$A$256,0))*($M7-$A7)/day_count_inr)/(1+INDEX(Market_Daily!$J$6:$J$256,MATCH($A7,Market_Daily!$A$6:$A$256,0))*($M7-$A7)/day_count_usd)))))</f>
        <v/>
      </c>
      <c r="AM7" s="8">
        <f>IF(OR($J7="INR",$R7&gt;1),"",$AL7-$X7)</f>
        <v/>
      </c>
      <c r="AN7" s="8">
        <f>$U7</f>
        <v/>
      </c>
      <c r="AO7" s="8">
        <f>$AN7*IF($J7="INR",1,$AL7)</f>
        <v/>
      </c>
      <c r="AP7" s="18">
        <f>$AO7-$V7</f>
        <v/>
      </c>
      <c r="AQ7" s="8">
        <f>IF(ABS($AP7)&lt;=tol_trade_inr,"PASS","FAIL")</f>
        <v/>
      </c>
    </row>
    <row r="8">
      <c r="A8" s="11" t="n">
        <v>44628</v>
      </c>
      <c r="B8" s="7" t="inlineStr">
        <is>
          <t>T01</t>
        </is>
      </c>
      <c r="C8" s="7" t="inlineStr">
        <is>
          <t>BILL_COMMISSION:L3</t>
        </is>
      </c>
      <c r="D8" s="7" t="inlineStr">
        <is>
          <t>BILL_COMMISSION</t>
        </is>
      </c>
      <c r="E8" s="7" t="inlineStr">
        <is>
          <t>physical</t>
        </is>
      </c>
      <c r="F8" s="7" t="inlineStr">
        <is>
          <t>L3</t>
        </is>
      </c>
      <c r="H8" s="7" t="inlineStr">
        <is>
          <t>zorba</t>
        </is>
      </c>
      <c r="I8" s="7" t="inlineStr">
        <is>
          <t>USEC_MUN</t>
        </is>
      </c>
      <c r="J8" s="7" t="inlineStr">
        <is>
          <t>USD</t>
        </is>
      </c>
      <c r="K8" s="7" t="inlineStr">
        <is>
          <t>floating</t>
        </is>
      </c>
      <c r="L8" s="7" t="inlineStr">
        <is>
          <t>PNL</t>
        </is>
      </c>
      <c r="M8" s="11" t="n">
        <v>44665</v>
      </c>
      <c r="N8" s="13" t="n">
        <v>0</v>
      </c>
      <c r="O8" s="6" t="n">
        <v>0</v>
      </c>
      <c r="P8" s="13" t="n">
        <v>0</v>
      </c>
      <c r="Q8" s="22" t="n">
        <v>31</v>
      </c>
      <c r="R8" s="6" t="n">
        <v>1</v>
      </c>
      <c r="U8" s="9" t="n">
        <v>-2358.72</v>
      </c>
      <c r="V8" s="9" t="n">
        <v>-182369.7</v>
      </c>
      <c r="X8" s="9" t="n">
        <v>77.3172</v>
      </c>
      <c r="AK8" s="7" t="inlineStr">
        <is>
          <t>PYTHON_LIFECYCLE</t>
        </is>
      </c>
      <c r="AL8" s="8">
        <f>IF($J8="INR",1,IF($M8&lt;$A8,INDEX(Market_Daily!$F$6:$F$256,MATCH($M8,Market_Daily!$A$6:$A$256,1)),IF($M8=$A8,INDEX(Market_Daily!$F$6:$F$256,MATCH($A8,Market_Daily!$A$6:$A$256,0)),(INDEX(Market_Daily!$F$6:$F$256,MATCH($A8,Market_Daily!$A$6:$A$256,0))*(1+INDEX(Market_Daily!$I$6:$I$256,MATCH($A8,Market_Daily!$A$6:$A$256,0))*($M8-$A8)/day_count_inr)/(1+INDEX(Market_Daily!$J$6:$J$256,MATCH($A8,Market_Daily!$A$6:$A$256,0))*($M8-$A8)/day_count_usd)))))</f>
        <v/>
      </c>
      <c r="AM8" s="8">
        <f>IF(OR($J8="INR",$R8&gt;1),"",$AL8-$X8)</f>
        <v/>
      </c>
      <c r="AN8" s="8">
        <f>$U8</f>
        <v/>
      </c>
      <c r="AO8" s="8">
        <f>$AN8*IF($J8="INR",1,$AL8)</f>
        <v/>
      </c>
      <c r="AP8" s="18">
        <f>$AO8-$V8</f>
        <v/>
      </c>
      <c r="AQ8" s="8">
        <f>IF(ABS($AP8)&lt;=tol_trade_inr,"PASS","FAIL")</f>
        <v/>
      </c>
    </row>
    <row r="9">
      <c r="A9" s="11" t="n">
        <v>44628</v>
      </c>
      <c r="B9" s="7" t="inlineStr">
        <is>
          <t>T01</t>
        </is>
      </c>
      <c r="C9" s="7" t="inlineStr">
        <is>
          <t>DUTY:L1</t>
        </is>
      </c>
      <c r="D9" s="7" t="inlineStr">
        <is>
          <t>DUTY</t>
        </is>
      </c>
      <c r="E9" s="7" t="inlineStr">
        <is>
          <t>physical</t>
        </is>
      </c>
      <c r="F9" s="7" t="inlineStr">
        <is>
          <t>L1</t>
        </is>
      </c>
      <c r="H9" s="7" t="inlineStr">
        <is>
          <t>zorba</t>
        </is>
      </c>
      <c r="I9" s="7" t="inlineStr">
        <is>
          <t>USEC_MUN</t>
        </is>
      </c>
      <c r="J9" s="7" t="inlineStr">
        <is>
          <t>INR</t>
        </is>
      </c>
      <c r="K9" s="7" t="inlineStr">
        <is>
          <t>floating</t>
        </is>
      </c>
      <c r="L9" s="7" t="inlineStr">
        <is>
          <t>PNL</t>
        </is>
      </c>
      <c r="M9" s="11" t="n">
        <v>44690</v>
      </c>
      <c r="N9" s="13" t="n">
        <v>840</v>
      </c>
      <c r="O9" s="6" t="n">
        <v>0</v>
      </c>
      <c r="P9" s="13" t="n">
        <v>0</v>
      </c>
      <c r="Q9" s="22" t="n">
        <v>31</v>
      </c>
      <c r="R9" s="6" t="n">
        <v>1</v>
      </c>
      <c r="U9" s="9" t="n">
        <v>-4336415.06</v>
      </c>
      <c r="V9" s="9" t="n">
        <v>-4336415.06</v>
      </c>
      <c r="X9" s="9" t="n">
        <v>77.051</v>
      </c>
      <c r="AK9" s="7" t="inlineStr">
        <is>
          <t>PYTHON_LIFECYCLE</t>
        </is>
      </c>
      <c r="AL9" s="8">
        <f>IF($J9="INR",1,IF($M9&lt;$A9,INDEX(Market_Daily!$F$6:$F$256,MATCH($M9,Market_Daily!$A$6:$A$256,1)),IF($M9=$A9,INDEX(Market_Daily!$F$6:$F$256,MATCH($A9,Market_Daily!$A$6:$A$256,0)),(INDEX(Market_Daily!$F$6:$F$256,MATCH($A9,Market_Daily!$A$6:$A$256,0))*(1+INDEX(Market_Daily!$I$6:$I$256,MATCH($A9,Market_Daily!$A$6:$A$256,0))*($M9-$A9)/day_count_inr)/(1+INDEX(Market_Daily!$J$6:$J$256,MATCH($A9,Market_Daily!$A$6:$A$256,0))*($M9-$A9)/day_count_usd)))))</f>
        <v/>
      </c>
      <c r="AM9" s="8">
        <f>IF(OR($J9="INR",$R9&gt;1),"",$AL9-$X9)</f>
        <v/>
      </c>
      <c r="AN9" s="8">
        <f>$U9</f>
        <v/>
      </c>
      <c r="AO9" s="8">
        <f>$AN9*IF($J9="INR",1,$AL9)</f>
        <v/>
      </c>
      <c r="AP9" s="18">
        <f>$AO9-$V9</f>
        <v/>
      </c>
      <c r="AQ9" s="8">
        <f>IF(ABS($AP9)&lt;=tol_trade_inr,"PASS","FAIL")</f>
        <v/>
      </c>
    </row>
    <row r="10">
      <c r="A10" s="11" t="n">
        <v>44628</v>
      </c>
      <c r="B10" s="7" t="inlineStr">
        <is>
          <t>T01</t>
        </is>
      </c>
      <c r="C10" s="7" t="inlineStr">
        <is>
          <t>DUTY:L2</t>
        </is>
      </c>
      <c r="D10" s="7" t="inlineStr">
        <is>
          <t>DUTY</t>
        </is>
      </c>
      <c r="E10" s="7" t="inlineStr">
        <is>
          <t>physical</t>
        </is>
      </c>
      <c r="F10" s="7" t="inlineStr">
        <is>
          <t>L2</t>
        </is>
      </c>
      <c r="H10" s="7" t="inlineStr">
        <is>
          <t>zorba</t>
        </is>
      </c>
      <c r="I10" s="7" t="inlineStr">
        <is>
          <t>USEC_MUN</t>
        </is>
      </c>
      <c r="J10" s="7" t="inlineStr">
        <is>
          <t>INR</t>
        </is>
      </c>
      <c r="K10" s="7" t="inlineStr">
        <is>
          <t>floating</t>
        </is>
      </c>
      <c r="L10" s="7" t="inlineStr">
        <is>
          <t>PNL</t>
        </is>
      </c>
      <c r="M10" s="11" t="n">
        <v>44697</v>
      </c>
      <c r="N10" s="13" t="n">
        <v>840</v>
      </c>
      <c r="O10" s="6" t="n">
        <v>0</v>
      </c>
      <c r="P10" s="13" t="n">
        <v>0</v>
      </c>
      <c r="Q10" s="22" t="n">
        <v>31</v>
      </c>
      <c r="R10" s="6" t="n">
        <v>1</v>
      </c>
      <c r="U10" s="9" t="n">
        <v>-4336415.06</v>
      </c>
      <c r="V10" s="9" t="n">
        <v>-4336415.06</v>
      </c>
      <c r="X10" s="9" t="n">
        <v>77.051</v>
      </c>
      <c r="AK10" s="7" t="inlineStr">
        <is>
          <t>PYTHON_LIFECYCLE</t>
        </is>
      </c>
      <c r="AL10" s="8">
        <f>IF($J10="INR",1,IF($M10&lt;$A10,INDEX(Market_Daily!$F$6:$F$256,MATCH($M10,Market_Daily!$A$6:$A$256,1)),IF($M10=$A10,INDEX(Market_Daily!$F$6:$F$256,MATCH($A10,Market_Daily!$A$6:$A$256,0)),(INDEX(Market_Daily!$F$6:$F$256,MATCH($A10,Market_Daily!$A$6:$A$256,0))*(1+INDEX(Market_Daily!$I$6:$I$256,MATCH($A10,Market_Daily!$A$6:$A$256,0))*($M10-$A10)/day_count_inr)/(1+INDEX(Market_Daily!$J$6:$J$256,MATCH($A10,Market_Daily!$A$6:$A$256,0))*($M10-$A10)/day_count_usd)))))</f>
        <v/>
      </c>
      <c r="AM10" s="8">
        <f>IF(OR($J10="INR",$R10&gt;1),"",$AL10-$X10)</f>
        <v/>
      </c>
      <c r="AN10" s="8">
        <f>$U10</f>
        <v/>
      </c>
      <c r="AO10" s="8">
        <f>$AN10*IF($J10="INR",1,$AL10)</f>
        <v/>
      </c>
      <c r="AP10" s="18">
        <f>$AO10-$V10</f>
        <v/>
      </c>
      <c r="AQ10" s="8">
        <f>IF(ABS($AP10)&lt;=tol_trade_inr,"PASS","FAIL")</f>
        <v/>
      </c>
    </row>
    <row r="11">
      <c r="A11" s="11" t="n">
        <v>44628</v>
      </c>
      <c r="B11" s="7" t="inlineStr">
        <is>
          <t>T01</t>
        </is>
      </c>
      <c r="C11" s="7" t="inlineStr">
        <is>
          <t>DUTY:L3</t>
        </is>
      </c>
      <c r="D11" s="7" t="inlineStr">
        <is>
          <t>DUTY</t>
        </is>
      </c>
      <c r="E11" s="7" t="inlineStr">
        <is>
          <t>physical</t>
        </is>
      </c>
      <c r="F11" s="7" t="inlineStr">
        <is>
          <t>L3</t>
        </is>
      </c>
      <c r="H11" s="7" t="inlineStr">
        <is>
          <t>zorba</t>
        </is>
      </c>
      <c r="I11" s="7" t="inlineStr">
        <is>
          <t>USEC_MUN</t>
        </is>
      </c>
      <c r="J11" s="7" t="inlineStr">
        <is>
          <t>INR</t>
        </is>
      </c>
      <c r="K11" s="7" t="inlineStr">
        <is>
          <t>floating</t>
        </is>
      </c>
      <c r="L11" s="7" t="inlineStr">
        <is>
          <t>PNL</t>
        </is>
      </c>
      <c r="M11" s="11" t="n">
        <v>44699</v>
      </c>
      <c r="N11" s="13" t="n">
        <v>840</v>
      </c>
      <c r="O11" s="6" t="n">
        <v>0</v>
      </c>
      <c r="P11" s="13" t="n">
        <v>0</v>
      </c>
      <c r="Q11" s="22" t="n">
        <v>31</v>
      </c>
      <c r="R11" s="6" t="n">
        <v>1</v>
      </c>
      <c r="U11" s="9" t="n">
        <v>-4336415.06</v>
      </c>
      <c r="V11" s="9" t="n">
        <v>-4336415.06</v>
      </c>
      <c r="X11" s="9" t="n">
        <v>77.051</v>
      </c>
      <c r="AK11" s="7" t="inlineStr">
        <is>
          <t>PYTHON_LIFECYCLE</t>
        </is>
      </c>
      <c r="AL11" s="8">
        <f>IF($J11="INR",1,IF($M11&lt;$A11,INDEX(Market_Daily!$F$6:$F$256,MATCH($M11,Market_Daily!$A$6:$A$256,1)),IF($M11=$A11,INDEX(Market_Daily!$F$6:$F$256,MATCH($A11,Market_Daily!$A$6:$A$256,0)),(INDEX(Market_Daily!$F$6:$F$256,MATCH($A11,Market_Daily!$A$6:$A$256,0))*(1+INDEX(Market_Daily!$I$6:$I$256,MATCH($A11,Market_Daily!$A$6:$A$256,0))*($M11-$A11)/day_count_inr)/(1+INDEX(Market_Daily!$J$6:$J$256,MATCH($A11,Market_Daily!$A$6:$A$256,0))*($M11-$A11)/day_count_usd)))))</f>
        <v/>
      </c>
      <c r="AM11" s="8">
        <f>IF(OR($J11="INR",$R11&gt;1),"",$AL11-$X11)</f>
        <v/>
      </c>
      <c r="AN11" s="8">
        <f>$U11</f>
        <v/>
      </c>
      <c r="AO11" s="8">
        <f>$AN11*IF($J11="INR",1,$AL11)</f>
        <v/>
      </c>
      <c r="AP11" s="18">
        <f>$AO11-$V11</f>
        <v/>
      </c>
      <c r="AQ11" s="8">
        <f>IF(ABS($AP11)&lt;=tol_trade_inr,"PASS","FAIL")</f>
        <v/>
      </c>
    </row>
    <row r="12">
      <c r="A12" s="11" t="n">
        <v>44628</v>
      </c>
      <c r="B12" s="7" t="inlineStr">
        <is>
          <t>T01</t>
        </is>
      </c>
      <c r="C12" s="7" t="inlineStr">
        <is>
          <t>FREIGHT:L1</t>
        </is>
      </c>
      <c r="D12" s="7" t="inlineStr">
        <is>
          <t>FREIGHT</t>
        </is>
      </c>
      <c r="E12" s="7" t="inlineStr">
        <is>
          <t>physical</t>
        </is>
      </c>
      <c r="F12" s="7" t="inlineStr">
        <is>
          <t>L1</t>
        </is>
      </c>
      <c r="G12" s="7" t="inlineStr">
        <is>
          <t>Meridian Box Lines NVOCC (SIM)</t>
        </is>
      </c>
      <c r="H12" s="7" t="inlineStr">
        <is>
          <t>zorba</t>
        </is>
      </c>
      <c r="I12" s="7" t="inlineStr">
        <is>
          <t>USEC_MUN</t>
        </is>
      </c>
      <c r="J12" s="7" t="inlineStr">
        <is>
          <t>USD</t>
        </is>
      </c>
      <c r="K12" s="7" t="inlineStr">
        <is>
          <t>floating</t>
        </is>
      </c>
      <c r="L12" s="7" t="inlineStr">
        <is>
          <t>PNL</t>
        </is>
      </c>
      <c r="M12" s="11" t="n">
        <v>44690</v>
      </c>
      <c r="N12" s="13" t="n">
        <v>840</v>
      </c>
      <c r="O12" s="6" t="n">
        <v>0</v>
      </c>
      <c r="P12" s="13" t="n">
        <v>0</v>
      </c>
      <c r="Q12" s="22" t="n">
        <v>31</v>
      </c>
      <c r="R12" s="6" t="n">
        <v>1</v>
      </c>
      <c r="U12" s="9" t="n">
        <v>-89384.39999999999</v>
      </c>
      <c r="V12" s="9" t="n">
        <v>-6927023.07</v>
      </c>
      <c r="X12" s="9" t="n">
        <v>77.497</v>
      </c>
      <c r="AK12" s="7" t="inlineStr">
        <is>
          <t>PYTHON_LIFECYCLE</t>
        </is>
      </c>
      <c r="AL12" s="8">
        <f>IF($J12="INR",1,IF($M12&lt;$A12,INDEX(Market_Daily!$F$6:$F$256,MATCH($M12,Market_Daily!$A$6:$A$256,1)),IF($M12=$A12,INDEX(Market_Daily!$F$6:$F$256,MATCH($A12,Market_Daily!$A$6:$A$256,0)),(INDEX(Market_Daily!$F$6:$F$256,MATCH($A12,Market_Daily!$A$6:$A$256,0))*(1+INDEX(Market_Daily!$I$6:$I$256,MATCH($A12,Market_Daily!$A$6:$A$256,0))*($M12-$A12)/day_count_inr)/(1+INDEX(Market_Daily!$J$6:$J$256,MATCH($A12,Market_Daily!$A$6:$A$256,0))*($M12-$A12)/day_count_usd)))))</f>
        <v/>
      </c>
      <c r="AM12" s="8">
        <f>IF(OR($J12="INR",$R12&gt;1),"",$AL12-$X12)</f>
        <v/>
      </c>
      <c r="AN12" s="8">
        <f>$U12</f>
        <v/>
      </c>
      <c r="AO12" s="8">
        <f>$AN12*IF($J12="INR",1,$AL12)</f>
        <v/>
      </c>
      <c r="AP12" s="18">
        <f>$AO12-$V12</f>
        <v/>
      </c>
      <c r="AQ12" s="8">
        <f>IF(ABS($AP12)&lt;=tol_trade_inr,"PASS","FAIL")</f>
        <v/>
      </c>
    </row>
    <row r="13">
      <c r="A13" s="11" t="n">
        <v>44628</v>
      </c>
      <c r="B13" s="7" t="inlineStr">
        <is>
          <t>T01</t>
        </is>
      </c>
      <c r="C13" s="7" t="inlineStr">
        <is>
          <t>FREIGHT:L2</t>
        </is>
      </c>
      <c r="D13" s="7" t="inlineStr">
        <is>
          <t>FREIGHT</t>
        </is>
      </c>
      <c r="E13" s="7" t="inlineStr">
        <is>
          <t>physical</t>
        </is>
      </c>
      <c r="F13" s="7" t="inlineStr">
        <is>
          <t>L2</t>
        </is>
      </c>
      <c r="G13" s="7" t="inlineStr">
        <is>
          <t>Meridian Box Lines NVOCC (SIM)</t>
        </is>
      </c>
      <c r="H13" s="7" t="inlineStr">
        <is>
          <t>zorba</t>
        </is>
      </c>
      <c r="I13" s="7" t="inlineStr">
        <is>
          <t>USEC_MUN</t>
        </is>
      </c>
      <c r="J13" s="7" t="inlineStr">
        <is>
          <t>USD</t>
        </is>
      </c>
      <c r="K13" s="7" t="inlineStr">
        <is>
          <t>floating</t>
        </is>
      </c>
      <c r="L13" s="7" t="inlineStr">
        <is>
          <t>PNL</t>
        </is>
      </c>
      <c r="M13" s="11" t="n">
        <v>44697</v>
      </c>
      <c r="N13" s="13" t="n">
        <v>840</v>
      </c>
      <c r="O13" s="6" t="n">
        <v>0</v>
      </c>
      <c r="P13" s="13" t="n">
        <v>0</v>
      </c>
      <c r="Q13" s="22" t="n">
        <v>31</v>
      </c>
      <c r="R13" s="6" t="n">
        <v>1</v>
      </c>
      <c r="U13" s="9" t="n">
        <v>-89384.39999999999</v>
      </c>
      <c r="V13" s="9" t="n">
        <v>-6931520.88</v>
      </c>
      <c r="X13" s="9" t="n">
        <v>77.54730000000001</v>
      </c>
      <c r="AK13" s="7" t="inlineStr">
        <is>
          <t>PYTHON_LIFECYCLE</t>
        </is>
      </c>
      <c r="AL13" s="8">
        <f>IF($J13="INR",1,IF($M13&lt;$A13,INDEX(Market_Daily!$F$6:$F$256,MATCH($M13,Market_Daily!$A$6:$A$256,1)),IF($M13=$A13,INDEX(Market_Daily!$F$6:$F$256,MATCH($A13,Market_Daily!$A$6:$A$256,0)),(INDEX(Market_Daily!$F$6:$F$256,MATCH($A13,Market_Daily!$A$6:$A$256,0))*(1+INDEX(Market_Daily!$I$6:$I$256,MATCH($A13,Market_Daily!$A$6:$A$256,0))*($M13-$A13)/day_count_inr)/(1+INDEX(Market_Daily!$J$6:$J$256,MATCH($A13,Market_Daily!$A$6:$A$256,0))*($M13-$A13)/day_count_usd)))))</f>
        <v/>
      </c>
      <c r="AM13" s="8">
        <f>IF(OR($J13="INR",$R13&gt;1),"",$AL13-$X13)</f>
        <v/>
      </c>
      <c r="AN13" s="8">
        <f>$U13</f>
        <v/>
      </c>
      <c r="AO13" s="8">
        <f>$AN13*IF($J13="INR",1,$AL13)</f>
        <v/>
      </c>
      <c r="AP13" s="18">
        <f>$AO13-$V13</f>
        <v/>
      </c>
      <c r="AQ13" s="8">
        <f>IF(ABS($AP13)&lt;=tol_trade_inr,"PASS","FAIL")</f>
        <v/>
      </c>
    </row>
    <row r="14">
      <c r="A14" s="11" t="n">
        <v>44628</v>
      </c>
      <c r="B14" s="7" t="inlineStr">
        <is>
          <t>T01</t>
        </is>
      </c>
      <c r="C14" s="7" t="inlineStr">
        <is>
          <t>FREIGHT:L3</t>
        </is>
      </c>
      <c r="D14" s="7" t="inlineStr">
        <is>
          <t>FREIGHT</t>
        </is>
      </c>
      <c r="E14" s="7" t="inlineStr">
        <is>
          <t>physical</t>
        </is>
      </c>
      <c r="F14" s="7" t="inlineStr">
        <is>
          <t>L3</t>
        </is>
      </c>
      <c r="G14" s="7" t="inlineStr">
        <is>
          <t>Meridian Box Lines NVOCC (SIM)</t>
        </is>
      </c>
      <c r="H14" s="7" t="inlineStr">
        <is>
          <t>zorba</t>
        </is>
      </c>
      <c r="I14" s="7" t="inlineStr">
        <is>
          <t>USEC_MUN</t>
        </is>
      </c>
      <c r="J14" s="7" t="inlineStr">
        <is>
          <t>USD</t>
        </is>
      </c>
      <c r="K14" s="7" t="inlineStr">
        <is>
          <t>floating</t>
        </is>
      </c>
      <c r="L14" s="7" t="inlineStr">
        <is>
          <t>PNL</t>
        </is>
      </c>
      <c r="M14" s="11" t="n">
        <v>44698</v>
      </c>
      <c r="N14" s="13" t="n">
        <v>840</v>
      </c>
      <c r="O14" s="6" t="n">
        <v>0</v>
      </c>
      <c r="P14" s="13" t="n">
        <v>0</v>
      </c>
      <c r="Q14" s="22" t="n">
        <v>31</v>
      </c>
      <c r="R14" s="6" t="n">
        <v>1</v>
      </c>
      <c r="U14" s="9" t="n">
        <v>-89384.39999999999</v>
      </c>
      <c r="V14" s="9" t="n">
        <v>-6932163.37</v>
      </c>
      <c r="X14" s="9" t="n">
        <v>77.5545</v>
      </c>
      <c r="AK14" s="7" t="inlineStr">
        <is>
          <t>PYTHON_LIFECYCLE</t>
        </is>
      </c>
      <c r="AL14" s="8">
        <f>IF($J14="INR",1,IF($M14&lt;$A14,INDEX(Market_Daily!$F$6:$F$256,MATCH($M14,Market_Daily!$A$6:$A$256,1)),IF($M14=$A14,INDEX(Market_Daily!$F$6:$F$256,MATCH($A14,Market_Daily!$A$6:$A$256,0)),(INDEX(Market_Daily!$F$6:$F$256,MATCH($A14,Market_Daily!$A$6:$A$256,0))*(1+INDEX(Market_Daily!$I$6:$I$256,MATCH($A14,Market_Daily!$A$6:$A$256,0))*($M14-$A14)/day_count_inr)/(1+INDEX(Market_Daily!$J$6:$J$256,MATCH($A14,Market_Daily!$A$6:$A$256,0))*($M14-$A14)/day_count_usd)))))</f>
        <v/>
      </c>
      <c r="AM14" s="8">
        <f>IF(OR($J14="INR",$R14&gt;1),"",$AL14-$X14)</f>
        <v/>
      </c>
      <c r="AN14" s="8">
        <f>$U14</f>
        <v/>
      </c>
      <c r="AO14" s="8">
        <f>$AN14*IF($J14="INR",1,$AL14)</f>
        <v/>
      </c>
      <c r="AP14" s="18">
        <f>$AO14-$V14</f>
        <v/>
      </c>
      <c r="AQ14" s="8">
        <f>IF(ABS($AP14)&lt;=tol_trade_inr,"PASS","FAIL")</f>
        <v/>
      </c>
    </row>
    <row r="15">
      <c r="A15" s="11" t="n">
        <v>44628</v>
      </c>
      <c r="B15" s="7" t="inlineStr">
        <is>
          <t>T01</t>
        </is>
      </c>
      <c r="C15" s="7" t="inlineStr">
        <is>
          <t>IGST:L1</t>
        </is>
      </c>
      <c r="D15" s="7" t="inlineStr">
        <is>
          <t>IGST</t>
        </is>
      </c>
      <c r="E15" s="7" t="inlineStr">
        <is>
          <t>physical</t>
        </is>
      </c>
      <c r="F15" s="7" t="inlineStr">
        <is>
          <t>L1</t>
        </is>
      </c>
      <c r="H15" s="7" t="inlineStr">
        <is>
          <t>zorba</t>
        </is>
      </c>
      <c r="I15" s="7" t="inlineStr">
        <is>
          <t>USEC_MUN</t>
        </is>
      </c>
      <c r="J15" s="7" t="inlineStr">
        <is>
          <t>INR</t>
        </is>
      </c>
      <c r="K15" s="7" t="inlineStr">
        <is>
          <t>floating</t>
        </is>
      </c>
      <c r="L15" s="7" t="inlineStr">
        <is>
          <t>BS</t>
        </is>
      </c>
      <c r="M15" s="11" t="n">
        <v>44735</v>
      </c>
      <c r="N15" s="13" t="n">
        <v>0</v>
      </c>
      <c r="O15" s="6" t="n">
        <v>0</v>
      </c>
      <c r="P15" s="13" t="n">
        <v>0</v>
      </c>
      <c r="Q15" s="22" t="n">
        <v>31</v>
      </c>
      <c r="R15" s="6" t="n">
        <v>2</v>
      </c>
      <c r="U15" s="9" t="n">
        <v>0</v>
      </c>
      <c r="V15" s="9" t="n">
        <v>0</v>
      </c>
      <c r="X15" s="9" t="n">
        <v>77.051</v>
      </c>
      <c r="AK15" s="7" t="inlineStr">
        <is>
          <t>PYTHON_MULTI_FLOW_LEG</t>
        </is>
      </c>
      <c r="AL15" s="8">
        <f>IF($J15="INR",1,IF($M15&lt;$A15,INDEX(Market_Daily!$F$6:$F$256,MATCH($M15,Market_Daily!$A$6:$A$256,1)),IF($M15=$A15,INDEX(Market_Daily!$F$6:$F$256,MATCH($A15,Market_Daily!$A$6:$A$256,0)),(INDEX(Market_Daily!$F$6:$F$256,MATCH($A15,Market_Daily!$A$6:$A$256,0))*(1+INDEX(Market_Daily!$I$6:$I$256,MATCH($A15,Market_Daily!$A$6:$A$256,0))*($M15-$A15)/day_count_inr)/(1+INDEX(Market_Daily!$J$6:$J$256,MATCH($A15,Market_Daily!$A$6:$A$256,0))*($M15-$A15)/day_count_usd)))))</f>
        <v/>
      </c>
      <c r="AM15" s="8">
        <f>IF(OR($J15="INR",$R15&gt;1),"",$AL15-$X15)</f>
        <v/>
      </c>
      <c r="AN15" s="8">
        <f>$U15</f>
        <v/>
      </c>
      <c r="AO15" s="8">
        <f>$V15</f>
        <v/>
      </c>
      <c r="AP15" s="18">
        <f>$AO15-$V15</f>
        <v/>
      </c>
      <c r="AQ15" s="8">
        <f>IF(ABS($AP15)&lt;=tol_trade_inr,"PASS","FAIL")</f>
        <v/>
      </c>
    </row>
    <row r="16">
      <c r="A16" s="11" t="n">
        <v>44628</v>
      </c>
      <c r="B16" s="7" t="inlineStr">
        <is>
          <t>T01</t>
        </is>
      </c>
      <c r="C16" s="7" t="inlineStr">
        <is>
          <t>IGST:L2</t>
        </is>
      </c>
      <c r="D16" s="7" t="inlineStr">
        <is>
          <t>IGST</t>
        </is>
      </c>
      <c r="E16" s="7" t="inlineStr">
        <is>
          <t>physical</t>
        </is>
      </c>
      <c r="F16" s="7" t="inlineStr">
        <is>
          <t>L2</t>
        </is>
      </c>
      <c r="H16" s="7" t="inlineStr">
        <is>
          <t>zorba</t>
        </is>
      </c>
      <c r="I16" s="7" t="inlineStr">
        <is>
          <t>USEC_MUN</t>
        </is>
      </c>
      <c r="J16" s="7" t="inlineStr">
        <is>
          <t>INR</t>
        </is>
      </c>
      <c r="K16" s="7" t="inlineStr">
        <is>
          <t>floating</t>
        </is>
      </c>
      <c r="L16" s="7" t="inlineStr">
        <is>
          <t>BS</t>
        </is>
      </c>
      <c r="M16" s="11" t="n">
        <v>44741</v>
      </c>
      <c r="N16" s="13" t="n">
        <v>0</v>
      </c>
      <c r="O16" s="6" t="n">
        <v>0</v>
      </c>
      <c r="P16" s="13" t="n">
        <v>0</v>
      </c>
      <c r="Q16" s="22" t="n">
        <v>31</v>
      </c>
      <c r="R16" s="6" t="n">
        <v>2</v>
      </c>
      <c r="U16" s="9" t="n">
        <v>0</v>
      </c>
      <c r="V16" s="9" t="n">
        <v>0</v>
      </c>
      <c r="X16" s="9" t="n">
        <v>77.051</v>
      </c>
      <c r="AK16" s="7" t="inlineStr">
        <is>
          <t>PYTHON_MULTI_FLOW_LEG</t>
        </is>
      </c>
      <c r="AL16" s="8">
        <f>IF($J16="INR",1,IF($M16&lt;$A16,INDEX(Market_Daily!$F$6:$F$256,MATCH($M16,Market_Daily!$A$6:$A$256,1)),IF($M16=$A16,INDEX(Market_Daily!$F$6:$F$256,MATCH($A16,Market_Daily!$A$6:$A$256,0)),(INDEX(Market_Daily!$F$6:$F$256,MATCH($A16,Market_Daily!$A$6:$A$256,0))*(1+INDEX(Market_Daily!$I$6:$I$256,MATCH($A16,Market_Daily!$A$6:$A$256,0))*($M16-$A16)/day_count_inr)/(1+INDEX(Market_Daily!$J$6:$J$256,MATCH($A16,Market_Daily!$A$6:$A$256,0))*($M16-$A16)/day_count_usd)))))</f>
        <v/>
      </c>
      <c r="AM16" s="8">
        <f>IF(OR($J16="INR",$R16&gt;1),"",$AL16-$X16)</f>
        <v/>
      </c>
      <c r="AN16" s="8">
        <f>$U16</f>
        <v/>
      </c>
      <c r="AO16" s="8">
        <f>$V16</f>
        <v/>
      </c>
      <c r="AP16" s="18">
        <f>$AO16-$V16</f>
        <v/>
      </c>
      <c r="AQ16" s="8">
        <f>IF(ABS($AP16)&lt;=tol_trade_inr,"PASS","FAIL")</f>
        <v/>
      </c>
    </row>
    <row r="17">
      <c r="A17" s="11" t="n">
        <v>44628</v>
      </c>
      <c r="B17" s="7" t="inlineStr">
        <is>
          <t>T01</t>
        </is>
      </c>
      <c r="C17" s="7" t="inlineStr">
        <is>
          <t>IGST:L3</t>
        </is>
      </c>
      <c r="D17" s="7" t="inlineStr">
        <is>
          <t>IGST</t>
        </is>
      </c>
      <c r="E17" s="7" t="inlineStr">
        <is>
          <t>physical</t>
        </is>
      </c>
      <c r="F17" s="7" t="inlineStr">
        <is>
          <t>L3</t>
        </is>
      </c>
      <c r="H17" s="7" t="inlineStr">
        <is>
          <t>zorba</t>
        </is>
      </c>
      <c r="I17" s="7" t="inlineStr">
        <is>
          <t>USEC_MUN</t>
        </is>
      </c>
      <c r="J17" s="7" t="inlineStr">
        <is>
          <t>INR</t>
        </is>
      </c>
      <c r="K17" s="7" t="inlineStr">
        <is>
          <t>floating</t>
        </is>
      </c>
      <c r="L17" s="7" t="inlineStr">
        <is>
          <t>BS</t>
        </is>
      </c>
      <c r="M17" s="11" t="n">
        <v>44746</v>
      </c>
      <c r="N17" s="13" t="n">
        <v>0</v>
      </c>
      <c r="O17" s="6" t="n">
        <v>0</v>
      </c>
      <c r="P17" s="13" t="n">
        <v>0</v>
      </c>
      <c r="Q17" s="22" t="n">
        <v>31</v>
      </c>
      <c r="R17" s="6" t="n">
        <v>2</v>
      </c>
      <c r="U17" s="9" t="n">
        <v>0</v>
      </c>
      <c r="V17" s="9" t="n">
        <v>0</v>
      </c>
      <c r="X17" s="9" t="n">
        <v>77.051</v>
      </c>
      <c r="AK17" s="7" t="inlineStr">
        <is>
          <t>PYTHON_MULTI_FLOW_LEG</t>
        </is>
      </c>
      <c r="AL17" s="8">
        <f>IF($J17="INR",1,IF($M17&lt;$A17,INDEX(Market_Daily!$F$6:$F$256,MATCH($M17,Market_Daily!$A$6:$A$256,1)),IF($M17=$A17,INDEX(Market_Daily!$F$6:$F$256,MATCH($A17,Market_Daily!$A$6:$A$256,0)),(INDEX(Market_Daily!$F$6:$F$256,MATCH($A17,Market_Daily!$A$6:$A$256,0))*(1+INDEX(Market_Daily!$I$6:$I$256,MATCH($A17,Market_Daily!$A$6:$A$256,0))*($M17-$A17)/day_count_inr)/(1+INDEX(Market_Daily!$J$6:$J$256,MATCH($A17,Market_Daily!$A$6:$A$256,0))*($M17-$A17)/day_count_usd)))))</f>
        <v/>
      </c>
      <c r="AM17" s="8">
        <f>IF(OR($J17="INR",$R17&gt;1),"",$AL17-$X17)</f>
        <v/>
      </c>
      <c r="AN17" s="8">
        <f>$U17</f>
        <v/>
      </c>
      <c r="AO17" s="8">
        <f>$V17</f>
        <v/>
      </c>
      <c r="AP17" s="18">
        <f>$AO17-$V17</f>
        <v/>
      </c>
      <c r="AQ17" s="8">
        <f>IF(ABS($AP17)&lt;=tol_trade_inr,"PASS","FAIL")</f>
        <v/>
      </c>
    </row>
    <row r="18">
      <c r="A18" s="11" t="n">
        <v>44628</v>
      </c>
      <c r="B18" s="7" t="inlineStr">
        <is>
          <t>T01</t>
        </is>
      </c>
      <c r="C18" s="7" t="inlineStr">
        <is>
          <t>INSURANCE:L1</t>
        </is>
      </c>
      <c r="D18" s="7" t="inlineStr">
        <is>
          <t>INSURANCE</t>
        </is>
      </c>
      <c r="E18" s="7" t="inlineStr">
        <is>
          <t>physical</t>
        </is>
      </c>
      <c r="F18" s="7" t="inlineStr">
        <is>
          <t>L1</t>
        </is>
      </c>
      <c r="H18" s="7" t="inlineStr">
        <is>
          <t>zorba</t>
        </is>
      </c>
      <c r="I18" s="7" t="inlineStr">
        <is>
          <t>USEC_MUN</t>
        </is>
      </c>
      <c r="J18" s="7" t="inlineStr">
        <is>
          <t>USD</t>
        </is>
      </c>
      <c r="K18" s="7" t="inlineStr">
        <is>
          <t>floating</t>
        </is>
      </c>
      <c r="L18" s="7" t="inlineStr">
        <is>
          <t>PNL</t>
        </is>
      </c>
      <c r="M18" s="11" t="n">
        <v>44649</v>
      </c>
      <c r="N18" s="13" t="n">
        <v>840</v>
      </c>
      <c r="O18" s="6" t="n">
        <v>0</v>
      </c>
      <c r="P18" s="13" t="n">
        <v>0</v>
      </c>
      <c r="Q18" s="22" t="n">
        <v>31</v>
      </c>
      <c r="R18" s="6" t="n">
        <v>1</v>
      </c>
      <c r="U18" s="9" t="n">
        <v>-2260.48</v>
      </c>
      <c r="V18" s="9" t="n">
        <v>-174514.09</v>
      </c>
      <c r="X18" s="9" t="n">
        <v>77.2021</v>
      </c>
      <c r="AK18" s="7" t="inlineStr">
        <is>
          <t>PYTHON_LIFECYCLE</t>
        </is>
      </c>
      <c r="AL18" s="8">
        <f>IF($J18="INR",1,IF($M18&lt;$A18,INDEX(Market_Daily!$F$6:$F$256,MATCH($M18,Market_Daily!$A$6:$A$256,1)),IF($M18=$A18,INDEX(Market_Daily!$F$6:$F$256,MATCH($A18,Market_Daily!$A$6:$A$256,0)),(INDEX(Market_Daily!$F$6:$F$256,MATCH($A18,Market_Daily!$A$6:$A$256,0))*(1+INDEX(Market_Daily!$I$6:$I$256,MATCH($A18,Market_Daily!$A$6:$A$256,0))*($M18-$A18)/day_count_inr)/(1+INDEX(Market_Daily!$J$6:$J$256,MATCH($A18,Market_Daily!$A$6:$A$256,0))*($M18-$A18)/day_count_usd)))))</f>
        <v/>
      </c>
      <c r="AM18" s="8">
        <f>IF(OR($J18="INR",$R18&gt;1),"",$AL18-$X18)</f>
        <v/>
      </c>
      <c r="AN18" s="8">
        <f>$U18</f>
        <v/>
      </c>
      <c r="AO18" s="8">
        <f>$AN18*IF($J18="INR",1,$AL18)</f>
        <v/>
      </c>
      <c r="AP18" s="18">
        <f>$AO18-$V18</f>
        <v/>
      </c>
      <c r="AQ18" s="8">
        <f>IF(ABS($AP18)&lt;=tol_trade_inr,"PASS","FAIL")</f>
        <v/>
      </c>
    </row>
    <row r="19">
      <c r="A19" s="11" t="n">
        <v>44628</v>
      </c>
      <c r="B19" s="7" t="inlineStr">
        <is>
          <t>T01</t>
        </is>
      </c>
      <c r="C19" s="7" t="inlineStr">
        <is>
          <t>INSURANCE:L2</t>
        </is>
      </c>
      <c r="D19" s="7" t="inlineStr">
        <is>
          <t>INSURANCE</t>
        </is>
      </c>
      <c r="E19" s="7" t="inlineStr">
        <is>
          <t>physical</t>
        </is>
      </c>
      <c r="F19" s="7" t="inlineStr">
        <is>
          <t>L2</t>
        </is>
      </c>
      <c r="H19" s="7" t="inlineStr">
        <is>
          <t>zorba</t>
        </is>
      </c>
      <c r="I19" s="7" t="inlineStr">
        <is>
          <t>USEC_MUN</t>
        </is>
      </c>
      <c r="J19" s="7" t="inlineStr">
        <is>
          <t>USD</t>
        </is>
      </c>
      <c r="K19" s="7" t="inlineStr">
        <is>
          <t>floating</t>
        </is>
      </c>
      <c r="L19" s="7" t="inlineStr">
        <is>
          <t>PNL</t>
        </is>
      </c>
      <c r="M19" s="11" t="n">
        <v>44655</v>
      </c>
      <c r="N19" s="13" t="n">
        <v>840</v>
      </c>
      <c r="O19" s="6" t="n">
        <v>0</v>
      </c>
      <c r="P19" s="13" t="n">
        <v>0</v>
      </c>
      <c r="Q19" s="22" t="n">
        <v>31</v>
      </c>
      <c r="R19" s="6" t="n">
        <v>1</v>
      </c>
      <c r="U19" s="9" t="n">
        <v>-2260.48</v>
      </c>
      <c r="V19" s="9" t="n">
        <v>-174611.67</v>
      </c>
      <c r="X19" s="9" t="n">
        <v>77.2453</v>
      </c>
      <c r="AK19" s="7" t="inlineStr">
        <is>
          <t>PYTHON_LIFECYCLE</t>
        </is>
      </c>
      <c r="AL19" s="8">
        <f>IF($J19="INR",1,IF($M19&lt;$A19,INDEX(Market_Daily!$F$6:$F$256,MATCH($M19,Market_Daily!$A$6:$A$256,1)),IF($M19=$A19,INDEX(Market_Daily!$F$6:$F$256,MATCH($A19,Market_Daily!$A$6:$A$256,0)),(INDEX(Market_Daily!$F$6:$F$256,MATCH($A19,Market_Daily!$A$6:$A$256,0))*(1+INDEX(Market_Daily!$I$6:$I$256,MATCH($A19,Market_Daily!$A$6:$A$256,0))*($M19-$A19)/day_count_inr)/(1+INDEX(Market_Daily!$J$6:$J$256,MATCH($A19,Market_Daily!$A$6:$A$256,0))*($M19-$A19)/day_count_usd)))))</f>
        <v/>
      </c>
      <c r="AM19" s="8">
        <f>IF(OR($J19="INR",$R19&gt;1),"",$AL19-$X19)</f>
        <v/>
      </c>
      <c r="AN19" s="8">
        <f>$U19</f>
        <v/>
      </c>
      <c r="AO19" s="8">
        <f>$AN19*IF($J19="INR",1,$AL19)</f>
        <v/>
      </c>
      <c r="AP19" s="18">
        <f>$AO19-$V19</f>
        <v/>
      </c>
      <c r="AQ19" s="8">
        <f>IF(ABS($AP19)&lt;=tol_trade_inr,"PASS","FAIL")</f>
        <v/>
      </c>
    </row>
    <row r="20">
      <c r="A20" s="11" t="n">
        <v>44628</v>
      </c>
      <c r="B20" s="7" t="inlineStr">
        <is>
          <t>T01</t>
        </is>
      </c>
      <c r="C20" s="7" t="inlineStr">
        <is>
          <t>INSURANCE:L3</t>
        </is>
      </c>
      <c r="D20" s="7" t="inlineStr">
        <is>
          <t>INSURANCE</t>
        </is>
      </c>
      <c r="E20" s="7" t="inlineStr">
        <is>
          <t>physical</t>
        </is>
      </c>
      <c r="F20" s="7" t="inlineStr">
        <is>
          <t>L3</t>
        </is>
      </c>
      <c r="H20" s="7" t="inlineStr">
        <is>
          <t>zorba</t>
        </is>
      </c>
      <c r="I20" s="7" t="inlineStr">
        <is>
          <t>USEC_MUN</t>
        </is>
      </c>
      <c r="J20" s="7" t="inlineStr">
        <is>
          <t>USD</t>
        </is>
      </c>
      <c r="K20" s="7" t="inlineStr">
        <is>
          <t>floating</t>
        </is>
      </c>
      <c r="L20" s="7" t="inlineStr">
        <is>
          <t>PNL</t>
        </is>
      </c>
      <c r="M20" s="11" t="n">
        <v>44658</v>
      </c>
      <c r="N20" s="13" t="n">
        <v>840</v>
      </c>
      <c r="O20" s="6" t="n">
        <v>0</v>
      </c>
      <c r="P20" s="13" t="n">
        <v>0</v>
      </c>
      <c r="Q20" s="22" t="n">
        <v>31</v>
      </c>
      <c r="R20" s="6" t="n">
        <v>1</v>
      </c>
      <c r="U20" s="9" t="n">
        <v>-2260.48</v>
      </c>
      <c r="V20" s="9" t="n">
        <v>-174660.45</v>
      </c>
      <c r="X20" s="9" t="n">
        <v>77.26690000000001</v>
      </c>
      <c r="AK20" s="7" t="inlineStr">
        <is>
          <t>PYTHON_LIFECYCLE</t>
        </is>
      </c>
      <c r="AL20" s="8">
        <f>IF($J20="INR",1,IF($M20&lt;$A20,INDEX(Market_Daily!$F$6:$F$256,MATCH($M20,Market_Daily!$A$6:$A$256,1)),IF($M20=$A20,INDEX(Market_Daily!$F$6:$F$256,MATCH($A20,Market_Daily!$A$6:$A$256,0)),(INDEX(Market_Daily!$F$6:$F$256,MATCH($A20,Market_Daily!$A$6:$A$256,0))*(1+INDEX(Market_Daily!$I$6:$I$256,MATCH($A20,Market_Daily!$A$6:$A$256,0))*($M20-$A20)/day_count_inr)/(1+INDEX(Market_Daily!$J$6:$J$256,MATCH($A20,Market_Daily!$A$6:$A$256,0))*($M20-$A20)/day_count_usd)))))</f>
        <v/>
      </c>
      <c r="AM20" s="8">
        <f>IF(OR($J20="INR",$R20&gt;1),"",$AL20-$X20)</f>
        <v/>
      </c>
      <c r="AN20" s="8">
        <f>$U20</f>
        <v/>
      </c>
      <c r="AO20" s="8">
        <f>$AN20*IF($J20="INR",1,$AL20)</f>
        <v/>
      </c>
      <c r="AP20" s="18">
        <f>$AO20-$V20</f>
        <v/>
      </c>
      <c r="AQ20" s="8">
        <f>IF(ABS($AP20)&lt;=tol_trade_inr,"PASS","FAIL")</f>
        <v/>
      </c>
    </row>
    <row r="21">
      <c r="A21" s="11" t="n">
        <v>44628</v>
      </c>
      <c r="B21" s="7" t="inlineStr">
        <is>
          <t>T01</t>
        </is>
      </c>
      <c r="C21" s="7" t="inlineStr">
        <is>
          <t>INVENTORY:L1</t>
        </is>
      </c>
      <c r="D21" s="7" t="inlineStr">
        <is>
          <t>INVENTORY</t>
        </is>
      </c>
      <c r="E21" s="7" t="inlineStr">
        <is>
          <t>physical</t>
        </is>
      </c>
      <c r="F21" s="7" t="inlineStr">
        <is>
          <t>L1</t>
        </is>
      </c>
      <c r="H21" s="7" t="inlineStr">
        <is>
          <t>zorba</t>
        </is>
      </c>
      <c r="I21" s="7" t="inlineStr">
        <is>
          <t>USEC_MUN</t>
        </is>
      </c>
      <c r="J21" s="7" t="inlineStr">
        <is>
          <t>INR</t>
        </is>
      </c>
      <c r="K21" s="7" t="inlineStr">
        <is>
          <t>fixed_unsettled</t>
        </is>
      </c>
      <c r="L21" s="7" t="inlineStr">
        <is>
          <t>PNL</t>
        </is>
      </c>
      <c r="N21" s="13" t="n">
        <v>840</v>
      </c>
      <c r="O21" s="6" t="n">
        <v>0</v>
      </c>
      <c r="P21" s="13" t="n">
        <v>0</v>
      </c>
      <c r="Q21" s="22" t="n">
        <v>31</v>
      </c>
      <c r="R21" s="6" t="n">
        <v>0</v>
      </c>
      <c r="U21" s="9" t="n">
        <v>166345366.35</v>
      </c>
      <c r="V21" s="9" t="n">
        <v>166345366.35</v>
      </c>
      <c r="W21" s="9" t="n">
        <v>198030.198</v>
      </c>
      <c r="X21" s="9" t="n">
        <v>77.051</v>
      </c>
      <c r="Y21" s="8">
        <f>IF($I21="JEA_NSA","20ft","40ft")</f>
        <v/>
      </c>
      <c r="Z21" s="8">
        <f>IF($I21="JEA_NSA","nsa","mun")</f>
        <v/>
      </c>
      <c r="AA21" s="8">
        <f>INDEX(param_values,MATCH("container_payload_mt_"&amp;$Y21,param_keys,0))/INDEX(param_values,MATCH("container_payload_mt_"&amp;$Y21&amp;"_"&amp;$H21,param_keys,0))</f>
        <v/>
      </c>
      <c r="AB21" s="16">
        <f>INDEX(Market_Daily!$C$6:$C$256,MATCH($A21,Market_Daily!$A$6:$A$256,0))*INDEX(Market_Daily!$X$6:$Z$256,MATCH($A21,Market_Daily!$A$6:$A$256,0),MATCH("grade_factor_"&amp;$H21,Market_Daily!$X$5:$Z$5,0))</f>
        <v/>
      </c>
      <c r="AC21" s="16">
        <f>$AB21*(1+insurance_rate*insured_value_uplift)</f>
        <v/>
      </c>
      <c r="AD21" s="8">
        <f>(INDEX(Market_Daily!$F$6:$F$256,MATCH($A21,Market_Daily!$A$6:$A$256,0))*(1+INDEX(Market_Daily!$I$6:$I$256,MATCH($A21,Market_Daily!$A$6:$A$256,0))*$Q21/day_count_inr)/(1+INDEX(Market_Daily!$J$6:$J$256,MATCH($A21,Market_Daily!$A$6:$A$256,0))*$Q21/day_count_usd))</f>
        <v/>
      </c>
      <c r="AE21" s="18">
        <f>$AC21*$AD21</f>
        <v/>
      </c>
      <c r="AF21" s="18">
        <f>$AC21*INDEX(Market_Daily!$V$6:$V$256,MATCH($A21,Market_Daily!$A$6:$A$256,0))</f>
        <v/>
      </c>
      <c r="AG21" s="18">
        <f>$AF21*bcd_scrap_hs7602*(1+sws_rate_on_bcd)</f>
        <v/>
      </c>
      <c r="AH21" s="18">
        <f>INDEX(param_values,MATCH("port_cf_charges_inr_t_"&amp;$Z21,param_keys,0))*$AA21+IF(INDEX(param_values,MATCH(IF($I21="JEA_NSA","psic_required_uae_origin","psic_required_safe_origin_designated_port"),param_keys,0)),psic_cost_usd_per_box*INDEX(Market_Daily!$F$6:$F$256,MATCH($A21,Market_Daily!$A$6:$A$256,0))/INDEX(param_values,MATCH("container_payload_mt_20ft_"&amp;$H21,param_keys,0)),0)</f>
        <v/>
      </c>
      <c r="AI21" s="18">
        <f>IF(igst_itc_available,0,($AF21+$AG21)*igst_rate_hs7602)</f>
        <v/>
      </c>
      <c r="AJ21" s="18">
        <f>$AE21+$AG21+$AH21+$AI21</f>
        <v/>
      </c>
      <c r="AK21" s="7" t="inlineStr">
        <is>
          <t>DERIVED_IN_WORKBOOK</t>
        </is>
      </c>
      <c r="AL21" s="8">
        <f>IF($J21="INR",1,IF($M21&lt;$A21,INDEX(Market_Daily!$F$6:$F$256,MATCH($M21,Market_Daily!$A$6:$A$256,1)),IF($M21=$A21,INDEX(Market_Daily!$F$6:$F$256,MATCH($A21,Market_Daily!$A$6:$A$256,0)),(INDEX(Market_Daily!$F$6:$F$256,MATCH($A21,Market_Daily!$A$6:$A$256,0))*(1+INDEX(Market_Daily!$I$6:$I$256,MATCH($A21,Market_Daily!$A$6:$A$256,0))*($M21-$A21)/day_count_inr)/(1+INDEX(Market_Daily!$J$6:$J$256,MATCH($A21,Market_Daily!$A$6:$A$256,0))*($M21-$A21)/day_count_usd)))))</f>
        <v/>
      </c>
      <c r="AM21" s="8">
        <f>IF(OR($J21="INR",$R21&gt;1),"",$AL21-$X21)</f>
        <v/>
      </c>
      <c r="AN21" s="8">
        <f>$N21*$AJ21</f>
        <v/>
      </c>
      <c r="AO21" s="8">
        <f>$AN21</f>
        <v/>
      </c>
      <c r="AP21" s="18">
        <f>$AO21-$V21</f>
        <v/>
      </c>
      <c r="AQ21" s="8">
        <f>IF(ABS($AP21)&lt;=tol_trade_inr,"PASS","FAIL")</f>
        <v/>
      </c>
    </row>
    <row r="22">
      <c r="A22" s="11" t="n">
        <v>44628</v>
      </c>
      <c r="B22" s="7" t="inlineStr">
        <is>
          <t>T01</t>
        </is>
      </c>
      <c r="C22" s="7" t="inlineStr">
        <is>
          <t>INVENTORY:L2</t>
        </is>
      </c>
      <c r="D22" s="7" t="inlineStr">
        <is>
          <t>INVENTORY</t>
        </is>
      </c>
      <c r="E22" s="7" t="inlineStr">
        <is>
          <t>physical</t>
        </is>
      </c>
      <c r="F22" s="7" t="inlineStr">
        <is>
          <t>L2</t>
        </is>
      </c>
      <c r="H22" s="7" t="inlineStr">
        <is>
          <t>zorba</t>
        </is>
      </c>
      <c r="I22" s="7" t="inlineStr">
        <is>
          <t>USEC_MUN</t>
        </is>
      </c>
      <c r="J22" s="7" t="inlineStr">
        <is>
          <t>INR</t>
        </is>
      </c>
      <c r="K22" s="7" t="inlineStr">
        <is>
          <t>fixed_unsettled</t>
        </is>
      </c>
      <c r="L22" s="7" t="inlineStr">
        <is>
          <t>PNL</t>
        </is>
      </c>
      <c r="N22" s="13" t="n">
        <v>840</v>
      </c>
      <c r="O22" s="6" t="n">
        <v>0</v>
      </c>
      <c r="P22" s="13" t="n">
        <v>0</v>
      </c>
      <c r="Q22" s="22" t="n">
        <v>31</v>
      </c>
      <c r="R22" s="6" t="n">
        <v>0</v>
      </c>
      <c r="U22" s="9" t="n">
        <v>166345366.35</v>
      </c>
      <c r="V22" s="9" t="n">
        <v>166345366.35</v>
      </c>
      <c r="W22" s="9" t="n">
        <v>198030.198</v>
      </c>
      <c r="X22" s="9" t="n">
        <v>77.051</v>
      </c>
      <c r="Y22" s="8">
        <f>IF($I22="JEA_NSA","20ft","40ft")</f>
        <v/>
      </c>
      <c r="Z22" s="8">
        <f>IF($I22="JEA_NSA","nsa","mun")</f>
        <v/>
      </c>
      <c r="AA22" s="8">
        <f>INDEX(param_values,MATCH("container_payload_mt_"&amp;$Y22,param_keys,0))/INDEX(param_values,MATCH("container_payload_mt_"&amp;$Y22&amp;"_"&amp;$H22,param_keys,0))</f>
        <v/>
      </c>
      <c r="AB22" s="16">
        <f>INDEX(Market_Daily!$C$6:$C$256,MATCH($A22,Market_Daily!$A$6:$A$256,0))*INDEX(Market_Daily!$X$6:$Z$256,MATCH($A22,Market_Daily!$A$6:$A$256,0),MATCH("grade_factor_"&amp;$H22,Market_Daily!$X$5:$Z$5,0))</f>
        <v/>
      </c>
      <c r="AC22" s="16">
        <f>$AB22*(1+insurance_rate*insured_value_uplift)</f>
        <v/>
      </c>
      <c r="AD22" s="8">
        <f>(INDEX(Market_Daily!$F$6:$F$256,MATCH($A22,Market_Daily!$A$6:$A$256,0))*(1+INDEX(Market_Daily!$I$6:$I$256,MATCH($A22,Market_Daily!$A$6:$A$256,0))*$Q22/day_count_inr)/(1+INDEX(Market_Daily!$J$6:$J$256,MATCH($A22,Market_Daily!$A$6:$A$256,0))*$Q22/day_count_usd))</f>
        <v/>
      </c>
      <c r="AE22" s="18">
        <f>$AC22*$AD22</f>
        <v/>
      </c>
      <c r="AF22" s="18">
        <f>$AC22*INDEX(Market_Daily!$V$6:$V$256,MATCH($A22,Market_Daily!$A$6:$A$256,0))</f>
        <v/>
      </c>
      <c r="AG22" s="18">
        <f>$AF22*bcd_scrap_hs7602*(1+sws_rate_on_bcd)</f>
        <v/>
      </c>
      <c r="AH22" s="18">
        <f>INDEX(param_values,MATCH("port_cf_charges_inr_t_"&amp;$Z22,param_keys,0))*$AA22+IF(INDEX(param_values,MATCH(IF($I22="JEA_NSA","psic_required_uae_origin","psic_required_safe_origin_designated_port"),param_keys,0)),psic_cost_usd_per_box*INDEX(Market_Daily!$F$6:$F$256,MATCH($A22,Market_Daily!$A$6:$A$256,0))/INDEX(param_values,MATCH("container_payload_mt_20ft_"&amp;$H22,param_keys,0)),0)</f>
        <v/>
      </c>
      <c r="AI22" s="18">
        <f>IF(igst_itc_available,0,($AF22+$AG22)*igst_rate_hs7602)</f>
        <v/>
      </c>
      <c r="AJ22" s="18">
        <f>$AE22+$AG22+$AH22+$AI22</f>
        <v/>
      </c>
      <c r="AK22" s="7" t="inlineStr">
        <is>
          <t>DERIVED_IN_WORKBOOK</t>
        </is>
      </c>
      <c r="AL22" s="8">
        <f>IF($J22="INR",1,IF($M22&lt;$A22,INDEX(Market_Daily!$F$6:$F$256,MATCH($M22,Market_Daily!$A$6:$A$256,1)),IF($M22=$A22,INDEX(Market_Daily!$F$6:$F$256,MATCH($A22,Market_Daily!$A$6:$A$256,0)),(INDEX(Market_Daily!$F$6:$F$256,MATCH($A22,Market_Daily!$A$6:$A$256,0))*(1+INDEX(Market_Daily!$I$6:$I$256,MATCH($A22,Market_Daily!$A$6:$A$256,0))*($M22-$A22)/day_count_inr)/(1+INDEX(Market_Daily!$J$6:$J$256,MATCH($A22,Market_Daily!$A$6:$A$256,0))*($M22-$A22)/day_count_usd)))))</f>
        <v/>
      </c>
      <c r="AM22" s="8">
        <f>IF(OR($J22="INR",$R22&gt;1),"",$AL22-$X22)</f>
        <v/>
      </c>
      <c r="AN22" s="8">
        <f>$N22*$AJ22</f>
        <v/>
      </c>
      <c r="AO22" s="8">
        <f>$AN22</f>
        <v/>
      </c>
      <c r="AP22" s="18">
        <f>$AO22-$V22</f>
        <v/>
      </c>
      <c r="AQ22" s="8">
        <f>IF(ABS($AP22)&lt;=tol_trade_inr,"PASS","FAIL")</f>
        <v/>
      </c>
    </row>
    <row r="23">
      <c r="A23" s="11" t="n">
        <v>44628</v>
      </c>
      <c r="B23" s="7" t="inlineStr">
        <is>
          <t>T01</t>
        </is>
      </c>
      <c r="C23" s="7" t="inlineStr">
        <is>
          <t>INVENTORY:L3</t>
        </is>
      </c>
      <c r="D23" s="7" t="inlineStr">
        <is>
          <t>INVENTORY</t>
        </is>
      </c>
      <c r="E23" s="7" t="inlineStr">
        <is>
          <t>physical</t>
        </is>
      </c>
      <c r="F23" s="7" t="inlineStr">
        <is>
          <t>L3</t>
        </is>
      </c>
      <c r="H23" s="7" t="inlineStr">
        <is>
          <t>zorba</t>
        </is>
      </c>
      <c r="I23" s="7" t="inlineStr">
        <is>
          <t>USEC_MUN</t>
        </is>
      </c>
      <c r="J23" s="7" t="inlineStr">
        <is>
          <t>INR</t>
        </is>
      </c>
      <c r="K23" s="7" t="inlineStr">
        <is>
          <t>fixed_unsettled</t>
        </is>
      </c>
      <c r="L23" s="7" t="inlineStr">
        <is>
          <t>PNL</t>
        </is>
      </c>
      <c r="N23" s="13" t="n">
        <v>840</v>
      </c>
      <c r="O23" s="6" t="n">
        <v>0</v>
      </c>
      <c r="P23" s="13" t="n">
        <v>0</v>
      </c>
      <c r="Q23" s="22" t="n">
        <v>31</v>
      </c>
      <c r="R23" s="6" t="n">
        <v>0</v>
      </c>
      <c r="U23" s="9" t="n">
        <v>166345366.35</v>
      </c>
      <c r="V23" s="9" t="n">
        <v>166345366.35</v>
      </c>
      <c r="W23" s="9" t="n">
        <v>198030.198</v>
      </c>
      <c r="X23" s="9" t="n">
        <v>77.051</v>
      </c>
      <c r="Y23" s="8">
        <f>IF($I23="JEA_NSA","20ft","40ft")</f>
        <v/>
      </c>
      <c r="Z23" s="8">
        <f>IF($I23="JEA_NSA","nsa","mun")</f>
        <v/>
      </c>
      <c r="AA23" s="8">
        <f>INDEX(param_values,MATCH("container_payload_mt_"&amp;$Y23,param_keys,0))/INDEX(param_values,MATCH("container_payload_mt_"&amp;$Y23&amp;"_"&amp;$H23,param_keys,0))</f>
        <v/>
      </c>
      <c r="AB23" s="16">
        <f>INDEX(Market_Daily!$C$6:$C$256,MATCH($A23,Market_Daily!$A$6:$A$256,0))*INDEX(Market_Daily!$X$6:$Z$256,MATCH($A23,Market_Daily!$A$6:$A$256,0),MATCH("grade_factor_"&amp;$H23,Market_Daily!$X$5:$Z$5,0))</f>
        <v/>
      </c>
      <c r="AC23" s="16">
        <f>$AB23*(1+insurance_rate*insured_value_uplift)</f>
        <v/>
      </c>
      <c r="AD23" s="8">
        <f>(INDEX(Market_Daily!$F$6:$F$256,MATCH($A23,Market_Daily!$A$6:$A$256,0))*(1+INDEX(Market_Daily!$I$6:$I$256,MATCH($A23,Market_Daily!$A$6:$A$256,0))*$Q23/day_count_inr)/(1+INDEX(Market_Daily!$J$6:$J$256,MATCH($A23,Market_Daily!$A$6:$A$256,0))*$Q23/day_count_usd))</f>
        <v/>
      </c>
      <c r="AE23" s="18">
        <f>$AC23*$AD23</f>
        <v/>
      </c>
      <c r="AF23" s="18">
        <f>$AC23*INDEX(Market_Daily!$V$6:$V$256,MATCH($A23,Market_Daily!$A$6:$A$256,0))</f>
        <v/>
      </c>
      <c r="AG23" s="18">
        <f>$AF23*bcd_scrap_hs7602*(1+sws_rate_on_bcd)</f>
        <v/>
      </c>
      <c r="AH23" s="18">
        <f>INDEX(param_values,MATCH("port_cf_charges_inr_t_"&amp;$Z23,param_keys,0))*$AA23+IF(INDEX(param_values,MATCH(IF($I23="JEA_NSA","psic_required_uae_origin","psic_required_safe_origin_designated_port"),param_keys,0)),psic_cost_usd_per_box*INDEX(Market_Daily!$F$6:$F$256,MATCH($A23,Market_Daily!$A$6:$A$256,0))/INDEX(param_values,MATCH("container_payload_mt_20ft_"&amp;$H23,param_keys,0)),0)</f>
        <v/>
      </c>
      <c r="AI23" s="18">
        <f>IF(igst_itc_available,0,($AF23+$AG23)*igst_rate_hs7602)</f>
        <v/>
      </c>
      <c r="AJ23" s="18">
        <f>$AE23+$AG23+$AH23+$AI23</f>
        <v/>
      </c>
      <c r="AK23" s="7" t="inlineStr">
        <is>
          <t>DERIVED_IN_WORKBOOK</t>
        </is>
      </c>
      <c r="AL23" s="8">
        <f>IF($J23="INR",1,IF($M23&lt;$A23,INDEX(Market_Daily!$F$6:$F$256,MATCH($M23,Market_Daily!$A$6:$A$256,1)),IF($M23=$A23,INDEX(Market_Daily!$F$6:$F$256,MATCH($A23,Market_Daily!$A$6:$A$256,0)),(INDEX(Market_Daily!$F$6:$F$256,MATCH($A23,Market_Daily!$A$6:$A$256,0))*(1+INDEX(Market_Daily!$I$6:$I$256,MATCH($A23,Market_Daily!$A$6:$A$256,0))*($M23-$A23)/day_count_inr)/(1+INDEX(Market_Daily!$J$6:$J$256,MATCH($A23,Market_Daily!$A$6:$A$256,0))*($M23-$A23)/day_count_usd)))))</f>
        <v/>
      </c>
      <c r="AM23" s="8">
        <f>IF(OR($J23="INR",$R23&gt;1),"",$AL23-$X23)</f>
        <v/>
      </c>
      <c r="AN23" s="8">
        <f>$N23*$AJ23</f>
        <v/>
      </c>
      <c r="AO23" s="8">
        <f>$AN23</f>
        <v/>
      </c>
      <c r="AP23" s="18">
        <f>$AO23-$V23</f>
        <v/>
      </c>
      <c r="AQ23" s="8">
        <f>IF(ABS($AP23)&lt;=tol_trade_inr,"PASS","FAIL")</f>
        <v/>
      </c>
    </row>
    <row r="24">
      <c r="A24" s="11" t="n">
        <v>44628</v>
      </c>
      <c r="B24" s="7" t="inlineStr">
        <is>
          <t>T01</t>
        </is>
      </c>
      <c r="C24" s="7" t="inlineStr">
        <is>
          <t>PORT:L1</t>
        </is>
      </c>
      <c r="D24" s="7" t="inlineStr">
        <is>
          <t>PORT</t>
        </is>
      </c>
      <c r="E24" s="7" t="inlineStr">
        <is>
          <t>physical</t>
        </is>
      </c>
      <c r="F24" s="7" t="inlineStr">
        <is>
          <t>L1</t>
        </is>
      </c>
      <c r="H24" s="7" t="inlineStr">
        <is>
          <t>zorba</t>
        </is>
      </c>
      <c r="I24" s="7" t="inlineStr">
        <is>
          <t>USEC_MUN</t>
        </is>
      </c>
      <c r="J24" s="7" t="inlineStr">
        <is>
          <t>INR</t>
        </is>
      </c>
      <c r="K24" s="7" t="inlineStr">
        <is>
          <t>fixed_unsettled</t>
        </is>
      </c>
      <c r="L24" s="7" t="inlineStr">
        <is>
          <t>PNL</t>
        </is>
      </c>
      <c r="M24" s="11" t="n">
        <v>44699</v>
      </c>
      <c r="N24" s="13" t="n">
        <v>0</v>
      </c>
      <c r="O24" s="6" t="n">
        <v>0</v>
      </c>
      <c r="P24" s="13" t="n">
        <v>0</v>
      </c>
      <c r="Q24" s="22" t="n">
        <v>31</v>
      </c>
      <c r="R24" s="6" t="n">
        <v>1</v>
      </c>
      <c r="U24" s="9" t="n">
        <v>-2226000</v>
      </c>
      <c r="V24" s="9" t="n">
        <v>-2226000</v>
      </c>
      <c r="X24" s="9" t="n">
        <v>77.051</v>
      </c>
      <c r="AK24" s="7" t="inlineStr">
        <is>
          <t>PYTHON_LIFECYCLE</t>
        </is>
      </c>
      <c r="AL24" s="8">
        <f>IF($J24="INR",1,IF($M24&lt;$A24,INDEX(Market_Daily!$F$6:$F$256,MATCH($M24,Market_Daily!$A$6:$A$256,1)),IF($M24=$A24,INDEX(Market_Daily!$F$6:$F$256,MATCH($A24,Market_Daily!$A$6:$A$256,0)),(INDEX(Market_Daily!$F$6:$F$256,MATCH($A24,Market_Daily!$A$6:$A$256,0))*(1+INDEX(Market_Daily!$I$6:$I$256,MATCH($A24,Market_Daily!$A$6:$A$256,0))*($M24-$A24)/day_count_inr)/(1+INDEX(Market_Daily!$J$6:$J$256,MATCH($A24,Market_Daily!$A$6:$A$256,0))*($M24-$A24)/day_count_usd)))))</f>
        <v/>
      </c>
      <c r="AM24" s="8">
        <f>IF(OR($J24="INR",$R24&gt;1),"",$AL24-$X24)</f>
        <v/>
      </c>
      <c r="AN24" s="8">
        <f>$U24</f>
        <v/>
      </c>
      <c r="AO24" s="8">
        <f>$AN24*IF($J24="INR",1,$AL24)</f>
        <v/>
      </c>
      <c r="AP24" s="18">
        <f>$AO24-$V24</f>
        <v/>
      </c>
      <c r="AQ24" s="8">
        <f>IF(ABS($AP24)&lt;=tol_trade_inr,"PASS","FAIL")</f>
        <v/>
      </c>
    </row>
    <row r="25">
      <c r="A25" s="11" t="n">
        <v>44628</v>
      </c>
      <c r="B25" s="7" t="inlineStr">
        <is>
          <t>T01</t>
        </is>
      </c>
      <c r="C25" s="7" t="inlineStr">
        <is>
          <t>PORT:L2</t>
        </is>
      </c>
      <c r="D25" s="7" t="inlineStr">
        <is>
          <t>PORT</t>
        </is>
      </c>
      <c r="E25" s="7" t="inlineStr">
        <is>
          <t>physical</t>
        </is>
      </c>
      <c r="F25" s="7" t="inlineStr">
        <is>
          <t>L2</t>
        </is>
      </c>
      <c r="H25" s="7" t="inlineStr">
        <is>
          <t>zorba</t>
        </is>
      </c>
      <c r="I25" s="7" t="inlineStr">
        <is>
          <t>USEC_MUN</t>
        </is>
      </c>
      <c r="J25" s="7" t="inlineStr">
        <is>
          <t>INR</t>
        </is>
      </c>
      <c r="K25" s="7" t="inlineStr">
        <is>
          <t>fixed_unsettled</t>
        </is>
      </c>
      <c r="L25" s="7" t="inlineStr">
        <is>
          <t>PNL</t>
        </is>
      </c>
      <c r="M25" s="11" t="n">
        <v>44705</v>
      </c>
      <c r="N25" s="13" t="n">
        <v>0</v>
      </c>
      <c r="O25" s="6" t="n">
        <v>0</v>
      </c>
      <c r="P25" s="13" t="n">
        <v>0</v>
      </c>
      <c r="Q25" s="22" t="n">
        <v>31</v>
      </c>
      <c r="R25" s="6" t="n">
        <v>1</v>
      </c>
      <c r="U25" s="9" t="n">
        <v>-2226000</v>
      </c>
      <c r="V25" s="9" t="n">
        <v>-2226000</v>
      </c>
      <c r="X25" s="9" t="n">
        <v>77.051</v>
      </c>
      <c r="AK25" s="7" t="inlineStr">
        <is>
          <t>PYTHON_LIFECYCLE</t>
        </is>
      </c>
      <c r="AL25" s="8">
        <f>IF($J25="INR",1,IF($M25&lt;$A25,INDEX(Market_Daily!$F$6:$F$256,MATCH($M25,Market_Daily!$A$6:$A$256,1)),IF($M25=$A25,INDEX(Market_Daily!$F$6:$F$256,MATCH($A25,Market_Daily!$A$6:$A$256,0)),(INDEX(Market_Daily!$F$6:$F$256,MATCH($A25,Market_Daily!$A$6:$A$256,0))*(1+INDEX(Market_Daily!$I$6:$I$256,MATCH($A25,Market_Daily!$A$6:$A$256,0))*($M25-$A25)/day_count_inr)/(1+INDEX(Market_Daily!$J$6:$J$256,MATCH($A25,Market_Daily!$A$6:$A$256,0))*($M25-$A25)/day_count_usd)))))</f>
        <v/>
      </c>
      <c r="AM25" s="8">
        <f>IF(OR($J25="INR",$R25&gt;1),"",$AL25-$X25)</f>
        <v/>
      </c>
      <c r="AN25" s="8">
        <f>$U25</f>
        <v/>
      </c>
      <c r="AO25" s="8">
        <f>$AN25*IF($J25="INR",1,$AL25)</f>
        <v/>
      </c>
      <c r="AP25" s="18">
        <f>$AO25-$V25</f>
        <v/>
      </c>
      <c r="AQ25" s="8">
        <f>IF(ABS($AP25)&lt;=tol_trade_inr,"PASS","FAIL")</f>
        <v/>
      </c>
    </row>
    <row r="26">
      <c r="A26" s="11" t="n">
        <v>44628</v>
      </c>
      <c r="B26" s="7" t="inlineStr">
        <is>
          <t>T01</t>
        </is>
      </c>
      <c r="C26" s="7" t="inlineStr">
        <is>
          <t>PORT:L3</t>
        </is>
      </c>
      <c r="D26" s="7" t="inlineStr">
        <is>
          <t>PORT</t>
        </is>
      </c>
      <c r="E26" s="7" t="inlineStr">
        <is>
          <t>physical</t>
        </is>
      </c>
      <c r="F26" s="7" t="inlineStr">
        <is>
          <t>L3</t>
        </is>
      </c>
      <c r="H26" s="7" t="inlineStr">
        <is>
          <t>zorba</t>
        </is>
      </c>
      <c r="I26" s="7" t="inlineStr">
        <is>
          <t>USEC_MUN</t>
        </is>
      </c>
      <c r="J26" s="7" t="inlineStr">
        <is>
          <t>INR</t>
        </is>
      </c>
      <c r="K26" s="7" t="inlineStr">
        <is>
          <t>fixed_unsettled</t>
        </is>
      </c>
      <c r="L26" s="7" t="inlineStr">
        <is>
          <t>PNL</t>
        </is>
      </c>
      <c r="M26" s="11" t="n">
        <v>44708</v>
      </c>
      <c r="N26" s="13" t="n">
        <v>0</v>
      </c>
      <c r="O26" s="6" t="n">
        <v>0</v>
      </c>
      <c r="P26" s="13" t="n">
        <v>0</v>
      </c>
      <c r="Q26" s="22" t="n">
        <v>31</v>
      </c>
      <c r="R26" s="6" t="n">
        <v>1</v>
      </c>
      <c r="U26" s="9" t="n">
        <v>-2226000</v>
      </c>
      <c r="V26" s="9" t="n">
        <v>-2226000</v>
      </c>
      <c r="X26" s="9" t="n">
        <v>77.051</v>
      </c>
      <c r="AK26" s="7" t="inlineStr">
        <is>
          <t>PYTHON_LIFECYCLE</t>
        </is>
      </c>
      <c r="AL26" s="8">
        <f>IF($J26="INR",1,IF($M26&lt;$A26,INDEX(Market_Daily!$F$6:$F$256,MATCH($M26,Market_Daily!$A$6:$A$256,1)),IF($M26=$A26,INDEX(Market_Daily!$F$6:$F$256,MATCH($A26,Market_Daily!$A$6:$A$256,0)),(INDEX(Market_Daily!$F$6:$F$256,MATCH($A26,Market_Daily!$A$6:$A$256,0))*(1+INDEX(Market_Daily!$I$6:$I$256,MATCH($A26,Market_Daily!$A$6:$A$256,0))*($M26-$A26)/day_count_inr)/(1+INDEX(Market_Daily!$J$6:$J$256,MATCH($A26,Market_Daily!$A$6:$A$256,0))*($M26-$A26)/day_count_usd)))))</f>
        <v/>
      </c>
      <c r="AM26" s="8">
        <f>IF(OR($J26="INR",$R26&gt;1),"",$AL26-$X26)</f>
        <v/>
      </c>
      <c r="AN26" s="8">
        <f>$U26</f>
        <v/>
      </c>
      <c r="AO26" s="8">
        <f>$AN26*IF($J26="INR",1,$AL26)</f>
        <v/>
      </c>
      <c r="AP26" s="18">
        <f>$AO26-$V26</f>
        <v/>
      </c>
      <c r="AQ26" s="8">
        <f>IF(ABS($AP26)&lt;=tol_trade_inr,"PASS","FAIL")</f>
        <v/>
      </c>
    </row>
    <row r="27">
      <c r="A27" s="11" t="n">
        <v>44628</v>
      </c>
      <c r="B27" s="7" t="inlineStr">
        <is>
          <t>T01</t>
        </is>
      </c>
      <c r="C27" s="7" t="inlineStr">
        <is>
          <t>PURCHASE:L1</t>
        </is>
      </c>
      <c r="D27" s="7" t="inlineStr">
        <is>
          <t>PURCHASE</t>
        </is>
      </c>
      <c r="E27" s="7" t="inlineStr">
        <is>
          <t>physical</t>
        </is>
      </c>
      <c r="F27" s="7" t="inlineStr">
        <is>
          <t>L1</t>
        </is>
      </c>
      <c r="G27" s="7" t="inlineStr">
        <is>
          <t>SUP_USEC_01</t>
        </is>
      </c>
      <c r="H27" s="7" t="inlineStr">
        <is>
          <t>zorba</t>
        </is>
      </c>
      <c r="I27" s="7" t="inlineStr">
        <is>
          <t>USEC_MUN</t>
        </is>
      </c>
      <c r="J27" s="7" t="inlineStr">
        <is>
          <t>USD</t>
        </is>
      </c>
      <c r="K27" s="7" t="inlineStr">
        <is>
          <t>fixed_unsettled</t>
        </is>
      </c>
      <c r="L27" s="7" t="inlineStr">
        <is>
          <t>PNL</t>
        </is>
      </c>
      <c r="M27" s="11" t="n">
        <v>44656</v>
      </c>
      <c r="N27" s="13" t="n">
        <v>840</v>
      </c>
      <c r="O27" s="6" t="n">
        <v>0</v>
      </c>
      <c r="P27" s="13" t="n">
        <v>0</v>
      </c>
      <c r="Q27" s="22" t="n">
        <v>31</v>
      </c>
      <c r="R27" s="6" t="n">
        <v>1</v>
      </c>
      <c r="U27" s="9" t="n">
        <v>-1965600</v>
      </c>
      <c r="V27" s="9" t="n">
        <v>-151847494.06</v>
      </c>
      <c r="X27" s="9" t="n">
        <v>77.2525</v>
      </c>
      <c r="AK27" s="7" t="inlineStr">
        <is>
          <t>PYTHON_LIFECYCLE</t>
        </is>
      </c>
      <c r="AL27" s="8">
        <f>IF($J27="INR",1,IF($M27&lt;$A27,INDEX(Market_Daily!$F$6:$F$256,MATCH($M27,Market_Daily!$A$6:$A$256,1)),IF($M27=$A27,INDEX(Market_Daily!$F$6:$F$256,MATCH($A27,Market_Daily!$A$6:$A$256,0)),(INDEX(Market_Daily!$F$6:$F$256,MATCH($A27,Market_Daily!$A$6:$A$256,0))*(1+INDEX(Market_Daily!$I$6:$I$256,MATCH($A27,Market_Daily!$A$6:$A$256,0))*($M27-$A27)/day_count_inr)/(1+INDEX(Market_Daily!$J$6:$J$256,MATCH($A27,Market_Daily!$A$6:$A$256,0))*($M27-$A27)/day_count_usd)))))</f>
        <v/>
      </c>
      <c r="AM27" s="8">
        <f>IF(OR($J27="INR",$R27&gt;1),"",$AL27-$X27)</f>
        <v/>
      </c>
      <c r="AN27" s="8">
        <f>$U27</f>
        <v/>
      </c>
      <c r="AO27" s="8">
        <f>$AN27*IF($J27="INR",1,$AL27)</f>
        <v/>
      </c>
      <c r="AP27" s="18">
        <f>$AO27-$V27</f>
        <v/>
      </c>
      <c r="AQ27" s="8">
        <f>IF(ABS($AP27)&lt;=tol_trade_inr,"PASS","FAIL")</f>
        <v/>
      </c>
    </row>
    <row r="28">
      <c r="A28" s="11" t="n">
        <v>44628</v>
      </c>
      <c r="B28" s="7" t="inlineStr">
        <is>
          <t>T01</t>
        </is>
      </c>
      <c r="C28" s="7" t="inlineStr">
        <is>
          <t>PURCHASE:L2</t>
        </is>
      </c>
      <c r="D28" s="7" t="inlineStr">
        <is>
          <t>PURCHASE</t>
        </is>
      </c>
      <c r="E28" s="7" t="inlineStr">
        <is>
          <t>physical</t>
        </is>
      </c>
      <c r="F28" s="7" t="inlineStr">
        <is>
          <t>L2</t>
        </is>
      </c>
      <c r="G28" s="7" t="inlineStr">
        <is>
          <t>SUP_USEC_01</t>
        </is>
      </c>
      <c r="H28" s="7" t="inlineStr">
        <is>
          <t>zorba</t>
        </is>
      </c>
      <c r="I28" s="7" t="inlineStr">
        <is>
          <t>USEC_MUN</t>
        </is>
      </c>
      <c r="J28" s="7" t="inlineStr">
        <is>
          <t>USD</t>
        </is>
      </c>
      <c r="K28" s="7" t="inlineStr">
        <is>
          <t>fixed_unsettled</t>
        </is>
      </c>
      <c r="L28" s="7" t="inlineStr">
        <is>
          <t>PNL</t>
        </is>
      </c>
      <c r="M28" s="11" t="n">
        <v>44662</v>
      </c>
      <c r="N28" s="13" t="n">
        <v>840</v>
      </c>
      <c r="O28" s="6" t="n">
        <v>0</v>
      </c>
      <c r="P28" s="13" t="n">
        <v>0</v>
      </c>
      <c r="Q28" s="22" t="n">
        <v>31</v>
      </c>
      <c r="R28" s="6" t="n">
        <v>1</v>
      </c>
      <c r="U28" s="9" t="n">
        <v>-1965600</v>
      </c>
      <c r="V28" s="9" t="n">
        <v>-151932332.35</v>
      </c>
      <c r="X28" s="9" t="n">
        <v>77.2957</v>
      </c>
      <c r="AK28" s="7" t="inlineStr">
        <is>
          <t>PYTHON_LIFECYCLE</t>
        </is>
      </c>
      <c r="AL28" s="8">
        <f>IF($J28="INR",1,IF($M28&lt;$A28,INDEX(Market_Daily!$F$6:$F$256,MATCH($M28,Market_Daily!$A$6:$A$256,1)),IF($M28=$A28,INDEX(Market_Daily!$F$6:$F$256,MATCH($A28,Market_Daily!$A$6:$A$256,0)),(INDEX(Market_Daily!$F$6:$F$256,MATCH($A28,Market_Daily!$A$6:$A$256,0))*(1+INDEX(Market_Daily!$I$6:$I$256,MATCH($A28,Market_Daily!$A$6:$A$256,0))*($M28-$A28)/day_count_inr)/(1+INDEX(Market_Daily!$J$6:$J$256,MATCH($A28,Market_Daily!$A$6:$A$256,0))*($M28-$A28)/day_count_usd)))))</f>
        <v/>
      </c>
      <c r="AM28" s="8">
        <f>IF(OR($J28="INR",$R28&gt;1),"",$AL28-$X28)</f>
        <v/>
      </c>
      <c r="AN28" s="8">
        <f>$U28</f>
        <v/>
      </c>
      <c r="AO28" s="8">
        <f>$AN28*IF($J28="INR",1,$AL28)</f>
        <v/>
      </c>
      <c r="AP28" s="18">
        <f>$AO28-$V28</f>
        <v/>
      </c>
      <c r="AQ28" s="8">
        <f>IF(ABS($AP28)&lt;=tol_trade_inr,"PASS","FAIL")</f>
        <v/>
      </c>
    </row>
    <row r="29">
      <c r="A29" s="11" t="n">
        <v>44628</v>
      </c>
      <c r="B29" s="7" t="inlineStr">
        <is>
          <t>T01</t>
        </is>
      </c>
      <c r="C29" s="7" t="inlineStr">
        <is>
          <t>PURCHASE:L3</t>
        </is>
      </c>
      <c r="D29" s="7" t="inlineStr">
        <is>
          <t>PURCHASE</t>
        </is>
      </c>
      <c r="E29" s="7" t="inlineStr">
        <is>
          <t>physical</t>
        </is>
      </c>
      <c r="F29" s="7" t="inlineStr">
        <is>
          <t>L3</t>
        </is>
      </c>
      <c r="G29" s="7" t="inlineStr">
        <is>
          <t>SUP_USEC_01</t>
        </is>
      </c>
      <c r="H29" s="7" t="inlineStr">
        <is>
          <t>zorba</t>
        </is>
      </c>
      <c r="I29" s="7" t="inlineStr">
        <is>
          <t>USEC_MUN</t>
        </is>
      </c>
      <c r="J29" s="7" t="inlineStr">
        <is>
          <t>USD</t>
        </is>
      </c>
      <c r="K29" s="7" t="inlineStr">
        <is>
          <t>fixed_unsettled</t>
        </is>
      </c>
      <c r="L29" s="7" t="inlineStr">
        <is>
          <t>PNL</t>
        </is>
      </c>
      <c r="M29" s="11" t="n">
        <v>44665</v>
      </c>
      <c r="N29" s="13" t="n">
        <v>840</v>
      </c>
      <c r="O29" s="6" t="n">
        <v>0</v>
      </c>
      <c r="P29" s="13" t="n">
        <v>0</v>
      </c>
      <c r="Q29" s="22" t="n">
        <v>31</v>
      </c>
      <c r="R29" s="6" t="n">
        <v>1</v>
      </c>
      <c r="U29" s="9" t="n">
        <v>-1965600</v>
      </c>
      <c r="V29" s="9" t="n">
        <v>-151974747.62</v>
      </c>
      <c r="X29" s="9" t="n">
        <v>77.3172</v>
      </c>
      <c r="AK29" s="7" t="inlineStr">
        <is>
          <t>PYTHON_LIFECYCLE</t>
        </is>
      </c>
      <c r="AL29" s="8">
        <f>IF($J29="INR",1,IF($M29&lt;$A29,INDEX(Market_Daily!$F$6:$F$256,MATCH($M29,Market_Daily!$A$6:$A$256,1)),IF($M29=$A29,INDEX(Market_Daily!$F$6:$F$256,MATCH($A29,Market_Daily!$A$6:$A$256,0)),(INDEX(Market_Daily!$F$6:$F$256,MATCH($A29,Market_Daily!$A$6:$A$256,0))*(1+INDEX(Market_Daily!$I$6:$I$256,MATCH($A29,Market_Daily!$A$6:$A$256,0))*($M29-$A29)/day_count_inr)/(1+INDEX(Market_Daily!$J$6:$J$256,MATCH($A29,Market_Daily!$A$6:$A$256,0))*($M29-$A29)/day_count_usd)))))</f>
        <v/>
      </c>
      <c r="AM29" s="8">
        <f>IF(OR($J29="INR",$R29&gt;1),"",$AL29-$X29)</f>
        <v/>
      </c>
      <c r="AN29" s="8">
        <f>$U29</f>
        <v/>
      </c>
      <c r="AO29" s="8">
        <f>$AN29*IF($J29="INR",1,$AL29)</f>
        <v/>
      </c>
      <c r="AP29" s="18">
        <f>$AO29-$V29</f>
        <v/>
      </c>
      <c r="AQ29" s="8">
        <f>IF(ABS($AP29)&lt;=tol_trade_inr,"PASS","FAIL")</f>
        <v/>
      </c>
    </row>
    <row r="30">
      <c r="A30" s="11" t="n">
        <v>44631</v>
      </c>
      <c r="B30" s="7" t="inlineStr">
        <is>
          <t>T01</t>
        </is>
      </c>
      <c r="C30" s="7" t="inlineStr">
        <is>
          <t>BILL_COMMISSION:L1</t>
        </is>
      </c>
      <c r="D30" s="7" t="inlineStr">
        <is>
          <t>BILL_COMMISSION</t>
        </is>
      </c>
      <c r="E30" s="7" t="inlineStr">
        <is>
          <t>physical</t>
        </is>
      </c>
      <c r="F30" s="7" t="inlineStr">
        <is>
          <t>L1</t>
        </is>
      </c>
      <c r="H30" s="7" t="inlineStr">
        <is>
          <t>zorba</t>
        </is>
      </c>
      <c r="I30" s="7" t="inlineStr">
        <is>
          <t>USEC_MUN</t>
        </is>
      </c>
      <c r="J30" s="7" t="inlineStr">
        <is>
          <t>USD</t>
        </is>
      </c>
      <c r="K30" s="7" t="inlineStr">
        <is>
          <t>floating</t>
        </is>
      </c>
      <c r="L30" s="7" t="inlineStr">
        <is>
          <t>PNL</t>
        </is>
      </c>
      <c r="M30" s="11" t="n">
        <v>44656</v>
      </c>
      <c r="N30" s="13" t="n">
        <v>0</v>
      </c>
      <c r="O30" s="6" t="n">
        <v>0</v>
      </c>
      <c r="P30" s="13" t="n">
        <v>0</v>
      </c>
      <c r="Q30" s="22" t="n">
        <v>31</v>
      </c>
      <c r="R30" s="6" t="n">
        <v>1</v>
      </c>
      <c r="U30" s="9" t="n">
        <v>-2358.72</v>
      </c>
      <c r="V30" s="9" t="n">
        <v>-180674.56</v>
      </c>
      <c r="X30" s="9" t="n">
        <v>76.5986</v>
      </c>
      <c r="AK30" s="7" t="inlineStr">
        <is>
          <t>PYTHON_LIFECYCLE</t>
        </is>
      </c>
      <c r="AL30" s="8">
        <f>IF($J30="INR",1,IF($M30&lt;$A30,INDEX(Market_Daily!$F$6:$F$256,MATCH($M30,Market_Daily!$A$6:$A$256,1)),IF($M30=$A30,INDEX(Market_Daily!$F$6:$F$256,MATCH($A30,Market_Daily!$A$6:$A$256,0)),(INDEX(Market_Daily!$F$6:$F$256,MATCH($A30,Market_Daily!$A$6:$A$256,0))*(1+INDEX(Market_Daily!$I$6:$I$256,MATCH($A30,Market_Daily!$A$6:$A$256,0))*($M30-$A30)/day_count_inr)/(1+INDEX(Market_Daily!$J$6:$J$256,MATCH($A30,Market_Daily!$A$6:$A$256,0))*($M30-$A30)/day_count_usd)))))</f>
        <v/>
      </c>
      <c r="AM30" s="8">
        <f>IF(OR($J30="INR",$R30&gt;1),"",$AL30-$X30)</f>
        <v/>
      </c>
      <c r="AN30" s="8">
        <f>$U30</f>
        <v/>
      </c>
      <c r="AO30" s="8">
        <f>$AN30*IF($J30="INR",1,$AL30)</f>
        <v/>
      </c>
      <c r="AP30" s="18">
        <f>$AO30-$V30</f>
        <v/>
      </c>
      <c r="AQ30" s="8">
        <f>IF(ABS($AP30)&lt;=tol_trade_inr,"PASS","FAIL")</f>
        <v/>
      </c>
    </row>
    <row r="31">
      <c r="A31" s="11" t="n">
        <v>44631</v>
      </c>
      <c r="B31" s="7" t="inlineStr">
        <is>
          <t>T01</t>
        </is>
      </c>
      <c r="C31" s="7" t="inlineStr">
        <is>
          <t>BILL_COMMISSION:L2</t>
        </is>
      </c>
      <c r="D31" s="7" t="inlineStr">
        <is>
          <t>BILL_COMMISSION</t>
        </is>
      </c>
      <c r="E31" s="7" t="inlineStr">
        <is>
          <t>physical</t>
        </is>
      </c>
      <c r="F31" s="7" t="inlineStr">
        <is>
          <t>L2</t>
        </is>
      </c>
      <c r="H31" s="7" t="inlineStr">
        <is>
          <t>zorba</t>
        </is>
      </c>
      <c r="I31" s="7" t="inlineStr">
        <is>
          <t>USEC_MUN</t>
        </is>
      </c>
      <c r="J31" s="7" t="inlineStr">
        <is>
          <t>USD</t>
        </is>
      </c>
      <c r="K31" s="7" t="inlineStr">
        <is>
          <t>floating</t>
        </is>
      </c>
      <c r="L31" s="7" t="inlineStr">
        <is>
          <t>PNL</t>
        </is>
      </c>
      <c r="M31" s="11" t="n">
        <v>44662</v>
      </c>
      <c r="N31" s="13" t="n">
        <v>0</v>
      </c>
      <c r="O31" s="6" t="n">
        <v>0</v>
      </c>
      <c r="P31" s="13" t="n">
        <v>0</v>
      </c>
      <c r="Q31" s="22" t="n">
        <v>31</v>
      </c>
      <c r="R31" s="6" t="n">
        <v>1</v>
      </c>
      <c r="U31" s="9" t="n">
        <v>-2358.72</v>
      </c>
      <c r="V31" s="9" t="n">
        <v>-180774.65</v>
      </c>
      <c r="X31" s="9" t="n">
        <v>76.64100000000001</v>
      </c>
      <c r="AK31" s="7" t="inlineStr">
        <is>
          <t>PYTHON_LIFECYCLE</t>
        </is>
      </c>
      <c r="AL31" s="8">
        <f>IF($J31="INR",1,IF($M31&lt;$A31,INDEX(Market_Daily!$F$6:$F$256,MATCH($M31,Market_Daily!$A$6:$A$256,1)),IF($M31=$A31,INDEX(Market_Daily!$F$6:$F$256,MATCH($A31,Market_Daily!$A$6:$A$256,0)),(INDEX(Market_Daily!$F$6:$F$256,MATCH($A31,Market_Daily!$A$6:$A$256,0))*(1+INDEX(Market_Daily!$I$6:$I$256,MATCH($A31,Market_Daily!$A$6:$A$256,0))*($M31-$A31)/day_count_inr)/(1+INDEX(Market_Daily!$J$6:$J$256,MATCH($A31,Market_Daily!$A$6:$A$256,0))*($M31-$A31)/day_count_usd)))))</f>
        <v/>
      </c>
      <c r="AM31" s="8">
        <f>IF(OR($J31="INR",$R31&gt;1),"",$AL31-$X31)</f>
        <v/>
      </c>
      <c r="AN31" s="8">
        <f>$U31</f>
        <v/>
      </c>
      <c r="AO31" s="8">
        <f>$AN31*IF($J31="INR",1,$AL31)</f>
        <v/>
      </c>
      <c r="AP31" s="18">
        <f>$AO31-$V31</f>
        <v/>
      </c>
      <c r="AQ31" s="8">
        <f>IF(ABS($AP31)&lt;=tol_trade_inr,"PASS","FAIL")</f>
        <v/>
      </c>
    </row>
    <row r="32">
      <c r="A32" s="11" t="n">
        <v>44631</v>
      </c>
      <c r="B32" s="7" t="inlineStr">
        <is>
          <t>T01</t>
        </is>
      </c>
      <c r="C32" s="7" t="inlineStr">
        <is>
          <t>BILL_COMMISSION:L3</t>
        </is>
      </c>
      <c r="D32" s="7" t="inlineStr">
        <is>
          <t>BILL_COMMISSION</t>
        </is>
      </c>
      <c r="E32" s="7" t="inlineStr">
        <is>
          <t>physical</t>
        </is>
      </c>
      <c r="F32" s="7" t="inlineStr">
        <is>
          <t>L3</t>
        </is>
      </c>
      <c r="H32" s="7" t="inlineStr">
        <is>
          <t>zorba</t>
        </is>
      </c>
      <c r="I32" s="7" t="inlineStr">
        <is>
          <t>USEC_MUN</t>
        </is>
      </c>
      <c r="J32" s="7" t="inlineStr">
        <is>
          <t>USD</t>
        </is>
      </c>
      <c r="K32" s="7" t="inlineStr">
        <is>
          <t>floating</t>
        </is>
      </c>
      <c r="L32" s="7" t="inlineStr">
        <is>
          <t>PNL</t>
        </is>
      </c>
      <c r="M32" s="11" t="n">
        <v>44665</v>
      </c>
      <c r="N32" s="13" t="n">
        <v>0</v>
      </c>
      <c r="O32" s="6" t="n">
        <v>0</v>
      </c>
      <c r="P32" s="13" t="n">
        <v>0</v>
      </c>
      <c r="Q32" s="22" t="n">
        <v>31</v>
      </c>
      <c r="R32" s="6" t="n">
        <v>1</v>
      </c>
      <c r="U32" s="9" t="n">
        <v>-2358.72</v>
      </c>
      <c r="V32" s="9" t="n">
        <v>-180824.69</v>
      </c>
      <c r="X32" s="9" t="n">
        <v>76.6622</v>
      </c>
      <c r="AK32" s="7" t="inlineStr">
        <is>
          <t>PYTHON_LIFECYCLE</t>
        </is>
      </c>
      <c r="AL32" s="8">
        <f>IF($J32="INR",1,IF($M32&lt;$A32,INDEX(Market_Daily!$F$6:$F$256,MATCH($M32,Market_Daily!$A$6:$A$256,1)),IF($M32=$A32,INDEX(Market_Daily!$F$6:$F$256,MATCH($A32,Market_Daily!$A$6:$A$256,0)),(INDEX(Market_Daily!$F$6:$F$256,MATCH($A32,Market_Daily!$A$6:$A$256,0))*(1+INDEX(Market_Daily!$I$6:$I$256,MATCH($A32,Market_Daily!$A$6:$A$256,0))*($M32-$A32)/day_count_inr)/(1+INDEX(Market_Daily!$J$6:$J$256,MATCH($A32,Market_Daily!$A$6:$A$256,0))*($M32-$A32)/day_count_usd)))))</f>
        <v/>
      </c>
      <c r="AM32" s="8">
        <f>IF(OR($J32="INR",$R32&gt;1),"",$AL32-$X32)</f>
        <v/>
      </c>
      <c r="AN32" s="8">
        <f>$U32</f>
        <v/>
      </c>
      <c r="AO32" s="8">
        <f>$AN32*IF($J32="INR",1,$AL32)</f>
        <v/>
      </c>
      <c r="AP32" s="18">
        <f>$AO32-$V32</f>
        <v/>
      </c>
      <c r="AQ32" s="8">
        <f>IF(ABS($AP32)&lt;=tol_trade_inr,"PASS","FAIL")</f>
        <v/>
      </c>
    </row>
    <row r="33">
      <c r="A33" s="11" t="n">
        <v>44631</v>
      </c>
      <c r="B33" s="7" t="inlineStr">
        <is>
          <t>T01</t>
        </is>
      </c>
      <c r="C33" s="7" t="inlineStr">
        <is>
          <t>DUTY:L1</t>
        </is>
      </c>
      <c r="D33" s="7" t="inlineStr">
        <is>
          <t>DUTY</t>
        </is>
      </c>
      <c r="E33" s="7" t="inlineStr">
        <is>
          <t>physical</t>
        </is>
      </c>
      <c r="F33" s="7" t="inlineStr">
        <is>
          <t>L1</t>
        </is>
      </c>
      <c r="H33" s="7" t="inlineStr">
        <is>
          <t>zorba</t>
        </is>
      </c>
      <c r="I33" s="7" t="inlineStr">
        <is>
          <t>USEC_MUN</t>
        </is>
      </c>
      <c r="J33" s="7" t="inlineStr">
        <is>
          <t>INR</t>
        </is>
      </c>
      <c r="K33" s="7" t="inlineStr">
        <is>
          <t>floating</t>
        </is>
      </c>
      <c r="L33" s="7" t="inlineStr">
        <is>
          <t>PNL</t>
        </is>
      </c>
      <c r="M33" s="11" t="n">
        <v>44690</v>
      </c>
      <c r="N33" s="13" t="n">
        <v>840</v>
      </c>
      <c r="O33" s="6" t="n">
        <v>0</v>
      </c>
      <c r="P33" s="13" t="n">
        <v>0</v>
      </c>
      <c r="Q33" s="22" t="n">
        <v>31</v>
      </c>
      <c r="R33" s="6" t="n">
        <v>1</v>
      </c>
      <c r="U33" s="9" t="n">
        <v>-4334394.34</v>
      </c>
      <c r="V33" s="9" t="n">
        <v>-4334394.34</v>
      </c>
      <c r="X33" s="9" t="n">
        <v>76.4217</v>
      </c>
      <c r="AK33" s="7" t="inlineStr">
        <is>
          <t>PYTHON_LIFECYCLE</t>
        </is>
      </c>
      <c r="AL33" s="8">
        <f>IF($J33="INR",1,IF($M33&lt;$A33,INDEX(Market_Daily!$F$6:$F$256,MATCH($M33,Market_Daily!$A$6:$A$256,1)),IF($M33=$A33,INDEX(Market_Daily!$F$6:$F$256,MATCH($A33,Market_Daily!$A$6:$A$256,0)),(INDEX(Market_Daily!$F$6:$F$256,MATCH($A33,Market_Daily!$A$6:$A$256,0))*(1+INDEX(Market_Daily!$I$6:$I$256,MATCH($A33,Market_Daily!$A$6:$A$256,0))*($M33-$A33)/day_count_inr)/(1+INDEX(Market_Daily!$J$6:$J$256,MATCH($A33,Market_Daily!$A$6:$A$256,0))*($M33-$A33)/day_count_usd)))))</f>
        <v/>
      </c>
      <c r="AM33" s="8">
        <f>IF(OR($J33="INR",$R33&gt;1),"",$AL33-$X33)</f>
        <v/>
      </c>
      <c r="AN33" s="8">
        <f>$U33</f>
        <v/>
      </c>
      <c r="AO33" s="8">
        <f>$AN33*IF($J33="INR",1,$AL33)</f>
        <v/>
      </c>
      <c r="AP33" s="18">
        <f>$AO33-$V33</f>
        <v/>
      </c>
      <c r="AQ33" s="8">
        <f>IF(ABS($AP33)&lt;=tol_trade_inr,"PASS","FAIL")</f>
        <v/>
      </c>
    </row>
    <row r="34">
      <c r="A34" s="11" t="n">
        <v>44631</v>
      </c>
      <c r="B34" s="7" t="inlineStr">
        <is>
          <t>T01</t>
        </is>
      </c>
      <c r="C34" s="7" t="inlineStr">
        <is>
          <t>DUTY:L2</t>
        </is>
      </c>
      <c r="D34" s="7" t="inlineStr">
        <is>
          <t>DUTY</t>
        </is>
      </c>
      <c r="E34" s="7" t="inlineStr">
        <is>
          <t>physical</t>
        </is>
      </c>
      <c r="F34" s="7" t="inlineStr">
        <is>
          <t>L2</t>
        </is>
      </c>
      <c r="H34" s="7" t="inlineStr">
        <is>
          <t>zorba</t>
        </is>
      </c>
      <c r="I34" s="7" t="inlineStr">
        <is>
          <t>USEC_MUN</t>
        </is>
      </c>
      <c r="J34" s="7" t="inlineStr">
        <is>
          <t>INR</t>
        </is>
      </c>
      <c r="K34" s="7" t="inlineStr">
        <is>
          <t>floating</t>
        </is>
      </c>
      <c r="L34" s="7" t="inlineStr">
        <is>
          <t>PNL</t>
        </is>
      </c>
      <c r="M34" s="11" t="n">
        <v>44697</v>
      </c>
      <c r="N34" s="13" t="n">
        <v>840</v>
      </c>
      <c r="O34" s="6" t="n">
        <v>0</v>
      </c>
      <c r="P34" s="13" t="n">
        <v>0</v>
      </c>
      <c r="Q34" s="22" t="n">
        <v>31</v>
      </c>
      <c r="R34" s="6" t="n">
        <v>1</v>
      </c>
      <c r="U34" s="9" t="n">
        <v>-4334394.34</v>
      </c>
      <c r="V34" s="9" t="n">
        <v>-4334394.34</v>
      </c>
      <c r="X34" s="9" t="n">
        <v>76.4217</v>
      </c>
      <c r="AK34" s="7" t="inlineStr">
        <is>
          <t>PYTHON_LIFECYCLE</t>
        </is>
      </c>
      <c r="AL34" s="8">
        <f>IF($J34="INR",1,IF($M34&lt;$A34,INDEX(Market_Daily!$F$6:$F$256,MATCH($M34,Market_Daily!$A$6:$A$256,1)),IF($M34=$A34,INDEX(Market_Daily!$F$6:$F$256,MATCH($A34,Market_Daily!$A$6:$A$256,0)),(INDEX(Market_Daily!$F$6:$F$256,MATCH($A34,Market_Daily!$A$6:$A$256,0))*(1+INDEX(Market_Daily!$I$6:$I$256,MATCH($A34,Market_Daily!$A$6:$A$256,0))*($M34-$A34)/day_count_inr)/(1+INDEX(Market_Daily!$J$6:$J$256,MATCH($A34,Market_Daily!$A$6:$A$256,0))*($M34-$A34)/day_count_usd)))))</f>
        <v/>
      </c>
      <c r="AM34" s="8">
        <f>IF(OR($J34="INR",$R34&gt;1),"",$AL34-$X34)</f>
        <v/>
      </c>
      <c r="AN34" s="8">
        <f>$U34</f>
        <v/>
      </c>
      <c r="AO34" s="8">
        <f>$AN34*IF($J34="INR",1,$AL34)</f>
        <v/>
      </c>
      <c r="AP34" s="18">
        <f>$AO34-$V34</f>
        <v/>
      </c>
      <c r="AQ34" s="8">
        <f>IF(ABS($AP34)&lt;=tol_trade_inr,"PASS","FAIL")</f>
        <v/>
      </c>
    </row>
    <row r="35">
      <c r="A35" s="11" t="n">
        <v>44631</v>
      </c>
      <c r="B35" s="7" t="inlineStr">
        <is>
          <t>T01</t>
        </is>
      </c>
      <c r="C35" s="7" t="inlineStr">
        <is>
          <t>DUTY:L3</t>
        </is>
      </c>
      <c r="D35" s="7" t="inlineStr">
        <is>
          <t>DUTY</t>
        </is>
      </c>
      <c r="E35" s="7" t="inlineStr">
        <is>
          <t>physical</t>
        </is>
      </c>
      <c r="F35" s="7" t="inlineStr">
        <is>
          <t>L3</t>
        </is>
      </c>
      <c r="H35" s="7" t="inlineStr">
        <is>
          <t>zorba</t>
        </is>
      </c>
      <c r="I35" s="7" t="inlineStr">
        <is>
          <t>USEC_MUN</t>
        </is>
      </c>
      <c r="J35" s="7" t="inlineStr">
        <is>
          <t>INR</t>
        </is>
      </c>
      <c r="K35" s="7" t="inlineStr">
        <is>
          <t>floating</t>
        </is>
      </c>
      <c r="L35" s="7" t="inlineStr">
        <is>
          <t>PNL</t>
        </is>
      </c>
      <c r="M35" s="11" t="n">
        <v>44699</v>
      </c>
      <c r="N35" s="13" t="n">
        <v>840</v>
      </c>
      <c r="O35" s="6" t="n">
        <v>0</v>
      </c>
      <c r="P35" s="13" t="n">
        <v>0</v>
      </c>
      <c r="Q35" s="22" t="n">
        <v>31</v>
      </c>
      <c r="R35" s="6" t="n">
        <v>1</v>
      </c>
      <c r="U35" s="9" t="n">
        <v>-4334394.34</v>
      </c>
      <c r="V35" s="9" t="n">
        <v>-4334394.34</v>
      </c>
      <c r="X35" s="9" t="n">
        <v>76.4217</v>
      </c>
      <c r="AK35" s="7" t="inlineStr">
        <is>
          <t>PYTHON_LIFECYCLE</t>
        </is>
      </c>
      <c r="AL35" s="8">
        <f>IF($J35="INR",1,IF($M35&lt;$A35,INDEX(Market_Daily!$F$6:$F$256,MATCH($M35,Market_Daily!$A$6:$A$256,1)),IF($M35=$A35,INDEX(Market_Daily!$F$6:$F$256,MATCH($A35,Market_Daily!$A$6:$A$256,0)),(INDEX(Market_Daily!$F$6:$F$256,MATCH($A35,Market_Daily!$A$6:$A$256,0))*(1+INDEX(Market_Daily!$I$6:$I$256,MATCH($A35,Market_Daily!$A$6:$A$256,0))*($M35-$A35)/day_count_inr)/(1+INDEX(Market_Daily!$J$6:$J$256,MATCH($A35,Market_Daily!$A$6:$A$256,0))*($M35-$A35)/day_count_usd)))))</f>
        <v/>
      </c>
      <c r="AM35" s="8">
        <f>IF(OR($J35="INR",$R35&gt;1),"",$AL35-$X35)</f>
        <v/>
      </c>
      <c r="AN35" s="8">
        <f>$U35</f>
        <v/>
      </c>
      <c r="AO35" s="8">
        <f>$AN35*IF($J35="INR",1,$AL35)</f>
        <v/>
      </c>
      <c r="AP35" s="18">
        <f>$AO35-$V35</f>
        <v/>
      </c>
      <c r="AQ35" s="8">
        <f>IF(ABS($AP35)&lt;=tol_trade_inr,"PASS","FAIL")</f>
        <v/>
      </c>
    </row>
    <row r="36">
      <c r="A36" s="11" t="n">
        <v>44631</v>
      </c>
      <c r="B36" s="7" t="inlineStr">
        <is>
          <t>T01</t>
        </is>
      </c>
      <c r="C36" s="7" t="inlineStr">
        <is>
          <t>FREIGHT:L1</t>
        </is>
      </c>
      <c r="D36" s="7" t="inlineStr">
        <is>
          <t>FREIGHT</t>
        </is>
      </c>
      <c r="E36" s="7" t="inlineStr">
        <is>
          <t>physical</t>
        </is>
      </c>
      <c r="F36" s="7" t="inlineStr">
        <is>
          <t>L1</t>
        </is>
      </c>
      <c r="G36" s="7" t="inlineStr">
        <is>
          <t>Meridian Box Lines NVOCC (SIM)</t>
        </is>
      </c>
      <c r="H36" s="7" t="inlineStr">
        <is>
          <t>zorba</t>
        </is>
      </c>
      <c r="I36" s="7" t="inlineStr">
        <is>
          <t>USEC_MUN</t>
        </is>
      </c>
      <c r="J36" s="7" t="inlineStr">
        <is>
          <t>USD</t>
        </is>
      </c>
      <c r="K36" s="7" t="inlineStr">
        <is>
          <t>floating</t>
        </is>
      </c>
      <c r="L36" s="7" t="inlineStr">
        <is>
          <t>PNL</t>
        </is>
      </c>
      <c r="M36" s="11" t="n">
        <v>44690</v>
      </c>
      <c r="N36" s="13" t="n">
        <v>840</v>
      </c>
      <c r="O36" s="6" t="n">
        <v>0</v>
      </c>
      <c r="P36" s="13" t="n">
        <v>0</v>
      </c>
      <c r="Q36" s="22" t="n">
        <v>31</v>
      </c>
      <c r="R36" s="6" t="n">
        <v>1</v>
      </c>
      <c r="U36" s="9" t="n">
        <v>-88426.8</v>
      </c>
      <c r="V36" s="9" t="n">
        <v>-6794621.82</v>
      </c>
      <c r="X36" s="9" t="n">
        <v>76.8389</v>
      </c>
      <c r="AK36" s="7" t="inlineStr">
        <is>
          <t>PYTHON_LIFECYCLE</t>
        </is>
      </c>
      <c r="AL36" s="8">
        <f>IF($J36="INR",1,IF($M36&lt;$A36,INDEX(Market_Daily!$F$6:$F$256,MATCH($M36,Market_Daily!$A$6:$A$256,1)),IF($M36=$A36,INDEX(Market_Daily!$F$6:$F$256,MATCH($A36,Market_Daily!$A$6:$A$256,0)),(INDEX(Market_Daily!$F$6:$F$256,MATCH($A36,Market_Daily!$A$6:$A$256,0))*(1+INDEX(Market_Daily!$I$6:$I$256,MATCH($A36,Market_Daily!$A$6:$A$256,0))*($M36-$A36)/day_count_inr)/(1+INDEX(Market_Daily!$J$6:$J$256,MATCH($A36,Market_Daily!$A$6:$A$256,0))*($M36-$A36)/day_count_usd)))))</f>
        <v/>
      </c>
      <c r="AM36" s="8">
        <f>IF(OR($J36="INR",$R36&gt;1),"",$AL36-$X36)</f>
        <v/>
      </c>
      <c r="AN36" s="8">
        <f>$U36</f>
        <v/>
      </c>
      <c r="AO36" s="8">
        <f>$AN36*IF($J36="INR",1,$AL36)</f>
        <v/>
      </c>
      <c r="AP36" s="18">
        <f>$AO36-$V36</f>
        <v/>
      </c>
      <c r="AQ36" s="8">
        <f>IF(ABS($AP36)&lt;=tol_trade_inr,"PASS","FAIL")</f>
        <v/>
      </c>
    </row>
    <row r="37">
      <c r="A37" s="11" t="n">
        <v>44631</v>
      </c>
      <c r="B37" s="7" t="inlineStr">
        <is>
          <t>T01</t>
        </is>
      </c>
      <c r="C37" s="7" t="inlineStr">
        <is>
          <t>FREIGHT:L2</t>
        </is>
      </c>
      <c r="D37" s="7" t="inlineStr">
        <is>
          <t>FREIGHT</t>
        </is>
      </c>
      <c r="E37" s="7" t="inlineStr">
        <is>
          <t>physical</t>
        </is>
      </c>
      <c r="F37" s="7" t="inlineStr">
        <is>
          <t>L2</t>
        </is>
      </c>
      <c r="G37" s="7" t="inlineStr">
        <is>
          <t>Meridian Box Lines NVOCC (SIM)</t>
        </is>
      </c>
      <c r="H37" s="7" t="inlineStr">
        <is>
          <t>zorba</t>
        </is>
      </c>
      <c r="I37" s="7" t="inlineStr">
        <is>
          <t>USEC_MUN</t>
        </is>
      </c>
      <c r="J37" s="7" t="inlineStr">
        <is>
          <t>USD</t>
        </is>
      </c>
      <c r="K37" s="7" t="inlineStr">
        <is>
          <t>floating</t>
        </is>
      </c>
      <c r="L37" s="7" t="inlineStr">
        <is>
          <t>PNL</t>
        </is>
      </c>
      <c r="M37" s="11" t="n">
        <v>44697</v>
      </c>
      <c r="N37" s="13" t="n">
        <v>840</v>
      </c>
      <c r="O37" s="6" t="n">
        <v>0</v>
      </c>
      <c r="P37" s="13" t="n">
        <v>0</v>
      </c>
      <c r="Q37" s="22" t="n">
        <v>31</v>
      </c>
      <c r="R37" s="6" t="n">
        <v>1</v>
      </c>
      <c r="U37" s="9" t="n">
        <v>-88426.8</v>
      </c>
      <c r="V37" s="9" t="n">
        <v>-6798996.09</v>
      </c>
      <c r="X37" s="9" t="n">
        <v>76.8884</v>
      </c>
      <c r="AK37" s="7" t="inlineStr">
        <is>
          <t>PYTHON_LIFECYCLE</t>
        </is>
      </c>
      <c r="AL37" s="8">
        <f>IF($J37="INR",1,IF($M37&lt;$A37,INDEX(Market_Daily!$F$6:$F$256,MATCH($M37,Market_Daily!$A$6:$A$256,1)),IF($M37=$A37,INDEX(Market_Daily!$F$6:$F$256,MATCH($A37,Market_Daily!$A$6:$A$256,0)),(INDEX(Market_Daily!$F$6:$F$256,MATCH($A37,Market_Daily!$A$6:$A$256,0))*(1+INDEX(Market_Daily!$I$6:$I$256,MATCH($A37,Market_Daily!$A$6:$A$256,0))*($M37-$A37)/day_count_inr)/(1+INDEX(Market_Daily!$J$6:$J$256,MATCH($A37,Market_Daily!$A$6:$A$256,0))*($M37-$A37)/day_count_usd)))))</f>
        <v/>
      </c>
      <c r="AM37" s="8">
        <f>IF(OR($J37="INR",$R37&gt;1),"",$AL37-$X37)</f>
        <v/>
      </c>
      <c r="AN37" s="8">
        <f>$U37</f>
        <v/>
      </c>
      <c r="AO37" s="8">
        <f>$AN37*IF($J37="INR",1,$AL37)</f>
        <v/>
      </c>
      <c r="AP37" s="18">
        <f>$AO37-$V37</f>
        <v/>
      </c>
      <c r="AQ37" s="8">
        <f>IF(ABS($AP37)&lt;=tol_trade_inr,"PASS","FAIL")</f>
        <v/>
      </c>
    </row>
    <row r="38">
      <c r="A38" s="11" t="n">
        <v>44631</v>
      </c>
      <c r="B38" s="7" t="inlineStr">
        <is>
          <t>T01</t>
        </is>
      </c>
      <c r="C38" s="7" t="inlineStr">
        <is>
          <t>FREIGHT:L3</t>
        </is>
      </c>
      <c r="D38" s="7" t="inlineStr">
        <is>
          <t>FREIGHT</t>
        </is>
      </c>
      <c r="E38" s="7" t="inlineStr">
        <is>
          <t>physical</t>
        </is>
      </c>
      <c r="F38" s="7" t="inlineStr">
        <is>
          <t>L3</t>
        </is>
      </c>
      <c r="G38" s="7" t="inlineStr">
        <is>
          <t>Meridian Box Lines NVOCC (SIM)</t>
        </is>
      </c>
      <c r="H38" s="7" t="inlineStr">
        <is>
          <t>zorba</t>
        </is>
      </c>
      <c r="I38" s="7" t="inlineStr">
        <is>
          <t>USEC_MUN</t>
        </is>
      </c>
      <c r="J38" s="7" t="inlineStr">
        <is>
          <t>USD</t>
        </is>
      </c>
      <c r="K38" s="7" t="inlineStr">
        <is>
          <t>floating</t>
        </is>
      </c>
      <c r="L38" s="7" t="inlineStr">
        <is>
          <t>PNL</t>
        </is>
      </c>
      <c r="M38" s="11" t="n">
        <v>44698</v>
      </c>
      <c r="N38" s="13" t="n">
        <v>840</v>
      </c>
      <c r="O38" s="6" t="n">
        <v>0</v>
      </c>
      <c r="P38" s="13" t="n">
        <v>0</v>
      </c>
      <c r="Q38" s="22" t="n">
        <v>31</v>
      </c>
      <c r="R38" s="6" t="n">
        <v>1</v>
      </c>
      <c r="U38" s="9" t="n">
        <v>-88426.8</v>
      </c>
      <c r="V38" s="9" t="n">
        <v>-6799620.93</v>
      </c>
      <c r="X38" s="9" t="n">
        <v>76.8955</v>
      </c>
      <c r="AK38" s="7" t="inlineStr">
        <is>
          <t>PYTHON_LIFECYCLE</t>
        </is>
      </c>
      <c r="AL38" s="8">
        <f>IF($J38="INR",1,IF($M38&lt;$A38,INDEX(Market_Daily!$F$6:$F$256,MATCH($M38,Market_Daily!$A$6:$A$256,1)),IF($M38=$A38,INDEX(Market_Daily!$F$6:$F$256,MATCH($A38,Market_Daily!$A$6:$A$256,0)),(INDEX(Market_Daily!$F$6:$F$256,MATCH($A38,Market_Daily!$A$6:$A$256,0))*(1+INDEX(Market_Daily!$I$6:$I$256,MATCH($A38,Market_Daily!$A$6:$A$256,0))*($M38-$A38)/day_count_inr)/(1+INDEX(Market_Daily!$J$6:$J$256,MATCH($A38,Market_Daily!$A$6:$A$256,0))*($M38-$A38)/day_count_usd)))))</f>
        <v/>
      </c>
      <c r="AM38" s="8">
        <f>IF(OR($J38="INR",$R38&gt;1),"",$AL38-$X38)</f>
        <v/>
      </c>
      <c r="AN38" s="8">
        <f>$U38</f>
        <v/>
      </c>
      <c r="AO38" s="8">
        <f>$AN38*IF($J38="INR",1,$AL38)</f>
        <v/>
      </c>
      <c r="AP38" s="18">
        <f>$AO38-$V38</f>
        <v/>
      </c>
      <c r="AQ38" s="8">
        <f>IF(ABS($AP38)&lt;=tol_trade_inr,"PASS","FAIL")</f>
        <v/>
      </c>
    </row>
    <row r="39">
      <c r="A39" s="11" t="n">
        <v>44631</v>
      </c>
      <c r="B39" s="7" t="inlineStr">
        <is>
          <t>T01</t>
        </is>
      </c>
      <c r="C39" s="7" t="inlineStr">
        <is>
          <t>IGST:L1</t>
        </is>
      </c>
      <c r="D39" s="7" t="inlineStr">
        <is>
          <t>IGST</t>
        </is>
      </c>
      <c r="E39" s="7" t="inlineStr">
        <is>
          <t>physical</t>
        </is>
      </c>
      <c r="F39" s="7" t="inlineStr">
        <is>
          <t>L1</t>
        </is>
      </c>
      <c r="H39" s="7" t="inlineStr">
        <is>
          <t>zorba</t>
        </is>
      </c>
      <c r="I39" s="7" t="inlineStr">
        <is>
          <t>USEC_MUN</t>
        </is>
      </c>
      <c r="J39" s="7" t="inlineStr">
        <is>
          <t>INR</t>
        </is>
      </c>
      <c r="K39" s="7" t="inlineStr">
        <is>
          <t>floating</t>
        </is>
      </c>
      <c r="L39" s="7" t="inlineStr">
        <is>
          <t>BS</t>
        </is>
      </c>
      <c r="M39" s="11" t="n">
        <v>44735</v>
      </c>
      <c r="N39" s="13" t="n">
        <v>0</v>
      </c>
      <c r="O39" s="6" t="n">
        <v>0</v>
      </c>
      <c r="P39" s="13" t="n">
        <v>0</v>
      </c>
      <c r="Q39" s="22" t="n">
        <v>31</v>
      </c>
      <c r="R39" s="6" t="n">
        <v>2</v>
      </c>
      <c r="U39" s="9" t="n">
        <v>0</v>
      </c>
      <c r="V39" s="9" t="n">
        <v>0</v>
      </c>
      <c r="X39" s="9" t="n">
        <v>76.4217</v>
      </c>
      <c r="AK39" s="7" t="inlineStr">
        <is>
          <t>PYTHON_MULTI_FLOW_LEG</t>
        </is>
      </c>
      <c r="AL39" s="8">
        <f>IF($J39="INR",1,IF($M39&lt;$A39,INDEX(Market_Daily!$F$6:$F$256,MATCH($M39,Market_Daily!$A$6:$A$256,1)),IF($M39=$A39,INDEX(Market_Daily!$F$6:$F$256,MATCH($A39,Market_Daily!$A$6:$A$256,0)),(INDEX(Market_Daily!$F$6:$F$256,MATCH($A39,Market_Daily!$A$6:$A$256,0))*(1+INDEX(Market_Daily!$I$6:$I$256,MATCH($A39,Market_Daily!$A$6:$A$256,0))*($M39-$A39)/day_count_inr)/(1+INDEX(Market_Daily!$J$6:$J$256,MATCH($A39,Market_Daily!$A$6:$A$256,0))*($M39-$A39)/day_count_usd)))))</f>
        <v/>
      </c>
      <c r="AM39" s="8">
        <f>IF(OR($J39="INR",$R39&gt;1),"",$AL39-$X39)</f>
        <v/>
      </c>
      <c r="AN39" s="8">
        <f>$U39</f>
        <v/>
      </c>
      <c r="AO39" s="8">
        <f>$V39</f>
        <v/>
      </c>
      <c r="AP39" s="18">
        <f>$AO39-$V39</f>
        <v/>
      </c>
      <c r="AQ39" s="8">
        <f>IF(ABS($AP39)&lt;=tol_trade_inr,"PASS","FAIL")</f>
        <v/>
      </c>
    </row>
    <row r="40">
      <c r="A40" s="11" t="n">
        <v>44631</v>
      </c>
      <c r="B40" s="7" t="inlineStr">
        <is>
          <t>T01</t>
        </is>
      </c>
      <c r="C40" s="7" t="inlineStr">
        <is>
          <t>IGST:L2</t>
        </is>
      </c>
      <c r="D40" s="7" t="inlineStr">
        <is>
          <t>IGST</t>
        </is>
      </c>
      <c r="E40" s="7" t="inlineStr">
        <is>
          <t>physical</t>
        </is>
      </c>
      <c r="F40" s="7" t="inlineStr">
        <is>
          <t>L2</t>
        </is>
      </c>
      <c r="H40" s="7" t="inlineStr">
        <is>
          <t>zorba</t>
        </is>
      </c>
      <c r="I40" s="7" t="inlineStr">
        <is>
          <t>USEC_MUN</t>
        </is>
      </c>
      <c r="J40" s="7" t="inlineStr">
        <is>
          <t>INR</t>
        </is>
      </c>
      <c r="K40" s="7" t="inlineStr">
        <is>
          <t>floating</t>
        </is>
      </c>
      <c r="L40" s="7" t="inlineStr">
        <is>
          <t>BS</t>
        </is>
      </c>
      <c r="M40" s="11" t="n">
        <v>44741</v>
      </c>
      <c r="N40" s="13" t="n">
        <v>0</v>
      </c>
      <c r="O40" s="6" t="n">
        <v>0</v>
      </c>
      <c r="P40" s="13" t="n">
        <v>0</v>
      </c>
      <c r="Q40" s="22" t="n">
        <v>31</v>
      </c>
      <c r="R40" s="6" t="n">
        <v>2</v>
      </c>
      <c r="U40" s="9" t="n">
        <v>0</v>
      </c>
      <c r="V40" s="9" t="n">
        <v>0</v>
      </c>
      <c r="X40" s="9" t="n">
        <v>76.4217</v>
      </c>
      <c r="AK40" s="7" t="inlineStr">
        <is>
          <t>PYTHON_MULTI_FLOW_LEG</t>
        </is>
      </c>
      <c r="AL40" s="8">
        <f>IF($J40="INR",1,IF($M40&lt;$A40,INDEX(Market_Daily!$F$6:$F$256,MATCH($M40,Market_Daily!$A$6:$A$256,1)),IF($M40=$A40,INDEX(Market_Daily!$F$6:$F$256,MATCH($A40,Market_Daily!$A$6:$A$256,0)),(INDEX(Market_Daily!$F$6:$F$256,MATCH($A40,Market_Daily!$A$6:$A$256,0))*(1+INDEX(Market_Daily!$I$6:$I$256,MATCH($A40,Market_Daily!$A$6:$A$256,0))*($M40-$A40)/day_count_inr)/(1+INDEX(Market_Daily!$J$6:$J$256,MATCH($A40,Market_Daily!$A$6:$A$256,0))*($M40-$A40)/day_count_usd)))))</f>
        <v/>
      </c>
      <c r="AM40" s="8">
        <f>IF(OR($J40="INR",$R40&gt;1),"",$AL40-$X40)</f>
        <v/>
      </c>
      <c r="AN40" s="8">
        <f>$U40</f>
        <v/>
      </c>
      <c r="AO40" s="8">
        <f>$V40</f>
        <v/>
      </c>
      <c r="AP40" s="18">
        <f>$AO40-$V40</f>
        <v/>
      </c>
      <c r="AQ40" s="8">
        <f>IF(ABS($AP40)&lt;=tol_trade_inr,"PASS","FAIL")</f>
        <v/>
      </c>
    </row>
    <row r="41">
      <c r="A41" s="11" t="n">
        <v>44631</v>
      </c>
      <c r="B41" s="7" t="inlineStr">
        <is>
          <t>T01</t>
        </is>
      </c>
      <c r="C41" s="7" t="inlineStr">
        <is>
          <t>IGST:L3</t>
        </is>
      </c>
      <c r="D41" s="7" t="inlineStr">
        <is>
          <t>IGST</t>
        </is>
      </c>
      <c r="E41" s="7" t="inlineStr">
        <is>
          <t>physical</t>
        </is>
      </c>
      <c r="F41" s="7" t="inlineStr">
        <is>
          <t>L3</t>
        </is>
      </c>
      <c r="H41" s="7" t="inlineStr">
        <is>
          <t>zorba</t>
        </is>
      </c>
      <c r="I41" s="7" t="inlineStr">
        <is>
          <t>USEC_MUN</t>
        </is>
      </c>
      <c r="J41" s="7" t="inlineStr">
        <is>
          <t>INR</t>
        </is>
      </c>
      <c r="K41" s="7" t="inlineStr">
        <is>
          <t>floating</t>
        </is>
      </c>
      <c r="L41" s="7" t="inlineStr">
        <is>
          <t>BS</t>
        </is>
      </c>
      <c r="M41" s="11" t="n">
        <v>44746</v>
      </c>
      <c r="N41" s="13" t="n">
        <v>0</v>
      </c>
      <c r="O41" s="6" t="n">
        <v>0</v>
      </c>
      <c r="P41" s="13" t="n">
        <v>0</v>
      </c>
      <c r="Q41" s="22" t="n">
        <v>31</v>
      </c>
      <c r="R41" s="6" t="n">
        <v>2</v>
      </c>
      <c r="U41" s="9" t="n">
        <v>0</v>
      </c>
      <c r="V41" s="9" t="n">
        <v>0</v>
      </c>
      <c r="X41" s="9" t="n">
        <v>76.4217</v>
      </c>
      <c r="AK41" s="7" t="inlineStr">
        <is>
          <t>PYTHON_MULTI_FLOW_LEG</t>
        </is>
      </c>
      <c r="AL41" s="8">
        <f>IF($J41="INR",1,IF($M41&lt;$A41,INDEX(Market_Daily!$F$6:$F$256,MATCH($M41,Market_Daily!$A$6:$A$256,1)),IF($M41=$A41,INDEX(Market_Daily!$F$6:$F$256,MATCH($A41,Market_Daily!$A$6:$A$256,0)),(INDEX(Market_Daily!$F$6:$F$256,MATCH($A41,Market_Daily!$A$6:$A$256,0))*(1+INDEX(Market_Daily!$I$6:$I$256,MATCH($A41,Market_Daily!$A$6:$A$256,0))*($M41-$A41)/day_count_inr)/(1+INDEX(Market_Daily!$J$6:$J$256,MATCH($A41,Market_Daily!$A$6:$A$256,0))*($M41-$A41)/day_count_usd)))))</f>
        <v/>
      </c>
      <c r="AM41" s="8">
        <f>IF(OR($J41="INR",$R41&gt;1),"",$AL41-$X41)</f>
        <v/>
      </c>
      <c r="AN41" s="8">
        <f>$U41</f>
        <v/>
      </c>
      <c r="AO41" s="8">
        <f>$V41</f>
        <v/>
      </c>
      <c r="AP41" s="18">
        <f>$AO41-$V41</f>
        <v/>
      </c>
      <c r="AQ41" s="8">
        <f>IF(ABS($AP41)&lt;=tol_trade_inr,"PASS","FAIL")</f>
        <v/>
      </c>
    </row>
    <row r="42">
      <c r="A42" s="11" t="n">
        <v>44631</v>
      </c>
      <c r="B42" s="7" t="inlineStr">
        <is>
          <t>T01</t>
        </is>
      </c>
      <c r="C42" s="7" t="inlineStr">
        <is>
          <t>INSURANCE:L1</t>
        </is>
      </c>
      <c r="D42" s="7" t="inlineStr">
        <is>
          <t>INSURANCE</t>
        </is>
      </c>
      <c r="E42" s="7" t="inlineStr">
        <is>
          <t>physical</t>
        </is>
      </c>
      <c r="F42" s="7" t="inlineStr">
        <is>
          <t>L1</t>
        </is>
      </c>
      <c r="H42" s="7" t="inlineStr">
        <is>
          <t>zorba</t>
        </is>
      </c>
      <c r="I42" s="7" t="inlineStr">
        <is>
          <t>USEC_MUN</t>
        </is>
      </c>
      <c r="J42" s="7" t="inlineStr">
        <is>
          <t>USD</t>
        </is>
      </c>
      <c r="K42" s="7" t="inlineStr">
        <is>
          <t>floating</t>
        </is>
      </c>
      <c r="L42" s="7" t="inlineStr">
        <is>
          <t>PNL</t>
        </is>
      </c>
      <c r="M42" s="11" t="n">
        <v>44649</v>
      </c>
      <c r="N42" s="13" t="n">
        <v>840</v>
      </c>
      <c r="O42" s="6" t="n">
        <v>0</v>
      </c>
      <c r="P42" s="13" t="n">
        <v>0</v>
      </c>
      <c r="Q42" s="22" t="n">
        <v>31</v>
      </c>
      <c r="R42" s="6" t="n">
        <v>1</v>
      </c>
      <c r="U42" s="9" t="n">
        <v>-2259.43</v>
      </c>
      <c r="V42" s="9" t="n">
        <v>-172957.18</v>
      </c>
      <c r="X42" s="9" t="n">
        <v>76.5491</v>
      </c>
      <c r="AK42" s="7" t="inlineStr">
        <is>
          <t>PYTHON_LIFECYCLE</t>
        </is>
      </c>
      <c r="AL42" s="8">
        <f>IF($J42="INR",1,IF($M42&lt;$A42,INDEX(Market_Daily!$F$6:$F$256,MATCH($M42,Market_Daily!$A$6:$A$256,1)),IF($M42=$A42,INDEX(Market_Daily!$F$6:$F$256,MATCH($A42,Market_Daily!$A$6:$A$256,0)),(INDEX(Market_Daily!$F$6:$F$256,MATCH($A42,Market_Daily!$A$6:$A$256,0))*(1+INDEX(Market_Daily!$I$6:$I$256,MATCH($A42,Market_Daily!$A$6:$A$256,0))*($M42-$A42)/day_count_inr)/(1+INDEX(Market_Daily!$J$6:$J$256,MATCH($A42,Market_Daily!$A$6:$A$256,0))*($M42-$A42)/day_count_usd)))))</f>
        <v/>
      </c>
      <c r="AM42" s="8">
        <f>IF(OR($J42="INR",$R42&gt;1),"",$AL42-$X42)</f>
        <v/>
      </c>
      <c r="AN42" s="8">
        <f>$U42</f>
        <v/>
      </c>
      <c r="AO42" s="8">
        <f>$AN42*IF($J42="INR",1,$AL42)</f>
        <v/>
      </c>
      <c r="AP42" s="18">
        <f>$AO42-$V42</f>
        <v/>
      </c>
      <c r="AQ42" s="8">
        <f>IF(ABS($AP42)&lt;=tol_trade_inr,"PASS","FAIL")</f>
        <v/>
      </c>
    </row>
    <row r="43">
      <c r="A43" s="11" t="n">
        <v>44631</v>
      </c>
      <c r="B43" s="7" t="inlineStr">
        <is>
          <t>T01</t>
        </is>
      </c>
      <c r="C43" s="7" t="inlineStr">
        <is>
          <t>INSURANCE:L2</t>
        </is>
      </c>
      <c r="D43" s="7" t="inlineStr">
        <is>
          <t>INSURANCE</t>
        </is>
      </c>
      <c r="E43" s="7" t="inlineStr">
        <is>
          <t>physical</t>
        </is>
      </c>
      <c r="F43" s="7" t="inlineStr">
        <is>
          <t>L2</t>
        </is>
      </c>
      <c r="H43" s="7" t="inlineStr">
        <is>
          <t>zorba</t>
        </is>
      </c>
      <c r="I43" s="7" t="inlineStr">
        <is>
          <t>USEC_MUN</t>
        </is>
      </c>
      <c r="J43" s="7" t="inlineStr">
        <is>
          <t>USD</t>
        </is>
      </c>
      <c r="K43" s="7" t="inlineStr">
        <is>
          <t>floating</t>
        </is>
      </c>
      <c r="L43" s="7" t="inlineStr">
        <is>
          <t>PNL</t>
        </is>
      </c>
      <c r="M43" s="11" t="n">
        <v>44655</v>
      </c>
      <c r="N43" s="13" t="n">
        <v>840</v>
      </c>
      <c r="O43" s="6" t="n">
        <v>0</v>
      </c>
      <c r="P43" s="13" t="n">
        <v>0</v>
      </c>
      <c r="Q43" s="22" t="n">
        <v>31</v>
      </c>
      <c r="R43" s="6" t="n">
        <v>1</v>
      </c>
      <c r="U43" s="9" t="n">
        <v>-2259.43</v>
      </c>
      <c r="V43" s="9" t="n">
        <v>-173053.07</v>
      </c>
      <c r="X43" s="9" t="n">
        <v>76.5915</v>
      </c>
      <c r="AK43" s="7" t="inlineStr">
        <is>
          <t>PYTHON_LIFECYCLE</t>
        </is>
      </c>
      <c r="AL43" s="8">
        <f>IF($J43="INR",1,IF($M43&lt;$A43,INDEX(Market_Daily!$F$6:$F$256,MATCH($M43,Market_Daily!$A$6:$A$256,1)),IF($M43=$A43,INDEX(Market_Daily!$F$6:$F$256,MATCH($A43,Market_Daily!$A$6:$A$256,0)),(INDEX(Market_Daily!$F$6:$F$256,MATCH($A43,Market_Daily!$A$6:$A$256,0))*(1+INDEX(Market_Daily!$I$6:$I$256,MATCH($A43,Market_Daily!$A$6:$A$256,0))*($M43-$A43)/day_count_inr)/(1+INDEX(Market_Daily!$J$6:$J$256,MATCH($A43,Market_Daily!$A$6:$A$256,0))*($M43-$A43)/day_count_usd)))))</f>
        <v/>
      </c>
      <c r="AM43" s="8">
        <f>IF(OR($J43="INR",$R43&gt;1),"",$AL43-$X43)</f>
        <v/>
      </c>
      <c r="AN43" s="8">
        <f>$U43</f>
        <v/>
      </c>
      <c r="AO43" s="8">
        <f>$AN43*IF($J43="INR",1,$AL43)</f>
        <v/>
      </c>
      <c r="AP43" s="18">
        <f>$AO43-$V43</f>
        <v/>
      </c>
      <c r="AQ43" s="8">
        <f>IF(ABS($AP43)&lt;=tol_trade_inr,"PASS","FAIL")</f>
        <v/>
      </c>
    </row>
    <row r="44">
      <c r="A44" s="11" t="n">
        <v>44631</v>
      </c>
      <c r="B44" s="7" t="inlineStr">
        <is>
          <t>T01</t>
        </is>
      </c>
      <c r="C44" s="7" t="inlineStr">
        <is>
          <t>INSURANCE:L3</t>
        </is>
      </c>
      <c r="D44" s="7" t="inlineStr">
        <is>
          <t>INSURANCE</t>
        </is>
      </c>
      <c r="E44" s="7" t="inlineStr">
        <is>
          <t>physical</t>
        </is>
      </c>
      <c r="F44" s="7" t="inlineStr">
        <is>
          <t>L3</t>
        </is>
      </c>
      <c r="H44" s="7" t="inlineStr">
        <is>
          <t>zorba</t>
        </is>
      </c>
      <c r="I44" s="7" t="inlineStr">
        <is>
          <t>USEC_MUN</t>
        </is>
      </c>
      <c r="J44" s="7" t="inlineStr">
        <is>
          <t>USD</t>
        </is>
      </c>
      <c r="K44" s="7" t="inlineStr">
        <is>
          <t>floating</t>
        </is>
      </c>
      <c r="L44" s="7" t="inlineStr">
        <is>
          <t>PNL</t>
        </is>
      </c>
      <c r="M44" s="11" t="n">
        <v>44658</v>
      </c>
      <c r="N44" s="13" t="n">
        <v>840</v>
      </c>
      <c r="O44" s="6" t="n">
        <v>0</v>
      </c>
      <c r="P44" s="13" t="n">
        <v>0</v>
      </c>
      <c r="Q44" s="22" t="n">
        <v>31</v>
      </c>
      <c r="R44" s="6" t="n">
        <v>1</v>
      </c>
      <c r="U44" s="9" t="n">
        <v>-2259.43</v>
      </c>
      <c r="V44" s="9" t="n">
        <v>-173101.01</v>
      </c>
      <c r="X44" s="9" t="n">
        <v>76.6127</v>
      </c>
      <c r="AK44" s="7" t="inlineStr">
        <is>
          <t>PYTHON_LIFECYCLE</t>
        </is>
      </c>
      <c r="AL44" s="8">
        <f>IF($J44="INR",1,IF($M44&lt;$A44,INDEX(Market_Daily!$F$6:$F$256,MATCH($M44,Market_Daily!$A$6:$A$256,1)),IF($M44=$A44,INDEX(Market_Daily!$F$6:$F$256,MATCH($A44,Market_Daily!$A$6:$A$256,0)),(INDEX(Market_Daily!$F$6:$F$256,MATCH($A44,Market_Daily!$A$6:$A$256,0))*(1+INDEX(Market_Daily!$I$6:$I$256,MATCH($A44,Market_Daily!$A$6:$A$256,0))*($M44-$A44)/day_count_inr)/(1+INDEX(Market_Daily!$J$6:$J$256,MATCH($A44,Market_Daily!$A$6:$A$256,0))*($M44-$A44)/day_count_usd)))))</f>
        <v/>
      </c>
      <c r="AM44" s="8">
        <f>IF(OR($J44="INR",$R44&gt;1),"",$AL44-$X44)</f>
        <v/>
      </c>
      <c r="AN44" s="8">
        <f>$U44</f>
        <v/>
      </c>
      <c r="AO44" s="8">
        <f>$AN44*IF($J44="INR",1,$AL44)</f>
        <v/>
      </c>
      <c r="AP44" s="18">
        <f>$AO44-$V44</f>
        <v/>
      </c>
      <c r="AQ44" s="8">
        <f>IF(ABS($AP44)&lt;=tol_trade_inr,"PASS","FAIL")</f>
        <v/>
      </c>
    </row>
    <row r="45">
      <c r="A45" s="11" t="n">
        <v>44631</v>
      </c>
      <c r="B45" s="7" t="inlineStr">
        <is>
          <t>T01</t>
        </is>
      </c>
      <c r="C45" s="7" t="inlineStr">
        <is>
          <t>INVENTORY:L1</t>
        </is>
      </c>
      <c r="D45" s="7" t="inlineStr">
        <is>
          <t>INVENTORY</t>
        </is>
      </c>
      <c r="E45" s="7" t="inlineStr">
        <is>
          <t>physical</t>
        </is>
      </c>
      <c r="F45" s="7" t="inlineStr">
        <is>
          <t>L1</t>
        </is>
      </c>
      <c r="H45" s="7" t="inlineStr">
        <is>
          <t>zorba</t>
        </is>
      </c>
      <c r="I45" s="7" t="inlineStr">
        <is>
          <t>USEC_MUN</t>
        </is>
      </c>
      <c r="J45" s="7" t="inlineStr">
        <is>
          <t>INR</t>
        </is>
      </c>
      <c r="K45" s="7" t="inlineStr">
        <is>
          <t>fixed_unsettled</t>
        </is>
      </c>
      <c r="L45" s="7" t="inlineStr">
        <is>
          <t>PNL</t>
        </is>
      </c>
      <c r="N45" s="13" t="n">
        <v>840</v>
      </c>
      <c r="O45" s="6" t="n">
        <v>0</v>
      </c>
      <c r="P45" s="13" t="n">
        <v>0</v>
      </c>
      <c r="Q45" s="22" t="n">
        <v>31</v>
      </c>
      <c r="R45" s="6" t="n">
        <v>0</v>
      </c>
      <c r="U45" s="9" t="n">
        <v>162582127.48</v>
      </c>
      <c r="V45" s="9" t="n">
        <v>162582127.48</v>
      </c>
      <c r="W45" s="9" t="n">
        <v>193550.1518</v>
      </c>
      <c r="X45" s="9" t="n">
        <v>76.4217</v>
      </c>
      <c r="Y45" s="8">
        <f>IF($I45="JEA_NSA","20ft","40ft")</f>
        <v/>
      </c>
      <c r="Z45" s="8">
        <f>IF($I45="JEA_NSA","nsa","mun")</f>
        <v/>
      </c>
      <c r="AA45" s="8">
        <f>INDEX(param_values,MATCH("container_payload_mt_"&amp;$Y45,param_keys,0))/INDEX(param_values,MATCH("container_payload_mt_"&amp;$Y45&amp;"_"&amp;$H45,param_keys,0))</f>
        <v/>
      </c>
      <c r="AB45" s="16">
        <f>INDEX(Market_Daily!$C$6:$C$256,MATCH($A45,Market_Daily!$A$6:$A$256,0))*INDEX(Market_Daily!$X$6:$Z$256,MATCH($A45,Market_Daily!$A$6:$A$256,0),MATCH("grade_factor_"&amp;$H45,Market_Daily!$X$5:$Z$5,0))</f>
        <v/>
      </c>
      <c r="AC45" s="16">
        <f>$AB45*(1+insurance_rate*insured_value_uplift)</f>
        <v/>
      </c>
      <c r="AD45" s="8">
        <f>(INDEX(Market_Daily!$F$6:$F$256,MATCH($A45,Market_Daily!$A$6:$A$256,0))*(1+INDEX(Market_Daily!$I$6:$I$256,MATCH($A45,Market_Daily!$A$6:$A$256,0))*$Q45/day_count_inr)/(1+INDEX(Market_Daily!$J$6:$J$256,MATCH($A45,Market_Daily!$A$6:$A$256,0))*$Q45/day_count_usd))</f>
        <v/>
      </c>
      <c r="AE45" s="18">
        <f>$AC45*$AD45</f>
        <v/>
      </c>
      <c r="AF45" s="18">
        <f>$AC45*INDEX(Market_Daily!$V$6:$V$256,MATCH($A45,Market_Daily!$A$6:$A$256,0))</f>
        <v/>
      </c>
      <c r="AG45" s="18">
        <f>$AF45*bcd_scrap_hs7602*(1+sws_rate_on_bcd)</f>
        <v/>
      </c>
      <c r="AH45" s="18">
        <f>INDEX(param_values,MATCH("port_cf_charges_inr_t_"&amp;$Z45,param_keys,0))*$AA45+IF(INDEX(param_values,MATCH(IF($I45="JEA_NSA","psic_required_uae_origin","psic_required_safe_origin_designated_port"),param_keys,0)),psic_cost_usd_per_box*INDEX(Market_Daily!$F$6:$F$256,MATCH($A45,Market_Daily!$A$6:$A$256,0))/INDEX(param_values,MATCH("container_payload_mt_20ft_"&amp;$H45,param_keys,0)),0)</f>
        <v/>
      </c>
      <c r="AI45" s="18">
        <f>IF(igst_itc_available,0,($AF45+$AG45)*igst_rate_hs7602)</f>
        <v/>
      </c>
      <c r="AJ45" s="18">
        <f>$AE45+$AG45+$AH45+$AI45</f>
        <v/>
      </c>
      <c r="AK45" s="7" t="inlineStr">
        <is>
          <t>DERIVED_IN_WORKBOOK</t>
        </is>
      </c>
      <c r="AL45" s="8">
        <f>IF($J45="INR",1,IF($M45&lt;$A45,INDEX(Market_Daily!$F$6:$F$256,MATCH($M45,Market_Daily!$A$6:$A$256,1)),IF($M45=$A45,INDEX(Market_Daily!$F$6:$F$256,MATCH($A45,Market_Daily!$A$6:$A$256,0)),(INDEX(Market_Daily!$F$6:$F$256,MATCH($A45,Market_Daily!$A$6:$A$256,0))*(1+INDEX(Market_Daily!$I$6:$I$256,MATCH($A45,Market_Daily!$A$6:$A$256,0))*($M45-$A45)/day_count_inr)/(1+INDEX(Market_Daily!$J$6:$J$256,MATCH($A45,Market_Daily!$A$6:$A$256,0))*($M45-$A45)/day_count_usd)))))</f>
        <v/>
      </c>
      <c r="AM45" s="8">
        <f>IF(OR($J45="INR",$R45&gt;1),"",$AL45-$X45)</f>
        <v/>
      </c>
      <c r="AN45" s="8">
        <f>$N45*$AJ45</f>
        <v/>
      </c>
      <c r="AO45" s="8">
        <f>$AN45</f>
        <v/>
      </c>
      <c r="AP45" s="18">
        <f>$AO45-$V45</f>
        <v/>
      </c>
      <c r="AQ45" s="8">
        <f>IF(ABS($AP45)&lt;=tol_trade_inr,"PASS","FAIL")</f>
        <v/>
      </c>
    </row>
    <row r="46">
      <c r="A46" s="11" t="n">
        <v>44631</v>
      </c>
      <c r="B46" s="7" t="inlineStr">
        <is>
          <t>T01</t>
        </is>
      </c>
      <c r="C46" s="7" t="inlineStr">
        <is>
          <t>INVENTORY:L2</t>
        </is>
      </c>
      <c r="D46" s="7" t="inlineStr">
        <is>
          <t>INVENTORY</t>
        </is>
      </c>
      <c r="E46" s="7" t="inlineStr">
        <is>
          <t>physical</t>
        </is>
      </c>
      <c r="F46" s="7" t="inlineStr">
        <is>
          <t>L2</t>
        </is>
      </c>
      <c r="H46" s="7" t="inlineStr">
        <is>
          <t>zorba</t>
        </is>
      </c>
      <c r="I46" s="7" t="inlineStr">
        <is>
          <t>USEC_MUN</t>
        </is>
      </c>
      <c r="J46" s="7" t="inlineStr">
        <is>
          <t>INR</t>
        </is>
      </c>
      <c r="K46" s="7" t="inlineStr">
        <is>
          <t>fixed_unsettled</t>
        </is>
      </c>
      <c r="L46" s="7" t="inlineStr">
        <is>
          <t>PNL</t>
        </is>
      </c>
      <c r="N46" s="13" t="n">
        <v>840</v>
      </c>
      <c r="O46" s="6" t="n">
        <v>0</v>
      </c>
      <c r="P46" s="13" t="n">
        <v>0</v>
      </c>
      <c r="Q46" s="22" t="n">
        <v>31</v>
      </c>
      <c r="R46" s="6" t="n">
        <v>0</v>
      </c>
      <c r="U46" s="9" t="n">
        <v>162582127.48</v>
      </c>
      <c r="V46" s="9" t="n">
        <v>162582127.48</v>
      </c>
      <c r="W46" s="9" t="n">
        <v>193550.1518</v>
      </c>
      <c r="X46" s="9" t="n">
        <v>76.4217</v>
      </c>
      <c r="Y46" s="8">
        <f>IF($I46="JEA_NSA","20ft","40ft")</f>
        <v/>
      </c>
      <c r="Z46" s="8">
        <f>IF($I46="JEA_NSA","nsa","mun")</f>
        <v/>
      </c>
      <c r="AA46" s="8">
        <f>INDEX(param_values,MATCH("container_payload_mt_"&amp;$Y46,param_keys,0))/INDEX(param_values,MATCH("container_payload_mt_"&amp;$Y46&amp;"_"&amp;$H46,param_keys,0))</f>
        <v/>
      </c>
      <c r="AB46" s="16">
        <f>INDEX(Market_Daily!$C$6:$C$256,MATCH($A46,Market_Daily!$A$6:$A$256,0))*INDEX(Market_Daily!$X$6:$Z$256,MATCH($A46,Market_Daily!$A$6:$A$256,0),MATCH("grade_factor_"&amp;$H46,Market_Daily!$X$5:$Z$5,0))</f>
        <v/>
      </c>
      <c r="AC46" s="16">
        <f>$AB46*(1+insurance_rate*insured_value_uplift)</f>
        <v/>
      </c>
      <c r="AD46" s="8">
        <f>(INDEX(Market_Daily!$F$6:$F$256,MATCH($A46,Market_Daily!$A$6:$A$256,0))*(1+INDEX(Market_Daily!$I$6:$I$256,MATCH($A46,Market_Daily!$A$6:$A$256,0))*$Q46/day_count_inr)/(1+INDEX(Market_Daily!$J$6:$J$256,MATCH($A46,Market_Daily!$A$6:$A$256,0))*$Q46/day_count_usd))</f>
        <v/>
      </c>
      <c r="AE46" s="18">
        <f>$AC46*$AD46</f>
        <v/>
      </c>
      <c r="AF46" s="18">
        <f>$AC46*INDEX(Market_Daily!$V$6:$V$256,MATCH($A46,Market_Daily!$A$6:$A$256,0))</f>
        <v/>
      </c>
      <c r="AG46" s="18">
        <f>$AF46*bcd_scrap_hs7602*(1+sws_rate_on_bcd)</f>
        <v/>
      </c>
      <c r="AH46" s="18">
        <f>INDEX(param_values,MATCH("port_cf_charges_inr_t_"&amp;$Z46,param_keys,0))*$AA46+IF(INDEX(param_values,MATCH(IF($I46="JEA_NSA","psic_required_uae_origin","psic_required_safe_origin_designated_port"),param_keys,0)),psic_cost_usd_per_box*INDEX(Market_Daily!$F$6:$F$256,MATCH($A46,Market_Daily!$A$6:$A$256,0))/INDEX(param_values,MATCH("container_payload_mt_20ft_"&amp;$H46,param_keys,0)),0)</f>
        <v/>
      </c>
      <c r="AI46" s="18">
        <f>IF(igst_itc_available,0,($AF46+$AG46)*igst_rate_hs7602)</f>
        <v/>
      </c>
      <c r="AJ46" s="18">
        <f>$AE46+$AG46+$AH46+$AI46</f>
        <v/>
      </c>
      <c r="AK46" s="7" t="inlineStr">
        <is>
          <t>DERIVED_IN_WORKBOOK</t>
        </is>
      </c>
      <c r="AL46" s="8">
        <f>IF($J46="INR",1,IF($M46&lt;$A46,INDEX(Market_Daily!$F$6:$F$256,MATCH($M46,Market_Daily!$A$6:$A$256,1)),IF($M46=$A46,INDEX(Market_Daily!$F$6:$F$256,MATCH($A46,Market_Daily!$A$6:$A$256,0)),(INDEX(Market_Daily!$F$6:$F$256,MATCH($A46,Market_Daily!$A$6:$A$256,0))*(1+INDEX(Market_Daily!$I$6:$I$256,MATCH($A46,Market_Daily!$A$6:$A$256,0))*($M46-$A46)/day_count_inr)/(1+INDEX(Market_Daily!$J$6:$J$256,MATCH($A46,Market_Daily!$A$6:$A$256,0))*($M46-$A46)/day_count_usd)))))</f>
        <v/>
      </c>
      <c r="AM46" s="8">
        <f>IF(OR($J46="INR",$R46&gt;1),"",$AL46-$X46)</f>
        <v/>
      </c>
      <c r="AN46" s="8">
        <f>$N46*$AJ46</f>
        <v/>
      </c>
      <c r="AO46" s="8">
        <f>$AN46</f>
        <v/>
      </c>
      <c r="AP46" s="18">
        <f>$AO46-$V46</f>
        <v/>
      </c>
      <c r="AQ46" s="8">
        <f>IF(ABS($AP46)&lt;=tol_trade_inr,"PASS","FAIL")</f>
        <v/>
      </c>
    </row>
    <row r="47">
      <c r="A47" s="11" t="n">
        <v>44631</v>
      </c>
      <c r="B47" s="7" t="inlineStr">
        <is>
          <t>T01</t>
        </is>
      </c>
      <c r="C47" s="7" t="inlineStr">
        <is>
          <t>INVENTORY:L3</t>
        </is>
      </c>
      <c r="D47" s="7" t="inlineStr">
        <is>
          <t>INVENTORY</t>
        </is>
      </c>
      <c r="E47" s="7" t="inlineStr">
        <is>
          <t>physical</t>
        </is>
      </c>
      <c r="F47" s="7" t="inlineStr">
        <is>
          <t>L3</t>
        </is>
      </c>
      <c r="H47" s="7" t="inlineStr">
        <is>
          <t>zorba</t>
        </is>
      </c>
      <c r="I47" s="7" t="inlineStr">
        <is>
          <t>USEC_MUN</t>
        </is>
      </c>
      <c r="J47" s="7" t="inlineStr">
        <is>
          <t>INR</t>
        </is>
      </c>
      <c r="K47" s="7" t="inlineStr">
        <is>
          <t>fixed_unsettled</t>
        </is>
      </c>
      <c r="L47" s="7" t="inlineStr">
        <is>
          <t>PNL</t>
        </is>
      </c>
      <c r="N47" s="13" t="n">
        <v>840</v>
      </c>
      <c r="O47" s="6" t="n">
        <v>0</v>
      </c>
      <c r="P47" s="13" t="n">
        <v>0</v>
      </c>
      <c r="Q47" s="22" t="n">
        <v>31</v>
      </c>
      <c r="R47" s="6" t="n">
        <v>0</v>
      </c>
      <c r="U47" s="9" t="n">
        <v>162582127.48</v>
      </c>
      <c r="V47" s="9" t="n">
        <v>162582127.48</v>
      </c>
      <c r="W47" s="9" t="n">
        <v>193550.1518</v>
      </c>
      <c r="X47" s="9" t="n">
        <v>76.4217</v>
      </c>
      <c r="Y47" s="8">
        <f>IF($I47="JEA_NSA","20ft","40ft")</f>
        <v/>
      </c>
      <c r="Z47" s="8">
        <f>IF($I47="JEA_NSA","nsa","mun")</f>
        <v/>
      </c>
      <c r="AA47" s="8">
        <f>INDEX(param_values,MATCH("container_payload_mt_"&amp;$Y47,param_keys,0))/INDEX(param_values,MATCH("container_payload_mt_"&amp;$Y47&amp;"_"&amp;$H47,param_keys,0))</f>
        <v/>
      </c>
      <c r="AB47" s="16">
        <f>INDEX(Market_Daily!$C$6:$C$256,MATCH($A47,Market_Daily!$A$6:$A$256,0))*INDEX(Market_Daily!$X$6:$Z$256,MATCH($A47,Market_Daily!$A$6:$A$256,0),MATCH("grade_factor_"&amp;$H47,Market_Daily!$X$5:$Z$5,0))</f>
        <v/>
      </c>
      <c r="AC47" s="16">
        <f>$AB47*(1+insurance_rate*insured_value_uplift)</f>
        <v/>
      </c>
      <c r="AD47" s="8">
        <f>(INDEX(Market_Daily!$F$6:$F$256,MATCH($A47,Market_Daily!$A$6:$A$256,0))*(1+INDEX(Market_Daily!$I$6:$I$256,MATCH($A47,Market_Daily!$A$6:$A$256,0))*$Q47/day_count_inr)/(1+INDEX(Market_Daily!$J$6:$J$256,MATCH($A47,Market_Daily!$A$6:$A$256,0))*$Q47/day_count_usd))</f>
        <v/>
      </c>
      <c r="AE47" s="18">
        <f>$AC47*$AD47</f>
        <v/>
      </c>
      <c r="AF47" s="18">
        <f>$AC47*INDEX(Market_Daily!$V$6:$V$256,MATCH($A47,Market_Daily!$A$6:$A$256,0))</f>
        <v/>
      </c>
      <c r="AG47" s="18">
        <f>$AF47*bcd_scrap_hs7602*(1+sws_rate_on_bcd)</f>
        <v/>
      </c>
      <c r="AH47" s="18">
        <f>INDEX(param_values,MATCH("port_cf_charges_inr_t_"&amp;$Z47,param_keys,0))*$AA47+IF(INDEX(param_values,MATCH(IF($I47="JEA_NSA","psic_required_uae_origin","psic_required_safe_origin_designated_port"),param_keys,0)),psic_cost_usd_per_box*INDEX(Market_Daily!$F$6:$F$256,MATCH($A47,Market_Daily!$A$6:$A$256,0))/INDEX(param_values,MATCH("container_payload_mt_20ft_"&amp;$H47,param_keys,0)),0)</f>
        <v/>
      </c>
      <c r="AI47" s="18">
        <f>IF(igst_itc_available,0,($AF47+$AG47)*igst_rate_hs7602)</f>
        <v/>
      </c>
      <c r="AJ47" s="18">
        <f>$AE47+$AG47+$AH47+$AI47</f>
        <v/>
      </c>
      <c r="AK47" s="7" t="inlineStr">
        <is>
          <t>DERIVED_IN_WORKBOOK</t>
        </is>
      </c>
      <c r="AL47" s="8">
        <f>IF($J47="INR",1,IF($M47&lt;$A47,INDEX(Market_Daily!$F$6:$F$256,MATCH($M47,Market_Daily!$A$6:$A$256,1)),IF($M47=$A47,INDEX(Market_Daily!$F$6:$F$256,MATCH($A47,Market_Daily!$A$6:$A$256,0)),(INDEX(Market_Daily!$F$6:$F$256,MATCH($A47,Market_Daily!$A$6:$A$256,0))*(1+INDEX(Market_Daily!$I$6:$I$256,MATCH($A47,Market_Daily!$A$6:$A$256,0))*($M47-$A47)/day_count_inr)/(1+INDEX(Market_Daily!$J$6:$J$256,MATCH($A47,Market_Daily!$A$6:$A$256,0))*($M47-$A47)/day_count_usd)))))</f>
        <v/>
      </c>
      <c r="AM47" s="8">
        <f>IF(OR($J47="INR",$R47&gt;1),"",$AL47-$X47)</f>
        <v/>
      </c>
      <c r="AN47" s="8">
        <f>$N47*$AJ47</f>
        <v/>
      </c>
      <c r="AO47" s="8">
        <f>$AN47</f>
        <v/>
      </c>
      <c r="AP47" s="18">
        <f>$AO47-$V47</f>
        <v/>
      </c>
      <c r="AQ47" s="8">
        <f>IF(ABS($AP47)&lt;=tol_trade_inr,"PASS","FAIL")</f>
        <v/>
      </c>
    </row>
    <row r="48">
      <c r="A48" s="11" t="n">
        <v>44631</v>
      </c>
      <c r="B48" s="7" t="inlineStr">
        <is>
          <t>T01</t>
        </is>
      </c>
      <c r="C48" s="7" t="inlineStr">
        <is>
          <t>MCX:T01-MCX-1</t>
        </is>
      </c>
      <c r="D48" s="7" t="inlineStr">
        <is>
          <t>MCX</t>
        </is>
      </c>
      <c r="E48" s="7" t="inlineStr">
        <is>
          <t>mcx</t>
        </is>
      </c>
      <c r="H48" s="7" t="inlineStr">
        <is>
          <t>zorba</t>
        </is>
      </c>
      <c r="I48" s="7" t="inlineStr">
        <is>
          <t>USEC_MUN</t>
        </is>
      </c>
      <c r="J48" s="7" t="inlineStr">
        <is>
          <t>INR</t>
        </is>
      </c>
      <c r="K48" s="7" t="inlineStr">
        <is>
          <t>partially_fixed</t>
        </is>
      </c>
      <c r="L48" s="7" t="inlineStr">
        <is>
          <t>PNL</t>
        </is>
      </c>
      <c r="M48" s="11" t="n">
        <v>44671</v>
      </c>
      <c r="N48" s="13" t="n">
        <v>0</v>
      </c>
      <c r="O48" s="6" t="n">
        <v>-200</v>
      </c>
      <c r="P48" s="13" t="n">
        <v>0</v>
      </c>
      <c r="Q48" s="22" t="n">
        <v>31</v>
      </c>
      <c r="R48" s="6" t="n">
        <v>29</v>
      </c>
      <c r="U48" s="9" t="n">
        <v>0</v>
      </c>
      <c r="V48" s="9" t="n">
        <v>0</v>
      </c>
      <c r="X48" s="9" t="n">
        <v>76.4217</v>
      </c>
      <c r="AK48" s="7" t="inlineStr">
        <is>
          <t>PYTHON_MULTI_FLOW_LEG</t>
        </is>
      </c>
      <c r="AL48" s="8">
        <f>IF($J48="INR",1,IF($M48&lt;$A48,INDEX(Market_Daily!$F$6:$F$256,MATCH($M48,Market_Daily!$A$6:$A$256,1)),IF($M48=$A48,INDEX(Market_Daily!$F$6:$F$256,MATCH($A48,Market_Daily!$A$6:$A$256,0)),(INDEX(Market_Daily!$F$6:$F$256,MATCH($A48,Market_Daily!$A$6:$A$256,0))*(1+INDEX(Market_Daily!$I$6:$I$256,MATCH($A48,Market_Daily!$A$6:$A$256,0))*($M48-$A48)/day_count_inr)/(1+INDEX(Market_Daily!$J$6:$J$256,MATCH($A48,Market_Daily!$A$6:$A$256,0))*($M48-$A48)/day_count_usd)))))</f>
        <v/>
      </c>
      <c r="AM48" s="8">
        <f>IF(OR($J48="INR",$R48&gt;1),"",$AL48-$X48)</f>
        <v/>
      </c>
      <c r="AN48" s="8">
        <f>$U48</f>
        <v/>
      </c>
      <c r="AO48" s="8">
        <f>$V48</f>
        <v/>
      </c>
      <c r="AP48" s="18">
        <f>$AO48-$V48</f>
        <v/>
      </c>
      <c r="AQ48" s="8">
        <f>IF(ABS($AP48)&lt;=tol_trade_inr,"PASS","FAIL")</f>
        <v/>
      </c>
    </row>
    <row r="49">
      <c r="A49" s="11" t="n">
        <v>44631</v>
      </c>
      <c r="B49" s="7" t="inlineStr">
        <is>
          <t>T01</t>
        </is>
      </c>
      <c r="C49" s="7" t="inlineStr">
        <is>
          <t>MCX:T01-MCX-2</t>
        </is>
      </c>
      <c r="D49" s="7" t="inlineStr">
        <is>
          <t>MCX</t>
        </is>
      </c>
      <c r="E49" s="7" t="inlineStr">
        <is>
          <t>mcx</t>
        </is>
      </c>
      <c r="H49" s="7" t="inlineStr">
        <is>
          <t>zorba</t>
        </is>
      </c>
      <c r="I49" s="7" t="inlineStr">
        <is>
          <t>USEC_MUN</t>
        </is>
      </c>
      <c r="J49" s="7" t="inlineStr">
        <is>
          <t>INR</t>
        </is>
      </c>
      <c r="K49" s="7" t="inlineStr">
        <is>
          <t>partially_fixed</t>
        </is>
      </c>
      <c r="L49" s="7" t="inlineStr">
        <is>
          <t>PNL</t>
        </is>
      </c>
      <c r="M49" s="11" t="n">
        <v>44671</v>
      </c>
      <c r="N49" s="13" t="n">
        <v>0</v>
      </c>
      <c r="O49" s="6" t="n">
        <v>-100</v>
      </c>
      <c r="P49" s="13" t="n">
        <v>0</v>
      </c>
      <c r="Q49" s="22" t="n">
        <v>31</v>
      </c>
      <c r="R49" s="6" t="n">
        <v>29</v>
      </c>
      <c r="U49" s="9" t="n">
        <v>0</v>
      </c>
      <c r="V49" s="9" t="n">
        <v>0</v>
      </c>
      <c r="X49" s="9" t="n">
        <v>76.4217</v>
      </c>
      <c r="AK49" s="7" t="inlineStr">
        <is>
          <t>PYTHON_MULTI_FLOW_LEG</t>
        </is>
      </c>
      <c r="AL49" s="8">
        <f>IF($J49="INR",1,IF($M49&lt;$A49,INDEX(Market_Daily!$F$6:$F$256,MATCH($M49,Market_Daily!$A$6:$A$256,1)),IF($M49=$A49,INDEX(Market_Daily!$F$6:$F$256,MATCH($A49,Market_Daily!$A$6:$A$256,0)),(INDEX(Market_Daily!$F$6:$F$256,MATCH($A49,Market_Daily!$A$6:$A$256,0))*(1+INDEX(Market_Daily!$I$6:$I$256,MATCH($A49,Market_Daily!$A$6:$A$256,0))*($M49-$A49)/day_count_inr)/(1+INDEX(Market_Daily!$J$6:$J$256,MATCH($A49,Market_Daily!$A$6:$A$256,0))*($M49-$A49)/day_count_usd)))))</f>
        <v/>
      </c>
      <c r="AM49" s="8">
        <f>IF(OR($J49="INR",$R49&gt;1),"",$AL49-$X49)</f>
        <v/>
      </c>
      <c r="AN49" s="8">
        <f>$U49</f>
        <v/>
      </c>
      <c r="AO49" s="8">
        <f>$V49</f>
        <v/>
      </c>
      <c r="AP49" s="18">
        <f>$AO49-$V49</f>
        <v/>
      </c>
      <c r="AQ49" s="8">
        <f>IF(ABS($AP49)&lt;=tol_trade_inr,"PASS","FAIL")</f>
        <v/>
      </c>
    </row>
    <row r="50">
      <c r="A50" s="11" t="n">
        <v>44631</v>
      </c>
      <c r="B50" s="7" t="inlineStr">
        <is>
          <t>T01</t>
        </is>
      </c>
      <c r="C50" s="7" t="inlineStr">
        <is>
          <t>PORT:L1</t>
        </is>
      </c>
      <c r="D50" s="7" t="inlineStr">
        <is>
          <t>PORT</t>
        </is>
      </c>
      <c r="E50" s="7" t="inlineStr">
        <is>
          <t>physical</t>
        </is>
      </c>
      <c r="F50" s="7" t="inlineStr">
        <is>
          <t>L1</t>
        </is>
      </c>
      <c r="H50" s="7" t="inlineStr">
        <is>
          <t>zorba</t>
        </is>
      </c>
      <c r="I50" s="7" t="inlineStr">
        <is>
          <t>USEC_MUN</t>
        </is>
      </c>
      <c r="J50" s="7" t="inlineStr">
        <is>
          <t>INR</t>
        </is>
      </c>
      <c r="K50" s="7" t="inlineStr">
        <is>
          <t>fixed_unsettled</t>
        </is>
      </c>
      <c r="L50" s="7" t="inlineStr">
        <is>
          <t>PNL</t>
        </is>
      </c>
      <c r="M50" s="11" t="n">
        <v>44699</v>
      </c>
      <c r="N50" s="13" t="n">
        <v>0</v>
      </c>
      <c r="O50" s="6" t="n">
        <v>0</v>
      </c>
      <c r="P50" s="13" t="n">
        <v>0</v>
      </c>
      <c r="Q50" s="22" t="n">
        <v>31</v>
      </c>
      <c r="R50" s="6" t="n">
        <v>1</v>
      </c>
      <c r="U50" s="9" t="n">
        <v>-2226000</v>
      </c>
      <c r="V50" s="9" t="n">
        <v>-2226000</v>
      </c>
      <c r="X50" s="9" t="n">
        <v>76.4217</v>
      </c>
      <c r="AK50" s="7" t="inlineStr">
        <is>
          <t>PYTHON_LIFECYCLE</t>
        </is>
      </c>
      <c r="AL50" s="8">
        <f>IF($J50="INR",1,IF($M50&lt;$A50,INDEX(Market_Daily!$F$6:$F$256,MATCH($M50,Market_Daily!$A$6:$A$256,1)),IF($M50=$A50,INDEX(Market_Daily!$F$6:$F$256,MATCH($A50,Market_Daily!$A$6:$A$256,0)),(INDEX(Market_Daily!$F$6:$F$256,MATCH($A50,Market_Daily!$A$6:$A$256,0))*(1+INDEX(Market_Daily!$I$6:$I$256,MATCH($A50,Market_Daily!$A$6:$A$256,0))*($M50-$A50)/day_count_inr)/(1+INDEX(Market_Daily!$J$6:$J$256,MATCH($A50,Market_Daily!$A$6:$A$256,0))*($M50-$A50)/day_count_usd)))))</f>
        <v/>
      </c>
      <c r="AM50" s="8">
        <f>IF(OR($J50="INR",$R50&gt;1),"",$AL50-$X50)</f>
        <v/>
      </c>
      <c r="AN50" s="8">
        <f>$U50</f>
        <v/>
      </c>
      <c r="AO50" s="8">
        <f>$AN50*IF($J50="INR",1,$AL50)</f>
        <v/>
      </c>
      <c r="AP50" s="18">
        <f>$AO50-$V50</f>
        <v/>
      </c>
      <c r="AQ50" s="8">
        <f>IF(ABS($AP50)&lt;=tol_trade_inr,"PASS","FAIL")</f>
        <v/>
      </c>
    </row>
    <row r="51">
      <c r="A51" s="11" t="n">
        <v>44631</v>
      </c>
      <c r="B51" s="7" t="inlineStr">
        <is>
          <t>T01</t>
        </is>
      </c>
      <c r="C51" s="7" t="inlineStr">
        <is>
          <t>PORT:L2</t>
        </is>
      </c>
      <c r="D51" s="7" t="inlineStr">
        <is>
          <t>PORT</t>
        </is>
      </c>
      <c r="E51" s="7" t="inlineStr">
        <is>
          <t>physical</t>
        </is>
      </c>
      <c r="F51" s="7" t="inlineStr">
        <is>
          <t>L2</t>
        </is>
      </c>
      <c r="H51" s="7" t="inlineStr">
        <is>
          <t>zorba</t>
        </is>
      </c>
      <c r="I51" s="7" t="inlineStr">
        <is>
          <t>USEC_MUN</t>
        </is>
      </c>
      <c r="J51" s="7" t="inlineStr">
        <is>
          <t>INR</t>
        </is>
      </c>
      <c r="K51" s="7" t="inlineStr">
        <is>
          <t>fixed_unsettled</t>
        </is>
      </c>
      <c r="L51" s="7" t="inlineStr">
        <is>
          <t>PNL</t>
        </is>
      </c>
      <c r="M51" s="11" t="n">
        <v>44705</v>
      </c>
      <c r="N51" s="13" t="n">
        <v>0</v>
      </c>
      <c r="O51" s="6" t="n">
        <v>0</v>
      </c>
      <c r="P51" s="13" t="n">
        <v>0</v>
      </c>
      <c r="Q51" s="22" t="n">
        <v>31</v>
      </c>
      <c r="R51" s="6" t="n">
        <v>1</v>
      </c>
      <c r="U51" s="9" t="n">
        <v>-2226000</v>
      </c>
      <c r="V51" s="9" t="n">
        <v>-2226000</v>
      </c>
      <c r="X51" s="9" t="n">
        <v>76.4217</v>
      </c>
      <c r="AK51" s="7" t="inlineStr">
        <is>
          <t>PYTHON_LIFECYCLE</t>
        </is>
      </c>
      <c r="AL51" s="8">
        <f>IF($J51="INR",1,IF($M51&lt;$A51,INDEX(Market_Daily!$F$6:$F$256,MATCH($M51,Market_Daily!$A$6:$A$256,1)),IF($M51=$A51,INDEX(Market_Daily!$F$6:$F$256,MATCH($A51,Market_Daily!$A$6:$A$256,0)),(INDEX(Market_Daily!$F$6:$F$256,MATCH($A51,Market_Daily!$A$6:$A$256,0))*(1+INDEX(Market_Daily!$I$6:$I$256,MATCH($A51,Market_Daily!$A$6:$A$256,0))*($M51-$A51)/day_count_inr)/(1+INDEX(Market_Daily!$J$6:$J$256,MATCH($A51,Market_Daily!$A$6:$A$256,0))*($M51-$A51)/day_count_usd)))))</f>
        <v/>
      </c>
      <c r="AM51" s="8">
        <f>IF(OR($J51="INR",$R51&gt;1),"",$AL51-$X51)</f>
        <v/>
      </c>
      <c r="AN51" s="8">
        <f>$U51</f>
        <v/>
      </c>
      <c r="AO51" s="8">
        <f>$AN51*IF($J51="INR",1,$AL51)</f>
        <v/>
      </c>
      <c r="AP51" s="18">
        <f>$AO51-$V51</f>
        <v/>
      </c>
      <c r="AQ51" s="8">
        <f>IF(ABS($AP51)&lt;=tol_trade_inr,"PASS","FAIL")</f>
        <v/>
      </c>
    </row>
    <row r="52">
      <c r="A52" s="11" t="n">
        <v>44631</v>
      </c>
      <c r="B52" s="7" t="inlineStr">
        <is>
          <t>T01</t>
        </is>
      </c>
      <c r="C52" s="7" t="inlineStr">
        <is>
          <t>PORT:L3</t>
        </is>
      </c>
      <c r="D52" s="7" t="inlineStr">
        <is>
          <t>PORT</t>
        </is>
      </c>
      <c r="E52" s="7" t="inlineStr">
        <is>
          <t>physical</t>
        </is>
      </c>
      <c r="F52" s="7" t="inlineStr">
        <is>
          <t>L3</t>
        </is>
      </c>
      <c r="H52" s="7" t="inlineStr">
        <is>
          <t>zorba</t>
        </is>
      </c>
      <c r="I52" s="7" t="inlineStr">
        <is>
          <t>USEC_MUN</t>
        </is>
      </c>
      <c r="J52" s="7" t="inlineStr">
        <is>
          <t>INR</t>
        </is>
      </c>
      <c r="K52" s="7" t="inlineStr">
        <is>
          <t>fixed_unsettled</t>
        </is>
      </c>
      <c r="L52" s="7" t="inlineStr">
        <is>
          <t>PNL</t>
        </is>
      </c>
      <c r="M52" s="11" t="n">
        <v>44708</v>
      </c>
      <c r="N52" s="13" t="n">
        <v>0</v>
      </c>
      <c r="O52" s="6" t="n">
        <v>0</v>
      </c>
      <c r="P52" s="13" t="n">
        <v>0</v>
      </c>
      <c r="Q52" s="22" t="n">
        <v>31</v>
      </c>
      <c r="R52" s="6" t="n">
        <v>1</v>
      </c>
      <c r="U52" s="9" t="n">
        <v>-2226000</v>
      </c>
      <c r="V52" s="9" t="n">
        <v>-2226000</v>
      </c>
      <c r="X52" s="9" t="n">
        <v>76.4217</v>
      </c>
      <c r="AK52" s="7" t="inlineStr">
        <is>
          <t>PYTHON_LIFECYCLE</t>
        </is>
      </c>
      <c r="AL52" s="8">
        <f>IF($J52="INR",1,IF($M52&lt;$A52,INDEX(Market_Daily!$F$6:$F$256,MATCH($M52,Market_Daily!$A$6:$A$256,1)),IF($M52=$A52,INDEX(Market_Daily!$F$6:$F$256,MATCH($A52,Market_Daily!$A$6:$A$256,0)),(INDEX(Market_Daily!$F$6:$F$256,MATCH($A52,Market_Daily!$A$6:$A$256,0))*(1+INDEX(Market_Daily!$I$6:$I$256,MATCH($A52,Market_Daily!$A$6:$A$256,0))*($M52-$A52)/day_count_inr)/(1+INDEX(Market_Daily!$J$6:$J$256,MATCH($A52,Market_Daily!$A$6:$A$256,0))*($M52-$A52)/day_count_usd)))))</f>
        <v/>
      </c>
      <c r="AM52" s="8">
        <f>IF(OR($J52="INR",$R52&gt;1),"",$AL52-$X52)</f>
        <v/>
      </c>
      <c r="AN52" s="8">
        <f>$U52</f>
        <v/>
      </c>
      <c r="AO52" s="8">
        <f>$AN52*IF($J52="INR",1,$AL52)</f>
        <v/>
      </c>
      <c r="AP52" s="18">
        <f>$AO52-$V52</f>
        <v/>
      </c>
      <c r="AQ52" s="8">
        <f>IF(ABS($AP52)&lt;=tol_trade_inr,"PASS","FAIL")</f>
        <v/>
      </c>
    </row>
    <row r="53">
      <c r="A53" s="11" t="n">
        <v>44631</v>
      </c>
      <c r="B53" s="7" t="inlineStr">
        <is>
          <t>T01</t>
        </is>
      </c>
      <c r="C53" s="7" t="inlineStr">
        <is>
          <t>PURCHASE:L1</t>
        </is>
      </c>
      <c r="D53" s="7" t="inlineStr">
        <is>
          <t>PURCHASE</t>
        </is>
      </c>
      <c r="E53" s="7" t="inlineStr">
        <is>
          <t>physical</t>
        </is>
      </c>
      <c r="F53" s="7" t="inlineStr">
        <is>
          <t>L1</t>
        </is>
      </c>
      <c r="G53" s="7" t="inlineStr">
        <is>
          <t>SUP_USEC_01</t>
        </is>
      </c>
      <c r="H53" s="7" t="inlineStr">
        <is>
          <t>zorba</t>
        </is>
      </c>
      <c r="I53" s="7" t="inlineStr">
        <is>
          <t>USEC_MUN</t>
        </is>
      </c>
      <c r="J53" s="7" t="inlineStr">
        <is>
          <t>USD</t>
        </is>
      </c>
      <c r="K53" s="7" t="inlineStr">
        <is>
          <t>fixed_unsettled</t>
        </is>
      </c>
      <c r="L53" s="7" t="inlineStr">
        <is>
          <t>PNL</t>
        </is>
      </c>
      <c r="M53" s="11" t="n">
        <v>44656</v>
      </c>
      <c r="N53" s="13" t="n">
        <v>840</v>
      </c>
      <c r="O53" s="6" t="n">
        <v>0</v>
      </c>
      <c r="P53" s="13" t="n">
        <v>0</v>
      </c>
      <c r="Q53" s="22" t="n">
        <v>31</v>
      </c>
      <c r="R53" s="6" t="n">
        <v>1</v>
      </c>
      <c r="U53" s="9" t="n">
        <v>-1965600</v>
      </c>
      <c r="V53" s="9" t="n">
        <v>-150562136.69</v>
      </c>
      <c r="X53" s="9" t="n">
        <v>76.5986</v>
      </c>
      <c r="AK53" s="7" t="inlineStr">
        <is>
          <t>PYTHON_LIFECYCLE</t>
        </is>
      </c>
      <c r="AL53" s="8">
        <f>IF($J53="INR",1,IF($M53&lt;$A53,INDEX(Market_Daily!$F$6:$F$256,MATCH($M53,Market_Daily!$A$6:$A$256,1)),IF($M53=$A53,INDEX(Market_Daily!$F$6:$F$256,MATCH($A53,Market_Daily!$A$6:$A$256,0)),(INDEX(Market_Daily!$F$6:$F$256,MATCH($A53,Market_Daily!$A$6:$A$256,0))*(1+INDEX(Market_Daily!$I$6:$I$256,MATCH($A53,Market_Daily!$A$6:$A$256,0))*($M53-$A53)/day_count_inr)/(1+INDEX(Market_Daily!$J$6:$J$256,MATCH($A53,Market_Daily!$A$6:$A$256,0))*($M53-$A53)/day_count_usd)))))</f>
        <v/>
      </c>
      <c r="AM53" s="8">
        <f>IF(OR($J53="INR",$R53&gt;1),"",$AL53-$X53)</f>
        <v/>
      </c>
      <c r="AN53" s="8">
        <f>$U53</f>
        <v/>
      </c>
      <c r="AO53" s="8">
        <f>$AN53*IF($J53="INR",1,$AL53)</f>
        <v/>
      </c>
      <c r="AP53" s="18">
        <f>$AO53-$V53</f>
        <v/>
      </c>
      <c r="AQ53" s="8">
        <f>IF(ABS($AP53)&lt;=tol_trade_inr,"PASS","FAIL")</f>
        <v/>
      </c>
    </row>
    <row r="54">
      <c r="A54" s="11" t="n">
        <v>44631</v>
      </c>
      <c r="B54" s="7" t="inlineStr">
        <is>
          <t>T01</t>
        </is>
      </c>
      <c r="C54" s="7" t="inlineStr">
        <is>
          <t>PURCHASE:L2</t>
        </is>
      </c>
      <c r="D54" s="7" t="inlineStr">
        <is>
          <t>PURCHASE</t>
        </is>
      </c>
      <c r="E54" s="7" t="inlineStr">
        <is>
          <t>physical</t>
        </is>
      </c>
      <c r="F54" s="7" t="inlineStr">
        <is>
          <t>L2</t>
        </is>
      </c>
      <c r="G54" s="7" t="inlineStr">
        <is>
          <t>SUP_USEC_01</t>
        </is>
      </c>
      <c r="H54" s="7" t="inlineStr">
        <is>
          <t>zorba</t>
        </is>
      </c>
      <c r="I54" s="7" t="inlineStr">
        <is>
          <t>USEC_MUN</t>
        </is>
      </c>
      <c r="J54" s="7" t="inlineStr">
        <is>
          <t>USD</t>
        </is>
      </c>
      <c r="K54" s="7" t="inlineStr">
        <is>
          <t>fixed_unsettled</t>
        </is>
      </c>
      <c r="L54" s="7" t="inlineStr">
        <is>
          <t>PNL</t>
        </is>
      </c>
      <c r="M54" s="11" t="n">
        <v>44662</v>
      </c>
      <c r="N54" s="13" t="n">
        <v>840</v>
      </c>
      <c r="O54" s="6" t="n">
        <v>0</v>
      </c>
      <c r="P54" s="13" t="n">
        <v>0</v>
      </c>
      <c r="Q54" s="22" t="n">
        <v>31</v>
      </c>
      <c r="R54" s="6" t="n">
        <v>1</v>
      </c>
      <c r="U54" s="9" t="n">
        <v>-1965600</v>
      </c>
      <c r="V54" s="9" t="n">
        <v>-150645542.71</v>
      </c>
      <c r="X54" s="9" t="n">
        <v>76.64100000000001</v>
      </c>
      <c r="AK54" s="7" t="inlineStr">
        <is>
          <t>PYTHON_LIFECYCLE</t>
        </is>
      </c>
      <c r="AL54" s="8">
        <f>IF($J54="INR",1,IF($M54&lt;$A54,INDEX(Market_Daily!$F$6:$F$256,MATCH($M54,Market_Daily!$A$6:$A$256,1)),IF($M54=$A54,INDEX(Market_Daily!$F$6:$F$256,MATCH($A54,Market_Daily!$A$6:$A$256,0)),(INDEX(Market_Daily!$F$6:$F$256,MATCH($A54,Market_Daily!$A$6:$A$256,0))*(1+INDEX(Market_Daily!$I$6:$I$256,MATCH($A54,Market_Daily!$A$6:$A$256,0))*($M54-$A54)/day_count_inr)/(1+INDEX(Market_Daily!$J$6:$J$256,MATCH($A54,Market_Daily!$A$6:$A$256,0))*($M54-$A54)/day_count_usd)))))</f>
        <v/>
      </c>
      <c r="AM54" s="8">
        <f>IF(OR($J54="INR",$R54&gt;1),"",$AL54-$X54)</f>
        <v/>
      </c>
      <c r="AN54" s="8">
        <f>$U54</f>
        <v/>
      </c>
      <c r="AO54" s="8">
        <f>$AN54*IF($J54="INR",1,$AL54)</f>
        <v/>
      </c>
      <c r="AP54" s="18">
        <f>$AO54-$V54</f>
        <v/>
      </c>
      <c r="AQ54" s="8">
        <f>IF(ABS($AP54)&lt;=tol_trade_inr,"PASS","FAIL")</f>
        <v/>
      </c>
    </row>
    <row r="55">
      <c r="A55" s="11" t="n">
        <v>44631</v>
      </c>
      <c r="B55" s="7" t="inlineStr">
        <is>
          <t>T01</t>
        </is>
      </c>
      <c r="C55" s="7" t="inlineStr">
        <is>
          <t>PURCHASE:L3</t>
        </is>
      </c>
      <c r="D55" s="7" t="inlineStr">
        <is>
          <t>PURCHASE</t>
        </is>
      </c>
      <c r="E55" s="7" t="inlineStr">
        <is>
          <t>physical</t>
        </is>
      </c>
      <c r="F55" s="7" t="inlineStr">
        <is>
          <t>L3</t>
        </is>
      </c>
      <c r="G55" s="7" t="inlineStr">
        <is>
          <t>SUP_USEC_01</t>
        </is>
      </c>
      <c r="H55" s="7" t="inlineStr">
        <is>
          <t>zorba</t>
        </is>
      </c>
      <c r="I55" s="7" t="inlineStr">
        <is>
          <t>USEC_MUN</t>
        </is>
      </c>
      <c r="J55" s="7" t="inlineStr">
        <is>
          <t>USD</t>
        </is>
      </c>
      <c r="K55" s="7" t="inlineStr">
        <is>
          <t>fixed_unsettled</t>
        </is>
      </c>
      <c r="L55" s="7" t="inlineStr">
        <is>
          <t>PNL</t>
        </is>
      </c>
      <c r="M55" s="11" t="n">
        <v>44665</v>
      </c>
      <c r="N55" s="13" t="n">
        <v>840</v>
      </c>
      <c r="O55" s="6" t="n">
        <v>0</v>
      </c>
      <c r="P55" s="13" t="n">
        <v>0</v>
      </c>
      <c r="Q55" s="22" t="n">
        <v>31</v>
      </c>
      <c r="R55" s="6" t="n">
        <v>1</v>
      </c>
      <c r="U55" s="9" t="n">
        <v>-1965600</v>
      </c>
      <c r="V55" s="9" t="n">
        <v>-150687241.62</v>
      </c>
      <c r="X55" s="9" t="n">
        <v>76.6622</v>
      </c>
      <c r="AK55" s="7" t="inlineStr">
        <is>
          <t>PYTHON_LIFECYCLE</t>
        </is>
      </c>
      <c r="AL55" s="8">
        <f>IF($J55="INR",1,IF($M55&lt;$A55,INDEX(Market_Daily!$F$6:$F$256,MATCH($M55,Market_Daily!$A$6:$A$256,1)),IF($M55=$A55,INDEX(Market_Daily!$F$6:$F$256,MATCH($A55,Market_Daily!$A$6:$A$256,0)),(INDEX(Market_Daily!$F$6:$F$256,MATCH($A55,Market_Daily!$A$6:$A$256,0))*(1+INDEX(Market_Daily!$I$6:$I$256,MATCH($A55,Market_Daily!$A$6:$A$256,0))*($M55-$A55)/day_count_inr)/(1+INDEX(Market_Daily!$J$6:$J$256,MATCH($A55,Market_Daily!$A$6:$A$256,0))*($M55-$A55)/day_count_usd)))))</f>
        <v/>
      </c>
      <c r="AM55" s="8">
        <f>IF(OR($J55="INR",$R55&gt;1),"",$AL55-$X55)</f>
        <v/>
      </c>
      <c r="AN55" s="8">
        <f>$U55</f>
        <v/>
      </c>
      <c r="AO55" s="8">
        <f>$AN55*IF($J55="INR",1,$AL55)</f>
        <v/>
      </c>
      <c r="AP55" s="18">
        <f>$AO55-$V55</f>
        <v/>
      </c>
      <c r="AQ55" s="8">
        <f>IF(ABS($AP55)&lt;=tol_trade_inr,"PASS","FAIL")</f>
        <v/>
      </c>
    </row>
    <row r="56">
      <c r="A56" s="11" t="n">
        <v>44631</v>
      </c>
      <c r="B56" s="7" t="inlineStr">
        <is>
          <t>T02</t>
        </is>
      </c>
      <c r="C56" s="7" t="inlineStr">
        <is>
          <t>BILL_COMMISSION:L1</t>
        </is>
      </c>
      <c r="D56" s="7" t="inlineStr">
        <is>
          <t>BILL_COMMISSION</t>
        </is>
      </c>
      <c r="E56" s="7" t="inlineStr">
        <is>
          <t>physical</t>
        </is>
      </c>
      <c r="F56" s="7" t="inlineStr">
        <is>
          <t>L1</t>
        </is>
      </c>
      <c r="H56" s="7" t="inlineStr">
        <is>
          <t>tense</t>
        </is>
      </c>
      <c r="I56" s="7" t="inlineStr">
        <is>
          <t>JEA_NSA</t>
        </is>
      </c>
      <c r="J56" s="7" t="inlineStr">
        <is>
          <t>USD</t>
        </is>
      </c>
      <c r="K56" s="7" t="inlineStr">
        <is>
          <t>floating</t>
        </is>
      </c>
      <c r="L56" s="7" t="inlineStr">
        <is>
          <t>PNL</t>
        </is>
      </c>
      <c r="M56" s="11" t="n">
        <v>44746</v>
      </c>
      <c r="N56" s="13" t="n">
        <v>0</v>
      </c>
      <c r="O56" s="6" t="n">
        <v>0</v>
      </c>
      <c r="P56" s="13" t="n">
        <v>0</v>
      </c>
      <c r="Q56" s="22" t="n">
        <v>31</v>
      </c>
      <c r="R56" s="6" t="n">
        <v>1</v>
      </c>
      <c r="U56" s="9" t="n">
        <v>-1518.47</v>
      </c>
      <c r="V56" s="9" t="n">
        <v>-117278.49</v>
      </c>
      <c r="X56" s="9" t="n">
        <v>77.2345</v>
      </c>
      <c r="AK56" s="7" t="inlineStr">
        <is>
          <t>PYTHON_LIFECYCLE</t>
        </is>
      </c>
      <c r="AL56" s="8">
        <f>IF($J56="INR",1,IF($M56&lt;$A56,INDEX(Market_Daily!$F$6:$F$256,MATCH($M56,Market_Daily!$A$6:$A$256,1)),IF($M56=$A56,INDEX(Market_Daily!$F$6:$F$256,MATCH($A56,Market_Daily!$A$6:$A$256,0)),(INDEX(Market_Daily!$F$6:$F$256,MATCH($A56,Market_Daily!$A$6:$A$256,0))*(1+INDEX(Market_Daily!$I$6:$I$256,MATCH($A56,Market_Daily!$A$6:$A$256,0))*($M56-$A56)/day_count_inr)/(1+INDEX(Market_Daily!$J$6:$J$256,MATCH($A56,Market_Daily!$A$6:$A$256,0))*($M56-$A56)/day_count_usd)))))</f>
        <v/>
      </c>
      <c r="AM56" s="8">
        <f>IF(OR($J56="INR",$R56&gt;1),"",$AL56-$X56)</f>
        <v/>
      </c>
      <c r="AN56" s="8">
        <f>$U56</f>
        <v/>
      </c>
      <c r="AO56" s="8">
        <f>$AN56*IF($J56="INR",1,$AL56)</f>
        <v/>
      </c>
      <c r="AP56" s="18">
        <f>$AO56-$V56</f>
        <v/>
      </c>
      <c r="AQ56" s="8">
        <f>IF(ABS($AP56)&lt;=tol_trade_inr,"PASS","FAIL")</f>
        <v/>
      </c>
    </row>
    <row r="57">
      <c r="A57" s="11" t="n">
        <v>44631</v>
      </c>
      <c r="B57" s="7" t="inlineStr">
        <is>
          <t>T02</t>
        </is>
      </c>
      <c r="C57" s="7" t="inlineStr">
        <is>
          <t>BILL_COMMISSION:L2</t>
        </is>
      </c>
      <c r="D57" s="7" t="inlineStr">
        <is>
          <t>BILL_COMMISSION</t>
        </is>
      </c>
      <c r="E57" s="7" t="inlineStr">
        <is>
          <t>physical</t>
        </is>
      </c>
      <c r="F57" s="7" t="inlineStr">
        <is>
          <t>L2</t>
        </is>
      </c>
      <c r="H57" s="7" t="inlineStr">
        <is>
          <t>tense</t>
        </is>
      </c>
      <c r="I57" s="7" t="inlineStr">
        <is>
          <t>JEA_NSA</t>
        </is>
      </c>
      <c r="J57" s="7" t="inlineStr">
        <is>
          <t>USD</t>
        </is>
      </c>
      <c r="K57" s="7" t="inlineStr">
        <is>
          <t>floating</t>
        </is>
      </c>
      <c r="L57" s="7" t="inlineStr">
        <is>
          <t>PNL</t>
        </is>
      </c>
      <c r="M57" s="11" t="n">
        <v>44754</v>
      </c>
      <c r="N57" s="13" t="n">
        <v>0</v>
      </c>
      <c r="O57" s="6" t="n">
        <v>0</v>
      </c>
      <c r="P57" s="13" t="n">
        <v>0</v>
      </c>
      <c r="Q57" s="22" t="n">
        <v>31</v>
      </c>
      <c r="R57" s="6" t="n">
        <v>1</v>
      </c>
      <c r="U57" s="9" t="n">
        <v>-1519.54</v>
      </c>
      <c r="V57" s="9" t="n">
        <v>-117446.35</v>
      </c>
      <c r="X57" s="9" t="n">
        <v>77.29089999999999</v>
      </c>
      <c r="AK57" s="7" t="inlineStr">
        <is>
          <t>PYTHON_LIFECYCLE</t>
        </is>
      </c>
      <c r="AL57" s="8">
        <f>IF($J57="INR",1,IF($M57&lt;$A57,INDEX(Market_Daily!$F$6:$F$256,MATCH($M57,Market_Daily!$A$6:$A$256,1)),IF($M57=$A57,INDEX(Market_Daily!$F$6:$F$256,MATCH($A57,Market_Daily!$A$6:$A$256,0)),(INDEX(Market_Daily!$F$6:$F$256,MATCH($A57,Market_Daily!$A$6:$A$256,0))*(1+INDEX(Market_Daily!$I$6:$I$256,MATCH($A57,Market_Daily!$A$6:$A$256,0))*($M57-$A57)/day_count_inr)/(1+INDEX(Market_Daily!$J$6:$J$256,MATCH($A57,Market_Daily!$A$6:$A$256,0))*($M57-$A57)/day_count_usd)))))</f>
        <v/>
      </c>
      <c r="AM57" s="8">
        <f>IF(OR($J57="INR",$R57&gt;1),"",$AL57-$X57)</f>
        <v/>
      </c>
      <c r="AN57" s="8">
        <f>$U57</f>
        <v/>
      </c>
      <c r="AO57" s="8">
        <f>$AN57*IF($J57="INR",1,$AL57)</f>
        <v/>
      </c>
      <c r="AP57" s="18">
        <f>$AO57-$V57</f>
        <v/>
      </c>
      <c r="AQ57" s="8">
        <f>IF(ABS($AP57)&lt;=tol_trade_inr,"PASS","FAIL")</f>
        <v/>
      </c>
    </row>
    <row r="58">
      <c r="A58" s="11" t="n">
        <v>44631</v>
      </c>
      <c r="B58" s="7" t="inlineStr">
        <is>
          <t>T02</t>
        </is>
      </c>
      <c r="C58" s="7" t="inlineStr">
        <is>
          <t>DUTY:L1</t>
        </is>
      </c>
      <c r="D58" s="7" t="inlineStr">
        <is>
          <t>DUTY</t>
        </is>
      </c>
      <c r="E58" s="7" t="inlineStr">
        <is>
          <t>physical</t>
        </is>
      </c>
      <c r="F58" s="7" t="inlineStr">
        <is>
          <t>L1</t>
        </is>
      </c>
      <c r="H58" s="7" t="inlineStr">
        <is>
          <t>tense</t>
        </is>
      </c>
      <c r="I58" s="7" t="inlineStr">
        <is>
          <t>JEA_NSA</t>
        </is>
      </c>
      <c r="J58" s="7" t="inlineStr">
        <is>
          <t>INR</t>
        </is>
      </c>
      <c r="K58" s="7" t="inlineStr">
        <is>
          <t>floating</t>
        </is>
      </c>
      <c r="L58" s="7" t="inlineStr">
        <is>
          <t>PNL</t>
        </is>
      </c>
      <c r="M58" s="11" t="n">
        <v>44721</v>
      </c>
      <c r="N58" s="13" t="n">
        <v>600</v>
      </c>
      <c r="O58" s="6" t="n">
        <v>0</v>
      </c>
      <c r="P58" s="13" t="n">
        <v>0</v>
      </c>
      <c r="Q58" s="22" t="n">
        <v>31</v>
      </c>
      <c r="R58" s="6" t="n">
        <v>2</v>
      </c>
      <c r="U58" s="9" t="n">
        <v>-2820997.64</v>
      </c>
      <c r="V58" s="9" t="n">
        <v>-2820997.64</v>
      </c>
      <c r="X58" s="9" t="n">
        <v>76.4217</v>
      </c>
      <c r="AK58" s="7" t="inlineStr">
        <is>
          <t>PYTHON_MULTI_FLOW_LEG</t>
        </is>
      </c>
      <c r="AL58" s="8">
        <f>IF($J58="INR",1,IF($M58&lt;$A58,INDEX(Market_Daily!$F$6:$F$256,MATCH($M58,Market_Daily!$A$6:$A$256,1)),IF($M58=$A58,INDEX(Market_Daily!$F$6:$F$256,MATCH($A58,Market_Daily!$A$6:$A$256,0)),(INDEX(Market_Daily!$F$6:$F$256,MATCH($A58,Market_Daily!$A$6:$A$256,0))*(1+INDEX(Market_Daily!$I$6:$I$256,MATCH($A58,Market_Daily!$A$6:$A$256,0))*($M58-$A58)/day_count_inr)/(1+INDEX(Market_Daily!$J$6:$J$256,MATCH($A58,Market_Daily!$A$6:$A$256,0))*($M58-$A58)/day_count_usd)))))</f>
        <v/>
      </c>
      <c r="AM58" s="8">
        <f>IF(OR($J58="INR",$R58&gt;1),"",$AL58-$X58)</f>
        <v/>
      </c>
      <c r="AN58" s="8">
        <f>$U58</f>
        <v/>
      </c>
      <c r="AO58" s="8">
        <f>$V58</f>
        <v/>
      </c>
      <c r="AP58" s="18">
        <f>$AO58-$V58</f>
        <v/>
      </c>
      <c r="AQ58" s="8">
        <f>IF(ABS($AP58)&lt;=tol_trade_inr,"PASS","FAIL")</f>
        <v/>
      </c>
    </row>
    <row r="59">
      <c r="A59" s="11" t="n">
        <v>44631</v>
      </c>
      <c r="B59" s="7" t="inlineStr">
        <is>
          <t>T02</t>
        </is>
      </c>
      <c r="C59" s="7" t="inlineStr">
        <is>
          <t>DUTY:L2</t>
        </is>
      </c>
      <c r="D59" s="7" t="inlineStr">
        <is>
          <t>DUTY</t>
        </is>
      </c>
      <c r="E59" s="7" t="inlineStr">
        <is>
          <t>physical</t>
        </is>
      </c>
      <c r="F59" s="7" t="inlineStr">
        <is>
          <t>L2</t>
        </is>
      </c>
      <c r="H59" s="7" t="inlineStr">
        <is>
          <t>tense</t>
        </is>
      </c>
      <c r="I59" s="7" t="inlineStr">
        <is>
          <t>JEA_NSA</t>
        </is>
      </c>
      <c r="J59" s="7" t="inlineStr">
        <is>
          <t>INR</t>
        </is>
      </c>
      <c r="K59" s="7" t="inlineStr">
        <is>
          <t>floating</t>
        </is>
      </c>
      <c r="L59" s="7" t="inlineStr">
        <is>
          <t>PNL</t>
        </is>
      </c>
      <c r="M59" s="11" t="n">
        <v>44721</v>
      </c>
      <c r="N59" s="13" t="n">
        <v>600</v>
      </c>
      <c r="O59" s="6" t="n">
        <v>0</v>
      </c>
      <c r="P59" s="13" t="n">
        <v>0</v>
      </c>
      <c r="Q59" s="22" t="n">
        <v>31</v>
      </c>
      <c r="R59" s="6" t="n">
        <v>2</v>
      </c>
      <c r="U59" s="9" t="n">
        <v>-2820997.64</v>
      </c>
      <c r="V59" s="9" t="n">
        <v>-2820997.64</v>
      </c>
      <c r="X59" s="9" t="n">
        <v>76.4217</v>
      </c>
      <c r="AK59" s="7" t="inlineStr">
        <is>
          <t>PYTHON_MULTI_FLOW_LEG</t>
        </is>
      </c>
      <c r="AL59" s="8">
        <f>IF($J59="INR",1,IF($M59&lt;$A59,INDEX(Market_Daily!$F$6:$F$256,MATCH($M59,Market_Daily!$A$6:$A$256,1)),IF($M59=$A59,INDEX(Market_Daily!$F$6:$F$256,MATCH($A59,Market_Daily!$A$6:$A$256,0)),(INDEX(Market_Daily!$F$6:$F$256,MATCH($A59,Market_Daily!$A$6:$A$256,0))*(1+INDEX(Market_Daily!$I$6:$I$256,MATCH($A59,Market_Daily!$A$6:$A$256,0))*($M59-$A59)/day_count_inr)/(1+INDEX(Market_Daily!$J$6:$J$256,MATCH($A59,Market_Daily!$A$6:$A$256,0))*($M59-$A59)/day_count_usd)))))</f>
        <v/>
      </c>
      <c r="AM59" s="8">
        <f>IF(OR($J59="INR",$R59&gt;1),"",$AL59-$X59)</f>
        <v/>
      </c>
      <c r="AN59" s="8">
        <f>$U59</f>
        <v/>
      </c>
      <c r="AO59" s="8">
        <f>$V59</f>
        <v/>
      </c>
      <c r="AP59" s="18">
        <f>$AO59-$V59</f>
        <v/>
      </c>
      <c r="AQ59" s="8">
        <f>IF(ABS($AP59)&lt;=tol_trade_inr,"PASS","FAIL")</f>
        <v/>
      </c>
    </row>
    <row r="60">
      <c r="A60" s="11" t="n">
        <v>44631</v>
      </c>
      <c r="B60" s="7" t="inlineStr">
        <is>
          <t>T02</t>
        </is>
      </c>
      <c r="C60" s="7" t="inlineStr">
        <is>
          <t>IGST:L1</t>
        </is>
      </c>
      <c r="D60" s="7" t="inlineStr">
        <is>
          <t>IGST</t>
        </is>
      </c>
      <c r="E60" s="7" t="inlineStr">
        <is>
          <t>physical</t>
        </is>
      </c>
      <c r="F60" s="7" t="inlineStr">
        <is>
          <t>L1</t>
        </is>
      </c>
      <c r="H60" s="7" t="inlineStr">
        <is>
          <t>tense</t>
        </is>
      </c>
      <c r="I60" s="7" t="inlineStr">
        <is>
          <t>JEA_NSA</t>
        </is>
      </c>
      <c r="J60" s="7" t="inlineStr">
        <is>
          <t>INR</t>
        </is>
      </c>
      <c r="K60" s="7" t="inlineStr">
        <is>
          <t>floating</t>
        </is>
      </c>
      <c r="L60" s="7" t="inlineStr">
        <is>
          <t>BS</t>
        </is>
      </c>
      <c r="M60" s="11" t="n">
        <v>44707</v>
      </c>
      <c r="N60" s="13" t="n">
        <v>0</v>
      </c>
      <c r="O60" s="6" t="n">
        <v>0</v>
      </c>
      <c r="P60" s="13" t="n">
        <v>0</v>
      </c>
      <c r="Q60" s="22" t="n">
        <v>31</v>
      </c>
      <c r="R60" s="6" t="n">
        <v>2</v>
      </c>
      <c r="U60" s="9" t="n">
        <v>0</v>
      </c>
      <c r="V60" s="9" t="n">
        <v>0</v>
      </c>
      <c r="X60" s="9" t="n">
        <v>76.4217</v>
      </c>
      <c r="AK60" s="7" t="inlineStr">
        <is>
          <t>PYTHON_MULTI_FLOW_LEG</t>
        </is>
      </c>
      <c r="AL60" s="8">
        <f>IF($J60="INR",1,IF($M60&lt;$A60,INDEX(Market_Daily!$F$6:$F$256,MATCH($M60,Market_Daily!$A$6:$A$256,1)),IF($M60=$A60,INDEX(Market_Daily!$F$6:$F$256,MATCH($A60,Market_Daily!$A$6:$A$256,0)),(INDEX(Market_Daily!$F$6:$F$256,MATCH($A60,Market_Daily!$A$6:$A$256,0))*(1+INDEX(Market_Daily!$I$6:$I$256,MATCH($A60,Market_Daily!$A$6:$A$256,0))*($M60-$A60)/day_count_inr)/(1+INDEX(Market_Daily!$J$6:$J$256,MATCH($A60,Market_Daily!$A$6:$A$256,0))*($M60-$A60)/day_count_usd)))))</f>
        <v/>
      </c>
      <c r="AM60" s="8">
        <f>IF(OR($J60="INR",$R60&gt;1),"",$AL60-$X60)</f>
        <v/>
      </c>
      <c r="AN60" s="8">
        <f>$U60</f>
        <v/>
      </c>
      <c r="AO60" s="8">
        <f>$V60</f>
        <v/>
      </c>
      <c r="AP60" s="18">
        <f>$AO60-$V60</f>
        <v/>
      </c>
      <c r="AQ60" s="8">
        <f>IF(ABS($AP60)&lt;=tol_trade_inr,"PASS","FAIL")</f>
        <v/>
      </c>
    </row>
    <row r="61">
      <c r="A61" s="11" t="n">
        <v>44631</v>
      </c>
      <c r="B61" s="7" t="inlineStr">
        <is>
          <t>T02</t>
        </is>
      </c>
      <c r="C61" s="7" t="inlineStr">
        <is>
          <t>IGST:L2</t>
        </is>
      </c>
      <c r="D61" s="7" t="inlineStr">
        <is>
          <t>IGST</t>
        </is>
      </c>
      <c r="E61" s="7" t="inlineStr">
        <is>
          <t>physical</t>
        </is>
      </c>
      <c r="F61" s="7" t="inlineStr">
        <is>
          <t>L2</t>
        </is>
      </c>
      <c r="H61" s="7" t="inlineStr">
        <is>
          <t>tense</t>
        </is>
      </c>
      <c r="I61" s="7" t="inlineStr">
        <is>
          <t>JEA_NSA</t>
        </is>
      </c>
      <c r="J61" s="7" t="inlineStr">
        <is>
          <t>INR</t>
        </is>
      </c>
      <c r="K61" s="7" t="inlineStr">
        <is>
          <t>floating</t>
        </is>
      </c>
      <c r="L61" s="7" t="inlineStr">
        <is>
          <t>BS</t>
        </is>
      </c>
      <c r="M61" s="11" t="n">
        <v>44718</v>
      </c>
      <c r="N61" s="13" t="n">
        <v>0</v>
      </c>
      <c r="O61" s="6" t="n">
        <v>0</v>
      </c>
      <c r="P61" s="13" t="n">
        <v>0</v>
      </c>
      <c r="Q61" s="22" t="n">
        <v>31</v>
      </c>
      <c r="R61" s="6" t="n">
        <v>2</v>
      </c>
      <c r="U61" s="9" t="n">
        <v>0</v>
      </c>
      <c r="V61" s="9" t="n">
        <v>0</v>
      </c>
      <c r="X61" s="9" t="n">
        <v>76.4217</v>
      </c>
      <c r="AK61" s="7" t="inlineStr">
        <is>
          <t>PYTHON_MULTI_FLOW_LEG</t>
        </is>
      </c>
      <c r="AL61" s="8">
        <f>IF($J61="INR",1,IF($M61&lt;$A61,INDEX(Market_Daily!$F$6:$F$256,MATCH($M61,Market_Daily!$A$6:$A$256,1)),IF($M61=$A61,INDEX(Market_Daily!$F$6:$F$256,MATCH($A61,Market_Daily!$A$6:$A$256,0)),(INDEX(Market_Daily!$F$6:$F$256,MATCH($A61,Market_Daily!$A$6:$A$256,0))*(1+INDEX(Market_Daily!$I$6:$I$256,MATCH($A61,Market_Daily!$A$6:$A$256,0))*($M61-$A61)/day_count_inr)/(1+INDEX(Market_Daily!$J$6:$J$256,MATCH($A61,Market_Daily!$A$6:$A$256,0))*($M61-$A61)/day_count_usd)))))</f>
        <v/>
      </c>
      <c r="AM61" s="8">
        <f>IF(OR($J61="INR",$R61&gt;1),"",$AL61-$X61)</f>
        <v/>
      </c>
      <c r="AN61" s="8">
        <f>$U61</f>
        <v/>
      </c>
      <c r="AO61" s="8">
        <f>$V61</f>
        <v/>
      </c>
      <c r="AP61" s="18">
        <f>$AO61-$V61</f>
        <v/>
      </c>
      <c r="AQ61" s="8">
        <f>IF(ABS($AP61)&lt;=tol_trade_inr,"PASS","FAIL")</f>
        <v/>
      </c>
    </row>
    <row r="62">
      <c r="A62" s="11" t="n">
        <v>44631</v>
      </c>
      <c r="B62" s="7" t="inlineStr">
        <is>
          <t>T02</t>
        </is>
      </c>
      <c r="C62" s="7" t="inlineStr">
        <is>
          <t>INSURANCE:L1</t>
        </is>
      </c>
      <c r="D62" s="7" t="inlineStr">
        <is>
          <t>INSURANCE</t>
        </is>
      </c>
      <c r="E62" s="7" t="inlineStr">
        <is>
          <t>physical</t>
        </is>
      </c>
      <c r="F62" s="7" t="inlineStr">
        <is>
          <t>L1</t>
        </is>
      </c>
      <c r="H62" s="7" t="inlineStr">
        <is>
          <t>tense</t>
        </is>
      </c>
      <c r="I62" s="7" t="inlineStr">
        <is>
          <t>JEA_NSA</t>
        </is>
      </c>
      <c r="J62" s="7" t="inlineStr">
        <is>
          <t>USD</t>
        </is>
      </c>
      <c r="K62" s="7" t="inlineStr">
        <is>
          <t>floating</t>
        </is>
      </c>
      <c r="L62" s="7" t="inlineStr">
        <is>
          <t>PNL</t>
        </is>
      </c>
      <c r="M62" s="11" t="n">
        <v>44656</v>
      </c>
      <c r="N62" s="13" t="n">
        <v>600</v>
      </c>
      <c r="O62" s="6" t="n">
        <v>0</v>
      </c>
      <c r="P62" s="13" t="n">
        <v>0</v>
      </c>
      <c r="Q62" s="22" t="n">
        <v>31</v>
      </c>
      <c r="R62" s="6" t="n">
        <v>1</v>
      </c>
      <c r="U62" s="9" t="n">
        <v>-1465.19</v>
      </c>
      <c r="V62" s="9" t="n">
        <v>-112231.73</v>
      </c>
      <c r="X62" s="9" t="n">
        <v>76.5986</v>
      </c>
      <c r="AK62" s="7" t="inlineStr">
        <is>
          <t>PYTHON_LIFECYCLE</t>
        </is>
      </c>
      <c r="AL62" s="8">
        <f>IF($J62="INR",1,IF($M62&lt;$A62,INDEX(Market_Daily!$F$6:$F$256,MATCH($M62,Market_Daily!$A$6:$A$256,1)),IF($M62=$A62,INDEX(Market_Daily!$F$6:$F$256,MATCH($A62,Market_Daily!$A$6:$A$256,0)),(INDEX(Market_Daily!$F$6:$F$256,MATCH($A62,Market_Daily!$A$6:$A$256,0))*(1+INDEX(Market_Daily!$I$6:$I$256,MATCH($A62,Market_Daily!$A$6:$A$256,0))*($M62-$A62)/day_count_inr)/(1+INDEX(Market_Daily!$J$6:$J$256,MATCH($A62,Market_Daily!$A$6:$A$256,0))*($M62-$A62)/day_count_usd)))))</f>
        <v/>
      </c>
      <c r="AM62" s="8">
        <f>IF(OR($J62="INR",$R62&gt;1),"",$AL62-$X62)</f>
        <v/>
      </c>
      <c r="AN62" s="8">
        <f>$U62</f>
        <v/>
      </c>
      <c r="AO62" s="8">
        <f>$AN62*IF($J62="INR",1,$AL62)</f>
        <v/>
      </c>
      <c r="AP62" s="18">
        <f>$AO62-$V62</f>
        <v/>
      </c>
      <c r="AQ62" s="8">
        <f>IF(ABS($AP62)&lt;=tol_trade_inr,"PASS","FAIL")</f>
        <v/>
      </c>
    </row>
    <row r="63">
      <c r="A63" s="11" t="n">
        <v>44631</v>
      </c>
      <c r="B63" s="7" t="inlineStr">
        <is>
          <t>T02</t>
        </is>
      </c>
      <c r="C63" s="7" t="inlineStr">
        <is>
          <t>INSURANCE:L2</t>
        </is>
      </c>
      <c r="D63" s="7" t="inlineStr">
        <is>
          <t>INSURANCE</t>
        </is>
      </c>
      <c r="E63" s="7" t="inlineStr">
        <is>
          <t>physical</t>
        </is>
      </c>
      <c r="F63" s="7" t="inlineStr">
        <is>
          <t>L2</t>
        </is>
      </c>
      <c r="H63" s="7" t="inlineStr">
        <is>
          <t>tense</t>
        </is>
      </c>
      <c r="I63" s="7" t="inlineStr">
        <is>
          <t>JEA_NSA</t>
        </is>
      </c>
      <c r="J63" s="7" t="inlineStr">
        <is>
          <t>USD</t>
        </is>
      </c>
      <c r="K63" s="7" t="inlineStr">
        <is>
          <t>floating</t>
        </is>
      </c>
      <c r="L63" s="7" t="inlineStr">
        <is>
          <t>PNL</t>
        </is>
      </c>
      <c r="M63" s="11" t="n">
        <v>44664</v>
      </c>
      <c r="N63" s="13" t="n">
        <v>600</v>
      </c>
      <c r="O63" s="6" t="n">
        <v>0</v>
      </c>
      <c r="P63" s="13" t="n">
        <v>0</v>
      </c>
      <c r="Q63" s="22" t="n">
        <v>31</v>
      </c>
      <c r="R63" s="6" t="n">
        <v>1</v>
      </c>
      <c r="U63" s="9" t="n">
        <v>-1466.22</v>
      </c>
      <c r="V63" s="9" t="n">
        <v>-112393.21</v>
      </c>
      <c r="X63" s="9" t="n">
        <v>76.6551</v>
      </c>
      <c r="AK63" s="7" t="inlineStr">
        <is>
          <t>PYTHON_LIFECYCLE</t>
        </is>
      </c>
      <c r="AL63" s="8">
        <f>IF($J63="INR",1,IF($M63&lt;$A63,INDEX(Market_Daily!$F$6:$F$256,MATCH($M63,Market_Daily!$A$6:$A$256,1)),IF($M63=$A63,INDEX(Market_Daily!$F$6:$F$256,MATCH($A63,Market_Daily!$A$6:$A$256,0)),(INDEX(Market_Daily!$F$6:$F$256,MATCH($A63,Market_Daily!$A$6:$A$256,0))*(1+INDEX(Market_Daily!$I$6:$I$256,MATCH($A63,Market_Daily!$A$6:$A$256,0))*($M63-$A63)/day_count_inr)/(1+INDEX(Market_Daily!$J$6:$J$256,MATCH($A63,Market_Daily!$A$6:$A$256,0))*($M63-$A63)/day_count_usd)))))</f>
        <v/>
      </c>
      <c r="AM63" s="8">
        <f>IF(OR($J63="INR",$R63&gt;1),"",$AL63-$X63)</f>
        <v/>
      </c>
      <c r="AN63" s="8">
        <f>$U63</f>
        <v/>
      </c>
      <c r="AO63" s="8">
        <f>$AN63*IF($J63="INR",1,$AL63)</f>
        <v/>
      </c>
      <c r="AP63" s="18">
        <f>$AO63-$V63</f>
        <v/>
      </c>
      <c r="AQ63" s="8">
        <f>IF(ABS($AP63)&lt;=tol_trade_inr,"PASS","FAIL")</f>
        <v/>
      </c>
    </row>
    <row r="64">
      <c r="A64" s="11" t="n">
        <v>44631</v>
      </c>
      <c r="B64" s="7" t="inlineStr">
        <is>
          <t>T02</t>
        </is>
      </c>
      <c r="C64" s="7" t="inlineStr">
        <is>
          <t>LC_USANCE_FEE:L1</t>
        </is>
      </c>
      <c r="D64" s="7" t="inlineStr">
        <is>
          <t>LC_USANCE_FEE</t>
        </is>
      </c>
      <c r="E64" s="7" t="inlineStr">
        <is>
          <t>physical</t>
        </is>
      </c>
      <c r="F64" s="7" t="inlineStr">
        <is>
          <t>L1</t>
        </is>
      </c>
      <c r="H64" s="7" t="inlineStr">
        <is>
          <t>tense</t>
        </is>
      </c>
      <c r="I64" s="7" t="inlineStr">
        <is>
          <t>JEA_NSA</t>
        </is>
      </c>
      <c r="J64" s="7" t="inlineStr">
        <is>
          <t>USD</t>
        </is>
      </c>
      <c r="K64" s="7" t="inlineStr">
        <is>
          <t>floating</t>
        </is>
      </c>
      <c r="L64" s="7" t="inlineStr">
        <is>
          <t>PNL</t>
        </is>
      </c>
      <c r="M64" s="11" t="n">
        <v>44663</v>
      </c>
      <c r="N64" s="13" t="n">
        <v>0</v>
      </c>
      <c r="O64" s="6" t="n">
        <v>0</v>
      </c>
      <c r="P64" s="13" t="n">
        <v>0</v>
      </c>
      <c r="Q64" s="22" t="n">
        <v>31</v>
      </c>
      <c r="R64" s="6" t="n">
        <v>1</v>
      </c>
      <c r="U64" s="9" t="n">
        <v>-2657.33</v>
      </c>
      <c r="V64" s="9" t="n">
        <v>-203679.09</v>
      </c>
      <c r="X64" s="9" t="n">
        <v>76.6481</v>
      </c>
      <c r="AK64" s="7" t="inlineStr">
        <is>
          <t>PYTHON_LIFECYCLE</t>
        </is>
      </c>
      <c r="AL64" s="8">
        <f>IF($J64="INR",1,IF($M64&lt;$A64,INDEX(Market_Daily!$F$6:$F$256,MATCH($M64,Market_Daily!$A$6:$A$256,1)),IF($M64=$A64,INDEX(Market_Daily!$F$6:$F$256,MATCH($A64,Market_Daily!$A$6:$A$256,0)),(INDEX(Market_Daily!$F$6:$F$256,MATCH($A64,Market_Daily!$A$6:$A$256,0))*(1+INDEX(Market_Daily!$I$6:$I$256,MATCH($A64,Market_Daily!$A$6:$A$256,0))*($M64-$A64)/day_count_inr)/(1+INDEX(Market_Daily!$J$6:$J$256,MATCH($A64,Market_Daily!$A$6:$A$256,0))*($M64-$A64)/day_count_usd)))))</f>
        <v/>
      </c>
      <c r="AM64" s="8">
        <f>IF(OR($J64="INR",$R64&gt;1),"",$AL64-$X64)</f>
        <v/>
      </c>
      <c r="AN64" s="8">
        <f>$U64</f>
        <v/>
      </c>
      <c r="AO64" s="8">
        <f>$AN64*IF($J64="INR",1,$AL64)</f>
        <v/>
      </c>
      <c r="AP64" s="18">
        <f>$AO64-$V64</f>
        <v/>
      </c>
      <c r="AQ64" s="8">
        <f>IF(ABS($AP64)&lt;=tol_trade_inr,"PASS","FAIL")</f>
        <v/>
      </c>
    </row>
    <row r="65">
      <c r="A65" s="11" t="n">
        <v>44631</v>
      </c>
      <c r="B65" s="7" t="inlineStr">
        <is>
          <t>T02</t>
        </is>
      </c>
      <c r="C65" s="7" t="inlineStr">
        <is>
          <t>LC_USANCE_FEE:L2</t>
        </is>
      </c>
      <c r="D65" s="7" t="inlineStr">
        <is>
          <t>LC_USANCE_FEE</t>
        </is>
      </c>
      <c r="E65" s="7" t="inlineStr">
        <is>
          <t>physical</t>
        </is>
      </c>
      <c r="F65" s="7" t="inlineStr">
        <is>
          <t>L2</t>
        </is>
      </c>
      <c r="H65" s="7" t="inlineStr">
        <is>
          <t>tense</t>
        </is>
      </c>
      <c r="I65" s="7" t="inlineStr">
        <is>
          <t>JEA_NSA</t>
        </is>
      </c>
      <c r="J65" s="7" t="inlineStr">
        <is>
          <t>USD</t>
        </is>
      </c>
      <c r="K65" s="7" t="inlineStr">
        <is>
          <t>floating</t>
        </is>
      </c>
      <c r="L65" s="7" t="inlineStr">
        <is>
          <t>PNL</t>
        </is>
      </c>
      <c r="M65" s="11" t="n">
        <v>44671</v>
      </c>
      <c r="N65" s="13" t="n">
        <v>0</v>
      </c>
      <c r="O65" s="6" t="n">
        <v>0</v>
      </c>
      <c r="P65" s="13" t="n">
        <v>0</v>
      </c>
      <c r="Q65" s="22" t="n">
        <v>31</v>
      </c>
      <c r="R65" s="6" t="n">
        <v>1</v>
      </c>
      <c r="U65" s="9" t="n">
        <v>-2659.19</v>
      </c>
      <c r="V65" s="9" t="n">
        <v>-203972.03</v>
      </c>
      <c r="X65" s="9" t="n">
        <v>76.7046</v>
      </c>
      <c r="AK65" s="7" t="inlineStr">
        <is>
          <t>PYTHON_LIFECYCLE</t>
        </is>
      </c>
      <c r="AL65" s="8">
        <f>IF($J65="INR",1,IF($M65&lt;$A65,INDEX(Market_Daily!$F$6:$F$256,MATCH($M65,Market_Daily!$A$6:$A$256,1)),IF($M65=$A65,INDEX(Market_Daily!$F$6:$F$256,MATCH($A65,Market_Daily!$A$6:$A$256,0)),(INDEX(Market_Daily!$F$6:$F$256,MATCH($A65,Market_Daily!$A$6:$A$256,0))*(1+INDEX(Market_Daily!$I$6:$I$256,MATCH($A65,Market_Daily!$A$6:$A$256,0))*($M65-$A65)/day_count_inr)/(1+INDEX(Market_Daily!$J$6:$J$256,MATCH($A65,Market_Daily!$A$6:$A$256,0))*($M65-$A65)/day_count_usd)))))</f>
        <v/>
      </c>
      <c r="AM65" s="8">
        <f>IF(OR($J65="INR",$R65&gt;1),"",$AL65-$X65)</f>
        <v/>
      </c>
      <c r="AN65" s="8">
        <f>$U65</f>
        <v/>
      </c>
      <c r="AO65" s="8">
        <f>$AN65*IF($J65="INR",1,$AL65)</f>
        <v/>
      </c>
      <c r="AP65" s="18">
        <f>$AO65-$V65</f>
        <v/>
      </c>
      <c r="AQ65" s="8">
        <f>IF(ABS($AP65)&lt;=tol_trade_inr,"PASS","FAIL")</f>
        <v/>
      </c>
    </row>
    <row r="66">
      <c r="A66" s="11" t="n">
        <v>44631</v>
      </c>
      <c r="B66" s="7" t="inlineStr">
        <is>
          <t>T02</t>
        </is>
      </c>
      <c r="C66" s="7" t="inlineStr">
        <is>
          <t>MCX:T02-MCX-1</t>
        </is>
      </c>
      <c r="D66" s="7" t="inlineStr">
        <is>
          <t>MCX</t>
        </is>
      </c>
      <c r="E66" s="7" t="inlineStr">
        <is>
          <t>mcx</t>
        </is>
      </c>
      <c r="H66" s="7" t="inlineStr">
        <is>
          <t>tense</t>
        </is>
      </c>
      <c r="I66" s="7" t="inlineStr">
        <is>
          <t>JEA_NSA</t>
        </is>
      </c>
      <c r="J66" s="7" t="inlineStr">
        <is>
          <t>INR</t>
        </is>
      </c>
      <c r="K66" s="7" t="inlineStr">
        <is>
          <t>partially_fixed</t>
        </is>
      </c>
      <c r="L66" s="7" t="inlineStr">
        <is>
          <t>PNL</t>
        </is>
      </c>
      <c r="M66" s="11" t="n">
        <v>44642</v>
      </c>
      <c r="N66" s="13" t="n">
        <v>0</v>
      </c>
      <c r="O66" s="6" t="n">
        <v>-74</v>
      </c>
      <c r="P66" s="13" t="n">
        <v>0</v>
      </c>
      <c r="Q66" s="22" t="n">
        <v>31</v>
      </c>
      <c r="R66" s="6" t="n">
        <v>8</v>
      </c>
      <c r="U66" s="9" t="n">
        <v>0</v>
      </c>
      <c r="V66" s="9" t="n">
        <v>0</v>
      </c>
      <c r="X66" s="9" t="n">
        <v>76.4217</v>
      </c>
      <c r="AK66" s="7" t="inlineStr">
        <is>
          <t>PYTHON_MULTI_FLOW_LEG</t>
        </is>
      </c>
      <c r="AL66" s="8">
        <f>IF($J66="INR",1,IF($M66&lt;$A66,INDEX(Market_Daily!$F$6:$F$256,MATCH($M66,Market_Daily!$A$6:$A$256,1)),IF($M66=$A66,INDEX(Market_Daily!$F$6:$F$256,MATCH($A66,Market_Daily!$A$6:$A$256,0)),(INDEX(Market_Daily!$F$6:$F$256,MATCH($A66,Market_Daily!$A$6:$A$256,0))*(1+INDEX(Market_Daily!$I$6:$I$256,MATCH($A66,Market_Daily!$A$6:$A$256,0))*($M66-$A66)/day_count_inr)/(1+INDEX(Market_Daily!$J$6:$J$256,MATCH($A66,Market_Daily!$A$6:$A$256,0))*($M66-$A66)/day_count_usd)))))</f>
        <v/>
      </c>
      <c r="AM66" s="8">
        <f>IF(OR($J66="INR",$R66&gt;1),"",$AL66-$X66)</f>
        <v/>
      </c>
      <c r="AN66" s="8">
        <f>$U66</f>
        <v/>
      </c>
      <c r="AO66" s="8">
        <f>$V66</f>
        <v/>
      </c>
      <c r="AP66" s="18">
        <f>$AO66-$V66</f>
        <v/>
      </c>
      <c r="AQ66" s="8">
        <f>IF(ABS($AP66)&lt;=tol_trade_inr,"PASS","FAIL")</f>
        <v/>
      </c>
    </row>
    <row r="67">
      <c r="A67" s="11" t="n">
        <v>44631</v>
      </c>
      <c r="B67" s="7" t="inlineStr">
        <is>
          <t>T02</t>
        </is>
      </c>
      <c r="C67" s="7" t="inlineStr">
        <is>
          <t>PORT:L1</t>
        </is>
      </c>
      <c r="D67" s="7" t="inlineStr">
        <is>
          <t>PORT</t>
        </is>
      </c>
      <c r="E67" s="7" t="inlineStr">
        <is>
          <t>physical</t>
        </is>
      </c>
      <c r="F67" s="7" t="inlineStr">
        <is>
          <t>L1</t>
        </is>
      </c>
      <c r="H67" s="7" t="inlineStr">
        <is>
          <t>tense</t>
        </is>
      </c>
      <c r="I67" s="7" t="inlineStr">
        <is>
          <t>JEA_NSA</t>
        </is>
      </c>
      <c r="J67" s="7" t="inlineStr">
        <is>
          <t>INR</t>
        </is>
      </c>
      <c r="K67" s="7" t="inlineStr">
        <is>
          <t>fixed_unsettled</t>
        </is>
      </c>
      <c r="L67" s="7" t="inlineStr">
        <is>
          <t>PNL</t>
        </is>
      </c>
      <c r="M67" s="11" t="n">
        <v>44671</v>
      </c>
      <c r="N67" s="13" t="n">
        <v>0</v>
      </c>
      <c r="O67" s="6" t="n">
        <v>0</v>
      </c>
      <c r="P67" s="13" t="n">
        <v>0</v>
      </c>
      <c r="Q67" s="22" t="n">
        <v>31</v>
      </c>
      <c r="R67" s="6" t="n">
        <v>1</v>
      </c>
      <c r="U67" s="9" t="n">
        <v>-960000</v>
      </c>
      <c r="V67" s="9" t="n">
        <v>-960000</v>
      </c>
      <c r="X67" s="9" t="n">
        <v>76.4217</v>
      </c>
      <c r="AK67" s="7" t="inlineStr">
        <is>
          <t>PYTHON_LIFECYCLE</t>
        </is>
      </c>
      <c r="AL67" s="8">
        <f>IF($J67="INR",1,IF($M67&lt;$A67,INDEX(Market_Daily!$F$6:$F$256,MATCH($M67,Market_Daily!$A$6:$A$256,1)),IF($M67=$A67,INDEX(Market_Daily!$F$6:$F$256,MATCH($A67,Market_Daily!$A$6:$A$256,0)),(INDEX(Market_Daily!$F$6:$F$256,MATCH($A67,Market_Daily!$A$6:$A$256,0))*(1+INDEX(Market_Daily!$I$6:$I$256,MATCH($A67,Market_Daily!$A$6:$A$256,0))*($M67-$A67)/day_count_inr)/(1+INDEX(Market_Daily!$J$6:$J$256,MATCH($A67,Market_Daily!$A$6:$A$256,0))*($M67-$A67)/day_count_usd)))))</f>
        <v/>
      </c>
      <c r="AM67" s="8">
        <f>IF(OR($J67="INR",$R67&gt;1),"",$AL67-$X67)</f>
        <v/>
      </c>
      <c r="AN67" s="8">
        <f>$U67</f>
        <v/>
      </c>
      <c r="AO67" s="8">
        <f>$AN67*IF($J67="INR",1,$AL67)</f>
        <v/>
      </c>
      <c r="AP67" s="18">
        <f>$AO67-$V67</f>
        <v/>
      </c>
      <c r="AQ67" s="8">
        <f>IF(ABS($AP67)&lt;=tol_trade_inr,"PASS","FAIL")</f>
        <v/>
      </c>
    </row>
    <row r="68">
      <c r="A68" s="11" t="n">
        <v>44631</v>
      </c>
      <c r="B68" s="7" t="inlineStr">
        <is>
          <t>T02</t>
        </is>
      </c>
      <c r="C68" s="7" t="inlineStr">
        <is>
          <t>PORT:L2</t>
        </is>
      </c>
      <c r="D68" s="7" t="inlineStr">
        <is>
          <t>PORT</t>
        </is>
      </c>
      <c r="E68" s="7" t="inlineStr">
        <is>
          <t>physical</t>
        </is>
      </c>
      <c r="F68" s="7" t="inlineStr">
        <is>
          <t>L2</t>
        </is>
      </c>
      <c r="H68" s="7" t="inlineStr">
        <is>
          <t>tense</t>
        </is>
      </c>
      <c r="I68" s="7" t="inlineStr">
        <is>
          <t>JEA_NSA</t>
        </is>
      </c>
      <c r="J68" s="7" t="inlineStr">
        <is>
          <t>INR</t>
        </is>
      </c>
      <c r="K68" s="7" t="inlineStr">
        <is>
          <t>fixed_unsettled</t>
        </is>
      </c>
      <c r="L68" s="7" t="inlineStr">
        <is>
          <t>PNL</t>
        </is>
      </c>
      <c r="M68" s="11" t="n">
        <v>44679</v>
      </c>
      <c r="N68" s="13" t="n">
        <v>0</v>
      </c>
      <c r="O68" s="6" t="n">
        <v>0</v>
      </c>
      <c r="P68" s="13" t="n">
        <v>0</v>
      </c>
      <c r="Q68" s="22" t="n">
        <v>31</v>
      </c>
      <c r="R68" s="6" t="n">
        <v>1</v>
      </c>
      <c r="U68" s="9" t="n">
        <v>-960000</v>
      </c>
      <c r="V68" s="9" t="n">
        <v>-960000</v>
      </c>
      <c r="X68" s="9" t="n">
        <v>76.4217</v>
      </c>
      <c r="AK68" s="7" t="inlineStr">
        <is>
          <t>PYTHON_LIFECYCLE</t>
        </is>
      </c>
      <c r="AL68" s="8">
        <f>IF($J68="INR",1,IF($M68&lt;$A68,INDEX(Market_Daily!$F$6:$F$256,MATCH($M68,Market_Daily!$A$6:$A$256,1)),IF($M68=$A68,INDEX(Market_Daily!$F$6:$F$256,MATCH($A68,Market_Daily!$A$6:$A$256,0)),(INDEX(Market_Daily!$F$6:$F$256,MATCH($A68,Market_Daily!$A$6:$A$256,0))*(1+INDEX(Market_Daily!$I$6:$I$256,MATCH($A68,Market_Daily!$A$6:$A$256,0))*($M68-$A68)/day_count_inr)/(1+INDEX(Market_Daily!$J$6:$J$256,MATCH($A68,Market_Daily!$A$6:$A$256,0))*($M68-$A68)/day_count_usd)))))</f>
        <v/>
      </c>
      <c r="AM68" s="8">
        <f>IF(OR($J68="INR",$R68&gt;1),"",$AL68-$X68)</f>
        <v/>
      </c>
      <c r="AN68" s="8">
        <f>$U68</f>
        <v/>
      </c>
      <c r="AO68" s="8">
        <f>$AN68*IF($J68="INR",1,$AL68)</f>
        <v/>
      </c>
      <c r="AP68" s="18">
        <f>$AO68-$V68</f>
        <v/>
      </c>
      <c r="AQ68" s="8">
        <f>IF(ABS($AP68)&lt;=tol_trade_inr,"PASS","FAIL")</f>
        <v/>
      </c>
    </row>
    <row r="69">
      <c r="A69" s="11" t="n">
        <v>44631</v>
      </c>
      <c r="B69" s="7" t="inlineStr">
        <is>
          <t>T02</t>
        </is>
      </c>
      <c r="C69" s="7" t="inlineStr">
        <is>
          <t>PSIC:L1</t>
        </is>
      </c>
      <c r="D69" s="7" t="inlineStr">
        <is>
          <t>PSIC</t>
        </is>
      </c>
      <c r="E69" s="7" t="inlineStr">
        <is>
          <t>physical</t>
        </is>
      </c>
      <c r="F69" s="7" t="inlineStr">
        <is>
          <t>L1</t>
        </is>
      </c>
      <c r="H69" s="7" t="inlineStr">
        <is>
          <t>tense</t>
        </is>
      </c>
      <c r="I69" s="7" t="inlineStr">
        <is>
          <t>JEA_NSA</t>
        </is>
      </c>
      <c r="J69" s="7" t="inlineStr">
        <is>
          <t>USD</t>
        </is>
      </c>
      <c r="K69" s="7" t="inlineStr">
        <is>
          <t>floating</t>
        </is>
      </c>
      <c r="L69" s="7" t="inlineStr">
        <is>
          <t>PNL</t>
        </is>
      </c>
      <c r="M69" s="11" t="n">
        <v>44656</v>
      </c>
      <c r="N69" s="13" t="n">
        <v>0</v>
      </c>
      <c r="O69" s="6" t="n">
        <v>0</v>
      </c>
      <c r="P69" s="13" t="n">
        <v>0</v>
      </c>
      <c r="Q69" s="22" t="n">
        <v>31</v>
      </c>
      <c r="R69" s="6" t="n">
        <v>1</v>
      </c>
      <c r="U69" s="9" t="n">
        <v>-960</v>
      </c>
      <c r="V69" s="9" t="n">
        <v>-73534.62</v>
      </c>
      <c r="X69" s="9" t="n">
        <v>76.5986</v>
      </c>
      <c r="AK69" s="7" t="inlineStr">
        <is>
          <t>PYTHON_LIFECYCLE</t>
        </is>
      </c>
      <c r="AL69" s="8">
        <f>IF($J69="INR",1,IF($M69&lt;$A69,INDEX(Market_Daily!$F$6:$F$256,MATCH($M69,Market_Daily!$A$6:$A$256,1)),IF($M69=$A69,INDEX(Market_Daily!$F$6:$F$256,MATCH($A69,Market_Daily!$A$6:$A$256,0)),(INDEX(Market_Daily!$F$6:$F$256,MATCH($A69,Market_Daily!$A$6:$A$256,0))*(1+INDEX(Market_Daily!$I$6:$I$256,MATCH($A69,Market_Daily!$A$6:$A$256,0))*($M69-$A69)/day_count_inr)/(1+INDEX(Market_Daily!$J$6:$J$256,MATCH($A69,Market_Daily!$A$6:$A$256,0))*($M69-$A69)/day_count_usd)))))</f>
        <v/>
      </c>
      <c r="AM69" s="8">
        <f>IF(OR($J69="INR",$R69&gt;1),"",$AL69-$X69)</f>
        <v/>
      </c>
      <c r="AN69" s="8">
        <f>$U69</f>
        <v/>
      </c>
      <c r="AO69" s="8">
        <f>$AN69*IF($J69="INR",1,$AL69)</f>
        <v/>
      </c>
      <c r="AP69" s="18">
        <f>$AO69-$V69</f>
        <v/>
      </c>
      <c r="AQ69" s="8">
        <f>IF(ABS($AP69)&lt;=tol_trade_inr,"PASS","FAIL")</f>
        <v/>
      </c>
    </row>
    <row r="70">
      <c r="A70" s="11" t="n">
        <v>44631</v>
      </c>
      <c r="B70" s="7" t="inlineStr">
        <is>
          <t>T02</t>
        </is>
      </c>
      <c r="C70" s="7" t="inlineStr">
        <is>
          <t>PSIC:L2</t>
        </is>
      </c>
      <c r="D70" s="7" t="inlineStr">
        <is>
          <t>PSIC</t>
        </is>
      </c>
      <c r="E70" s="7" t="inlineStr">
        <is>
          <t>physical</t>
        </is>
      </c>
      <c r="F70" s="7" t="inlineStr">
        <is>
          <t>L2</t>
        </is>
      </c>
      <c r="H70" s="7" t="inlineStr">
        <is>
          <t>tense</t>
        </is>
      </c>
      <c r="I70" s="7" t="inlineStr">
        <is>
          <t>JEA_NSA</t>
        </is>
      </c>
      <c r="J70" s="7" t="inlineStr">
        <is>
          <t>USD</t>
        </is>
      </c>
      <c r="K70" s="7" t="inlineStr">
        <is>
          <t>floating</t>
        </is>
      </c>
      <c r="L70" s="7" t="inlineStr">
        <is>
          <t>PNL</t>
        </is>
      </c>
      <c r="M70" s="11" t="n">
        <v>44664</v>
      </c>
      <c r="N70" s="13" t="n">
        <v>0</v>
      </c>
      <c r="O70" s="6" t="n">
        <v>0</v>
      </c>
      <c r="P70" s="13" t="n">
        <v>0</v>
      </c>
      <c r="Q70" s="22" t="n">
        <v>31</v>
      </c>
      <c r="R70" s="6" t="n">
        <v>1</v>
      </c>
      <c r="U70" s="9" t="n">
        <v>-960</v>
      </c>
      <c r="V70" s="9" t="n">
        <v>-73588.92999999999</v>
      </c>
      <c r="X70" s="9" t="n">
        <v>76.6551</v>
      </c>
      <c r="AK70" s="7" t="inlineStr">
        <is>
          <t>PYTHON_LIFECYCLE</t>
        </is>
      </c>
      <c r="AL70" s="8">
        <f>IF($J70="INR",1,IF($M70&lt;$A70,INDEX(Market_Daily!$F$6:$F$256,MATCH($M70,Market_Daily!$A$6:$A$256,1)),IF($M70=$A70,INDEX(Market_Daily!$F$6:$F$256,MATCH($A70,Market_Daily!$A$6:$A$256,0)),(INDEX(Market_Daily!$F$6:$F$256,MATCH($A70,Market_Daily!$A$6:$A$256,0))*(1+INDEX(Market_Daily!$I$6:$I$256,MATCH($A70,Market_Daily!$A$6:$A$256,0))*($M70-$A70)/day_count_inr)/(1+INDEX(Market_Daily!$J$6:$J$256,MATCH($A70,Market_Daily!$A$6:$A$256,0))*($M70-$A70)/day_count_usd)))))</f>
        <v/>
      </c>
      <c r="AM70" s="8">
        <f>IF(OR($J70="INR",$R70&gt;1),"",$AL70-$X70)</f>
        <v/>
      </c>
      <c r="AN70" s="8">
        <f>$U70</f>
        <v/>
      </c>
      <c r="AO70" s="8">
        <f>$AN70*IF($J70="INR",1,$AL70)</f>
        <v/>
      </c>
      <c r="AP70" s="18">
        <f>$AO70-$V70</f>
        <v/>
      </c>
      <c r="AQ70" s="8">
        <f>IF(ABS($AP70)&lt;=tol_trade_inr,"PASS","FAIL")</f>
        <v/>
      </c>
    </row>
    <row r="71">
      <c r="A71" s="11" t="n">
        <v>44631</v>
      </c>
      <c r="B71" s="7" t="inlineStr">
        <is>
          <t>T02</t>
        </is>
      </c>
      <c r="C71" s="7" t="inlineStr">
        <is>
          <t>PURCHASE:L1</t>
        </is>
      </c>
      <c r="D71" s="7" t="inlineStr">
        <is>
          <t>PURCHASE</t>
        </is>
      </c>
      <c r="E71" s="7" t="inlineStr">
        <is>
          <t>physical</t>
        </is>
      </c>
      <c r="F71" s="7" t="inlineStr">
        <is>
          <t>L1</t>
        </is>
      </c>
      <c r="G71" s="7" t="inlineStr">
        <is>
          <t>SUP_JEA_01</t>
        </is>
      </c>
      <c r="H71" s="7" t="inlineStr">
        <is>
          <t>tense</t>
        </is>
      </c>
      <c r="I71" s="7" t="inlineStr">
        <is>
          <t>JEA_NSA</t>
        </is>
      </c>
      <c r="J71" s="7" t="inlineStr">
        <is>
          <t>USD</t>
        </is>
      </c>
      <c r="K71" s="7" t="inlineStr">
        <is>
          <t>floating</t>
        </is>
      </c>
      <c r="L71" s="7" t="inlineStr">
        <is>
          <t>PNL</t>
        </is>
      </c>
      <c r="M71" s="11" t="n">
        <v>44746</v>
      </c>
      <c r="N71" s="13" t="n">
        <v>1200</v>
      </c>
      <c r="O71" s="6" t="n">
        <v>0</v>
      </c>
      <c r="P71" s="13" t="n">
        <v>0</v>
      </c>
      <c r="Q71" s="22" t="n">
        <v>31</v>
      </c>
      <c r="R71" s="6" t="n">
        <v>2</v>
      </c>
      <c r="U71" s="9" t="n">
        <v>-1336843.01</v>
      </c>
      <c r="V71" s="9" t="n">
        <v>-103237751.31</v>
      </c>
      <c r="X71" s="9" t="n">
        <v>77.2345</v>
      </c>
      <c r="AK71" s="7" t="inlineStr">
        <is>
          <t>PYTHON_MULTI_FLOW_LEG</t>
        </is>
      </c>
      <c r="AL71" s="8">
        <f>IF($J71="INR",1,IF($M71&lt;$A71,INDEX(Market_Daily!$F$6:$F$256,MATCH($M71,Market_Daily!$A$6:$A$256,1)),IF($M71=$A71,INDEX(Market_Daily!$F$6:$F$256,MATCH($A71,Market_Daily!$A$6:$A$256,0)),(INDEX(Market_Daily!$F$6:$F$256,MATCH($A71,Market_Daily!$A$6:$A$256,0))*(1+INDEX(Market_Daily!$I$6:$I$256,MATCH($A71,Market_Daily!$A$6:$A$256,0))*($M71-$A71)/day_count_inr)/(1+INDEX(Market_Daily!$J$6:$J$256,MATCH($A71,Market_Daily!$A$6:$A$256,0))*($M71-$A71)/day_count_usd)))))</f>
        <v/>
      </c>
      <c r="AM71" s="8">
        <f>IF(OR($J71="INR",$R71&gt;1),"",$AL71-$X71)</f>
        <v/>
      </c>
      <c r="AN71" s="8">
        <f>$U71</f>
        <v/>
      </c>
      <c r="AO71" s="8">
        <f>$V71</f>
        <v/>
      </c>
      <c r="AP71" s="18">
        <f>$AO71-$V71</f>
        <v/>
      </c>
      <c r="AQ71" s="8">
        <f>IF(ABS($AP71)&lt;=tol_trade_inr,"PASS","FAIL")</f>
        <v/>
      </c>
    </row>
    <row r="72">
      <c r="A72" s="11" t="n">
        <v>44631</v>
      </c>
      <c r="B72" s="7" t="inlineStr">
        <is>
          <t>T02</t>
        </is>
      </c>
      <c r="C72" s="7" t="inlineStr">
        <is>
          <t>PURCHASE:L2</t>
        </is>
      </c>
      <c r="D72" s="7" t="inlineStr">
        <is>
          <t>PURCHASE</t>
        </is>
      </c>
      <c r="E72" s="7" t="inlineStr">
        <is>
          <t>physical</t>
        </is>
      </c>
      <c r="F72" s="7" t="inlineStr">
        <is>
          <t>L2</t>
        </is>
      </c>
      <c r="G72" s="7" t="inlineStr">
        <is>
          <t>SUP_JEA_01</t>
        </is>
      </c>
      <c r="H72" s="7" t="inlineStr">
        <is>
          <t>tense</t>
        </is>
      </c>
      <c r="I72" s="7" t="inlineStr">
        <is>
          <t>JEA_NSA</t>
        </is>
      </c>
      <c r="J72" s="7" t="inlineStr">
        <is>
          <t>USD</t>
        </is>
      </c>
      <c r="K72" s="7" t="inlineStr">
        <is>
          <t>floating</t>
        </is>
      </c>
      <c r="L72" s="7" t="inlineStr">
        <is>
          <t>PNL</t>
        </is>
      </c>
      <c r="M72" s="11" t="n">
        <v>44754</v>
      </c>
      <c r="N72" s="13" t="n">
        <v>1200</v>
      </c>
      <c r="O72" s="6" t="n">
        <v>0</v>
      </c>
      <c r="P72" s="13" t="n">
        <v>0</v>
      </c>
      <c r="Q72" s="22" t="n">
        <v>31</v>
      </c>
      <c r="R72" s="6" t="n">
        <v>2</v>
      </c>
      <c r="U72" s="9" t="n">
        <v>-1336843.01</v>
      </c>
      <c r="V72" s="9" t="n">
        <v>-103309407.48</v>
      </c>
      <c r="X72" s="9" t="n">
        <v>77.29089999999999</v>
      </c>
      <c r="AK72" s="7" t="inlineStr">
        <is>
          <t>PYTHON_MULTI_FLOW_LEG</t>
        </is>
      </c>
      <c r="AL72" s="8">
        <f>IF($J72="INR",1,IF($M72&lt;$A72,INDEX(Market_Daily!$F$6:$F$256,MATCH($M72,Market_Daily!$A$6:$A$256,1)),IF($M72=$A72,INDEX(Market_Daily!$F$6:$F$256,MATCH($A72,Market_Daily!$A$6:$A$256,0)),(INDEX(Market_Daily!$F$6:$F$256,MATCH($A72,Market_Daily!$A$6:$A$256,0))*(1+INDEX(Market_Daily!$I$6:$I$256,MATCH($A72,Market_Daily!$A$6:$A$256,0))*($M72-$A72)/day_count_inr)/(1+INDEX(Market_Daily!$J$6:$J$256,MATCH($A72,Market_Daily!$A$6:$A$256,0))*($M72-$A72)/day_count_usd)))))</f>
        <v/>
      </c>
      <c r="AM72" s="8">
        <f>IF(OR($J72="INR",$R72&gt;1),"",$AL72-$X72)</f>
        <v/>
      </c>
      <c r="AN72" s="8">
        <f>$U72</f>
        <v/>
      </c>
      <c r="AO72" s="8">
        <f>$V72</f>
        <v/>
      </c>
      <c r="AP72" s="18">
        <f>$AO72-$V72</f>
        <v/>
      </c>
      <c r="AQ72" s="8">
        <f>IF(ABS($AP72)&lt;=tol_trade_inr,"PASS","FAIL")</f>
        <v/>
      </c>
    </row>
    <row r="73">
      <c r="A73" s="11" t="n">
        <v>44631</v>
      </c>
      <c r="B73" s="7" t="inlineStr">
        <is>
          <t>T02</t>
        </is>
      </c>
      <c r="C73" s="7" t="inlineStr">
        <is>
          <t>SALE:S1</t>
        </is>
      </c>
      <c r="D73" s="7" t="inlineStr">
        <is>
          <t>SALE</t>
        </is>
      </c>
      <c r="E73" s="7" t="inlineStr">
        <is>
          <t>physical</t>
        </is>
      </c>
      <c r="G73" s="7" t="inlineStr">
        <is>
          <t>BUY_JNPT_01</t>
        </is>
      </c>
      <c r="H73" s="7" t="inlineStr">
        <is>
          <t>tense</t>
        </is>
      </c>
      <c r="I73" s="7" t="inlineStr">
        <is>
          <t>JEA_NSA</t>
        </is>
      </c>
      <c r="J73" s="7" t="inlineStr">
        <is>
          <t>INR</t>
        </is>
      </c>
      <c r="K73" s="7" t="inlineStr">
        <is>
          <t>floating</t>
        </is>
      </c>
      <c r="L73" s="7" t="inlineStr">
        <is>
          <t>PNL</t>
        </is>
      </c>
      <c r="M73" s="11" t="n">
        <v>44711</v>
      </c>
      <c r="N73" s="13" t="n">
        <v>1200</v>
      </c>
      <c r="O73" s="6" t="n">
        <v>0</v>
      </c>
      <c r="P73" s="13" t="n">
        <v>0</v>
      </c>
      <c r="Q73" s="22" t="n">
        <v>31</v>
      </c>
      <c r="R73" s="6" t="n">
        <v>1</v>
      </c>
      <c r="U73" s="9" t="n">
        <v>255041269.42</v>
      </c>
      <c r="V73" s="9" t="n">
        <v>255041269.42</v>
      </c>
      <c r="W73" s="9" t="n">
        <v>212534.3912</v>
      </c>
      <c r="X73" s="9" t="n">
        <v>76.4217</v>
      </c>
      <c r="AK73" s="7" t="inlineStr">
        <is>
          <t>PYTHON_LIFECYCLE</t>
        </is>
      </c>
      <c r="AL73" s="8">
        <f>IF($J73="INR",1,IF($M73&lt;$A73,INDEX(Market_Daily!$F$6:$F$256,MATCH($M73,Market_Daily!$A$6:$A$256,1)),IF($M73=$A73,INDEX(Market_Daily!$F$6:$F$256,MATCH($A73,Market_Daily!$A$6:$A$256,0)),(INDEX(Market_Daily!$F$6:$F$256,MATCH($A73,Market_Daily!$A$6:$A$256,0))*(1+INDEX(Market_Daily!$I$6:$I$256,MATCH($A73,Market_Daily!$A$6:$A$256,0))*($M73-$A73)/day_count_inr)/(1+INDEX(Market_Daily!$J$6:$J$256,MATCH($A73,Market_Daily!$A$6:$A$256,0))*($M73-$A73)/day_count_usd)))))</f>
        <v/>
      </c>
      <c r="AM73" s="8">
        <f>IF(OR($J73="INR",$R73&gt;1),"",$AL73-$X73)</f>
        <v/>
      </c>
      <c r="AN73" s="8">
        <f>$U73</f>
        <v/>
      </c>
      <c r="AO73" s="8">
        <f>$AN73*IF($J73="INR",1,$AL73)</f>
        <v/>
      </c>
      <c r="AP73" s="18">
        <f>$AO73-$V73</f>
        <v/>
      </c>
      <c r="AQ73" s="8">
        <f>IF(ABS($AP73)&lt;=tol_trade_inr,"PASS","FAIL")</f>
        <v/>
      </c>
    </row>
    <row r="74">
      <c r="A74" s="11" t="n">
        <v>44631</v>
      </c>
      <c r="B74" s="7" t="inlineStr">
        <is>
          <t>T02</t>
        </is>
      </c>
      <c r="C74" s="7" t="inlineStr">
        <is>
          <t>USANCE_INTEREST:L1</t>
        </is>
      </c>
      <c r="D74" s="7" t="inlineStr">
        <is>
          <t>USANCE_INTEREST</t>
        </is>
      </c>
      <c r="E74" s="7" t="inlineStr">
        <is>
          <t>physical</t>
        </is>
      </c>
      <c r="F74" s="7" t="inlineStr">
        <is>
          <t>L1</t>
        </is>
      </c>
      <c r="H74" s="7" t="inlineStr">
        <is>
          <t>tense</t>
        </is>
      </c>
      <c r="I74" s="7" t="inlineStr">
        <is>
          <t>JEA_NSA</t>
        </is>
      </c>
      <c r="J74" s="7" t="inlineStr">
        <is>
          <t>USD</t>
        </is>
      </c>
      <c r="K74" s="7" t="inlineStr">
        <is>
          <t>floating</t>
        </is>
      </c>
      <c r="L74" s="7" t="inlineStr">
        <is>
          <t>PNL</t>
        </is>
      </c>
      <c r="M74" s="11" t="n">
        <v>44746</v>
      </c>
      <c r="N74" s="13" t="n">
        <v>0</v>
      </c>
      <c r="O74" s="6" t="n">
        <v>0</v>
      </c>
      <c r="P74" s="13" t="n">
        <v>0</v>
      </c>
      <c r="Q74" s="22" t="n">
        <v>31</v>
      </c>
      <c r="R74" s="6" t="n">
        <v>1</v>
      </c>
      <c r="U74" s="9" t="n">
        <v>-5993.22</v>
      </c>
      <c r="V74" s="9" t="n">
        <v>-462883.54</v>
      </c>
      <c r="X74" s="9" t="n">
        <v>77.2345</v>
      </c>
      <c r="AK74" s="7" t="inlineStr">
        <is>
          <t>PYTHON_LIFECYCLE</t>
        </is>
      </c>
      <c r="AL74" s="8">
        <f>IF($J74="INR",1,IF($M74&lt;$A74,INDEX(Market_Daily!$F$6:$F$256,MATCH($M74,Market_Daily!$A$6:$A$256,1)),IF($M74=$A74,INDEX(Market_Daily!$F$6:$F$256,MATCH($A74,Market_Daily!$A$6:$A$256,0)),(INDEX(Market_Daily!$F$6:$F$256,MATCH($A74,Market_Daily!$A$6:$A$256,0))*(1+INDEX(Market_Daily!$I$6:$I$256,MATCH($A74,Market_Daily!$A$6:$A$256,0))*($M74-$A74)/day_count_inr)/(1+INDEX(Market_Daily!$J$6:$J$256,MATCH($A74,Market_Daily!$A$6:$A$256,0))*($M74-$A74)/day_count_usd)))))</f>
        <v/>
      </c>
      <c r="AM74" s="8">
        <f>IF(OR($J74="INR",$R74&gt;1),"",$AL74-$X74)</f>
        <v/>
      </c>
      <c r="AN74" s="8">
        <f>$U74</f>
        <v/>
      </c>
      <c r="AO74" s="8">
        <f>$AN74*IF($J74="INR",1,$AL74)</f>
        <v/>
      </c>
      <c r="AP74" s="18">
        <f>$AO74-$V74</f>
        <v/>
      </c>
      <c r="AQ74" s="8">
        <f>IF(ABS($AP74)&lt;=tol_trade_inr,"PASS","FAIL")</f>
        <v/>
      </c>
    </row>
    <row r="75">
      <c r="A75" s="11" t="n">
        <v>44631</v>
      </c>
      <c r="B75" s="7" t="inlineStr">
        <is>
          <t>T02</t>
        </is>
      </c>
      <c r="C75" s="7" t="inlineStr">
        <is>
          <t>USANCE_INTEREST:L2</t>
        </is>
      </c>
      <c r="D75" s="7" t="inlineStr">
        <is>
          <t>USANCE_INTEREST</t>
        </is>
      </c>
      <c r="E75" s="7" t="inlineStr">
        <is>
          <t>physical</t>
        </is>
      </c>
      <c r="F75" s="7" t="inlineStr">
        <is>
          <t>L2</t>
        </is>
      </c>
      <c r="H75" s="7" t="inlineStr">
        <is>
          <t>tense</t>
        </is>
      </c>
      <c r="I75" s="7" t="inlineStr">
        <is>
          <t>JEA_NSA</t>
        </is>
      </c>
      <c r="J75" s="7" t="inlineStr">
        <is>
          <t>USD</t>
        </is>
      </c>
      <c r="K75" s="7" t="inlineStr">
        <is>
          <t>floating</t>
        </is>
      </c>
      <c r="L75" s="7" t="inlineStr">
        <is>
          <t>PNL</t>
        </is>
      </c>
      <c r="M75" s="11" t="n">
        <v>44754</v>
      </c>
      <c r="N75" s="13" t="n">
        <v>0</v>
      </c>
      <c r="O75" s="6" t="n">
        <v>0</v>
      </c>
      <c r="P75" s="13" t="n">
        <v>0</v>
      </c>
      <c r="Q75" s="22" t="n">
        <v>31</v>
      </c>
      <c r="R75" s="6" t="n">
        <v>1</v>
      </c>
      <c r="U75" s="9" t="n">
        <v>-5997.42</v>
      </c>
      <c r="V75" s="9" t="n">
        <v>-463546.08</v>
      </c>
      <c r="X75" s="9" t="n">
        <v>77.29089999999999</v>
      </c>
      <c r="AK75" s="7" t="inlineStr">
        <is>
          <t>PYTHON_LIFECYCLE</t>
        </is>
      </c>
      <c r="AL75" s="8">
        <f>IF($J75="INR",1,IF($M75&lt;$A75,INDEX(Market_Daily!$F$6:$F$256,MATCH($M75,Market_Daily!$A$6:$A$256,1)),IF($M75=$A75,INDEX(Market_Daily!$F$6:$F$256,MATCH($A75,Market_Daily!$A$6:$A$256,0)),(INDEX(Market_Daily!$F$6:$F$256,MATCH($A75,Market_Daily!$A$6:$A$256,0))*(1+INDEX(Market_Daily!$I$6:$I$256,MATCH($A75,Market_Daily!$A$6:$A$256,0))*($M75-$A75)/day_count_inr)/(1+INDEX(Market_Daily!$J$6:$J$256,MATCH($A75,Market_Daily!$A$6:$A$256,0))*($M75-$A75)/day_count_usd)))))</f>
        <v/>
      </c>
      <c r="AM75" s="8">
        <f>IF(OR($J75="INR",$R75&gt;1),"",$AL75-$X75)</f>
        <v/>
      </c>
      <c r="AN75" s="8">
        <f>$U75</f>
        <v/>
      </c>
      <c r="AO75" s="8">
        <f>$AN75*IF($J75="INR",1,$AL75)</f>
        <v/>
      </c>
      <c r="AP75" s="18">
        <f>$AO75-$V75</f>
        <v/>
      </c>
      <c r="AQ75" s="8">
        <f>IF(ABS($AP75)&lt;=tol_trade_inr,"PASS","FAIL")</f>
        <v/>
      </c>
    </row>
    <row r="76">
      <c r="A76" s="11" t="n">
        <v>44638</v>
      </c>
      <c r="B76" s="7" t="inlineStr">
        <is>
          <t>T01</t>
        </is>
      </c>
      <c r="C76" s="7" t="inlineStr">
        <is>
          <t>BILL_COMMISSION:L1</t>
        </is>
      </c>
      <c r="D76" s="7" t="inlineStr">
        <is>
          <t>BILL_COMMISSION</t>
        </is>
      </c>
      <c r="E76" s="7" t="inlineStr">
        <is>
          <t>physical</t>
        </is>
      </c>
      <c r="F76" s="7" t="inlineStr">
        <is>
          <t>L1</t>
        </is>
      </c>
      <c r="H76" s="7" t="inlineStr">
        <is>
          <t>zorba</t>
        </is>
      </c>
      <c r="I76" s="7" t="inlineStr">
        <is>
          <t>USEC_MUN</t>
        </is>
      </c>
      <c r="J76" s="7" t="inlineStr">
        <is>
          <t>USD</t>
        </is>
      </c>
      <c r="K76" s="7" t="inlineStr">
        <is>
          <t>floating</t>
        </is>
      </c>
      <c r="L76" s="7" t="inlineStr">
        <is>
          <t>PNL</t>
        </is>
      </c>
      <c r="M76" s="11" t="n">
        <v>44656</v>
      </c>
      <c r="N76" s="13" t="n">
        <v>0</v>
      </c>
      <c r="O76" s="6" t="n">
        <v>0</v>
      </c>
      <c r="P76" s="13" t="n">
        <v>0</v>
      </c>
      <c r="Q76" s="22" t="n">
        <v>31</v>
      </c>
      <c r="R76" s="6" t="n">
        <v>1</v>
      </c>
      <c r="U76" s="9" t="n">
        <v>-2358.72</v>
      </c>
      <c r="V76" s="9" t="n">
        <v>-179820.99</v>
      </c>
      <c r="X76" s="9" t="n">
        <v>76.2367</v>
      </c>
      <c r="AK76" s="7" t="inlineStr">
        <is>
          <t>PYTHON_LIFECYCLE</t>
        </is>
      </c>
      <c r="AL76" s="8">
        <f>IF($J76="INR",1,IF($M76&lt;$A76,INDEX(Market_Daily!$F$6:$F$256,MATCH($M76,Market_Daily!$A$6:$A$256,1)),IF($M76=$A76,INDEX(Market_Daily!$F$6:$F$256,MATCH($A76,Market_Daily!$A$6:$A$256,0)),(INDEX(Market_Daily!$F$6:$F$256,MATCH($A76,Market_Daily!$A$6:$A$256,0))*(1+INDEX(Market_Daily!$I$6:$I$256,MATCH($A76,Market_Daily!$A$6:$A$256,0))*($M76-$A76)/day_count_inr)/(1+INDEX(Market_Daily!$J$6:$J$256,MATCH($A76,Market_Daily!$A$6:$A$256,0))*($M76-$A76)/day_count_usd)))))</f>
        <v/>
      </c>
      <c r="AM76" s="8">
        <f>IF(OR($J76="INR",$R76&gt;1),"",$AL76-$X76)</f>
        <v/>
      </c>
      <c r="AN76" s="8">
        <f>$U76</f>
        <v/>
      </c>
      <c r="AO76" s="8">
        <f>$AN76*IF($J76="INR",1,$AL76)</f>
        <v/>
      </c>
      <c r="AP76" s="18">
        <f>$AO76-$V76</f>
        <v/>
      </c>
      <c r="AQ76" s="8">
        <f>IF(ABS($AP76)&lt;=tol_trade_inr,"PASS","FAIL")</f>
        <v/>
      </c>
    </row>
    <row r="77">
      <c r="A77" s="11" t="n">
        <v>44638</v>
      </c>
      <c r="B77" s="7" t="inlineStr">
        <is>
          <t>T01</t>
        </is>
      </c>
      <c r="C77" s="7" t="inlineStr">
        <is>
          <t>BILL_COMMISSION:L2</t>
        </is>
      </c>
      <c r="D77" s="7" t="inlineStr">
        <is>
          <t>BILL_COMMISSION</t>
        </is>
      </c>
      <c r="E77" s="7" t="inlineStr">
        <is>
          <t>physical</t>
        </is>
      </c>
      <c r="F77" s="7" t="inlineStr">
        <is>
          <t>L2</t>
        </is>
      </c>
      <c r="H77" s="7" t="inlineStr">
        <is>
          <t>zorba</t>
        </is>
      </c>
      <c r="I77" s="7" t="inlineStr">
        <is>
          <t>USEC_MUN</t>
        </is>
      </c>
      <c r="J77" s="7" t="inlineStr">
        <is>
          <t>USD</t>
        </is>
      </c>
      <c r="K77" s="7" t="inlineStr">
        <is>
          <t>floating</t>
        </is>
      </c>
      <c r="L77" s="7" t="inlineStr">
        <is>
          <t>PNL</t>
        </is>
      </c>
      <c r="M77" s="11" t="n">
        <v>44662</v>
      </c>
      <c r="N77" s="13" t="n">
        <v>0</v>
      </c>
      <c r="O77" s="6" t="n">
        <v>0</v>
      </c>
      <c r="P77" s="13" t="n">
        <v>0</v>
      </c>
      <c r="Q77" s="22" t="n">
        <v>31</v>
      </c>
      <c r="R77" s="6" t="n">
        <v>1</v>
      </c>
      <c r="U77" s="9" t="n">
        <v>-2358.72</v>
      </c>
      <c r="V77" s="9" t="n">
        <v>-179920.09</v>
      </c>
      <c r="X77" s="9" t="n">
        <v>76.2787</v>
      </c>
      <c r="AK77" s="7" t="inlineStr">
        <is>
          <t>PYTHON_LIFECYCLE</t>
        </is>
      </c>
      <c r="AL77" s="8">
        <f>IF($J77="INR",1,IF($M77&lt;$A77,INDEX(Market_Daily!$F$6:$F$256,MATCH($M77,Market_Daily!$A$6:$A$256,1)),IF($M77=$A77,INDEX(Market_Daily!$F$6:$F$256,MATCH($A77,Market_Daily!$A$6:$A$256,0)),(INDEX(Market_Daily!$F$6:$F$256,MATCH($A77,Market_Daily!$A$6:$A$256,0))*(1+INDEX(Market_Daily!$I$6:$I$256,MATCH($A77,Market_Daily!$A$6:$A$256,0))*($M77-$A77)/day_count_inr)/(1+INDEX(Market_Daily!$J$6:$J$256,MATCH($A77,Market_Daily!$A$6:$A$256,0))*($M77-$A77)/day_count_usd)))))</f>
        <v/>
      </c>
      <c r="AM77" s="8">
        <f>IF(OR($J77="INR",$R77&gt;1),"",$AL77-$X77)</f>
        <v/>
      </c>
      <c r="AN77" s="8">
        <f>$U77</f>
        <v/>
      </c>
      <c r="AO77" s="8">
        <f>$AN77*IF($J77="INR",1,$AL77)</f>
        <v/>
      </c>
      <c r="AP77" s="18">
        <f>$AO77-$V77</f>
        <v/>
      </c>
      <c r="AQ77" s="8">
        <f>IF(ABS($AP77)&lt;=tol_trade_inr,"PASS","FAIL")</f>
        <v/>
      </c>
    </row>
    <row r="78">
      <c r="A78" s="11" t="n">
        <v>44638</v>
      </c>
      <c r="B78" s="7" t="inlineStr">
        <is>
          <t>T01</t>
        </is>
      </c>
      <c r="C78" s="7" t="inlineStr">
        <is>
          <t>BILL_COMMISSION:L3</t>
        </is>
      </c>
      <c r="D78" s="7" t="inlineStr">
        <is>
          <t>BILL_COMMISSION</t>
        </is>
      </c>
      <c r="E78" s="7" t="inlineStr">
        <is>
          <t>physical</t>
        </is>
      </c>
      <c r="F78" s="7" t="inlineStr">
        <is>
          <t>L3</t>
        </is>
      </c>
      <c r="H78" s="7" t="inlineStr">
        <is>
          <t>zorba</t>
        </is>
      </c>
      <c r="I78" s="7" t="inlineStr">
        <is>
          <t>USEC_MUN</t>
        </is>
      </c>
      <c r="J78" s="7" t="inlineStr">
        <is>
          <t>USD</t>
        </is>
      </c>
      <c r="K78" s="7" t="inlineStr">
        <is>
          <t>floating</t>
        </is>
      </c>
      <c r="L78" s="7" t="inlineStr">
        <is>
          <t>PNL</t>
        </is>
      </c>
      <c r="M78" s="11" t="n">
        <v>44665</v>
      </c>
      <c r="N78" s="13" t="n">
        <v>0</v>
      </c>
      <c r="O78" s="6" t="n">
        <v>0</v>
      </c>
      <c r="P78" s="13" t="n">
        <v>0</v>
      </c>
      <c r="Q78" s="22" t="n">
        <v>31</v>
      </c>
      <c r="R78" s="6" t="n">
        <v>1</v>
      </c>
      <c r="U78" s="9" t="n">
        <v>-2358.72</v>
      </c>
      <c r="V78" s="9" t="n">
        <v>-179969.64</v>
      </c>
      <c r="X78" s="9" t="n">
        <v>76.2997</v>
      </c>
      <c r="AK78" s="7" t="inlineStr">
        <is>
          <t>PYTHON_LIFECYCLE</t>
        </is>
      </c>
      <c r="AL78" s="8">
        <f>IF($J78="INR",1,IF($M78&lt;$A78,INDEX(Market_Daily!$F$6:$F$256,MATCH($M78,Market_Daily!$A$6:$A$256,1)),IF($M78=$A78,INDEX(Market_Daily!$F$6:$F$256,MATCH($A78,Market_Daily!$A$6:$A$256,0)),(INDEX(Market_Daily!$F$6:$F$256,MATCH($A78,Market_Daily!$A$6:$A$256,0))*(1+INDEX(Market_Daily!$I$6:$I$256,MATCH($A78,Market_Daily!$A$6:$A$256,0))*($M78-$A78)/day_count_inr)/(1+INDEX(Market_Daily!$J$6:$J$256,MATCH($A78,Market_Daily!$A$6:$A$256,0))*($M78-$A78)/day_count_usd)))))</f>
        <v/>
      </c>
      <c r="AM78" s="8">
        <f>IF(OR($J78="INR",$R78&gt;1),"",$AL78-$X78)</f>
        <v/>
      </c>
      <c r="AN78" s="8">
        <f>$U78</f>
        <v/>
      </c>
      <c r="AO78" s="8">
        <f>$AN78*IF($J78="INR",1,$AL78)</f>
        <v/>
      </c>
      <c r="AP78" s="18">
        <f>$AO78-$V78</f>
        <v/>
      </c>
      <c r="AQ78" s="8">
        <f>IF(ABS($AP78)&lt;=tol_trade_inr,"PASS","FAIL")</f>
        <v/>
      </c>
    </row>
    <row r="79">
      <c r="A79" s="11" t="n">
        <v>44638</v>
      </c>
      <c r="B79" s="7" t="inlineStr">
        <is>
          <t>T01</t>
        </is>
      </c>
      <c r="C79" s="7" t="inlineStr">
        <is>
          <t>DUTY:L1</t>
        </is>
      </c>
      <c r="D79" s="7" t="inlineStr">
        <is>
          <t>DUTY</t>
        </is>
      </c>
      <c r="E79" s="7" t="inlineStr">
        <is>
          <t>physical</t>
        </is>
      </c>
      <c r="F79" s="7" t="inlineStr">
        <is>
          <t>L1</t>
        </is>
      </c>
      <c r="H79" s="7" t="inlineStr">
        <is>
          <t>zorba</t>
        </is>
      </c>
      <c r="I79" s="7" t="inlineStr">
        <is>
          <t>USEC_MUN</t>
        </is>
      </c>
      <c r="J79" s="7" t="inlineStr">
        <is>
          <t>INR</t>
        </is>
      </c>
      <c r="K79" s="7" t="inlineStr">
        <is>
          <t>floating</t>
        </is>
      </c>
      <c r="L79" s="7" t="inlineStr">
        <is>
          <t>PNL</t>
        </is>
      </c>
      <c r="M79" s="11" t="n">
        <v>44690</v>
      </c>
      <c r="N79" s="13" t="n">
        <v>840</v>
      </c>
      <c r="O79" s="6" t="n">
        <v>0</v>
      </c>
      <c r="P79" s="13" t="n">
        <v>0</v>
      </c>
      <c r="Q79" s="22" t="n">
        <v>31</v>
      </c>
      <c r="R79" s="6" t="n">
        <v>1</v>
      </c>
      <c r="U79" s="9" t="n">
        <v>-4345087.24</v>
      </c>
      <c r="V79" s="9" t="n">
        <v>-4345087.24</v>
      </c>
      <c r="X79" s="9" t="n">
        <v>76.11060000000001</v>
      </c>
      <c r="AK79" s="7" t="inlineStr">
        <is>
          <t>PYTHON_LIFECYCLE</t>
        </is>
      </c>
      <c r="AL79" s="8">
        <f>IF($J79="INR",1,IF($M79&lt;$A79,INDEX(Market_Daily!$F$6:$F$256,MATCH($M79,Market_Daily!$A$6:$A$256,1)),IF($M79=$A79,INDEX(Market_Daily!$F$6:$F$256,MATCH($A79,Market_Daily!$A$6:$A$256,0)),(INDEX(Market_Daily!$F$6:$F$256,MATCH($A79,Market_Daily!$A$6:$A$256,0))*(1+INDEX(Market_Daily!$I$6:$I$256,MATCH($A79,Market_Daily!$A$6:$A$256,0))*($M79-$A79)/day_count_inr)/(1+INDEX(Market_Daily!$J$6:$J$256,MATCH($A79,Market_Daily!$A$6:$A$256,0))*($M79-$A79)/day_count_usd)))))</f>
        <v/>
      </c>
      <c r="AM79" s="8">
        <f>IF(OR($J79="INR",$R79&gt;1),"",$AL79-$X79)</f>
        <v/>
      </c>
      <c r="AN79" s="8">
        <f>$U79</f>
        <v/>
      </c>
      <c r="AO79" s="8">
        <f>$AN79*IF($J79="INR",1,$AL79)</f>
        <v/>
      </c>
      <c r="AP79" s="18">
        <f>$AO79-$V79</f>
        <v/>
      </c>
      <c r="AQ79" s="8">
        <f>IF(ABS($AP79)&lt;=tol_trade_inr,"PASS","FAIL")</f>
        <v/>
      </c>
    </row>
    <row r="80">
      <c r="A80" s="11" t="n">
        <v>44638</v>
      </c>
      <c r="B80" s="7" t="inlineStr">
        <is>
          <t>T01</t>
        </is>
      </c>
      <c r="C80" s="7" t="inlineStr">
        <is>
          <t>DUTY:L2</t>
        </is>
      </c>
      <c r="D80" s="7" t="inlineStr">
        <is>
          <t>DUTY</t>
        </is>
      </c>
      <c r="E80" s="7" t="inlineStr">
        <is>
          <t>physical</t>
        </is>
      </c>
      <c r="F80" s="7" t="inlineStr">
        <is>
          <t>L2</t>
        </is>
      </c>
      <c r="H80" s="7" t="inlineStr">
        <is>
          <t>zorba</t>
        </is>
      </c>
      <c r="I80" s="7" t="inlineStr">
        <is>
          <t>USEC_MUN</t>
        </is>
      </c>
      <c r="J80" s="7" t="inlineStr">
        <is>
          <t>INR</t>
        </is>
      </c>
      <c r="K80" s="7" t="inlineStr">
        <is>
          <t>floating</t>
        </is>
      </c>
      <c r="L80" s="7" t="inlineStr">
        <is>
          <t>PNL</t>
        </is>
      </c>
      <c r="M80" s="11" t="n">
        <v>44697</v>
      </c>
      <c r="N80" s="13" t="n">
        <v>840</v>
      </c>
      <c r="O80" s="6" t="n">
        <v>0</v>
      </c>
      <c r="P80" s="13" t="n">
        <v>0</v>
      </c>
      <c r="Q80" s="22" t="n">
        <v>31</v>
      </c>
      <c r="R80" s="6" t="n">
        <v>1</v>
      </c>
      <c r="U80" s="9" t="n">
        <v>-4345087.24</v>
      </c>
      <c r="V80" s="9" t="n">
        <v>-4345087.24</v>
      </c>
      <c r="X80" s="9" t="n">
        <v>76.11060000000001</v>
      </c>
      <c r="AK80" s="7" t="inlineStr">
        <is>
          <t>PYTHON_LIFECYCLE</t>
        </is>
      </c>
      <c r="AL80" s="8">
        <f>IF($J80="INR",1,IF($M80&lt;$A80,INDEX(Market_Daily!$F$6:$F$256,MATCH($M80,Market_Daily!$A$6:$A$256,1)),IF($M80=$A80,INDEX(Market_Daily!$F$6:$F$256,MATCH($A80,Market_Daily!$A$6:$A$256,0)),(INDEX(Market_Daily!$F$6:$F$256,MATCH($A80,Market_Daily!$A$6:$A$256,0))*(1+INDEX(Market_Daily!$I$6:$I$256,MATCH($A80,Market_Daily!$A$6:$A$256,0))*($M80-$A80)/day_count_inr)/(1+INDEX(Market_Daily!$J$6:$J$256,MATCH($A80,Market_Daily!$A$6:$A$256,0))*($M80-$A80)/day_count_usd)))))</f>
        <v/>
      </c>
      <c r="AM80" s="8">
        <f>IF(OR($J80="INR",$R80&gt;1),"",$AL80-$X80)</f>
        <v/>
      </c>
      <c r="AN80" s="8">
        <f>$U80</f>
        <v/>
      </c>
      <c r="AO80" s="8">
        <f>$AN80*IF($J80="INR",1,$AL80)</f>
        <v/>
      </c>
      <c r="AP80" s="18">
        <f>$AO80-$V80</f>
        <v/>
      </c>
      <c r="AQ80" s="8">
        <f>IF(ABS($AP80)&lt;=tol_trade_inr,"PASS","FAIL")</f>
        <v/>
      </c>
    </row>
    <row r="81">
      <c r="A81" s="11" t="n">
        <v>44638</v>
      </c>
      <c r="B81" s="7" t="inlineStr">
        <is>
          <t>T01</t>
        </is>
      </c>
      <c r="C81" s="7" t="inlineStr">
        <is>
          <t>DUTY:L3</t>
        </is>
      </c>
      <c r="D81" s="7" t="inlineStr">
        <is>
          <t>DUTY</t>
        </is>
      </c>
      <c r="E81" s="7" t="inlineStr">
        <is>
          <t>physical</t>
        </is>
      </c>
      <c r="F81" s="7" t="inlineStr">
        <is>
          <t>L3</t>
        </is>
      </c>
      <c r="H81" s="7" t="inlineStr">
        <is>
          <t>zorba</t>
        </is>
      </c>
      <c r="I81" s="7" t="inlineStr">
        <is>
          <t>USEC_MUN</t>
        </is>
      </c>
      <c r="J81" s="7" t="inlineStr">
        <is>
          <t>INR</t>
        </is>
      </c>
      <c r="K81" s="7" t="inlineStr">
        <is>
          <t>floating</t>
        </is>
      </c>
      <c r="L81" s="7" t="inlineStr">
        <is>
          <t>PNL</t>
        </is>
      </c>
      <c r="M81" s="11" t="n">
        <v>44699</v>
      </c>
      <c r="N81" s="13" t="n">
        <v>840</v>
      </c>
      <c r="O81" s="6" t="n">
        <v>0</v>
      </c>
      <c r="P81" s="13" t="n">
        <v>0</v>
      </c>
      <c r="Q81" s="22" t="n">
        <v>31</v>
      </c>
      <c r="R81" s="6" t="n">
        <v>1</v>
      </c>
      <c r="U81" s="9" t="n">
        <v>-4345087.24</v>
      </c>
      <c r="V81" s="9" t="n">
        <v>-4345087.24</v>
      </c>
      <c r="X81" s="9" t="n">
        <v>76.11060000000001</v>
      </c>
      <c r="AK81" s="7" t="inlineStr">
        <is>
          <t>PYTHON_LIFECYCLE</t>
        </is>
      </c>
      <c r="AL81" s="8">
        <f>IF($J81="INR",1,IF($M81&lt;$A81,INDEX(Market_Daily!$F$6:$F$256,MATCH($M81,Market_Daily!$A$6:$A$256,1)),IF($M81=$A81,INDEX(Market_Daily!$F$6:$F$256,MATCH($A81,Market_Daily!$A$6:$A$256,0)),(INDEX(Market_Daily!$F$6:$F$256,MATCH($A81,Market_Daily!$A$6:$A$256,0))*(1+INDEX(Market_Daily!$I$6:$I$256,MATCH($A81,Market_Daily!$A$6:$A$256,0))*($M81-$A81)/day_count_inr)/(1+INDEX(Market_Daily!$J$6:$J$256,MATCH($A81,Market_Daily!$A$6:$A$256,0))*($M81-$A81)/day_count_usd)))))</f>
        <v/>
      </c>
      <c r="AM81" s="8">
        <f>IF(OR($J81="INR",$R81&gt;1),"",$AL81-$X81)</f>
        <v/>
      </c>
      <c r="AN81" s="8">
        <f>$U81</f>
        <v/>
      </c>
      <c r="AO81" s="8">
        <f>$AN81*IF($J81="INR",1,$AL81)</f>
        <v/>
      </c>
      <c r="AP81" s="18">
        <f>$AO81-$V81</f>
        <v/>
      </c>
      <c r="AQ81" s="8">
        <f>IF(ABS($AP81)&lt;=tol_trade_inr,"PASS","FAIL")</f>
        <v/>
      </c>
    </row>
    <row r="82">
      <c r="A82" s="11" t="n">
        <v>44638</v>
      </c>
      <c r="B82" s="7" t="inlineStr">
        <is>
          <t>T01</t>
        </is>
      </c>
      <c r="C82" s="7" t="inlineStr">
        <is>
          <t>FREIGHT:L1</t>
        </is>
      </c>
      <c r="D82" s="7" t="inlineStr">
        <is>
          <t>FREIGHT</t>
        </is>
      </c>
      <c r="E82" s="7" t="inlineStr">
        <is>
          <t>physical</t>
        </is>
      </c>
      <c r="F82" s="7" t="inlineStr">
        <is>
          <t>L1</t>
        </is>
      </c>
      <c r="G82" s="7" t="inlineStr">
        <is>
          <t>Meridian Box Lines NVOCC (SIM)</t>
        </is>
      </c>
      <c r="H82" s="7" t="inlineStr">
        <is>
          <t>zorba</t>
        </is>
      </c>
      <c r="I82" s="7" t="inlineStr">
        <is>
          <t>USEC_MUN</t>
        </is>
      </c>
      <c r="J82" s="7" t="inlineStr">
        <is>
          <t>USD</t>
        </is>
      </c>
      <c r="K82" s="7" t="inlineStr">
        <is>
          <t>fixed_unsettled</t>
        </is>
      </c>
      <c r="L82" s="7" t="inlineStr">
        <is>
          <t>PNL</t>
        </is>
      </c>
      <c r="M82" s="11" t="n">
        <v>44690</v>
      </c>
      <c r="N82" s="13" t="n">
        <v>840</v>
      </c>
      <c r="O82" s="6" t="n">
        <v>0</v>
      </c>
      <c r="P82" s="13" t="n">
        <v>0</v>
      </c>
      <c r="Q82" s="22" t="n">
        <v>31</v>
      </c>
      <c r="R82" s="6" t="n">
        <v>1</v>
      </c>
      <c r="U82" s="9" t="n">
        <v>-86800</v>
      </c>
      <c r="V82" s="9" t="n">
        <v>-6638003.58</v>
      </c>
      <c r="X82" s="9" t="n">
        <v>76.4747</v>
      </c>
      <c r="AK82" s="7" t="inlineStr">
        <is>
          <t>PYTHON_LIFECYCLE</t>
        </is>
      </c>
      <c r="AL82" s="8">
        <f>IF($J82="INR",1,IF($M82&lt;$A82,INDEX(Market_Daily!$F$6:$F$256,MATCH($M82,Market_Daily!$A$6:$A$256,1)),IF($M82=$A82,INDEX(Market_Daily!$F$6:$F$256,MATCH($A82,Market_Daily!$A$6:$A$256,0)),(INDEX(Market_Daily!$F$6:$F$256,MATCH($A82,Market_Daily!$A$6:$A$256,0))*(1+INDEX(Market_Daily!$I$6:$I$256,MATCH($A82,Market_Daily!$A$6:$A$256,0))*($M82-$A82)/day_count_inr)/(1+INDEX(Market_Daily!$J$6:$J$256,MATCH($A82,Market_Daily!$A$6:$A$256,0))*($M82-$A82)/day_count_usd)))))</f>
        <v/>
      </c>
      <c r="AM82" s="8">
        <f>IF(OR($J82="INR",$R82&gt;1),"",$AL82-$X82)</f>
        <v/>
      </c>
      <c r="AN82" s="8">
        <f>$U82</f>
        <v/>
      </c>
      <c r="AO82" s="8">
        <f>$AN82*IF($J82="INR",1,$AL82)</f>
        <v/>
      </c>
      <c r="AP82" s="18">
        <f>$AO82-$V82</f>
        <v/>
      </c>
      <c r="AQ82" s="8">
        <f>IF(ABS($AP82)&lt;=tol_trade_inr,"PASS","FAIL")</f>
        <v/>
      </c>
    </row>
    <row r="83">
      <c r="A83" s="11" t="n">
        <v>44638</v>
      </c>
      <c r="B83" s="7" t="inlineStr">
        <is>
          <t>T01</t>
        </is>
      </c>
      <c r="C83" s="7" t="inlineStr">
        <is>
          <t>FREIGHT:L2</t>
        </is>
      </c>
      <c r="D83" s="7" t="inlineStr">
        <is>
          <t>FREIGHT</t>
        </is>
      </c>
      <c r="E83" s="7" t="inlineStr">
        <is>
          <t>physical</t>
        </is>
      </c>
      <c r="F83" s="7" t="inlineStr">
        <is>
          <t>L2</t>
        </is>
      </c>
      <c r="G83" s="7" t="inlineStr">
        <is>
          <t>Meridian Box Lines NVOCC (SIM)</t>
        </is>
      </c>
      <c r="H83" s="7" t="inlineStr">
        <is>
          <t>zorba</t>
        </is>
      </c>
      <c r="I83" s="7" t="inlineStr">
        <is>
          <t>USEC_MUN</t>
        </is>
      </c>
      <c r="J83" s="7" t="inlineStr">
        <is>
          <t>USD</t>
        </is>
      </c>
      <c r="K83" s="7" t="inlineStr">
        <is>
          <t>fixed_unsettled</t>
        </is>
      </c>
      <c r="L83" s="7" t="inlineStr">
        <is>
          <t>PNL</t>
        </is>
      </c>
      <c r="M83" s="11" t="n">
        <v>44697</v>
      </c>
      <c r="N83" s="13" t="n">
        <v>840</v>
      </c>
      <c r="O83" s="6" t="n">
        <v>0</v>
      </c>
      <c r="P83" s="13" t="n">
        <v>0</v>
      </c>
      <c r="Q83" s="22" t="n">
        <v>31</v>
      </c>
      <c r="R83" s="6" t="n">
        <v>1</v>
      </c>
      <c r="U83" s="9" t="n">
        <v>-86800</v>
      </c>
      <c r="V83" s="9" t="n">
        <v>-6642255.01</v>
      </c>
      <c r="X83" s="9" t="n">
        <v>76.52370000000001</v>
      </c>
      <c r="AK83" s="7" t="inlineStr">
        <is>
          <t>PYTHON_LIFECYCLE</t>
        </is>
      </c>
      <c r="AL83" s="8">
        <f>IF($J83="INR",1,IF($M83&lt;$A83,INDEX(Market_Daily!$F$6:$F$256,MATCH($M83,Market_Daily!$A$6:$A$256,1)),IF($M83=$A83,INDEX(Market_Daily!$F$6:$F$256,MATCH($A83,Market_Daily!$A$6:$A$256,0)),(INDEX(Market_Daily!$F$6:$F$256,MATCH($A83,Market_Daily!$A$6:$A$256,0))*(1+INDEX(Market_Daily!$I$6:$I$256,MATCH($A83,Market_Daily!$A$6:$A$256,0))*($M83-$A83)/day_count_inr)/(1+INDEX(Market_Daily!$J$6:$J$256,MATCH($A83,Market_Daily!$A$6:$A$256,0))*($M83-$A83)/day_count_usd)))))</f>
        <v/>
      </c>
      <c r="AM83" s="8">
        <f>IF(OR($J83="INR",$R83&gt;1),"",$AL83-$X83)</f>
        <v/>
      </c>
      <c r="AN83" s="8">
        <f>$U83</f>
        <v/>
      </c>
      <c r="AO83" s="8">
        <f>$AN83*IF($J83="INR",1,$AL83)</f>
        <v/>
      </c>
      <c r="AP83" s="18">
        <f>$AO83-$V83</f>
        <v/>
      </c>
      <c r="AQ83" s="8">
        <f>IF(ABS($AP83)&lt;=tol_trade_inr,"PASS","FAIL")</f>
        <v/>
      </c>
    </row>
    <row r="84">
      <c r="A84" s="11" t="n">
        <v>44638</v>
      </c>
      <c r="B84" s="7" t="inlineStr">
        <is>
          <t>T01</t>
        </is>
      </c>
      <c r="C84" s="7" t="inlineStr">
        <is>
          <t>FREIGHT:L3</t>
        </is>
      </c>
      <c r="D84" s="7" t="inlineStr">
        <is>
          <t>FREIGHT</t>
        </is>
      </c>
      <c r="E84" s="7" t="inlineStr">
        <is>
          <t>physical</t>
        </is>
      </c>
      <c r="F84" s="7" t="inlineStr">
        <is>
          <t>L3</t>
        </is>
      </c>
      <c r="G84" s="7" t="inlineStr">
        <is>
          <t>Meridian Box Lines NVOCC (SIM)</t>
        </is>
      </c>
      <c r="H84" s="7" t="inlineStr">
        <is>
          <t>zorba</t>
        </is>
      </c>
      <c r="I84" s="7" t="inlineStr">
        <is>
          <t>USEC_MUN</t>
        </is>
      </c>
      <c r="J84" s="7" t="inlineStr">
        <is>
          <t>USD</t>
        </is>
      </c>
      <c r="K84" s="7" t="inlineStr">
        <is>
          <t>fixed_unsettled</t>
        </is>
      </c>
      <c r="L84" s="7" t="inlineStr">
        <is>
          <t>PNL</t>
        </is>
      </c>
      <c r="M84" s="11" t="n">
        <v>44698</v>
      </c>
      <c r="N84" s="13" t="n">
        <v>840</v>
      </c>
      <c r="O84" s="6" t="n">
        <v>0</v>
      </c>
      <c r="P84" s="13" t="n">
        <v>0</v>
      </c>
      <c r="Q84" s="22" t="n">
        <v>31</v>
      </c>
      <c r="R84" s="6" t="n">
        <v>1</v>
      </c>
      <c r="U84" s="9" t="n">
        <v>-86800</v>
      </c>
      <c r="V84" s="9" t="n">
        <v>-6642862.3</v>
      </c>
      <c r="X84" s="9" t="n">
        <v>76.5307</v>
      </c>
      <c r="AK84" s="7" t="inlineStr">
        <is>
          <t>PYTHON_LIFECYCLE</t>
        </is>
      </c>
      <c r="AL84" s="8">
        <f>IF($J84="INR",1,IF($M84&lt;$A84,INDEX(Market_Daily!$F$6:$F$256,MATCH($M84,Market_Daily!$A$6:$A$256,1)),IF($M84=$A84,INDEX(Market_Daily!$F$6:$F$256,MATCH($A84,Market_Daily!$A$6:$A$256,0)),(INDEX(Market_Daily!$F$6:$F$256,MATCH($A84,Market_Daily!$A$6:$A$256,0))*(1+INDEX(Market_Daily!$I$6:$I$256,MATCH($A84,Market_Daily!$A$6:$A$256,0))*($M84-$A84)/day_count_inr)/(1+INDEX(Market_Daily!$J$6:$J$256,MATCH($A84,Market_Daily!$A$6:$A$256,0))*($M84-$A84)/day_count_usd)))))</f>
        <v/>
      </c>
      <c r="AM84" s="8">
        <f>IF(OR($J84="INR",$R84&gt;1),"",$AL84-$X84)</f>
        <v/>
      </c>
      <c r="AN84" s="8">
        <f>$U84</f>
        <v/>
      </c>
      <c r="AO84" s="8">
        <f>$AN84*IF($J84="INR",1,$AL84)</f>
        <v/>
      </c>
      <c r="AP84" s="18">
        <f>$AO84-$V84</f>
        <v/>
      </c>
      <c r="AQ84" s="8">
        <f>IF(ABS($AP84)&lt;=tol_trade_inr,"PASS","FAIL")</f>
        <v/>
      </c>
    </row>
    <row r="85">
      <c r="A85" s="11" t="n">
        <v>44638</v>
      </c>
      <c r="B85" s="7" t="inlineStr">
        <is>
          <t>T01</t>
        </is>
      </c>
      <c r="C85" s="7" t="inlineStr">
        <is>
          <t>FX:T01-FX-4</t>
        </is>
      </c>
      <c r="D85" s="7" t="inlineStr">
        <is>
          <t>FX</t>
        </is>
      </c>
      <c r="E85" s="7" t="inlineStr">
        <is>
          <t>fx_forward</t>
        </is>
      </c>
      <c r="H85" s="7" t="inlineStr">
        <is>
          <t>zorba</t>
        </is>
      </c>
      <c r="I85" s="7" t="inlineStr">
        <is>
          <t>USEC_MUN</t>
        </is>
      </c>
      <c r="J85" s="7" t="inlineStr">
        <is>
          <t>INR</t>
        </is>
      </c>
      <c r="K85" s="7" t="inlineStr">
        <is>
          <t>floating</t>
        </is>
      </c>
      <c r="L85" s="7" t="inlineStr">
        <is>
          <t>PNL</t>
        </is>
      </c>
      <c r="M85" s="11" t="n">
        <v>44697</v>
      </c>
      <c r="N85" s="13" t="n">
        <v>0</v>
      </c>
      <c r="O85" s="6" t="n">
        <v>0</v>
      </c>
      <c r="P85" s="13" t="n">
        <v>260400</v>
      </c>
      <c r="Q85" s="22" t="n">
        <v>31</v>
      </c>
      <c r="R85" s="6" t="n">
        <v>1</v>
      </c>
      <c r="S85" s="12" t="n">
        <v>44697</v>
      </c>
      <c r="T85" s="21" t="n">
        <v>76.62367500000001</v>
      </c>
      <c r="U85" s="9" t="n">
        <v>-26040</v>
      </c>
      <c r="V85" s="9" t="n">
        <v>-26040</v>
      </c>
      <c r="X85" s="9" t="n">
        <v>76.11060000000001</v>
      </c>
      <c r="AK85" s="7" t="inlineStr">
        <is>
          <t>DERIVED_IN_WORKBOOK</t>
        </is>
      </c>
      <c r="AL85" s="8">
        <f>IF($J85="INR",1,IF($M85&lt;$A85,INDEX(Market_Daily!$F$6:$F$256,MATCH($M85,Market_Daily!$A$6:$A$256,1)),IF($M85=$A85,INDEX(Market_Daily!$F$6:$F$256,MATCH($A85,Market_Daily!$A$6:$A$256,0)),(INDEX(Market_Daily!$F$6:$F$256,MATCH($A85,Market_Daily!$A$6:$A$256,0))*(1+INDEX(Market_Daily!$I$6:$I$256,MATCH($A85,Market_Daily!$A$6:$A$256,0))*($M85-$A85)/day_count_inr)/(1+INDEX(Market_Daily!$J$6:$J$256,MATCH($A85,Market_Daily!$A$6:$A$256,0))*($M85-$A85)/day_count_usd)))))</f>
        <v/>
      </c>
      <c r="AM85" s="8">
        <f>IF(OR($J85="INR",$R85&gt;1),"",$AL85-$X85)</f>
        <v/>
      </c>
      <c r="AN85" s="8">
        <f>$P85*(IF($S85&lt;$A85,INDEX(Market_Daily!$F$6:$F$256,MATCH($S85,Market_Daily!$A$6:$A$256,1)),IF($S85=$A85,INDEX(Market_Daily!$F$6:$F$256,MATCH($A85,Market_Daily!$A$6:$A$256,0)),(INDEX(Market_Daily!$F$6:$F$256,MATCH($A85,Market_Daily!$A$6:$A$256,0))*(1+INDEX(Market_Daily!$I$6:$I$256,MATCH($A85,Market_Daily!$A$6:$A$256,0))*($S85-$A85)/day_count_inr)/(1+INDEX(Market_Daily!$J$6:$J$256,MATCH($A85,Market_Daily!$A$6:$A$256,0))*($S85-$A85)/day_count_usd))))-$T85)</f>
        <v/>
      </c>
      <c r="AO85" s="8">
        <f>$AN85</f>
        <v/>
      </c>
      <c r="AP85" s="18">
        <f>$AO85-$V85</f>
        <v/>
      </c>
      <c r="AQ85" s="8">
        <f>IF(ABS($AP85)&lt;=tol_trade_inr,"PASS","FAIL")</f>
        <v/>
      </c>
    </row>
    <row r="86">
      <c r="A86" s="11" t="n">
        <v>44638</v>
      </c>
      <c r="B86" s="7" t="inlineStr">
        <is>
          <t>T01</t>
        </is>
      </c>
      <c r="C86" s="7" t="inlineStr">
        <is>
          <t>IGST:L1</t>
        </is>
      </c>
      <c r="D86" s="7" t="inlineStr">
        <is>
          <t>IGST</t>
        </is>
      </c>
      <c r="E86" s="7" t="inlineStr">
        <is>
          <t>physical</t>
        </is>
      </c>
      <c r="F86" s="7" t="inlineStr">
        <is>
          <t>L1</t>
        </is>
      </c>
      <c r="H86" s="7" t="inlineStr">
        <is>
          <t>zorba</t>
        </is>
      </c>
      <c r="I86" s="7" t="inlineStr">
        <is>
          <t>USEC_MUN</t>
        </is>
      </c>
      <c r="J86" s="7" t="inlineStr">
        <is>
          <t>INR</t>
        </is>
      </c>
      <c r="K86" s="7" t="inlineStr">
        <is>
          <t>floating</t>
        </is>
      </c>
      <c r="L86" s="7" t="inlineStr">
        <is>
          <t>BS</t>
        </is>
      </c>
      <c r="M86" s="11" t="n">
        <v>44735</v>
      </c>
      <c r="N86" s="13" t="n">
        <v>0</v>
      </c>
      <c r="O86" s="6" t="n">
        <v>0</v>
      </c>
      <c r="P86" s="13" t="n">
        <v>0</v>
      </c>
      <c r="Q86" s="22" t="n">
        <v>31</v>
      </c>
      <c r="R86" s="6" t="n">
        <v>2</v>
      </c>
      <c r="U86" s="9" t="n">
        <v>0</v>
      </c>
      <c r="V86" s="9" t="n">
        <v>0</v>
      </c>
      <c r="X86" s="9" t="n">
        <v>76.11060000000001</v>
      </c>
      <c r="AK86" s="7" t="inlineStr">
        <is>
          <t>PYTHON_MULTI_FLOW_LEG</t>
        </is>
      </c>
      <c r="AL86" s="8">
        <f>IF($J86="INR",1,IF($M86&lt;$A86,INDEX(Market_Daily!$F$6:$F$256,MATCH($M86,Market_Daily!$A$6:$A$256,1)),IF($M86=$A86,INDEX(Market_Daily!$F$6:$F$256,MATCH($A86,Market_Daily!$A$6:$A$256,0)),(INDEX(Market_Daily!$F$6:$F$256,MATCH($A86,Market_Daily!$A$6:$A$256,0))*(1+INDEX(Market_Daily!$I$6:$I$256,MATCH($A86,Market_Daily!$A$6:$A$256,0))*($M86-$A86)/day_count_inr)/(1+INDEX(Market_Daily!$J$6:$J$256,MATCH($A86,Market_Daily!$A$6:$A$256,0))*($M86-$A86)/day_count_usd)))))</f>
        <v/>
      </c>
      <c r="AM86" s="8">
        <f>IF(OR($J86="INR",$R86&gt;1),"",$AL86-$X86)</f>
        <v/>
      </c>
      <c r="AN86" s="8">
        <f>$U86</f>
        <v/>
      </c>
      <c r="AO86" s="8">
        <f>$V86</f>
        <v/>
      </c>
      <c r="AP86" s="18">
        <f>$AO86-$V86</f>
        <v/>
      </c>
      <c r="AQ86" s="8">
        <f>IF(ABS($AP86)&lt;=tol_trade_inr,"PASS","FAIL")</f>
        <v/>
      </c>
    </row>
    <row r="87">
      <c r="A87" s="11" t="n">
        <v>44638</v>
      </c>
      <c r="B87" s="7" t="inlineStr">
        <is>
          <t>T01</t>
        </is>
      </c>
      <c r="C87" s="7" t="inlineStr">
        <is>
          <t>IGST:L2</t>
        </is>
      </c>
      <c r="D87" s="7" t="inlineStr">
        <is>
          <t>IGST</t>
        </is>
      </c>
      <c r="E87" s="7" t="inlineStr">
        <is>
          <t>physical</t>
        </is>
      </c>
      <c r="F87" s="7" t="inlineStr">
        <is>
          <t>L2</t>
        </is>
      </c>
      <c r="H87" s="7" t="inlineStr">
        <is>
          <t>zorba</t>
        </is>
      </c>
      <c r="I87" s="7" t="inlineStr">
        <is>
          <t>USEC_MUN</t>
        </is>
      </c>
      <c r="J87" s="7" t="inlineStr">
        <is>
          <t>INR</t>
        </is>
      </c>
      <c r="K87" s="7" t="inlineStr">
        <is>
          <t>floating</t>
        </is>
      </c>
      <c r="L87" s="7" t="inlineStr">
        <is>
          <t>BS</t>
        </is>
      </c>
      <c r="M87" s="11" t="n">
        <v>44741</v>
      </c>
      <c r="N87" s="13" t="n">
        <v>0</v>
      </c>
      <c r="O87" s="6" t="n">
        <v>0</v>
      </c>
      <c r="P87" s="13" t="n">
        <v>0</v>
      </c>
      <c r="Q87" s="22" t="n">
        <v>31</v>
      </c>
      <c r="R87" s="6" t="n">
        <v>2</v>
      </c>
      <c r="U87" s="9" t="n">
        <v>0</v>
      </c>
      <c r="V87" s="9" t="n">
        <v>0</v>
      </c>
      <c r="X87" s="9" t="n">
        <v>76.11060000000001</v>
      </c>
      <c r="AK87" s="7" t="inlineStr">
        <is>
          <t>PYTHON_MULTI_FLOW_LEG</t>
        </is>
      </c>
      <c r="AL87" s="8">
        <f>IF($J87="INR",1,IF($M87&lt;$A87,INDEX(Market_Daily!$F$6:$F$256,MATCH($M87,Market_Daily!$A$6:$A$256,1)),IF($M87=$A87,INDEX(Market_Daily!$F$6:$F$256,MATCH($A87,Market_Daily!$A$6:$A$256,0)),(INDEX(Market_Daily!$F$6:$F$256,MATCH($A87,Market_Daily!$A$6:$A$256,0))*(1+INDEX(Market_Daily!$I$6:$I$256,MATCH($A87,Market_Daily!$A$6:$A$256,0))*($M87-$A87)/day_count_inr)/(1+INDEX(Market_Daily!$J$6:$J$256,MATCH($A87,Market_Daily!$A$6:$A$256,0))*($M87-$A87)/day_count_usd)))))</f>
        <v/>
      </c>
      <c r="AM87" s="8">
        <f>IF(OR($J87="INR",$R87&gt;1),"",$AL87-$X87)</f>
        <v/>
      </c>
      <c r="AN87" s="8">
        <f>$U87</f>
        <v/>
      </c>
      <c r="AO87" s="8">
        <f>$V87</f>
        <v/>
      </c>
      <c r="AP87" s="18">
        <f>$AO87-$V87</f>
        <v/>
      </c>
      <c r="AQ87" s="8">
        <f>IF(ABS($AP87)&lt;=tol_trade_inr,"PASS","FAIL")</f>
        <v/>
      </c>
    </row>
    <row r="88">
      <c r="A88" s="11" t="n">
        <v>44638</v>
      </c>
      <c r="B88" s="7" t="inlineStr">
        <is>
          <t>T01</t>
        </is>
      </c>
      <c r="C88" s="7" t="inlineStr">
        <is>
          <t>IGST:L3</t>
        </is>
      </c>
      <c r="D88" s="7" t="inlineStr">
        <is>
          <t>IGST</t>
        </is>
      </c>
      <c r="E88" s="7" t="inlineStr">
        <is>
          <t>physical</t>
        </is>
      </c>
      <c r="F88" s="7" t="inlineStr">
        <is>
          <t>L3</t>
        </is>
      </c>
      <c r="H88" s="7" t="inlineStr">
        <is>
          <t>zorba</t>
        </is>
      </c>
      <c r="I88" s="7" t="inlineStr">
        <is>
          <t>USEC_MUN</t>
        </is>
      </c>
      <c r="J88" s="7" t="inlineStr">
        <is>
          <t>INR</t>
        </is>
      </c>
      <c r="K88" s="7" t="inlineStr">
        <is>
          <t>floating</t>
        </is>
      </c>
      <c r="L88" s="7" t="inlineStr">
        <is>
          <t>BS</t>
        </is>
      </c>
      <c r="M88" s="11" t="n">
        <v>44746</v>
      </c>
      <c r="N88" s="13" t="n">
        <v>0</v>
      </c>
      <c r="O88" s="6" t="n">
        <v>0</v>
      </c>
      <c r="P88" s="13" t="n">
        <v>0</v>
      </c>
      <c r="Q88" s="22" t="n">
        <v>31</v>
      </c>
      <c r="R88" s="6" t="n">
        <v>2</v>
      </c>
      <c r="U88" s="9" t="n">
        <v>0</v>
      </c>
      <c r="V88" s="9" t="n">
        <v>0</v>
      </c>
      <c r="X88" s="9" t="n">
        <v>76.11060000000001</v>
      </c>
      <c r="AK88" s="7" t="inlineStr">
        <is>
          <t>PYTHON_MULTI_FLOW_LEG</t>
        </is>
      </c>
      <c r="AL88" s="8">
        <f>IF($J88="INR",1,IF($M88&lt;$A88,INDEX(Market_Daily!$F$6:$F$256,MATCH($M88,Market_Daily!$A$6:$A$256,1)),IF($M88=$A88,INDEX(Market_Daily!$F$6:$F$256,MATCH($A88,Market_Daily!$A$6:$A$256,0)),(INDEX(Market_Daily!$F$6:$F$256,MATCH($A88,Market_Daily!$A$6:$A$256,0))*(1+INDEX(Market_Daily!$I$6:$I$256,MATCH($A88,Market_Daily!$A$6:$A$256,0))*($M88-$A88)/day_count_inr)/(1+INDEX(Market_Daily!$J$6:$J$256,MATCH($A88,Market_Daily!$A$6:$A$256,0))*($M88-$A88)/day_count_usd)))))</f>
        <v/>
      </c>
      <c r="AM88" s="8">
        <f>IF(OR($J88="INR",$R88&gt;1),"",$AL88-$X88)</f>
        <v/>
      </c>
      <c r="AN88" s="8">
        <f>$U88</f>
        <v/>
      </c>
      <c r="AO88" s="8">
        <f>$V88</f>
        <v/>
      </c>
      <c r="AP88" s="18">
        <f>$AO88-$V88</f>
        <v/>
      </c>
      <c r="AQ88" s="8">
        <f>IF(ABS($AP88)&lt;=tol_trade_inr,"PASS","FAIL")</f>
        <v/>
      </c>
    </row>
    <row r="89">
      <c r="A89" s="11" t="n">
        <v>44638</v>
      </c>
      <c r="B89" s="7" t="inlineStr">
        <is>
          <t>T01</t>
        </is>
      </c>
      <c r="C89" s="7" t="inlineStr">
        <is>
          <t>INSURANCE:L1</t>
        </is>
      </c>
      <c r="D89" s="7" t="inlineStr">
        <is>
          <t>INSURANCE</t>
        </is>
      </c>
      <c r="E89" s="7" t="inlineStr">
        <is>
          <t>physical</t>
        </is>
      </c>
      <c r="F89" s="7" t="inlineStr">
        <is>
          <t>L1</t>
        </is>
      </c>
      <c r="H89" s="7" t="inlineStr">
        <is>
          <t>zorba</t>
        </is>
      </c>
      <c r="I89" s="7" t="inlineStr">
        <is>
          <t>USEC_MUN</t>
        </is>
      </c>
      <c r="J89" s="7" t="inlineStr">
        <is>
          <t>USD</t>
        </is>
      </c>
      <c r="K89" s="7" t="inlineStr">
        <is>
          <t>floating</t>
        </is>
      </c>
      <c r="L89" s="7" t="inlineStr">
        <is>
          <t>PNL</t>
        </is>
      </c>
      <c r="M89" s="11" t="n">
        <v>44649</v>
      </c>
      <c r="N89" s="13" t="n">
        <v>840</v>
      </c>
      <c r="O89" s="6" t="n">
        <v>0</v>
      </c>
      <c r="P89" s="13" t="n">
        <v>0</v>
      </c>
      <c r="Q89" s="22" t="n">
        <v>31</v>
      </c>
      <c r="R89" s="6" t="n">
        <v>1</v>
      </c>
      <c r="U89" s="9" t="n">
        <v>-2257.64</v>
      </c>
      <c r="V89" s="9" t="n">
        <v>-172004.3</v>
      </c>
      <c r="X89" s="9" t="n">
        <v>76.18770000000001</v>
      </c>
      <c r="AK89" s="7" t="inlineStr">
        <is>
          <t>PYTHON_LIFECYCLE</t>
        </is>
      </c>
      <c r="AL89" s="8">
        <f>IF($J89="INR",1,IF($M89&lt;$A89,INDEX(Market_Daily!$F$6:$F$256,MATCH($M89,Market_Daily!$A$6:$A$256,1)),IF($M89=$A89,INDEX(Market_Daily!$F$6:$F$256,MATCH($A89,Market_Daily!$A$6:$A$256,0)),(INDEX(Market_Daily!$F$6:$F$256,MATCH($A89,Market_Daily!$A$6:$A$256,0))*(1+INDEX(Market_Daily!$I$6:$I$256,MATCH($A89,Market_Daily!$A$6:$A$256,0))*($M89-$A89)/day_count_inr)/(1+INDEX(Market_Daily!$J$6:$J$256,MATCH($A89,Market_Daily!$A$6:$A$256,0))*($M89-$A89)/day_count_usd)))))</f>
        <v/>
      </c>
      <c r="AM89" s="8">
        <f>IF(OR($J89="INR",$R89&gt;1),"",$AL89-$X89)</f>
        <v/>
      </c>
      <c r="AN89" s="8">
        <f>$U89</f>
        <v/>
      </c>
      <c r="AO89" s="8">
        <f>$AN89*IF($J89="INR",1,$AL89)</f>
        <v/>
      </c>
      <c r="AP89" s="18">
        <f>$AO89-$V89</f>
        <v/>
      </c>
      <c r="AQ89" s="8">
        <f>IF(ABS($AP89)&lt;=tol_trade_inr,"PASS","FAIL")</f>
        <v/>
      </c>
    </row>
    <row r="90">
      <c r="A90" s="11" t="n">
        <v>44638</v>
      </c>
      <c r="B90" s="7" t="inlineStr">
        <is>
          <t>T01</t>
        </is>
      </c>
      <c r="C90" s="7" t="inlineStr">
        <is>
          <t>INSURANCE:L2</t>
        </is>
      </c>
      <c r="D90" s="7" t="inlineStr">
        <is>
          <t>INSURANCE</t>
        </is>
      </c>
      <c r="E90" s="7" t="inlineStr">
        <is>
          <t>physical</t>
        </is>
      </c>
      <c r="F90" s="7" t="inlineStr">
        <is>
          <t>L2</t>
        </is>
      </c>
      <c r="H90" s="7" t="inlineStr">
        <is>
          <t>zorba</t>
        </is>
      </c>
      <c r="I90" s="7" t="inlineStr">
        <is>
          <t>USEC_MUN</t>
        </is>
      </c>
      <c r="J90" s="7" t="inlineStr">
        <is>
          <t>USD</t>
        </is>
      </c>
      <c r="K90" s="7" t="inlineStr">
        <is>
          <t>floating</t>
        </is>
      </c>
      <c r="L90" s="7" t="inlineStr">
        <is>
          <t>PNL</t>
        </is>
      </c>
      <c r="M90" s="11" t="n">
        <v>44655</v>
      </c>
      <c r="N90" s="13" t="n">
        <v>840</v>
      </c>
      <c r="O90" s="6" t="n">
        <v>0</v>
      </c>
      <c r="P90" s="13" t="n">
        <v>0</v>
      </c>
      <c r="Q90" s="22" t="n">
        <v>31</v>
      </c>
      <c r="R90" s="6" t="n">
        <v>1</v>
      </c>
      <c r="U90" s="9" t="n">
        <v>-2257.64</v>
      </c>
      <c r="V90" s="9" t="n">
        <v>-172099.17</v>
      </c>
      <c r="X90" s="9" t="n">
        <v>76.22969999999999</v>
      </c>
      <c r="AK90" s="7" t="inlineStr">
        <is>
          <t>PYTHON_LIFECYCLE</t>
        </is>
      </c>
      <c r="AL90" s="8">
        <f>IF($J90="INR",1,IF($M90&lt;$A90,INDEX(Market_Daily!$F$6:$F$256,MATCH($M90,Market_Daily!$A$6:$A$256,1)),IF($M90=$A90,INDEX(Market_Daily!$F$6:$F$256,MATCH($A90,Market_Daily!$A$6:$A$256,0)),(INDEX(Market_Daily!$F$6:$F$256,MATCH($A90,Market_Daily!$A$6:$A$256,0))*(1+INDEX(Market_Daily!$I$6:$I$256,MATCH($A90,Market_Daily!$A$6:$A$256,0))*($M90-$A90)/day_count_inr)/(1+INDEX(Market_Daily!$J$6:$J$256,MATCH($A90,Market_Daily!$A$6:$A$256,0))*($M90-$A90)/day_count_usd)))))</f>
        <v/>
      </c>
      <c r="AM90" s="8">
        <f>IF(OR($J90="INR",$R90&gt;1),"",$AL90-$X90)</f>
        <v/>
      </c>
      <c r="AN90" s="8">
        <f>$U90</f>
        <v/>
      </c>
      <c r="AO90" s="8">
        <f>$AN90*IF($J90="INR",1,$AL90)</f>
        <v/>
      </c>
      <c r="AP90" s="18">
        <f>$AO90-$V90</f>
        <v/>
      </c>
      <c r="AQ90" s="8">
        <f>IF(ABS($AP90)&lt;=tol_trade_inr,"PASS","FAIL")</f>
        <v/>
      </c>
    </row>
    <row r="91">
      <c r="A91" s="11" t="n">
        <v>44638</v>
      </c>
      <c r="B91" s="7" t="inlineStr">
        <is>
          <t>T01</t>
        </is>
      </c>
      <c r="C91" s="7" t="inlineStr">
        <is>
          <t>INSURANCE:L3</t>
        </is>
      </c>
      <c r="D91" s="7" t="inlineStr">
        <is>
          <t>INSURANCE</t>
        </is>
      </c>
      <c r="E91" s="7" t="inlineStr">
        <is>
          <t>physical</t>
        </is>
      </c>
      <c r="F91" s="7" t="inlineStr">
        <is>
          <t>L3</t>
        </is>
      </c>
      <c r="H91" s="7" t="inlineStr">
        <is>
          <t>zorba</t>
        </is>
      </c>
      <c r="I91" s="7" t="inlineStr">
        <is>
          <t>USEC_MUN</t>
        </is>
      </c>
      <c r="J91" s="7" t="inlineStr">
        <is>
          <t>USD</t>
        </is>
      </c>
      <c r="K91" s="7" t="inlineStr">
        <is>
          <t>floating</t>
        </is>
      </c>
      <c r="L91" s="7" t="inlineStr">
        <is>
          <t>PNL</t>
        </is>
      </c>
      <c r="M91" s="11" t="n">
        <v>44658</v>
      </c>
      <c r="N91" s="13" t="n">
        <v>840</v>
      </c>
      <c r="O91" s="6" t="n">
        <v>0</v>
      </c>
      <c r="P91" s="13" t="n">
        <v>0</v>
      </c>
      <c r="Q91" s="22" t="n">
        <v>31</v>
      </c>
      <c r="R91" s="6" t="n">
        <v>1</v>
      </c>
      <c r="U91" s="9" t="n">
        <v>-2257.64</v>
      </c>
      <c r="V91" s="9" t="n">
        <v>-172146.6</v>
      </c>
      <c r="X91" s="9" t="n">
        <v>76.25069999999999</v>
      </c>
      <c r="AK91" s="7" t="inlineStr">
        <is>
          <t>PYTHON_LIFECYCLE</t>
        </is>
      </c>
      <c r="AL91" s="8">
        <f>IF($J91="INR",1,IF($M91&lt;$A91,INDEX(Market_Daily!$F$6:$F$256,MATCH($M91,Market_Daily!$A$6:$A$256,1)),IF($M91=$A91,INDEX(Market_Daily!$F$6:$F$256,MATCH($A91,Market_Daily!$A$6:$A$256,0)),(INDEX(Market_Daily!$F$6:$F$256,MATCH($A91,Market_Daily!$A$6:$A$256,0))*(1+INDEX(Market_Daily!$I$6:$I$256,MATCH($A91,Market_Daily!$A$6:$A$256,0))*($M91-$A91)/day_count_inr)/(1+INDEX(Market_Daily!$J$6:$J$256,MATCH($A91,Market_Daily!$A$6:$A$256,0))*($M91-$A91)/day_count_usd)))))</f>
        <v/>
      </c>
      <c r="AM91" s="8">
        <f>IF(OR($J91="INR",$R91&gt;1),"",$AL91-$X91)</f>
        <v/>
      </c>
      <c r="AN91" s="8">
        <f>$U91</f>
        <v/>
      </c>
      <c r="AO91" s="8">
        <f>$AN91*IF($J91="INR",1,$AL91)</f>
        <v/>
      </c>
      <c r="AP91" s="18">
        <f>$AO91-$V91</f>
        <v/>
      </c>
      <c r="AQ91" s="8">
        <f>IF(ABS($AP91)&lt;=tol_trade_inr,"PASS","FAIL")</f>
        <v/>
      </c>
    </row>
    <row r="92">
      <c r="A92" s="11" t="n">
        <v>44638</v>
      </c>
      <c r="B92" s="7" t="inlineStr">
        <is>
          <t>T01</t>
        </is>
      </c>
      <c r="C92" s="7" t="inlineStr">
        <is>
          <t>INVENTORY:L1</t>
        </is>
      </c>
      <c r="D92" s="7" t="inlineStr">
        <is>
          <t>INVENTORY</t>
        </is>
      </c>
      <c r="E92" s="7" t="inlineStr">
        <is>
          <t>physical</t>
        </is>
      </c>
      <c r="F92" s="7" t="inlineStr">
        <is>
          <t>L1</t>
        </is>
      </c>
      <c r="H92" s="7" t="inlineStr">
        <is>
          <t>zorba</t>
        </is>
      </c>
      <c r="I92" s="7" t="inlineStr">
        <is>
          <t>USEC_MUN</t>
        </is>
      </c>
      <c r="J92" s="7" t="inlineStr">
        <is>
          <t>INR</t>
        </is>
      </c>
      <c r="K92" s="7" t="inlineStr">
        <is>
          <t>fixed_unsettled</t>
        </is>
      </c>
      <c r="L92" s="7" t="inlineStr">
        <is>
          <t>PNL</t>
        </is>
      </c>
      <c r="N92" s="13" t="n">
        <v>840</v>
      </c>
      <c r="O92" s="6" t="n">
        <v>0</v>
      </c>
      <c r="P92" s="13" t="n">
        <v>0</v>
      </c>
      <c r="Q92" s="22" t="n">
        <v>31</v>
      </c>
      <c r="R92" s="6" t="n">
        <v>0</v>
      </c>
      <c r="U92" s="9" t="n">
        <v>156529332.03</v>
      </c>
      <c r="V92" s="9" t="n">
        <v>156529332.03</v>
      </c>
      <c r="W92" s="9" t="n">
        <v>186344.4429</v>
      </c>
      <c r="X92" s="9" t="n">
        <v>76.11060000000001</v>
      </c>
      <c r="Y92" s="8">
        <f>IF($I92="JEA_NSA","20ft","40ft")</f>
        <v/>
      </c>
      <c r="Z92" s="8">
        <f>IF($I92="JEA_NSA","nsa","mun")</f>
        <v/>
      </c>
      <c r="AA92" s="8">
        <f>INDEX(param_values,MATCH("container_payload_mt_"&amp;$Y92,param_keys,0))/INDEX(param_values,MATCH("container_payload_mt_"&amp;$Y92&amp;"_"&amp;$H92,param_keys,0))</f>
        <v/>
      </c>
      <c r="AB92" s="16">
        <f>INDEX(Market_Daily!$C$6:$C$256,MATCH($A92,Market_Daily!$A$6:$A$256,0))*INDEX(Market_Daily!$X$6:$Z$256,MATCH($A92,Market_Daily!$A$6:$A$256,0),MATCH("grade_factor_"&amp;$H92,Market_Daily!$X$5:$Z$5,0))</f>
        <v/>
      </c>
      <c r="AC92" s="16">
        <f>$AB92*(1+insurance_rate*insured_value_uplift)</f>
        <v/>
      </c>
      <c r="AD92" s="8">
        <f>(INDEX(Market_Daily!$F$6:$F$256,MATCH($A92,Market_Daily!$A$6:$A$256,0))*(1+INDEX(Market_Daily!$I$6:$I$256,MATCH($A92,Market_Daily!$A$6:$A$256,0))*$Q92/day_count_inr)/(1+INDEX(Market_Daily!$J$6:$J$256,MATCH($A92,Market_Daily!$A$6:$A$256,0))*$Q92/day_count_usd))</f>
        <v/>
      </c>
      <c r="AE92" s="18">
        <f>$AC92*$AD92</f>
        <v/>
      </c>
      <c r="AF92" s="18">
        <f>$AC92*INDEX(Market_Daily!$V$6:$V$256,MATCH($A92,Market_Daily!$A$6:$A$256,0))</f>
        <v/>
      </c>
      <c r="AG92" s="18">
        <f>$AF92*bcd_scrap_hs7602*(1+sws_rate_on_bcd)</f>
        <v/>
      </c>
      <c r="AH92" s="18">
        <f>INDEX(param_values,MATCH("port_cf_charges_inr_t_"&amp;$Z92,param_keys,0))*$AA92+IF(INDEX(param_values,MATCH(IF($I92="JEA_NSA","psic_required_uae_origin","psic_required_safe_origin_designated_port"),param_keys,0)),psic_cost_usd_per_box*INDEX(Market_Daily!$F$6:$F$256,MATCH($A92,Market_Daily!$A$6:$A$256,0))/INDEX(param_values,MATCH("container_payload_mt_20ft_"&amp;$H92,param_keys,0)),0)</f>
        <v/>
      </c>
      <c r="AI92" s="18">
        <f>IF(igst_itc_available,0,($AF92+$AG92)*igst_rate_hs7602)</f>
        <v/>
      </c>
      <c r="AJ92" s="18">
        <f>$AE92+$AG92+$AH92+$AI92</f>
        <v/>
      </c>
      <c r="AK92" s="7" t="inlineStr">
        <is>
          <t>DERIVED_IN_WORKBOOK</t>
        </is>
      </c>
      <c r="AL92" s="8">
        <f>IF($J92="INR",1,IF($M92&lt;$A92,INDEX(Market_Daily!$F$6:$F$256,MATCH($M92,Market_Daily!$A$6:$A$256,1)),IF($M92=$A92,INDEX(Market_Daily!$F$6:$F$256,MATCH($A92,Market_Daily!$A$6:$A$256,0)),(INDEX(Market_Daily!$F$6:$F$256,MATCH($A92,Market_Daily!$A$6:$A$256,0))*(1+INDEX(Market_Daily!$I$6:$I$256,MATCH($A92,Market_Daily!$A$6:$A$256,0))*($M92-$A92)/day_count_inr)/(1+INDEX(Market_Daily!$J$6:$J$256,MATCH($A92,Market_Daily!$A$6:$A$256,0))*($M92-$A92)/day_count_usd)))))</f>
        <v/>
      </c>
      <c r="AM92" s="8">
        <f>IF(OR($J92="INR",$R92&gt;1),"",$AL92-$X92)</f>
        <v/>
      </c>
      <c r="AN92" s="8">
        <f>$N92*$AJ92</f>
        <v/>
      </c>
      <c r="AO92" s="8">
        <f>$AN92</f>
        <v/>
      </c>
      <c r="AP92" s="18">
        <f>$AO92-$V92</f>
        <v/>
      </c>
      <c r="AQ92" s="8">
        <f>IF(ABS($AP92)&lt;=tol_trade_inr,"PASS","FAIL")</f>
        <v/>
      </c>
    </row>
    <row r="93">
      <c r="A93" s="11" t="n">
        <v>44638</v>
      </c>
      <c r="B93" s="7" t="inlineStr">
        <is>
          <t>T01</t>
        </is>
      </c>
      <c r="C93" s="7" t="inlineStr">
        <is>
          <t>INVENTORY:L2</t>
        </is>
      </c>
      <c r="D93" s="7" t="inlineStr">
        <is>
          <t>INVENTORY</t>
        </is>
      </c>
      <c r="E93" s="7" t="inlineStr">
        <is>
          <t>physical</t>
        </is>
      </c>
      <c r="F93" s="7" t="inlineStr">
        <is>
          <t>L2</t>
        </is>
      </c>
      <c r="H93" s="7" t="inlineStr">
        <is>
          <t>zorba</t>
        </is>
      </c>
      <c r="I93" s="7" t="inlineStr">
        <is>
          <t>USEC_MUN</t>
        </is>
      </c>
      <c r="J93" s="7" t="inlineStr">
        <is>
          <t>INR</t>
        </is>
      </c>
      <c r="K93" s="7" t="inlineStr">
        <is>
          <t>fixed_unsettled</t>
        </is>
      </c>
      <c r="L93" s="7" t="inlineStr">
        <is>
          <t>PNL</t>
        </is>
      </c>
      <c r="N93" s="13" t="n">
        <v>840</v>
      </c>
      <c r="O93" s="6" t="n">
        <v>0</v>
      </c>
      <c r="P93" s="13" t="n">
        <v>0</v>
      </c>
      <c r="Q93" s="22" t="n">
        <v>31</v>
      </c>
      <c r="R93" s="6" t="n">
        <v>0</v>
      </c>
      <c r="U93" s="9" t="n">
        <v>156529332.03</v>
      </c>
      <c r="V93" s="9" t="n">
        <v>156529332.03</v>
      </c>
      <c r="W93" s="9" t="n">
        <v>186344.4429</v>
      </c>
      <c r="X93" s="9" t="n">
        <v>76.11060000000001</v>
      </c>
      <c r="Y93" s="8">
        <f>IF($I93="JEA_NSA","20ft","40ft")</f>
        <v/>
      </c>
      <c r="Z93" s="8">
        <f>IF($I93="JEA_NSA","nsa","mun")</f>
        <v/>
      </c>
      <c r="AA93" s="8">
        <f>INDEX(param_values,MATCH("container_payload_mt_"&amp;$Y93,param_keys,0))/INDEX(param_values,MATCH("container_payload_mt_"&amp;$Y93&amp;"_"&amp;$H93,param_keys,0))</f>
        <v/>
      </c>
      <c r="AB93" s="16">
        <f>INDEX(Market_Daily!$C$6:$C$256,MATCH($A93,Market_Daily!$A$6:$A$256,0))*INDEX(Market_Daily!$X$6:$Z$256,MATCH($A93,Market_Daily!$A$6:$A$256,0),MATCH("grade_factor_"&amp;$H93,Market_Daily!$X$5:$Z$5,0))</f>
        <v/>
      </c>
      <c r="AC93" s="16">
        <f>$AB93*(1+insurance_rate*insured_value_uplift)</f>
        <v/>
      </c>
      <c r="AD93" s="8">
        <f>(INDEX(Market_Daily!$F$6:$F$256,MATCH($A93,Market_Daily!$A$6:$A$256,0))*(1+INDEX(Market_Daily!$I$6:$I$256,MATCH($A93,Market_Daily!$A$6:$A$256,0))*$Q93/day_count_inr)/(1+INDEX(Market_Daily!$J$6:$J$256,MATCH($A93,Market_Daily!$A$6:$A$256,0))*$Q93/day_count_usd))</f>
        <v/>
      </c>
      <c r="AE93" s="18">
        <f>$AC93*$AD93</f>
        <v/>
      </c>
      <c r="AF93" s="18">
        <f>$AC93*INDEX(Market_Daily!$V$6:$V$256,MATCH($A93,Market_Daily!$A$6:$A$256,0))</f>
        <v/>
      </c>
      <c r="AG93" s="18">
        <f>$AF93*bcd_scrap_hs7602*(1+sws_rate_on_bcd)</f>
        <v/>
      </c>
      <c r="AH93" s="18">
        <f>INDEX(param_values,MATCH("port_cf_charges_inr_t_"&amp;$Z93,param_keys,0))*$AA93+IF(INDEX(param_values,MATCH(IF($I93="JEA_NSA","psic_required_uae_origin","psic_required_safe_origin_designated_port"),param_keys,0)),psic_cost_usd_per_box*INDEX(Market_Daily!$F$6:$F$256,MATCH($A93,Market_Daily!$A$6:$A$256,0))/INDEX(param_values,MATCH("container_payload_mt_20ft_"&amp;$H93,param_keys,0)),0)</f>
        <v/>
      </c>
      <c r="AI93" s="18">
        <f>IF(igst_itc_available,0,($AF93+$AG93)*igst_rate_hs7602)</f>
        <v/>
      </c>
      <c r="AJ93" s="18">
        <f>$AE93+$AG93+$AH93+$AI93</f>
        <v/>
      </c>
      <c r="AK93" s="7" t="inlineStr">
        <is>
          <t>DERIVED_IN_WORKBOOK</t>
        </is>
      </c>
      <c r="AL93" s="8">
        <f>IF($J93="INR",1,IF($M93&lt;$A93,INDEX(Market_Daily!$F$6:$F$256,MATCH($M93,Market_Daily!$A$6:$A$256,1)),IF($M93=$A93,INDEX(Market_Daily!$F$6:$F$256,MATCH($A93,Market_Daily!$A$6:$A$256,0)),(INDEX(Market_Daily!$F$6:$F$256,MATCH($A93,Market_Daily!$A$6:$A$256,0))*(1+INDEX(Market_Daily!$I$6:$I$256,MATCH($A93,Market_Daily!$A$6:$A$256,0))*($M93-$A93)/day_count_inr)/(1+INDEX(Market_Daily!$J$6:$J$256,MATCH($A93,Market_Daily!$A$6:$A$256,0))*($M93-$A93)/day_count_usd)))))</f>
        <v/>
      </c>
      <c r="AM93" s="8">
        <f>IF(OR($J93="INR",$R93&gt;1),"",$AL93-$X93)</f>
        <v/>
      </c>
      <c r="AN93" s="8">
        <f>$N93*$AJ93</f>
        <v/>
      </c>
      <c r="AO93" s="8">
        <f>$AN93</f>
        <v/>
      </c>
      <c r="AP93" s="18">
        <f>$AO93-$V93</f>
        <v/>
      </c>
      <c r="AQ93" s="8">
        <f>IF(ABS($AP93)&lt;=tol_trade_inr,"PASS","FAIL")</f>
        <v/>
      </c>
    </row>
    <row r="94">
      <c r="A94" s="11" t="n">
        <v>44638</v>
      </c>
      <c r="B94" s="7" t="inlineStr">
        <is>
          <t>T01</t>
        </is>
      </c>
      <c r="C94" s="7" t="inlineStr">
        <is>
          <t>INVENTORY:L3</t>
        </is>
      </c>
      <c r="D94" s="7" t="inlineStr">
        <is>
          <t>INVENTORY</t>
        </is>
      </c>
      <c r="E94" s="7" t="inlineStr">
        <is>
          <t>physical</t>
        </is>
      </c>
      <c r="F94" s="7" t="inlineStr">
        <is>
          <t>L3</t>
        </is>
      </c>
      <c r="H94" s="7" t="inlineStr">
        <is>
          <t>zorba</t>
        </is>
      </c>
      <c r="I94" s="7" t="inlineStr">
        <is>
          <t>USEC_MUN</t>
        </is>
      </c>
      <c r="J94" s="7" t="inlineStr">
        <is>
          <t>INR</t>
        </is>
      </c>
      <c r="K94" s="7" t="inlineStr">
        <is>
          <t>fixed_unsettled</t>
        </is>
      </c>
      <c r="L94" s="7" t="inlineStr">
        <is>
          <t>PNL</t>
        </is>
      </c>
      <c r="N94" s="13" t="n">
        <v>840</v>
      </c>
      <c r="O94" s="6" t="n">
        <v>0</v>
      </c>
      <c r="P94" s="13" t="n">
        <v>0</v>
      </c>
      <c r="Q94" s="22" t="n">
        <v>31</v>
      </c>
      <c r="R94" s="6" t="n">
        <v>0</v>
      </c>
      <c r="U94" s="9" t="n">
        <v>156529332.03</v>
      </c>
      <c r="V94" s="9" t="n">
        <v>156529332.03</v>
      </c>
      <c r="W94" s="9" t="n">
        <v>186344.4429</v>
      </c>
      <c r="X94" s="9" t="n">
        <v>76.11060000000001</v>
      </c>
      <c r="Y94" s="8">
        <f>IF($I94="JEA_NSA","20ft","40ft")</f>
        <v/>
      </c>
      <c r="Z94" s="8">
        <f>IF($I94="JEA_NSA","nsa","mun")</f>
        <v/>
      </c>
      <c r="AA94" s="8">
        <f>INDEX(param_values,MATCH("container_payload_mt_"&amp;$Y94,param_keys,0))/INDEX(param_values,MATCH("container_payload_mt_"&amp;$Y94&amp;"_"&amp;$H94,param_keys,0))</f>
        <v/>
      </c>
      <c r="AB94" s="16">
        <f>INDEX(Market_Daily!$C$6:$C$256,MATCH($A94,Market_Daily!$A$6:$A$256,0))*INDEX(Market_Daily!$X$6:$Z$256,MATCH($A94,Market_Daily!$A$6:$A$256,0),MATCH("grade_factor_"&amp;$H94,Market_Daily!$X$5:$Z$5,0))</f>
        <v/>
      </c>
      <c r="AC94" s="16">
        <f>$AB94*(1+insurance_rate*insured_value_uplift)</f>
        <v/>
      </c>
      <c r="AD94" s="8">
        <f>(INDEX(Market_Daily!$F$6:$F$256,MATCH($A94,Market_Daily!$A$6:$A$256,0))*(1+INDEX(Market_Daily!$I$6:$I$256,MATCH($A94,Market_Daily!$A$6:$A$256,0))*$Q94/day_count_inr)/(1+INDEX(Market_Daily!$J$6:$J$256,MATCH($A94,Market_Daily!$A$6:$A$256,0))*$Q94/day_count_usd))</f>
        <v/>
      </c>
      <c r="AE94" s="18">
        <f>$AC94*$AD94</f>
        <v/>
      </c>
      <c r="AF94" s="18">
        <f>$AC94*INDEX(Market_Daily!$V$6:$V$256,MATCH($A94,Market_Daily!$A$6:$A$256,0))</f>
        <v/>
      </c>
      <c r="AG94" s="18">
        <f>$AF94*bcd_scrap_hs7602*(1+sws_rate_on_bcd)</f>
        <v/>
      </c>
      <c r="AH94" s="18">
        <f>INDEX(param_values,MATCH("port_cf_charges_inr_t_"&amp;$Z94,param_keys,0))*$AA94+IF(INDEX(param_values,MATCH(IF($I94="JEA_NSA","psic_required_uae_origin","psic_required_safe_origin_designated_port"),param_keys,0)),psic_cost_usd_per_box*INDEX(Market_Daily!$F$6:$F$256,MATCH($A94,Market_Daily!$A$6:$A$256,0))/INDEX(param_values,MATCH("container_payload_mt_20ft_"&amp;$H94,param_keys,0)),0)</f>
        <v/>
      </c>
      <c r="AI94" s="18">
        <f>IF(igst_itc_available,0,($AF94+$AG94)*igst_rate_hs7602)</f>
        <v/>
      </c>
      <c r="AJ94" s="18">
        <f>$AE94+$AG94+$AH94+$AI94</f>
        <v/>
      </c>
      <c r="AK94" s="7" t="inlineStr">
        <is>
          <t>DERIVED_IN_WORKBOOK</t>
        </is>
      </c>
      <c r="AL94" s="8">
        <f>IF($J94="INR",1,IF($M94&lt;$A94,INDEX(Market_Daily!$F$6:$F$256,MATCH($M94,Market_Daily!$A$6:$A$256,1)),IF($M94=$A94,INDEX(Market_Daily!$F$6:$F$256,MATCH($A94,Market_Daily!$A$6:$A$256,0)),(INDEX(Market_Daily!$F$6:$F$256,MATCH($A94,Market_Daily!$A$6:$A$256,0))*(1+INDEX(Market_Daily!$I$6:$I$256,MATCH($A94,Market_Daily!$A$6:$A$256,0))*($M94-$A94)/day_count_inr)/(1+INDEX(Market_Daily!$J$6:$J$256,MATCH($A94,Market_Daily!$A$6:$A$256,0))*($M94-$A94)/day_count_usd)))))</f>
        <v/>
      </c>
      <c r="AM94" s="8">
        <f>IF(OR($J94="INR",$R94&gt;1),"",$AL94-$X94)</f>
        <v/>
      </c>
      <c r="AN94" s="8">
        <f>$N94*$AJ94</f>
        <v/>
      </c>
      <c r="AO94" s="8">
        <f>$AN94</f>
        <v/>
      </c>
      <c r="AP94" s="18">
        <f>$AO94-$V94</f>
        <v/>
      </c>
      <c r="AQ94" s="8">
        <f>IF(ABS($AP94)&lt;=tol_trade_inr,"PASS","FAIL")</f>
        <v/>
      </c>
    </row>
    <row r="95">
      <c r="A95" s="11" t="n">
        <v>44638</v>
      </c>
      <c r="B95" s="7" t="inlineStr">
        <is>
          <t>T01</t>
        </is>
      </c>
      <c r="C95" s="7" t="inlineStr">
        <is>
          <t>MCX:T01-MCX-1</t>
        </is>
      </c>
      <c r="D95" s="7" t="inlineStr">
        <is>
          <t>MCX</t>
        </is>
      </c>
      <c r="E95" s="7" t="inlineStr">
        <is>
          <t>mcx</t>
        </is>
      </c>
      <c r="H95" s="7" t="inlineStr">
        <is>
          <t>zorba</t>
        </is>
      </c>
      <c r="I95" s="7" t="inlineStr">
        <is>
          <t>USEC_MUN</t>
        </is>
      </c>
      <c r="J95" s="7" t="inlineStr">
        <is>
          <t>INR</t>
        </is>
      </c>
      <c r="K95" s="7" t="inlineStr">
        <is>
          <t>partially_fixed</t>
        </is>
      </c>
      <c r="L95" s="7" t="inlineStr">
        <is>
          <t>PNL</t>
        </is>
      </c>
      <c r="M95" s="11" t="n">
        <v>44671</v>
      </c>
      <c r="N95" s="13" t="n">
        <v>0</v>
      </c>
      <c r="O95" s="6" t="n">
        <v>-200</v>
      </c>
      <c r="P95" s="13" t="n">
        <v>0</v>
      </c>
      <c r="Q95" s="22" t="n">
        <v>31</v>
      </c>
      <c r="R95" s="6" t="n">
        <v>29</v>
      </c>
      <c r="U95" s="9" t="n">
        <v>0</v>
      </c>
      <c r="V95" s="9" t="n">
        <v>0</v>
      </c>
      <c r="X95" s="9" t="n">
        <v>76.11060000000001</v>
      </c>
      <c r="AK95" s="7" t="inlineStr">
        <is>
          <t>PYTHON_MULTI_FLOW_LEG</t>
        </is>
      </c>
      <c r="AL95" s="8">
        <f>IF($J95="INR",1,IF($M95&lt;$A95,INDEX(Market_Daily!$F$6:$F$256,MATCH($M95,Market_Daily!$A$6:$A$256,1)),IF($M95=$A95,INDEX(Market_Daily!$F$6:$F$256,MATCH($A95,Market_Daily!$A$6:$A$256,0)),(INDEX(Market_Daily!$F$6:$F$256,MATCH($A95,Market_Daily!$A$6:$A$256,0))*(1+INDEX(Market_Daily!$I$6:$I$256,MATCH($A95,Market_Daily!$A$6:$A$256,0))*($M95-$A95)/day_count_inr)/(1+INDEX(Market_Daily!$J$6:$J$256,MATCH($A95,Market_Daily!$A$6:$A$256,0))*($M95-$A95)/day_count_usd)))))</f>
        <v/>
      </c>
      <c r="AM95" s="8">
        <f>IF(OR($J95="INR",$R95&gt;1),"",$AL95-$X95)</f>
        <v/>
      </c>
      <c r="AN95" s="8">
        <f>$U95</f>
        <v/>
      </c>
      <c r="AO95" s="8">
        <f>$V95</f>
        <v/>
      </c>
      <c r="AP95" s="18">
        <f>$AO95-$V95</f>
        <v/>
      </c>
      <c r="AQ95" s="8">
        <f>IF(ABS($AP95)&lt;=tol_trade_inr,"PASS","FAIL")</f>
        <v/>
      </c>
    </row>
    <row r="96">
      <c r="A96" s="11" t="n">
        <v>44638</v>
      </c>
      <c r="B96" s="7" t="inlineStr">
        <is>
          <t>T01</t>
        </is>
      </c>
      <c r="C96" s="7" t="inlineStr">
        <is>
          <t>MCX:T01-MCX-2</t>
        </is>
      </c>
      <c r="D96" s="7" t="inlineStr">
        <is>
          <t>MCX</t>
        </is>
      </c>
      <c r="E96" s="7" t="inlineStr">
        <is>
          <t>mcx</t>
        </is>
      </c>
      <c r="H96" s="7" t="inlineStr">
        <is>
          <t>zorba</t>
        </is>
      </c>
      <c r="I96" s="7" t="inlineStr">
        <is>
          <t>USEC_MUN</t>
        </is>
      </c>
      <c r="J96" s="7" t="inlineStr">
        <is>
          <t>INR</t>
        </is>
      </c>
      <c r="K96" s="7" t="inlineStr">
        <is>
          <t>partially_fixed</t>
        </is>
      </c>
      <c r="L96" s="7" t="inlineStr">
        <is>
          <t>PNL</t>
        </is>
      </c>
      <c r="M96" s="11" t="n">
        <v>44671</v>
      </c>
      <c r="N96" s="13" t="n">
        <v>0</v>
      </c>
      <c r="O96" s="6" t="n">
        <v>-100</v>
      </c>
      <c r="P96" s="13" t="n">
        <v>0</v>
      </c>
      <c r="Q96" s="22" t="n">
        <v>31</v>
      </c>
      <c r="R96" s="6" t="n">
        <v>29</v>
      </c>
      <c r="U96" s="9" t="n">
        <v>0</v>
      </c>
      <c r="V96" s="9" t="n">
        <v>0</v>
      </c>
      <c r="X96" s="9" t="n">
        <v>76.11060000000001</v>
      </c>
      <c r="AK96" s="7" t="inlineStr">
        <is>
          <t>PYTHON_MULTI_FLOW_LEG</t>
        </is>
      </c>
      <c r="AL96" s="8">
        <f>IF($J96="INR",1,IF($M96&lt;$A96,INDEX(Market_Daily!$F$6:$F$256,MATCH($M96,Market_Daily!$A$6:$A$256,1)),IF($M96=$A96,INDEX(Market_Daily!$F$6:$F$256,MATCH($A96,Market_Daily!$A$6:$A$256,0)),(INDEX(Market_Daily!$F$6:$F$256,MATCH($A96,Market_Daily!$A$6:$A$256,0))*(1+INDEX(Market_Daily!$I$6:$I$256,MATCH($A96,Market_Daily!$A$6:$A$256,0))*($M96-$A96)/day_count_inr)/(1+INDEX(Market_Daily!$J$6:$J$256,MATCH($A96,Market_Daily!$A$6:$A$256,0))*($M96-$A96)/day_count_usd)))))</f>
        <v/>
      </c>
      <c r="AM96" s="8">
        <f>IF(OR($J96="INR",$R96&gt;1),"",$AL96-$X96)</f>
        <v/>
      </c>
      <c r="AN96" s="8">
        <f>$U96</f>
        <v/>
      </c>
      <c r="AO96" s="8">
        <f>$V96</f>
        <v/>
      </c>
      <c r="AP96" s="18">
        <f>$AO96-$V96</f>
        <v/>
      </c>
      <c r="AQ96" s="8">
        <f>IF(ABS($AP96)&lt;=tol_trade_inr,"PASS","FAIL")</f>
        <v/>
      </c>
    </row>
    <row r="97">
      <c r="A97" s="11" t="n">
        <v>44638</v>
      </c>
      <c r="B97" s="7" t="inlineStr">
        <is>
          <t>T01</t>
        </is>
      </c>
      <c r="C97" s="7" t="inlineStr">
        <is>
          <t>PORT:L1</t>
        </is>
      </c>
      <c r="D97" s="7" t="inlineStr">
        <is>
          <t>PORT</t>
        </is>
      </c>
      <c r="E97" s="7" t="inlineStr">
        <is>
          <t>physical</t>
        </is>
      </c>
      <c r="F97" s="7" t="inlineStr">
        <is>
          <t>L1</t>
        </is>
      </c>
      <c r="H97" s="7" t="inlineStr">
        <is>
          <t>zorba</t>
        </is>
      </c>
      <c r="I97" s="7" t="inlineStr">
        <is>
          <t>USEC_MUN</t>
        </is>
      </c>
      <c r="J97" s="7" t="inlineStr">
        <is>
          <t>INR</t>
        </is>
      </c>
      <c r="K97" s="7" t="inlineStr">
        <is>
          <t>fixed_unsettled</t>
        </is>
      </c>
      <c r="L97" s="7" t="inlineStr">
        <is>
          <t>PNL</t>
        </is>
      </c>
      <c r="M97" s="11" t="n">
        <v>44699</v>
      </c>
      <c r="N97" s="13" t="n">
        <v>0</v>
      </c>
      <c r="O97" s="6" t="n">
        <v>0</v>
      </c>
      <c r="P97" s="13" t="n">
        <v>0</v>
      </c>
      <c r="Q97" s="22" t="n">
        <v>31</v>
      </c>
      <c r="R97" s="6" t="n">
        <v>1</v>
      </c>
      <c r="U97" s="9" t="n">
        <v>-2226000</v>
      </c>
      <c r="V97" s="9" t="n">
        <v>-2226000</v>
      </c>
      <c r="X97" s="9" t="n">
        <v>76.11060000000001</v>
      </c>
      <c r="AK97" s="7" t="inlineStr">
        <is>
          <t>PYTHON_LIFECYCLE</t>
        </is>
      </c>
      <c r="AL97" s="8">
        <f>IF($J97="INR",1,IF($M97&lt;$A97,INDEX(Market_Daily!$F$6:$F$256,MATCH($M97,Market_Daily!$A$6:$A$256,1)),IF($M97=$A97,INDEX(Market_Daily!$F$6:$F$256,MATCH($A97,Market_Daily!$A$6:$A$256,0)),(INDEX(Market_Daily!$F$6:$F$256,MATCH($A97,Market_Daily!$A$6:$A$256,0))*(1+INDEX(Market_Daily!$I$6:$I$256,MATCH($A97,Market_Daily!$A$6:$A$256,0))*($M97-$A97)/day_count_inr)/(1+INDEX(Market_Daily!$J$6:$J$256,MATCH($A97,Market_Daily!$A$6:$A$256,0))*($M97-$A97)/day_count_usd)))))</f>
        <v/>
      </c>
      <c r="AM97" s="8">
        <f>IF(OR($J97="INR",$R97&gt;1),"",$AL97-$X97)</f>
        <v/>
      </c>
      <c r="AN97" s="8">
        <f>$U97</f>
        <v/>
      </c>
      <c r="AO97" s="8">
        <f>$AN97*IF($J97="INR",1,$AL97)</f>
        <v/>
      </c>
      <c r="AP97" s="18">
        <f>$AO97-$V97</f>
        <v/>
      </c>
      <c r="AQ97" s="8">
        <f>IF(ABS($AP97)&lt;=tol_trade_inr,"PASS","FAIL")</f>
        <v/>
      </c>
    </row>
    <row r="98">
      <c r="A98" s="11" t="n">
        <v>44638</v>
      </c>
      <c r="B98" s="7" t="inlineStr">
        <is>
          <t>T01</t>
        </is>
      </c>
      <c r="C98" s="7" t="inlineStr">
        <is>
          <t>PORT:L2</t>
        </is>
      </c>
      <c r="D98" s="7" t="inlineStr">
        <is>
          <t>PORT</t>
        </is>
      </c>
      <c r="E98" s="7" t="inlineStr">
        <is>
          <t>physical</t>
        </is>
      </c>
      <c r="F98" s="7" t="inlineStr">
        <is>
          <t>L2</t>
        </is>
      </c>
      <c r="H98" s="7" t="inlineStr">
        <is>
          <t>zorba</t>
        </is>
      </c>
      <c r="I98" s="7" t="inlineStr">
        <is>
          <t>USEC_MUN</t>
        </is>
      </c>
      <c r="J98" s="7" t="inlineStr">
        <is>
          <t>INR</t>
        </is>
      </c>
      <c r="K98" s="7" t="inlineStr">
        <is>
          <t>fixed_unsettled</t>
        </is>
      </c>
      <c r="L98" s="7" t="inlineStr">
        <is>
          <t>PNL</t>
        </is>
      </c>
      <c r="M98" s="11" t="n">
        <v>44705</v>
      </c>
      <c r="N98" s="13" t="n">
        <v>0</v>
      </c>
      <c r="O98" s="6" t="n">
        <v>0</v>
      </c>
      <c r="P98" s="13" t="n">
        <v>0</v>
      </c>
      <c r="Q98" s="22" t="n">
        <v>31</v>
      </c>
      <c r="R98" s="6" t="n">
        <v>1</v>
      </c>
      <c r="U98" s="9" t="n">
        <v>-2226000</v>
      </c>
      <c r="V98" s="9" t="n">
        <v>-2226000</v>
      </c>
      <c r="X98" s="9" t="n">
        <v>76.11060000000001</v>
      </c>
      <c r="AK98" s="7" t="inlineStr">
        <is>
          <t>PYTHON_LIFECYCLE</t>
        </is>
      </c>
      <c r="AL98" s="8">
        <f>IF($J98="INR",1,IF($M98&lt;$A98,INDEX(Market_Daily!$F$6:$F$256,MATCH($M98,Market_Daily!$A$6:$A$256,1)),IF($M98=$A98,INDEX(Market_Daily!$F$6:$F$256,MATCH($A98,Market_Daily!$A$6:$A$256,0)),(INDEX(Market_Daily!$F$6:$F$256,MATCH($A98,Market_Daily!$A$6:$A$256,0))*(1+INDEX(Market_Daily!$I$6:$I$256,MATCH($A98,Market_Daily!$A$6:$A$256,0))*($M98-$A98)/day_count_inr)/(1+INDEX(Market_Daily!$J$6:$J$256,MATCH($A98,Market_Daily!$A$6:$A$256,0))*($M98-$A98)/day_count_usd)))))</f>
        <v/>
      </c>
      <c r="AM98" s="8">
        <f>IF(OR($J98="INR",$R98&gt;1),"",$AL98-$X98)</f>
        <v/>
      </c>
      <c r="AN98" s="8">
        <f>$U98</f>
        <v/>
      </c>
      <c r="AO98" s="8">
        <f>$AN98*IF($J98="INR",1,$AL98)</f>
        <v/>
      </c>
      <c r="AP98" s="18">
        <f>$AO98-$V98</f>
        <v/>
      </c>
      <c r="AQ98" s="8">
        <f>IF(ABS($AP98)&lt;=tol_trade_inr,"PASS","FAIL")</f>
        <v/>
      </c>
    </row>
    <row r="99">
      <c r="A99" s="11" t="n">
        <v>44638</v>
      </c>
      <c r="B99" s="7" t="inlineStr">
        <is>
          <t>T01</t>
        </is>
      </c>
      <c r="C99" s="7" t="inlineStr">
        <is>
          <t>PORT:L3</t>
        </is>
      </c>
      <c r="D99" s="7" t="inlineStr">
        <is>
          <t>PORT</t>
        </is>
      </c>
      <c r="E99" s="7" t="inlineStr">
        <is>
          <t>physical</t>
        </is>
      </c>
      <c r="F99" s="7" t="inlineStr">
        <is>
          <t>L3</t>
        </is>
      </c>
      <c r="H99" s="7" t="inlineStr">
        <is>
          <t>zorba</t>
        </is>
      </c>
      <c r="I99" s="7" t="inlineStr">
        <is>
          <t>USEC_MUN</t>
        </is>
      </c>
      <c r="J99" s="7" t="inlineStr">
        <is>
          <t>INR</t>
        </is>
      </c>
      <c r="K99" s="7" t="inlineStr">
        <is>
          <t>fixed_unsettled</t>
        </is>
      </c>
      <c r="L99" s="7" t="inlineStr">
        <is>
          <t>PNL</t>
        </is>
      </c>
      <c r="M99" s="11" t="n">
        <v>44708</v>
      </c>
      <c r="N99" s="13" t="n">
        <v>0</v>
      </c>
      <c r="O99" s="6" t="n">
        <v>0</v>
      </c>
      <c r="P99" s="13" t="n">
        <v>0</v>
      </c>
      <c r="Q99" s="22" t="n">
        <v>31</v>
      </c>
      <c r="R99" s="6" t="n">
        <v>1</v>
      </c>
      <c r="U99" s="9" t="n">
        <v>-2226000</v>
      </c>
      <c r="V99" s="9" t="n">
        <v>-2226000</v>
      </c>
      <c r="X99" s="9" t="n">
        <v>76.11060000000001</v>
      </c>
      <c r="AK99" s="7" t="inlineStr">
        <is>
          <t>PYTHON_LIFECYCLE</t>
        </is>
      </c>
      <c r="AL99" s="8">
        <f>IF($J99="INR",1,IF($M99&lt;$A99,INDEX(Market_Daily!$F$6:$F$256,MATCH($M99,Market_Daily!$A$6:$A$256,1)),IF($M99=$A99,INDEX(Market_Daily!$F$6:$F$256,MATCH($A99,Market_Daily!$A$6:$A$256,0)),(INDEX(Market_Daily!$F$6:$F$256,MATCH($A99,Market_Daily!$A$6:$A$256,0))*(1+INDEX(Market_Daily!$I$6:$I$256,MATCH($A99,Market_Daily!$A$6:$A$256,0))*($M99-$A99)/day_count_inr)/(1+INDEX(Market_Daily!$J$6:$J$256,MATCH($A99,Market_Daily!$A$6:$A$256,0))*($M99-$A99)/day_count_usd)))))</f>
        <v/>
      </c>
      <c r="AM99" s="8">
        <f>IF(OR($J99="INR",$R99&gt;1),"",$AL99-$X99)</f>
        <v/>
      </c>
      <c r="AN99" s="8">
        <f>$U99</f>
        <v/>
      </c>
      <c r="AO99" s="8">
        <f>$AN99*IF($J99="INR",1,$AL99)</f>
        <v/>
      </c>
      <c r="AP99" s="18">
        <f>$AO99-$V99</f>
        <v/>
      </c>
      <c r="AQ99" s="8">
        <f>IF(ABS($AP99)&lt;=tol_trade_inr,"PASS","FAIL")</f>
        <v/>
      </c>
    </row>
    <row r="100">
      <c r="A100" s="11" t="n">
        <v>44638</v>
      </c>
      <c r="B100" s="7" t="inlineStr">
        <is>
          <t>T01</t>
        </is>
      </c>
      <c r="C100" s="7" t="inlineStr">
        <is>
          <t>PURCHASE:L1</t>
        </is>
      </c>
      <c r="D100" s="7" t="inlineStr">
        <is>
          <t>PURCHASE</t>
        </is>
      </c>
      <c r="E100" s="7" t="inlineStr">
        <is>
          <t>physical</t>
        </is>
      </c>
      <c r="F100" s="7" t="inlineStr">
        <is>
          <t>L1</t>
        </is>
      </c>
      <c r="G100" s="7" t="inlineStr">
        <is>
          <t>SUP_USEC_01</t>
        </is>
      </c>
      <c r="H100" s="7" t="inlineStr">
        <is>
          <t>zorba</t>
        </is>
      </c>
      <c r="I100" s="7" t="inlineStr">
        <is>
          <t>USEC_MUN</t>
        </is>
      </c>
      <c r="J100" s="7" t="inlineStr">
        <is>
          <t>USD</t>
        </is>
      </c>
      <c r="K100" s="7" t="inlineStr">
        <is>
          <t>fixed_unsettled</t>
        </is>
      </c>
      <c r="L100" s="7" t="inlineStr">
        <is>
          <t>PNL</t>
        </is>
      </c>
      <c r="M100" s="11" t="n">
        <v>44656</v>
      </c>
      <c r="N100" s="13" t="n">
        <v>840</v>
      </c>
      <c r="O100" s="6" t="n">
        <v>0</v>
      </c>
      <c r="P100" s="13" t="n">
        <v>0</v>
      </c>
      <c r="Q100" s="22" t="n">
        <v>31</v>
      </c>
      <c r="R100" s="6" t="n">
        <v>1</v>
      </c>
      <c r="U100" s="9" t="n">
        <v>-1965600</v>
      </c>
      <c r="V100" s="9" t="n">
        <v>-149850822.88</v>
      </c>
      <c r="X100" s="9" t="n">
        <v>76.2367</v>
      </c>
      <c r="AK100" s="7" t="inlineStr">
        <is>
          <t>PYTHON_LIFECYCLE</t>
        </is>
      </c>
      <c r="AL100" s="8">
        <f>IF($J100="INR",1,IF($M100&lt;$A100,INDEX(Market_Daily!$F$6:$F$256,MATCH($M100,Market_Daily!$A$6:$A$256,1)),IF($M100=$A100,INDEX(Market_Daily!$F$6:$F$256,MATCH($A100,Market_Daily!$A$6:$A$256,0)),(INDEX(Market_Daily!$F$6:$F$256,MATCH($A100,Market_Daily!$A$6:$A$256,0))*(1+INDEX(Market_Daily!$I$6:$I$256,MATCH($A100,Market_Daily!$A$6:$A$256,0))*($M100-$A100)/day_count_inr)/(1+INDEX(Market_Daily!$J$6:$J$256,MATCH($A100,Market_Daily!$A$6:$A$256,0))*($M100-$A100)/day_count_usd)))))</f>
        <v/>
      </c>
      <c r="AM100" s="8">
        <f>IF(OR($J100="INR",$R100&gt;1),"",$AL100-$X100)</f>
        <v/>
      </c>
      <c r="AN100" s="8">
        <f>$U100</f>
        <v/>
      </c>
      <c r="AO100" s="8">
        <f>$AN100*IF($J100="INR",1,$AL100)</f>
        <v/>
      </c>
      <c r="AP100" s="18">
        <f>$AO100-$V100</f>
        <v/>
      </c>
      <c r="AQ100" s="8">
        <f>IF(ABS($AP100)&lt;=tol_trade_inr,"PASS","FAIL")</f>
        <v/>
      </c>
    </row>
    <row r="101">
      <c r="A101" s="11" t="n">
        <v>44638</v>
      </c>
      <c r="B101" s="7" t="inlineStr">
        <is>
          <t>T01</t>
        </is>
      </c>
      <c r="C101" s="7" t="inlineStr">
        <is>
          <t>PURCHASE:L2</t>
        </is>
      </c>
      <c r="D101" s="7" t="inlineStr">
        <is>
          <t>PURCHASE</t>
        </is>
      </c>
      <c r="E101" s="7" t="inlineStr">
        <is>
          <t>physical</t>
        </is>
      </c>
      <c r="F101" s="7" t="inlineStr">
        <is>
          <t>L2</t>
        </is>
      </c>
      <c r="G101" s="7" t="inlineStr">
        <is>
          <t>SUP_USEC_01</t>
        </is>
      </c>
      <c r="H101" s="7" t="inlineStr">
        <is>
          <t>zorba</t>
        </is>
      </c>
      <c r="I101" s="7" t="inlineStr">
        <is>
          <t>USEC_MUN</t>
        </is>
      </c>
      <c r="J101" s="7" t="inlineStr">
        <is>
          <t>USD</t>
        </is>
      </c>
      <c r="K101" s="7" t="inlineStr">
        <is>
          <t>fixed_unsettled</t>
        </is>
      </c>
      <c r="L101" s="7" t="inlineStr">
        <is>
          <t>PNL</t>
        </is>
      </c>
      <c r="M101" s="11" t="n">
        <v>44662</v>
      </c>
      <c r="N101" s="13" t="n">
        <v>840</v>
      </c>
      <c r="O101" s="6" t="n">
        <v>0</v>
      </c>
      <c r="P101" s="13" t="n">
        <v>0</v>
      </c>
      <c r="Q101" s="22" t="n">
        <v>31</v>
      </c>
      <c r="R101" s="6" t="n">
        <v>1</v>
      </c>
      <c r="U101" s="9" t="n">
        <v>-1965600</v>
      </c>
      <c r="V101" s="9" t="n">
        <v>-149933409.25</v>
      </c>
      <c r="X101" s="9" t="n">
        <v>76.2787</v>
      </c>
      <c r="AK101" s="7" t="inlineStr">
        <is>
          <t>PYTHON_LIFECYCLE</t>
        </is>
      </c>
      <c r="AL101" s="8">
        <f>IF($J101="INR",1,IF($M101&lt;$A101,INDEX(Market_Daily!$F$6:$F$256,MATCH($M101,Market_Daily!$A$6:$A$256,1)),IF($M101=$A101,INDEX(Market_Daily!$F$6:$F$256,MATCH($A101,Market_Daily!$A$6:$A$256,0)),(INDEX(Market_Daily!$F$6:$F$256,MATCH($A101,Market_Daily!$A$6:$A$256,0))*(1+INDEX(Market_Daily!$I$6:$I$256,MATCH($A101,Market_Daily!$A$6:$A$256,0))*($M101-$A101)/day_count_inr)/(1+INDEX(Market_Daily!$J$6:$J$256,MATCH($A101,Market_Daily!$A$6:$A$256,0))*($M101-$A101)/day_count_usd)))))</f>
        <v/>
      </c>
      <c r="AM101" s="8">
        <f>IF(OR($J101="INR",$R101&gt;1),"",$AL101-$X101)</f>
        <v/>
      </c>
      <c r="AN101" s="8">
        <f>$U101</f>
        <v/>
      </c>
      <c r="AO101" s="8">
        <f>$AN101*IF($J101="INR",1,$AL101)</f>
        <v/>
      </c>
      <c r="AP101" s="18">
        <f>$AO101-$V101</f>
        <v/>
      </c>
      <c r="AQ101" s="8">
        <f>IF(ABS($AP101)&lt;=tol_trade_inr,"PASS","FAIL")</f>
        <v/>
      </c>
    </row>
    <row r="102">
      <c r="A102" s="11" t="n">
        <v>44638</v>
      </c>
      <c r="B102" s="7" t="inlineStr">
        <is>
          <t>T01</t>
        </is>
      </c>
      <c r="C102" s="7" t="inlineStr">
        <is>
          <t>PURCHASE:L3</t>
        </is>
      </c>
      <c r="D102" s="7" t="inlineStr">
        <is>
          <t>PURCHASE</t>
        </is>
      </c>
      <c r="E102" s="7" t="inlineStr">
        <is>
          <t>physical</t>
        </is>
      </c>
      <c r="F102" s="7" t="inlineStr">
        <is>
          <t>L3</t>
        </is>
      </c>
      <c r="G102" s="7" t="inlineStr">
        <is>
          <t>SUP_USEC_01</t>
        </is>
      </c>
      <c r="H102" s="7" t="inlineStr">
        <is>
          <t>zorba</t>
        </is>
      </c>
      <c r="I102" s="7" t="inlineStr">
        <is>
          <t>USEC_MUN</t>
        </is>
      </c>
      <c r="J102" s="7" t="inlineStr">
        <is>
          <t>USD</t>
        </is>
      </c>
      <c r="K102" s="7" t="inlineStr">
        <is>
          <t>fixed_unsettled</t>
        </is>
      </c>
      <c r="L102" s="7" t="inlineStr">
        <is>
          <t>PNL</t>
        </is>
      </c>
      <c r="M102" s="11" t="n">
        <v>44665</v>
      </c>
      <c r="N102" s="13" t="n">
        <v>840</v>
      </c>
      <c r="O102" s="6" t="n">
        <v>0</v>
      </c>
      <c r="P102" s="13" t="n">
        <v>0</v>
      </c>
      <c r="Q102" s="22" t="n">
        <v>31</v>
      </c>
      <c r="R102" s="6" t="n">
        <v>1</v>
      </c>
      <c r="U102" s="9" t="n">
        <v>-1965600</v>
      </c>
      <c r="V102" s="9" t="n">
        <v>-149974698.15</v>
      </c>
      <c r="X102" s="9" t="n">
        <v>76.2997</v>
      </c>
      <c r="AK102" s="7" t="inlineStr">
        <is>
          <t>PYTHON_LIFECYCLE</t>
        </is>
      </c>
      <c r="AL102" s="8">
        <f>IF($J102="INR",1,IF($M102&lt;$A102,INDEX(Market_Daily!$F$6:$F$256,MATCH($M102,Market_Daily!$A$6:$A$256,1)),IF($M102=$A102,INDEX(Market_Daily!$F$6:$F$256,MATCH($A102,Market_Daily!$A$6:$A$256,0)),(INDEX(Market_Daily!$F$6:$F$256,MATCH($A102,Market_Daily!$A$6:$A$256,0))*(1+INDEX(Market_Daily!$I$6:$I$256,MATCH($A102,Market_Daily!$A$6:$A$256,0))*($M102-$A102)/day_count_inr)/(1+INDEX(Market_Daily!$J$6:$J$256,MATCH($A102,Market_Daily!$A$6:$A$256,0))*($M102-$A102)/day_count_usd)))))</f>
        <v/>
      </c>
      <c r="AM102" s="8">
        <f>IF(OR($J102="INR",$R102&gt;1),"",$AL102-$X102)</f>
        <v/>
      </c>
      <c r="AN102" s="8">
        <f>$U102</f>
        <v/>
      </c>
      <c r="AO102" s="8">
        <f>$AN102*IF($J102="INR",1,$AL102)</f>
        <v/>
      </c>
      <c r="AP102" s="18">
        <f>$AO102-$V102</f>
        <v/>
      </c>
      <c r="AQ102" s="8">
        <f>IF(ABS($AP102)&lt;=tol_trade_inr,"PASS","FAIL")</f>
        <v/>
      </c>
    </row>
    <row r="103">
      <c r="A103" s="11" t="n">
        <v>44638</v>
      </c>
      <c r="B103" s="7" t="inlineStr">
        <is>
          <t>T02</t>
        </is>
      </c>
      <c r="C103" s="7" t="inlineStr">
        <is>
          <t>BILL_COMMISSION:L1</t>
        </is>
      </c>
      <c r="D103" s="7" t="inlineStr">
        <is>
          <t>BILL_COMMISSION</t>
        </is>
      </c>
      <c r="E103" s="7" t="inlineStr">
        <is>
          <t>physical</t>
        </is>
      </c>
      <c r="F103" s="7" t="inlineStr">
        <is>
          <t>L1</t>
        </is>
      </c>
      <c r="H103" s="7" t="inlineStr">
        <is>
          <t>tense</t>
        </is>
      </c>
      <c r="I103" s="7" t="inlineStr">
        <is>
          <t>JEA_NSA</t>
        </is>
      </c>
      <c r="J103" s="7" t="inlineStr">
        <is>
          <t>USD</t>
        </is>
      </c>
      <c r="K103" s="7" t="inlineStr">
        <is>
          <t>floating</t>
        </is>
      </c>
      <c r="L103" s="7" t="inlineStr">
        <is>
          <t>PNL</t>
        </is>
      </c>
      <c r="M103" s="11" t="n">
        <v>44746</v>
      </c>
      <c r="N103" s="13" t="n">
        <v>0</v>
      </c>
      <c r="O103" s="6" t="n">
        <v>0</v>
      </c>
      <c r="P103" s="13" t="n">
        <v>0</v>
      </c>
      <c r="Q103" s="22" t="n">
        <v>31</v>
      </c>
      <c r="R103" s="6" t="n">
        <v>1</v>
      </c>
      <c r="U103" s="9" t="n">
        <v>-1476.89</v>
      </c>
      <c r="V103" s="9" t="n">
        <v>-113522.94</v>
      </c>
      <c r="X103" s="9" t="n">
        <v>76.8663</v>
      </c>
      <c r="AK103" s="7" t="inlineStr">
        <is>
          <t>PYTHON_LIFECYCLE</t>
        </is>
      </c>
      <c r="AL103" s="8">
        <f>IF($J103="INR",1,IF($M103&lt;$A103,INDEX(Market_Daily!$F$6:$F$256,MATCH($M103,Market_Daily!$A$6:$A$256,1)),IF($M103=$A103,INDEX(Market_Daily!$F$6:$F$256,MATCH($A103,Market_Daily!$A$6:$A$256,0)),(INDEX(Market_Daily!$F$6:$F$256,MATCH($A103,Market_Daily!$A$6:$A$256,0))*(1+INDEX(Market_Daily!$I$6:$I$256,MATCH($A103,Market_Daily!$A$6:$A$256,0))*($M103-$A103)/day_count_inr)/(1+INDEX(Market_Daily!$J$6:$J$256,MATCH($A103,Market_Daily!$A$6:$A$256,0))*($M103-$A103)/day_count_usd)))))</f>
        <v/>
      </c>
      <c r="AM103" s="8">
        <f>IF(OR($J103="INR",$R103&gt;1),"",$AL103-$X103)</f>
        <v/>
      </c>
      <c r="AN103" s="8">
        <f>$U103</f>
        <v/>
      </c>
      <c r="AO103" s="8">
        <f>$AN103*IF($J103="INR",1,$AL103)</f>
        <v/>
      </c>
      <c r="AP103" s="18">
        <f>$AO103-$V103</f>
        <v/>
      </c>
      <c r="AQ103" s="8">
        <f>IF(ABS($AP103)&lt;=tol_trade_inr,"PASS","FAIL")</f>
        <v/>
      </c>
    </row>
    <row r="104">
      <c r="A104" s="11" t="n">
        <v>44638</v>
      </c>
      <c r="B104" s="7" t="inlineStr">
        <is>
          <t>T02</t>
        </is>
      </c>
      <c r="C104" s="7" t="inlineStr">
        <is>
          <t>BILL_COMMISSION:L2</t>
        </is>
      </c>
      <c r="D104" s="7" t="inlineStr">
        <is>
          <t>BILL_COMMISSION</t>
        </is>
      </c>
      <c r="E104" s="7" t="inlineStr">
        <is>
          <t>physical</t>
        </is>
      </c>
      <c r="F104" s="7" t="inlineStr">
        <is>
          <t>L2</t>
        </is>
      </c>
      <c r="H104" s="7" t="inlineStr">
        <is>
          <t>tense</t>
        </is>
      </c>
      <c r="I104" s="7" t="inlineStr">
        <is>
          <t>JEA_NSA</t>
        </is>
      </c>
      <c r="J104" s="7" t="inlineStr">
        <is>
          <t>USD</t>
        </is>
      </c>
      <c r="K104" s="7" t="inlineStr">
        <is>
          <t>floating</t>
        </is>
      </c>
      <c r="L104" s="7" t="inlineStr">
        <is>
          <t>PNL</t>
        </is>
      </c>
      <c r="M104" s="11" t="n">
        <v>44754</v>
      </c>
      <c r="N104" s="13" t="n">
        <v>0</v>
      </c>
      <c r="O104" s="6" t="n">
        <v>0</v>
      </c>
      <c r="P104" s="13" t="n">
        <v>0</v>
      </c>
      <c r="Q104" s="22" t="n">
        <v>31</v>
      </c>
      <c r="R104" s="6" t="n">
        <v>1</v>
      </c>
      <c r="U104" s="9" t="n">
        <v>-1477.63</v>
      </c>
      <c r="V104" s="9" t="n">
        <v>-113662.42</v>
      </c>
      <c r="X104" s="9" t="n">
        <v>76.9222</v>
      </c>
      <c r="AK104" s="7" t="inlineStr">
        <is>
          <t>PYTHON_LIFECYCLE</t>
        </is>
      </c>
      <c r="AL104" s="8">
        <f>IF($J104="INR",1,IF($M104&lt;$A104,INDEX(Market_Daily!$F$6:$F$256,MATCH($M104,Market_Daily!$A$6:$A$256,1)),IF($M104=$A104,INDEX(Market_Daily!$F$6:$F$256,MATCH($A104,Market_Daily!$A$6:$A$256,0)),(INDEX(Market_Daily!$F$6:$F$256,MATCH($A104,Market_Daily!$A$6:$A$256,0))*(1+INDEX(Market_Daily!$I$6:$I$256,MATCH($A104,Market_Daily!$A$6:$A$256,0))*($M104-$A104)/day_count_inr)/(1+INDEX(Market_Daily!$J$6:$J$256,MATCH($A104,Market_Daily!$A$6:$A$256,0))*($M104-$A104)/day_count_usd)))))</f>
        <v/>
      </c>
      <c r="AM104" s="8">
        <f>IF(OR($J104="INR",$R104&gt;1),"",$AL104-$X104)</f>
        <v/>
      </c>
      <c r="AN104" s="8">
        <f>$U104</f>
        <v/>
      </c>
      <c r="AO104" s="8">
        <f>$AN104*IF($J104="INR",1,$AL104)</f>
        <v/>
      </c>
      <c r="AP104" s="18">
        <f>$AO104-$V104</f>
        <v/>
      </c>
      <c r="AQ104" s="8">
        <f>IF(ABS($AP104)&lt;=tol_trade_inr,"PASS","FAIL")</f>
        <v/>
      </c>
    </row>
    <row r="105">
      <c r="A105" s="11" t="n">
        <v>44638</v>
      </c>
      <c r="B105" s="7" t="inlineStr">
        <is>
          <t>T02</t>
        </is>
      </c>
      <c r="C105" s="7" t="inlineStr">
        <is>
          <t>DUTY:L1</t>
        </is>
      </c>
      <c r="D105" s="7" t="inlineStr">
        <is>
          <t>DUTY</t>
        </is>
      </c>
      <c r="E105" s="7" t="inlineStr">
        <is>
          <t>physical</t>
        </is>
      </c>
      <c r="F105" s="7" t="inlineStr">
        <is>
          <t>L1</t>
        </is>
      </c>
      <c r="H105" s="7" t="inlineStr">
        <is>
          <t>tense</t>
        </is>
      </c>
      <c r="I105" s="7" t="inlineStr">
        <is>
          <t>JEA_NSA</t>
        </is>
      </c>
      <c r="J105" s="7" t="inlineStr">
        <is>
          <t>INR</t>
        </is>
      </c>
      <c r="K105" s="7" t="inlineStr">
        <is>
          <t>floating</t>
        </is>
      </c>
      <c r="L105" s="7" t="inlineStr">
        <is>
          <t>PNL</t>
        </is>
      </c>
      <c r="M105" s="11" t="n">
        <v>44721</v>
      </c>
      <c r="N105" s="13" t="n">
        <v>600</v>
      </c>
      <c r="O105" s="6" t="n">
        <v>0</v>
      </c>
      <c r="P105" s="13" t="n">
        <v>0</v>
      </c>
      <c r="Q105" s="22" t="n">
        <v>31</v>
      </c>
      <c r="R105" s="6" t="n">
        <v>2</v>
      </c>
      <c r="U105" s="9" t="n">
        <v>-2749854.87</v>
      </c>
      <c r="V105" s="9" t="n">
        <v>-2749854.87</v>
      </c>
      <c r="X105" s="9" t="n">
        <v>76.11060000000001</v>
      </c>
      <c r="AK105" s="7" t="inlineStr">
        <is>
          <t>PYTHON_MULTI_FLOW_LEG</t>
        </is>
      </c>
      <c r="AL105" s="8">
        <f>IF($J105="INR",1,IF($M105&lt;$A105,INDEX(Market_Daily!$F$6:$F$256,MATCH($M105,Market_Daily!$A$6:$A$256,1)),IF($M105=$A105,INDEX(Market_Daily!$F$6:$F$256,MATCH($A105,Market_Daily!$A$6:$A$256,0)),(INDEX(Market_Daily!$F$6:$F$256,MATCH($A105,Market_Daily!$A$6:$A$256,0))*(1+INDEX(Market_Daily!$I$6:$I$256,MATCH($A105,Market_Daily!$A$6:$A$256,0))*($M105-$A105)/day_count_inr)/(1+INDEX(Market_Daily!$J$6:$J$256,MATCH($A105,Market_Daily!$A$6:$A$256,0))*($M105-$A105)/day_count_usd)))))</f>
        <v/>
      </c>
      <c r="AM105" s="8">
        <f>IF(OR($J105="INR",$R105&gt;1),"",$AL105-$X105)</f>
        <v/>
      </c>
      <c r="AN105" s="8">
        <f>$U105</f>
        <v/>
      </c>
      <c r="AO105" s="8">
        <f>$V105</f>
        <v/>
      </c>
      <c r="AP105" s="18">
        <f>$AO105-$V105</f>
        <v/>
      </c>
      <c r="AQ105" s="8">
        <f>IF(ABS($AP105)&lt;=tol_trade_inr,"PASS","FAIL")</f>
        <v/>
      </c>
    </row>
    <row r="106">
      <c r="A106" s="11" t="n">
        <v>44638</v>
      </c>
      <c r="B106" s="7" t="inlineStr">
        <is>
          <t>T02</t>
        </is>
      </c>
      <c r="C106" s="7" t="inlineStr">
        <is>
          <t>DUTY:L2</t>
        </is>
      </c>
      <c r="D106" s="7" t="inlineStr">
        <is>
          <t>DUTY</t>
        </is>
      </c>
      <c r="E106" s="7" t="inlineStr">
        <is>
          <t>physical</t>
        </is>
      </c>
      <c r="F106" s="7" t="inlineStr">
        <is>
          <t>L2</t>
        </is>
      </c>
      <c r="H106" s="7" t="inlineStr">
        <is>
          <t>tense</t>
        </is>
      </c>
      <c r="I106" s="7" t="inlineStr">
        <is>
          <t>JEA_NSA</t>
        </is>
      </c>
      <c r="J106" s="7" t="inlineStr">
        <is>
          <t>INR</t>
        </is>
      </c>
      <c r="K106" s="7" t="inlineStr">
        <is>
          <t>floating</t>
        </is>
      </c>
      <c r="L106" s="7" t="inlineStr">
        <is>
          <t>PNL</t>
        </is>
      </c>
      <c r="M106" s="11" t="n">
        <v>44721</v>
      </c>
      <c r="N106" s="13" t="n">
        <v>600</v>
      </c>
      <c r="O106" s="6" t="n">
        <v>0</v>
      </c>
      <c r="P106" s="13" t="n">
        <v>0</v>
      </c>
      <c r="Q106" s="22" t="n">
        <v>31</v>
      </c>
      <c r="R106" s="6" t="n">
        <v>2</v>
      </c>
      <c r="U106" s="9" t="n">
        <v>-2749854.87</v>
      </c>
      <c r="V106" s="9" t="n">
        <v>-2749854.87</v>
      </c>
      <c r="X106" s="9" t="n">
        <v>76.11060000000001</v>
      </c>
      <c r="AK106" s="7" t="inlineStr">
        <is>
          <t>PYTHON_MULTI_FLOW_LEG</t>
        </is>
      </c>
      <c r="AL106" s="8">
        <f>IF($J106="INR",1,IF($M106&lt;$A106,INDEX(Market_Daily!$F$6:$F$256,MATCH($M106,Market_Daily!$A$6:$A$256,1)),IF($M106=$A106,INDEX(Market_Daily!$F$6:$F$256,MATCH($A106,Market_Daily!$A$6:$A$256,0)),(INDEX(Market_Daily!$F$6:$F$256,MATCH($A106,Market_Daily!$A$6:$A$256,0))*(1+INDEX(Market_Daily!$I$6:$I$256,MATCH($A106,Market_Daily!$A$6:$A$256,0))*($M106-$A106)/day_count_inr)/(1+INDEX(Market_Daily!$J$6:$J$256,MATCH($A106,Market_Daily!$A$6:$A$256,0))*($M106-$A106)/day_count_usd)))))</f>
        <v/>
      </c>
      <c r="AM106" s="8">
        <f>IF(OR($J106="INR",$R106&gt;1),"",$AL106-$X106)</f>
        <v/>
      </c>
      <c r="AN106" s="8">
        <f>$U106</f>
        <v/>
      </c>
      <c r="AO106" s="8">
        <f>$V106</f>
        <v/>
      </c>
      <c r="AP106" s="18">
        <f>$AO106-$V106</f>
        <v/>
      </c>
      <c r="AQ106" s="8">
        <f>IF(ABS($AP106)&lt;=tol_trade_inr,"PASS","FAIL")</f>
        <v/>
      </c>
    </row>
    <row r="107">
      <c r="A107" s="11" t="n">
        <v>44638</v>
      </c>
      <c r="B107" s="7" t="inlineStr">
        <is>
          <t>T02</t>
        </is>
      </c>
      <c r="C107" s="7" t="inlineStr">
        <is>
          <t>IGST:L1</t>
        </is>
      </c>
      <c r="D107" s="7" t="inlineStr">
        <is>
          <t>IGST</t>
        </is>
      </c>
      <c r="E107" s="7" t="inlineStr">
        <is>
          <t>physical</t>
        </is>
      </c>
      <c r="F107" s="7" t="inlineStr">
        <is>
          <t>L1</t>
        </is>
      </c>
      <c r="H107" s="7" t="inlineStr">
        <is>
          <t>tense</t>
        </is>
      </c>
      <c r="I107" s="7" t="inlineStr">
        <is>
          <t>JEA_NSA</t>
        </is>
      </c>
      <c r="J107" s="7" t="inlineStr">
        <is>
          <t>INR</t>
        </is>
      </c>
      <c r="K107" s="7" t="inlineStr">
        <is>
          <t>floating</t>
        </is>
      </c>
      <c r="L107" s="7" t="inlineStr">
        <is>
          <t>BS</t>
        </is>
      </c>
      <c r="M107" s="11" t="n">
        <v>44707</v>
      </c>
      <c r="N107" s="13" t="n">
        <v>0</v>
      </c>
      <c r="O107" s="6" t="n">
        <v>0</v>
      </c>
      <c r="P107" s="13" t="n">
        <v>0</v>
      </c>
      <c r="Q107" s="22" t="n">
        <v>31</v>
      </c>
      <c r="R107" s="6" t="n">
        <v>2</v>
      </c>
      <c r="U107" s="9" t="n">
        <v>0</v>
      </c>
      <c r="V107" s="9" t="n">
        <v>0</v>
      </c>
      <c r="X107" s="9" t="n">
        <v>76.11060000000001</v>
      </c>
      <c r="AK107" s="7" t="inlineStr">
        <is>
          <t>PYTHON_MULTI_FLOW_LEG</t>
        </is>
      </c>
      <c r="AL107" s="8">
        <f>IF($J107="INR",1,IF($M107&lt;$A107,INDEX(Market_Daily!$F$6:$F$256,MATCH($M107,Market_Daily!$A$6:$A$256,1)),IF($M107=$A107,INDEX(Market_Daily!$F$6:$F$256,MATCH($A107,Market_Daily!$A$6:$A$256,0)),(INDEX(Market_Daily!$F$6:$F$256,MATCH($A107,Market_Daily!$A$6:$A$256,0))*(1+INDEX(Market_Daily!$I$6:$I$256,MATCH($A107,Market_Daily!$A$6:$A$256,0))*($M107-$A107)/day_count_inr)/(1+INDEX(Market_Daily!$J$6:$J$256,MATCH($A107,Market_Daily!$A$6:$A$256,0))*($M107-$A107)/day_count_usd)))))</f>
        <v/>
      </c>
      <c r="AM107" s="8">
        <f>IF(OR($J107="INR",$R107&gt;1),"",$AL107-$X107)</f>
        <v/>
      </c>
      <c r="AN107" s="8">
        <f>$U107</f>
        <v/>
      </c>
      <c r="AO107" s="8">
        <f>$V107</f>
        <v/>
      </c>
      <c r="AP107" s="18">
        <f>$AO107-$V107</f>
        <v/>
      </c>
      <c r="AQ107" s="8">
        <f>IF(ABS($AP107)&lt;=tol_trade_inr,"PASS","FAIL")</f>
        <v/>
      </c>
    </row>
    <row r="108">
      <c r="A108" s="11" t="n">
        <v>44638</v>
      </c>
      <c r="B108" s="7" t="inlineStr">
        <is>
          <t>T02</t>
        </is>
      </c>
      <c r="C108" s="7" t="inlineStr">
        <is>
          <t>IGST:L2</t>
        </is>
      </c>
      <c r="D108" s="7" t="inlineStr">
        <is>
          <t>IGST</t>
        </is>
      </c>
      <c r="E108" s="7" t="inlineStr">
        <is>
          <t>physical</t>
        </is>
      </c>
      <c r="F108" s="7" t="inlineStr">
        <is>
          <t>L2</t>
        </is>
      </c>
      <c r="H108" s="7" t="inlineStr">
        <is>
          <t>tense</t>
        </is>
      </c>
      <c r="I108" s="7" t="inlineStr">
        <is>
          <t>JEA_NSA</t>
        </is>
      </c>
      <c r="J108" s="7" t="inlineStr">
        <is>
          <t>INR</t>
        </is>
      </c>
      <c r="K108" s="7" t="inlineStr">
        <is>
          <t>floating</t>
        </is>
      </c>
      <c r="L108" s="7" t="inlineStr">
        <is>
          <t>BS</t>
        </is>
      </c>
      <c r="M108" s="11" t="n">
        <v>44718</v>
      </c>
      <c r="N108" s="13" t="n">
        <v>0</v>
      </c>
      <c r="O108" s="6" t="n">
        <v>0</v>
      </c>
      <c r="P108" s="13" t="n">
        <v>0</v>
      </c>
      <c r="Q108" s="22" t="n">
        <v>31</v>
      </c>
      <c r="R108" s="6" t="n">
        <v>2</v>
      </c>
      <c r="U108" s="9" t="n">
        <v>0</v>
      </c>
      <c r="V108" s="9" t="n">
        <v>0</v>
      </c>
      <c r="X108" s="9" t="n">
        <v>76.11060000000001</v>
      </c>
      <c r="AK108" s="7" t="inlineStr">
        <is>
          <t>PYTHON_MULTI_FLOW_LEG</t>
        </is>
      </c>
      <c r="AL108" s="8">
        <f>IF($J108="INR",1,IF($M108&lt;$A108,INDEX(Market_Daily!$F$6:$F$256,MATCH($M108,Market_Daily!$A$6:$A$256,1)),IF($M108=$A108,INDEX(Market_Daily!$F$6:$F$256,MATCH($A108,Market_Daily!$A$6:$A$256,0)),(INDEX(Market_Daily!$F$6:$F$256,MATCH($A108,Market_Daily!$A$6:$A$256,0))*(1+INDEX(Market_Daily!$I$6:$I$256,MATCH($A108,Market_Daily!$A$6:$A$256,0))*($M108-$A108)/day_count_inr)/(1+INDEX(Market_Daily!$J$6:$J$256,MATCH($A108,Market_Daily!$A$6:$A$256,0))*($M108-$A108)/day_count_usd)))))</f>
        <v/>
      </c>
      <c r="AM108" s="8">
        <f>IF(OR($J108="INR",$R108&gt;1),"",$AL108-$X108)</f>
        <v/>
      </c>
      <c r="AN108" s="8">
        <f>$U108</f>
        <v/>
      </c>
      <c r="AO108" s="8">
        <f>$V108</f>
        <v/>
      </c>
      <c r="AP108" s="18">
        <f>$AO108-$V108</f>
        <v/>
      </c>
      <c r="AQ108" s="8">
        <f>IF(ABS($AP108)&lt;=tol_trade_inr,"PASS","FAIL")</f>
        <v/>
      </c>
    </row>
    <row r="109">
      <c r="A109" s="11" t="n">
        <v>44638</v>
      </c>
      <c r="B109" s="7" t="inlineStr">
        <is>
          <t>T02</t>
        </is>
      </c>
      <c r="C109" s="7" t="inlineStr">
        <is>
          <t>INSURANCE:L1</t>
        </is>
      </c>
      <c r="D109" s="7" t="inlineStr">
        <is>
          <t>INSURANCE</t>
        </is>
      </c>
      <c r="E109" s="7" t="inlineStr">
        <is>
          <t>physical</t>
        </is>
      </c>
      <c r="F109" s="7" t="inlineStr">
        <is>
          <t>L1</t>
        </is>
      </c>
      <c r="H109" s="7" t="inlineStr">
        <is>
          <t>tense</t>
        </is>
      </c>
      <c r="I109" s="7" t="inlineStr">
        <is>
          <t>JEA_NSA</t>
        </is>
      </c>
      <c r="J109" s="7" t="inlineStr">
        <is>
          <t>USD</t>
        </is>
      </c>
      <c r="K109" s="7" t="inlineStr">
        <is>
          <t>floating</t>
        </is>
      </c>
      <c r="L109" s="7" t="inlineStr">
        <is>
          <t>PNL</t>
        </is>
      </c>
      <c r="M109" s="11" t="n">
        <v>44656</v>
      </c>
      <c r="N109" s="13" t="n">
        <v>600</v>
      </c>
      <c r="O109" s="6" t="n">
        <v>0</v>
      </c>
      <c r="P109" s="13" t="n">
        <v>0</v>
      </c>
      <c r="Q109" s="22" t="n">
        <v>31</v>
      </c>
      <c r="R109" s="6" t="n">
        <v>1</v>
      </c>
      <c r="U109" s="9" t="n">
        <v>-1425.07</v>
      </c>
      <c r="V109" s="9" t="n">
        <v>-108642.41</v>
      </c>
      <c r="X109" s="9" t="n">
        <v>76.2367</v>
      </c>
      <c r="AK109" s="7" t="inlineStr">
        <is>
          <t>PYTHON_LIFECYCLE</t>
        </is>
      </c>
      <c r="AL109" s="8">
        <f>IF($J109="INR",1,IF($M109&lt;$A109,INDEX(Market_Daily!$F$6:$F$256,MATCH($M109,Market_Daily!$A$6:$A$256,1)),IF($M109=$A109,INDEX(Market_Daily!$F$6:$F$256,MATCH($A109,Market_Daily!$A$6:$A$256,0)),(INDEX(Market_Daily!$F$6:$F$256,MATCH($A109,Market_Daily!$A$6:$A$256,0))*(1+INDEX(Market_Daily!$I$6:$I$256,MATCH($A109,Market_Daily!$A$6:$A$256,0))*($M109-$A109)/day_count_inr)/(1+INDEX(Market_Daily!$J$6:$J$256,MATCH($A109,Market_Daily!$A$6:$A$256,0))*($M109-$A109)/day_count_usd)))))</f>
        <v/>
      </c>
      <c r="AM109" s="8">
        <f>IF(OR($J109="INR",$R109&gt;1),"",$AL109-$X109)</f>
        <v/>
      </c>
      <c r="AN109" s="8">
        <f>$U109</f>
        <v/>
      </c>
      <c r="AO109" s="8">
        <f>$AN109*IF($J109="INR",1,$AL109)</f>
        <v/>
      </c>
      <c r="AP109" s="18">
        <f>$AO109-$V109</f>
        <v/>
      </c>
      <c r="AQ109" s="8">
        <f>IF(ABS($AP109)&lt;=tol_trade_inr,"PASS","FAIL")</f>
        <v/>
      </c>
    </row>
    <row r="110">
      <c r="A110" s="11" t="n">
        <v>44638</v>
      </c>
      <c r="B110" s="7" t="inlineStr">
        <is>
          <t>T02</t>
        </is>
      </c>
      <c r="C110" s="7" t="inlineStr">
        <is>
          <t>INSURANCE:L2</t>
        </is>
      </c>
      <c r="D110" s="7" t="inlineStr">
        <is>
          <t>INSURANCE</t>
        </is>
      </c>
      <c r="E110" s="7" t="inlineStr">
        <is>
          <t>physical</t>
        </is>
      </c>
      <c r="F110" s="7" t="inlineStr">
        <is>
          <t>L2</t>
        </is>
      </c>
      <c r="H110" s="7" t="inlineStr">
        <is>
          <t>tense</t>
        </is>
      </c>
      <c r="I110" s="7" t="inlineStr">
        <is>
          <t>JEA_NSA</t>
        </is>
      </c>
      <c r="J110" s="7" t="inlineStr">
        <is>
          <t>USD</t>
        </is>
      </c>
      <c r="K110" s="7" t="inlineStr">
        <is>
          <t>floating</t>
        </is>
      </c>
      <c r="L110" s="7" t="inlineStr">
        <is>
          <t>PNL</t>
        </is>
      </c>
      <c r="M110" s="11" t="n">
        <v>44664</v>
      </c>
      <c r="N110" s="13" t="n">
        <v>600</v>
      </c>
      <c r="O110" s="6" t="n">
        <v>0</v>
      </c>
      <c r="P110" s="13" t="n">
        <v>0</v>
      </c>
      <c r="Q110" s="22" t="n">
        <v>31</v>
      </c>
      <c r="R110" s="6" t="n">
        <v>1</v>
      </c>
      <c r="U110" s="9" t="n">
        <v>-1425.78</v>
      </c>
      <c r="V110" s="9" t="n">
        <v>-108776.72</v>
      </c>
      <c r="X110" s="9" t="n">
        <v>76.2927</v>
      </c>
      <c r="AK110" s="7" t="inlineStr">
        <is>
          <t>PYTHON_LIFECYCLE</t>
        </is>
      </c>
      <c r="AL110" s="8">
        <f>IF($J110="INR",1,IF($M110&lt;$A110,INDEX(Market_Daily!$F$6:$F$256,MATCH($M110,Market_Daily!$A$6:$A$256,1)),IF($M110=$A110,INDEX(Market_Daily!$F$6:$F$256,MATCH($A110,Market_Daily!$A$6:$A$256,0)),(INDEX(Market_Daily!$F$6:$F$256,MATCH($A110,Market_Daily!$A$6:$A$256,0))*(1+INDEX(Market_Daily!$I$6:$I$256,MATCH($A110,Market_Daily!$A$6:$A$256,0))*($M110-$A110)/day_count_inr)/(1+INDEX(Market_Daily!$J$6:$J$256,MATCH($A110,Market_Daily!$A$6:$A$256,0))*($M110-$A110)/day_count_usd)))))</f>
        <v/>
      </c>
      <c r="AM110" s="8">
        <f>IF(OR($J110="INR",$R110&gt;1),"",$AL110-$X110)</f>
        <v/>
      </c>
      <c r="AN110" s="8">
        <f>$U110</f>
        <v/>
      </c>
      <c r="AO110" s="8">
        <f>$AN110*IF($J110="INR",1,$AL110)</f>
        <v/>
      </c>
      <c r="AP110" s="18">
        <f>$AO110-$V110</f>
        <v/>
      </c>
      <c r="AQ110" s="8">
        <f>IF(ABS($AP110)&lt;=tol_trade_inr,"PASS","FAIL")</f>
        <v/>
      </c>
    </row>
    <row r="111">
      <c r="A111" s="11" t="n">
        <v>44638</v>
      </c>
      <c r="B111" s="7" t="inlineStr">
        <is>
          <t>T02</t>
        </is>
      </c>
      <c r="C111" s="7" t="inlineStr">
        <is>
          <t>LC_USANCE_FEE:L1</t>
        </is>
      </c>
      <c r="D111" s="7" t="inlineStr">
        <is>
          <t>LC_USANCE_FEE</t>
        </is>
      </c>
      <c r="E111" s="7" t="inlineStr">
        <is>
          <t>physical</t>
        </is>
      </c>
      <c r="F111" s="7" t="inlineStr">
        <is>
          <t>L1</t>
        </is>
      </c>
      <c r="H111" s="7" t="inlineStr">
        <is>
          <t>tense</t>
        </is>
      </c>
      <c r="I111" s="7" t="inlineStr">
        <is>
          <t>JEA_NSA</t>
        </is>
      </c>
      <c r="J111" s="7" t="inlineStr">
        <is>
          <t>USD</t>
        </is>
      </c>
      <c r="K111" s="7" t="inlineStr">
        <is>
          <t>floating</t>
        </is>
      </c>
      <c r="L111" s="7" t="inlineStr">
        <is>
          <t>PNL</t>
        </is>
      </c>
      <c r="M111" s="11" t="n">
        <v>44663</v>
      </c>
      <c r="N111" s="13" t="n">
        <v>0</v>
      </c>
      <c r="O111" s="6" t="n">
        <v>0</v>
      </c>
      <c r="P111" s="13" t="n">
        <v>0</v>
      </c>
      <c r="Q111" s="22" t="n">
        <v>31</v>
      </c>
      <c r="R111" s="6" t="n">
        <v>1</v>
      </c>
      <c r="U111" s="9" t="n">
        <v>-2584.55</v>
      </c>
      <c r="V111" s="9" t="n">
        <v>-197164.52</v>
      </c>
      <c r="X111" s="9" t="n">
        <v>76.28570000000001</v>
      </c>
      <c r="AK111" s="7" t="inlineStr">
        <is>
          <t>PYTHON_LIFECYCLE</t>
        </is>
      </c>
      <c r="AL111" s="8">
        <f>IF($J111="INR",1,IF($M111&lt;$A111,INDEX(Market_Daily!$F$6:$F$256,MATCH($M111,Market_Daily!$A$6:$A$256,1)),IF($M111=$A111,INDEX(Market_Daily!$F$6:$F$256,MATCH($A111,Market_Daily!$A$6:$A$256,0)),(INDEX(Market_Daily!$F$6:$F$256,MATCH($A111,Market_Daily!$A$6:$A$256,0))*(1+INDEX(Market_Daily!$I$6:$I$256,MATCH($A111,Market_Daily!$A$6:$A$256,0))*($M111-$A111)/day_count_inr)/(1+INDEX(Market_Daily!$J$6:$J$256,MATCH($A111,Market_Daily!$A$6:$A$256,0))*($M111-$A111)/day_count_usd)))))</f>
        <v/>
      </c>
      <c r="AM111" s="8">
        <f>IF(OR($J111="INR",$R111&gt;1),"",$AL111-$X111)</f>
        <v/>
      </c>
      <c r="AN111" s="8">
        <f>$U111</f>
        <v/>
      </c>
      <c r="AO111" s="8">
        <f>$AN111*IF($J111="INR",1,$AL111)</f>
        <v/>
      </c>
      <c r="AP111" s="18">
        <f>$AO111-$V111</f>
        <v/>
      </c>
      <c r="AQ111" s="8">
        <f>IF(ABS($AP111)&lt;=tol_trade_inr,"PASS","FAIL")</f>
        <v/>
      </c>
    </row>
    <row r="112">
      <c r="A112" s="11" t="n">
        <v>44638</v>
      </c>
      <c r="B112" s="7" t="inlineStr">
        <is>
          <t>T02</t>
        </is>
      </c>
      <c r="C112" s="7" t="inlineStr">
        <is>
          <t>LC_USANCE_FEE:L2</t>
        </is>
      </c>
      <c r="D112" s="7" t="inlineStr">
        <is>
          <t>LC_USANCE_FEE</t>
        </is>
      </c>
      <c r="E112" s="7" t="inlineStr">
        <is>
          <t>physical</t>
        </is>
      </c>
      <c r="F112" s="7" t="inlineStr">
        <is>
          <t>L2</t>
        </is>
      </c>
      <c r="H112" s="7" t="inlineStr">
        <is>
          <t>tense</t>
        </is>
      </c>
      <c r="I112" s="7" t="inlineStr">
        <is>
          <t>JEA_NSA</t>
        </is>
      </c>
      <c r="J112" s="7" t="inlineStr">
        <is>
          <t>USD</t>
        </is>
      </c>
      <c r="K112" s="7" t="inlineStr">
        <is>
          <t>floating</t>
        </is>
      </c>
      <c r="L112" s="7" t="inlineStr">
        <is>
          <t>PNL</t>
        </is>
      </c>
      <c r="M112" s="11" t="n">
        <v>44671</v>
      </c>
      <c r="N112" s="13" t="n">
        <v>0</v>
      </c>
      <c r="O112" s="6" t="n">
        <v>0</v>
      </c>
      <c r="P112" s="13" t="n">
        <v>0</v>
      </c>
      <c r="Q112" s="22" t="n">
        <v>31</v>
      </c>
      <c r="R112" s="6" t="n">
        <v>1</v>
      </c>
      <c r="U112" s="9" t="n">
        <v>-2585.85</v>
      </c>
      <c r="V112" s="9" t="n">
        <v>-197408.14</v>
      </c>
      <c r="X112" s="9" t="n">
        <v>76.3417</v>
      </c>
      <c r="AK112" s="7" t="inlineStr">
        <is>
          <t>PYTHON_LIFECYCLE</t>
        </is>
      </c>
      <c r="AL112" s="8">
        <f>IF($J112="INR",1,IF($M112&lt;$A112,INDEX(Market_Daily!$F$6:$F$256,MATCH($M112,Market_Daily!$A$6:$A$256,1)),IF($M112=$A112,INDEX(Market_Daily!$F$6:$F$256,MATCH($A112,Market_Daily!$A$6:$A$256,0)),(INDEX(Market_Daily!$F$6:$F$256,MATCH($A112,Market_Daily!$A$6:$A$256,0))*(1+INDEX(Market_Daily!$I$6:$I$256,MATCH($A112,Market_Daily!$A$6:$A$256,0))*($M112-$A112)/day_count_inr)/(1+INDEX(Market_Daily!$J$6:$J$256,MATCH($A112,Market_Daily!$A$6:$A$256,0))*($M112-$A112)/day_count_usd)))))</f>
        <v/>
      </c>
      <c r="AM112" s="8">
        <f>IF(OR($J112="INR",$R112&gt;1),"",$AL112-$X112)</f>
        <v/>
      </c>
      <c r="AN112" s="8">
        <f>$U112</f>
        <v/>
      </c>
      <c r="AO112" s="8">
        <f>$AN112*IF($J112="INR",1,$AL112)</f>
        <v/>
      </c>
      <c r="AP112" s="18">
        <f>$AO112-$V112</f>
        <v/>
      </c>
      <c r="AQ112" s="8">
        <f>IF(ABS($AP112)&lt;=tol_trade_inr,"PASS","FAIL")</f>
        <v/>
      </c>
    </row>
    <row r="113">
      <c r="A113" s="11" t="n">
        <v>44638</v>
      </c>
      <c r="B113" s="7" t="inlineStr">
        <is>
          <t>T02</t>
        </is>
      </c>
      <c r="C113" s="7" t="inlineStr">
        <is>
          <t>MCX:T02-MCX-1</t>
        </is>
      </c>
      <c r="D113" s="7" t="inlineStr">
        <is>
          <t>MCX</t>
        </is>
      </c>
      <c r="E113" s="7" t="inlineStr">
        <is>
          <t>mcx</t>
        </is>
      </c>
      <c r="H113" s="7" t="inlineStr">
        <is>
          <t>tense</t>
        </is>
      </c>
      <c r="I113" s="7" t="inlineStr">
        <is>
          <t>JEA_NSA</t>
        </is>
      </c>
      <c r="J113" s="7" t="inlineStr">
        <is>
          <t>INR</t>
        </is>
      </c>
      <c r="K113" s="7" t="inlineStr">
        <is>
          <t>partially_fixed</t>
        </is>
      </c>
      <c r="L113" s="7" t="inlineStr">
        <is>
          <t>PNL</t>
        </is>
      </c>
      <c r="M113" s="11" t="n">
        <v>44642</v>
      </c>
      <c r="N113" s="13" t="n">
        <v>0</v>
      </c>
      <c r="O113" s="6" t="n">
        <v>-74</v>
      </c>
      <c r="P113" s="13" t="n">
        <v>0</v>
      </c>
      <c r="Q113" s="22" t="n">
        <v>31</v>
      </c>
      <c r="R113" s="6" t="n">
        <v>8</v>
      </c>
      <c r="U113" s="9" t="n">
        <v>0</v>
      </c>
      <c r="V113" s="9" t="n">
        <v>0</v>
      </c>
      <c r="X113" s="9" t="n">
        <v>76.11060000000001</v>
      </c>
      <c r="AK113" s="7" t="inlineStr">
        <is>
          <t>PYTHON_MULTI_FLOW_LEG</t>
        </is>
      </c>
      <c r="AL113" s="8">
        <f>IF($J113="INR",1,IF($M113&lt;$A113,INDEX(Market_Daily!$F$6:$F$256,MATCH($M113,Market_Daily!$A$6:$A$256,1)),IF($M113=$A113,INDEX(Market_Daily!$F$6:$F$256,MATCH($A113,Market_Daily!$A$6:$A$256,0)),(INDEX(Market_Daily!$F$6:$F$256,MATCH($A113,Market_Daily!$A$6:$A$256,0))*(1+INDEX(Market_Daily!$I$6:$I$256,MATCH($A113,Market_Daily!$A$6:$A$256,0))*($M113-$A113)/day_count_inr)/(1+INDEX(Market_Daily!$J$6:$J$256,MATCH($A113,Market_Daily!$A$6:$A$256,0))*($M113-$A113)/day_count_usd)))))</f>
        <v/>
      </c>
      <c r="AM113" s="8">
        <f>IF(OR($J113="INR",$R113&gt;1),"",$AL113-$X113)</f>
        <v/>
      </c>
      <c r="AN113" s="8">
        <f>$U113</f>
        <v/>
      </c>
      <c r="AO113" s="8">
        <f>$V113</f>
        <v/>
      </c>
      <c r="AP113" s="18">
        <f>$AO113-$V113</f>
        <v/>
      </c>
      <c r="AQ113" s="8">
        <f>IF(ABS($AP113)&lt;=tol_trade_inr,"PASS","FAIL")</f>
        <v/>
      </c>
    </row>
    <row r="114">
      <c r="A114" s="11" t="n">
        <v>44638</v>
      </c>
      <c r="B114" s="7" t="inlineStr">
        <is>
          <t>T02</t>
        </is>
      </c>
      <c r="C114" s="7" t="inlineStr">
        <is>
          <t>PORT:L1</t>
        </is>
      </c>
      <c r="D114" s="7" t="inlineStr">
        <is>
          <t>PORT</t>
        </is>
      </c>
      <c r="E114" s="7" t="inlineStr">
        <is>
          <t>physical</t>
        </is>
      </c>
      <c r="F114" s="7" t="inlineStr">
        <is>
          <t>L1</t>
        </is>
      </c>
      <c r="H114" s="7" t="inlineStr">
        <is>
          <t>tense</t>
        </is>
      </c>
      <c r="I114" s="7" t="inlineStr">
        <is>
          <t>JEA_NSA</t>
        </is>
      </c>
      <c r="J114" s="7" t="inlineStr">
        <is>
          <t>INR</t>
        </is>
      </c>
      <c r="K114" s="7" t="inlineStr">
        <is>
          <t>fixed_unsettled</t>
        </is>
      </c>
      <c r="L114" s="7" t="inlineStr">
        <is>
          <t>PNL</t>
        </is>
      </c>
      <c r="M114" s="11" t="n">
        <v>44671</v>
      </c>
      <c r="N114" s="13" t="n">
        <v>0</v>
      </c>
      <c r="O114" s="6" t="n">
        <v>0</v>
      </c>
      <c r="P114" s="13" t="n">
        <v>0</v>
      </c>
      <c r="Q114" s="22" t="n">
        <v>31</v>
      </c>
      <c r="R114" s="6" t="n">
        <v>1</v>
      </c>
      <c r="U114" s="9" t="n">
        <v>-960000</v>
      </c>
      <c r="V114" s="9" t="n">
        <v>-960000</v>
      </c>
      <c r="X114" s="9" t="n">
        <v>76.11060000000001</v>
      </c>
      <c r="AK114" s="7" t="inlineStr">
        <is>
          <t>PYTHON_LIFECYCLE</t>
        </is>
      </c>
      <c r="AL114" s="8">
        <f>IF($J114="INR",1,IF($M114&lt;$A114,INDEX(Market_Daily!$F$6:$F$256,MATCH($M114,Market_Daily!$A$6:$A$256,1)),IF($M114=$A114,INDEX(Market_Daily!$F$6:$F$256,MATCH($A114,Market_Daily!$A$6:$A$256,0)),(INDEX(Market_Daily!$F$6:$F$256,MATCH($A114,Market_Daily!$A$6:$A$256,0))*(1+INDEX(Market_Daily!$I$6:$I$256,MATCH($A114,Market_Daily!$A$6:$A$256,0))*($M114-$A114)/day_count_inr)/(1+INDEX(Market_Daily!$J$6:$J$256,MATCH($A114,Market_Daily!$A$6:$A$256,0))*($M114-$A114)/day_count_usd)))))</f>
        <v/>
      </c>
      <c r="AM114" s="8">
        <f>IF(OR($J114="INR",$R114&gt;1),"",$AL114-$X114)</f>
        <v/>
      </c>
      <c r="AN114" s="8">
        <f>$U114</f>
        <v/>
      </c>
      <c r="AO114" s="8">
        <f>$AN114*IF($J114="INR",1,$AL114)</f>
        <v/>
      </c>
      <c r="AP114" s="18">
        <f>$AO114-$V114</f>
        <v/>
      </c>
      <c r="AQ114" s="8">
        <f>IF(ABS($AP114)&lt;=tol_trade_inr,"PASS","FAIL")</f>
        <v/>
      </c>
    </row>
    <row r="115">
      <c r="A115" s="11" t="n">
        <v>44638</v>
      </c>
      <c r="B115" s="7" t="inlineStr">
        <is>
          <t>T02</t>
        </is>
      </c>
      <c r="C115" s="7" t="inlineStr">
        <is>
          <t>PORT:L2</t>
        </is>
      </c>
      <c r="D115" s="7" t="inlineStr">
        <is>
          <t>PORT</t>
        </is>
      </c>
      <c r="E115" s="7" t="inlineStr">
        <is>
          <t>physical</t>
        </is>
      </c>
      <c r="F115" s="7" t="inlineStr">
        <is>
          <t>L2</t>
        </is>
      </c>
      <c r="H115" s="7" t="inlineStr">
        <is>
          <t>tense</t>
        </is>
      </c>
      <c r="I115" s="7" t="inlineStr">
        <is>
          <t>JEA_NSA</t>
        </is>
      </c>
      <c r="J115" s="7" t="inlineStr">
        <is>
          <t>INR</t>
        </is>
      </c>
      <c r="K115" s="7" t="inlineStr">
        <is>
          <t>fixed_unsettled</t>
        </is>
      </c>
      <c r="L115" s="7" t="inlineStr">
        <is>
          <t>PNL</t>
        </is>
      </c>
      <c r="M115" s="11" t="n">
        <v>44679</v>
      </c>
      <c r="N115" s="13" t="n">
        <v>0</v>
      </c>
      <c r="O115" s="6" t="n">
        <v>0</v>
      </c>
      <c r="P115" s="13" t="n">
        <v>0</v>
      </c>
      <c r="Q115" s="22" t="n">
        <v>31</v>
      </c>
      <c r="R115" s="6" t="n">
        <v>1</v>
      </c>
      <c r="U115" s="9" t="n">
        <v>-960000</v>
      </c>
      <c r="V115" s="9" t="n">
        <v>-960000</v>
      </c>
      <c r="X115" s="9" t="n">
        <v>76.11060000000001</v>
      </c>
      <c r="AK115" s="7" t="inlineStr">
        <is>
          <t>PYTHON_LIFECYCLE</t>
        </is>
      </c>
      <c r="AL115" s="8">
        <f>IF($J115="INR",1,IF($M115&lt;$A115,INDEX(Market_Daily!$F$6:$F$256,MATCH($M115,Market_Daily!$A$6:$A$256,1)),IF($M115=$A115,INDEX(Market_Daily!$F$6:$F$256,MATCH($A115,Market_Daily!$A$6:$A$256,0)),(INDEX(Market_Daily!$F$6:$F$256,MATCH($A115,Market_Daily!$A$6:$A$256,0))*(1+INDEX(Market_Daily!$I$6:$I$256,MATCH($A115,Market_Daily!$A$6:$A$256,0))*($M115-$A115)/day_count_inr)/(1+INDEX(Market_Daily!$J$6:$J$256,MATCH($A115,Market_Daily!$A$6:$A$256,0))*($M115-$A115)/day_count_usd)))))</f>
        <v/>
      </c>
      <c r="AM115" s="8">
        <f>IF(OR($J115="INR",$R115&gt;1),"",$AL115-$X115)</f>
        <v/>
      </c>
      <c r="AN115" s="8">
        <f>$U115</f>
        <v/>
      </c>
      <c r="AO115" s="8">
        <f>$AN115*IF($J115="INR",1,$AL115)</f>
        <v/>
      </c>
      <c r="AP115" s="18">
        <f>$AO115-$V115</f>
        <v/>
      </c>
      <c r="AQ115" s="8">
        <f>IF(ABS($AP115)&lt;=tol_trade_inr,"PASS","FAIL")</f>
        <v/>
      </c>
    </row>
    <row r="116">
      <c r="A116" s="11" t="n">
        <v>44638</v>
      </c>
      <c r="B116" s="7" t="inlineStr">
        <is>
          <t>T02</t>
        </is>
      </c>
      <c r="C116" s="7" t="inlineStr">
        <is>
          <t>PSIC:L1</t>
        </is>
      </c>
      <c r="D116" s="7" t="inlineStr">
        <is>
          <t>PSIC</t>
        </is>
      </c>
      <c r="E116" s="7" t="inlineStr">
        <is>
          <t>physical</t>
        </is>
      </c>
      <c r="F116" s="7" t="inlineStr">
        <is>
          <t>L1</t>
        </is>
      </c>
      <c r="H116" s="7" t="inlineStr">
        <is>
          <t>tense</t>
        </is>
      </c>
      <c r="I116" s="7" t="inlineStr">
        <is>
          <t>JEA_NSA</t>
        </is>
      </c>
      <c r="J116" s="7" t="inlineStr">
        <is>
          <t>USD</t>
        </is>
      </c>
      <c r="K116" s="7" t="inlineStr">
        <is>
          <t>floating</t>
        </is>
      </c>
      <c r="L116" s="7" t="inlineStr">
        <is>
          <t>PNL</t>
        </is>
      </c>
      <c r="M116" s="11" t="n">
        <v>44656</v>
      </c>
      <c r="N116" s="13" t="n">
        <v>0</v>
      </c>
      <c r="O116" s="6" t="n">
        <v>0</v>
      </c>
      <c r="P116" s="13" t="n">
        <v>0</v>
      </c>
      <c r="Q116" s="22" t="n">
        <v>31</v>
      </c>
      <c r="R116" s="6" t="n">
        <v>1</v>
      </c>
      <c r="U116" s="9" t="n">
        <v>-960</v>
      </c>
      <c r="V116" s="9" t="n">
        <v>-73187.22</v>
      </c>
      <c r="X116" s="9" t="n">
        <v>76.2367</v>
      </c>
      <c r="AK116" s="7" t="inlineStr">
        <is>
          <t>PYTHON_LIFECYCLE</t>
        </is>
      </c>
      <c r="AL116" s="8">
        <f>IF($J116="INR",1,IF($M116&lt;$A116,INDEX(Market_Daily!$F$6:$F$256,MATCH($M116,Market_Daily!$A$6:$A$256,1)),IF($M116=$A116,INDEX(Market_Daily!$F$6:$F$256,MATCH($A116,Market_Daily!$A$6:$A$256,0)),(INDEX(Market_Daily!$F$6:$F$256,MATCH($A116,Market_Daily!$A$6:$A$256,0))*(1+INDEX(Market_Daily!$I$6:$I$256,MATCH($A116,Market_Daily!$A$6:$A$256,0))*($M116-$A116)/day_count_inr)/(1+INDEX(Market_Daily!$J$6:$J$256,MATCH($A116,Market_Daily!$A$6:$A$256,0))*($M116-$A116)/day_count_usd)))))</f>
        <v/>
      </c>
      <c r="AM116" s="8">
        <f>IF(OR($J116="INR",$R116&gt;1),"",$AL116-$X116)</f>
        <v/>
      </c>
      <c r="AN116" s="8">
        <f>$U116</f>
        <v/>
      </c>
      <c r="AO116" s="8">
        <f>$AN116*IF($J116="INR",1,$AL116)</f>
        <v/>
      </c>
      <c r="AP116" s="18">
        <f>$AO116-$V116</f>
        <v/>
      </c>
      <c r="AQ116" s="8">
        <f>IF(ABS($AP116)&lt;=tol_trade_inr,"PASS","FAIL")</f>
        <v/>
      </c>
    </row>
    <row r="117">
      <c r="A117" s="11" t="n">
        <v>44638</v>
      </c>
      <c r="B117" s="7" t="inlineStr">
        <is>
          <t>T02</t>
        </is>
      </c>
      <c r="C117" s="7" t="inlineStr">
        <is>
          <t>PSIC:L2</t>
        </is>
      </c>
      <c r="D117" s="7" t="inlineStr">
        <is>
          <t>PSIC</t>
        </is>
      </c>
      <c r="E117" s="7" t="inlineStr">
        <is>
          <t>physical</t>
        </is>
      </c>
      <c r="F117" s="7" t="inlineStr">
        <is>
          <t>L2</t>
        </is>
      </c>
      <c r="H117" s="7" t="inlineStr">
        <is>
          <t>tense</t>
        </is>
      </c>
      <c r="I117" s="7" t="inlineStr">
        <is>
          <t>JEA_NSA</t>
        </is>
      </c>
      <c r="J117" s="7" t="inlineStr">
        <is>
          <t>USD</t>
        </is>
      </c>
      <c r="K117" s="7" t="inlineStr">
        <is>
          <t>floating</t>
        </is>
      </c>
      <c r="L117" s="7" t="inlineStr">
        <is>
          <t>PNL</t>
        </is>
      </c>
      <c r="M117" s="11" t="n">
        <v>44664</v>
      </c>
      <c r="N117" s="13" t="n">
        <v>0</v>
      </c>
      <c r="O117" s="6" t="n">
        <v>0</v>
      </c>
      <c r="P117" s="13" t="n">
        <v>0</v>
      </c>
      <c r="Q117" s="22" t="n">
        <v>31</v>
      </c>
      <c r="R117" s="6" t="n">
        <v>1</v>
      </c>
      <c r="U117" s="9" t="n">
        <v>-960</v>
      </c>
      <c r="V117" s="9" t="n">
        <v>-73240.99000000001</v>
      </c>
      <c r="X117" s="9" t="n">
        <v>76.2927</v>
      </c>
      <c r="AK117" s="7" t="inlineStr">
        <is>
          <t>PYTHON_LIFECYCLE</t>
        </is>
      </c>
      <c r="AL117" s="8">
        <f>IF($J117="INR",1,IF($M117&lt;$A117,INDEX(Market_Daily!$F$6:$F$256,MATCH($M117,Market_Daily!$A$6:$A$256,1)),IF($M117=$A117,INDEX(Market_Daily!$F$6:$F$256,MATCH($A117,Market_Daily!$A$6:$A$256,0)),(INDEX(Market_Daily!$F$6:$F$256,MATCH($A117,Market_Daily!$A$6:$A$256,0))*(1+INDEX(Market_Daily!$I$6:$I$256,MATCH($A117,Market_Daily!$A$6:$A$256,0))*($M117-$A117)/day_count_inr)/(1+INDEX(Market_Daily!$J$6:$J$256,MATCH($A117,Market_Daily!$A$6:$A$256,0))*($M117-$A117)/day_count_usd)))))</f>
        <v/>
      </c>
      <c r="AM117" s="8">
        <f>IF(OR($J117="INR",$R117&gt;1),"",$AL117-$X117)</f>
        <v/>
      </c>
      <c r="AN117" s="8">
        <f>$U117</f>
        <v/>
      </c>
      <c r="AO117" s="8">
        <f>$AN117*IF($J117="INR",1,$AL117)</f>
        <v/>
      </c>
      <c r="AP117" s="18">
        <f>$AO117-$V117</f>
        <v/>
      </c>
      <c r="AQ117" s="8">
        <f>IF(ABS($AP117)&lt;=tol_trade_inr,"PASS","FAIL")</f>
        <v/>
      </c>
    </row>
    <row r="118">
      <c r="A118" s="11" t="n">
        <v>44638</v>
      </c>
      <c r="B118" s="7" t="inlineStr">
        <is>
          <t>T02</t>
        </is>
      </c>
      <c r="C118" s="7" t="inlineStr">
        <is>
          <t>PURCHASE:L1</t>
        </is>
      </c>
      <c r="D118" s="7" t="inlineStr">
        <is>
          <t>PURCHASE</t>
        </is>
      </c>
      <c r="E118" s="7" t="inlineStr">
        <is>
          <t>physical</t>
        </is>
      </c>
      <c r="F118" s="7" t="inlineStr">
        <is>
          <t>L1</t>
        </is>
      </c>
      <c r="G118" s="7" t="inlineStr">
        <is>
          <t>SUP_JEA_01</t>
        </is>
      </c>
      <c r="H118" s="7" t="inlineStr">
        <is>
          <t>tense</t>
        </is>
      </c>
      <c r="I118" s="7" t="inlineStr">
        <is>
          <t>JEA_NSA</t>
        </is>
      </c>
      <c r="J118" s="7" t="inlineStr">
        <is>
          <t>USD</t>
        </is>
      </c>
      <c r="K118" s="7" t="inlineStr">
        <is>
          <t>floating</t>
        </is>
      </c>
      <c r="L118" s="7" t="inlineStr">
        <is>
          <t>PNL</t>
        </is>
      </c>
      <c r="M118" s="11" t="n">
        <v>44746</v>
      </c>
      <c r="N118" s="13" t="n">
        <v>1200</v>
      </c>
      <c r="O118" s="6" t="n">
        <v>0</v>
      </c>
      <c r="P118" s="13" t="n">
        <v>0</v>
      </c>
      <c r="Q118" s="22" t="n">
        <v>31</v>
      </c>
      <c r="R118" s="6" t="n">
        <v>2</v>
      </c>
      <c r="U118" s="9" t="n">
        <v>-1298892.71</v>
      </c>
      <c r="V118" s="9" t="n">
        <v>-99829181.2</v>
      </c>
      <c r="X118" s="9" t="n">
        <v>76.8663</v>
      </c>
      <c r="AK118" s="7" t="inlineStr">
        <is>
          <t>PYTHON_MULTI_FLOW_LEG</t>
        </is>
      </c>
      <c r="AL118" s="8">
        <f>IF($J118="INR",1,IF($M118&lt;$A118,INDEX(Market_Daily!$F$6:$F$256,MATCH($M118,Market_Daily!$A$6:$A$256,1)),IF($M118=$A118,INDEX(Market_Daily!$F$6:$F$256,MATCH($A118,Market_Daily!$A$6:$A$256,0)),(INDEX(Market_Daily!$F$6:$F$256,MATCH($A118,Market_Daily!$A$6:$A$256,0))*(1+INDEX(Market_Daily!$I$6:$I$256,MATCH($A118,Market_Daily!$A$6:$A$256,0))*($M118-$A118)/day_count_inr)/(1+INDEX(Market_Daily!$J$6:$J$256,MATCH($A118,Market_Daily!$A$6:$A$256,0))*($M118-$A118)/day_count_usd)))))</f>
        <v/>
      </c>
      <c r="AM118" s="8">
        <f>IF(OR($J118="INR",$R118&gt;1),"",$AL118-$X118)</f>
        <v/>
      </c>
      <c r="AN118" s="8">
        <f>$U118</f>
        <v/>
      </c>
      <c r="AO118" s="8">
        <f>$V118</f>
        <v/>
      </c>
      <c r="AP118" s="18">
        <f>$AO118-$V118</f>
        <v/>
      </c>
      <c r="AQ118" s="8">
        <f>IF(ABS($AP118)&lt;=tol_trade_inr,"PASS","FAIL")</f>
        <v/>
      </c>
    </row>
    <row r="119">
      <c r="A119" s="11" t="n">
        <v>44638</v>
      </c>
      <c r="B119" s="7" t="inlineStr">
        <is>
          <t>T02</t>
        </is>
      </c>
      <c r="C119" s="7" t="inlineStr">
        <is>
          <t>PURCHASE:L2</t>
        </is>
      </c>
      <c r="D119" s="7" t="inlineStr">
        <is>
          <t>PURCHASE</t>
        </is>
      </c>
      <c r="E119" s="7" t="inlineStr">
        <is>
          <t>physical</t>
        </is>
      </c>
      <c r="F119" s="7" t="inlineStr">
        <is>
          <t>L2</t>
        </is>
      </c>
      <c r="G119" s="7" t="inlineStr">
        <is>
          <t>SUP_JEA_01</t>
        </is>
      </c>
      <c r="H119" s="7" t="inlineStr">
        <is>
          <t>tense</t>
        </is>
      </c>
      <c r="I119" s="7" t="inlineStr">
        <is>
          <t>JEA_NSA</t>
        </is>
      </c>
      <c r="J119" s="7" t="inlineStr">
        <is>
          <t>USD</t>
        </is>
      </c>
      <c r="K119" s="7" t="inlineStr">
        <is>
          <t>floating</t>
        </is>
      </c>
      <c r="L119" s="7" t="inlineStr">
        <is>
          <t>PNL</t>
        </is>
      </c>
      <c r="M119" s="11" t="n">
        <v>44754</v>
      </c>
      <c r="N119" s="13" t="n">
        <v>1200</v>
      </c>
      <c r="O119" s="6" t="n">
        <v>0</v>
      </c>
      <c r="P119" s="13" t="n">
        <v>0</v>
      </c>
      <c r="Q119" s="22" t="n">
        <v>31</v>
      </c>
      <c r="R119" s="6" t="n">
        <v>2</v>
      </c>
      <c r="U119" s="9" t="n">
        <v>-1298892.71</v>
      </c>
      <c r="V119" s="9" t="n">
        <v>-99898126.79000001</v>
      </c>
      <c r="X119" s="9" t="n">
        <v>76.9222</v>
      </c>
      <c r="AK119" s="7" t="inlineStr">
        <is>
          <t>PYTHON_MULTI_FLOW_LEG</t>
        </is>
      </c>
      <c r="AL119" s="8">
        <f>IF($J119="INR",1,IF($M119&lt;$A119,INDEX(Market_Daily!$F$6:$F$256,MATCH($M119,Market_Daily!$A$6:$A$256,1)),IF($M119=$A119,INDEX(Market_Daily!$F$6:$F$256,MATCH($A119,Market_Daily!$A$6:$A$256,0)),(INDEX(Market_Daily!$F$6:$F$256,MATCH($A119,Market_Daily!$A$6:$A$256,0))*(1+INDEX(Market_Daily!$I$6:$I$256,MATCH($A119,Market_Daily!$A$6:$A$256,0))*($M119-$A119)/day_count_inr)/(1+INDEX(Market_Daily!$J$6:$J$256,MATCH($A119,Market_Daily!$A$6:$A$256,0))*($M119-$A119)/day_count_usd)))))</f>
        <v/>
      </c>
      <c r="AM119" s="8">
        <f>IF(OR($J119="INR",$R119&gt;1),"",$AL119-$X119)</f>
        <v/>
      </c>
      <c r="AN119" s="8">
        <f>$U119</f>
        <v/>
      </c>
      <c r="AO119" s="8">
        <f>$V119</f>
        <v/>
      </c>
      <c r="AP119" s="18">
        <f>$AO119-$V119</f>
        <v/>
      </c>
      <c r="AQ119" s="8">
        <f>IF(ABS($AP119)&lt;=tol_trade_inr,"PASS","FAIL")</f>
        <v/>
      </c>
    </row>
    <row r="120">
      <c r="A120" s="11" t="n">
        <v>44638</v>
      </c>
      <c r="B120" s="7" t="inlineStr">
        <is>
          <t>T02</t>
        </is>
      </c>
      <c r="C120" s="7" t="inlineStr">
        <is>
          <t>SALE:S1</t>
        </is>
      </c>
      <c r="D120" s="7" t="inlineStr">
        <is>
          <t>SALE</t>
        </is>
      </c>
      <c r="E120" s="7" t="inlineStr">
        <is>
          <t>physical</t>
        </is>
      </c>
      <c r="G120" s="7" t="inlineStr">
        <is>
          <t>BUY_JNPT_01</t>
        </is>
      </c>
      <c r="H120" s="7" t="inlineStr">
        <is>
          <t>tense</t>
        </is>
      </c>
      <c r="I120" s="7" t="inlineStr">
        <is>
          <t>JEA_NSA</t>
        </is>
      </c>
      <c r="J120" s="7" t="inlineStr">
        <is>
          <t>INR</t>
        </is>
      </c>
      <c r="K120" s="7" t="inlineStr">
        <is>
          <t>floating</t>
        </is>
      </c>
      <c r="L120" s="7" t="inlineStr">
        <is>
          <t>PNL</t>
        </is>
      </c>
      <c r="M120" s="11" t="n">
        <v>44711</v>
      </c>
      <c r="N120" s="13" t="n">
        <v>1200</v>
      </c>
      <c r="O120" s="6" t="n">
        <v>0</v>
      </c>
      <c r="P120" s="13" t="n">
        <v>0</v>
      </c>
      <c r="Q120" s="22" t="n">
        <v>31</v>
      </c>
      <c r="R120" s="6" t="n">
        <v>1</v>
      </c>
      <c r="U120" s="9" t="n">
        <v>245199040.6</v>
      </c>
      <c r="V120" s="9" t="n">
        <v>245199040.6</v>
      </c>
      <c r="W120" s="9" t="n">
        <v>204332.5338</v>
      </c>
      <c r="X120" s="9" t="n">
        <v>76.11060000000001</v>
      </c>
      <c r="AK120" s="7" t="inlineStr">
        <is>
          <t>PYTHON_LIFECYCLE</t>
        </is>
      </c>
      <c r="AL120" s="8">
        <f>IF($J120="INR",1,IF($M120&lt;$A120,INDEX(Market_Daily!$F$6:$F$256,MATCH($M120,Market_Daily!$A$6:$A$256,1)),IF($M120=$A120,INDEX(Market_Daily!$F$6:$F$256,MATCH($A120,Market_Daily!$A$6:$A$256,0)),(INDEX(Market_Daily!$F$6:$F$256,MATCH($A120,Market_Daily!$A$6:$A$256,0))*(1+INDEX(Market_Daily!$I$6:$I$256,MATCH($A120,Market_Daily!$A$6:$A$256,0))*($M120-$A120)/day_count_inr)/(1+INDEX(Market_Daily!$J$6:$J$256,MATCH($A120,Market_Daily!$A$6:$A$256,0))*($M120-$A120)/day_count_usd)))))</f>
        <v/>
      </c>
      <c r="AM120" s="8">
        <f>IF(OR($J120="INR",$R120&gt;1),"",$AL120-$X120)</f>
        <v/>
      </c>
      <c r="AN120" s="8">
        <f>$U120</f>
        <v/>
      </c>
      <c r="AO120" s="8">
        <f>$AN120*IF($J120="INR",1,$AL120)</f>
        <v/>
      </c>
      <c r="AP120" s="18">
        <f>$AO120-$V120</f>
        <v/>
      </c>
      <c r="AQ120" s="8">
        <f>IF(ABS($AP120)&lt;=tol_trade_inr,"PASS","FAIL")</f>
        <v/>
      </c>
    </row>
    <row r="121">
      <c r="A121" s="11" t="n">
        <v>44638</v>
      </c>
      <c r="B121" s="7" t="inlineStr">
        <is>
          <t>T02</t>
        </is>
      </c>
      <c r="C121" s="7" t="inlineStr">
        <is>
          <t>USANCE_INTEREST:L1</t>
        </is>
      </c>
      <c r="D121" s="7" t="inlineStr">
        <is>
          <t>USANCE_INTEREST</t>
        </is>
      </c>
      <c r="E121" s="7" t="inlineStr">
        <is>
          <t>physical</t>
        </is>
      </c>
      <c r="F121" s="7" t="inlineStr">
        <is>
          <t>L1</t>
        </is>
      </c>
      <c r="H121" s="7" t="inlineStr">
        <is>
          <t>tense</t>
        </is>
      </c>
      <c r="I121" s="7" t="inlineStr">
        <is>
          <t>JEA_NSA</t>
        </is>
      </c>
      <c r="J121" s="7" t="inlineStr">
        <is>
          <t>USD</t>
        </is>
      </c>
      <c r="K121" s="7" t="inlineStr">
        <is>
          <t>floating</t>
        </is>
      </c>
      <c r="L121" s="7" t="inlineStr">
        <is>
          <t>PNL</t>
        </is>
      </c>
      <c r="M121" s="11" t="n">
        <v>44746</v>
      </c>
      <c r="N121" s="13" t="n">
        <v>0</v>
      </c>
      <c r="O121" s="6" t="n">
        <v>0</v>
      </c>
      <c r="P121" s="13" t="n">
        <v>0</v>
      </c>
      <c r="Q121" s="22" t="n">
        <v>31</v>
      </c>
      <c r="R121" s="6" t="n">
        <v>1</v>
      </c>
      <c r="U121" s="9" t="n">
        <v>-5889.71</v>
      </c>
      <c r="V121" s="9" t="n">
        <v>-452720.03</v>
      </c>
      <c r="X121" s="9" t="n">
        <v>76.8663</v>
      </c>
      <c r="AK121" s="7" t="inlineStr">
        <is>
          <t>PYTHON_LIFECYCLE</t>
        </is>
      </c>
      <c r="AL121" s="8">
        <f>IF($J121="INR",1,IF($M121&lt;$A121,INDEX(Market_Daily!$F$6:$F$256,MATCH($M121,Market_Daily!$A$6:$A$256,1)),IF($M121=$A121,INDEX(Market_Daily!$F$6:$F$256,MATCH($A121,Market_Daily!$A$6:$A$256,0)),(INDEX(Market_Daily!$F$6:$F$256,MATCH($A121,Market_Daily!$A$6:$A$256,0))*(1+INDEX(Market_Daily!$I$6:$I$256,MATCH($A121,Market_Daily!$A$6:$A$256,0))*($M121-$A121)/day_count_inr)/(1+INDEX(Market_Daily!$J$6:$J$256,MATCH($A121,Market_Daily!$A$6:$A$256,0))*($M121-$A121)/day_count_usd)))))</f>
        <v/>
      </c>
      <c r="AM121" s="8">
        <f>IF(OR($J121="INR",$R121&gt;1),"",$AL121-$X121)</f>
        <v/>
      </c>
      <c r="AN121" s="8">
        <f>$U121</f>
        <v/>
      </c>
      <c r="AO121" s="8">
        <f>$AN121*IF($J121="INR",1,$AL121)</f>
        <v/>
      </c>
      <c r="AP121" s="18">
        <f>$AO121-$V121</f>
        <v/>
      </c>
      <c r="AQ121" s="8">
        <f>IF(ABS($AP121)&lt;=tol_trade_inr,"PASS","FAIL")</f>
        <v/>
      </c>
    </row>
    <row r="122">
      <c r="A122" s="11" t="n">
        <v>44638</v>
      </c>
      <c r="B122" s="7" t="inlineStr">
        <is>
          <t>T02</t>
        </is>
      </c>
      <c r="C122" s="7" t="inlineStr">
        <is>
          <t>USANCE_INTEREST:L2</t>
        </is>
      </c>
      <c r="D122" s="7" t="inlineStr">
        <is>
          <t>USANCE_INTEREST</t>
        </is>
      </c>
      <c r="E122" s="7" t="inlineStr">
        <is>
          <t>physical</t>
        </is>
      </c>
      <c r="F122" s="7" t="inlineStr">
        <is>
          <t>L2</t>
        </is>
      </c>
      <c r="H122" s="7" t="inlineStr">
        <is>
          <t>tense</t>
        </is>
      </c>
      <c r="I122" s="7" t="inlineStr">
        <is>
          <t>JEA_NSA</t>
        </is>
      </c>
      <c r="J122" s="7" t="inlineStr">
        <is>
          <t>USD</t>
        </is>
      </c>
      <c r="K122" s="7" t="inlineStr">
        <is>
          <t>floating</t>
        </is>
      </c>
      <c r="L122" s="7" t="inlineStr">
        <is>
          <t>PNL</t>
        </is>
      </c>
      <c r="M122" s="11" t="n">
        <v>44754</v>
      </c>
      <c r="N122" s="13" t="n">
        <v>0</v>
      </c>
      <c r="O122" s="6" t="n">
        <v>0</v>
      </c>
      <c r="P122" s="13" t="n">
        <v>0</v>
      </c>
      <c r="Q122" s="22" t="n">
        <v>31</v>
      </c>
      <c r="R122" s="6" t="n">
        <v>1</v>
      </c>
      <c r="U122" s="9" t="n">
        <v>-5892.66</v>
      </c>
      <c r="V122" s="9" t="n">
        <v>-453276.28</v>
      </c>
      <c r="X122" s="9" t="n">
        <v>76.9222</v>
      </c>
      <c r="AK122" s="7" t="inlineStr">
        <is>
          <t>PYTHON_LIFECYCLE</t>
        </is>
      </c>
      <c r="AL122" s="8">
        <f>IF($J122="INR",1,IF($M122&lt;$A122,INDEX(Market_Daily!$F$6:$F$256,MATCH($M122,Market_Daily!$A$6:$A$256,1)),IF($M122=$A122,INDEX(Market_Daily!$F$6:$F$256,MATCH($A122,Market_Daily!$A$6:$A$256,0)),(INDEX(Market_Daily!$F$6:$F$256,MATCH($A122,Market_Daily!$A$6:$A$256,0))*(1+INDEX(Market_Daily!$I$6:$I$256,MATCH($A122,Market_Daily!$A$6:$A$256,0))*($M122-$A122)/day_count_inr)/(1+INDEX(Market_Daily!$J$6:$J$256,MATCH($A122,Market_Daily!$A$6:$A$256,0))*($M122-$A122)/day_count_usd)))))</f>
        <v/>
      </c>
      <c r="AM122" s="8">
        <f>IF(OR($J122="INR",$R122&gt;1),"",$AL122-$X122)</f>
        <v/>
      </c>
      <c r="AN122" s="8">
        <f>$U122</f>
        <v/>
      </c>
      <c r="AO122" s="8">
        <f>$AN122*IF($J122="INR",1,$AL122)</f>
        <v/>
      </c>
      <c r="AP122" s="18">
        <f>$AO122-$V122</f>
        <v/>
      </c>
      <c r="AQ122" s="8">
        <f>IF(ABS($AP122)&lt;=tol_trade_inr,"PASS","FAIL")</f>
        <v/>
      </c>
    </row>
    <row r="123">
      <c r="A123" s="11" t="n">
        <v>44643</v>
      </c>
      <c r="B123" s="7" t="inlineStr">
        <is>
          <t>T01</t>
        </is>
      </c>
      <c r="C123" s="7" t="inlineStr">
        <is>
          <t>BILL_COMMISSION:L1</t>
        </is>
      </c>
      <c r="D123" s="7" t="inlineStr">
        <is>
          <t>BILL_COMMISSION</t>
        </is>
      </c>
      <c r="E123" s="7" t="inlineStr">
        <is>
          <t>physical</t>
        </is>
      </c>
      <c r="F123" s="7" t="inlineStr">
        <is>
          <t>L1</t>
        </is>
      </c>
      <c r="H123" s="7" t="inlineStr">
        <is>
          <t>zorba</t>
        </is>
      </c>
      <c r="I123" s="7" t="inlineStr">
        <is>
          <t>USEC_MUN</t>
        </is>
      </c>
      <c r="J123" s="7" t="inlineStr">
        <is>
          <t>USD</t>
        </is>
      </c>
      <c r="K123" s="7" t="inlineStr">
        <is>
          <t>floating</t>
        </is>
      </c>
      <c r="L123" s="7" t="inlineStr">
        <is>
          <t>PNL</t>
        </is>
      </c>
      <c r="M123" s="11" t="n">
        <v>44656</v>
      </c>
      <c r="N123" s="13" t="n">
        <v>0</v>
      </c>
      <c r="O123" s="6" t="n">
        <v>0</v>
      </c>
      <c r="P123" s="13" t="n">
        <v>0</v>
      </c>
      <c r="Q123" s="22" t="n">
        <v>31</v>
      </c>
      <c r="R123" s="6" t="n">
        <v>1</v>
      </c>
      <c r="U123" s="9" t="n">
        <v>-2358.72</v>
      </c>
      <c r="V123" s="9" t="n">
        <v>-180506.48</v>
      </c>
      <c r="X123" s="9" t="n">
        <v>76.5273</v>
      </c>
      <c r="AK123" s="7" t="inlineStr">
        <is>
          <t>PYTHON_LIFECYCLE</t>
        </is>
      </c>
      <c r="AL123" s="8">
        <f>IF($J123="INR",1,IF($M123&lt;$A123,INDEX(Market_Daily!$F$6:$F$256,MATCH($M123,Market_Daily!$A$6:$A$256,1)),IF($M123=$A123,INDEX(Market_Daily!$F$6:$F$256,MATCH($A123,Market_Daily!$A$6:$A$256,0)),(INDEX(Market_Daily!$F$6:$F$256,MATCH($A123,Market_Daily!$A$6:$A$256,0))*(1+INDEX(Market_Daily!$I$6:$I$256,MATCH($A123,Market_Daily!$A$6:$A$256,0))*($M123-$A123)/day_count_inr)/(1+INDEX(Market_Daily!$J$6:$J$256,MATCH($A123,Market_Daily!$A$6:$A$256,0))*($M123-$A123)/day_count_usd)))))</f>
        <v/>
      </c>
      <c r="AM123" s="8">
        <f>IF(OR($J123="INR",$R123&gt;1),"",$AL123-$X123)</f>
        <v/>
      </c>
      <c r="AN123" s="8">
        <f>$U123</f>
        <v/>
      </c>
      <c r="AO123" s="8">
        <f>$AN123*IF($J123="INR",1,$AL123)</f>
        <v/>
      </c>
      <c r="AP123" s="18">
        <f>$AO123-$V123</f>
        <v/>
      </c>
      <c r="AQ123" s="8">
        <f>IF(ABS($AP123)&lt;=tol_trade_inr,"PASS","FAIL")</f>
        <v/>
      </c>
    </row>
    <row r="124">
      <c r="A124" s="11" t="n">
        <v>44643</v>
      </c>
      <c r="B124" s="7" t="inlineStr">
        <is>
          <t>T01</t>
        </is>
      </c>
      <c r="C124" s="7" t="inlineStr">
        <is>
          <t>BILL_COMMISSION:L2</t>
        </is>
      </c>
      <c r="D124" s="7" t="inlineStr">
        <is>
          <t>BILL_COMMISSION</t>
        </is>
      </c>
      <c r="E124" s="7" t="inlineStr">
        <is>
          <t>physical</t>
        </is>
      </c>
      <c r="F124" s="7" t="inlineStr">
        <is>
          <t>L2</t>
        </is>
      </c>
      <c r="H124" s="7" t="inlineStr">
        <is>
          <t>zorba</t>
        </is>
      </c>
      <c r="I124" s="7" t="inlineStr">
        <is>
          <t>USEC_MUN</t>
        </is>
      </c>
      <c r="J124" s="7" t="inlineStr">
        <is>
          <t>USD</t>
        </is>
      </c>
      <c r="K124" s="7" t="inlineStr">
        <is>
          <t>floating</t>
        </is>
      </c>
      <c r="L124" s="7" t="inlineStr">
        <is>
          <t>PNL</t>
        </is>
      </c>
      <c r="M124" s="11" t="n">
        <v>44662</v>
      </c>
      <c r="N124" s="13" t="n">
        <v>0</v>
      </c>
      <c r="O124" s="6" t="n">
        <v>0</v>
      </c>
      <c r="P124" s="13" t="n">
        <v>0</v>
      </c>
      <c r="Q124" s="22" t="n">
        <v>31</v>
      </c>
      <c r="R124" s="6" t="n">
        <v>1</v>
      </c>
      <c r="U124" s="9" t="n">
        <v>-2358.72</v>
      </c>
      <c r="V124" s="9" t="n">
        <v>-180603.35</v>
      </c>
      <c r="X124" s="9" t="n">
        <v>76.5684</v>
      </c>
      <c r="AK124" s="7" t="inlineStr">
        <is>
          <t>PYTHON_LIFECYCLE</t>
        </is>
      </c>
      <c r="AL124" s="8">
        <f>IF($J124="INR",1,IF($M124&lt;$A124,INDEX(Market_Daily!$F$6:$F$256,MATCH($M124,Market_Daily!$A$6:$A$256,1)),IF($M124=$A124,INDEX(Market_Daily!$F$6:$F$256,MATCH($A124,Market_Daily!$A$6:$A$256,0)),(INDEX(Market_Daily!$F$6:$F$256,MATCH($A124,Market_Daily!$A$6:$A$256,0))*(1+INDEX(Market_Daily!$I$6:$I$256,MATCH($A124,Market_Daily!$A$6:$A$256,0))*($M124-$A124)/day_count_inr)/(1+INDEX(Market_Daily!$J$6:$J$256,MATCH($A124,Market_Daily!$A$6:$A$256,0))*($M124-$A124)/day_count_usd)))))</f>
        <v/>
      </c>
      <c r="AM124" s="8">
        <f>IF(OR($J124="INR",$R124&gt;1),"",$AL124-$X124)</f>
        <v/>
      </c>
      <c r="AN124" s="8">
        <f>$U124</f>
        <v/>
      </c>
      <c r="AO124" s="8">
        <f>$AN124*IF($J124="INR",1,$AL124)</f>
        <v/>
      </c>
      <c r="AP124" s="18">
        <f>$AO124-$V124</f>
        <v/>
      </c>
      <c r="AQ124" s="8">
        <f>IF(ABS($AP124)&lt;=tol_trade_inr,"PASS","FAIL")</f>
        <v/>
      </c>
    </row>
    <row r="125">
      <c r="A125" s="11" t="n">
        <v>44643</v>
      </c>
      <c r="B125" s="7" t="inlineStr">
        <is>
          <t>T01</t>
        </is>
      </c>
      <c r="C125" s="7" t="inlineStr">
        <is>
          <t>BILL_COMMISSION:L3</t>
        </is>
      </c>
      <c r="D125" s="7" t="inlineStr">
        <is>
          <t>BILL_COMMISSION</t>
        </is>
      </c>
      <c r="E125" s="7" t="inlineStr">
        <is>
          <t>physical</t>
        </is>
      </c>
      <c r="F125" s="7" t="inlineStr">
        <is>
          <t>L3</t>
        </is>
      </c>
      <c r="H125" s="7" t="inlineStr">
        <is>
          <t>zorba</t>
        </is>
      </c>
      <c r="I125" s="7" t="inlineStr">
        <is>
          <t>USEC_MUN</t>
        </is>
      </c>
      <c r="J125" s="7" t="inlineStr">
        <is>
          <t>USD</t>
        </is>
      </c>
      <c r="K125" s="7" t="inlineStr">
        <is>
          <t>floating</t>
        </is>
      </c>
      <c r="L125" s="7" t="inlineStr">
        <is>
          <t>PNL</t>
        </is>
      </c>
      <c r="M125" s="11" t="n">
        <v>44665</v>
      </c>
      <c r="N125" s="13" t="n">
        <v>0</v>
      </c>
      <c r="O125" s="6" t="n">
        <v>0</v>
      </c>
      <c r="P125" s="13" t="n">
        <v>0</v>
      </c>
      <c r="Q125" s="22" t="n">
        <v>31</v>
      </c>
      <c r="R125" s="6" t="n">
        <v>1</v>
      </c>
      <c r="U125" s="9" t="n">
        <v>-2358.72</v>
      </c>
      <c r="V125" s="9" t="n">
        <v>-180651.77</v>
      </c>
      <c r="X125" s="9" t="n">
        <v>76.5889</v>
      </c>
      <c r="AK125" s="7" t="inlineStr">
        <is>
          <t>PYTHON_LIFECYCLE</t>
        </is>
      </c>
      <c r="AL125" s="8">
        <f>IF($J125="INR",1,IF($M125&lt;$A125,INDEX(Market_Daily!$F$6:$F$256,MATCH($M125,Market_Daily!$A$6:$A$256,1)),IF($M125=$A125,INDEX(Market_Daily!$F$6:$F$256,MATCH($A125,Market_Daily!$A$6:$A$256,0)),(INDEX(Market_Daily!$F$6:$F$256,MATCH($A125,Market_Daily!$A$6:$A$256,0))*(1+INDEX(Market_Daily!$I$6:$I$256,MATCH($A125,Market_Daily!$A$6:$A$256,0))*($M125-$A125)/day_count_inr)/(1+INDEX(Market_Daily!$J$6:$J$256,MATCH($A125,Market_Daily!$A$6:$A$256,0))*($M125-$A125)/day_count_usd)))))</f>
        <v/>
      </c>
      <c r="AM125" s="8">
        <f>IF(OR($J125="INR",$R125&gt;1),"",$AL125-$X125)</f>
        <v/>
      </c>
      <c r="AN125" s="8">
        <f>$U125</f>
        <v/>
      </c>
      <c r="AO125" s="8">
        <f>$AN125*IF($J125="INR",1,$AL125)</f>
        <v/>
      </c>
      <c r="AP125" s="18">
        <f>$AO125-$V125</f>
        <v/>
      </c>
      <c r="AQ125" s="8">
        <f>IF(ABS($AP125)&lt;=tol_trade_inr,"PASS","FAIL")</f>
        <v/>
      </c>
    </row>
    <row r="126">
      <c r="A126" s="11" t="n">
        <v>44643</v>
      </c>
      <c r="B126" s="7" t="inlineStr">
        <is>
          <t>T01</t>
        </is>
      </c>
      <c r="C126" s="7" t="inlineStr">
        <is>
          <t>DUTY:L1</t>
        </is>
      </c>
      <c r="D126" s="7" t="inlineStr">
        <is>
          <t>DUTY</t>
        </is>
      </c>
      <c r="E126" s="7" t="inlineStr">
        <is>
          <t>physical</t>
        </is>
      </c>
      <c r="F126" s="7" t="inlineStr">
        <is>
          <t>L1</t>
        </is>
      </c>
      <c r="H126" s="7" t="inlineStr">
        <is>
          <t>zorba</t>
        </is>
      </c>
      <c r="I126" s="7" t="inlineStr">
        <is>
          <t>USEC_MUN</t>
        </is>
      </c>
      <c r="J126" s="7" t="inlineStr">
        <is>
          <t>INR</t>
        </is>
      </c>
      <c r="K126" s="7" t="inlineStr">
        <is>
          <t>floating</t>
        </is>
      </c>
      <c r="L126" s="7" t="inlineStr">
        <is>
          <t>PNL</t>
        </is>
      </c>
      <c r="M126" s="11" t="n">
        <v>44690</v>
      </c>
      <c r="N126" s="13" t="n">
        <v>840</v>
      </c>
      <c r="O126" s="6" t="n">
        <v>0</v>
      </c>
      <c r="P126" s="13" t="n">
        <v>0</v>
      </c>
      <c r="Q126" s="22" t="n">
        <v>31</v>
      </c>
      <c r="R126" s="6" t="n">
        <v>1</v>
      </c>
      <c r="U126" s="9" t="n">
        <v>-4345087.24</v>
      </c>
      <c r="V126" s="9" t="n">
        <v>-4345087.24</v>
      </c>
      <c r="X126" s="9" t="n">
        <v>76.4383</v>
      </c>
      <c r="AK126" s="7" t="inlineStr">
        <is>
          <t>PYTHON_LIFECYCLE</t>
        </is>
      </c>
      <c r="AL126" s="8">
        <f>IF($J126="INR",1,IF($M126&lt;$A126,INDEX(Market_Daily!$F$6:$F$256,MATCH($M126,Market_Daily!$A$6:$A$256,1)),IF($M126=$A126,INDEX(Market_Daily!$F$6:$F$256,MATCH($A126,Market_Daily!$A$6:$A$256,0)),(INDEX(Market_Daily!$F$6:$F$256,MATCH($A126,Market_Daily!$A$6:$A$256,0))*(1+INDEX(Market_Daily!$I$6:$I$256,MATCH($A126,Market_Daily!$A$6:$A$256,0))*($M126-$A126)/day_count_inr)/(1+INDEX(Market_Daily!$J$6:$J$256,MATCH($A126,Market_Daily!$A$6:$A$256,0))*($M126-$A126)/day_count_usd)))))</f>
        <v/>
      </c>
      <c r="AM126" s="8">
        <f>IF(OR($J126="INR",$R126&gt;1),"",$AL126-$X126)</f>
        <v/>
      </c>
      <c r="AN126" s="8">
        <f>$U126</f>
        <v/>
      </c>
      <c r="AO126" s="8">
        <f>$AN126*IF($J126="INR",1,$AL126)</f>
        <v/>
      </c>
      <c r="AP126" s="18">
        <f>$AO126-$V126</f>
        <v/>
      </c>
      <c r="AQ126" s="8">
        <f>IF(ABS($AP126)&lt;=tol_trade_inr,"PASS","FAIL")</f>
        <v/>
      </c>
    </row>
    <row r="127">
      <c r="A127" s="11" t="n">
        <v>44643</v>
      </c>
      <c r="B127" s="7" t="inlineStr">
        <is>
          <t>T01</t>
        </is>
      </c>
      <c r="C127" s="7" t="inlineStr">
        <is>
          <t>DUTY:L2</t>
        </is>
      </c>
      <c r="D127" s="7" t="inlineStr">
        <is>
          <t>DUTY</t>
        </is>
      </c>
      <c r="E127" s="7" t="inlineStr">
        <is>
          <t>physical</t>
        </is>
      </c>
      <c r="F127" s="7" t="inlineStr">
        <is>
          <t>L2</t>
        </is>
      </c>
      <c r="H127" s="7" t="inlineStr">
        <is>
          <t>zorba</t>
        </is>
      </c>
      <c r="I127" s="7" t="inlineStr">
        <is>
          <t>USEC_MUN</t>
        </is>
      </c>
      <c r="J127" s="7" t="inlineStr">
        <is>
          <t>INR</t>
        </is>
      </c>
      <c r="K127" s="7" t="inlineStr">
        <is>
          <t>floating</t>
        </is>
      </c>
      <c r="L127" s="7" t="inlineStr">
        <is>
          <t>PNL</t>
        </is>
      </c>
      <c r="M127" s="11" t="n">
        <v>44697</v>
      </c>
      <c r="N127" s="13" t="n">
        <v>840</v>
      </c>
      <c r="O127" s="6" t="n">
        <v>0</v>
      </c>
      <c r="P127" s="13" t="n">
        <v>0</v>
      </c>
      <c r="Q127" s="22" t="n">
        <v>31</v>
      </c>
      <c r="R127" s="6" t="n">
        <v>1</v>
      </c>
      <c r="U127" s="9" t="n">
        <v>-4345087.24</v>
      </c>
      <c r="V127" s="9" t="n">
        <v>-4345087.24</v>
      </c>
      <c r="X127" s="9" t="n">
        <v>76.4383</v>
      </c>
      <c r="AK127" s="7" t="inlineStr">
        <is>
          <t>PYTHON_LIFECYCLE</t>
        </is>
      </c>
      <c r="AL127" s="8">
        <f>IF($J127="INR",1,IF($M127&lt;$A127,INDEX(Market_Daily!$F$6:$F$256,MATCH($M127,Market_Daily!$A$6:$A$256,1)),IF($M127=$A127,INDEX(Market_Daily!$F$6:$F$256,MATCH($A127,Market_Daily!$A$6:$A$256,0)),(INDEX(Market_Daily!$F$6:$F$256,MATCH($A127,Market_Daily!$A$6:$A$256,0))*(1+INDEX(Market_Daily!$I$6:$I$256,MATCH($A127,Market_Daily!$A$6:$A$256,0))*($M127-$A127)/day_count_inr)/(1+INDEX(Market_Daily!$J$6:$J$256,MATCH($A127,Market_Daily!$A$6:$A$256,0))*($M127-$A127)/day_count_usd)))))</f>
        <v/>
      </c>
      <c r="AM127" s="8">
        <f>IF(OR($J127="INR",$R127&gt;1),"",$AL127-$X127)</f>
        <v/>
      </c>
      <c r="AN127" s="8">
        <f>$U127</f>
        <v/>
      </c>
      <c r="AO127" s="8">
        <f>$AN127*IF($J127="INR",1,$AL127)</f>
        <v/>
      </c>
      <c r="AP127" s="18">
        <f>$AO127-$V127</f>
        <v/>
      </c>
      <c r="AQ127" s="8">
        <f>IF(ABS($AP127)&lt;=tol_trade_inr,"PASS","FAIL")</f>
        <v/>
      </c>
    </row>
    <row r="128">
      <c r="A128" s="11" t="n">
        <v>44643</v>
      </c>
      <c r="B128" s="7" t="inlineStr">
        <is>
          <t>T01</t>
        </is>
      </c>
      <c r="C128" s="7" t="inlineStr">
        <is>
          <t>DUTY:L3</t>
        </is>
      </c>
      <c r="D128" s="7" t="inlineStr">
        <is>
          <t>DUTY</t>
        </is>
      </c>
      <c r="E128" s="7" t="inlineStr">
        <is>
          <t>physical</t>
        </is>
      </c>
      <c r="F128" s="7" t="inlineStr">
        <is>
          <t>L3</t>
        </is>
      </c>
      <c r="H128" s="7" t="inlineStr">
        <is>
          <t>zorba</t>
        </is>
      </c>
      <c r="I128" s="7" t="inlineStr">
        <is>
          <t>USEC_MUN</t>
        </is>
      </c>
      <c r="J128" s="7" t="inlineStr">
        <is>
          <t>INR</t>
        </is>
      </c>
      <c r="K128" s="7" t="inlineStr">
        <is>
          <t>floating</t>
        </is>
      </c>
      <c r="L128" s="7" t="inlineStr">
        <is>
          <t>PNL</t>
        </is>
      </c>
      <c r="M128" s="11" t="n">
        <v>44699</v>
      </c>
      <c r="N128" s="13" t="n">
        <v>840</v>
      </c>
      <c r="O128" s="6" t="n">
        <v>0</v>
      </c>
      <c r="P128" s="13" t="n">
        <v>0</v>
      </c>
      <c r="Q128" s="22" t="n">
        <v>31</v>
      </c>
      <c r="R128" s="6" t="n">
        <v>1</v>
      </c>
      <c r="U128" s="9" t="n">
        <v>-4345087.24</v>
      </c>
      <c r="V128" s="9" t="n">
        <v>-4345087.24</v>
      </c>
      <c r="X128" s="9" t="n">
        <v>76.4383</v>
      </c>
      <c r="AK128" s="7" t="inlineStr">
        <is>
          <t>PYTHON_LIFECYCLE</t>
        </is>
      </c>
      <c r="AL128" s="8">
        <f>IF($J128="INR",1,IF($M128&lt;$A128,INDEX(Market_Daily!$F$6:$F$256,MATCH($M128,Market_Daily!$A$6:$A$256,1)),IF($M128=$A128,INDEX(Market_Daily!$F$6:$F$256,MATCH($A128,Market_Daily!$A$6:$A$256,0)),(INDEX(Market_Daily!$F$6:$F$256,MATCH($A128,Market_Daily!$A$6:$A$256,0))*(1+INDEX(Market_Daily!$I$6:$I$256,MATCH($A128,Market_Daily!$A$6:$A$256,0))*($M128-$A128)/day_count_inr)/(1+INDEX(Market_Daily!$J$6:$J$256,MATCH($A128,Market_Daily!$A$6:$A$256,0))*($M128-$A128)/day_count_usd)))))</f>
        <v/>
      </c>
      <c r="AM128" s="8">
        <f>IF(OR($J128="INR",$R128&gt;1),"",$AL128-$X128)</f>
        <v/>
      </c>
      <c r="AN128" s="8">
        <f>$U128</f>
        <v/>
      </c>
      <c r="AO128" s="8">
        <f>$AN128*IF($J128="INR",1,$AL128)</f>
        <v/>
      </c>
      <c r="AP128" s="18">
        <f>$AO128-$V128</f>
        <v/>
      </c>
      <c r="AQ128" s="8">
        <f>IF(ABS($AP128)&lt;=tol_trade_inr,"PASS","FAIL")</f>
        <v/>
      </c>
    </row>
    <row r="129">
      <c r="A129" s="11" t="n">
        <v>44643</v>
      </c>
      <c r="B129" s="7" t="inlineStr">
        <is>
          <t>T01</t>
        </is>
      </c>
      <c r="C129" s="7" t="inlineStr">
        <is>
          <t>FREIGHT:L1</t>
        </is>
      </c>
      <c r="D129" s="7" t="inlineStr">
        <is>
          <t>FREIGHT</t>
        </is>
      </c>
      <c r="E129" s="7" t="inlineStr">
        <is>
          <t>physical</t>
        </is>
      </c>
      <c r="F129" s="7" t="inlineStr">
        <is>
          <t>L1</t>
        </is>
      </c>
      <c r="G129" s="7" t="inlineStr">
        <is>
          <t>Meridian Box Lines NVOCC (SIM)</t>
        </is>
      </c>
      <c r="H129" s="7" t="inlineStr">
        <is>
          <t>zorba</t>
        </is>
      </c>
      <c r="I129" s="7" t="inlineStr">
        <is>
          <t>USEC_MUN</t>
        </is>
      </c>
      <c r="J129" s="7" t="inlineStr">
        <is>
          <t>USD</t>
        </is>
      </c>
      <c r="K129" s="7" t="inlineStr">
        <is>
          <t>fixed_unsettled</t>
        </is>
      </c>
      <c r="L129" s="7" t="inlineStr">
        <is>
          <t>PNL</t>
        </is>
      </c>
      <c r="M129" s="11" t="n">
        <v>44690</v>
      </c>
      <c r="N129" s="13" t="n">
        <v>840</v>
      </c>
      <c r="O129" s="6" t="n">
        <v>0</v>
      </c>
      <c r="P129" s="13" t="n">
        <v>0</v>
      </c>
      <c r="Q129" s="22" t="n">
        <v>31</v>
      </c>
      <c r="R129" s="6" t="n">
        <v>1</v>
      </c>
      <c r="U129" s="9" t="n">
        <v>-86800</v>
      </c>
      <c r="V129" s="9" t="n">
        <v>-6662761.76</v>
      </c>
      <c r="X129" s="9" t="n">
        <v>76.7599</v>
      </c>
      <c r="AK129" s="7" t="inlineStr">
        <is>
          <t>PYTHON_LIFECYCLE</t>
        </is>
      </c>
      <c r="AL129" s="8">
        <f>IF($J129="INR",1,IF($M129&lt;$A129,INDEX(Market_Daily!$F$6:$F$256,MATCH($M129,Market_Daily!$A$6:$A$256,1)),IF($M129=$A129,INDEX(Market_Daily!$F$6:$F$256,MATCH($A129,Market_Daily!$A$6:$A$256,0)),(INDEX(Market_Daily!$F$6:$F$256,MATCH($A129,Market_Daily!$A$6:$A$256,0))*(1+INDEX(Market_Daily!$I$6:$I$256,MATCH($A129,Market_Daily!$A$6:$A$256,0))*($M129-$A129)/day_count_inr)/(1+INDEX(Market_Daily!$J$6:$J$256,MATCH($A129,Market_Daily!$A$6:$A$256,0))*($M129-$A129)/day_count_usd)))))</f>
        <v/>
      </c>
      <c r="AM129" s="8">
        <f>IF(OR($J129="INR",$R129&gt;1),"",$AL129-$X129)</f>
        <v/>
      </c>
      <c r="AN129" s="8">
        <f>$U129</f>
        <v/>
      </c>
      <c r="AO129" s="8">
        <f>$AN129*IF($J129="INR",1,$AL129)</f>
        <v/>
      </c>
      <c r="AP129" s="18">
        <f>$AO129-$V129</f>
        <v/>
      </c>
      <c r="AQ129" s="8">
        <f>IF(ABS($AP129)&lt;=tol_trade_inr,"PASS","FAIL")</f>
        <v/>
      </c>
    </row>
    <row r="130">
      <c r="A130" s="11" t="n">
        <v>44643</v>
      </c>
      <c r="B130" s="7" t="inlineStr">
        <is>
          <t>T01</t>
        </is>
      </c>
      <c r="C130" s="7" t="inlineStr">
        <is>
          <t>FREIGHT:L2</t>
        </is>
      </c>
      <c r="D130" s="7" t="inlineStr">
        <is>
          <t>FREIGHT</t>
        </is>
      </c>
      <c r="E130" s="7" t="inlineStr">
        <is>
          <t>physical</t>
        </is>
      </c>
      <c r="F130" s="7" t="inlineStr">
        <is>
          <t>L2</t>
        </is>
      </c>
      <c r="G130" s="7" t="inlineStr">
        <is>
          <t>Meridian Box Lines NVOCC (SIM)</t>
        </is>
      </c>
      <c r="H130" s="7" t="inlineStr">
        <is>
          <t>zorba</t>
        </is>
      </c>
      <c r="I130" s="7" t="inlineStr">
        <is>
          <t>USEC_MUN</t>
        </is>
      </c>
      <c r="J130" s="7" t="inlineStr">
        <is>
          <t>USD</t>
        </is>
      </c>
      <c r="K130" s="7" t="inlineStr">
        <is>
          <t>fixed_unsettled</t>
        </is>
      </c>
      <c r="L130" s="7" t="inlineStr">
        <is>
          <t>PNL</t>
        </is>
      </c>
      <c r="M130" s="11" t="n">
        <v>44697</v>
      </c>
      <c r="N130" s="13" t="n">
        <v>840</v>
      </c>
      <c r="O130" s="6" t="n">
        <v>0</v>
      </c>
      <c r="P130" s="13" t="n">
        <v>0</v>
      </c>
      <c r="Q130" s="22" t="n">
        <v>31</v>
      </c>
      <c r="R130" s="6" t="n">
        <v>1</v>
      </c>
      <c r="U130" s="9" t="n">
        <v>-86800</v>
      </c>
      <c r="V130" s="9" t="n">
        <v>-6666916.52</v>
      </c>
      <c r="X130" s="9" t="n">
        <v>76.8078</v>
      </c>
      <c r="AK130" s="7" t="inlineStr">
        <is>
          <t>PYTHON_LIFECYCLE</t>
        </is>
      </c>
      <c r="AL130" s="8">
        <f>IF($J130="INR",1,IF($M130&lt;$A130,INDEX(Market_Daily!$F$6:$F$256,MATCH($M130,Market_Daily!$A$6:$A$256,1)),IF($M130=$A130,INDEX(Market_Daily!$F$6:$F$256,MATCH($A130,Market_Daily!$A$6:$A$256,0)),(INDEX(Market_Daily!$F$6:$F$256,MATCH($A130,Market_Daily!$A$6:$A$256,0))*(1+INDEX(Market_Daily!$I$6:$I$256,MATCH($A130,Market_Daily!$A$6:$A$256,0))*($M130-$A130)/day_count_inr)/(1+INDEX(Market_Daily!$J$6:$J$256,MATCH($A130,Market_Daily!$A$6:$A$256,0))*($M130-$A130)/day_count_usd)))))</f>
        <v/>
      </c>
      <c r="AM130" s="8">
        <f>IF(OR($J130="INR",$R130&gt;1),"",$AL130-$X130)</f>
        <v/>
      </c>
      <c r="AN130" s="8">
        <f>$U130</f>
        <v/>
      </c>
      <c r="AO130" s="8">
        <f>$AN130*IF($J130="INR",1,$AL130)</f>
        <v/>
      </c>
      <c r="AP130" s="18">
        <f>$AO130-$V130</f>
        <v/>
      </c>
      <c r="AQ130" s="8">
        <f>IF(ABS($AP130)&lt;=tol_trade_inr,"PASS","FAIL")</f>
        <v/>
      </c>
    </row>
    <row r="131">
      <c r="A131" s="11" t="n">
        <v>44643</v>
      </c>
      <c r="B131" s="7" t="inlineStr">
        <is>
          <t>T01</t>
        </is>
      </c>
      <c r="C131" s="7" t="inlineStr">
        <is>
          <t>FREIGHT:L3</t>
        </is>
      </c>
      <c r="D131" s="7" t="inlineStr">
        <is>
          <t>FREIGHT</t>
        </is>
      </c>
      <c r="E131" s="7" t="inlineStr">
        <is>
          <t>physical</t>
        </is>
      </c>
      <c r="F131" s="7" t="inlineStr">
        <is>
          <t>L3</t>
        </is>
      </c>
      <c r="G131" s="7" t="inlineStr">
        <is>
          <t>Meridian Box Lines NVOCC (SIM)</t>
        </is>
      </c>
      <c r="H131" s="7" t="inlineStr">
        <is>
          <t>zorba</t>
        </is>
      </c>
      <c r="I131" s="7" t="inlineStr">
        <is>
          <t>USEC_MUN</t>
        </is>
      </c>
      <c r="J131" s="7" t="inlineStr">
        <is>
          <t>USD</t>
        </is>
      </c>
      <c r="K131" s="7" t="inlineStr">
        <is>
          <t>fixed_unsettled</t>
        </is>
      </c>
      <c r="L131" s="7" t="inlineStr">
        <is>
          <t>PNL</t>
        </is>
      </c>
      <c r="M131" s="11" t="n">
        <v>44698</v>
      </c>
      <c r="N131" s="13" t="n">
        <v>840</v>
      </c>
      <c r="O131" s="6" t="n">
        <v>0</v>
      </c>
      <c r="P131" s="13" t="n">
        <v>0</v>
      </c>
      <c r="Q131" s="22" t="n">
        <v>31</v>
      </c>
      <c r="R131" s="6" t="n">
        <v>1</v>
      </c>
      <c r="U131" s="9" t="n">
        <v>-86800</v>
      </c>
      <c r="V131" s="9" t="n">
        <v>-6667509.99</v>
      </c>
      <c r="X131" s="9" t="n">
        <v>76.8146</v>
      </c>
      <c r="AK131" s="7" t="inlineStr">
        <is>
          <t>PYTHON_LIFECYCLE</t>
        </is>
      </c>
      <c r="AL131" s="8">
        <f>IF($J131="INR",1,IF($M131&lt;$A131,INDEX(Market_Daily!$F$6:$F$256,MATCH($M131,Market_Daily!$A$6:$A$256,1)),IF($M131=$A131,INDEX(Market_Daily!$F$6:$F$256,MATCH($A131,Market_Daily!$A$6:$A$256,0)),(INDEX(Market_Daily!$F$6:$F$256,MATCH($A131,Market_Daily!$A$6:$A$256,0))*(1+INDEX(Market_Daily!$I$6:$I$256,MATCH($A131,Market_Daily!$A$6:$A$256,0))*($M131-$A131)/day_count_inr)/(1+INDEX(Market_Daily!$J$6:$J$256,MATCH($A131,Market_Daily!$A$6:$A$256,0))*($M131-$A131)/day_count_usd)))))</f>
        <v/>
      </c>
      <c r="AM131" s="8">
        <f>IF(OR($J131="INR",$R131&gt;1),"",$AL131-$X131)</f>
        <v/>
      </c>
      <c r="AN131" s="8">
        <f>$U131</f>
        <v/>
      </c>
      <c r="AO131" s="8">
        <f>$AN131*IF($J131="INR",1,$AL131)</f>
        <v/>
      </c>
      <c r="AP131" s="18">
        <f>$AO131-$V131</f>
        <v/>
      </c>
      <c r="AQ131" s="8">
        <f>IF(ABS($AP131)&lt;=tol_trade_inr,"PASS","FAIL")</f>
        <v/>
      </c>
    </row>
    <row r="132">
      <c r="A132" s="11" t="n">
        <v>44643</v>
      </c>
      <c r="B132" s="7" t="inlineStr">
        <is>
          <t>T01</t>
        </is>
      </c>
      <c r="C132" s="7" t="inlineStr">
        <is>
          <t>FX:T01-FX-4</t>
        </is>
      </c>
      <c r="D132" s="7" t="inlineStr">
        <is>
          <t>FX</t>
        </is>
      </c>
      <c r="E132" s="7" t="inlineStr">
        <is>
          <t>fx_forward</t>
        </is>
      </c>
      <c r="H132" s="7" t="inlineStr">
        <is>
          <t>zorba</t>
        </is>
      </c>
      <c r="I132" s="7" t="inlineStr">
        <is>
          <t>USEC_MUN</t>
        </is>
      </c>
      <c r="J132" s="7" t="inlineStr">
        <is>
          <t>INR</t>
        </is>
      </c>
      <c r="K132" s="7" t="inlineStr">
        <is>
          <t>floating</t>
        </is>
      </c>
      <c r="L132" s="7" t="inlineStr">
        <is>
          <t>PNL</t>
        </is>
      </c>
      <c r="M132" s="11" t="n">
        <v>44697</v>
      </c>
      <c r="N132" s="13" t="n">
        <v>0</v>
      </c>
      <c r="O132" s="6" t="n">
        <v>0</v>
      </c>
      <c r="P132" s="13" t="n">
        <v>260400</v>
      </c>
      <c r="Q132" s="22" t="n">
        <v>31</v>
      </c>
      <c r="R132" s="6" t="n">
        <v>1</v>
      </c>
      <c r="S132" s="12" t="n">
        <v>44697</v>
      </c>
      <c r="T132" s="21" t="n">
        <v>76.62367500000001</v>
      </c>
      <c r="U132" s="9" t="n">
        <v>47944.54</v>
      </c>
      <c r="V132" s="9" t="n">
        <v>47944.54</v>
      </c>
      <c r="X132" s="9" t="n">
        <v>76.4383</v>
      </c>
      <c r="AK132" s="7" t="inlineStr">
        <is>
          <t>DERIVED_IN_WORKBOOK</t>
        </is>
      </c>
      <c r="AL132" s="8">
        <f>IF($J132="INR",1,IF($M132&lt;$A132,INDEX(Market_Daily!$F$6:$F$256,MATCH($M132,Market_Daily!$A$6:$A$256,1)),IF($M132=$A132,INDEX(Market_Daily!$F$6:$F$256,MATCH($A132,Market_Daily!$A$6:$A$256,0)),(INDEX(Market_Daily!$F$6:$F$256,MATCH($A132,Market_Daily!$A$6:$A$256,0))*(1+INDEX(Market_Daily!$I$6:$I$256,MATCH($A132,Market_Daily!$A$6:$A$256,0))*($M132-$A132)/day_count_inr)/(1+INDEX(Market_Daily!$J$6:$J$256,MATCH($A132,Market_Daily!$A$6:$A$256,0))*($M132-$A132)/day_count_usd)))))</f>
        <v/>
      </c>
      <c r="AM132" s="8">
        <f>IF(OR($J132="INR",$R132&gt;1),"",$AL132-$X132)</f>
        <v/>
      </c>
      <c r="AN132" s="8">
        <f>$P132*(IF($S132&lt;$A132,INDEX(Market_Daily!$F$6:$F$256,MATCH($S132,Market_Daily!$A$6:$A$256,1)),IF($S132=$A132,INDEX(Market_Daily!$F$6:$F$256,MATCH($A132,Market_Daily!$A$6:$A$256,0)),(INDEX(Market_Daily!$F$6:$F$256,MATCH($A132,Market_Daily!$A$6:$A$256,0))*(1+INDEX(Market_Daily!$I$6:$I$256,MATCH($A132,Market_Daily!$A$6:$A$256,0))*($S132-$A132)/day_count_inr)/(1+INDEX(Market_Daily!$J$6:$J$256,MATCH($A132,Market_Daily!$A$6:$A$256,0))*($S132-$A132)/day_count_usd))))-$T132)</f>
        <v/>
      </c>
      <c r="AO132" s="8">
        <f>$AN132</f>
        <v/>
      </c>
      <c r="AP132" s="18">
        <f>$AO132-$V132</f>
        <v/>
      </c>
      <c r="AQ132" s="8">
        <f>IF(ABS($AP132)&lt;=tol_trade_inr,"PASS","FAIL")</f>
        <v/>
      </c>
    </row>
    <row r="133">
      <c r="A133" s="11" t="n">
        <v>44643</v>
      </c>
      <c r="B133" s="7" t="inlineStr">
        <is>
          <t>T01</t>
        </is>
      </c>
      <c r="C133" s="7" t="inlineStr">
        <is>
          <t>IGST:L1</t>
        </is>
      </c>
      <c r="D133" s="7" t="inlineStr">
        <is>
          <t>IGST</t>
        </is>
      </c>
      <c r="E133" s="7" t="inlineStr">
        <is>
          <t>physical</t>
        </is>
      </c>
      <c r="F133" s="7" t="inlineStr">
        <is>
          <t>L1</t>
        </is>
      </c>
      <c r="H133" s="7" t="inlineStr">
        <is>
          <t>zorba</t>
        </is>
      </c>
      <c r="I133" s="7" t="inlineStr">
        <is>
          <t>USEC_MUN</t>
        </is>
      </c>
      <c r="J133" s="7" t="inlineStr">
        <is>
          <t>INR</t>
        </is>
      </c>
      <c r="K133" s="7" t="inlineStr">
        <is>
          <t>floating</t>
        </is>
      </c>
      <c r="L133" s="7" t="inlineStr">
        <is>
          <t>BS</t>
        </is>
      </c>
      <c r="M133" s="11" t="n">
        <v>44735</v>
      </c>
      <c r="N133" s="13" t="n">
        <v>0</v>
      </c>
      <c r="O133" s="6" t="n">
        <v>0</v>
      </c>
      <c r="P133" s="13" t="n">
        <v>0</v>
      </c>
      <c r="Q133" s="22" t="n">
        <v>31</v>
      </c>
      <c r="R133" s="6" t="n">
        <v>2</v>
      </c>
      <c r="U133" s="9" t="n">
        <v>0</v>
      </c>
      <c r="V133" s="9" t="n">
        <v>0</v>
      </c>
      <c r="X133" s="9" t="n">
        <v>76.4383</v>
      </c>
      <c r="AK133" s="7" t="inlineStr">
        <is>
          <t>PYTHON_MULTI_FLOW_LEG</t>
        </is>
      </c>
      <c r="AL133" s="8">
        <f>IF($J133="INR",1,IF($M133&lt;$A133,INDEX(Market_Daily!$F$6:$F$256,MATCH($M133,Market_Daily!$A$6:$A$256,1)),IF($M133=$A133,INDEX(Market_Daily!$F$6:$F$256,MATCH($A133,Market_Daily!$A$6:$A$256,0)),(INDEX(Market_Daily!$F$6:$F$256,MATCH($A133,Market_Daily!$A$6:$A$256,0))*(1+INDEX(Market_Daily!$I$6:$I$256,MATCH($A133,Market_Daily!$A$6:$A$256,0))*($M133-$A133)/day_count_inr)/(1+INDEX(Market_Daily!$J$6:$J$256,MATCH($A133,Market_Daily!$A$6:$A$256,0))*($M133-$A133)/day_count_usd)))))</f>
        <v/>
      </c>
      <c r="AM133" s="8">
        <f>IF(OR($J133="INR",$R133&gt;1),"",$AL133-$X133)</f>
        <v/>
      </c>
      <c r="AN133" s="8">
        <f>$U133</f>
        <v/>
      </c>
      <c r="AO133" s="8">
        <f>$V133</f>
        <v/>
      </c>
      <c r="AP133" s="18">
        <f>$AO133-$V133</f>
        <v/>
      </c>
      <c r="AQ133" s="8">
        <f>IF(ABS($AP133)&lt;=tol_trade_inr,"PASS","FAIL")</f>
        <v/>
      </c>
    </row>
    <row r="134">
      <c r="A134" s="11" t="n">
        <v>44643</v>
      </c>
      <c r="B134" s="7" t="inlineStr">
        <is>
          <t>T01</t>
        </is>
      </c>
      <c r="C134" s="7" t="inlineStr">
        <is>
          <t>IGST:L2</t>
        </is>
      </c>
      <c r="D134" s="7" t="inlineStr">
        <is>
          <t>IGST</t>
        </is>
      </c>
      <c r="E134" s="7" t="inlineStr">
        <is>
          <t>physical</t>
        </is>
      </c>
      <c r="F134" s="7" t="inlineStr">
        <is>
          <t>L2</t>
        </is>
      </c>
      <c r="H134" s="7" t="inlineStr">
        <is>
          <t>zorba</t>
        </is>
      </c>
      <c r="I134" s="7" t="inlineStr">
        <is>
          <t>USEC_MUN</t>
        </is>
      </c>
      <c r="J134" s="7" t="inlineStr">
        <is>
          <t>INR</t>
        </is>
      </c>
      <c r="K134" s="7" t="inlineStr">
        <is>
          <t>floating</t>
        </is>
      </c>
      <c r="L134" s="7" t="inlineStr">
        <is>
          <t>BS</t>
        </is>
      </c>
      <c r="M134" s="11" t="n">
        <v>44741</v>
      </c>
      <c r="N134" s="13" t="n">
        <v>0</v>
      </c>
      <c r="O134" s="6" t="n">
        <v>0</v>
      </c>
      <c r="P134" s="13" t="n">
        <v>0</v>
      </c>
      <c r="Q134" s="22" t="n">
        <v>31</v>
      </c>
      <c r="R134" s="6" t="n">
        <v>2</v>
      </c>
      <c r="U134" s="9" t="n">
        <v>0</v>
      </c>
      <c r="V134" s="9" t="n">
        <v>0</v>
      </c>
      <c r="X134" s="9" t="n">
        <v>76.4383</v>
      </c>
      <c r="AK134" s="7" t="inlineStr">
        <is>
          <t>PYTHON_MULTI_FLOW_LEG</t>
        </is>
      </c>
      <c r="AL134" s="8">
        <f>IF($J134="INR",1,IF($M134&lt;$A134,INDEX(Market_Daily!$F$6:$F$256,MATCH($M134,Market_Daily!$A$6:$A$256,1)),IF($M134=$A134,INDEX(Market_Daily!$F$6:$F$256,MATCH($A134,Market_Daily!$A$6:$A$256,0)),(INDEX(Market_Daily!$F$6:$F$256,MATCH($A134,Market_Daily!$A$6:$A$256,0))*(1+INDEX(Market_Daily!$I$6:$I$256,MATCH($A134,Market_Daily!$A$6:$A$256,0))*($M134-$A134)/day_count_inr)/(1+INDEX(Market_Daily!$J$6:$J$256,MATCH($A134,Market_Daily!$A$6:$A$256,0))*($M134-$A134)/day_count_usd)))))</f>
        <v/>
      </c>
      <c r="AM134" s="8">
        <f>IF(OR($J134="INR",$R134&gt;1),"",$AL134-$X134)</f>
        <v/>
      </c>
      <c r="AN134" s="8">
        <f>$U134</f>
        <v/>
      </c>
      <c r="AO134" s="8">
        <f>$V134</f>
        <v/>
      </c>
      <c r="AP134" s="18">
        <f>$AO134-$V134</f>
        <v/>
      </c>
      <c r="AQ134" s="8">
        <f>IF(ABS($AP134)&lt;=tol_trade_inr,"PASS","FAIL")</f>
        <v/>
      </c>
    </row>
    <row r="135">
      <c r="A135" s="11" t="n">
        <v>44643</v>
      </c>
      <c r="B135" s="7" t="inlineStr">
        <is>
          <t>T01</t>
        </is>
      </c>
      <c r="C135" s="7" t="inlineStr">
        <is>
          <t>IGST:L3</t>
        </is>
      </c>
      <c r="D135" s="7" t="inlineStr">
        <is>
          <t>IGST</t>
        </is>
      </c>
      <c r="E135" s="7" t="inlineStr">
        <is>
          <t>physical</t>
        </is>
      </c>
      <c r="F135" s="7" t="inlineStr">
        <is>
          <t>L3</t>
        </is>
      </c>
      <c r="H135" s="7" t="inlineStr">
        <is>
          <t>zorba</t>
        </is>
      </c>
      <c r="I135" s="7" t="inlineStr">
        <is>
          <t>USEC_MUN</t>
        </is>
      </c>
      <c r="J135" s="7" t="inlineStr">
        <is>
          <t>INR</t>
        </is>
      </c>
      <c r="K135" s="7" t="inlineStr">
        <is>
          <t>floating</t>
        </is>
      </c>
      <c r="L135" s="7" t="inlineStr">
        <is>
          <t>BS</t>
        </is>
      </c>
      <c r="M135" s="11" t="n">
        <v>44746</v>
      </c>
      <c r="N135" s="13" t="n">
        <v>0</v>
      </c>
      <c r="O135" s="6" t="n">
        <v>0</v>
      </c>
      <c r="P135" s="13" t="n">
        <v>0</v>
      </c>
      <c r="Q135" s="22" t="n">
        <v>31</v>
      </c>
      <c r="R135" s="6" t="n">
        <v>2</v>
      </c>
      <c r="U135" s="9" t="n">
        <v>0</v>
      </c>
      <c r="V135" s="9" t="n">
        <v>0</v>
      </c>
      <c r="X135" s="9" t="n">
        <v>76.4383</v>
      </c>
      <c r="AK135" s="7" t="inlineStr">
        <is>
          <t>PYTHON_MULTI_FLOW_LEG</t>
        </is>
      </c>
      <c r="AL135" s="8">
        <f>IF($J135="INR",1,IF($M135&lt;$A135,INDEX(Market_Daily!$F$6:$F$256,MATCH($M135,Market_Daily!$A$6:$A$256,1)),IF($M135=$A135,INDEX(Market_Daily!$F$6:$F$256,MATCH($A135,Market_Daily!$A$6:$A$256,0)),(INDEX(Market_Daily!$F$6:$F$256,MATCH($A135,Market_Daily!$A$6:$A$256,0))*(1+INDEX(Market_Daily!$I$6:$I$256,MATCH($A135,Market_Daily!$A$6:$A$256,0))*($M135-$A135)/day_count_inr)/(1+INDEX(Market_Daily!$J$6:$J$256,MATCH($A135,Market_Daily!$A$6:$A$256,0))*($M135-$A135)/day_count_usd)))))</f>
        <v/>
      </c>
      <c r="AM135" s="8">
        <f>IF(OR($J135="INR",$R135&gt;1),"",$AL135-$X135)</f>
        <v/>
      </c>
      <c r="AN135" s="8">
        <f>$U135</f>
        <v/>
      </c>
      <c r="AO135" s="8">
        <f>$V135</f>
        <v/>
      </c>
      <c r="AP135" s="18">
        <f>$AO135-$V135</f>
        <v/>
      </c>
      <c r="AQ135" s="8">
        <f>IF(ABS($AP135)&lt;=tol_trade_inr,"PASS","FAIL")</f>
        <v/>
      </c>
    </row>
    <row r="136">
      <c r="A136" s="11" t="n">
        <v>44643</v>
      </c>
      <c r="B136" s="7" t="inlineStr">
        <is>
          <t>T01</t>
        </is>
      </c>
      <c r="C136" s="7" t="inlineStr">
        <is>
          <t>INSURANCE:L1</t>
        </is>
      </c>
      <c r="D136" s="7" t="inlineStr">
        <is>
          <t>INSURANCE</t>
        </is>
      </c>
      <c r="E136" s="7" t="inlineStr">
        <is>
          <t>physical</t>
        </is>
      </c>
      <c r="F136" s="7" t="inlineStr">
        <is>
          <t>L1</t>
        </is>
      </c>
      <c r="H136" s="7" t="inlineStr">
        <is>
          <t>zorba</t>
        </is>
      </c>
      <c r="I136" s="7" t="inlineStr">
        <is>
          <t>USEC_MUN</t>
        </is>
      </c>
      <c r="J136" s="7" t="inlineStr">
        <is>
          <t>USD</t>
        </is>
      </c>
      <c r="K136" s="7" t="inlineStr">
        <is>
          <t>floating</t>
        </is>
      </c>
      <c r="L136" s="7" t="inlineStr">
        <is>
          <t>PNL</t>
        </is>
      </c>
      <c r="M136" s="11" t="n">
        <v>44649</v>
      </c>
      <c r="N136" s="13" t="n">
        <v>840</v>
      </c>
      <c r="O136" s="6" t="n">
        <v>0</v>
      </c>
      <c r="P136" s="13" t="n">
        <v>0</v>
      </c>
      <c r="Q136" s="22" t="n">
        <v>31</v>
      </c>
      <c r="R136" s="6" t="n">
        <v>1</v>
      </c>
      <c r="U136" s="9" t="n">
        <v>-2257.64</v>
      </c>
      <c r="V136" s="9" t="n">
        <v>-172662.91</v>
      </c>
      <c r="X136" s="9" t="n">
        <v>76.4794</v>
      </c>
      <c r="AK136" s="7" t="inlineStr">
        <is>
          <t>PYTHON_LIFECYCLE</t>
        </is>
      </c>
      <c r="AL136" s="8">
        <f>IF($J136="INR",1,IF($M136&lt;$A136,INDEX(Market_Daily!$F$6:$F$256,MATCH($M136,Market_Daily!$A$6:$A$256,1)),IF($M136=$A136,INDEX(Market_Daily!$F$6:$F$256,MATCH($A136,Market_Daily!$A$6:$A$256,0)),(INDEX(Market_Daily!$F$6:$F$256,MATCH($A136,Market_Daily!$A$6:$A$256,0))*(1+INDEX(Market_Daily!$I$6:$I$256,MATCH($A136,Market_Daily!$A$6:$A$256,0))*($M136-$A136)/day_count_inr)/(1+INDEX(Market_Daily!$J$6:$J$256,MATCH($A136,Market_Daily!$A$6:$A$256,0))*($M136-$A136)/day_count_usd)))))</f>
        <v/>
      </c>
      <c r="AM136" s="8">
        <f>IF(OR($J136="INR",$R136&gt;1),"",$AL136-$X136)</f>
        <v/>
      </c>
      <c r="AN136" s="8">
        <f>$U136</f>
        <v/>
      </c>
      <c r="AO136" s="8">
        <f>$AN136*IF($J136="INR",1,$AL136)</f>
        <v/>
      </c>
      <c r="AP136" s="18">
        <f>$AO136-$V136</f>
        <v/>
      </c>
      <c r="AQ136" s="8">
        <f>IF(ABS($AP136)&lt;=tol_trade_inr,"PASS","FAIL")</f>
        <v/>
      </c>
    </row>
    <row r="137">
      <c r="A137" s="11" t="n">
        <v>44643</v>
      </c>
      <c r="B137" s="7" t="inlineStr">
        <is>
          <t>T01</t>
        </is>
      </c>
      <c r="C137" s="7" t="inlineStr">
        <is>
          <t>INSURANCE:L2</t>
        </is>
      </c>
      <c r="D137" s="7" t="inlineStr">
        <is>
          <t>INSURANCE</t>
        </is>
      </c>
      <c r="E137" s="7" t="inlineStr">
        <is>
          <t>physical</t>
        </is>
      </c>
      <c r="F137" s="7" t="inlineStr">
        <is>
          <t>L2</t>
        </is>
      </c>
      <c r="H137" s="7" t="inlineStr">
        <is>
          <t>zorba</t>
        </is>
      </c>
      <c r="I137" s="7" t="inlineStr">
        <is>
          <t>USEC_MUN</t>
        </is>
      </c>
      <c r="J137" s="7" t="inlineStr">
        <is>
          <t>USD</t>
        </is>
      </c>
      <c r="K137" s="7" t="inlineStr">
        <is>
          <t>floating</t>
        </is>
      </c>
      <c r="L137" s="7" t="inlineStr">
        <is>
          <t>PNL</t>
        </is>
      </c>
      <c r="M137" s="11" t="n">
        <v>44655</v>
      </c>
      <c r="N137" s="13" t="n">
        <v>840</v>
      </c>
      <c r="O137" s="6" t="n">
        <v>0</v>
      </c>
      <c r="P137" s="13" t="n">
        <v>0</v>
      </c>
      <c r="Q137" s="22" t="n">
        <v>31</v>
      </c>
      <c r="R137" s="6" t="n">
        <v>1</v>
      </c>
      <c r="U137" s="9" t="n">
        <v>-2257.64</v>
      </c>
      <c r="V137" s="9" t="n">
        <v>-172755.65</v>
      </c>
      <c r="X137" s="9" t="n">
        <v>76.5205</v>
      </c>
      <c r="AK137" s="7" t="inlineStr">
        <is>
          <t>PYTHON_LIFECYCLE</t>
        </is>
      </c>
      <c r="AL137" s="8">
        <f>IF($J137="INR",1,IF($M137&lt;$A137,INDEX(Market_Daily!$F$6:$F$256,MATCH($M137,Market_Daily!$A$6:$A$256,1)),IF($M137=$A137,INDEX(Market_Daily!$F$6:$F$256,MATCH($A137,Market_Daily!$A$6:$A$256,0)),(INDEX(Market_Daily!$F$6:$F$256,MATCH($A137,Market_Daily!$A$6:$A$256,0))*(1+INDEX(Market_Daily!$I$6:$I$256,MATCH($A137,Market_Daily!$A$6:$A$256,0))*($M137-$A137)/day_count_inr)/(1+INDEX(Market_Daily!$J$6:$J$256,MATCH($A137,Market_Daily!$A$6:$A$256,0))*($M137-$A137)/day_count_usd)))))</f>
        <v/>
      </c>
      <c r="AM137" s="8">
        <f>IF(OR($J137="INR",$R137&gt;1),"",$AL137-$X137)</f>
        <v/>
      </c>
      <c r="AN137" s="8">
        <f>$U137</f>
        <v/>
      </c>
      <c r="AO137" s="8">
        <f>$AN137*IF($J137="INR",1,$AL137)</f>
        <v/>
      </c>
      <c r="AP137" s="18">
        <f>$AO137-$V137</f>
        <v/>
      </c>
      <c r="AQ137" s="8">
        <f>IF(ABS($AP137)&lt;=tol_trade_inr,"PASS","FAIL")</f>
        <v/>
      </c>
    </row>
    <row r="138">
      <c r="A138" s="11" t="n">
        <v>44643</v>
      </c>
      <c r="B138" s="7" t="inlineStr">
        <is>
          <t>T01</t>
        </is>
      </c>
      <c r="C138" s="7" t="inlineStr">
        <is>
          <t>INSURANCE:L3</t>
        </is>
      </c>
      <c r="D138" s="7" t="inlineStr">
        <is>
          <t>INSURANCE</t>
        </is>
      </c>
      <c r="E138" s="7" t="inlineStr">
        <is>
          <t>physical</t>
        </is>
      </c>
      <c r="F138" s="7" t="inlineStr">
        <is>
          <t>L3</t>
        </is>
      </c>
      <c r="H138" s="7" t="inlineStr">
        <is>
          <t>zorba</t>
        </is>
      </c>
      <c r="I138" s="7" t="inlineStr">
        <is>
          <t>USEC_MUN</t>
        </is>
      </c>
      <c r="J138" s="7" t="inlineStr">
        <is>
          <t>USD</t>
        </is>
      </c>
      <c r="K138" s="7" t="inlineStr">
        <is>
          <t>floating</t>
        </is>
      </c>
      <c r="L138" s="7" t="inlineStr">
        <is>
          <t>PNL</t>
        </is>
      </c>
      <c r="M138" s="11" t="n">
        <v>44658</v>
      </c>
      <c r="N138" s="13" t="n">
        <v>840</v>
      </c>
      <c r="O138" s="6" t="n">
        <v>0</v>
      </c>
      <c r="P138" s="13" t="n">
        <v>0</v>
      </c>
      <c r="Q138" s="22" t="n">
        <v>31</v>
      </c>
      <c r="R138" s="6" t="n">
        <v>1</v>
      </c>
      <c r="U138" s="9" t="n">
        <v>-2257.64</v>
      </c>
      <c r="V138" s="9" t="n">
        <v>-172802.01</v>
      </c>
      <c r="X138" s="9" t="n">
        <v>76.541</v>
      </c>
      <c r="AK138" s="7" t="inlineStr">
        <is>
          <t>PYTHON_LIFECYCLE</t>
        </is>
      </c>
      <c r="AL138" s="8">
        <f>IF($J138="INR",1,IF($M138&lt;$A138,INDEX(Market_Daily!$F$6:$F$256,MATCH($M138,Market_Daily!$A$6:$A$256,1)),IF($M138=$A138,INDEX(Market_Daily!$F$6:$F$256,MATCH($A138,Market_Daily!$A$6:$A$256,0)),(INDEX(Market_Daily!$F$6:$F$256,MATCH($A138,Market_Daily!$A$6:$A$256,0))*(1+INDEX(Market_Daily!$I$6:$I$256,MATCH($A138,Market_Daily!$A$6:$A$256,0))*($M138-$A138)/day_count_inr)/(1+INDEX(Market_Daily!$J$6:$J$256,MATCH($A138,Market_Daily!$A$6:$A$256,0))*($M138-$A138)/day_count_usd)))))</f>
        <v/>
      </c>
      <c r="AM138" s="8">
        <f>IF(OR($J138="INR",$R138&gt;1),"",$AL138-$X138)</f>
        <v/>
      </c>
      <c r="AN138" s="8">
        <f>$U138</f>
        <v/>
      </c>
      <c r="AO138" s="8">
        <f>$AN138*IF($J138="INR",1,$AL138)</f>
        <v/>
      </c>
      <c r="AP138" s="18">
        <f>$AO138-$V138</f>
        <v/>
      </c>
      <c r="AQ138" s="8">
        <f>IF(ABS($AP138)&lt;=tol_trade_inr,"PASS","FAIL")</f>
        <v/>
      </c>
    </row>
    <row r="139">
      <c r="A139" s="11" t="n">
        <v>44643</v>
      </c>
      <c r="B139" s="7" t="inlineStr">
        <is>
          <t>T01</t>
        </is>
      </c>
      <c r="C139" s="7" t="inlineStr">
        <is>
          <t>INVENTORY:L1</t>
        </is>
      </c>
      <c r="D139" s="7" t="inlineStr">
        <is>
          <t>INVENTORY</t>
        </is>
      </c>
      <c r="E139" s="7" t="inlineStr">
        <is>
          <t>physical</t>
        </is>
      </c>
      <c r="F139" s="7" t="inlineStr">
        <is>
          <t>L1</t>
        </is>
      </c>
      <c r="H139" s="7" t="inlineStr">
        <is>
          <t>zorba</t>
        </is>
      </c>
      <c r="I139" s="7" t="inlineStr">
        <is>
          <t>USEC_MUN</t>
        </is>
      </c>
      <c r="J139" s="7" t="inlineStr">
        <is>
          <t>INR</t>
        </is>
      </c>
      <c r="K139" s="7" t="inlineStr">
        <is>
          <t>fixed_unsettled</t>
        </is>
      </c>
      <c r="L139" s="7" t="inlineStr">
        <is>
          <t>PNL</t>
        </is>
      </c>
      <c r="N139" s="13" t="n">
        <v>840</v>
      </c>
      <c r="O139" s="6" t="n">
        <v>0</v>
      </c>
      <c r="P139" s="13" t="n">
        <v>0</v>
      </c>
      <c r="Q139" s="22" t="n">
        <v>31</v>
      </c>
      <c r="R139" s="6" t="n">
        <v>0</v>
      </c>
      <c r="U139" s="9" t="n">
        <v>166813459.41</v>
      </c>
      <c r="V139" s="9" t="n">
        <v>166813459.41</v>
      </c>
      <c r="W139" s="9" t="n">
        <v>198587.4517</v>
      </c>
      <c r="X139" s="9" t="n">
        <v>76.4383</v>
      </c>
      <c r="Y139" s="8">
        <f>IF($I139="JEA_NSA","20ft","40ft")</f>
        <v/>
      </c>
      <c r="Z139" s="8">
        <f>IF($I139="JEA_NSA","nsa","mun")</f>
        <v/>
      </c>
      <c r="AA139" s="8">
        <f>INDEX(param_values,MATCH("container_payload_mt_"&amp;$Y139,param_keys,0))/INDEX(param_values,MATCH("container_payload_mt_"&amp;$Y139&amp;"_"&amp;$H139,param_keys,0))</f>
        <v/>
      </c>
      <c r="AB139" s="16">
        <f>INDEX(Market_Daily!$C$6:$C$256,MATCH($A139,Market_Daily!$A$6:$A$256,0))*INDEX(Market_Daily!$X$6:$Z$256,MATCH($A139,Market_Daily!$A$6:$A$256,0),MATCH("grade_factor_"&amp;$H139,Market_Daily!$X$5:$Z$5,0))</f>
        <v/>
      </c>
      <c r="AC139" s="16">
        <f>$AB139*(1+insurance_rate*insured_value_uplift)</f>
        <v/>
      </c>
      <c r="AD139" s="8">
        <f>(INDEX(Market_Daily!$F$6:$F$256,MATCH($A139,Market_Daily!$A$6:$A$256,0))*(1+INDEX(Market_Daily!$I$6:$I$256,MATCH($A139,Market_Daily!$A$6:$A$256,0))*$Q139/day_count_inr)/(1+INDEX(Market_Daily!$J$6:$J$256,MATCH($A139,Market_Daily!$A$6:$A$256,0))*$Q139/day_count_usd))</f>
        <v/>
      </c>
      <c r="AE139" s="18">
        <f>$AC139*$AD139</f>
        <v/>
      </c>
      <c r="AF139" s="18">
        <f>$AC139*INDEX(Market_Daily!$V$6:$V$256,MATCH($A139,Market_Daily!$A$6:$A$256,0))</f>
        <v/>
      </c>
      <c r="AG139" s="18">
        <f>$AF139*bcd_scrap_hs7602*(1+sws_rate_on_bcd)</f>
        <v/>
      </c>
      <c r="AH139" s="18">
        <f>INDEX(param_values,MATCH("port_cf_charges_inr_t_"&amp;$Z139,param_keys,0))*$AA139+IF(INDEX(param_values,MATCH(IF($I139="JEA_NSA","psic_required_uae_origin","psic_required_safe_origin_designated_port"),param_keys,0)),psic_cost_usd_per_box*INDEX(Market_Daily!$F$6:$F$256,MATCH($A139,Market_Daily!$A$6:$A$256,0))/INDEX(param_values,MATCH("container_payload_mt_20ft_"&amp;$H139,param_keys,0)),0)</f>
        <v/>
      </c>
      <c r="AI139" s="18">
        <f>IF(igst_itc_available,0,($AF139+$AG139)*igst_rate_hs7602)</f>
        <v/>
      </c>
      <c r="AJ139" s="18">
        <f>$AE139+$AG139+$AH139+$AI139</f>
        <v/>
      </c>
      <c r="AK139" s="7" t="inlineStr">
        <is>
          <t>DERIVED_IN_WORKBOOK</t>
        </is>
      </c>
      <c r="AL139" s="8">
        <f>IF($J139="INR",1,IF($M139&lt;$A139,INDEX(Market_Daily!$F$6:$F$256,MATCH($M139,Market_Daily!$A$6:$A$256,1)),IF($M139=$A139,INDEX(Market_Daily!$F$6:$F$256,MATCH($A139,Market_Daily!$A$6:$A$256,0)),(INDEX(Market_Daily!$F$6:$F$256,MATCH($A139,Market_Daily!$A$6:$A$256,0))*(1+INDEX(Market_Daily!$I$6:$I$256,MATCH($A139,Market_Daily!$A$6:$A$256,0))*($M139-$A139)/day_count_inr)/(1+INDEX(Market_Daily!$J$6:$J$256,MATCH($A139,Market_Daily!$A$6:$A$256,0))*($M139-$A139)/day_count_usd)))))</f>
        <v/>
      </c>
      <c r="AM139" s="8">
        <f>IF(OR($J139="INR",$R139&gt;1),"",$AL139-$X139)</f>
        <v/>
      </c>
      <c r="AN139" s="8">
        <f>$N139*$AJ139</f>
        <v/>
      </c>
      <c r="AO139" s="8">
        <f>$AN139</f>
        <v/>
      </c>
      <c r="AP139" s="18">
        <f>$AO139-$V139</f>
        <v/>
      </c>
      <c r="AQ139" s="8">
        <f>IF(ABS($AP139)&lt;=tol_trade_inr,"PASS","FAIL")</f>
        <v/>
      </c>
    </row>
    <row r="140">
      <c r="A140" s="11" t="n">
        <v>44643</v>
      </c>
      <c r="B140" s="7" t="inlineStr">
        <is>
          <t>T01</t>
        </is>
      </c>
      <c r="C140" s="7" t="inlineStr">
        <is>
          <t>INVENTORY:L2</t>
        </is>
      </c>
      <c r="D140" s="7" t="inlineStr">
        <is>
          <t>INVENTORY</t>
        </is>
      </c>
      <c r="E140" s="7" t="inlineStr">
        <is>
          <t>physical</t>
        </is>
      </c>
      <c r="F140" s="7" t="inlineStr">
        <is>
          <t>L2</t>
        </is>
      </c>
      <c r="H140" s="7" t="inlineStr">
        <is>
          <t>zorba</t>
        </is>
      </c>
      <c r="I140" s="7" t="inlineStr">
        <is>
          <t>USEC_MUN</t>
        </is>
      </c>
      <c r="J140" s="7" t="inlineStr">
        <is>
          <t>INR</t>
        </is>
      </c>
      <c r="K140" s="7" t="inlineStr">
        <is>
          <t>fixed_unsettled</t>
        </is>
      </c>
      <c r="L140" s="7" t="inlineStr">
        <is>
          <t>PNL</t>
        </is>
      </c>
      <c r="N140" s="13" t="n">
        <v>840</v>
      </c>
      <c r="O140" s="6" t="n">
        <v>0</v>
      </c>
      <c r="P140" s="13" t="n">
        <v>0</v>
      </c>
      <c r="Q140" s="22" t="n">
        <v>31</v>
      </c>
      <c r="R140" s="6" t="n">
        <v>0</v>
      </c>
      <c r="U140" s="9" t="n">
        <v>166813459.41</v>
      </c>
      <c r="V140" s="9" t="n">
        <v>166813459.41</v>
      </c>
      <c r="W140" s="9" t="n">
        <v>198587.4517</v>
      </c>
      <c r="X140" s="9" t="n">
        <v>76.4383</v>
      </c>
      <c r="Y140" s="8">
        <f>IF($I140="JEA_NSA","20ft","40ft")</f>
        <v/>
      </c>
      <c r="Z140" s="8">
        <f>IF($I140="JEA_NSA","nsa","mun")</f>
        <v/>
      </c>
      <c r="AA140" s="8">
        <f>INDEX(param_values,MATCH("container_payload_mt_"&amp;$Y140,param_keys,0))/INDEX(param_values,MATCH("container_payload_mt_"&amp;$Y140&amp;"_"&amp;$H140,param_keys,0))</f>
        <v/>
      </c>
      <c r="AB140" s="16">
        <f>INDEX(Market_Daily!$C$6:$C$256,MATCH($A140,Market_Daily!$A$6:$A$256,0))*INDEX(Market_Daily!$X$6:$Z$256,MATCH($A140,Market_Daily!$A$6:$A$256,0),MATCH("grade_factor_"&amp;$H140,Market_Daily!$X$5:$Z$5,0))</f>
        <v/>
      </c>
      <c r="AC140" s="16">
        <f>$AB140*(1+insurance_rate*insured_value_uplift)</f>
        <v/>
      </c>
      <c r="AD140" s="8">
        <f>(INDEX(Market_Daily!$F$6:$F$256,MATCH($A140,Market_Daily!$A$6:$A$256,0))*(1+INDEX(Market_Daily!$I$6:$I$256,MATCH($A140,Market_Daily!$A$6:$A$256,0))*$Q140/day_count_inr)/(1+INDEX(Market_Daily!$J$6:$J$256,MATCH($A140,Market_Daily!$A$6:$A$256,0))*$Q140/day_count_usd))</f>
        <v/>
      </c>
      <c r="AE140" s="18">
        <f>$AC140*$AD140</f>
        <v/>
      </c>
      <c r="AF140" s="18">
        <f>$AC140*INDEX(Market_Daily!$V$6:$V$256,MATCH($A140,Market_Daily!$A$6:$A$256,0))</f>
        <v/>
      </c>
      <c r="AG140" s="18">
        <f>$AF140*bcd_scrap_hs7602*(1+sws_rate_on_bcd)</f>
        <v/>
      </c>
      <c r="AH140" s="18">
        <f>INDEX(param_values,MATCH("port_cf_charges_inr_t_"&amp;$Z140,param_keys,0))*$AA140+IF(INDEX(param_values,MATCH(IF($I140="JEA_NSA","psic_required_uae_origin","psic_required_safe_origin_designated_port"),param_keys,0)),psic_cost_usd_per_box*INDEX(Market_Daily!$F$6:$F$256,MATCH($A140,Market_Daily!$A$6:$A$256,0))/INDEX(param_values,MATCH("container_payload_mt_20ft_"&amp;$H140,param_keys,0)),0)</f>
        <v/>
      </c>
      <c r="AI140" s="18">
        <f>IF(igst_itc_available,0,($AF140+$AG140)*igst_rate_hs7602)</f>
        <v/>
      </c>
      <c r="AJ140" s="18">
        <f>$AE140+$AG140+$AH140+$AI140</f>
        <v/>
      </c>
      <c r="AK140" s="7" t="inlineStr">
        <is>
          <t>DERIVED_IN_WORKBOOK</t>
        </is>
      </c>
      <c r="AL140" s="8">
        <f>IF($J140="INR",1,IF($M140&lt;$A140,INDEX(Market_Daily!$F$6:$F$256,MATCH($M140,Market_Daily!$A$6:$A$256,1)),IF($M140=$A140,INDEX(Market_Daily!$F$6:$F$256,MATCH($A140,Market_Daily!$A$6:$A$256,0)),(INDEX(Market_Daily!$F$6:$F$256,MATCH($A140,Market_Daily!$A$6:$A$256,0))*(1+INDEX(Market_Daily!$I$6:$I$256,MATCH($A140,Market_Daily!$A$6:$A$256,0))*($M140-$A140)/day_count_inr)/(1+INDEX(Market_Daily!$J$6:$J$256,MATCH($A140,Market_Daily!$A$6:$A$256,0))*($M140-$A140)/day_count_usd)))))</f>
        <v/>
      </c>
      <c r="AM140" s="8">
        <f>IF(OR($J140="INR",$R140&gt;1),"",$AL140-$X140)</f>
        <v/>
      </c>
      <c r="AN140" s="8">
        <f>$N140*$AJ140</f>
        <v/>
      </c>
      <c r="AO140" s="8">
        <f>$AN140</f>
        <v/>
      </c>
      <c r="AP140" s="18">
        <f>$AO140-$V140</f>
        <v/>
      </c>
      <c r="AQ140" s="8">
        <f>IF(ABS($AP140)&lt;=tol_trade_inr,"PASS","FAIL")</f>
        <v/>
      </c>
    </row>
    <row r="141">
      <c r="A141" s="11" t="n">
        <v>44643</v>
      </c>
      <c r="B141" s="7" t="inlineStr">
        <is>
          <t>T01</t>
        </is>
      </c>
      <c r="C141" s="7" t="inlineStr">
        <is>
          <t>INVENTORY:L3</t>
        </is>
      </c>
      <c r="D141" s="7" t="inlineStr">
        <is>
          <t>INVENTORY</t>
        </is>
      </c>
      <c r="E141" s="7" t="inlineStr">
        <is>
          <t>physical</t>
        </is>
      </c>
      <c r="F141" s="7" t="inlineStr">
        <is>
          <t>L3</t>
        </is>
      </c>
      <c r="H141" s="7" t="inlineStr">
        <is>
          <t>zorba</t>
        </is>
      </c>
      <c r="I141" s="7" t="inlineStr">
        <is>
          <t>USEC_MUN</t>
        </is>
      </c>
      <c r="J141" s="7" t="inlineStr">
        <is>
          <t>INR</t>
        </is>
      </c>
      <c r="K141" s="7" t="inlineStr">
        <is>
          <t>fixed_unsettled</t>
        </is>
      </c>
      <c r="L141" s="7" t="inlineStr">
        <is>
          <t>PNL</t>
        </is>
      </c>
      <c r="N141" s="13" t="n">
        <v>840</v>
      </c>
      <c r="O141" s="6" t="n">
        <v>0</v>
      </c>
      <c r="P141" s="13" t="n">
        <v>0</v>
      </c>
      <c r="Q141" s="22" t="n">
        <v>31</v>
      </c>
      <c r="R141" s="6" t="n">
        <v>0</v>
      </c>
      <c r="U141" s="9" t="n">
        <v>166813459.41</v>
      </c>
      <c r="V141" s="9" t="n">
        <v>166813459.41</v>
      </c>
      <c r="W141" s="9" t="n">
        <v>198587.4517</v>
      </c>
      <c r="X141" s="9" t="n">
        <v>76.4383</v>
      </c>
      <c r="Y141" s="8">
        <f>IF($I141="JEA_NSA","20ft","40ft")</f>
        <v/>
      </c>
      <c r="Z141" s="8">
        <f>IF($I141="JEA_NSA","nsa","mun")</f>
        <v/>
      </c>
      <c r="AA141" s="8">
        <f>INDEX(param_values,MATCH("container_payload_mt_"&amp;$Y141,param_keys,0))/INDEX(param_values,MATCH("container_payload_mt_"&amp;$Y141&amp;"_"&amp;$H141,param_keys,0))</f>
        <v/>
      </c>
      <c r="AB141" s="16">
        <f>INDEX(Market_Daily!$C$6:$C$256,MATCH($A141,Market_Daily!$A$6:$A$256,0))*INDEX(Market_Daily!$X$6:$Z$256,MATCH($A141,Market_Daily!$A$6:$A$256,0),MATCH("grade_factor_"&amp;$H141,Market_Daily!$X$5:$Z$5,0))</f>
        <v/>
      </c>
      <c r="AC141" s="16">
        <f>$AB141*(1+insurance_rate*insured_value_uplift)</f>
        <v/>
      </c>
      <c r="AD141" s="8">
        <f>(INDEX(Market_Daily!$F$6:$F$256,MATCH($A141,Market_Daily!$A$6:$A$256,0))*(1+INDEX(Market_Daily!$I$6:$I$256,MATCH($A141,Market_Daily!$A$6:$A$256,0))*$Q141/day_count_inr)/(1+INDEX(Market_Daily!$J$6:$J$256,MATCH($A141,Market_Daily!$A$6:$A$256,0))*$Q141/day_count_usd))</f>
        <v/>
      </c>
      <c r="AE141" s="18">
        <f>$AC141*$AD141</f>
        <v/>
      </c>
      <c r="AF141" s="18">
        <f>$AC141*INDEX(Market_Daily!$V$6:$V$256,MATCH($A141,Market_Daily!$A$6:$A$256,0))</f>
        <v/>
      </c>
      <c r="AG141" s="18">
        <f>$AF141*bcd_scrap_hs7602*(1+sws_rate_on_bcd)</f>
        <v/>
      </c>
      <c r="AH141" s="18">
        <f>INDEX(param_values,MATCH("port_cf_charges_inr_t_"&amp;$Z141,param_keys,0))*$AA141+IF(INDEX(param_values,MATCH(IF($I141="JEA_NSA","psic_required_uae_origin","psic_required_safe_origin_designated_port"),param_keys,0)),psic_cost_usd_per_box*INDEX(Market_Daily!$F$6:$F$256,MATCH($A141,Market_Daily!$A$6:$A$256,0))/INDEX(param_values,MATCH("container_payload_mt_20ft_"&amp;$H141,param_keys,0)),0)</f>
        <v/>
      </c>
      <c r="AI141" s="18">
        <f>IF(igst_itc_available,0,($AF141+$AG141)*igst_rate_hs7602)</f>
        <v/>
      </c>
      <c r="AJ141" s="18">
        <f>$AE141+$AG141+$AH141+$AI141</f>
        <v/>
      </c>
      <c r="AK141" s="7" t="inlineStr">
        <is>
          <t>DERIVED_IN_WORKBOOK</t>
        </is>
      </c>
      <c r="AL141" s="8">
        <f>IF($J141="INR",1,IF($M141&lt;$A141,INDEX(Market_Daily!$F$6:$F$256,MATCH($M141,Market_Daily!$A$6:$A$256,1)),IF($M141=$A141,INDEX(Market_Daily!$F$6:$F$256,MATCH($A141,Market_Daily!$A$6:$A$256,0)),(INDEX(Market_Daily!$F$6:$F$256,MATCH($A141,Market_Daily!$A$6:$A$256,0))*(1+INDEX(Market_Daily!$I$6:$I$256,MATCH($A141,Market_Daily!$A$6:$A$256,0))*($M141-$A141)/day_count_inr)/(1+INDEX(Market_Daily!$J$6:$J$256,MATCH($A141,Market_Daily!$A$6:$A$256,0))*($M141-$A141)/day_count_usd)))))</f>
        <v/>
      </c>
      <c r="AM141" s="8">
        <f>IF(OR($J141="INR",$R141&gt;1),"",$AL141-$X141)</f>
        <v/>
      </c>
      <c r="AN141" s="8">
        <f>$N141*$AJ141</f>
        <v/>
      </c>
      <c r="AO141" s="8">
        <f>$AN141</f>
        <v/>
      </c>
      <c r="AP141" s="18">
        <f>$AO141-$V141</f>
        <v/>
      </c>
      <c r="AQ141" s="8">
        <f>IF(ABS($AP141)&lt;=tol_trade_inr,"PASS","FAIL")</f>
        <v/>
      </c>
    </row>
    <row r="142">
      <c r="A142" s="11" t="n">
        <v>44643</v>
      </c>
      <c r="B142" s="7" t="inlineStr">
        <is>
          <t>T01</t>
        </is>
      </c>
      <c r="C142" s="7" t="inlineStr">
        <is>
          <t>MCX:T01-MCX-1</t>
        </is>
      </c>
      <c r="D142" s="7" t="inlineStr">
        <is>
          <t>MCX</t>
        </is>
      </c>
      <c r="E142" s="7" t="inlineStr">
        <is>
          <t>mcx</t>
        </is>
      </c>
      <c r="H142" s="7" t="inlineStr">
        <is>
          <t>zorba</t>
        </is>
      </c>
      <c r="I142" s="7" t="inlineStr">
        <is>
          <t>USEC_MUN</t>
        </is>
      </c>
      <c r="J142" s="7" t="inlineStr">
        <is>
          <t>INR</t>
        </is>
      </c>
      <c r="K142" s="7" t="inlineStr">
        <is>
          <t>partially_fixed</t>
        </is>
      </c>
      <c r="L142" s="7" t="inlineStr">
        <is>
          <t>PNL</t>
        </is>
      </c>
      <c r="M142" s="11" t="n">
        <v>44671</v>
      </c>
      <c r="N142" s="13" t="n">
        <v>0</v>
      </c>
      <c r="O142" s="6" t="n">
        <v>-200</v>
      </c>
      <c r="P142" s="13" t="n">
        <v>0</v>
      </c>
      <c r="Q142" s="22" t="n">
        <v>31</v>
      </c>
      <c r="R142" s="6" t="n">
        <v>29</v>
      </c>
      <c r="U142" s="9" t="n">
        <v>0</v>
      </c>
      <c r="V142" s="9" t="n">
        <v>0</v>
      </c>
      <c r="X142" s="9" t="n">
        <v>76.4383</v>
      </c>
      <c r="AK142" s="7" t="inlineStr">
        <is>
          <t>PYTHON_MULTI_FLOW_LEG</t>
        </is>
      </c>
      <c r="AL142" s="8">
        <f>IF($J142="INR",1,IF($M142&lt;$A142,INDEX(Market_Daily!$F$6:$F$256,MATCH($M142,Market_Daily!$A$6:$A$256,1)),IF($M142=$A142,INDEX(Market_Daily!$F$6:$F$256,MATCH($A142,Market_Daily!$A$6:$A$256,0)),(INDEX(Market_Daily!$F$6:$F$256,MATCH($A142,Market_Daily!$A$6:$A$256,0))*(1+INDEX(Market_Daily!$I$6:$I$256,MATCH($A142,Market_Daily!$A$6:$A$256,0))*($M142-$A142)/day_count_inr)/(1+INDEX(Market_Daily!$J$6:$J$256,MATCH($A142,Market_Daily!$A$6:$A$256,0))*($M142-$A142)/day_count_usd)))))</f>
        <v/>
      </c>
      <c r="AM142" s="8">
        <f>IF(OR($J142="INR",$R142&gt;1),"",$AL142-$X142)</f>
        <v/>
      </c>
      <c r="AN142" s="8">
        <f>$U142</f>
        <v/>
      </c>
      <c r="AO142" s="8">
        <f>$V142</f>
        <v/>
      </c>
      <c r="AP142" s="18">
        <f>$AO142-$V142</f>
        <v/>
      </c>
      <c r="AQ142" s="8">
        <f>IF(ABS($AP142)&lt;=tol_trade_inr,"PASS","FAIL")</f>
        <v/>
      </c>
    </row>
    <row r="143">
      <c r="A143" s="11" t="n">
        <v>44643</v>
      </c>
      <c r="B143" s="7" t="inlineStr">
        <is>
          <t>T01</t>
        </is>
      </c>
      <c r="C143" s="7" t="inlineStr">
        <is>
          <t>MCX:T01-MCX-2</t>
        </is>
      </c>
      <c r="D143" s="7" t="inlineStr">
        <is>
          <t>MCX</t>
        </is>
      </c>
      <c r="E143" s="7" t="inlineStr">
        <is>
          <t>mcx</t>
        </is>
      </c>
      <c r="H143" s="7" t="inlineStr">
        <is>
          <t>zorba</t>
        </is>
      </c>
      <c r="I143" s="7" t="inlineStr">
        <is>
          <t>USEC_MUN</t>
        </is>
      </c>
      <c r="J143" s="7" t="inlineStr">
        <is>
          <t>INR</t>
        </is>
      </c>
      <c r="K143" s="7" t="inlineStr">
        <is>
          <t>partially_fixed</t>
        </is>
      </c>
      <c r="L143" s="7" t="inlineStr">
        <is>
          <t>PNL</t>
        </is>
      </c>
      <c r="M143" s="11" t="n">
        <v>44671</v>
      </c>
      <c r="N143" s="13" t="n">
        <v>0</v>
      </c>
      <c r="O143" s="6" t="n">
        <v>-100</v>
      </c>
      <c r="P143" s="13" t="n">
        <v>0</v>
      </c>
      <c r="Q143" s="22" t="n">
        <v>31</v>
      </c>
      <c r="R143" s="6" t="n">
        <v>29</v>
      </c>
      <c r="U143" s="9" t="n">
        <v>0</v>
      </c>
      <c r="V143" s="9" t="n">
        <v>0</v>
      </c>
      <c r="X143" s="9" t="n">
        <v>76.4383</v>
      </c>
      <c r="AK143" s="7" t="inlineStr">
        <is>
          <t>PYTHON_MULTI_FLOW_LEG</t>
        </is>
      </c>
      <c r="AL143" s="8">
        <f>IF($J143="INR",1,IF($M143&lt;$A143,INDEX(Market_Daily!$F$6:$F$256,MATCH($M143,Market_Daily!$A$6:$A$256,1)),IF($M143=$A143,INDEX(Market_Daily!$F$6:$F$256,MATCH($A143,Market_Daily!$A$6:$A$256,0)),(INDEX(Market_Daily!$F$6:$F$256,MATCH($A143,Market_Daily!$A$6:$A$256,0))*(1+INDEX(Market_Daily!$I$6:$I$256,MATCH($A143,Market_Daily!$A$6:$A$256,0))*($M143-$A143)/day_count_inr)/(1+INDEX(Market_Daily!$J$6:$J$256,MATCH($A143,Market_Daily!$A$6:$A$256,0))*($M143-$A143)/day_count_usd)))))</f>
        <v/>
      </c>
      <c r="AM143" s="8">
        <f>IF(OR($J143="INR",$R143&gt;1),"",$AL143-$X143)</f>
        <v/>
      </c>
      <c r="AN143" s="8">
        <f>$U143</f>
        <v/>
      </c>
      <c r="AO143" s="8">
        <f>$V143</f>
        <v/>
      </c>
      <c r="AP143" s="18">
        <f>$AO143-$V143</f>
        <v/>
      </c>
      <c r="AQ143" s="8">
        <f>IF(ABS($AP143)&lt;=tol_trade_inr,"PASS","FAIL")</f>
        <v/>
      </c>
    </row>
    <row r="144">
      <c r="A144" s="11" t="n">
        <v>44643</v>
      </c>
      <c r="B144" s="7" t="inlineStr">
        <is>
          <t>T01</t>
        </is>
      </c>
      <c r="C144" s="7" t="inlineStr">
        <is>
          <t>PORT:L1</t>
        </is>
      </c>
      <c r="D144" s="7" t="inlineStr">
        <is>
          <t>PORT</t>
        </is>
      </c>
      <c r="E144" s="7" t="inlineStr">
        <is>
          <t>physical</t>
        </is>
      </c>
      <c r="F144" s="7" t="inlineStr">
        <is>
          <t>L1</t>
        </is>
      </c>
      <c r="H144" s="7" t="inlineStr">
        <is>
          <t>zorba</t>
        </is>
      </c>
      <c r="I144" s="7" t="inlineStr">
        <is>
          <t>USEC_MUN</t>
        </is>
      </c>
      <c r="J144" s="7" t="inlineStr">
        <is>
          <t>INR</t>
        </is>
      </c>
      <c r="K144" s="7" t="inlineStr">
        <is>
          <t>fixed_unsettled</t>
        </is>
      </c>
      <c r="L144" s="7" t="inlineStr">
        <is>
          <t>PNL</t>
        </is>
      </c>
      <c r="M144" s="11" t="n">
        <v>44699</v>
      </c>
      <c r="N144" s="13" t="n">
        <v>0</v>
      </c>
      <c r="O144" s="6" t="n">
        <v>0</v>
      </c>
      <c r="P144" s="13" t="n">
        <v>0</v>
      </c>
      <c r="Q144" s="22" t="n">
        <v>31</v>
      </c>
      <c r="R144" s="6" t="n">
        <v>1</v>
      </c>
      <c r="U144" s="9" t="n">
        <v>-2226000</v>
      </c>
      <c r="V144" s="9" t="n">
        <v>-2226000</v>
      </c>
      <c r="X144" s="9" t="n">
        <v>76.4383</v>
      </c>
      <c r="AK144" s="7" t="inlineStr">
        <is>
          <t>PYTHON_LIFECYCLE</t>
        </is>
      </c>
      <c r="AL144" s="8">
        <f>IF($J144="INR",1,IF($M144&lt;$A144,INDEX(Market_Daily!$F$6:$F$256,MATCH($M144,Market_Daily!$A$6:$A$256,1)),IF($M144=$A144,INDEX(Market_Daily!$F$6:$F$256,MATCH($A144,Market_Daily!$A$6:$A$256,0)),(INDEX(Market_Daily!$F$6:$F$256,MATCH($A144,Market_Daily!$A$6:$A$256,0))*(1+INDEX(Market_Daily!$I$6:$I$256,MATCH($A144,Market_Daily!$A$6:$A$256,0))*($M144-$A144)/day_count_inr)/(1+INDEX(Market_Daily!$J$6:$J$256,MATCH($A144,Market_Daily!$A$6:$A$256,0))*($M144-$A144)/day_count_usd)))))</f>
        <v/>
      </c>
      <c r="AM144" s="8">
        <f>IF(OR($J144="INR",$R144&gt;1),"",$AL144-$X144)</f>
        <v/>
      </c>
      <c r="AN144" s="8">
        <f>$U144</f>
        <v/>
      </c>
      <c r="AO144" s="8">
        <f>$AN144*IF($J144="INR",1,$AL144)</f>
        <v/>
      </c>
      <c r="AP144" s="18">
        <f>$AO144-$V144</f>
        <v/>
      </c>
      <c r="AQ144" s="8">
        <f>IF(ABS($AP144)&lt;=tol_trade_inr,"PASS","FAIL")</f>
        <v/>
      </c>
    </row>
    <row r="145">
      <c r="A145" s="11" t="n">
        <v>44643</v>
      </c>
      <c r="B145" s="7" t="inlineStr">
        <is>
          <t>T01</t>
        </is>
      </c>
      <c r="C145" s="7" t="inlineStr">
        <is>
          <t>PORT:L2</t>
        </is>
      </c>
      <c r="D145" s="7" t="inlineStr">
        <is>
          <t>PORT</t>
        </is>
      </c>
      <c r="E145" s="7" t="inlineStr">
        <is>
          <t>physical</t>
        </is>
      </c>
      <c r="F145" s="7" t="inlineStr">
        <is>
          <t>L2</t>
        </is>
      </c>
      <c r="H145" s="7" t="inlineStr">
        <is>
          <t>zorba</t>
        </is>
      </c>
      <c r="I145" s="7" t="inlineStr">
        <is>
          <t>USEC_MUN</t>
        </is>
      </c>
      <c r="J145" s="7" t="inlineStr">
        <is>
          <t>INR</t>
        </is>
      </c>
      <c r="K145" s="7" t="inlineStr">
        <is>
          <t>fixed_unsettled</t>
        </is>
      </c>
      <c r="L145" s="7" t="inlineStr">
        <is>
          <t>PNL</t>
        </is>
      </c>
      <c r="M145" s="11" t="n">
        <v>44705</v>
      </c>
      <c r="N145" s="13" t="n">
        <v>0</v>
      </c>
      <c r="O145" s="6" t="n">
        <v>0</v>
      </c>
      <c r="P145" s="13" t="n">
        <v>0</v>
      </c>
      <c r="Q145" s="22" t="n">
        <v>31</v>
      </c>
      <c r="R145" s="6" t="n">
        <v>1</v>
      </c>
      <c r="U145" s="9" t="n">
        <v>-2226000</v>
      </c>
      <c r="V145" s="9" t="n">
        <v>-2226000</v>
      </c>
      <c r="X145" s="9" t="n">
        <v>76.4383</v>
      </c>
      <c r="AK145" s="7" t="inlineStr">
        <is>
          <t>PYTHON_LIFECYCLE</t>
        </is>
      </c>
      <c r="AL145" s="8">
        <f>IF($J145="INR",1,IF($M145&lt;$A145,INDEX(Market_Daily!$F$6:$F$256,MATCH($M145,Market_Daily!$A$6:$A$256,1)),IF($M145=$A145,INDEX(Market_Daily!$F$6:$F$256,MATCH($A145,Market_Daily!$A$6:$A$256,0)),(INDEX(Market_Daily!$F$6:$F$256,MATCH($A145,Market_Daily!$A$6:$A$256,0))*(1+INDEX(Market_Daily!$I$6:$I$256,MATCH($A145,Market_Daily!$A$6:$A$256,0))*($M145-$A145)/day_count_inr)/(1+INDEX(Market_Daily!$J$6:$J$256,MATCH($A145,Market_Daily!$A$6:$A$256,0))*($M145-$A145)/day_count_usd)))))</f>
        <v/>
      </c>
      <c r="AM145" s="8">
        <f>IF(OR($J145="INR",$R145&gt;1),"",$AL145-$X145)</f>
        <v/>
      </c>
      <c r="AN145" s="8">
        <f>$U145</f>
        <v/>
      </c>
      <c r="AO145" s="8">
        <f>$AN145*IF($J145="INR",1,$AL145)</f>
        <v/>
      </c>
      <c r="AP145" s="18">
        <f>$AO145-$V145</f>
        <v/>
      </c>
      <c r="AQ145" s="8">
        <f>IF(ABS($AP145)&lt;=tol_trade_inr,"PASS","FAIL")</f>
        <v/>
      </c>
    </row>
    <row r="146">
      <c r="A146" s="11" t="n">
        <v>44643</v>
      </c>
      <c r="B146" s="7" t="inlineStr">
        <is>
          <t>T01</t>
        </is>
      </c>
      <c r="C146" s="7" t="inlineStr">
        <is>
          <t>PORT:L3</t>
        </is>
      </c>
      <c r="D146" s="7" t="inlineStr">
        <is>
          <t>PORT</t>
        </is>
      </c>
      <c r="E146" s="7" t="inlineStr">
        <is>
          <t>physical</t>
        </is>
      </c>
      <c r="F146" s="7" t="inlineStr">
        <is>
          <t>L3</t>
        </is>
      </c>
      <c r="H146" s="7" t="inlineStr">
        <is>
          <t>zorba</t>
        </is>
      </c>
      <c r="I146" s="7" t="inlineStr">
        <is>
          <t>USEC_MUN</t>
        </is>
      </c>
      <c r="J146" s="7" t="inlineStr">
        <is>
          <t>INR</t>
        </is>
      </c>
      <c r="K146" s="7" t="inlineStr">
        <is>
          <t>fixed_unsettled</t>
        </is>
      </c>
      <c r="L146" s="7" t="inlineStr">
        <is>
          <t>PNL</t>
        </is>
      </c>
      <c r="M146" s="11" t="n">
        <v>44708</v>
      </c>
      <c r="N146" s="13" t="n">
        <v>0</v>
      </c>
      <c r="O146" s="6" t="n">
        <v>0</v>
      </c>
      <c r="P146" s="13" t="n">
        <v>0</v>
      </c>
      <c r="Q146" s="22" t="n">
        <v>31</v>
      </c>
      <c r="R146" s="6" t="n">
        <v>1</v>
      </c>
      <c r="U146" s="9" t="n">
        <v>-2226000</v>
      </c>
      <c r="V146" s="9" t="n">
        <v>-2226000</v>
      </c>
      <c r="X146" s="9" t="n">
        <v>76.4383</v>
      </c>
      <c r="AK146" s="7" t="inlineStr">
        <is>
          <t>PYTHON_LIFECYCLE</t>
        </is>
      </c>
      <c r="AL146" s="8">
        <f>IF($J146="INR",1,IF($M146&lt;$A146,INDEX(Market_Daily!$F$6:$F$256,MATCH($M146,Market_Daily!$A$6:$A$256,1)),IF($M146=$A146,INDEX(Market_Daily!$F$6:$F$256,MATCH($A146,Market_Daily!$A$6:$A$256,0)),(INDEX(Market_Daily!$F$6:$F$256,MATCH($A146,Market_Daily!$A$6:$A$256,0))*(1+INDEX(Market_Daily!$I$6:$I$256,MATCH($A146,Market_Daily!$A$6:$A$256,0))*($M146-$A146)/day_count_inr)/(1+INDEX(Market_Daily!$J$6:$J$256,MATCH($A146,Market_Daily!$A$6:$A$256,0))*($M146-$A146)/day_count_usd)))))</f>
        <v/>
      </c>
      <c r="AM146" s="8">
        <f>IF(OR($J146="INR",$R146&gt;1),"",$AL146-$X146)</f>
        <v/>
      </c>
      <c r="AN146" s="8">
        <f>$U146</f>
        <v/>
      </c>
      <c r="AO146" s="8">
        <f>$AN146*IF($J146="INR",1,$AL146)</f>
        <v/>
      </c>
      <c r="AP146" s="18">
        <f>$AO146-$V146</f>
        <v/>
      </c>
      <c r="AQ146" s="8">
        <f>IF(ABS($AP146)&lt;=tol_trade_inr,"PASS","FAIL")</f>
        <v/>
      </c>
    </row>
    <row r="147">
      <c r="A147" s="11" t="n">
        <v>44643</v>
      </c>
      <c r="B147" s="7" t="inlineStr">
        <is>
          <t>T01</t>
        </is>
      </c>
      <c r="C147" s="7" t="inlineStr">
        <is>
          <t>PURCHASE:L1</t>
        </is>
      </c>
      <c r="D147" s="7" t="inlineStr">
        <is>
          <t>PURCHASE</t>
        </is>
      </c>
      <c r="E147" s="7" t="inlineStr">
        <is>
          <t>physical</t>
        </is>
      </c>
      <c r="F147" s="7" t="inlineStr">
        <is>
          <t>L1</t>
        </is>
      </c>
      <c r="G147" s="7" t="inlineStr">
        <is>
          <t>SUP_USEC_01</t>
        </is>
      </c>
      <c r="H147" s="7" t="inlineStr">
        <is>
          <t>zorba</t>
        </is>
      </c>
      <c r="I147" s="7" t="inlineStr">
        <is>
          <t>USEC_MUN</t>
        </is>
      </c>
      <c r="J147" s="7" t="inlineStr">
        <is>
          <t>USD</t>
        </is>
      </c>
      <c r="K147" s="7" t="inlineStr">
        <is>
          <t>fixed_unsettled</t>
        </is>
      </c>
      <c r="L147" s="7" t="inlineStr">
        <is>
          <t>PNL</t>
        </is>
      </c>
      <c r="M147" s="11" t="n">
        <v>44656</v>
      </c>
      <c r="N147" s="13" t="n">
        <v>840</v>
      </c>
      <c r="O147" s="6" t="n">
        <v>0</v>
      </c>
      <c r="P147" s="13" t="n">
        <v>0</v>
      </c>
      <c r="Q147" s="22" t="n">
        <v>31</v>
      </c>
      <c r="R147" s="6" t="n">
        <v>1</v>
      </c>
      <c r="U147" s="9" t="n">
        <v>-1965600</v>
      </c>
      <c r="V147" s="9" t="n">
        <v>-150422067.19</v>
      </c>
      <c r="X147" s="9" t="n">
        <v>76.5273</v>
      </c>
      <c r="AK147" s="7" t="inlineStr">
        <is>
          <t>PYTHON_LIFECYCLE</t>
        </is>
      </c>
      <c r="AL147" s="8">
        <f>IF($J147="INR",1,IF($M147&lt;$A147,INDEX(Market_Daily!$F$6:$F$256,MATCH($M147,Market_Daily!$A$6:$A$256,1)),IF($M147=$A147,INDEX(Market_Daily!$F$6:$F$256,MATCH($A147,Market_Daily!$A$6:$A$256,0)),(INDEX(Market_Daily!$F$6:$F$256,MATCH($A147,Market_Daily!$A$6:$A$256,0))*(1+INDEX(Market_Daily!$I$6:$I$256,MATCH($A147,Market_Daily!$A$6:$A$256,0))*($M147-$A147)/day_count_inr)/(1+INDEX(Market_Daily!$J$6:$J$256,MATCH($A147,Market_Daily!$A$6:$A$256,0))*($M147-$A147)/day_count_usd)))))</f>
        <v/>
      </c>
      <c r="AM147" s="8">
        <f>IF(OR($J147="INR",$R147&gt;1),"",$AL147-$X147)</f>
        <v/>
      </c>
      <c r="AN147" s="8">
        <f>$U147</f>
        <v/>
      </c>
      <c r="AO147" s="8">
        <f>$AN147*IF($J147="INR",1,$AL147)</f>
        <v/>
      </c>
      <c r="AP147" s="18">
        <f>$AO147-$V147</f>
        <v/>
      </c>
      <c r="AQ147" s="8">
        <f>IF(ABS($AP147)&lt;=tol_trade_inr,"PASS","FAIL")</f>
        <v/>
      </c>
    </row>
    <row r="148">
      <c r="A148" s="11" t="n">
        <v>44643</v>
      </c>
      <c r="B148" s="7" t="inlineStr">
        <is>
          <t>T01</t>
        </is>
      </c>
      <c r="C148" s="7" t="inlineStr">
        <is>
          <t>PURCHASE:L2</t>
        </is>
      </c>
      <c r="D148" s="7" t="inlineStr">
        <is>
          <t>PURCHASE</t>
        </is>
      </c>
      <c r="E148" s="7" t="inlineStr">
        <is>
          <t>physical</t>
        </is>
      </c>
      <c r="F148" s="7" t="inlineStr">
        <is>
          <t>L2</t>
        </is>
      </c>
      <c r="G148" s="7" t="inlineStr">
        <is>
          <t>SUP_USEC_01</t>
        </is>
      </c>
      <c r="H148" s="7" t="inlineStr">
        <is>
          <t>zorba</t>
        </is>
      </c>
      <c r="I148" s="7" t="inlineStr">
        <is>
          <t>USEC_MUN</t>
        </is>
      </c>
      <c r="J148" s="7" t="inlineStr">
        <is>
          <t>USD</t>
        </is>
      </c>
      <c r="K148" s="7" t="inlineStr">
        <is>
          <t>fixed_unsettled</t>
        </is>
      </c>
      <c r="L148" s="7" t="inlineStr">
        <is>
          <t>PNL</t>
        </is>
      </c>
      <c r="M148" s="11" t="n">
        <v>44662</v>
      </c>
      <c r="N148" s="13" t="n">
        <v>840</v>
      </c>
      <c r="O148" s="6" t="n">
        <v>0</v>
      </c>
      <c r="P148" s="13" t="n">
        <v>0</v>
      </c>
      <c r="Q148" s="22" t="n">
        <v>31</v>
      </c>
      <c r="R148" s="6" t="n">
        <v>1</v>
      </c>
      <c r="U148" s="9" t="n">
        <v>-1965600</v>
      </c>
      <c r="V148" s="9" t="n">
        <v>-150502789.47</v>
      </c>
      <c r="X148" s="9" t="n">
        <v>76.5684</v>
      </c>
      <c r="AK148" s="7" t="inlineStr">
        <is>
          <t>PYTHON_LIFECYCLE</t>
        </is>
      </c>
      <c r="AL148" s="8">
        <f>IF($J148="INR",1,IF($M148&lt;$A148,INDEX(Market_Daily!$F$6:$F$256,MATCH($M148,Market_Daily!$A$6:$A$256,1)),IF($M148=$A148,INDEX(Market_Daily!$F$6:$F$256,MATCH($A148,Market_Daily!$A$6:$A$256,0)),(INDEX(Market_Daily!$F$6:$F$256,MATCH($A148,Market_Daily!$A$6:$A$256,0))*(1+INDEX(Market_Daily!$I$6:$I$256,MATCH($A148,Market_Daily!$A$6:$A$256,0))*($M148-$A148)/day_count_inr)/(1+INDEX(Market_Daily!$J$6:$J$256,MATCH($A148,Market_Daily!$A$6:$A$256,0))*($M148-$A148)/day_count_usd)))))</f>
        <v/>
      </c>
      <c r="AM148" s="8">
        <f>IF(OR($J148="INR",$R148&gt;1),"",$AL148-$X148)</f>
        <v/>
      </c>
      <c r="AN148" s="8">
        <f>$U148</f>
        <v/>
      </c>
      <c r="AO148" s="8">
        <f>$AN148*IF($J148="INR",1,$AL148)</f>
        <v/>
      </c>
      <c r="AP148" s="18">
        <f>$AO148-$V148</f>
        <v/>
      </c>
      <c r="AQ148" s="8">
        <f>IF(ABS($AP148)&lt;=tol_trade_inr,"PASS","FAIL")</f>
        <v/>
      </c>
    </row>
    <row r="149">
      <c r="A149" s="11" t="n">
        <v>44643</v>
      </c>
      <c r="B149" s="7" t="inlineStr">
        <is>
          <t>T01</t>
        </is>
      </c>
      <c r="C149" s="7" t="inlineStr">
        <is>
          <t>PURCHASE:L3</t>
        </is>
      </c>
      <c r="D149" s="7" t="inlineStr">
        <is>
          <t>PURCHASE</t>
        </is>
      </c>
      <c r="E149" s="7" t="inlineStr">
        <is>
          <t>physical</t>
        </is>
      </c>
      <c r="F149" s="7" t="inlineStr">
        <is>
          <t>L3</t>
        </is>
      </c>
      <c r="G149" s="7" t="inlineStr">
        <is>
          <t>SUP_USEC_01</t>
        </is>
      </c>
      <c r="H149" s="7" t="inlineStr">
        <is>
          <t>zorba</t>
        </is>
      </c>
      <c r="I149" s="7" t="inlineStr">
        <is>
          <t>USEC_MUN</t>
        </is>
      </c>
      <c r="J149" s="7" t="inlineStr">
        <is>
          <t>USD</t>
        </is>
      </c>
      <c r="K149" s="7" t="inlineStr">
        <is>
          <t>fixed_unsettled</t>
        </is>
      </c>
      <c r="L149" s="7" t="inlineStr">
        <is>
          <t>PNL</t>
        </is>
      </c>
      <c r="M149" s="11" t="n">
        <v>44665</v>
      </c>
      <c r="N149" s="13" t="n">
        <v>840</v>
      </c>
      <c r="O149" s="6" t="n">
        <v>0</v>
      </c>
      <c r="P149" s="13" t="n">
        <v>0</v>
      </c>
      <c r="Q149" s="22" t="n">
        <v>31</v>
      </c>
      <c r="R149" s="6" t="n">
        <v>1</v>
      </c>
      <c r="U149" s="9" t="n">
        <v>-1965600</v>
      </c>
      <c r="V149" s="9" t="n">
        <v>-150543145.54</v>
      </c>
      <c r="X149" s="9" t="n">
        <v>76.5889</v>
      </c>
      <c r="AK149" s="7" t="inlineStr">
        <is>
          <t>PYTHON_LIFECYCLE</t>
        </is>
      </c>
      <c r="AL149" s="8">
        <f>IF($J149="INR",1,IF($M149&lt;$A149,INDEX(Market_Daily!$F$6:$F$256,MATCH($M149,Market_Daily!$A$6:$A$256,1)),IF($M149=$A149,INDEX(Market_Daily!$F$6:$F$256,MATCH($A149,Market_Daily!$A$6:$A$256,0)),(INDEX(Market_Daily!$F$6:$F$256,MATCH($A149,Market_Daily!$A$6:$A$256,0))*(1+INDEX(Market_Daily!$I$6:$I$256,MATCH($A149,Market_Daily!$A$6:$A$256,0))*($M149-$A149)/day_count_inr)/(1+INDEX(Market_Daily!$J$6:$J$256,MATCH($A149,Market_Daily!$A$6:$A$256,0))*($M149-$A149)/day_count_usd)))))</f>
        <v/>
      </c>
      <c r="AM149" s="8">
        <f>IF(OR($J149="INR",$R149&gt;1),"",$AL149-$X149)</f>
        <v/>
      </c>
      <c r="AN149" s="8">
        <f>$U149</f>
        <v/>
      </c>
      <c r="AO149" s="8">
        <f>$AN149*IF($J149="INR",1,$AL149)</f>
        <v/>
      </c>
      <c r="AP149" s="18">
        <f>$AO149-$V149</f>
        <v/>
      </c>
      <c r="AQ149" s="8">
        <f>IF(ABS($AP149)&lt;=tol_trade_inr,"PASS","FAIL")</f>
        <v/>
      </c>
    </row>
    <row r="150">
      <c r="A150" s="11" t="n">
        <v>44643</v>
      </c>
      <c r="B150" s="7" t="inlineStr">
        <is>
          <t>T02</t>
        </is>
      </c>
      <c r="C150" s="7" t="inlineStr">
        <is>
          <t>BILL_COMMISSION:L1</t>
        </is>
      </c>
      <c r="D150" s="7" t="inlineStr">
        <is>
          <t>BILL_COMMISSION</t>
        </is>
      </c>
      <c r="E150" s="7" t="inlineStr">
        <is>
          <t>physical</t>
        </is>
      </c>
      <c r="F150" s="7" t="inlineStr">
        <is>
          <t>L1</t>
        </is>
      </c>
      <c r="H150" s="7" t="inlineStr">
        <is>
          <t>tense</t>
        </is>
      </c>
      <c r="I150" s="7" t="inlineStr">
        <is>
          <t>JEA_NSA</t>
        </is>
      </c>
      <c r="J150" s="7" t="inlineStr">
        <is>
          <t>USD</t>
        </is>
      </c>
      <c r="K150" s="7" t="inlineStr">
        <is>
          <t>floating</t>
        </is>
      </c>
      <c r="L150" s="7" t="inlineStr">
        <is>
          <t>PNL</t>
        </is>
      </c>
      <c r="M150" s="11" t="n">
        <v>44746</v>
      </c>
      <c r="N150" s="13" t="n">
        <v>0</v>
      </c>
      <c r="O150" s="6" t="n">
        <v>0</v>
      </c>
      <c r="P150" s="13" t="n">
        <v>0</v>
      </c>
      <c r="Q150" s="22" t="n">
        <v>31</v>
      </c>
      <c r="R150" s="6" t="n">
        <v>1</v>
      </c>
      <c r="U150" s="9" t="n">
        <v>-1553.56</v>
      </c>
      <c r="V150" s="9" t="n">
        <v>-119845.3</v>
      </c>
      <c r="X150" s="9" t="n">
        <v>77.1426</v>
      </c>
      <c r="AK150" s="7" t="inlineStr">
        <is>
          <t>PYTHON_LIFECYCLE</t>
        </is>
      </c>
      <c r="AL150" s="8">
        <f>IF($J150="INR",1,IF($M150&lt;$A150,INDEX(Market_Daily!$F$6:$F$256,MATCH($M150,Market_Daily!$A$6:$A$256,1)),IF($M150=$A150,INDEX(Market_Daily!$F$6:$F$256,MATCH($A150,Market_Daily!$A$6:$A$256,0)),(INDEX(Market_Daily!$F$6:$F$256,MATCH($A150,Market_Daily!$A$6:$A$256,0))*(1+INDEX(Market_Daily!$I$6:$I$256,MATCH($A150,Market_Daily!$A$6:$A$256,0))*($M150-$A150)/day_count_inr)/(1+INDEX(Market_Daily!$J$6:$J$256,MATCH($A150,Market_Daily!$A$6:$A$256,0))*($M150-$A150)/day_count_usd)))))</f>
        <v/>
      </c>
      <c r="AM150" s="8">
        <f>IF(OR($J150="INR",$R150&gt;1),"",$AL150-$X150)</f>
        <v/>
      </c>
      <c r="AN150" s="8">
        <f>$U150</f>
        <v/>
      </c>
      <c r="AO150" s="8">
        <f>$AN150*IF($J150="INR",1,$AL150)</f>
        <v/>
      </c>
      <c r="AP150" s="18">
        <f>$AO150-$V150</f>
        <v/>
      </c>
      <c r="AQ150" s="8">
        <f>IF(ABS($AP150)&lt;=tol_trade_inr,"PASS","FAIL")</f>
        <v/>
      </c>
    </row>
    <row r="151">
      <c r="A151" s="11" t="n">
        <v>44643</v>
      </c>
      <c r="B151" s="7" t="inlineStr">
        <is>
          <t>T02</t>
        </is>
      </c>
      <c r="C151" s="7" t="inlineStr">
        <is>
          <t>BILL_COMMISSION:L2</t>
        </is>
      </c>
      <c r="D151" s="7" t="inlineStr">
        <is>
          <t>BILL_COMMISSION</t>
        </is>
      </c>
      <c r="E151" s="7" t="inlineStr">
        <is>
          <t>physical</t>
        </is>
      </c>
      <c r="F151" s="7" t="inlineStr">
        <is>
          <t>L2</t>
        </is>
      </c>
      <c r="H151" s="7" t="inlineStr">
        <is>
          <t>tense</t>
        </is>
      </c>
      <c r="I151" s="7" t="inlineStr">
        <is>
          <t>JEA_NSA</t>
        </is>
      </c>
      <c r="J151" s="7" t="inlineStr">
        <is>
          <t>USD</t>
        </is>
      </c>
      <c r="K151" s="7" t="inlineStr">
        <is>
          <t>floating</t>
        </is>
      </c>
      <c r="L151" s="7" t="inlineStr">
        <is>
          <t>PNL</t>
        </is>
      </c>
      <c r="M151" s="11" t="n">
        <v>44754</v>
      </c>
      <c r="N151" s="13" t="n">
        <v>0</v>
      </c>
      <c r="O151" s="6" t="n">
        <v>0</v>
      </c>
      <c r="P151" s="13" t="n">
        <v>0</v>
      </c>
      <c r="Q151" s="22" t="n">
        <v>31</v>
      </c>
      <c r="R151" s="6" t="n">
        <v>1</v>
      </c>
      <c r="U151" s="9" t="n">
        <v>-1553.56</v>
      </c>
      <c r="V151" s="9" t="n">
        <v>-119930.15</v>
      </c>
      <c r="X151" s="9" t="n">
        <v>77.1972</v>
      </c>
      <c r="AK151" s="7" t="inlineStr">
        <is>
          <t>PYTHON_LIFECYCLE</t>
        </is>
      </c>
      <c r="AL151" s="8">
        <f>IF($J151="INR",1,IF($M151&lt;$A151,INDEX(Market_Daily!$F$6:$F$256,MATCH($M151,Market_Daily!$A$6:$A$256,1)),IF($M151=$A151,INDEX(Market_Daily!$F$6:$F$256,MATCH($A151,Market_Daily!$A$6:$A$256,0)),(INDEX(Market_Daily!$F$6:$F$256,MATCH($A151,Market_Daily!$A$6:$A$256,0))*(1+INDEX(Market_Daily!$I$6:$I$256,MATCH($A151,Market_Daily!$A$6:$A$256,0))*($M151-$A151)/day_count_inr)/(1+INDEX(Market_Daily!$J$6:$J$256,MATCH($A151,Market_Daily!$A$6:$A$256,0))*($M151-$A151)/day_count_usd)))))</f>
        <v/>
      </c>
      <c r="AM151" s="8">
        <f>IF(OR($J151="INR",$R151&gt;1),"",$AL151-$X151)</f>
        <v/>
      </c>
      <c r="AN151" s="8">
        <f>$U151</f>
        <v/>
      </c>
      <c r="AO151" s="8">
        <f>$AN151*IF($J151="INR",1,$AL151)</f>
        <v/>
      </c>
      <c r="AP151" s="18">
        <f>$AO151-$V151</f>
        <v/>
      </c>
      <c r="AQ151" s="8">
        <f>IF(ABS($AP151)&lt;=tol_trade_inr,"PASS","FAIL")</f>
        <v/>
      </c>
    </row>
    <row r="152">
      <c r="A152" s="11" t="n">
        <v>44643</v>
      </c>
      <c r="B152" s="7" t="inlineStr">
        <is>
          <t>T02</t>
        </is>
      </c>
      <c r="C152" s="7" t="inlineStr">
        <is>
          <t>DUTY:L1</t>
        </is>
      </c>
      <c r="D152" s="7" t="inlineStr">
        <is>
          <t>DUTY</t>
        </is>
      </c>
      <c r="E152" s="7" t="inlineStr">
        <is>
          <t>physical</t>
        </is>
      </c>
      <c r="F152" s="7" t="inlineStr">
        <is>
          <t>L1</t>
        </is>
      </c>
      <c r="H152" s="7" t="inlineStr">
        <is>
          <t>tense</t>
        </is>
      </c>
      <c r="I152" s="7" t="inlineStr">
        <is>
          <t>JEA_NSA</t>
        </is>
      </c>
      <c r="J152" s="7" t="inlineStr">
        <is>
          <t>INR</t>
        </is>
      </c>
      <c r="K152" s="7" t="inlineStr">
        <is>
          <t>floating</t>
        </is>
      </c>
      <c r="L152" s="7" t="inlineStr">
        <is>
          <t>PNL</t>
        </is>
      </c>
      <c r="M152" s="11" t="n">
        <v>44721</v>
      </c>
      <c r="N152" s="13" t="n">
        <v>600</v>
      </c>
      <c r="O152" s="6" t="n">
        <v>0</v>
      </c>
      <c r="P152" s="13" t="n">
        <v>0</v>
      </c>
      <c r="Q152" s="22" t="n">
        <v>31</v>
      </c>
      <c r="R152" s="6" t="n">
        <v>2</v>
      </c>
      <c r="U152" s="9" t="n">
        <v>-2885083.73</v>
      </c>
      <c r="V152" s="9" t="n">
        <v>-2885083.73</v>
      </c>
      <c r="X152" s="9" t="n">
        <v>76.4383</v>
      </c>
      <c r="AK152" s="7" t="inlineStr">
        <is>
          <t>PYTHON_MULTI_FLOW_LEG</t>
        </is>
      </c>
      <c r="AL152" s="8">
        <f>IF($J152="INR",1,IF($M152&lt;$A152,INDEX(Market_Daily!$F$6:$F$256,MATCH($M152,Market_Daily!$A$6:$A$256,1)),IF($M152=$A152,INDEX(Market_Daily!$F$6:$F$256,MATCH($A152,Market_Daily!$A$6:$A$256,0)),(INDEX(Market_Daily!$F$6:$F$256,MATCH($A152,Market_Daily!$A$6:$A$256,0))*(1+INDEX(Market_Daily!$I$6:$I$256,MATCH($A152,Market_Daily!$A$6:$A$256,0))*($M152-$A152)/day_count_inr)/(1+INDEX(Market_Daily!$J$6:$J$256,MATCH($A152,Market_Daily!$A$6:$A$256,0))*($M152-$A152)/day_count_usd)))))</f>
        <v/>
      </c>
      <c r="AM152" s="8">
        <f>IF(OR($J152="INR",$R152&gt;1),"",$AL152-$X152)</f>
        <v/>
      </c>
      <c r="AN152" s="8">
        <f>$U152</f>
        <v/>
      </c>
      <c r="AO152" s="8">
        <f>$V152</f>
        <v/>
      </c>
      <c r="AP152" s="18">
        <f>$AO152-$V152</f>
        <v/>
      </c>
      <c r="AQ152" s="8">
        <f>IF(ABS($AP152)&lt;=tol_trade_inr,"PASS","FAIL")</f>
        <v/>
      </c>
    </row>
    <row r="153">
      <c r="A153" s="11" t="n">
        <v>44643</v>
      </c>
      <c r="B153" s="7" t="inlineStr">
        <is>
          <t>T02</t>
        </is>
      </c>
      <c r="C153" s="7" t="inlineStr">
        <is>
          <t>DUTY:L2</t>
        </is>
      </c>
      <c r="D153" s="7" t="inlineStr">
        <is>
          <t>DUTY</t>
        </is>
      </c>
      <c r="E153" s="7" t="inlineStr">
        <is>
          <t>physical</t>
        </is>
      </c>
      <c r="F153" s="7" t="inlineStr">
        <is>
          <t>L2</t>
        </is>
      </c>
      <c r="H153" s="7" t="inlineStr">
        <is>
          <t>tense</t>
        </is>
      </c>
      <c r="I153" s="7" t="inlineStr">
        <is>
          <t>JEA_NSA</t>
        </is>
      </c>
      <c r="J153" s="7" t="inlineStr">
        <is>
          <t>INR</t>
        </is>
      </c>
      <c r="K153" s="7" t="inlineStr">
        <is>
          <t>floating</t>
        </is>
      </c>
      <c r="L153" s="7" t="inlineStr">
        <is>
          <t>PNL</t>
        </is>
      </c>
      <c r="M153" s="11" t="n">
        <v>44721</v>
      </c>
      <c r="N153" s="13" t="n">
        <v>600</v>
      </c>
      <c r="O153" s="6" t="n">
        <v>0</v>
      </c>
      <c r="P153" s="13" t="n">
        <v>0</v>
      </c>
      <c r="Q153" s="22" t="n">
        <v>31</v>
      </c>
      <c r="R153" s="6" t="n">
        <v>2</v>
      </c>
      <c r="U153" s="9" t="n">
        <v>-2885083.73</v>
      </c>
      <c r="V153" s="9" t="n">
        <v>-2885083.73</v>
      </c>
      <c r="X153" s="9" t="n">
        <v>76.4383</v>
      </c>
      <c r="AK153" s="7" t="inlineStr">
        <is>
          <t>PYTHON_MULTI_FLOW_LEG</t>
        </is>
      </c>
      <c r="AL153" s="8">
        <f>IF($J153="INR",1,IF($M153&lt;$A153,INDEX(Market_Daily!$F$6:$F$256,MATCH($M153,Market_Daily!$A$6:$A$256,1)),IF($M153=$A153,INDEX(Market_Daily!$F$6:$F$256,MATCH($A153,Market_Daily!$A$6:$A$256,0)),(INDEX(Market_Daily!$F$6:$F$256,MATCH($A153,Market_Daily!$A$6:$A$256,0))*(1+INDEX(Market_Daily!$I$6:$I$256,MATCH($A153,Market_Daily!$A$6:$A$256,0))*($M153-$A153)/day_count_inr)/(1+INDEX(Market_Daily!$J$6:$J$256,MATCH($A153,Market_Daily!$A$6:$A$256,0))*($M153-$A153)/day_count_usd)))))</f>
        <v/>
      </c>
      <c r="AM153" s="8">
        <f>IF(OR($J153="INR",$R153&gt;1),"",$AL153-$X153)</f>
        <v/>
      </c>
      <c r="AN153" s="8">
        <f>$U153</f>
        <v/>
      </c>
      <c r="AO153" s="8">
        <f>$V153</f>
        <v/>
      </c>
      <c r="AP153" s="18">
        <f>$AO153-$V153</f>
        <v/>
      </c>
      <c r="AQ153" s="8">
        <f>IF(ABS($AP153)&lt;=tol_trade_inr,"PASS","FAIL")</f>
        <v/>
      </c>
    </row>
    <row r="154">
      <c r="A154" s="11" t="n">
        <v>44643</v>
      </c>
      <c r="B154" s="7" t="inlineStr">
        <is>
          <t>T02</t>
        </is>
      </c>
      <c r="C154" s="7" t="inlineStr">
        <is>
          <t>IGST:L1</t>
        </is>
      </c>
      <c r="D154" s="7" t="inlineStr">
        <is>
          <t>IGST</t>
        </is>
      </c>
      <c r="E154" s="7" t="inlineStr">
        <is>
          <t>physical</t>
        </is>
      </c>
      <c r="F154" s="7" t="inlineStr">
        <is>
          <t>L1</t>
        </is>
      </c>
      <c r="H154" s="7" t="inlineStr">
        <is>
          <t>tense</t>
        </is>
      </c>
      <c r="I154" s="7" t="inlineStr">
        <is>
          <t>JEA_NSA</t>
        </is>
      </c>
      <c r="J154" s="7" t="inlineStr">
        <is>
          <t>INR</t>
        </is>
      </c>
      <c r="K154" s="7" t="inlineStr">
        <is>
          <t>floating</t>
        </is>
      </c>
      <c r="L154" s="7" t="inlineStr">
        <is>
          <t>BS</t>
        </is>
      </c>
      <c r="M154" s="11" t="n">
        <v>44707</v>
      </c>
      <c r="N154" s="13" t="n">
        <v>0</v>
      </c>
      <c r="O154" s="6" t="n">
        <v>0</v>
      </c>
      <c r="P154" s="13" t="n">
        <v>0</v>
      </c>
      <c r="Q154" s="22" t="n">
        <v>31</v>
      </c>
      <c r="R154" s="6" t="n">
        <v>2</v>
      </c>
      <c r="U154" s="9" t="n">
        <v>0</v>
      </c>
      <c r="V154" s="9" t="n">
        <v>0</v>
      </c>
      <c r="X154" s="9" t="n">
        <v>76.4383</v>
      </c>
      <c r="AK154" s="7" t="inlineStr">
        <is>
          <t>PYTHON_MULTI_FLOW_LEG</t>
        </is>
      </c>
      <c r="AL154" s="8">
        <f>IF($J154="INR",1,IF($M154&lt;$A154,INDEX(Market_Daily!$F$6:$F$256,MATCH($M154,Market_Daily!$A$6:$A$256,1)),IF($M154=$A154,INDEX(Market_Daily!$F$6:$F$256,MATCH($A154,Market_Daily!$A$6:$A$256,0)),(INDEX(Market_Daily!$F$6:$F$256,MATCH($A154,Market_Daily!$A$6:$A$256,0))*(1+INDEX(Market_Daily!$I$6:$I$256,MATCH($A154,Market_Daily!$A$6:$A$256,0))*($M154-$A154)/day_count_inr)/(1+INDEX(Market_Daily!$J$6:$J$256,MATCH($A154,Market_Daily!$A$6:$A$256,0))*($M154-$A154)/day_count_usd)))))</f>
        <v/>
      </c>
      <c r="AM154" s="8">
        <f>IF(OR($J154="INR",$R154&gt;1),"",$AL154-$X154)</f>
        <v/>
      </c>
      <c r="AN154" s="8">
        <f>$U154</f>
        <v/>
      </c>
      <c r="AO154" s="8">
        <f>$V154</f>
        <v/>
      </c>
      <c r="AP154" s="18">
        <f>$AO154-$V154</f>
        <v/>
      </c>
      <c r="AQ154" s="8">
        <f>IF(ABS($AP154)&lt;=tol_trade_inr,"PASS","FAIL")</f>
        <v/>
      </c>
    </row>
    <row r="155">
      <c r="A155" s="11" t="n">
        <v>44643</v>
      </c>
      <c r="B155" s="7" t="inlineStr">
        <is>
          <t>T02</t>
        </is>
      </c>
      <c r="C155" s="7" t="inlineStr">
        <is>
          <t>IGST:L2</t>
        </is>
      </c>
      <c r="D155" s="7" t="inlineStr">
        <is>
          <t>IGST</t>
        </is>
      </c>
      <c r="E155" s="7" t="inlineStr">
        <is>
          <t>physical</t>
        </is>
      </c>
      <c r="F155" s="7" t="inlineStr">
        <is>
          <t>L2</t>
        </is>
      </c>
      <c r="H155" s="7" t="inlineStr">
        <is>
          <t>tense</t>
        </is>
      </c>
      <c r="I155" s="7" t="inlineStr">
        <is>
          <t>JEA_NSA</t>
        </is>
      </c>
      <c r="J155" s="7" t="inlineStr">
        <is>
          <t>INR</t>
        </is>
      </c>
      <c r="K155" s="7" t="inlineStr">
        <is>
          <t>floating</t>
        </is>
      </c>
      <c r="L155" s="7" t="inlineStr">
        <is>
          <t>BS</t>
        </is>
      </c>
      <c r="M155" s="11" t="n">
        <v>44718</v>
      </c>
      <c r="N155" s="13" t="n">
        <v>0</v>
      </c>
      <c r="O155" s="6" t="n">
        <v>0</v>
      </c>
      <c r="P155" s="13" t="n">
        <v>0</v>
      </c>
      <c r="Q155" s="22" t="n">
        <v>31</v>
      </c>
      <c r="R155" s="6" t="n">
        <v>2</v>
      </c>
      <c r="U155" s="9" t="n">
        <v>0</v>
      </c>
      <c r="V155" s="9" t="n">
        <v>0</v>
      </c>
      <c r="X155" s="9" t="n">
        <v>76.4383</v>
      </c>
      <c r="AK155" s="7" t="inlineStr">
        <is>
          <t>PYTHON_MULTI_FLOW_LEG</t>
        </is>
      </c>
      <c r="AL155" s="8">
        <f>IF($J155="INR",1,IF($M155&lt;$A155,INDEX(Market_Daily!$F$6:$F$256,MATCH($M155,Market_Daily!$A$6:$A$256,1)),IF($M155=$A155,INDEX(Market_Daily!$F$6:$F$256,MATCH($A155,Market_Daily!$A$6:$A$256,0)),(INDEX(Market_Daily!$F$6:$F$256,MATCH($A155,Market_Daily!$A$6:$A$256,0))*(1+INDEX(Market_Daily!$I$6:$I$256,MATCH($A155,Market_Daily!$A$6:$A$256,0))*($M155-$A155)/day_count_inr)/(1+INDEX(Market_Daily!$J$6:$J$256,MATCH($A155,Market_Daily!$A$6:$A$256,0))*($M155-$A155)/day_count_usd)))))</f>
        <v/>
      </c>
      <c r="AM155" s="8">
        <f>IF(OR($J155="INR",$R155&gt;1),"",$AL155-$X155)</f>
        <v/>
      </c>
      <c r="AN155" s="8">
        <f>$U155</f>
        <v/>
      </c>
      <c r="AO155" s="8">
        <f>$V155</f>
        <v/>
      </c>
      <c r="AP155" s="18">
        <f>$AO155-$V155</f>
        <v/>
      </c>
      <c r="AQ155" s="8">
        <f>IF(ABS($AP155)&lt;=tol_trade_inr,"PASS","FAIL")</f>
        <v/>
      </c>
    </row>
    <row r="156">
      <c r="A156" s="11" t="n">
        <v>44643</v>
      </c>
      <c r="B156" s="7" t="inlineStr">
        <is>
          <t>T02</t>
        </is>
      </c>
      <c r="C156" s="7" t="inlineStr">
        <is>
          <t>INSURANCE:L1</t>
        </is>
      </c>
      <c r="D156" s="7" t="inlineStr">
        <is>
          <t>INSURANCE</t>
        </is>
      </c>
      <c r="E156" s="7" t="inlineStr">
        <is>
          <t>physical</t>
        </is>
      </c>
      <c r="F156" s="7" t="inlineStr">
        <is>
          <t>L1</t>
        </is>
      </c>
      <c r="H156" s="7" t="inlineStr">
        <is>
          <t>tense</t>
        </is>
      </c>
      <c r="I156" s="7" t="inlineStr">
        <is>
          <t>JEA_NSA</t>
        </is>
      </c>
      <c r="J156" s="7" t="inlineStr">
        <is>
          <t>USD</t>
        </is>
      </c>
      <c r="K156" s="7" t="inlineStr">
        <is>
          <t>floating</t>
        </is>
      </c>
      <c r="L156" s="7" t="inlineStr">
        <is>
          <t>PNL</t>
        </is>
      </c>
      <c r="M156" s="11" t="n">
        <v>44656</v>
      </c>
      <c r="N156" s="13" t="n">
        <v>600</v>
      </c>
      <c r="O156" s="6" t="n">
        <v>0</v>
      </c>
      <c r="P156" s="13" t="n">
        <v>0</v>
      </c>
      <c r="Q156" s="22" t="n">
        <v>31</v>
      </c>
      <c r="R156" s="6" t="n">
        <v>1</v>
      </c>
      <c r="U156" s="9" t="n">
        <v>-1499.04</v>
      </c>
      <c r="V156" s="9" t="n">
        <v>-114717.86</v>
      </c>
      <c r="X156" s="9" t="n">
        <v>76.5273</v>
      </c>
      <c r="AK156" s="7" t="inlineStr">
        <is>
          <t>PYTHON_LIFECYCLE</t>
        </is>
      </c>
      <c r="AL156" s="8">
        <f>IF($J156="INR",1,IF($M156&lt;$A156,INDEX(Market_Daily!$F$6:$F$256,MATCH($M156,Market_Daily!$A$6:$A$256,1)),IF($M156=$A156,INDEX(Market_Daily!$F$6:$F$256,MATCH($A156,Market_Daily!$A$6:$A$256,0)),(INDEX(Market_Daily!$F$6:$F$256,MATCH($A156,Market_Daily!$A$6:$A$256,0))*(1+INDEX(Market_Daily!$I$6:$I$256,MATCH($A156,Market_Daily!$A$6:$A$256,0))*($M156-$A156)/day_count_inr)/(1+INDEX(Market_Daily!$J$6:$J$256,MATCH($A156,Market_Daily!$A$6:$A$256,0))*($M156-$A156)/day_count_usd)))))</f>
        <v/>
      </c>
      <c r="AM156" s="8">
        <f>IF(OR($J156="INR",$R156&gt;1),"",$AL156-$X156)</f>
        <v/>
      </c>
      <c r="AN156" s="8">
        <f>$U156</f>
        <v/>
      </c>
      <c r="AO156" s="8">
        <f>$AN156*IF($J156="INR",1,$AL156)</f>
        <v/>
      </c>
      <c r="AP156" s="18">
        <f>$AO156-$V156</f>
        <v/>
      </c>
      <c r="AQ156" s="8">
        <f>IF(ABS($AP156)&lt;=tol_trade_inr,"PASS","FAIL")</f>
        <v/>
      </c>
    </row>
    <row r="157">
      <c r="A157" s="11" t="n">
        <v>44643</v>
      </c>
      <c r="B157" s="7" t="inlineStr">
        <is>
          <t>T02</t>
        </is>
      </c>
      <c r="C157" s="7" t="inlineStr">
        <is>
          <t>INSURANCE:L2</t>
        </is>
      </c>
      <c r="D157" s="7" t="inlineStr">
        <is>
          <t>INSURANCE</t>
        </is>
      </c>
      <c r="E157" s="7" t="inlineStr">
        <is>
          <t>physical</t>
        </is>
      </c>
      <c r="F157" s="7" t="inlineStr">
        <is>
          <t>L2</t>
        </is>
      </c>
      <c r="H157" s="7" t="inlineStr">
        <is>
          <t>tense</t>
        </is>
      </c>
      <c r="I157" s="7" t="inlineStr">
        <is>
          <t>JEA_NSA</t>
        </is>
      </c>
      <c r="J157" s="7" t="inlineStr">
        <is>
          <t>USD</t>
        </is>
      </c>
      <c r="K157" s="7" t="inlineStr">
        <is>
          <t>floating</t>
        </is>
      </c>
      <c r="L157" s="7" t="inlineStr">
        <is>
          <t>PNL</t>
        </is>
      </c>
      <c r="M157" s="11" t="n">
        <v>44664</v>
      </c>
      <c r="N157" s="13" t="n">
        <v>600</v>
      </c>
      <c r="O157" s="6" t="n">
        <v>0</v>
      </c>
      <c r="P157" s="13" t="n">
        <v>0</v>
      </c>
      <c r="Q157" s="22" t="n">
        <v>31</v>
      </c>
      <c r="R157" s="6" t="n">
        <v>1</v>
      </c>
      <c r="U157" s="9" t="n">
        <v>-1499.04</v>
      </c>
      <c r="V157" s="9" t="n">
        <v>-114799.94</v>
      </c>
      <c r="X157" s="9" t="n">
        <v>76.5821</v>
      </c>
      <c r="AK157" s="7" t="inlineStr">
        <is>
          <t>PYTHON_LIFECYCLE</t>
        </is>
      </c>
      <c r="AL157" s="8">
        <f>IF($J157="INR",1,IF($M157&lt;$A157,INDEX(Market_Daily!$F$6:$F$256,MATCH($M157,Market_Daily!$A$6:$A$256,1)),IF($M157=$A157,INDEX(Market_Daily!$F$6:$F$256,MATCH($A157,Market_Daily!$A$6:$A$256,0)),(INDEX(Market_Daily!$F$6:$F$256,MATCH($A157,Market_Daily!$A$6:$A$256,0))*(1+INDEX(Market_Daily!$I$6:$I$256,MATCH($A157,Market_Daily!$A$6:$A$256,0))*($M157-$A157)/day_count_inr)/(1+INDEX(Market_Daily!$J$6:$J$256,MATCH($A157,Market_Daily!$A$6:$A$256,0))*($M157-$A157)/day_count_usd)))))</f>
        <v/>
      </c>
      <c r="AM157" s="8">
        <f>IF(OR($J157="INR",$R157&gt;1),"",$AL157-$X157)</f>
        <v/>
      </c>
      <c r="AN157" s="8">
        <f>$U157</f>
        <v/>
      </c>
      <c r="AO157" s="8">
        <f>$AN157*IF($J157="INR",1,$AL157)</f>
        <v/>
      </c>
      <c r="AP157" s="18">
        <f>$AO157-$V157</f>
        <v/>
      </c>
      <c r="AQ157" s="8">
        <f>IF(ABS($AP157)&lt;=tol_trade_inr,"PASS","FAIL")</f>
        <v/>
      </c>
    </row>
    <row r="158">
      <c r="A158" s="11" t="n">
        <v>44643</v>
      </c>
      <c r="B158" s="7" t="inlineStr">
        <is>
          <t>T02</t>
        </is>
      </c>
      <c r="C158" s="7" t="inlineStr">
        <is>
          <t>LC_USANCE_FEE:L1</t>
        </is>
      </c>
      <c r="D158" s="7" t="inlineStr">
        <is>
          <t>LC_USANCE_FEE</t>
        </is>
      </c>
      <c r="E158" s="7" t="inlineStr">
        <is>
          <t>physical</t>
        </is>
      </c>
      <c r="F158" s="7" t="inlineStr">
        <is>
          <t>L1</t>
        </is>
      </c>
      <c r="H158" s="7" t="inlineStr">
        <is>
          <t>tense</t>
        </is>
      </c>
      <c r="I158" s="7" t="inlineStr">
        <is>
          <t>JEA_NSA</t>
        </is>
      </c>
      <c r="J158" s="7" t="inlineStr">
        <is>
          <t>USD</t>
        </is>
      </c>
      <c r="K158" s="7" t="inlineStr">
        <is>
          <t>floating</t>
        </is>
      </c>
      <c r="L158" s="7" t="inlineStr">
        <is>
          <t>PNL</t>
        </is>
      </c>
      <c r="M158" s="11" t="n">
        <v>44663</v>
      </c>
      <c r="N158" s="13" t="n">
        <v>0</v>
      </c>
      <c r="O158" s="6" t="n">
        <v>0</v>
      </c>
      <c r="P158" s="13" t="n">
        <v>0</v>
      </c>
      <c r="Q158" s="22" t="n">
        <v>31</v>
      </c>
      <c r="R158" s="6" t="n">
        <v>1</v>
      </c>
      <c r="U158" s="9" t="n">
        <v>-2718.72</v>
      </c>
      <c r="V158" s="9" t="n">
        <v>-208186.73</v>
      </c>
      <c r="X158" s="9" t="n">
        <v>76.5752</v>
      </c>
      <c r="AK158" s="7" t="inlineStr">
        <is>
          <t>PYTHON_LIFECYCLE</t>
        </is>
      </c>
      <c r="AL158" s="8">
        <f>IF($J158="INR",1,IF($M158&lt;$A158,INDEX(Market_Daily!$F$6:$F$256,MATCH($M158,Market_Daily!$A$6:$A$256,1)),IF($M158=$A158,INDEX(Market_Daily!$F$6:$F$256,MATCH($A158,Market_Daily!$A$6:$A$256,0)),(INDEX(Market_Daily!$F$6:$F$256,MATCH($A158,Market_Daily!$A$6:$A$256,0))*(1+INDEX(Market_Daily!$I$6:$I$256,MATCH($A158,Market_Daily!$A$6:$A$256,0))*($M158-$A158)/day_count_inr)/(1+INDEX(Market_Daily!$J$6:$J$256,MATCH($A158,Market_Daily!$A$6:$A$256,0))*($M158-$A158)/day_count_usd)))))</f>
        <v/>
      </c>
      <c r="AM158" s="8">
        <f>IF(OR($J158="INR",$R158&gt;1),"",$AL158-$X158)</f>
        <v/>
      </c>
      <c r="AN158" s="8">
        <f>$U158</f>
        <v/>
      </c>
      <c r="AO158" s="8">
        <f>$AN158*IF($J158="INR",1,$AL158)</f>
        <v/>
      </c>
      <c r="AP158" s="18">
        <f>$AO158-$V158</f>
        <v/>
      </c>
      <c r="AQ158" s="8">
        <f>IF(ABS($AP158)&lt;=tol_trade_inr,"PASS","FAIL")</f>
        <v/>
      </c>
    </row>
    <row r="159">
      <c r="A159" s="11" t="n">
        <v>44643</v>
      </c>
      <c r="B159" s="7" t="inlineStr">
        <is>
          <t>T02</t>
        </is>
      </c>
      <c r="C159" s="7" t="inlineStr">
        <is>
          <t>LC_USANCE_FEE:L2</t>
        </is>
      </c>
      <c r="D159" s="7" t="inlineStr">
        <is>
          <t>LC_USANCE_FEE</t>
        </is>
      </c>
      <c r="E159" s="7" t="inlineStr">
        <is>
          <t>physical</t>
        </is>
      </c>
      <c r="F159" s="7" t="inlineStr">
        <is>
          <t>L2</t>
        </is>
      </c>
      <c r="H159" s="7" t="inlineStr">
        <is>
          <t>tense</t>
        </is>
      </c>
      <c r="I159" s="7" t="inlineStr">
        <is>
          <t>JEA_NSA</t>
        </is>
      </c>
      <c r="J159" s="7" t="inlineStr">
        <is>
          <t>USD</t>
        </is>
      </c>
      <c r="K159" s="7" t="inlineStr">
        <is>
          <t>floating</t>
        </is>
      </c>
      <c r="L159" s="7" t="inlineStr">
        <is>
          <t>PNL</t>
        </is>
      </c>
      <c r="M159" s="11" t="n">
        <v>44671</v>
      </c>
      <c r="N159" s="13" t="n">
        <v>0</v>
      </c>
      <c r="O159" s="6" t="n">
        <v>0</v>
      </c>
      <c r="P159" s="13" t="n">
        <v>0</v>
      </c>
      <c r="Q159" s="22" t="n">
        <v>31</v>
      </c>
      <c r="R159" s="6" t="n">
        <v>1</v>
      </c>
      <c r="U159" s="9" t="n">
        <v>-2718.72</v>
      </c>
      <c r="V159" s="9" t="n">
        <v>-208335.57</v>
      </c>
      <c r="X159" s="9" t="n">
        <v>76.63</v>
      </c>
      <c r="AK159" s="7" t="inlineStr">
        <is>
          <t>PYTHON_LIFECYCLE</t>
        </is>
      </c>
      <c r="AL159" s="8">
        <f>IF($J159="INR",1,IF($M159&lt;$A159,INDEX(Market_Daily!$F$6:$F$256,MATCH($M159,Market_Daily!$A$6:$A$256,1)),IF($M159=$A159,INDEX(Market_Daily!$F$6:$F$256,MATCH($A159,Market_Daily!$A$6:$A$256,0)),(INDEX(Market_Daily!$F$6:$F$256,MATCH($A159,Market_Daily!$A$6:$A$256,0))*(1+INDEX(Market_Daily!$I$6:$I$256,MATCH($A159,Market_Daily!$A$6:$A$256,0))*($M159-$A159)/day_count_inr)/(1+INDEX(Market_Daily!$J$6:$J$256,MATCH($A159,Market_Daily!$A$6:$A$256,0))*($M159-$A159)/day_count_usd)))))</f>
        <v/>
      </c>
      <c r="AM159" s="8">
        <f>IF(OR($J159="INR",$R159&gt;1),"",$AL159-$X159)</f>
        <v/>
      </c>
      <c r="AN159" s="8">
        <f>$U159</f>
        <v/>
      </c>
      <c r="AO159" s="8">
        <f>$AN159*IF($J159="INR",1,$AL159)</f>
        <v/>
      </c>
      <c r="AP159" s="18">
        <f>$AO159-$V159</f>
        <v/>
      </c>
      <c r="AQ159" s="8">
        <f>IF(ABS($AP159)&lt;=tol_trade_inr,"PASS","FAIL")</f>
        <v/>
      </c>
    </row>
    <row r="160">
      <c r="A160" s="11" t="n">
        <v>44643</v>
      </c>
      <c r="B160" s="7" t="inlineStr">
        <is>
          <t>T02</t>
        </is>
      </c>
      <c r="C160" s="7" t="inlineStr">
        <is>
          <t>MCX:T02-MCX-2</t>
        </is>
      </c>
      <c r="D160" s="7" t="inlineStr">
        <is>
          <t>MCX</t>
        </is>
      </c>
      <c r="E160" s="7" t="inlineStr">
        <is>
          <t>mcx</t>
        </is>
      </c>
      <c r="H160" s="7" t="inlineStr">
        <is>
          <t>tense</t>
        </is>
      </c>
      <c r="I160" s="7" t="inlineStr">
        <is>
          <t>JEA_NSA</t>
        </is>
      </c>
      <c r="J160" s="7" t="inlineStr">
        <is>
          <t>INR</t>
        </is>
      </c>
      <c r="K160" s="7" t="inlineStr">
        <is>
          <t>partially_fixed</t>
        </is>
      </c>
      <c r="L160" s="7" t="inlineStr">
        <is>
          <t>PNL</t>
        </is>
      </c>
      <c r="M160" s="11" t="n">
        <v>44671</v>
      </c>
      <c r="N160" s="13" t="n">
        <v>0</v>
      </c>
      <c r="O160" s="6" t="n">
        <v>-74</v>
      </c>
      <c r="P160" s="13" t="n">
        <v>0</v>
      </c>
      <c r="Q160" s="22" t="n">
        <v>31</v>
      </c>
      <c r="R160" s="6" t="n">
        <v>20</v>
      </c>
      <c r="U160" s="9" t="n">
        <v>0</v>
      </c>
      <c r="V160" s="9" t="n">
        <v>0</v>
      </c>
      <c r="X160" s="9" t="n">
        <v>76.4383</v>
      </c>
      <c r="AK160" s="7" t="inlineStr">
        <is>
          <t>PYTHON_MULTI_FLOW_LEG</t>
        </is>
      </c>
      <c r="AL160" s="8">
        <f>IF($J160="INR",1,IF($M160&lt;$A160,INDEX(Market_Daily!$F$6:$F$256,MATCH($M160,Market_Daily!$A$6:$A$256,1)),IF($M160=$A160,INDEX(Market_Daily!$F$6:$F$256,MATCH($A160,Market_Daily!$A$6:$A$256,0)),(INDEX(Market_Daily!$F$6:$F$256,MATCH($A160,Market_Daily!$A$6:$A$256,0))*(1+INDEX(Market_Daily!$I$6:$I$256,MATCH($A160,Market_Daily!$A$6:$A$256,0))*($M160-$A160)/day_count_inr)/(1+INDEX(Market_Daily!$J$6:$J$256,MATCH($A160,Market_Daily!$A$6:$A$256,0))*($M160-$A160)/day_count_usd)))))</f>
        <v/>
      </c>
      <c r="AM160" s="8">
        <f>IF(OR($J160="INR",$R160&gt;1),"",$AL160-$X160)</f>
        <v/>
      </c>
      <c r="AN160" s="8">
        <f>$U160</f>
        <v/>
      </c>
      <c r="AO160" s="8">
        <f>$V160</f>
        <v/>
      </c>
      <c r="AP160" s="18">
        <f>$AO160-$V160</f>
        <v/>
      </c>
      <c r="AQ160" s="8">
        <f>IF(ABS($AP160)&lt;=tol_trade_inr,"PASS","FAIL")</f>
        <v/>
      </c>
    </row>
    <row r="161">
      <c r="A161" s="11" t="n">
        <v>44643</v>
      </c>
      <c r="B161" s="7" t="inlineStr">
        <is>
          <t>T02</t>
        </is>
      </c>
      <c r="C161" s="7" t="inlineStr">
        <is>
          <t>PORT:L1</t>
        </is>
      </c>
      <c r="D161" s="7" t="inlineStr">
        <is>
          <t>PORT</t>
        </is>
      </c>
      <c r="E161" s="7" t="inlineStr">
        <is>
          <t>physical</t>
        </is>
      </c>
      <c r="F161" s="7" t="inlineStr">
        <is>
          <t>L1</t>
        </is>
      </c>
      <c r="H161" s="7" t="inlineStr">
        <is>
          <t>tense</t>
        </is>
      </c>
      <c r="I161" s="7" t="inlineStr">
        <is>
          <t>JEA_NSA</t>
        </is>
      </c>
      <c r="J161" s="7" t="inlineStr">
        <is>
          <t>INR</t>
        </is>
      </c>
      <c r="K161" s="7" t="inlineStr">
        <is>
          <t>fixed_unsettled</t>
        </is>
      </c>
      <c r="L161" s="7" t="inlineStr">
        <is>
          <t>PNL</t>
        </is>
      </c>
      <c r="M161" s="11" t="n">
        <v>44671</v>
      </c>
      <c r="N161" s="13" t="n">
        <v>0</v>
      </c>
      <c r="O161" s="6" t="n">
        <v>0</v>
      </c>
      <c r="P161" s="13" t="n">
        <v>0</v>
      </c>
      <c r="Q161" s="22" t="n">
        <v>31</v>
      </c>
      <c r="R161" s="6" t="n">
        <v>1</v>
      </c>
      <c r="U161" s="9" t="n">
        <v>-960000</v>
      </c>
      <c r="V161" s="9" t="n">
        <v>-960000</v>
      </c>
      <c r="X161" s="9" t="n">
        <v>76.4383</v>
      </c>
      <c r="AK161" s="7" t="inlineStr">
        <is>
          <t>PYTHON_LIFECYCLE</t>
        </is>
      </c>
      <c r="AL161" s="8">
        <f>IF($J161="INR",1,IF($M161&lt;$A161,INDEX(Market_Daily!$F$6:$F$256,MATCH($M161,Market_Daily!$A$6:$A$256,1)),IF($M161=$A161,INDEX(Market_Daily!$F$6:$F$256,MATCH($A161,Market_Daily!$A$6:$A$256,0)),(INDEX(Market_Daily!$F$6:$F$256,MATCH($A161,Market_Daily!$A$6:$A$256,0))*(1+INDEX(Market_Daily!$I$6:$I$256,MATCH($A161,Market_Daily!$A$6:$A$256,0))*($M161-$A161)/day_count_inr)/(1+INDEX(Market_Daily!$J$6:$J$256,MATCH($A161,Market_Daily!$A$6:$A$256,0))*($M161-$A161)/day_count_usd)))))</f>
        <v/>
      </c>
      <c r="AM161" s="8">
        <f>IF(OR($J161="INR",$R161&gt;1),"",$AL161-$X161)</f>
        <v/>
      </c>
      <c r="AN161" s="8">
        <f>$U161</f>
        <v/>
      </c>
      <c r="AO161" s="8">
        <f>$AN161*IF($J161="INR",1,$AL161)</f>
        <v/>
      </c>
      <c r="AP161" s="18">
        <f>$AO161-$V161</f>
        <v/>
      </c>
      <c r="AQ161" s="8">
        <f>IF(ABS($AP161)&lt;=tol_trade_inr,"PASS","FAIL")</f>
        <v/>
      </c>
    </row>
    <row r="162">
      <c r="A162" s="11" t="n">
        <v>44643</v>
      </c>
      <c r="B162" s="7" t="inlineStr">
        <is>
          <t>T02</t>
        </is>
      </c>
      <c r="C162" s="7" t="inlineStr">
        <is>
          <t>PORT:L2</t>
        </is>
      </c>
      <c r="D162" s="7" t="inlineStr">
        <is>
          <t>PORT</t>
        </is>
      </c>
      <c r="E162" s="7" t="inlineStr">
        <is>
          <t>physical</t>
        </is>
      </c>
      <c r="F162" s="7" t="inlineStr">
        <is>
          <t>L2</t>
        </is>
      </c>
      <c r="H162" s="7" t="inlineStr">
        <is>
          <t>tense</t>
        </is>
      </c>
      <c r="I162" s="7" t="inlineStr">
        <is>
          <t>JEA_NSA</t>
        </is>
      </c>
      <c r="J162" s="7" t="inlineStr">
        <is>
          <t>INR</t>
        </is>
      </c>
      <c r="K162" s="7" t="inlineStr">
        <is>
          <t>fixed_unsettled</t>
        </is>
      </c>
      <c r="L162" s="7" t="inlineStr">
        <is>
          <t>PNL</t>
        </is>
      </c>
      <c r="M162" s="11" t="n">
        <v>44679</v>
      </c>
      <c r="N162" s="13" t="n">
        <v>0</v>
      </c>
      <c r="O162" s="6" t="n">
        <v>0</v>
      </c>
      <c r="P162" s="13" t="n">
        <v>0</v>
      </c>
      <c r="Q162" s="22" t="n">
        <v>31</v>
      </c>
      <c r="R162" s="6" t="n">
        <v>1</v>
      </c>
      <c r="U162" s="9" t="n">
        <v>-960000</v>
      </c>
      <c r="V162" s="9" t="n">
        <v>-960000</v>
      </c>
      <c r="X162" s="9" t="n">
        <v>76.4383</v>
      </c>
      <c r="AK162" s="7" t="inlineStr">
        <is>
          <t>PYTHON_LIFECYCLE</t>
        </is>
      </c>
      <c r="AL162" s="8">
        <f>IF($J162="INR",1,IF($M162&lt;$A162,INDEX(Market_Daily!$F$6:$F$256,MATCH($M162,Market_Daily!$A$6:$A$256,1)),IF($M162=$A162,INDEX(Market_Daily!$F$6:$F$256,MATCH($A162,Market_Daily!$A$6:$A$256,0)),(INDEX(Market_Daily!$F$6:$F$256,MATCH($A162,Market_Daily!$A$6:$A$256,0))*(1+INDEX(Market_Daily!$I$6:$I$256,MATCH($A162,Market_Daily!$A$6:$A$256,0))*($M162-$A162)/day_count_inr)/(1+INDEX(Market_Daily!$J$6:$J$256,MATCH($A162,Market_Daily!$A$6:$A$256,0))*($M162-$A162)/day_count_usd)))))</f>
        <v/>
      </c>
      <c r="AM162" s="8">
        <f>IF(OR($J162="INR",$R162&gt;1),"",$AL162-$X162)</f>
        <v/>
      </c>
      <c r="AN162" s="8">
        <f>$U162</f>
        <v/>
      </c>
      <c r="AO162" s="8">
        <f>$AN162*IF($J162="INR",1,$AL162)</f>
        <v/>
      </c>
      <c r="AP162" s="18">
        <f>$AO162-$V162</f>
        <v/>
      </c>
      <c r="AQ162" s="8">
        <f>IF(ABS($AP162)&lt;=tol_trade_inr,"PASS","FAIL")</f>
        <v/>
      </c>
    </row>
    <row r="163">
      <c r="A163" s="11" t="n">
        <v>44643</v>
      </c>
      <c r="B163" s="7" t="inlineStr">
        <is>
          <t>T02</t>
        </is>
      </c>
      <c r="C163" s="7" t="inlineStr">
        <is>
          <t>PSIC:L1</t>
        </is>
      </c>
      <c r="D163" s="7" t="inlineStr">
        <is>
          <t>PSIC</t>
        </is>
      </c>
      <c r="E163" s="7" t="inlineStr">
        <is>
          <t>physical</t>
        </is>
      </c>
      <c r="F163" s="7" t="inlineStr">
        <is>
          <t>L1</t>
        </is>
      </c>
      <c r="H163" s="7" t="inlineStr">
        <is>
          <t>tense</t>
        </is>
      </c>
      <c r="I163" s="7" t="inlineStr">
        <is>
          <t>JEA_NSA</t>
        </is>
      </c>
      <c r="J163" s="7" t="inlineStr">
        <is>
          <t>USD</t>
        </is>
      </c>
      <c r="K163" s="7" t="inlineStr">
        <is>
          <t>floating</t>
        </is>
      </c>
      <c r="L163" s="7" t="inlineStr">
        <is>
          <t>PNL</t>
        </is>
      </c>
      <c r="M163" s="11" t="n">
        <v>44656</v>
      </c>
      <c r="N163" s="13" t="n">
        <v>0</v>
      </c>
      <c r="O163" s="6" t="n">
        <v>0</v>
      </c>
      <c r="P163" s="13" t="n">
        <v>0</v>
      </c>
      <c r="Q163" s="22" t="n">
        <v>31</v>
      </c>
      <c r="R163" s="6" t="n">
        <v>1</v>
      </c>
      <c r="U163" s="9" t="n">
        <v>-960</v>
      </c>
      <c r="V163" s="9" t="n">
        <v>-73466.21000000001</v>
      </c>
      <c r="X163" s="9" t="n">
        <v>76.5273</v>
      </c>
      <c r="AK163" s="7" t="inlineStr">
        <is>
          <t>PYTHON_LIFECYCLE</t>
        </is>
      </c>
      <c r="AL163" s="8">
        <f>IF($J163="INR",1,IF($M163&lt;$A163,INDEX(Market_Daily!$F$6:$F$256,MATCH($M163,Market_Daily!$A$6:$A$256,1)),IF($M163=$A163,INDEX(Market_Daily!$F$6:$F$256,MATCH($A163,Market_Daily!$A$6:$A$256,0)),(INDEX(Market_Daily!$F$6:$F$256,MATCH($A163,Market_Daily!$A$6:$A$256,0))*(1+INDEX(Market_Daily!$I$6:$I$256,MATCH($A163,Market_Daily!$A$6:$A$256,0))*($M163-$A163)/day_count_inr)/(1+INDEX(Market_Daily!$J$6:$J$256,MATCH($A163,Market_Daily!$A$6:$A$256,0))*($M163-$A163)/day_count_usd)))))</f>
        <v/>
      </c>
      <c r="AM163" s="8">
        <f>IF(OR($J163="INR",$R163&gt;1),"",$AL163-$X163)</f>
        <v/>
      </c>
      <c r="AN163" s="8">
        <f>$U163</f>
        <v/>
      </c>
      <c r="AO163" s="8">
        <f>$AN163*IF($J163="INR",1,$AL163)</f>
        <v/>
      </c>
      <c r="AP163" s="18">
        <f>$AO163-$V163</f>
        <v/>
      </c>
      <c r="AQ163" s="8">
        <f>IF(ABS($AP163)&lt;=tol_trade_inr,"PASS","FAIL")</f>
        <v/>
      </c>
    </row>
    <row r="164">
      <c r="A164" s="11" t="n">
        <v>44643</v>
      </c>
      <c r="B164" s="7" t="inlineStr">
        <is>
          <t>T02</t>
        </is>
      </c>
      <c r="C164" s="7" t="inlineStr">
        <is>
          <t>PSIC:L2</t>
        </is>
      </c>
      <c r="D164" s="7" t="inlineStr">
        <is>
          <t>PSIC</t>
        </is>
      </c>
      <c r="E164" s="7" t="inlineStr">
        <is>
          <t>physical</t>
        </is>
      </c>
      <c r="F164" s="7" t="inlineStr">
        <is>
          <t>L2</t>
        </is>
      </c>
      <c r="H164" s="7" t="inlineStr">
        <is>
          <t>tense</t>
        </is>
      </c>
      <c r="I164" s="7" t="inlineStr">
        <is>
          <t>JEA_NSA</t>
        </is>
      </c>
      <c r="J164" s="7" t="inlineStr">
        <is>
          <t>USD</t>
        </is>
      </c>
      <c r="K164" s="7" t="inlineStr">
        <is>
          <t>floating</t>
        </is>
      </c>
      <c r="L164" s="7" t="inlineStr">
        <is>
          <t>PNL</t>
        </is>
      </c>
      <c r="M164" s="11" t="n">
        <v>44664</v>
      </c>
      <c r="N164" s="13" t="n">
        <v>0</v>
      </c>
      <c r="O164" s="6" t="n">
        <v>0</v>
      </c>
      <c r="P164" s="13" t="n">
        <v>0</v>
      </c>
      <c r="Q164" s="22" t="n">
        <v>31</v>
      </c>
      <c r="R164" s="6" t="n">
        <v>1</v>
      </c>
      <c r="U164" s="9" t="n">
        <v>-960</v>
      </c>
      <c r="V164" s="9" t="n">
        <v>-73518.78</v>
      </c>
      <c r="X164" s="9" t="n">
        <v>76.5821</v>
      </c>
      <c r="AK164" s="7" t="inlineStr">
        <is>
          <t>PYTHON_LIFECYCLE</t>
        </is>
      </c>
      <c r="AL164" s="8">
        <f>IF($J164="INR",1,IF($M164&lt;$A164,INDEX(Market_Daily!$F$6:$F$256,MATCH($M164,Market_Daily!$A$6:$A$256,1)),IF($M164=$A164,INDEX(Market_Daily!$F$6:$F$256,MATCH($A164,Market_Daily!$A$6:$A$256,0)),(INDEX(Market_Daily!$F$6:$F$256,MATCH($A164,Market_Daily!$A$6:$A$256,0))*(1+INDEX(Market_Daily!$I$6:$I$256,MATCH($A164,Market_Daily!$A$6:$A$256,0))*($M164-$A164)/day_count_inr)/(1+INDEX(Market_Daily!$J$6:$J$256,MATCH($A164,Market_Daily!$A$6:$A$256,0))*($M164-$A164)/day_count_usd)))))</f>
        <v/>
      </c>
      <c r="AM164" s="8">
        <f>IF(OR($J164="INR",$R164&gt;1),"",$AL164-$X164)</f>
        <v/>
      </c>
      <c r="AN164" s="8">
        <f>$U164</f>
        <v/>
      </c>
      <c r="AO164" s="8">
        <f>$AN164*IF($J164="INR",1,$AL164)</f>
        <v/>
      </c>
      <c r="AP164" s="18">
        <f>$AO164-$V164</f>
        <v/>
      </c>
      <c r="AQ164" s="8">
        <f>IF(ABS($AP164)&lt;=tol_trade_inr,"PASS","FAIL")</f>
        <v/>
      </c>
    </row>
    <row r="165">
      <c r="A165" s="11" t="n">
        <v>44643</v>
      </c>
      <c r="B165" s="7" t="inlineStr">
        <is>
          <t>T02</t>
        </is>
      </c>
      <c r="C165" s="7" t="inlineStr">
        <is>
          <t>PURCHASE:L1</t>
        </is>
      </c>
      <c r="D165" s="7" t="inlineStr">
        <is>
          <t>PURCHASE</t>
        </is>
      </c>
      <c r="E165" s="7" t="inlineStr">
        <is>
          <t>physical</t>
        </is>
      </c>
      <c r="F165" s="7" t="inlineStr">
        <is>
          <t>L1</t>
        </is>
      </c>
      <c r="G165" s="7" t="inlineStr">
        <is>
          <t>SUP_JEA_01</t>
        </is>
      </c>
      <c r="H165" s="7" t="inlineStr">
        <is>
          <t>tense</t>
        </is>
      </c>
      <c r="I165" s="7" t="inlineStr">
        <is>
          <t>JEA_NSA</t>
        </is>
      </c>
      <c r="J165" s="7" t="inlineStr">
        <is>
          <t>USD</t>
        </is>
      </c>
      <c r="K165" s="7" t="inlineStr">
        <is>
          <t>floating</t>
        </is>
      </c>
      <c r="L165" s="7" t="inlineStr">
        <is>
          <t>PNL</t>
        </is>
      </c>
      <c r="M165" s="11" t="n">
        <v>44746</v>
      </c>
      <c r="N165" s="13" t="n">
        <v>1200</v>
      </c>
      <c r="O165" s="6" t="n">
        <v>0</v>
      </c>
      <c r="P165" s="13" t="n">
        <v>0</v>
      </c>
      <c r="Q165" s="22" t="n">
        <v>31</v>
      </c>
      <c r="R165" s="6" t="n">
        <v>2</v>
      </c>
      <c r="U165" s="9" t="n">
        <v>-1362768</v>
      </c>
      <c r="V165" s="9" t="n">
        <v>-105115823</v>
      </c>
      <c r="X165" s="9" t="n">
        <v>77.1426</v>
      </c>
      <c r="AK165" s="7" t="inlineStr">
        <is>
          <t>PYTHON_MULTI_FLOW_LEG</t>
        </is>
      </c>
      <c r="AL165" s="8">
        <f>IF($J165="INR",1,IF($M165&lt;$A165,INDEX(Market_Daily!$F$6:$F$256,MATCH($M165,Market_Daily!$A$6:$A$256,1)),IF($M165=$A165,INDEX(Market_Daily!$F$6:$F$256,MATCH($A165,Market_Daily!$A$6:$A$256,0)),(INDEX(Market_Daily!$F$6:$F$256,MATCH($A165,Market_Daily!$A$6:$A$256,0))*(1+INDEX(Market_Daily!$I$6:$I$256,MATCH($A165,Market_Daily!$A$6:$A$256,0))*($M165-$A165)/day_count_inr)/(1+INDEX(Market_Daily!$J$6:$J$256,MATCH($A165,Market_Daily!$A$6:$A$256,0))*($M165-$A165)/day_count_usd)))))</f>
        <v/>
      </c>
      <c r="AM165" s="8">
        <f>IF(OR($J165="INR",$R165&gt;1),"",$AL165-$X165)</f>
        <v/>
      </c>
      <c r="AN165" s="8">
        <f>$U165</f>
        <v/>
      </c>
      <c r="AO165" s="8">
        <f>$V165</f>
        <v/>
      </c>
      <c r="AP165" s="18">
        <f>$AO165-$V165</f>
        <v/>
      </c>
      <c r="AQ165" s="8">
        <f>IF(ABS($AP165)&lt;=tol_trade_inr,"PASS","FAIL")</f>
        <v/>
      </c>
    </row>
    <row r="166">
      <c r="A166" s="11" t="n">
        <v>44643</v>
      </c>
      <c r="B166" s="7" t="inlineStr">
        <is>
          <t>T02</t>
        </is>
      </c>
      <c r="C166" s="7" t="inlineStr">
        <is>
          <t>PURCHASE:L2</t>
        </is>
      </c>
      <c r="D166" s="7" t="inlineStr">
        <is>
          <t>PURCHASE</t>
        </is>
      </c>
      <c r="E166" s="7" t="inlineStr">
        <is>
          <t>physical</t>
        </is>
      </c>
      <c r="F166" s="7" t="inlineStr">
        <is>
          <t>L2</t>
        </is>
      </c>
      <c r="G166" s="7" t="inlineStr">
        <is>
          <t>SUP_JEA_01</t>
        </is>
      </c>
      <c r="H166" s="7" t="inlineStr">
        <is>
          <t>tense</t>
        </is>
      </c>
      <c r="I166" s="7" t="inlineStr">
        <is>
          <t>JEA_NSA</t>
        </is>
      </c>
      <c r="J166" s="7" t="inlineStr">
        <is>
          <t>USD</t>
        </is>
      </c>
      <c r="K166" s="7" t="inlineStr">
        <is>
          <t>floating</t>
        </is>
      </c>
      <c r="L166" s="7" t="inlineStr">
        <is>
          <t>PNL</t>
        </is>
      </c>
      <c r="M166" s="11" t="n">
        <v>44754</v>
      </c>
      <c r="N166" s="13" t="n">
        <v>1200</v>
      </c>
      <c r="O166" s="6" t="n">
        <v>0</v>
      </c>
      <c r="P166" s="13" t="n">
        <v>0</v>
      </c>
      <c r="Q166" s="22" t="n">
        <v>31</v>
      </c>
      <c r="R166" s="6" t="n">
        <v>2</v>
      </c>
      <c r="U166" s="9" t="n">
        <v>-1362768</v>
      </c>
      <c r="V166" s="9" t="n">
        <v>-105186532.72</v>
      </c>
      <c r="X166" s="9" t="n">
        <v>77.1972</v>
      </c>
      <c r="AK166" s="7" t="inlineStr">
        <is>
          <t>PYTHON_MULTI_FLOW_LEG</t>
        </is>
      </c>
      <c r="AL166" s="8">
        <f>IF($J166="INR",1,IF($M166&lt;$A166,INDEX(Market_Daily!$F$6:$F$256,MATCH($M166,Market_Daily!$A$6:$A$256,1)),IF($M166=$A166,INDEX(Market_Daily!$F$6:$F$256,MATCH($A166,Market_Daily!$A$6:$A$256,0)),(INDEX(Market_Daily!$F$6:$F$256,MATCH($A166,Market_Daily!$A$6:$A$256,0))*(1+INDEX(Market_Daily!$I$6:$I$256,MATCH($A166,Market_Daily!$A$6:$A$256,0))*($M166-$A166)/day_count_inr)/(1+INDEX(Market_Daily!$J$6:$J$256,MATCH($A166,Market_Daily!$A$6:$A$256,0))*($M166-$A166)/day_count_usd)))))</f>
        <v/>
      </c>
      <c r="AM166" s="8">
        <f>IF(OR($J166="INR",$R166&gt;1),"",$AL166-$X166)</f>
        <v/>
      </c>
      <c r="AN166" s="8">
        <f>$U166</f>
        <v/>
      </c>
      <c r="AO166" s="8">
        <f>$V166</f>
        <v/>
      </c>
      <c r="AP166" s="18">
        <f>$AO166-$V166</f>
        <v/>
      </c>
      <c r="AQ166" s="8">
        <f>IF(ABS($AP166)&lt;=tol_trade_inr,"PASS","FAIL")</f>
        <v/>
      </c>
    </row>
    <row r="167">
      <c r="A167" s="11" t="n">
        <v>44643</v>
      </c>
      <c r="B167" s="7" t="inlineStr">
        <is>
          <t>T02</t>
        </is>
      </c>
      <c r="C167" s="7" t="inlineStr">
        <is>
          <t>SALE:S1</t>
        </is>
      </c>
      <c r="D167" s="7" t="inlineStr">
        <is>
          <t>SALE</t>
        </is>
      </c>
      <c r="E167" s="7" t="inlineStr">
        <is>
          <t>physical</t>
        </is>
      </c>
      <c r="G167" s="7" t="inlineStr">
        <is>
          <t>BUY_JNPT_01</t>
        </is>
      </c>
      <c r="H167" s="7" t="inlineStr">
        <is>
          <t>tense</t>
        </is>
      </c>
      <c r="I167" s="7" t="inlineStr">
        <is>
          <t>JEA_NSA</t>
        </is>
      </c>
      <c r="J167" s="7" t="inlineStr">
        <is>
          <t>INR</t>
        </is>
      </c>
      <c r="K167" s="7" t="inlineStr">
        <is>
          <t>floating</t>
        </is>
      </c>
      <c r="L167" s="7" t="inlineStr">
        <is>
          <t>PNL</t>
        </is>
      </c>
      <c r="M167" s="11" t="n">
        <v>44711</v>
      </c>
      <c r="N167" s="13" t="n">
        <v>1200</v>
      </c>
      <c r="O167" s="6" t="n">
        <v>0</v>
      </c>
      <c r="P167" s="13" t="n">
        <v>0</v>
      </c>
      <c r="Q167" s="22" t="n">
        <v>31</v>
      </c>
      <c r="R167" s="6" t="n">
        <v>1</v>
      </c>
      <c r="U167" s="9" t="n">
        <v>262752281.14</v>
      </c>
      <c r="V167" s="9" t="n">
        <v>262752281.14</v>
      </c>
      <c r="W167" s="9" t="n">
        <v>218960.2343</v>
      </c>
      <c r="X167" s="9" t="n">
        <v>76.4383</v>
      </c>
      <c r="AK167" s="7" t="inlineStr">
        <is>
          <t>PYTHON_LIFECYCLE</t>
        </is>
      </c>
      <c r="AL167" s="8">
        <f>IF($J167="INR",1,IF($M167&lt;$A167,INDEX(Market_Daily!$F$6:$F$256,MATCH($M167,Market_Daily!$A$6:$A$256,1)),IF($M167=$A167,INDEX(Market_Daily!$F$6:$F$256,MATCH($A167,Market_Daily!$A$6:$A$256,0)),(INDEX(Market_Daily!$F$6:$F$256,MATCH($A167,Market_Daily!$A$6:$A$256,0))*(1+INDEX(Market_Daily!$I$6:$I$256,MATCH($A167,Market_Daily!$A$6:$A$256,0))*($M167-$A167)/day_count_inr)/(1+INDEX(Market_Daily!$J$6:$J$256,MATCH($A167,Market_Daily!$A$6:$A$256,0))*($M167-$A167)/day_count_usd)))))</f>
        <v/>
      </c>
      <c r="AM167" s="8">
        <f>IF(OR($J167="INR",$R167&gt;1),"",$AL167-$X167)</f>
        <v/>
      </c>
      <c r="AN167" s="8">
        <f>$U167</f>
        <v/>
      </c>
      <c r="AO167" s="8">
        <f>$AN167*IF($J167="INR",1,$AL167)</f>
        <v/>
      </c>
      <c r="AP167" s="18">
        <f>$AO167-$V167</f>
        <v/>
      </c>
      <c r="AQ167" s="8">
        <f>IF(ABS($AP167)&lt;=tol_trade_inr,"PASS","FAIL")</f>
        <v/>
      </c>
    </row>
    <row r="168">
      <c r="A168" s="11" t="n">
        <v>44643</v>
      </c>
      <c r="B168" s="7" t="inlineStr">
        <is>
          <t>T02</t>
        </is>
      </c>
      <c r="C168" s="7" t="inlineStr">
        <is>
          <t>USANCE_INTEREST:L1</t>
        </is>
      </c>
      <c r="D168" s="7" t="inlineStr">
        <is>
          <t>USANCE_INTEREST</t>
        </is>
      </c>
      <c r="E168" s="7" t="inlineStr">
        <is>
          <t>physical</t>
        </is>
      </c>
      <c r="F168" s="7" t="inlineStr">
        <is>
          <t>L1</t>
        </is>
      </c>
      <c r="H168" s="7" t="inlineStr">
        <is>
          <t>tense</t>
        </is>
      </c>
      <c r="I168" s="7" t="inlineStr">
        <is>
          <t>JEA_NSA</t>
        </is>
      </c>
      <c r="J168" s="7" t="inlineStr">
        <is>
          <t>USD</t>
        </is>
      </c>
      <c r="K168" s="7" t="inlineStr">
        <is>
          <t>floating</t>
        </is>
      </c>
      <c r="L168" s="7" t="inlineStr">
        <is>
          <t>PNL</t>
        </is>
      </c>
      <c r="M168" s="11" t="n">
        <v>44746</v>
      </c>
      <c r="N168" s="13" t="n">
        <v>0</v>
      </c>
      <c r="O168" s="6" t="n">
        <v>0</v>
      </c>
      <c r="P168" s="13" t="n">
        <v>0</v>
      </c>
      <c r="Q168" s="22" t="n">
        <v>31</v>
      </c>
      <c r="R168" s="6" t="n">
        <v>1</v>
      </c>
      <c r="U168" s="9" t="n">
        <v>-6482.86</v>
      </c>
      <c r="V168" s="9" t="n">
        <v>-500104.46</v>
      </c>
      <c r="X168" s="9" t="n">
        <v>77.1426</v>
      </c>
      <c r="AK168" s="7" t="inlineStr">
        <is>
          <t>PYTHON_LIFECYCLE</t>
        </is>
      </c>
      <c r="AL168" s="8">
        <f>IF($J168="INR",1,IF($M168&lt;$A168,INDEX(Market_Daily!$F$6:$F$256,MATCH($M168,Market_Daily!$A$6:$A$256,1)),IF($M168=$A168,INDEX(Market_Daily!$F$6:$F$256,MATCH($A168,Market_Daily!$A$6:$A$256,0)),(INDEX(Market_Daily!$F$6:$F$256,MATCH($A168,Market_Daily!$A$6:$A$256,0))*(1+INDEX(Market_Daily!$I$6:$I$256,MATCH($A168,Market_Daily!$A$6:$A$256,0))*($M168-$A168)/day_count_inr)/(1+INDEX(Market_Daily!$J$6:$J$256,MATCH($A168,Market_Daily!$A$6:$A$256,0))*($M168-$A168)/day_count_usd)))))</f>
        <v/>
      </c>
      <c r="AM168" s="8">
        <f>IF(OR($J168="INR",$R168&gt;1),"",$AL168-$X168)</f>
        <v/>
      </c>
      <c r="AN168" s="8">
        <f>$U168</f>
        <v/>
      </c>
      <c r="AO168" s="8">
        <f>$AN168*IF($J168="INR",1,$AL168)</f>
        <v/>
      </c>
      <c r="AP168" s="18">
        <f>$AO168-$V168</f>
        <v/>
      </c>
      <c r="AQ168" s="8">
        <f>IF(ABS($AP168)&lt;=tol_trade_inr,"PASS","FAIL")</f>
        <v/>
      </c>
    </row>
    <row r="169">
      <c r="A169" s="11" t="n">
        <v>44643</v>
      </c>
      <c r="B169" s="7" t="inlineStr">
        <is>
          <t>T02</t>
        </is>
      </c>
      <c r="C169" s="7" t="inlineStr">
        <is>
          <t>USANCE_INTEREST:L2</t>
        </is>
      </c>
      <c r="D169" s="7" t="inlineStr">
        <is>
          <t>USANCE_INTEREST</t>
        </is>
      </c>
      <c r="E169" s="7" t="inlineStr">
        <is>
          <t>physical</t>
        </is>
      </c>
      <c r="F169" s="7" t="inlineStr">
        <is>
          <t>L2</t>
        </is>
      </c>
      <c r="H169" s="7" t="inlineStr">
        <is>
          <t>tense</t>
        </is>
      </c>
      <c r="I169" s="7" t="inlineStr">
        <is>
          <t>JEA_NSA</t>
        </is>
      </c>
      <c r="J169" s="7" t="inlineStr">
        <is>
          <t>USD</t>
        </is>
      </c>
      <c r="K169" s="7" t="inlineStr">
        <is>
          <t>floating</t>
        </is>
      </c>
      <c r="L169" s="7" t="inlineStr">
        <is>
          <t>PNL</t>
        </is>
      </c>
      <c r="M169" s="11" t="n">
        <v>44754</v>
      </c>
      <c r="N169" s="13" t="n">
        <v>0</v>
      </c>
      <c r="O169" s="6" t="n">
        <v>0</v>
      </c>
      <c r="P169" s="13" t="n">
        <v>0</v>
      </c>
      <c r="Q169" s="22" t="n">
        <v>31</v>
      </c>
      <c r="R169" s="6" t="n">
        <v>1</v>
      </c>
      <c r="U169" s="9" t="n">
        <v>-6482.86</v>
      </c>
      <c r="V169" s="9" t="n">
        <v>-500458.54</v>
      </c>
      <c r="X169" s="9" t="n">
        <v>77.1972</v>
      </c>
      <c r="AK169" s="7" t="inlineStr">
        <is>
          <t>PYTHON_LIFECYCLE</t>
        </is>
      </c>
      <c r="AL169" s="8">
        <f>IF($J169="INR",1,IF($M169&lt;$A169,INDEX(Market_Daily!$F$6:$F$256,MATCH($M169,Market_Daily!$A$6:$A$256,1)),IF($M169=$A169,INDEX(Market_Daily!$F$6:$F$256,MATCH($A169,Market_Daily!$A$6:$A$256,0)),(INDEX(Market_Daily!$F$6:$F$256,MATCH($A169,Market_Daily!$A$6:$A$256,0))*(1+INDEX(Market_Daily!$I$6:$I$256,MATCH($A169,Market_Daily!$A$6:$A$256,0))*($M169-$A169)/day_count_inr)/(1+INDEX(Market_Daily!$J$6:$J$256,MATCH($A169,Market_Daily!$A$6:$A$256,0))*($M169-$A169)/day_count_usd)))))</f>
        <v/>
      </c>
      <c r="AM169" s="8">
        <f>IF(OR($J169="INR",$R169&gt;1),"",$AL169-$X169)</f>
        <v/>
      </c>
      <c r="AN169" s="8">
        <f>$U169</f>
        <v/>
      </c>
      <c r="AO169" s="8">
        <f>$AN169*IF($J169="INR",1,$AL169)</f>
        <v/>
      </c>
      <c r="AP169" s="18">
        <f>$AO169-$V169</f>
        <v/>
      </c>
      <c r="AQ169" s="8">
        <f>IF(ABS($AP169)&lt;=tol_trade_inr,"PASS","FAIL")</f>
        <v/>
      </c>
    </row>
    <row r="170">
      <c r="A170" s="11" t="n">
        <v>44643</v>
      </c>
      <c r="B170" s="7" t="inlineStr">
        <is>
          <t>T03</t>
        </is>
      </c>
      <c r="C170" s="7" t="inlineStr">
        <is>
          <t>BILL_COMMISSION:L1</t>
        </is>
      </c>
      <c r="D170" s="7" t="inlineStr">
        <is>
          <t>BILL_COMMISSION</t>
        </is>
      </c>
      <c r="E170" s="7" t="inlineStr">
        <is>
          <t>physical</t>
        </is>
      </c>
      <c r="F170" s="7" t="inlineStr">
        <is>
          <t>L1</t>
        </is>
      </c>
      <c r="H170" s="7" t="inlineStr">
        <is>
          <t>taint_tabor</t>
        </is>
      </c>
      <c r="I170" s="7" t="inlineStr">
        <is>
          <t>JEA_NSA</t>
        </is>
      </c>
      <c r="J170" s="7" t="inlineStr">
        <is>
          <t>USD</t>
        </is>
      </c>
      <c r="K170" s="7" t="inlineStr">
        <is>
          <t>floating</t>
        </is>
      </c>
      <c r="L170" s="7" t="inlineStr">
        <is>
          <t>PNL</t>
        </is>
      </c>
      <c r="M170" s="11" t="n">
        <v>44671</v>
      </c>
      <c r="N170" s="13" t="n">
        <v>0</v>
      </c>
      <c r="O170" s="6" t="n">
        <v>0</v>
      </c>
      <c r="P170" s="13" t="n">
        <v>0</v>
      </c>
      <c r="Q170" s="22" t="n">
        <v>31</v>
      </c>
      <c r="R170" s="6" t="n">
        <v>1</v>
      </c>
      <c r="U170" s="9" t="n">
        <v>-1778.4</v>
      </c>
      <c r="V170" s="9" t="n">
        <v>-136278.72</v>
      </c>
      <c r="X170" s="9" t="n">
        <v>76.63</v>
      </c>
      <c r="AK170" s="7" t="inlineStr">
        <is>
          <t>PYTHON_LIFECYCLE</t>
        </is>
      </c>
      <c r="AL170" s="8">
        <f>IF($J170="INR",1,IF($M170&lt;$A170,INDEX(Market_Daily!$F$6:$F$256,MATCH($M170,Market_Daily!$A$6:$A$256,1)),IF($M170=$A170,INDEX(Market_Daily!$F$6:$F$256,MATCH($A170,Market_Daily!$A$6:$A$256,0)),(INDEX(Market_Daily!$F$6:$F$256,MATCH($A170,Market_Daily!$A$6:$A$256,0))*(1+INDEX(Market_Daily!$I$6:$I$256,MATCH($A170,Market_Daily!$A$6:$A$256,0))*($M170-$A170)/day_count_inr)/(1+INDEX(Market_Daily!$J$6:$J$256,MATCH($A170,Market_Daily!$A$6:$A$256,0))*($M170-$A170)/day_count_usd)))))</f>
        <v/>
      </c>
      <c r="AM170" s="8">
        <f>IF(OR($J170="INR",$R170&gt;1),"",$AL170-$X170)</f>
        <v/>
      </c>
      <c r="AN170" s="8">
        <f>$U170</f>
        <v/>
      </c>
      <c r="AO170" s="8">
        <f>$AN170*IF($J170="INR",1,$AL170)</f>
        <v/>
      </c>
      <c r="AP170" s="18">
        <f>$AO170-$V170</f>
        <v/>
      </c>
      <c r="AQ170" s="8">
        <f>IF(ABS($AP170)&lt;=tol_trade_inr,"PASS","FAIL")</f>
        <v/>
      </c>
    </row>
    <row r="171">
      <c r="A171" s="11" t="n">
        <v>44643</v>
      </c>
      <c r="B171" s="7" t="inlineStr">
        <is>
          <t>T03</t>
        </is>
      </c>
      <c r="C171" s="7" t="inlineStr">
        <is>
          <t>BILL_COMMISSION:L2</t>
        </is>
      </c>
      <c r="D171" s="7" t="inlineStr">
        <is>
          <t>BILL_COMMISSION</t>
        </is>
      </c>
      <c r="E171" s="7" t="inlineStr">
        <is>
          <t>physical</t>
        </is>
      </c>
      <c r="F171" s="7" t="inlineStr">
        <is>
          <t>L2</t>
        </is>
      </c>
      <c r="H171" s="7" t="inlineStr">
        <is>
          <t>taint_tabor</t>
        </is>
      </c>
      <c r="I171" s="7" t="inlineStr">
        <is>
          <t>JEA_NSA</t>
        </is>
      </c>
      <c r="J171" s="7" t="inlineStr">
        <is>
          <t>USD</t>
        </is>
      </c>
      <c r="K171" s="7" t="inlineStr">
        <is>
          <t>floating</t>
        </is>
      </c>
      <c r="L171" s="7" t="inlineStr">
        <is>
          <t>PNL</t>
        </is>
      </c>
      <c r="M171" s="11" t="n">
        <v>44680</v>
      </c>
      <c r="N171" s="13" t="n">
        <v>0</v>
      </c>
      <c r="O171" s="6" t="n">
        <v>0</v>
      </c>
      <c r="P171" s="13" t="n">
        <v>0</v>
      </c>
      <c r="Q171" s="22" t="n">
        <v>31</v>
      </c>
      <c r="R171" s="6" t="n">
        <v>1</v>
      </c>
      <c r="U171" s="9" t="n">
        <v>-1778.4</v>
      </c>
      <c r="V171" s="9" t="n">
        <v>-136388.22</v>
      </c>
      <c r="X171" s="9" t="n">
        <v>76.6915</v>
      </c>
      <c r="AK171" s="7" t="inlineStr">
        <is>
          <t>PYTHON_LIFECYCLE</t>
        </is>
      </c>
      <c r="AL171" s="8">
        <f>IF($J171="INR",1,IF($M171&lt;$A171,INDEX(Market_Daily!$F$6:$F$256,MATCH($M171,Market_Daily!$A$6:$A$256,1)),IF($M171=$A171,INDEX(Market_Daily!$F$6:$F$256,MATCH($A171,Market_Daily!$A$6:$A$256,0)),(INDEX(Market_Daily!$F$6:$F$256,MATCH($A171,Market_Daily!$A$6:$A$256,0))*(1+INDEX(Market_Daily!$I$6:$I$256,MATCH($A171,Market_Daily!$A$6:$A$256,0))*($M171-$A171)/day_count_inr)/(1+INDEX(Market_Daily!$J$6:$J$256,MATCH($A171,Market_Daily!$A$6:$A$256,0))*($M171-$A171)/day_count_usd)))))</f>
        <v/>
      </c>
      <c r="AM171" s="8">
        <f>IF(OR($J171="INR",$R171&gt;1),"",$AL171-$X171)</f>
        <v/>
      </c>
      <c r="AN171" s="8">
        <f>$U171</f>
        <v/>
      </c>
      <c r="AO171" s="8">
        <f>$AN171*IF($J171="INR",1,$AL171)</f>
        <v/>
      </c>
      <c r="AP171" s="18">
        <f>$AO171-$V171</f>
        <v/>
      </c>
      <c r="AQ171" s="8">
        <f>IF(ABS($AP171)&lt;=tol_trade_inr,"PASS","FAIL")</f>
        <v/>
      </c>
    </row>
    <row r="172">
      <c r="A172" s="11" t="n">
        <v>44643</v>
      </c>
      <c r="B172" s="7" t="inlineStr">
        <is>
          <t>T03</t>
        </is>
      </c>
      <c r="C172" s="7" t="inlineStr">
        <is>
          <t>DUTY:L1</t>
        </is>
      </c>
      <c r="D172" s="7" t="inlineStr">
        <is>
          <t>DUTY</t>
        </is>
      </c>
      <c r="E172" s="7" t="inlineStr">
        <is>
          <t>physical</t>
        </is>
      </c>
      <c r="F172" s="7" t="inlineStr">
        <is>
          <t>L1</t>
        </is>
      </c>
      <c r="H172" s="7" t="inlineStr">
        <is>
          <t>taint_tabor</t>
        </is>
      </c>
      <c r="I172" s="7" t="inlineStr">
        <is>
          <t>JEA_NSA</t>
        </is>
      </c>
      <c r="J172" s="7" t="inlineStr">
        <is>
          <t>INR</t>
        </is>
      </c>
      <c r="K172" s="7" t="inlineStr">
        <is>
          <t>floating</t>
        </is>
      </c>
      <c r="L172" s="7" t="inlineStr">
        <is>
          <t>PNL</t>
        </is>
      </c>
      <c r="M172" s="11" t="n">
        <v>44670</v>
      </c>
      <c r="N172" s="13" t="n">
        <v>600</v>
      </c>
      <c r="O172" s="6" t="n">
        <v>0</v>
      </c>
      <c r="P172" s="13" t="n">
        <v>0</v>
      </c>
      <c r="Q172" s="22" t="n">
        <v>31</v>
      </c>
      <c r="R172" s="6" t="n">
        <v>1</v>
      </c>
      <c r="U172" s="9" t="n">
        <v>-3137506.97</v>
      </c>
      <c r="V172" s="9" t="n">
        <v>-3137506.97</v>
      </c>
      <c r="X172" s="9" t="n">
        <v>76.4383</v>
      </c>
      <c r="AK172" s="7" t="inlineStr">
        <is>
          <t>PYTHON_LIFECYCLE</t>
        </is>
      </c>
      <c r="AL172" s="8">
        <f>IF($J172="INR",1,IF($M172&lt;$A172,INDEX(Market_Daily!$F$6:$F$256,MATCH($M172,Market_Daily!$A$6:$A$256,1)),IF($M172=$A172,INDEX(Market_Daily!$F$6:$F$256,MATCH($A172,Market_Daily!$A$6:$A$256,0)),(INDEX(Market_Daily!$F$6:$F$256,MATCH($A172,Market_Daily!$A$6:$A$256,0))*(1+INDEX(Market_Daily!$I$6:$I$256,MATCH($A172,Market_Daily!$A$6:$A$256,0))*($M172-$A172)/day_count_inr)/(1+INDEX(Market_Daily!$J$6:$J$256,MATCH($A172,Market_Daily!$A$6:$A$256,0))*($M172-$A172)/day_count_usd)))))</f>
        <v/>
      </c>
      <c r="AM172" s="8">
        <f>IF(OR($J172="INR",$R172&gt;1),"",$AL172-$X172)</f>
        <v/>
      </c>
      <c r="AN172" s="8">
        <f>$U172</f>
        <v/>
      </c>
      <c r="AO172" s="8">
        <f>$AN172*IF($J172="INR",1,$AL172)</f>
        <v/>
      </c>
      <c r="AP172" s="18">
        <f>$AO172-$V172</f>
        <v/>
      </c>
      <c r="AQ172" s="8">
        <f>IF(ABS($AP172)&lt;=tol_trade_inr,"PASS","FAIL")</f>
        <v/>
      </c>
    </row>
    <row r="173">
      <c r="A173" s="11" t="n">
        <v>44643</v>
      </c>
      <c r="B173" s="7" t="inlineStr">
        <is>
          <t>T03</t>
        </is>
      </c>
      <c r="C173" s="7" t="inlineStr">
        <is>
          <t>DUTY:L2</t>
        </is>
      </c>
      <c r="D173" s="7" t="inlineStr">
        <is>
          <t>DUTY</t>
        </is>
      </c>
      <c r="E173" s="7" t="inlineStr">
        <is>
          <t>physical</t>
        </is>
      </c>
      <c r="F173" s="7" t="inlineStr">
        <is>
          <t>L2</t>
        </is>
      </c>
      <c r="H173" s="7" t="inlineStr">
        <is>
          <t>taint_tabor</t>
        </is>
      </c>
      <c r="I173" s="7" t="inlineStr">
        <is>
          <t>JEA_NSA</t>
        </is>
      </c>
      <c r="J173" s="7" t="inlineStr">
        <is>
          <t>INR</t>
        </is>
      </c>
      <c r="K173" s="7" t="inlineStr">
        <is>
          <t>floating</t>
        </is>
      </c>
      <c r="L173" s="7" t="inlineStr">
        <is>
          <t>PNL</t>
        </is>
      </c>
      <c r="M173" s="11" t="n">
        <v>44679</v>
      </c>
      <c r="N173" s="13" t="n">
        <v>600</v>
      </c>
      <c r="O173" s="6" t="n">
        <v>0</v>
      </c>
      <c r="P173" s="13" t="n">
        <v>0</v>
      </c>
      <c r="Q173" s="22" t="n">
        <v>31</v>
      </c>
      <c r="R173" s="6" t="n">
        <v>1</v>
      </c>
      <c r="U173" s="9" t="n">
        <v>-3137506.97</v>
      </c>
      <c r="V173" s="9" t="n">
        <v>-3137506.97</v>
      </c>
      <c r="X173" s="9" t="n">
        <v>76.4383</v>
      </c>
      <c r="AK173" s="7" t="inlineStr">
        <is>
          <t>PYTHON_LIFECYCLE</t>
        </is>
      </c>
      <c r="AL173" s="8">
        <f>IF($J173="INR",1,IF($M173&lt;$A173,INDEX(Market_Daily!$F$6:$F$256,MATCH($M173,Market_Daily!$A$6:$A$256,1)),IF($M173=$A173,INDEX(Market_Daily!$F$6:$F$256,MATCH($A173,Market_Daily!$A$6:$A$256,0)),(INDEX(Market_Daily!$F$6:$F$256,MATCH($A173,Market_Daily!$A$6:$A$256,0))*(1+INDEX(Market_Daily!$I$6:$I$256,MATCH($A173,Market_Daily!$A$6:$A$256,0))*($M173-$A173)/day_count_inr)/(1+INDEX(Market_Daily!$J$6:$J$256,MATCH($A173,Market_Daily!$A$6:$A$256,0))*($M173-$A173)/day_count_usd)))))</f>
        <v/>
      </c>
      <c r="AM173" s="8">
        <f>IF(OR($J173="INR",$R173&gt;1),"",$AL173-$X173)</f>
        <v/>
      </c>
      <c r="AN173" s="8">
        <f>$U173</f>
        <v/>
      </c>
      <c r="AO173" s="8">
        <f>$AN173*IF($J173="INR",1,$AL173)</f>
        <v/>
      </c>
      <c r="AP173" s="18">
        <f>$AO173-$V173</f>
        <v/>
      </c>
      <c r="AQ173" s="8">
        <f>IF(ABS($AP173)&lt;=tol_trade_inr,"PASS","FAIL")</f>
        <v/>
      </c>
    </row>
    <row r="174">
      <c r="A174" s="11" t="n">
        <v>44643</v>
      </c>
      <c r="B174" s="7" t="inlineStr">
        <is>
          <t>T03</t>
        </is>
      </c>
      <c r="C174" s="7" t="inlineStr">
        <is>
          <t>IGST:L1</t>
        </is>
      </c>
      <c r="D174" s="7" t="inlineStr">
        <is>
          <t>IGST</t>
        </is>
      </c>
      <c r="E174" s="7" t="inlineStr">
        <is>
          <t>physical</t>
        </is>
      </c>
      <c r="F174" s="7" t="inlineStr">
        <is>
          <t>L1</t>
        </is>
      </c>
      <c r="H174" s="7" t="inlineStr">
        <is>
          <t>taint_tabor</t>
        </is>
      </c>
      <c r="I174" s="7" t="inlineStr">
        <is>
          <t>JEA_NSA</t>
        </is>
      </c>
      <c r="J174" s="7" t="inlineStr">
        <is>
          <t>INR</t>
        </is>
      </c>
      <c r="K174" s="7" t="inlineStr">
        <is>
          <t>floating</t>
        </is>
      </c>
      <c r="L174" s="7" t="inlineStr">
        <is>
          <t>BS</t>
        </is>
      </c>
      <c r="M174" s="11" t="n">
        <v>44718</v>
      </c>
      <c r="N174" s="13" t="n">
        <v>0</v>
      </c>
      <c r="O174" s="6" t="n">
        <v>0</v>
      </c>
      <c r="P174" s="13" t="n">
        <v>0</v>
      </c>
      <c r="Q174" s="22" t="n">
        <v>31</v>
      </c>
      <c r="R174" s="6" t="n">
        <v>2</v>
      </c>
      <c r="U174" s="9" t="n">
        <v>0</v>
      </c>
      <c r="V174" s="9" t="n">
        <v>0</v>
      </c>
      <c r="X174" s="9" t="n">
        <v>76.4383</v>
      </c>
      <c r="AK174" s="7" t="inlineStr">
        <is>
          <t>PYTHON_MULTI_FLOW_LEG</t>
        </is>
      </c>
      <c r="AL174" s="8">
        <f>IF($J174="INR",1,IF($M174&lt;$A174,INDEX(Market_Daily!$F$6:$F$256,MATCH($M174,Market_Daily!$A$6:$A$256,1)),IF($M174=$A174,INDEX(Market_Daily!$F$6:$F$256,MATCH($A174,Market_Daily!$A$6:$A$256,0)),(INDEX(Market_Daily!$F$6:$F$256,MATCH($A174,Market_Daily!$A$6:$A$256,0))*(1+INDEX(Market_Daily!$I$6:$I$256,MATCH($A174,Market_Daily!$A$6:$A$256,0))*($M174-$A174)/day_count_inr)/(1+INDEX(Market_Daily!$J$6:$J$256,MATCH($A174,Market_Daily!$A$6:$A$256,0))*($M174-$A174)/day_count_usd)))))</f>
        <v/>
      </c>
      <c r="AM174" s="8">
        <f>IF(OR($J174="INR",$R174&gt;1),"",$AL174-$X174)</f>
        <v/>
      </c>
      <c r="AN174" s="8">
        <f>$U174</f>
        <v/>
      </c>
      <c r="AO174" s="8">
        <f>$V174</f>
        <v/>
      </c>
      <c r="AP174" s="18">
        <f>$AO174-$V174</f>
        <v/>
      </c>
      <c r="AQ174" s="8">
        <f>IF(ABS($AP174)&lt;=tol_trade_inr,"PASS","FAIL")</f>
        <v/>
      </c>
    </row>
    <row r="175">
      <c r="A175" s="11" t="n">
        <v>44643</v>
      </c>
      <c r="B175" s="7" t="inlineStr">
        <is>
          <t>T03</t>
        </is>
      </c>
      <c r="C175" s="7" t="inlineStr">
        <is>
          <t>IGST:L2</t>
        </is>
      </c>
      <c r="D175" s="7" t="inlineStr">
        <is>
          <t>IGST</t>
        </is>
      </c>
      <c r="E175" s="7" t="inlineStr">
        <is>
          <t>physical</t>
        </is>
      </c>
      <c r="F175" s="7" t="inlineStr">
        <is>
          <t>L2</t>
        </is>
      </c>
      <c r="H175" s="7" t="inlineStr">
        <is>
          <t>taint_tabor</t>
        </is>
      </c>
      <c r="I175" s="7" t="inlineStr">
        <is>
          <t>JEA_NSA</t>
        </is>
      </c>
      <c r="J175" s="7" t="inlineStr">
        <is>
          <t>INR</t>
        </is>
      </c>
      <c r="K175" s="7" t="inlineStr">
        <is>
          <t>floating</t>
        </is>
      </c>
      <c r="L175" s="7" t="inlineStr">
        <is>
          <t>BS</t>
        </is>
      </c>
      <c r="M175" s="11" t="n">
        <v>44725</v>
      </c>
      <c r="N175" s="13" t="n">
        <v>0</v>
      </c>
      <c r="O175" s="6" t="n">
        <v>0</v>
      </c>
      <c r="P175" s="13" t="n">
        <v>0</v>
      </c>
      <c r="Q175" s="22" t="n">
        <v>31</v>
      </c>
      <c r="R175" s="6" t="n">
        <v>2</v>
      </c>
      <c r="U175" s="9" t="n">
        <v>0</v>
      </c>
      <c r="V175" s="9" t="n">
        <v>0</v>
      </c>
      <c r="X175" s="9" t="n">
        <v>76.4383</v>
      </c>
      <c r="AK175" s="7" t="inlineStr">
        <is>
          <t>PYTHON_MULTI_FLOW_LEG</t>
        </is>
      </c>
      <c r="AL175" s="8">
        <f>IF($J175="INR",1,IF($M175&lt;$A175,INDEX(Market_Daily!$F$6:$F$256,MATCH($M175,Market_Daily!$A$6:$A$256,1)),IF($M175=$A175,INDEX(Market_Daily!$F$6:$F$256,MATCH($A175,Market_Daily!$A$6:$A$256,0)),(INDEX(Market_Daily!$F$6:$F$256,MATCH($A175,Market_Daily!$A$6:$A$256,0))*(1+INDEX(Market_Daily!$I$6:$I$256,MATCH($A175,Market_Daily!$A$6:$A$256,0))*($M175-$A175)/day_count_inr)/(1+INDEX(Market_Daily!$J$6:$J$256,MATCH($A175,Market_Daily!$A$6:$A$256,0))*($M175-$A175)/day_count_usd)))))</f>
        <v/>
      </c>
      <c r="AM175" s="8">
        <f>IF(OR($J175="INR",$R175&gt;1),"",$AL175-$X175)</f>
        <v/>
      </c>
      <c r="AN175" s="8">
        <f>$U175</f>
        <v/>
      </c>
      <c r="AO175" s="8">
        <f>$V175</f>
        <v/>
      </c>
      <c r="AP175" s="18">
        <f>$AO175-$V175</f>
        <v/>
      </c>
      <c r="AQ175" s="8">
        <f>IF(ABS($AP175)&lt;=tol_trade_inr,"PASS","FAIL")</f>
        <v/>
      </c>
    </row>
    <row r="176">
      <c r="A176" s="11" t="n">
        <v>44643</v>
      </c>
      <c r="B176" s="7" t="inlineStr">
        <is>
          <t>T03</t>
        </is>
      </c>
      <c r="C176" s="7" t="inlineStr">
        <is>
          <t>INSURANCE:L1</t>
        </is>
      </c>
      <c r="D176" s="7" t="inlineStr">
        <is>
          <t>INSURANCE</t>
        </is>
      </c>
      <c r="E176" s="7" t="inlineStr">
        <is>
          <t>physical</t>
        </is>
      </c>
      <c r="F176" s="7" t="inlineStr">
        <is>
          <t>L1</t>
        </is>
      </c>
      <c r="H176" s="7" t="inlineStr">
        <is>
          <t>taint_tabor</t>
        </is>
      </c>
      <c r="I176" s="7" t="inlineStr">
        <is>
          <t>JEA_NSA</t>
        </is>
      </c>
      <c r="J176" s="7" t="inlineStr">
        <is>
          <t>USD</t>
        </is>
      </c>
      <c r="K176" s="7" t="inlineStr">
        <is>
          <t>floating</t>
        </is>
      </c>
      <c r="L176" s="7" t="inlineStr">
        <is>
          <t>PNL</t>
        </is>
      </c>
      <c r="M176" s="11" t="n">
        <v>44664</v>
      </c>
      <c r="N176" s="13" t="n">
        <v>600</v>
      </c>
      <c r="O176" s="6" t="n">
        <v>0</v>
      </c>
      <c r="P176" s="13" t="n">
        <v>0</v>
      </c>
      <c r="Q176" s="22" t="n">
        <v>31</v>
      </c>
      <c r="R176" s="6" t="n">
        <v>1</v>
      </c>
      <c r="U176" s="9" t="n">
        <v>-1630.2</v>
      </c>
      <c r="V176" s="9" t="n">
        <v>-124844.07</v>
      </c>
      <c r="X176" s="9" t="n">
        <v>76.5821</v>
      </c>
      <c r="AK176" s="7" t="inlineStr">
        <is>
          <t>PYTHON_LIFECYCLE</t>
        </is>
      </c>
      <c r="AL176" s="8">
        <f>IF($J176="INR",1,IF($M176&lt;$A176,INDEX(Market_Daily!$F$6:$F$256,MATCH($M176,Market_Daily!$A$6:$A$256,1)),IF($M176=$A176,INDEX(Market_Daily!$F$6:$F$256,MATCH($A176,Market_Daily!$A$6:$A$256,0)),(INDEX(Market_Daily!$F$6:$F$256,MATCH($A176,Market_Daily!$A$6:$A$256,0))*(1+INDEX(Market_Daily!$I$6:$I$256,MATCH($A176,Market_Daily!$A$6:$A$256,0))*($M176-$A176)/day_count_inr)/(1+INDEX(Market_Daily!$J$6:$J$256,MATCH($A176,Market_Daily!$A$6:$A$256,0))*($M176-$A176)/day_count_usd)))))</f>
        <v/>
      </c>
      <c r="AM176" s="8">
        <f>IF(OR($J176="INR",$R176&gt;1),"",$AL176-$X176)</f>
        <v/>
      </c>
      <c r="AN176" s="8">
        <f>$U176</f>
        <v/>
      </c>
      <c r="AO176" s="8">
        <f>$AN176*IF($J176="INR",1,$AL176)</f>
        <v/>
      </c>
      <c r="AP176" s="18">
        <f>$AO176-$V176</f>
        <v/>
      </c>
      <c r="AQ176" s="8">
        <f>IF(ABS($AP176)&lt;=tol_trade_inr,"PASS","FAIL")</f>
        <v/>
      </c>
    </row>
    <row r="177">
      <c r="A177" s="11" t="n">
        <v>44643</v>
      </c>
      <c r="B177" s="7" t="inlineStr">
        <is>
          <t>T03</t>
        </is>
      </c>
      <c r="C177" s="7" t="inlineStr">
        <is>
          <t>INSURANCE:L2</t>
        </is>
      </c>
      <c r="D177" s="7" t="inlineStr">
        <is>
          <t>INSURANCE</t>
        </is>
      </c>
      <c r="E177" s="7" t="inlineStr">
        <is>
          <t>physical</t>
        </is>
      </c>
      <c r="F177" s="7" t="inlineStr">
        <is>
          <t>L2</t>
        </is>
      </c>
      <c r="H177" s="7" t="inlineStr">
        <is>
          <t>taint_tabor</t>
        </is>
      </c>
      <c r="I177" s="7" t="inlineStr">
        <is>
          <t>JEA_NSA</t>
        </is>
      </c>
      <c r="J177" s="7" t="inlineStr">
        <is>
          <t>USD</t>
        </is>
      </c>
      <c r="K177" s="7" t="inlineStr">
        <is>
          <t>floating</t>
        </is>
      </c>
      <c r="L177" s="7" t="inlineStr">
        <is>
          <t>PNL</t>
        </is>
      </c>
      <c r="M177" s="11" t="n">
        <v>44673</v>
      </c>
      <c r="N177" s="13" t="n">
        <v>600</v>
      </c>
      <c r="O177" s="6" t="n">
        <v>0</v>
      </c>
      <c r="P177" s="13" t="n">
        <v>0</v>
      </c>
      <c r="Q177" s="22" t="n">
        <v>31</v>
      </c>
      <c r="R177" s="6" t="n">
        <v>1</v>
      </c>
      <c r="U177" s="9" t="n">
        <v>-1630.2</v>
      </c>
      <c r="V177" s="9" t="n">
        <v>-124944.47</v>
      </c>
      <c r="X177" s="9" t="n">
        <v>76.64360000000001</v>
      </c>
      <c r="AK177" s="7" t="inlineStr">
        <is>
          <t>PYTHON_LIFECYCLE</t>
        </is>
      </c>
      <c r="AL177" s="8">
        <f>IF($J177="INR",1,IF($M177&lt;$A177,INDEX(Market_Daily!$F$6:$F$256,MATCH($M177,Market_Daily!$A$6:$A$256,1)),IF($M177=$A177,INDEX(Market_Daily!$F$6:$F$256,MATCH($A177,Market_Daily!$A$6:$A$256,0)),(INDEX(Market_Daily!$F$6:$F$256,MATCH($A177,Market_Daily!$A$6:$A$256,0))*(1+INDEX(Market_Daily!$I$6:$I$256,MATCH($A177,Market_Daily!$A$6:$A$256,0))*($M177-$A177)/day_count_inr)/(1+INDEX(Market_Daily!$J$6:$J$256,MATCH($A177,Market_Daily!$A$6:$A$256,0))*($M177-$A177)/day_count_usd)))))</f>
        <v/>
      </c>
      <c r="AM177" s="8">
        <f>IF(OR($J177="INR",$R177&gt;1),"",$AL177-$X177)</f>
        <v/>
      </c>
      <c r="AN177" s="8">
        <f>$U177</f>
        <v/>
      </c>
      <c r="AO177" s="8">
        <f>$AN177*IF($J177="INR",1,$AL177)</f>
        <v/>
      </c>
      <c r="AP177" s="18">
        <f>$AO177-$V177</f>
        <v/>
      </c>
      <c r="AQ177" s="8">
        <f>IF(ABS($AP177)&lt;=tol_trade_inr,"PASS","FAIL")</f>
        <v/>
      </c>
    </row>
    <row r="178">
      <c r="A178" s="11" t="n">
        <v>44643</v>
      </c>
      <c r="B178" s="7" t="inlineStr">
        <is>
          <t>T03</t>
        </is>
      </c>
      <c r="C178" s="7" t="inlineStr">
        <is>
          <t>INVENTORY:L1</t>
        </is>
      </c>
      <c r="D178" s="7" t="inlineStr">
        <is>
          <t>INVENTORY</t>
        </is>
      </c>
      <c r="E178" s="7" t="inlineStr">
        <is>
          <t>physical</t>
        </is>
      </c>
      <c r="F178" s="7" t="inlineStr">
        <is>
          <t>L1</t>
        </is>
      </c>
      <c r="H178" s="7" t="inlineStr">
        <is>
          <t>taint_tabor</t>
        </is>
      </c>
      <c r="I178" s="7" t="inlineStr">
        <is>
          <t>JEA_NSA</t>
        </is>
      </c>
      <c r="J178" s="7" t="inlineStr">
        <is>
          <t>INR</t>
        </is>
      </c>
      <c r="K178" s="7" t="inlineStr">
        <is>
          <t>fixed_unsettled</t>
        </is>
      </c>
      <c r="L178" s="7" t="inlineStr">
        <is>
          <t>PNL</t>
        </is>
      </c>
      <c r="N178" s="13" t="n">
        <v>600</v>
      </c>
      <c r="O178" s="6" t="n">
        <v>0</v>
      </c>
      <c r="P178" s="13" t="n">
        <v>0</v>
      </c>
      <c r="Q178" s="22" t="n">
        <v>31</v>
      </c>
      <c r="R178" s="6" t="n">
        <v>0</v>
      </c>
      <c r="U178" s="9" t="n">
        <v>118854196.97</v>
      </c>
      <c r="V178" s="9" t="n">
        <v>118854196.97</v>
      </c>
      <c r="W178" s="9" t="n">
        <v>198090.3283</v>
      </c>
      <c r="X178" s="9" t="n">
        <v>76.4383</v>
      </c>
      <c r="Y178" s="8">
        <f>IF($I178="JEA_NSA","20ft","40ft")</f>
        <v/>
      </c>
      <c r="Z178" s="8">
        <f>IF($I178="JEA_NSA","nsa","mun")</f>
        <v/>
      </c>
      <c r="AA178" s="8">
        <f>INDEX(param_values,MATCH("container_payload_mt_"&amp;$Y178,param_keys,0))/INDEX(param_values,MATCH("container_payload_mt_"&amp;$Y178&amp;"_"&amp;$H178,param_keys,0))</f>
        <v/>
      </c>
      <c r="AB178" s="16">
        <f>INDEX(Market_Daily!$C$6:$C$256,MATCH($A178,Market_Daily!$A$6:$A$256,0))*INDEX(Market_Daily!$X$6:$Z$256,MATCH($A178,Market_Daily!$A$6:$A$256,0),MATCH("grade_factor_"&amp;$H178,Market_Daily!$X$5:$Z$5,0))</f>
        <v/>
      </c>
      <c r="AC178" s="16">
        <f>$AB178*(1+insurance_rate*insured_value_uplift)</f>
        <v/>
      </c>
      <c r="AD178" s="8">
        <f>(INDEX(Market_Daily!$F$6:$F$256,MATCH($A178,Market_Daily!$A$6:$A$256,0))*(1+INDEX(Market_Daily!$I$6:$I$256,MATCH($A178,Market_Daily!$A$6:$A$256,0))*$Q178/day_count_inr)/(1+INDEX(Market_Daily!$J$6:$J$256,MATCH($A178,Market_Daily!$A$6:$A$256,0))*$Q178/day_count_usd))</f>
        <v/>
      </c>
      <c r="AE178" s="18">
        <f>$AC178*$AD178</f>
        <v/>
      </c>
      <c r="AF178" s="18">
        <f>$AC178*INDEX(Market_Daily!$V$6:$V$256,MATCH($A178,Market_Daily!$A$6:$A$256,0))</f>
        <v/>
      </c>
      <c r="AG178" s="18">
        <f>$AF178*bcd_scrap_hs7602*(1+sws_rate_on_bcd)</f>
        <v/>
      </c>
      <c r="AH178" s="18">
        <f>INDEX(param_values,MATCH("port_cf_charges_inr_t_"&amp;$Z178,param_keys,0))*$AA178+IF(INDEX(param_values,MATCH(IF($I178="JEA_NSA","psic_required_uae_origin","psic_required_safe_origin_designated_port"),param_keys,0)),psic_cost_usd_per_box*INDEX(Market_Daily!$F$6:$F$256,MATCH($A178,Market_Daily!$A$6:$A$256,0))/INDEX(param_values,MATCH("container_payload_mt_20ft_"&amp;$H178,param_keys,0)),0)</f>
        <v/>
      </c>
      <c r="AI178" s="18">
        <f>IF(igst_itc_available,0,($AF178+$AG178)*igst_rate_hs7602)</f>
        <v/>
      </c>
      <c r="AJ178" s="18">
        <f>$AE178+$AG178+$AH178+$AI178</f>
        <v/>
      </c>
      <c r="AK178" s="7" t="inlineStr">
        <is>
          <t>DERIVED_IN_WORKBOOK</t>
        </is>
      </c>
      <c r="AL178" s="8">
        <f>IF($J178="INR",1,IF($M178&lt;$A178,INDEX(Market_Daily!$F$6:$F$256,MATCH($M178,Market_Daily!$A$6:$A$256,1)),IF($M178=$A178,INDEX(Market_Daily!$F$6:$F$256,MATCH($A178,Market_Daily!$A$6:$A$256,0)),(INDEX(Market_Daily!$F$6:$F$256,MATCH($A178,Market_Daily!$A$6:$A$256,0))*(1+INDEX(Market_Daily!$I$6:$I$256,MATCH($A178,Market_Daily!$A$6:$A$256,0))*($M178-$A178)/day_count_inr)/(1+INDEX(Market_Daily!$J$6:$J$256,MATCH($A178,Market_Daily!$A$6:$A$256,0))*($M178-$A178)/day_count_usd)))))</f>
        <v/>
      </c>
      <c r="AM178" s="8">
        <f>IF(OR($J178="INR",$R178&gt;1),"",$AL178-$X178)</f>
        <v/>
      </c>
      <c r="AN178" s="8">
        <f>$N178*$AJ178</f>
        <v/>
      </c>
      <c r="AO178" s="8">
        <f>$AN178</f>
        <v/>
      </c>
      <c r="AP178" s="18">
        <f>$AO178-$V178</f>
        <v/>
      </c>
      <c r="AQ178" s="8">
        <f>IF(ABS($AP178)&lt;=tol_trade_inr,"PASS","FAIL")</f>
        <v/>
      </c>
    </row>
    <row r="179">
      <c r="A179" s="11" t="n">
        <v>44643</v>
      </c>
      <c r="B179" s="7" t="inlineStr">
        <is>
          <t>T03</t>
        </is>
      </c>
      <c r="C179" s="7" t="inlineStr">
        <is>
          <t>INVENTORY:L2</t>
        </is>
      </c>
      <c r="D179" s="7" t="inlineStr">
        <is>
          <t>INVENTORY</t>
        </is>
      </c>
      <c r="E179" s="7" t="inlineStr">
        <is>
          <t>physical</t>
        </is>
      </c>
      <c r="F179" s="7" t="inlineStr">
        <is>
          <t>L2</t>
        </is>
      </c>
      <c r="H179" s="7" t="inlineStr">
        <is>
          <t>taint_tabor</t>
        </is>
      </c>
      <c r="I179" s="7" t="inlineStr">
        <is>
          <t>JEA_NSA</t>
        </is>
      </c>
      <c r="J179" s="7" t="inlineStr">
        <is>
          <t>INR</t>
        </is>
      </c>
      <c r="K179" s="7" t="inlineStr">
        <is>
          <t>fixed_unsettled</t>
        </is>
      </c>
      <c r="L179" s="7" t="inlineStr">
        <is>
          <t>PNL</t>
        </is>
      </c>
      <c r="N179" s="13" t="n">
        <v>600</v>
      </c>
      <c r="O179" s="6" t="n">
        <v>0</v>
      </c>
      <c r="P179" s="13" t="n">
        <v>0</v>
      </c>
      <c r="Q179" s="22" t="n">
        <v>31</v>
      </c>
      <c r="R179" s="6" t="n">
        <v>0</v>
      </c>
      <c r="U179" s="9" t="n">
        <v>118854196.97</v>
      </c>
      <c r="V179" s="9" t="n">
        <v>118854196.97</v>
      </c>
      <c r="W179" s="9" t="n">
        <v>198090.3283</v>
      </c>
      <c r="X179" s="9" t="n">
        <v>76.4383</v>
      </c>
      <c r="Y179" s="8">
        <f>IF($I179="JEA_NSA","20ft","40ft")</f>
        <v/>
      </c>
      <c r="Z179" s="8">
        <f>IF($I179="JEA_NSA","nsa","mun")</f>
        <v/>
      </c>
      <c r="AA179" s="8">
        <f>INDEX(param_values,MATCH("container_payload_mt_"&amp;$Y179,param_keys,0))/INDEX(param_values,MATCH("container_payload_mt_"&amp;$Y179&amp;"_"&amp;$H179,param_keys,0))</f>
        <v/>
      </c>
      <c r="AB179" s="16">
        <f>INDEX(Market_Daily!$C$6:$C$256,MATCH($A179,Market_Daily!$A$6:$A$256,0))*INDEX(Market_Daily!$X$6:$Z$256,MATCH($A179,Market_Daily!$A$6:$A$256,0),MATCH("grade_factor_"&amp;$H179,Market_Daily!$X$5:$Z$5,0))</f>
        <v/>
      </c>
      <c r="AC179" s="16">
        <f>$AB179*(1+insurance_rate*insured_value_uplift)</f>
        <v/>
      </c>
      <c r="AD179" s="8">
        <f>(INDEX(Market_Daily!$F$6:$F$256,MATCH($A179,Market_Daily!$A$6:$A$256,0))*(1+INDEX(Market_Daily!$I$6:$I$256,MATCH($A179,Market_Daily!$A$6:$A$256,0))*$Q179/day_count_inr)/(1+INDEX(Market_Daily!$J$6:$J$256,MATCH($A179,Market_Daily!$A$6:$A$256,0))*$Q179/day_count_usd))</f>
        <v/>
      </c>
      <c r="AE179" s="18">
        <f>$AC179*$AD179</f>
        <v/>
      </c>
      <c r="AF179" s="18">
        <f>$AC179*INDEX(Market_Daily!$V$6:$V$256,MATCH($A179,Market_Daily!$A$6:$A$256,0))</f>
        <v/>
      </c>
      <c r="AG179" s="18">
        <f>$AF179*bcd_scrap_hs7602*(1+sws_rate_on_bcd)</f>
        <v/>
      </c>
      <c r="AH179" s="18">
        <f>INDEX(param_values,MATCH("port_cf_charges_inr_t_"&amp;$Z179,param_keys,0))*$AA179+IF(INDEX(param_values,MATCH(IF($I179="JEA_NSA","psic_required_uae_origin","psic_required_safe_origin_designated_port"),param_keys,0)),psic_cost_usd_per_box*INDEX(Market_Daily!$F$6:$F$256,MATCH($A179,Market_Daily!$A$6:$A$256,0))/INDEX(param_values,MATCH("container_payload_mt_20ft_"&amp;$H179,param_keys,0)),0)</f>
        <v/>
      </c>
      <c r="AI179" s="18">
        <f>IF(igst_itc_available,0,($AF179+$AG179)*igst_rate_hs7602)</f>
        <v/>
      </c>
      <c r="AJ179" s="18">
        <f>$AE179+$AG179+$AH179+$AI179</f>
        <v/>
      </c>
      <c r="AK179" s="7" t="inlineStr">
        <is>
          <t>DERIVED_IN_WORKBOOK</t>
        </is>
      </c>
      <c r="AL179" s="8">
        <f>IF($J179="INR",1,IF($M179&lt;$A179,INDEX(Market_Daily!$F$6:$F$256,MATCH($M179,Market_Daily!$A$6:$A$256,1)),IF($M179=$A179,INDEX(Market_Daily!$F$6:$F$256,MATCH($A179,Market_Daily!$A$6:$A$256,0)),(INDEX(Market_Daily!$F$6:$F$256,MATCH($A179,Market_Daily!$A$6:$A$256,0))*(1+INDEX(Market_Daily!$I$6:$I$256,MATCH($A179,Market_Daily!$A$6:$A$256,0))*($M179-$A179)/day_count_inr)/(1+INDEX(Market_Daily!$J$6:$J$256,MATCH($A179,Market_Daily!$A$6:$A$256,0))*($M179-$A179)/day_count_usd)))))</f>
        <v/>
      </c>
      <c r="AM179" s="8">
        <f>IF(OR($J179="INR",$R179&gt;1),"",$AL179-$X179)</f>
        <v/>
      </c>
      <c r="AN179" s="8">
        <f>$N179*$AJ179</f>
        <v/>
      </c>
      <c r="AO179" s="8">
        <f>$AN179</f>
        <v/>
      </c>
      <c r="AP179" s="18">
        <f>$AO179-$V179</f>
        <v/>
      </c>
      <c r="AQ179" s="8">
        <f>IF(ABS($AP179)&lt;=tol_trade_inr,"PASS","FAIL")</f>
        <v/>
      </c>
    </row>
    <row r="180">
      <c r="A180" s="11" t="n">
        <v>44643</v>
      </c>
      <c r="B180" s="7" t="inlineStr">
        <is>
          <t>T03</t>
        </is>
      </c>
      <c r="C180" s="7" t="inlineStr">
        <is>
          <t>MCX:T03-MCX-1</t>
        </is>
      </c>
      <c r="D180" s="7" t="inlineStr">
        <is>
          <t>MCX</t>
        </is>
      </c>
      <c r="E180" s="7" t="inlineStr">
        <is>
          <t>mcx</t>
        </is>
      </c>
      <c r="H180" s="7" t="inlineStr">
        <is>
          <t>taint_tabor</t>
        </is>
      </c>
      <c r="I180" s="7" t="inlineStr">
        <is>
          <t>JEA_NSA</t>
        </is>
      </c>
      <c r="J180" s="7" t="inlineStr">
        <is>
          <t>INR</t>
        </is>
      </c>
      <c r="K180" s="7" t="inlineStr">
        <is>
          <t>partially_fixed</t>
        </is>
      </c>
      <c r="L180" s="7" t="inlineStr">
        <is>
          <t>PNL</t>
        </is>
      </c>
      <c r="M180" s="11" t="n">
        <v>44671</v>
      </c>
      <c r="N180" s="13" t="n">
        <v>0</v>
      </c>
      <c r="O180" s="6" t="n">
        <v>-143</v>
      </c>
      <c r="P180" s="13" t="n">
        <v>0</v>
      </c>
      <c r="Q180" s="22" t="n">
        <v>31</v>
      </c>
      <c r="R180" s="6" t="n">
        <v>19</v>
      </c>
      <c r="U180" s="9" t="n">
        <v>0</v>
      </c>
      <c r="V180" s="9" t="n">
        <v>0</v>
      </c>
      <c r="X180" s="9" t="n">
        <v>76.4383</v>
      </c>
      <c r="AK180" s="7" t="inlineStr">
        <is>
          <t>PYTHON_MULTI_FLOW_LEG</t>
        </is>
      </c>
      <c r="AL180" s="8">
        <f>IF($J180="INR",1,IF($M180&lt;$A180,INDEX(Market_Daily!$F$6:$F$256,MATCH($M180,Market_Daily!$A$6:$A$256,1)),IF($M180=$A180,INDEX(Market_Daily!$F$6:$F$256,MATCH($A180,Market_Daily!$A$6:$A$256,0)),(INDEX(Market_Daily!$F$6:$F$256,MATCH($A180,Market_Daily!$A$6:$A$256,0))*(1+INDEX(Market_Daily!$I$6:$I$256,MATCH($A180,Market_Daily!$A$6:$A$256,0))*($M180-$A180)/day_count_inr)/(1+INDEX(Market_Daily!$J$6:$J$256,MATCH($A180,Market_Daily!$A$6:$A$256,0))*($M180-$A180)/day_count_usd)))))</f>
        <v/>
      </c>
      <c r="AM180" s="8">
        <f>IF(OR($J180="INR",$R180&gt;1),"",$AL180-$X180)</f>
        <v/>
      </c>
      <c r="AN180" s="8">
        <f>$U180</f>
        <v/>
      </c>
      <c r="AO180" s="8">
        <f>$V180</f>
        <v/>
      </c>
      <c r="AP180" s="18">
        <f>$AO180-$V180</f>
        <v/>
      </c>
      <c r="AQ180" s="8">
        <f>IF(ABS($AP180)&lt;=tol_trade_inr,"PASS","FAIL")</f>
        <v/>
      </c>
    </row>
    <row r="181">
      <c r="A181" s="11" t="n">
        <v>44643</v>
      </c>
      <c r="B181" s="7" t="inlineStr">
        <is>
          <t>T03</t>
        </is>
      </c>
      <c r="C181" s="7" t="inlineStr">
        <is>
          <t>PORT:L1</t>
        </is>
      </c>
      <c r="D181" s="7" t="inlineStr">
        <is>
          <t>PORT</t>
        </is>
      </c>
      <c r="E181" s="7" t="inlineStr">
        <is>
          <t>physical</t>
        </is>
      </c>
      <c r="F181" s="7" t="inlineStr">
        <is>
          <t>L1</t>
        </is>
      </c>
      <c r="H181" s="7" t="inlineStr">
        <is>
          <t>taint_tabor</t>
        </is>
      </c>
      <c r="I181" s="7" t="inlineStr">
        <is>
          <t>JEA_NSA</t>
        </is>
      </c>
      <c r="J181" s="7" t="inlineStr">
        <is>
          <t>INR</t>
        </is>
      </c>
      <c r="K181" s="7" t="inlineStr">
        <is>
          <t>fixed_unsettled</t>
        </is>
      </c>
      <c r="L181" s="7" t="inlineStr">
        <is>
          <t>PNL</t>
        </is>
      </c>
      <c r="M181" s="11" t="n">
        <v>44679</v>
      </c>
      <c r="N181" s="13" t="n">
        <v>0</v>
      </c>
      <c r="O181" s="6" t="n">
        <v>0</v>
      </c>
      <c r="P181" s="13" t="n">
        <v>0</v>
      </c>
      <c r="Q181" s="22" t="n">
        <v>31</v>
      </c>
      <c r="R181" s="6" t="n">
        <v>1</v>
      </c>
      <c r="U181" s="9" t="n">
        <v>-1200000</v>
      </c>
      <c r="V181" s="9" t="n">
        <v>-1200000</v>
      </c>
      <c r="X181" s="9" t="n">
        <v>76.4383</v>
      </c>
      <c r="AK181" s="7" t="inlineStr">
        <is>
          <t>PYTHON_LIFECYCLE</t>
        </is>
      </c>
      <c r="AL181" s="8">
        <f>IF($J181="INR",1,IF($M181&lt;$A181,INDEX(Market_Daily!$F$6:$F$256,MATCH($M181,Market_Daily!$A$6:$A$256,1)),IF($M181=$A181,INDEX(Market_Daily!$F$6:$F$256,MATCH($A181,Market_Daily!$A$6:$A$256,0)),(INDEX(Market_Daily!$F$6:$F$256,MATCH($A181,Market_Daily!$A$6:$A$256,0))*(1+INDEX(Market_Daily!$I$6:$I$256,MATCH($A181,Market_Daily!$A$6:$A$256,0))*($M181-$A181)/day_count_inr)/(1+INDEX(Market_Daily!$J$6:$J$256,MATCH($A181,Market_Daily!$A$6:$A$256,0))*($M181-$A181)/day_count_usd)))))</f>
        <v/>
      </c>
      <c r="AM181" s="8">
        <f>IF(OR($J181="INR",$R181&gt;1),"",$AL181-$X181)</f>
        <v/>
      </c>
      <c r="AN181" s="8">
        <f>$U181</f>
        <v/>
      </c>
      <c r="AO181" s="8">
        <f>$AN181*IF($J181="INR",1,$AL181)</f>
        <v/>
      </c>
      <c r="AP181" s="18">
        <f>$AO181-$V181</f>
        <v/>
      </c>
      <c r="AQ181" s="8">
        <f>IF(ABS($AP181)&lt;=tol_trade_inr,"PASS","FAIL")</f>
        <v/>
      </c>
    </row>
    <row r="182">
      <c r="A182" s="11" t="n">
        <v>44643</v>
      </c>
      <c r="B182" s="7" t="inlineStr">
        <is>
          <t>T03</t>
        </is>
      </c>
      <c r="C182" s="7" t="inlineStr">
        <is>
          <t>PORT:L2</t>
        </is>
      </c>
      <c r="D182" s="7" t="inlineStr">
        <is>
          <t>PORT</t>
        </is>
      </c>
      <c r="E182" s="7" t="inlineStr">
        <is>
          <t>physical</t>
        </is>
      </c>
      <c r="F182" s="7" t="inlineStr">
        <is>
          <t>L2</t>
        </is>
      </c>
      <c r="H182" s="7" t="inlineStr">
        <is>
          <t>taint_tabor</t>
        </is>
      </c>
      <c r="I182" s="7" t="inlineStr">
        <is>
          <t>JEA_NSA</t>
        </is>
      </c>
      <c r="J182" s="7" t="inlineStr">
        <is>
          <t>INR</t>
        </is>
      </c>
      <c r="K182" s="7" t="inlineStr">
        <is>
          <t>fixed_unsettled</t>
        </is>
      </c>
      <c r="L182" s="7" t="inlineStr">
        <is>
          <t>PNL</t>
        </is>
      </c>
      <c r="M182" s="11" t="n">
        <v>44690</v>
      </c>
      <c r="N182" s="13" t="n">
        <v>0</v>
      </c>
      <c r="O182" s="6" t="n">
        <v>0</v>
      </c>
      <c r="P182" s="13" t="n">
        <v>0</v>
      </c>
      <c r="Q182" s="22" t="n">
        <v>31</v>
      </c>
      <c r="R182" s="6" t="n">
        <v>1</v>
      </c>
      <c r="U182" s="9" t="n">
        <v>-1200000</v>
      </c>
      <c r="V182" s="9" t="n">
        <v>-1200000</v>
      </c>
      <c r="X182" s="9" t="n">
        <v>76.4383</v>
      </c>
      <c r="AK182" s="7" t="inlineStr">
        <is>
          <t>PYTHON_LIFECYCLE</t>
        </is>
      </c>
      <c r="AL182" s="8">
        <f>IF($J182="INR",1,IF($M182&lt;$A182,INDEX(Market_Daily!$F$6:$F$256,MATCH($M182,Market_Daily!$A$6:$A$256,1)),IF($M182=$A182,INDEX(Market_Daily!$F$6:$F$256,MATCH($A182,Market_Daily!$A$6:$A$256,0)),(INDEX(Market_Daily!$F$6:$F$256,MATCH($A182,Market_Daily!$A$6:$A$256,0))*(1+INDEX(Market_Daily!$I$6:$I$256,MATCH($A182,Market_Daily!$A$6:$A$256,0))*($M182-$A182)/day_count_inr)/(1+INDEX(Market_Daily!$J$6:$J$256,MATCH($A182,Market_Daily!$A$6:$A$256,0))*($M182-$A182)/day_count_usd)))))</f>
        <v/>
      </c>
      <c r="AM182" s="8">
        <f>IF(OR($J182="INR",$R182&gt;1),"",$AL182-$X182)</f>
        <v/>
      </c>
      <c r="AN182" s="8">
        <f>$U182</f>
        <v/>
      </c>
      <c r="AO182" s="8">
        <f>$AN182*IF($J182="INR",1,$AL182)</f>
        <v/>
      </c>
      <c r="AP182" s="18">
        <f>$AO182-$V182</f>
        <v/>
      </c>
      <c r="AQ182" s="8">
        <f>IF(ABS($AP182)&lt;=tol_trade_inr,"PASS","FAIL")</f>
        <v/>
      </c>
    </row>
    <row r="183">
      <c r="A183" s="11" t="n">
        <v>44643</v>
      </c>
      <c r="B183" s="7" t="inlineStr">
        <is>
          <t>T03</t>
        </is>
      </c>
      <c r="C183" s="7" t="inlineStr">
        <is>
          <t>PSIC:L1</t>
        </is>
      </c>
      <c r="D183" s="7" t="inlineStr">
        <is>
          <t>PSIC</t>
        </is>
      </c>
      <c r="E183" s="7" t="inlineStr">
        <is>
          <t>physical</t>
        </is>
      </c>
      <c r="F183" s="7" t="inlineStr">
        <is>
          <t>L1</t>
        </is>
      </c>
      <c r="H183" s="7" t="inlineStr">
        <is>
          <t>taint_tabor</t>
        </is>
      </c>
      <c r="I183" s="7" t="inlineStr">
        <is>
          <t>JEA_NSA</t>
        </is>
      </c>
      <c r="J183" s="7" t="inlineStr">
        <is>
          <t>USD</t>
        </is>
      </c>
      <c r="K183" s="7" t="inlineStr">
        <is>
          <t>floating</t>
        </is>
      </c>
      <c r="L183" s="7" t="inlineStr">
        <is>
          <t>PNL</t>
        </is>
      </c>
      <c r="M183" s="11" t="n">
        <v>44664</v>
      </c>
      <c r="N183" s="13" t="n">
        <v>0</v>
      </c>
      <c r="O183" s="6" t="n">
        <v>0</v>
      </c>
      <c r="P183" s="13" t="n">
        <v>0</v>
      </c>
      <c r="Q183" s="22" t="n">
        <v>31</v>
      </c>
      <c r="R183" s="6" t="n">
        <v>1</v>
      </c>
      <c r="U183" s="9" t="n">
        <v>-1200</v>
      </c>
      <c r="V183" s="9" t="n">
        <v>-91898.47</v>
      </c>
      <c r="X183" s="9" t="n">
        <v>76.5821</v>
      </c>
      <c r="AK183" s="7" t="inlineStr">
        <is>
          <t>PYTHON_LIFECYCLE</t>
        </is>
      </c>
      <c r="AL183" s="8">
        <f>IF($J183="INR",1,IF($M183&lt;$A183,INDEX(Market_Daily!$F$6:$F$256,MATCH($M183,Market_Daily!$A$6:$A$256,1)),IF($M183=$A183,INDEX(Market_Daily!$F$6:$F$256,MATCH($A183,Market_Daily!$A$6:$A$256,0)),(INDEX(Market_Daily!$F$6:$F$256,MATCH($A183,Market_Daily!$A$6:$A$256,0))*(1+INDEX(Market_Daily!$I$6:$I$256,MATCH($A183,Market_Daily!$A$6:$A$256,0))*($M183-$A183)/day_count_inr)/(1+INDEX(Market_Daily!$J$6:$J$256,MATCH($A183,Market_Daily!$A$6:$A$256,0))*($M183-$A183)/day_count_usd)))))</f>
        <v/>
      </c>
      <c r="AM183" s="8">
        <f>IF(OR($J183="INR",$R183&gt;1),"",$AL183-$X183)</f>
        <v/>
      </c>
      <c r="AN183" s="8">
        <f>$U183</f>
        <v/>
      </c>
      <c r="AO183" s="8">
        <f>$AN183*IF($J183="INR",1,$AL183)</f>
        <v/>
      </c>
      <c r="AP183" s="18">
        <f>$AO183-$V183</f>
        <v/>
      </c>
      <c r="AQ183" s="8">
        <f>IF(ABS($AP183)&lt;=tol_trade_inr,"PASS","FAIL")</f>
        <v/>
      </c>
    </row>
    <row r="184">
      <c r="A184" s="11" t="n">
        <v>44643</v>
      </c>
      <c r="B184" s="7" t="inlineStr">
        <is>
          <t>T03</t>
        </is>
      </c>
      <c r="C184" s="7" t="inlineStr">
        <is>
          <t>PSIC:L2</t>
        </is>
      </c>
      <c r="D184" s="7" t="inlineStr">
        <is>
          <t>PSIC</t>
        </is>
      </c>
      <c r="E184" s="7" t="inlineStr">
        <is>
          <t>physical</t>
        </is>
      </c>
      <c r="F184" s="7" t="inlineStr">
        <is>
          <t>L2</t>
        </is>
      </c>
      <c r="H184" s="7" t="inlineStr">
        <is>
          <t>taint_tabor</t>
        </is>
      </c>
      <c r="I184" s="7" t="inlineStr">
        <is>
          <t>JEA_NSA</t>
        </is>
      </c>
      <c r="J184" s="7" t="inlineStr">
        <is>
          <t>USD</t>
        </is>
      </c>
      <c r="K184" s="7" t="inlineStr">
        <is>
          <t>floating</t>
        </is>
      </c>
      <c r="L184" s="7" t="inlineStr">
        <is>
          <t>PNL</t>
        </is>
      </c>
      <c r="M184" s="11" t="n">
        <v>44673</v>
      </c>
      <c r="N184" s="13" t="n">
        <v>0</v>
      </c>
      <c r="O184" s="6" t="n">
        <v>0</v>
      </c>
      <c r="P184" s="13" t="n">
        <v>0</v>
      </c>
      <c r="Q184" s="22" t="n">
        <v>31</v>
      </c>
      <c r="R184" s="6" t="n">
        <v>1</v>
      </c>
      <c r="U184" s="9" t="n">
        <v>-1200</v>
      </c>
      <c r="V184" s="9" t="n">
        <v>-91972.37</v>
      </c>
      <c r="X184" s="9" t="n">
        <v>76.64360000000001</v>
      </c>
      <c r="AK184" s="7" t="inlineStr">
        <is>
          <t>PYTHON_LIFECYCLE</t>
        </is>
      </c>
      <c r="AL184" s="8">
        <f>IF($J184="INR",1,IF($M184&lt;$A184,INDEX(Market_Daily!$F$6:$F$256,MATCH($M184,Market_Daily!$A$6:$A$256,1)),IF($M184=$A184,INDEX(Market_Daily!$F$6:$F$256,MATCH($A184,Market_Daily!$A$6:$A$256,0)),(INDEX(Market_Daily!$F$6:$F$256,MATCH($A184,Market_Daily!$A$6:$A$256,0))*(1+INDEX(Market_Daily!$I$6:$I$256,MATCH($A184,Market_Daily!$A$6:$A$256,0))*($M184-$A184)/day_count_inr)/(1+INDEX(Market_Daily!$J$6:$J$256,MATCH($A184,Market_Daily!$A$6:$A$256,0))*($M184-$A184)/day_count_usd)))))</f>
        <v/>
      </c>
      <c r="AM184" s="8">
        <f>IF(OR($J184="INR",$R184&gt;1),"",$AL184-$X184)</f>
        <v/>
      </c>
      <c r="AN184" s="8">
        <f>$U184</f>
        <v/>
      </c>
      <c r="AO184" s="8">
        <f>$AN184*IF($J184="INR",1,$AL184)</f>
        <v/>
      </c>
      <c r="AP184" s="18">
        <f>$AO184-$V184</f>
        <v/>
      </c>
      <c r="AQ184" s="8">
        <f>IF(ABS($AP184)&lt;=tol_trade_inr,"PASS","FAIL")</f>
        <v/>
      </c>
    </row>
    <row r="185">
      <c r="A185" s="11" t="n">
        <v>44643</v>
      </c>
      <c r="B185" s="7" t="inlineStr">
        <is>
          <t>T03</t>
        </is>
      </c>
      <c r="C185" s="7" t="inlineStr">
        <is>
          <t>PURCHASE:L1</t>
        </is>
      </c>
      <c r="D185" s="7" t="inlineStr">
        <is>
          <t>PURCHASE</t>
        </is>
      </c>
      <c r="E185" s="7" t="inlineStr">
        <is>
          <t>physical</t>
        </is>
      </c>
      <c r="F185" s="7" t="inlineStr">
        <is>
          <t>L1</t>
        </is>
      </c>
      <c r="G185" s="7" t="inlineStr">
        <is>
          <t>SUP_JEA_01</t>
        </is>
      </c>
      <c r="H185" s="7" t="inlineStr">
        <is>
          <t>taint_tabor</t>
        </is>
      </c>
      <c r="I185" s="7" t="inlineStr">
        <is>
          <t>JEA_NSA</t>
        </is>
      </c>
      <c r="J185" s="7" t="inlineStr">
        <is>
          <t>USD</t>
        </is>
      </c>
      <c r="K185" s="7" t="inlineStr">
        <is>
          <t>fixed_unsettled</t>
        </is>
      </c>
      <c r="L185" s="7" t="inlineStr">
        <is>
          <t>PNL</t>
        </is>
      </c>
      <c r="M185" s="11" t="n">
        <v>44671</v>
      </c>
      <c r="N185" s="13" t="n">
        <v>600</v>
      </c>
      <c r="O185" s="6" t="n">
        <v>0</v>
      </c>
      <c r="P185" s="13" t="n">
        <v>0</v>
      </c>
      <c r="Q185" s="22" t="n">
        <v>31</v>
      </c>
      <c r="R185" s="6" t="n">
        <v>1</v>
      </c>
      <c r="U185" s="9" t="n">
        <v>-1482000</v>
      </c>
      <c r="V185" s="9" t="n">
        <v>-113565599.32</v>
      </c>
      <c r="X185" s="9" t="n">
        <v>76.63</v>
      </c>
      <c r="AK185" s="7" t="inlineStr">
        <is>
          <t>PYTHON_LIFECYCLE</t>
        </is>
      </c>
      <c r="AL185" s="8">
        <f>IF($J185="INR",1,IF($M185&lt;$A185,INDEX(Market_Daily!$F$6:$F$256,MATCH($M185,Market_Daily!$A$6:$A$256,1)),IF($M185=$A185,INDEX(Market_Daily!$F$6:$F$256,MATCH($A185,Market_Daily!$A$6:$A$256,0)),(INDEX(Market_Daily!$F$6:$F$256,MATCH($A185,Market_Daily!$A$6:$A$256,0))*(1+INDEX(Market_Daily!$I$6:$I$256,MATCH($A185,Market_Daily!$A$6:$A$256,0))*($M185-$A185)/day_count_inr)/(1+INDEX(Market_Daily!$J$6:$J$256,MATCH($A185,Market_Daily!$A$6:$A$256,0))*($M185-$A185)/day_count_usd)))))</f>
        <v/>
      </c>
      <c r="AM185" s="8">
        <f>IF(OR($J185="INR",$R185&gt;1),"",$AL185-$X185)</f>
        <v/>
      </c>
      <c r="AN185" s="8">
        <f>$U185</f>
        <v/>
      </c>
      <c r="AO185" s="8">
        <f>$AN185*IF($J185="INR",1,$AL185)</f>
        <v/>
      </c>
      <c r="AP185" s="18">
        <f>$AO185-$V185</f>
        <v/>
      </c>
      <c r="AQ185" s="8">
        <f>IF(ABS($AP185)&lt;=tol_trade_inr,"PASS","FAIL")</f>
        <v/>
      </c>
    </row>
    <row r="186">
      <c r="A186" s="11" t="n">
        <v>44643</v>
      </c>
      <c r="B186" s="7" t="inlineStr">
        <is>
          <t>T03</t>
        </is>
      </c>
      <c r="C186" s="7" t="inlineStr">
        <is>
          <t>PURCHASE:L2</t>
        </is>
      </c>
      <c r="D186" s="7" t="inlineStr">
        <is>
          <t>PURCHASE</t>
        </is>
      </c>
      <c r="E186" s="7" t="inlineStr">
        <is>
          <t>physical</t>
        </is>
      </c>
      <c r="F186" s="7" t="inlineStr">
        <is>
          <t>L2</t>
        </is>
      </c>
      <c r="G186" s="7" t="inlineStr">
        <is>
          <t>SUP_JEA_01</t>
        </is>
      </c>
      <c r="H186" s="7" t="inlineStr">
        <is>
          <t>taint_tabor</t>
        </is>
      </c>
      <c r="I186" s="7" t="inlineStr">
        <is>
          <t>JEA_NSA</t>
        </is>
      </c>
      <c r="J186" s="7" t="inlineStr">
        <is>
          <t>USD</t>
        </is>
      </c>
      <c r="K186" s="7" t="inlineStr">
        <is>
          <t>fixed_unsettled</t>
        </is>
      </c>
      <c r="L186" s="7" t="inlineStr">
        <is>
          <t>PNL</t>
        </is>
      </c>
      <c r="M186" s="11" t="n">
        <v>44680</v>
      </c>
      <c r="N186" s="13" t="n">
        <v>600</v>
      </c>
      <c r="O186" s="6" t="n">
        <v>0</v>
      </c>
      <c r="P186" s="13" t="n">
        <v>0</v>
      </c>
      <c r="Q186" s="22" t="n">
        <v>31</v>
      </c>
      <c r="R186" s="6" t="n">
        <v>1</v>
      </c>
      <c r="U186" s="9" t="n">
        <v>-1482000</v>
      </c>
      <c r="V186" s="9" t="n">
        <v>-113656850.31</v>
      </c>
      <c r="X186" s="9" t="n">
        <v>76.6915</v>
      </c>
      <c r="AK186" s="7" t="inlineStr">
        <is>
          <t>PYTHON_LIFECYCLE</t>
        </is>
      </c>
      <c r="AL186" s="8">
        <f>IF($J186="INR",1,IF($M186&lt;$A186,INDEX(Market_Daily!$F$6:$F$256,MATCH($M186,Market_Daily!$A$6:$A$256,1)),IF($M186=$A186,INDEX(Market_Daily!$F$6:$F$256,MATCH($A186,Market_Daily!$A$6:$A$256,0)),(INDEX(Market_Daily!$F$6:$F$256,MATCH($A186,Market_Daily!$A$6:$A$256,0))*(1+INDEX(Market_Daily!$I$6:$I$256,MATCH($A186,Market_Daily!$A$6:$A$256,0))*($M186-$A186)/day_count_inr)/(1+INDEX(Market_Daily!$J$6:$J$256,MATCH($A186,Market_Daily!$A$6:$A$256,0))*($M186-$A186)/day_count_usd)))))</f>
        <v/>
      </c>
      <c r="AM186" s="8">
        <f>IF(OR($J186="INR",$R186&gt;1),"",$AL186-$X186)</f>
        <v/>
      </c>
      <c r="AN186" s="8">
        <f>$U186</f>
        <v/>
      </c>
      <c r="AO186" s="8">
        <f>$AN186*IF($J186="INR",1,$AL186)</f>
        <v/>
      </c>
      <c r="AP186" s="18">
        <f>$AO186-$V186</f>
        <v/>
      </c>
      <c r="AQ186" s="8">
        <f>IF(ABS($AP186)&lt;=tol_trade_inr,"PASS","FAIL")</f>
        <v/>
      </c>
    </row>
    <row r="187">
      <c r="A187" s="11" t="n">
        <v>44651</v>
      </c>
      <c r="B187" s="7" t="inlineStr">
        <is>
          <t>T01</t>
        </is>
      </c>
      <c r="C187" s="7" t="inlineStr">
        <is>
          <t>BILL_COMMISSION:L1</t>
        </is>
      </c>
      <c r="D187" s="7" t="inlineStr">
        <is>
          <t>BILL_COMMISSION</t>
        </is>
      </c>
      <c r="E187" s="7" t="inlineStr">
        <is>
          <t>physical</t>
        </is>
      </c>
      <c r="F187" s="7" t="inlineStr">
        <is>
          <t>L1</t>
        </is>
      </c>
      <c r="H187" s="7" t="inlineStr">
        <is>
          <t>zorba</t>
        </is>
      </c>
      <c r="I187" s="7" t="inlineStr">
        <is>
          <t>USEC_MUN</t>
        </is>
      </c>
      <c r="J187" s="7" t="inlineStr">
        <is>
          <t>USD</t>
        </is>
      </c>
      <c r="K187" s="7" t="inlineStr">
        <is>
          <t>floating</t>
        </is>
      </c>
      <c r="L187" s="7" t="inlineStr">
        <is>
          <t>PNL</t>
        </is>
      </c>
      <c r="M187" s="11" t="n">
        <v>44656</v>
      </c>
      <c r="N187" s="13" t="n">
        <v>0</v>
      </c>
      <c r="O187" s="6" t="n">
        <v>0</v>
      </c>
      <c r="P187" s="13" t="n">
        <v>0</v>
      </c>
      <c r="Q187" s="22" t="n">
        <v>30</v>
      </c>
      <c r="R187" s="6" t="n">
        <v>1</v>
      </c>
      <c r="U187" s="9" t="n">
        <v>-2358.72</v>
      </c>
      <c r="V187" s="9" t="n">
        <v>-178846.27</v>
      </c>
      <c r="X187" s="9" t="n">
        <v>75.82340000000001</v>
      </c>
      <c r="AK187" s="7" t="inlineStr">
        <is>
          <t>PYTHON_LIFECYCLE</t>
        </is>
      </c>
      <c r="AL187" s="8">
        <f>IF($J187="INR",1,IF($M187&lt;$A187,INDEX(Market_Daily!$F$6:$F$256,MATCH($M187,Market_Daily!$A$6:$A$256,1)),IF($M187=$A187,INDEX(Market_Daily!$F$6:$F$256,MATCH($A187,Market_Daily!$A$6:$A$256,0)),(INDEX(Market_Daily!$F$6:$F$256,MATCH($A187,Market_Daily!$A$6:$A$256,0))*(1+INDEX(Market_Daily!$I$6:$I$256,MATCH($A187,Market_Daily!$A$6:$A$256,0))*($M187-$A187)/day_count_inr)/(1+INDEX(Market_Daily!$J$6:$J$256,MATCH($A187,Market_Daily!$A$6:$A$256,0))*($M187-$A187)/day_count_usd)))))</f>
        <v/>
      </c>
      <c r="AM187" s="8">
        <f>IF(OR($J187="INR",$R187&gt;1),"",$AL187-$X187)</f>
        <v/>
      </c>
      <c r="AN187" s="8">
        <f>$U187</f>
        <v/>
      </c>
      <c r="AO187" s="8">
        <f>$AN187*IF($J187="INR",1,$AL187)</f>
        <v/>
      </c>
      <c r="AP187" s="18">
        <f>$AO187-$V187</f>
        <v/>
      </c>
      <c r="AQ187" s="8">
        <f>IF(ABS($AP187)&lt;=tol_trade_inr,"PASS","FAIL")</f>
        <v/>
      </c>
    </row>
    <row r="188">
      <c r="A188" s="11" t="n">
        <v>44651</v>
      </c>
      <c r="B188" s="7" t="inlineStr">
        <is>
          <t>T01</t>
        </is>
      </c>
      <c r="C188" s="7" t="inlineStr">
        <is>
          <t>BILL_COMMISSION:L2</t>
        </is>
      </c>
      <c r="D188" s="7" t="inlineStr">
        <is>
          <t>BILL_COMMISSION</t>
        </is>
      </c>
      <c r="E188" s="7" t="inlineStr">
        <is>
          <t>physical</t>
        </is>
      </c>
      <c r="F188" s="7" t="inlineStr">
        <is>
          <t>L2</t>
        </is>
      </c>
      <c r="H188" s="7" t="inlineStr">
        <is>
          <t>zorba</t>
        </is>
      </c>
      <c r="I188" s="7" t="inlineStr">
        <is>
          <t>USEC_MUN</t>
        </is>
      </c>
      <c r="J188" s="7" t="inlineStr">
        <is>
          <t>USD</t>
        </is>
      </c>
      <c r="K188" s="7" t="inlineStr">
        <is>
          <t>floating</t>
        </is>
      </c>
      <c r="L188" s="7" t="inlineStr">
        <is>
          <t>PNL</t>
        </is>
      </c>
      <c r="M188" s="11" t="n">
        <v>44662</v>
      </c>
      <c r="N188" s="13" t="n">
        <v>0</v>
      </c>
      <c r="O188" s="6" t="n">
        <v>0</v>
      </c>
      <c r="P188" s="13" t="n">
        <v>0</v>
      </c>
      <c r="Q188" s="22" t="n">
        <v>30</v>
      </c>
      <c r="R188" s="6" t="n">
        <v>1</v>
      </c>
      <c r="U188" s="9" t="n">
        <v>-2358.72</v>
      </c>
      <c r="V188" s="9" t="n">
        <v>-178942.04</v>
      </c>
      <c r="X188" s="9" t="n">
        <v>75.864</v>
      </c>
      <c r="AK188" s="7" t="inlineStr">
        <is>
          <t>PYTHON_LIFECYCLE</t>
        </is>
      </c>
      <c r="AL188" s="8">
        <f>IF($J188="INR",1,IF($M188&lt;$A188,INDEX(Market_Daily!$F$6:$F$256,MATCH($M188,Market_Daily!$A$6:$A$256,1)),IF($M188=$A188,INDEX(Market_Daily!$F$6:$F$256,MATCH($A188,Market_Daily!$A$6:$A$256,0)),(INDEX(Market_Daily!$F$6:$F$256,MATCH($A188,Market_Daily!$A$6:$A$256,0))*(1+INDEX(Market_Daily!$I$6:$I$256,MATCH($A188,Market_Daily!$A$6:$A$256,0))*($M188-$A188)/day_count_inr)/(1+INDEX(Market_Daily!$J$6:$J$256,MATCH($A188,Market_Daily!$A$6:$A$256,0))*($M188-$A188)/day_count_usd)))))</f>
        <v/>
      </c>
      <c r="AM188" s="8">
        <f>IF(OR($J188="INR",$R188&gt;1),"",$AL188-$X188)</f>
        <v/>
      </c>
      <c r="AN188" s="8">
        <f>$U188</f>
        <v/>
      </c>
      <c r="AO188" s="8">
        <f>$AN188*IF($J188="INR",1,$AL188)</f>
        <v/>
      </c>
      <c r="AP188" s="18">
        <f>$AO188-$V188</f>
        <v/>
      </c>
      <c r="AQ188" s="8">
        <f>IF(ABS($AP188)&lt;=tol_trade_inr,"PASS","FAIL")</f>
        <v/>
      </c>
    </row>
    <row r="189">
      <c r="A189" s="11" t="n">
        <v>44651</v>
      </c>
      <c r="B189" s="7" t="inlineStr">
        <is>
          <t>T01</t>
        </is>
      </c>
      <c r="C189" s="7" t="inlineStr">
        <is>
          <t>BILL_COMMISSION:L3</t>
        </is>
      </c>
      <c r="D189" s="7" t="inlineStr">
        <is>
          <t>BILL_COMMISSION</t>
        </is>
      </c>
      <c r="E189" s="7" t="inlineStr">
        <is>
          <t>physical</t>
        </is>
      </c>
      <c r="F189" s="7" t="inlineStr">
        <is>
          <t>L3</t>
        </is>
      </c>
      <c r="H189" s="7" t="inlineStr">
        <is>
          <t>zorba</t>
        </is>
      </c>
      <c r="I189" s="7" t="inlineStr">
        <is>
          <t>USEC_MUN</t>
        </is>
      </c>
      <c r="J189" s="7" t="inlineStr">
        <is>
          <t>USD</t>
        </is>
      </c>
      <c r="K189" s="7" t="inlineStr">
        <is>
          <t>floating</t>
        </is>
      </c>
      <c r="L189" s="7" t="inlineStr">
        <is>
          <t>PNL</t>
        </is>
      </c>
      <c r="M189" s="11" t="n">
        <v>44665</v>
      </c>
      <c r="N189" s="13" t="n">
        <v>0</v>
      </c>
      <c r="O189" s="6" t="n">
        <v>0</v>
      </c>
      <c r="P189" s="13" t="n">
        <v>0</v>
      </c>
      <c r="Q189" s="22" t="n">
        <v>30</v>
      </c>
      <c r="R189" s="6" t="n">
        <v>1</v>
      </c>
      <c r="U189" s="9" t="n">
        <v>-2358.72</v>
      </c>
      <c r="V189" s="9" t="n">
        <v>-178989.92</v>
      </c>
      <c r="X189" s="9" t="n">
        <v>75.8843</v>
      </c>
      <c r="AK189" s="7" t="inlineStr">
        <is>
          <t>PYTHON_LIFECYCLE</t>
        </is>
      </c>
      <c r="AL189" s="8">
        <f>IF($J189="INR",1,IF($M189&lt;$A189,INDEX(Market_Daily!$F$6:$F$256,MATCH($M189,Market_Daily!$A$6:$A$256,1)),IF($M189=$A189,INDEX(Market_Daily!$F$6:$F$256,MATCH($A189,Market_Daily!$A$6:$A$256,0)),(INDEX(Market_Daily!$F$6:$F$256,MATCH($A189,Market_Daily!$A$6:$A$256,0))*(1+INDEX(Market_Daily!$I$6:$I$256,MATCH($A189,Market_Daily!$A$6:$A$256,0))*($M189-$A189)/day_count_inr)/(1+INDEX(Market_Daily!$J$6:$J$256,MATCH($A189,Market_Daily!$A$6:$A$256,0))*($M189-$A189)/day_count_usd)))))</f>
        <v/>
      </c>
      <c r="AM189" s="8">
        <f>IF(OR($J189="INR",$R189&gt;1),"",$AL189-$X189)</f>
        <v/>
      </c>
      <c r="AN189" s="8">
        <f>$U189</f>
        <v/>
      </c>
      <c r="AO189" s="8">
        <f>$AN189*IF($J189="INR",1,$AL189)</f>
        <v/>
      </c>
      <c r="AP189" s="18">
        <f>$AO189-$V189</f>
        <v/>
      </c>
      <c r="AQ189" s="8">
        <f>IF(ABS($AP189)&lt;=tol_trade_inr,"PASS","FAIL")</f>
        <v/>
      </c>
    </row>
    <row r="190">
      <c r="A190" s="11" t="n">
        <v>44651</v>
      </c>
      <c r="B190" s="7" t="inlineStr">
        <is>
          <t>T01</t>
        </is>
      </c>
      <c r="C190" s="7" t="inlineStr">
        <is>
          <t>DUTY:L1</t>
        </is>
      </c>
      <c r="D190" s="7" t="inlineStr">
        <is>
          <t>DUTY</t>
        </is>
      </c>
      <c r="E190" s="7" t="inlineStr">
        <is>
          <t>physical</t>
        </is>
      </c>
      <c r="F190" s="7" t="inlineStr">
        <is>
          <t>L1</t>
        </is>
      </c>
      <c r="H190" s="7" t="inlineStr">
        <is>
          <t>zorba</t>
        </is>
      </c>
      <c r="I190" s="7" t="inlineStr">
        <is>
          <t>USEC_MUN</t>
        </is>
      </c>
      <c r="J190" s="7" t="inlineStr">
        <is>
          <t>INR</t>
        </is>
      </c>
      <c r="K190" s="7" t="inlineStr">
        <is>
          <t>floating</t>
        </is>
      </c>
      <c r="L190" s="7" t="inlineStr">
        <is>
          <t>PNL</t>
        </is>
      </c>
      <c r="M190" s="11" t="n">
        <v>44690</v>
      </c>
      <c r="N190" s="13" t="n">
        <v>840</v>
      </c>
      <c r="O190" s="6" t="n">
        <v>0</v>
      </c>
      <c r="P190" s="13" t="n">
        <v>0</v>
      </c>
      <c r="Q190" s="22" t="n">
        <v>30</v>
      </c>
      <c r="R190" s="6" t="n">
        <v>1</v>
      </c>
      <c r="U190" s="9" t="n">
        <v>-4345087.24</v>
      </c>
      <c r="V190" s="9" t="n">
        <v>-4345087.24</v>
      </c>
      <c r="X190" s="9" t="n">
        <v>75.78959999999999</v>
      </c>
      <c r="AK190" s="7" t="inlineStr">
        <is>
          <t>PYTHON_LIFECYCLE</t>
        </is>
      </c>
      <c r="AL190" s="8">
        <f>IF($J190="INR",1,IF($M190&lt;$A190,INDEX(Market_Daily!$F$6:$F$256,MATCH($M190,Market_Daily!$A$6:$A$256,1)),IF($M190=$A190,INDEX(Market_Daily!$F$6:$F$256,MATCH($A190,Market_Daily!$A$6:$A$256,0)),(INDEX(Market_Daily!$F$6:$F$256,MATCH($A190,Market_Daily!$A$6:$A$256,0))*(1+INDEX(Market_Daily!$I$6:$I$256,MATCH($A190,Market_Daily!$A$6:$A$256,0))*($M190-$A190)/day_count_inr)/(1+INDEX(Market_Daily!$J$6:$J$256,MATCH($A190,Market_Daily!$A$6:$A$256,0))*($M190-$A190)/day_count_usd)))))</f>
        <v/>
      </c>
      <c r="AM190" s="8">
        <f>IF(OR($J190="INR",$R190&gt;1),"",$AL190-$X190)</f>
        <v/>
      </c>
      <c r="AN190" s="8">
        <f>$U190</f>
        <v/>
      </c>
      <c r="AO190" s="8">
        <f>$AN190*IF($J190="INR",1,$AL190)</f>
        <v/>
      </c>
      <c r="AP190" s="18">
        <f>$AO190-$V190</f>
        <v/>
      </c>
      <c r="AQ190" s="8">
        <f>IF(ABS($AP190)&lt;=tol_trade_inr,"PASS","FAIL")</f>
        <v/>
      </c>
    </row>
    <row r="191">
      <c r="A191" s="11" t="n">
        <v>44651</v>
      </c>
      <c r="B191" s="7" t="inlineStr">
        <is>
          <t>T01</t>
        </is>
      </c>
      <c r="C191" s="7" t="inlineStr">
        <is>
          <t>DUTY:L2</t>
        </is>
      </c>
      <c r="D191" s="7" t="inlineStr">
        <is>
          <t>DUTY</t>
        </is>
      </c>
      <c r="E191" s="7" t="inlineStr">
        <is>
          <t>physical</t>
        </is>
      </c>
      <c r="F191" s="7" t="inlineStr">
        <is>
          <t>L2</t>
        </is>
      </c>
      <c r="H191" s="7" t="inlineStr">
        <is>
          <t>zorba</t>
        </is>
      </c>
      <c r="I191" s="7" t="inlineStr">
        <is>
          <t>USEC_MUN</t>
        </is>
      </c>
      <c r="J191" s="7" t="inlineStr">
        <is>
          <t>INR</t>
        </is>
      </c>
      <c r="K191" s="7" t="inlineStr">
        <is>
          <t>floating</t>
        </is>
      </c>
      <c r="L191" s="7" t="inlineStr">
        <is>
          <t>PNL</t>
        </is>
      </c>
      <c r="M191" s="11" t="n">
        <v>44697</v>
      </c>
      <c r="N191" s="13" t="n">
        <v>840</v>
      </c>
      <c r="O191" s="6" t="n">
        <v>0</v>
      </c>
      <c r="P191" s="13" t="n">
        <v>0</v>
      </c>
      <c r="Q191" s="22" t="n">
        <v>30</v>
      </c>
      <c r="R191" s="6" t="n">
        <v>1</v>
      </c>
      <c r="U191" s="9" t="n">
        <v>-4345087.24</v>
      </c>
      <c r="V191" s="9" t="n">
        <v>-4345087.24</v>
      </c>
      <c r="X191" s="9" t="n">
        <v>75.78959999999999</v>
      </c>
      <c r="AK191" s="7" t="inlineStr">
        <is>
          <t>PYTHON_LIFECYCLE</t>
        </is>
      </c>
      <c r="AL191" s="8">
        <f>IF($J191="INR",1,IF($M191&lt;$A191,INDEX(Market_Daily!$F$6:$F$256,MATCH($M191,Market_Daily!$A$6:$A$256,1)),IF($M191=$A191,INDEX(Market_Daily!$F$6:$F$256,MATCH($A191,Market_Daily!$A$6:$A$256,0)),(INDEX(Market_Daily!$F$6:$F$256,MATCH($A191,Market_Daily!$A$6:$A$256,0))*(1+INDEX(Market_Daily!$I$6:$I$256,MATCH($A191,Market_Daily!$A$6:$A$256,0))*($M191-$A191)/day_count_inr)/(1+INDEX(Market_Daily!$J$6:$J$256,MATCH($A191,Market_Daily!$A$6:$A$256,0))*($M191-$A191)/day_count_usd)))))</f>
        <v/>
      </c>
      <c r="AM191" s="8">
        <f>IF(OR($J191="INR",$R191&gt;1),"",$AL191-$X191)</f>
        <v/>
      </c>
      <c r="AN191" s="8">
        <f>$U191</f>
        <v/>
      </c>
      <c r="AO191" s="8">
        <f>$AN191*IF($J191="INR",1,$AL191)</f>
        <v/>
      </c>
      <c r="AP191" s="18">
        <f>$AO191-$V191</f>
        <v/>
      </c>
      <c r="AQ191" s="8">
        <f>IF(ABS($AP191)&lt;=tol_trade_inr,"PASS","FAIL")</f>
        <v/>
      </c>
    </row>
    <row r="192">
      <c r="A192" s="11" t="n">
        <v>44651</v>
      </c>
      <c r="B192" s="7" t="inlineStr">
        <is>
          <t>T01</t>
        </is>
      </c>
      <c r="C192" s="7" t="inlineStr">
        <is>
          <t>DUTY:L3</t>
        </is>
      </c>
      <c r="D192" s="7" t="inlineStr">
        <is>
          <t>DUTY</t>
        </is>
      </c>
      <c r="E192" s="7" t="inlineStr">
        <is>
          <t>physical</t>
        </is>
      </c>
      <c r="F192" s="7" t="inlineStr">
        <is>
          <t>L3</t>
        </is>
      </c>
      <c r="H192" s="7" t="inlineStr">
        <is>
          <t>zorba</t>
        </is>
      </c>
      <c r="I192" s="7" t="inlineStr">
        <is>
          <t>USEC_MUN</t>
        </is>
      </c>
      <c r="J192" s="7" t="inlineStr">
        <is>
          <t>INR</t>
        </is>
      </c>
      <c r="K192" s="7" t="inlineStr">
        <is>
          <t>floating</t>
        </is>
      </c>
      <c r="L192" s="7" t="inlineStr">
        <is>
          <t>PNL</t>
        </is>
      </c>
      <c r="M192" s="11" t="n">
        <v>44699</v>
      </c>
      <c r="N192" s="13" t="n">
        <v>840</v>
      </c>
      <c r="O192" s="6" t="n">
        <v>0</v>
      </c>
      <c r="P192" s="13" t="n">
        <v>0</v>
      </c>
      <c r="Q192" s="22" t="n">
        <v>30</v>
      </c>
      <c r="R192" s="6" t="n">
        <v>1</v>
      </c>
      <c r="U192" s="9" t="n">
        <v>-4345087.24</v>
      </c>
      <c r="V192" s="9" t="n">
        <v>-4345087.24</v>
      </c>
      <c r="X192" s="9" t="n">
        <v>75.78959999999999</v>
      </c>
      <c r="AK192" s="7" t="inlineStr">
        <is>
          <t>PYTHON_LIFECYCLE</t>
        </is>
      </c>
      <c r="AL192" s="8">
        <f>IF($J192="INR",1,IF($M192&lt;$A192,INDEX(Market_Daily!$F$6:$F$256,MATCH($M192,Market_Daily!$A$6:$A$256,1)),IF($M192=$A192,INDEX(Market_Daily!$F$6:$F$256,MATCH($A192,Market_Daily!$A$6:$A$256,0)),(INDEX(Market_Daily!$F$6:$F$256,MATCH($A192,Market_Daily!$A$6:$A$256,0))*(1+INDEX(Market_Daily!$I$6:$I$256,MATCH($A192,Market_Daily!$A$6:$A$256,0))*($M192-$A192)/day_count_inr)/(1+INDEX(Market_Daily!$J$6:$J$256,MATCH($A192,Market_Daily!$A$6:$A$256,0))*($M192-$A192)/day_count_usd)))))</f>
        <v/>
      </c>
      <c r="AM192" s="8">
        <f>IF(OR($J192="INR",$R192&gt;1),"",$AL192-$X192)</f>
        <v/>
      </c>
      <c r="AN192" s="8">
        <f>$U192</f>
        <v/>
      </c>
      <c r="AO192" s="8">
        <f>$AN192*IF($J192="INR",1,$AL192)</f>
        <v/>
      </c>
      <c r="AP192" s="18">
        <f>$AO192-$V192</f>
        <v/>
      </c>
      <c r="AQ192" s="8">
        <f>IF(ABS($AP192)&lt;=tol_trade_inr,"PASS","FAIL")</f>
        <v/>
      </c>
    </row>
    <row r="193">
      <c r="A193" s="11" t="n">
        <v>44651</v>
      </c>
      <c r="B193" s="7" t="inlineStr">
        <is>
          <t>T01</t>
        </is>
      </c>
      <c r="C193" s="7" t="inlineStr">
        <is>
          <t>FREIGHT:L1</t>
        </is>
      </c>
      <c r="D193" s="7" t="inlineStr">
        <is>
          <t>FREIGHT</t>
        </is>
      </c>
      <c r="E193" s="7" t="inlineStr">
        <is>
          <t>physical</t>
        </is>
      </c>
      <c r="F193" s="7" t="inlineStr">
        <is>
          <t>L1</t>
        </is>
      </c>
      <c r="G193" s="7" t="inlineStr">
        <is>
          <t>Meridian Box Lines NVOCC (SIM)</t>
        </is>
      </c>
      <c r="H193" s="7" t="inlineStr">
        <is>
          <t>zorba</t>
        </is>
      </c>
      <c r="I193" s="7" t="inlineStr">
        <is>
          <t>USEC_MUN</t>
        </is>
      </c>
      <c r="J193" s="7" t="inlineStr">
        <is>
          <t>USD</t>
        </is>
      </c>
      <c r="K193" s="7" t="inlineStr">
        <is>
          <t>fixed_unsettled</t>
        </is>
      </c>
      <c r="L193" s="7" t="inlineStr">
        <is>
          <t>PNL</t>
        </is>
      </c>
      <c r="M193" s="11" t="n">
        <v>44690</v>
      </c>
      <c r="N193" s="13" t="n">
        <v>840</v>
      </c>
      <c r="O193" s="6" t="n">
        <v>0</v>
      </c>
      <c r="P193" s="13" t="n">
        <v>0</v>
      </c>
      <c r="Q193" s="22" t="n">
        <v>30</v>
      </c>
      <c r="R193" s="6" t="n">
        <v>1</v>
      </c>
      <c r="U193" s="9" t="n">
        <v>-86800</v>
      </c>
      <c r="V193" s="9" t="n">
        <v>-6601437.92</v>
      </c>
      <c r="X193" s="9" t="n">
        <v>76.0534</v>
      </c>
      <c r="AK193" s="7" t="inlineStr">
        <is>
          <t>PYTHON_LIFECYCLE</t>
        </is>
      </c>
      <c r="AL193" s="8">
        <f>IF($J193="INR",1,IF($M193&lt;$A193,INDEX(Market_Daily!$F$6:$F$256,MATCH($M193,Market_Daily!$A$6:$A$256,1)),IF($M193=$A193,INDEX(Market_Daily!$F$6:$F$256,MATCH($A193,Market_Daily!$A$6:$A$256,0)),(INDEX(Market_Daily!$F$6:$F$256,MATCH($A193,Market_Daily!$A$6:$A$256,0))*(1+INDEX(Market_Daily!$I$6:$I$256,MATCH($A193,Market_Daily!$A$6:$A$256,0))*($M193-$A193)/day_count_inr)/(1+INDEX(Market_Daily!$J$6:$J$256,MATCH($A193,Market_Daily!$A$6:$A$256,0))*($M193-$A193)/day_count_usd)))))</f>
        <v/>
      </c>
      <c r="AM193" s="8">
        <f>IF(OR($J193="INR",$R193&gt;1),"",$AL193-$X193)</f>
        <v/>
      </c>
      <c r="AN193" s="8">
        <f>$U193</f>
        <v/>
      </c>
      <c r="AO193" s="8">
        <f>$AN193*IF($J193="INR",1,$AL193)</f>
        <v/>
      </c>
      <c r="AP193" s="18">
        <f>$AO193-$V193</f>
        <v/>
      </c>
      <c r="AQ193" s="8">
        <f>IF(ABS($AP193)&lt;=tol_trade_inr,"PASS","FAIL")</f>
        <v/>
      </c>
    </row>
    <row r="194">
      <c r="A194" s="11" t="n">
        <v>44651</v>
      </c>
      <c r="B194" s="7" t="inlineStr">
        <is>
          <t>T01</t>
        </is>
      </c>
      <c r="C194" s="7" t="inlineStr">
        <is>
          <t>FREIGHT:L2</t>
        </is>
      </c>
      <c r="D194" s="7" t="inlineStr">
        <is>
          <t>FREIGHT</t>
        </is>
      </c>
      <c r="E194" s="7" t="inlineStr">
        <is>
          <t>physical</t>
        </is>
      </c>
      <c r="F194" s="7" t="inlineStr">
        <is>
          <t>L2</t>
        </is>
      </c>
      <c r="G194" s="7" t="inlineStr">
        <is>
          <t>Meridian Box Lines NVOCC (SIM)</t>
        </is>
      </c>
      <c r="H194" s="7" t="inlineStr">
        <is>
          <t>zorba</t>
        </is>
      </c>
      <c r="I194" s="7" t="inlineStr">
        <is>
          <t>USEC_MUN</t>
        </is>
      </c>
      <c r="J194" s="7" t="inlineStr">
        <is>
          <t>USD</t>
        </is>
      </c>
      <c r="K194" s="7" t="inlineStr">
        <is>
          <t>fixed_unsettled</t>
        </is>
      </c>
      <c r="L194" s="7" t="inlineStr">
        <is>
          <t>PNL</t>
        </is>
      </c>
      <c r="M194" s="11" t="n">
        <v>44697</v>
      </c>
      <c r="N194" s="13" t="n">
        <v>840</v>
      </c>
      <c r="O194" s="6" t="n">
        <v>0</v>
      </c>
      <c r="P194" s="13" t="n">
        <v>0</v>
      </c>
      <c r="Q194" s="22" t="n">
        <v>30</v>
      </c>
      <c r="R194" s="6" t="n">
        <v>1</v>
      </c>
      <c r="U194" s="9" t="n">
        <v>-86800</v>
      </c>
      <c r="V194" s="9" t="n">
        <v>-6605545.6</v>
      </c>
      <c r="X194" s="9" t="n">
        <v>76.10080000000001</v>
      </c>
      <c r="AK194" s="7" t="inlineStr">
        <is>
          <t>PYTHON_LIFECYCLE</t>
        </is>
      </c>
      <c r="AL194" s="8">
        <f>IF($J194="INR",1,IF($M194&lt;$A194,INDEX(Market_Daily!$F$6:$F$256,MATCH($M194,Market_Daily!$A$6:$A$256,1)),IF($M194=$A194,INDEX(Market_Daily!$F$6:$F$256,MATCH($A194,Market_Daily!$A$6:$A$256,0)),(INDEX(Market_Daily!$F$6:$F$256,MATCH($A194,Market_Daily!$A$6:$A$256,0))*(1+INDEX(Market_Daily!$I$6:$I$256,MATCH($A194,Market_Daily!$A$6:$A$256,0))*($M194-$A194)/day_count_inr)/(1+INDEX(Market_Daily!$J$6:$J$256,MATCH($A194,Market_Daily!$A$6:$A$256,0))*($M194-$A194)/day_count_usd)))))</f>
        <v/>
      </c>
      <c r="AM194" s="8">
        <f>IF(OR($J194="INR",$R194&gt;1),"",$AL194-$X194)</f>
        <v/>
      </c>
      <c r="AN194" s="8">
        <f>$U194</f>
        <v/>
      </c>
      <c r="AO194" s="8">
        <f>$AN194*IF($J194="INR",1,$AL194)</f>
        <v/>
      </c>
      <c r="AP194" s="18">
        <f>$AO194-$V194</f>
        <v/>
      </c>
      <c r="AQ194" s="8">
        <f>IF(ABS($AP194)&lt;=tol_trade_inr,"PASS","FAIL")</f>
        <v/>
      </c>
    </row>
    <row r="195">
      <c r="A195" s="11" t="n">
        <v>44651</v>
      </c>
      <c r="B195" s="7" t="inlineStr">
        <is>
          <t>T01</t>
        </is>
      </c>
      <c r="C195" s="7" t="inlineStr">
        <is>
          <t>FREIGHT:L3</t>
        </is>
      </c>
      <c r="D195" s="7" t="inlineStr">
        <is>
          <t>FREIGHT</t>
        </is>
      </c>
      <c r="E195" s="7" t="inlineStr">
        <is>
          <t>physical</t>
        </is>
      </c>
      <c r="F195" s="7" t="inlineStr">
        <is>
          <t>L3</t>
        </is>
      </c>
      <c r="G195" s="7" t="inlineStr">
        <is>
          <t>Meridian Box Lines NVOCC (SIM)</t>
        </is>
      </c>
      <c r="H195" s="7" t="inlineStr">
        <is>
          <t>zorba</t>
        </is>
      </c>
      <c r="I195" s="7" t="inlineStr">
        <is>
          <t>USEC_MUN</t>
        </is>
      </c>
      <c r="J195" s="7" t="inlineStr">
        <is>
          <t>USD</t>
        </is>
      </c>
      <c r="K195" s="7" t="inlineStr">
        <is>
          <t>fixed_unsettled</t>
        </is>
      </c>
      <c r="L195" s="7" t="inlineStr">
        <is>
          <t>PNL</t>
        </is>
      </c>
      <c r="M195" s="11" t="n">
        <v>44698</v>
      </c>
      <c r="N195" s="13" t="n">
        <v>840</v>
      </c>
      <c r="O195" s="6" t="n">
        <v>0</v>
      </c>
      <c r="P195" s="13" t="n">
        <v>0</v>
      </c>
      <c r="Q195" s="22" t="n">
        <v>30</v>
      </c>
      <c r="R195" s="6" t="n">
        <v>1</v>
      </c>
      <c r="U195" s="9" t="n">
        <v>-86800</v>
      </c>
      <c r="V195" s="9" t="n">
        <v>-6606132.35</v>
      </c>
      <c r="X195" s="9" t="n">
        <v>76.1075</v>
      </c>
      <c r="AK195" s="7" t="inlineStr">
        <is>
          <t>PYTHON_LIFECYCLE</t>
        </is>
      </c>
      <c r="AL195" s="8">
        <f>IF($J195="INR",1,IF($M195&lt;$A195,INDEX(Market_Daily!$F$6:$F$256,MATCH($M195,Market_Daily!$A$6:$A$256,1)),IF($M195=$A195,INDEX(Market_Daily!$F$6:$F$256,MATCH($A195,Market_Daily!$A$6:$A$256,0)),(INDEX(Market_Daily!$F$6:$F$256,MATCH($A195,Market_Daily!$A$6:$A$256,0))*(1+INDEX(Market_Daily!$I$6:$I$256,MATCH($A195,Market_Daily!$A$6:$A$256,0))*($M195-$A195)/day_count_inr)/(1+INDEX(Market_Daily!$J$6:$J$256,MATCH($A195,Market_Daily!$A$6:$A$256,0))*($M195-$A195)/day_count_usd)))))</f>
        <v/>
      </c>
      <c r="AM195" s="8">
        <f>IF(OR($J195="INR",$R195&gt;1),"",$AL195-$X195)</f>
        <v/>
      </c>
      <c r="AN195" s="8">
        <f>$U195</f>
        <v/>
      </c>
      <c r="AO195" s="8">
        <f>$AN195*IF($J195="INR",1,$AL195)</f>
        <v/>
      </c>
      <c r="AP195" s="18">
        <f>$AO195-$V195</f>
        <v/>
      </c>
      <c r="AQ195" s="8">
        <f>IF(ABS($AP195)&lt;=tol_trade_inr,"PASS","FAIL")</f>
        <v/>
      </c>
    </row>
    <row r="196">
      <c r="A196" s="11" t="n">
        <v>44651</v>
      </c>
      <c r="B196" s="7" t="inlineStr">
        <is>
          <t>T01</t>
        </is>
      </c>
      <c r="C196" s="7" t="inlineStr">
        <is>
          <t>FX:T01-FX-1</t>
        </is>
      </c>
      <c r="D196" s="7" t="inlineStr">
        <is>
          <t>FX</t>
        </is>
      </c>
      <c r="E196" s="7" t="inlineStr">
        <is>
          <t>fx_forward</t>
        </is>
      </c>
      <c r="H196" s="7" t="inlineStr">
        <is>
          <t>zorba</t>
        </is>
      </c>
      <c r="I196" s="7" t="inlineStr">
        <is>
          <t>USEC_MUN</t>
        </is>
      </c>
      <c r="J196" s="7" t="inlineStr">
        <is>
          <t>INR</t>
        </is>
      </c>
      <c r="K196" s="7" t="inlineStr">
        <is>
          <t>floating</t>
        </is>
      </c>
      <c r="L196" s="7" t="inlineStr">
        <is>
          <t>PNL</t>
        </is>
      </c>
      <c r="M196" s="11" t="n">
        <v>44656</v>
      </c>
      <c r="N196" s="13" t="n">
        <v>0</v>
      </c>
      <c r="O196" s="6" t="n">
        <v>0</v>
      </c>
      <c r="P196" s="13" t="n">
        <v>1965600</v>
      </c>
      <c r="Q196" s="22" t="n">
        <v>30</v>
      </c>
      <c r="R196" s="6" t="n">
        <v>1</v>
      </c>
      <c r="S196" s="12" t="n">
        <v>44656</v>
      </c>
      <c r="T196" s="21" t="n">
        <v>75.896325</v>
      </c>
      <c r="U196" s="9" t="n">
        <v>-143260.01</v>
      </c>
      <c r="V196" s="9" t="n">
        <v>-143260.01</v>
      </c>
      <c r="X196" s="9" t="n">
        <v>75.78959999999999</v>
      </c>
      <c r="AK196" s="7" t="inlineStr">
        <is>
          <t>DERIVED_IN_WORKBOOK</t>
        </is>
      </c>
      <c r="AL196" s="8">
        <f>IF($J196="INR",1,IF($M196&lt;$A196,INDEX(Market_Daily!$F$6:$F$256,MATCH($M196,Market_Daily!$A$6:$A$256,1)),IF($M196=$A196,INDEX(Market_Daily!$F$6:$F$256,MATCH($A196,Market_Daily!$A$6:$A$256,0)),(INDEX(Market_Daily!$F$6:$F$256,MATCH($A196,Market_Daily!$A$6:$A$256,0))*(1+INDEX(Market_Daily!$I$6:$I$256,MATCH($A196,Market_Daily!$A$6:$A$256,0))*($M196-$A196)/day_count_inr)/(1+INDEX(Market_Daily!$J$6:$J$256,MATCH($A196,Market_Daily!$A$6:$A$256,0))*($M196-$A196)/day_count_usd)))))</f>
        <v/>
      </c>
      <c r="AM196" s="8">
        <f>IF(OR($J196="INR",$R196&gt;1),"",$AL196-$X196)</f>
        <v/>
      </c>
      <c r="AN196" s="8">
        <f>$P196*(IF($S196&lt;$A196,INDEX(Market_Daily!$F$6:$F$256,MATCH($S196,Market_Daily!$A$6:$A$256,1)),IF($S196=$A196,INDEX(Market_Daily!$F$6:$F$256,MATCH($A196,Market_Daily!$A$6:$A$256,0)),(INDEX(Market_Daily!$F$6:$F$256,MATCH($A196,Market_Daily!$A$6:$A$256,0))*(1+INDEX(Market_Daily!$I$6:$I$256,MATCH($A196,Market_Daily!$A$6:$A$256,0))*($S196-$A196)/day_count_inr)/(1+INDEX(Market_Daily!$J$6:$J$256,MATCH($A196,Market_Daily!$A$6:$A$256,0))*($S196-$A196)/day_count_usd))))-$T196)</f>
        <v/>
      </c>
      <c r="AO196" s="8">
        <f>$AN196</f>
        <v/>
      </c>
      <c r="AP196" s="18">
        <f>$AO196-$V196</f>
        <v/>
      </c>
      <c r="AQ196" s="8">
        <f>IF(ABS($AP196)&lt;=tol_trade_inr,"PASS","FAIL")</f>
        <v/>
      </c>
    </row>
    <row r="197">
      <c r="A197" s="11" t="n">
        <v>44651</v>
      </c>
      <c r="B197" s="7" t="inlineStr">
        <is>
          <t>T01</t>
        </is>
      </c>
      <c r="C197" s="7" t="inlineStr">
        <is>
          <t>FX:T01-FX-4</t>
        </is>
      </c>
      <c r="D197" s="7" t="inlineStr">
        <is>
          <t>FX</t>
        </is>
      </c>
      <c r="E197" s="7" t="inlineStr">
        <is>
          <t>fx_forward</t>
        </is>
      </c>
      <c r="H197" s="7" t="inlineStr">
        <is>
          <t>zorba</t>
        </is>
      </c>
      <c r="I197" s="7" t="inlineStr">
        <is>
          <t>USEC_MUN</t>
        </is>
      </c>
      <c r="J197" s="7" t="inlineStr">
        <is>
          <t>INR</t>
        </is>
      </c>
      <c r="K197" s="7" t="inlineStr">
        <is>
          <t>floating</t>
        </is>
      </c>
      <c r="L197" s="7" t="inlineStr">
        <is>
          <t>PNL</t>
        </is>
      </c>
      <c r="M197" s="11" t="n">
        <v>44697</v>
      </c>
      <c r="N197" s="13" t="n">
        <v>0</v>
      </c>
      <c r="O197" s="6" t="n">
        <v>0</v>
      </c>
      <c r="P197" s="13" t="n">
        <v>260400</v>
      </c>
      <c r="Q197" s="22" t="n">
        <v>30</v>
      </c>
      <c r="R197" s="6" t="n">
        <v>1</v>
      </c>
      <c r="S197" s="12" t="n">
        <v>44697</v>
      </c>
      <c r="T197" s="21" t="n">
        <v>76.62367500000001</v>
      </c>
      <c r="U197" s="9" t="n">
        <v>-136168.22</v>
      </c>
      <c r="V197" s="9" t="n">
        <v>-136168.22</v>
      </c>
      <c r="X197" s="9" t="n">
        <v>75.78959999999999</v>
      </c>
      <c r="AK197" s="7" t="inlineStr">
        <is>
          <t>DERIVED_IN_WORKBOOK</t>
        </is>
      </c>
      <c r="AL197" s="8">
        <f>IF($J197="INR",1,IF($M197&lt;$A197,INDEX(Market_Daily!$F$6:$F$256,MATCH($M197,Market_Daily!$A$6:$A$256,1)),IF($M197=$A197,INDEX(Market_Daily!$F$6:$F$256,MATCH($A197,Market_Daily!$A$6:$A$256,0)),(INDEX(Market_Daily!$F$6:$F$256,MATCH($A197,Market_Daily!$A$6:$A$256,0))*(1+INDEX(Market_Daily!$I$6:$I$256,MATCH($A197,Market_Daily!$A$6:$A$256,0))*($M197-$A197)/day_count_inr)/(1+INDEX(Market_Daily!$J$6:$J$256,MATCH($A197,Market_Daily!$A$6:$A$256,0))*($M197-$A197)/day_count_usd)))))</f>
        <v/>
      </c>
      <c r="AM197" s="8">
        <f>IF(OR($J197="INR",$R197&gt;1),"",$AL197-$X197)</f>
        <v/>
      </c>
      <c r="AN197" s="8">
        <f>$P197*(IF($S197&lt;$A197,INDEX(Market_Daily!$F$6:$F$256,MATCH($S197,Market_Daily!$A$6:$A$256,1)),IF($S197=$A197,INDEX(Market_Daily!$F$6:$F$256,MATCH($A197,Market_Daily!$A$6:$A$256,0)),(INDEX(Market_Daily!$F$6:$F$256,MATCH($A197,Market_Daily!$A$6:$A$256,0))*(1+INDEX(Market_Daily!$I$6:$I$256,MATCH($A197,Market_Daily!$A$6:$A$256,0))*($S197-$A197)/day_count_inr)/(1+INDEX(Market_Daily!$J$6:$J$256,MATCH($A197,Market_Daily!$A$6:$A$256,0))*($S197-$A197)/day_count_usd))))-$T197)</f>
        <v/>
      </c>
      <c r="AO197" s="8">
        <f>$AN197</f>
        <v/>
      </c>
      <c r="AP197" s="18">
        <f>$AO197-$V197</f>
        <v/>
      </c>
      <c r="AQ197" s="8">
        <f>IF(ABS($AP197)&lt;=tol_trade_inr,"PASS","FAIL")</f>
        <v/>
      </c>
    </row>
    <row r="198">
      <c r="A198" s="11" t="n">
        <v>44651</v>
      </c>
      <c r="B198" s="7" t="inlineStr">
        <is>
          <t>T01</t>
        </is>
      </c>
      <c r="C198" s="7" t="inlineStr">
        <is>
          <t>IGST:L1</t>
        </is>
      </c>
      <c r="D198" s="7" t="inlineStr">
        <is>
          <t>IGST</t>
        </is>
      </c>
      <c r="E198" s="7" t="inlineStr">
        <is>
          <t>physical</t>
        </is>
      </c>
      <c r="F198" s="7" t="inlineStr">
        <is>
          <t>L1</t>
        </is>
      </c>
      <c r="H198" s="7" t="inlineStr">
        <is>
          <t>zorba</t>
        </is>
      </c>
      <c r="I198" s="7" t="inlineStr">
        <is>
          <t>USEC_MUN</t>
        </is>
      </c>
      <c r="J198" s="7" t="inlineStr">
        <is>
          <t>INR</t>
        </is>
      </c>
      <c r="K198" s="7" t="inlineStr">
        <is>
          <t>floating</t>
        </is>
      </c>
      <c r="L198" s="7" t="inlineStr">
        <is>
          <t>BS</t>
        </is>
      </c>
      <c r="M198" s="11" t="n">
        <v>44735</v>
      </c>
      <c r="N198" s="13" t="n">
        <v>0</v>
      </c>
      <c r="O198" s="6" t="n">
        <v>0</v>
      </c>
      <c r="P198" s="13" t="n">
        <v>0</v>
      </c>
      <c r="Q198" s="22" t="n">
        <v>30</v>
      </c>
      <c r="R198" s="6" t="n">
        <v>2</v>
      </c>
      <c r="U198" s="9" t="n">
        <v>0</v>
      </c>
      <c r="V198" s="9" t="n">
        <v>0</v>
      </c>
      <c r="X198" s="9" t="n">
        <v>75.78959999999999</v>
      </c>
      <c r="AK198" s="7" t="inlineStr">
        <is>
          <t>PYTHON_MULTI_FLOW_LEG</t>
        </is>
      </c>
      <c r="AL198" s="8">
        <f>IF($J198="INR",1,IF($M198&lt;$A198,INDEX(Market_Daily!$F$6:$F$256,MATCH($M198,Market_Daily!$A$6:$A$256,1)),IF($M198=$A198,INDEX(Market_Daily!$F$6:$F$256,MATCH($A198,Market_Daily!$A$6:$A$256,0)),(INDEX(Market_Daily!$F$6:$F$256,MATCH($A198,Market_Daily!$A$6:$A$256,0))*(1+INDEX(Market_Daily!$I$6:$I$256,MATCH($A198,Market_Daily!$A$6:$A$256,0))*($M198-$A198)/day_count_inr)/(1+INDEX(Market_Daily!$J$6:$J$256,MATCH($A198,Market_Daily!$A$6:$A$256,0))*($M198-$A198)/day_count_usd)))))</f>
        <v/>
      </c>
      <c r="AM198" s="8">
        <f>IF(OR($J198="INR",$R198&gt;1),"",$AL198-$X198)</f>
        <v/>
      </c>
      <c r="AN198" s="8">
        <f>$U198</f>
        <v/>
      </c>
      <c r="AO198" s="8">
        <f>$V198</f>
        <v/>
      </c>
      <c r="AP198" s="18">
        <f>$AO198-$V198</f>
        <v/>
      </c>
      <c r="AQ198" s="8">
        <f>IF(ABS($AP198)&lt;=tol_trade_inr,"PASS","FAIL")</f>
        <v/>
      </c>
    </row>
    <row r="199">
      <c r="A199" s="11" t="n">
        <v>44651</v>
      </c>
      <c r="B199" s="7" t="inlineStr">
        <is>
          <t>T01</t>
        </is>
      </c>
      <c r="C199" s="7" t="inlineStr">
        <is>
          <t>IGST:L2</t>
        </is>
      </c>
      <c r="D199" s="7" t="inlineStr">
        <is>
          <t>IGST</t>
        </is>
      </c>
      <c r="E199" s="7" t="inlineStr">
        <is>
          <t>physical</t>
        </is>
      </c>
      <c r="F199" s="7" t="inlineStr">
        <is>
          <t>L2</t>
        </is>
      </c>
      <c r="H199" s="7" t="inlineStr">
        <is>
          <t>zorba</t>
        </is>
      </c>
      <c r="I199" s="7" t="inlineStr">
        <is>
          <t>USEC_MUN</t>
        </is>
      </c>
      <c r="J199" s="7" t="inlineStr">
        <is>
          <t>INR</t>
        </is>
      </c>
      <c r="K199" s="7" t="inlineStr">
        <is>
          <t>floating</t>
        </is>
      </c>
      <c r="L199" s="7" t="inlineStr">
        <is>
          <t>BS</t>
        </is>
      </c>
      <c r="M199" s="11" t="n">
        <v>44741</v>
      </c>
      <c r="N199" s="13" t="n">
        <v>0</v>
      </c>
      <c r="O199" s="6" t="n">
        <v>0</v>
      </c>
      <c r="P199" s="13" t="n">
        <v>0</v>
      </c>
      <c r="Q199" s="22" t="n">
        <v>30</v>
      </c>
      <c r="R199" s="6" t="n">
        <v>2</v>
      </c>
      <c r="U199" s="9" t="n">
        <v>0</v>
      </c>
      <c r="V199" s="9" t="n">
        <v>0</v>
      </c>
      <c r="X199" s="9" t="n">
        <v>75.78959999999999</v>
      </c>
      <c r="AK199" s="7" t="inlineStr">
        <is>
          <t>PYTHON_MULTI_FLOW_LEG</t>
        </is>
      </c>
      <c r="AL199" s="8">
        <f>IF($J199="INR",1,IF($M199&lt;$A199,INDEX(Market_Daily!$F$6:$F$256,MATCH($M199,Market_Daily!$A$6:$A$256,1)),IF($M199=$A199,INDEX(Market_Daily!$F$6:$F$256,MATCH($A199,Market_Daily!$A$6:$A$256,0)),(INDEX(Market_Daily!$F$6:$F$256,MATCH($A199,Market_Daily!$A$6:$A$256,0))*(1+INDEX(Market_Daily!$I$6:$I$256,MATCH($A199,Market_Daily!$A$6:$A$256,0))*($M199-$A199)/day_count_inr)/(1+INDEX(Market_Daily!$J$6:$J$256,MATCH($A199,Market_Daily!$A$6:$A$256,0))*($M199-$A199)/day_count_usd)))))</f>
        <v/>
      </c>
      <c r="AM199" s="8">
        <f>IF(OR($J199="INR",$R199&gt;1),"",$AL199-$X199)</f>
        <v/>
      </c>
      <c r="AN199" s="8">
        <f>$U199</f>
        <v/>
      </c>
      <c r="AO199" s="8">
        <f>$V199</f>
        <v/>
      </c>
      <c r="AP199" s="18">
        <f>$AO199-$V199</f>
        <v/>
      </c>
      <c r="AQ199" s="8">
        <f>IF(ABS($AP199)&lt;=tol_trade_inr,"PASS","FAIL")</f>
        <v/>
      </c>
    </row>
    <row r="200">
      <c r="A200" s="11" t="n">
        <v>44651</v>
      </c>
      <c r="B200" s="7" t="inlineStr">
        <is>
          <t>T01</t>
        </is>
      </c>
      <c r="C200" s="7" t="inlineStr">
        <is>
          <t>IGST:L3</t>
        </is>
      </c>
      <c r="D200" s="7" t="inlineStr">
        <is>
          <t>IGST</t>
        </is>
      </c>
      <c r="E200" s="7" t="inlineStr">
        <is>
          <t>physical</t>
        </is>
      </c>
      <c r="F200" s="7" t="inlineStr">
        <is>
          <t>L3</t>
        </is>
      </c>
      <c r="H200" s="7" t="inlineStr">
        <is>
          <t>zorba</t>
        </is>
      </c>
      <c r="I200" s="7" t="inlineStr">
        <is>
          <t>USEC_MUN</t>
        </is>
      </c>
      <c r="J200" s="7" t="inlineStr">
        <is>
          <t>INR</t>
        </is>
      </c>
      <c r="K200" s="7" t="inlineStr">
        <is>
          <t>floating</t>
        </is>
      </c>
      <c r="L200" s="7" t="inlineStr">
        <is>
          <t>BS</t>
        </is>
      </c>
      <c r="M200" s="11" t="n">
        <v>44746</v>
      </c>
      <c r="N200" s="13" t="n">
        <v>0</v>
      </c>
      <c r="O200" s="6" t="n">
        <v>0</v>
      </c>
      <c r="P200" s="13" t="n">
        <v>0</v>
      </c>
      <c r="Q200" s="22" t="n">
        <v>30</v>
      </c>
      <c r="R200" s="6" t="n">
        <v>2</v>
      </c>
      <c r="U200" s="9" t="n">
        <v>0</v>
      </c>
      <c r="V200" s="9" t="n">
        <v>0</v>
      </c>
      <c r="X200" s="9" t="n">
        <v>75.78959999999999</v>
      </c>
      <c r="AK200" s="7" t="inlineStr">
        <is>
          <t>PYTHON_MULTI_FLOW_LEG</t>
        </is>
      </c>
      <c r="AL200" s="8">
        <f>IF($J200="INR",1,IF($M200&lt;$A200,INDEX(Market_Daily!$F$6:$F$256,MATCH($M200,Market_Daily!$A$6:$A$256,1)),IF($M200=$A200,INDEX(Market_Daily!$F$6:$F$256,MATCH($A200,Market_Daily!$A$6:$A$256,0)),(INDEX(Market_Daily!$F$6:$F$256,MATCH($A200,Market_Daily!$A$6:$A$256,0))*(1+INDEX(Market_Daily!$I$6:$I$256,MATCH($A200,Market_Daily!$A$6:$A$256,0))*($M200-$A200)/day_count_inr)/(1+INDEX(Market_Daily!$J$6:$J$256,MATCH($A200,Market_Daily!$A$6:$A$256,0))*($M200-$A200)/day_count_usd)))))</f>
        <v/>
      </c>
      <c r="AM200" s="8">
        <f>IF(OR($J200="INR",$R200&gt;1),"",$AL200-$X200)</f>
        <v/>
      </c>
      <c r="AN200" s="8">
        <f>$U200</f>
        <v/>
      </c>
      <c r="AO200" s="8">
        <f>$V200</f>
        <v/>
      </c>
      <c r="AP200" s="18">
        <f>$AO200-$V200</f>
        <v/>
      </c>
      <c r="AQ200" s="8">
        <f>IF(ABS($AP200)&lt;=tol_trade_inr,"PASS","FAIL")</f>
        <v/>
      </c>
    </row>
    <row r="201">
      <c r="A201" s="11" t="n">
        <v>44651</v>
      </c>
      <c r="B201" s="7" t="inlineStr">
        <is>
          <t>T01</t>
        </is>
      </c>
      <c r="C201" s="7" t="inlineStr">
        <is>
          <t>INSURANCE:L2</t>
        </is>
      </c>
      <c r="D201" s="7" t="inlineStr">
        <is>
          <t>INSURANCE</t>
        </is>
      </c>
      <c r="E201" s="7" t="inlineStr">
        <is>
          <t>physical</t>
        </is>
      </c>
      <c r="F201" s="7" t="inlineStr">
        <is>
          <t>L2</t>
        </is>
      </c>
      <c r="H201" s="7" t="inlineStr">
        <is>
          <t>zorba</t>
        </is>
      </c>
      <c r="I201" s="7" t="inlineStr">
        <is>
          <t>USEC_MUN</t>
        </is>
      </c>
      <c r="J201" s="7" t="inlineStr">
        <is>
          <t>USD</t>
        </is>
      </c>
      <c r="K201" s="7" t="inlineStr">
        <is>
          <t>floating</t>
        </is>
      </c>
      <c r="L201" s="7" t="inlineStr">
        <is>
          <t>PNL</t>
        </is>
      </c>
      <c r="M201" s="11" t="n">
        <v>44655</v>
      </c>
      <c r="N201" s="13" t="n">
        <v>840</v>
      </c>
      <c r="O201" s="6" t="n">
        <v>0</v>
      </c>
      <c r="P201" s="13" t="n">
        <v>0</v>
      </c>
      <c r="Q201" s="22" t="n">
        <v>30</v>
      </c>
      <c r="R201" s="6" t="n">
        <v>1</v>
      </c>
      <c r="U201" s="9" t="n">
        <v>-2257.64</v>
      </c>
      <c r="V201" s="9" t="n">
        <v>-171166.75</v>
      </c>
      <c r="X201" s="9" t="n">
        <v>75.8167</v>
      </c>
      <c r="AK201" s="7" t="inlineStr">
        <is>
          <t>PYTHON_LIFECYCLE</t>
        </is>
      </c>
      <c r="AL201" s="8">
        <f>IF($J201="INR",1,IF($M201&lt;$A201,INDEX(Market_Daily!$F$6:$F$256,MATCH($M201,Market_Daily!$A$6:$A$256,1)),IF($M201=$A201,INDEX(Market_Daily!$F$6:$F$256,MATCH($A201,Market_Daily!$A$6:$A$256,0)),(INDEX(Market_Daily!$F$6:$F$256,MATCH($A201,Market_Daily!$A$6:$A$256,0))*(1+INDEX(Market_Daily!$I$6:$I$256,MATCH($A201,Market_Daily!$A$6:$A$256,0))*($M201-$A201)/day_count_inr)/(1+INDEX(Market_Daily!$J$6:$J$256,MATCH($A201,Market_Daily!$A$6:$A$256,0))*($M201-$A201)/day_count_usd)))))</f>
        <v/>
      </c>
      <c r="AM201" s="8">
        <f>IF(OR($J201="INR",$R201&gt;1),"",$AL201-$X201)</f>
        <v/>
      </c>
      <c r="AN201" s="8">
        <f>$U201</f>
        <v/>
      </c>
      <c r="AO201" s="8">
        <f>$AN201*IF($J201="INR",1,$AL201)</f>
        <v/>
      </c>
      <c r="AP201" s="18">
        <f>$AO201-$V201</f>
        <v/>
      </c>
      <c r="AQ201" s="8">
        <f>IF(ABS($AP201)&lt;=tol_trade_inr,"PASS","FAIL")</f>
        <v/>
      </c>
    </row>
    <row r="202">
      <c r="A202" s="11" t="n">
        <v>44651</v>
      </c>
      <c r="B202" s="7" t="inlineStr">
        <is>
          <t>T01</t>
        </is>
      </c>
      <c r="C202" s="7" t="inlineStr">
        <is>
          <t>INSURANCE:L3</t>
        </is>
      </c>
      <c r="D202" s="7" t="inlineStr">
        <is>
          <t>INSURANCE</t>
        </is>
      </c>
      <c r="E202" s="7" t="inlineStr">
        <is>
          <t>physical</t>
        </is>
      </c>
      <c r="F202" s="7" t="inlineStr">
        <is>
          <t>L3</t>
        </is>
      </c>
      <c r="H202" s="7" t="inlineStr">
        <is>
          <t>zorba</t>
        </is>
      </c>
      <c r="I202" s="7" t="inlineStr">
        <is>
          <t>USEC_MUN</t>
        </is>
      </c>
      <c r="J202" s="7" t="inlineStr">
        <is>
          <t>USD</t>
        </is>
      </c>
      <c r="K202" s="7" t="inlineStr">
        <is>
          <t>floating</t>
        </is>
      </c>
      <c r="L202" s="7" t="inlineStr">
        <is>
          <t>PNL</t>
        </is>
      </c>
      <c r="M202" s="11" t="n">
        <v>44658</v>
      </c>
      <c r="N202" s="13" t="n">
        <v>840</v>
      </c>
      <c r="O202" s="6" t="n">
        <v>0</v>
      </c>
      <c r="P202" s="13" t="n">
        <v>0</v>
      </c>
      <c r="Q202" s="22" t="n">
        <v>30</v>
      </c>
      <c r="R202" s="6" t="n">
        <v>1</v>
      </c>
      <c r="U202" s="9" t="n">
        <v>-2257.64</v>
      </c>
      <c r="V202" s="9" t="n">
        <v>-171212.59</v>
      </c>
      <c r="X202" s="9" t="n">
        <v>75.837</v>
      </c>
      <c r="AK202" s="7" t="inlineStr">
        <is>
          <t>PYTHON_LIFECYCLE</t>
        </is>
      </c>
      <c r="AL202" s="8">
        <f>IF($J202="INR",1,IF($M202&lt;$A202,INDEX(Market_Daily!$F$6:$F$256,MATCH($M202,Market_Daily!$A$6:$A$256,1)),IF($M202=$A202,INDEX(Market_Daily!$F$6:$F$256,MATCH($A202,Market_Daily!$A$6:$A$256,0)),(INDEX(Market_Daily!$F$6:$F$256,MATCH($A202,Market_Daily!$A$6:$A$256,0))*(1+INDEX(Market_Daily!$I$6:$I$256,MATCH($A202,Market_Daily!$A$6:$A$256,0))*($M202-$A202)/day_count_inr)/(1+INDEX(Market_Daily!$J$6:$J$256,MATCH($A202,Market_Daily!$A$6:$A$256,0))*($M202-$A202)/day_count_usd)))))</f>
        <v/>
      </c>
      <c r="AM202" s="8">
        <f>IF(OR($J202="INR",$R202&gt;1),"",$AL202-$X202)</f>
        <v/>
      </c>
      <c r="AN202" s="8">
        <f>$U202</f>
        <v/>
      </c>
      <c r="AO202" s="8">
        <f>$AN202*IF($J202="INR",1,$AL202)</f>
        <v/>
      </c>
      <c r="AP202" s="18">
        <f>$AO202-$V202</f>
        <v/>
      </c>
      <c r="AQ202" s="8">
        <f>IF(ABS($AP202)&lt;=tol_trade_inr,"PASS","FAIL")</f>
        <v/>
      </c>
    </row>
    <row r="203">
      <c r="A203" s="11" t="n">
        <v>44651</v>
      </c>
      <c r="B203" s="7" t="inlineStr">
        <is>
          <t>T01</t>
        </is>
      </c>
      <c r="C203" s="7" t="inlineStr">
        <is>
          <t>INVENTORY:L1</t>
        </is>
      </c>
      <c r="D203" s="7" t="inlineStr">
        <is>
          <t>INVENTORY</t>
        </is>
      </c>
      <c r="E203" s="7" t="inlineStr">
        <is>
          <t>physical</t>
        </is>
      </c>
      <c r="F203" s="7" t="inlineStr">
        <is>
          <t>L1</t>
        </is>
      </c>
      <c r="H203" s="7" t="inlineStr">
        <is>
          <t>zorba</t>
        </is>
      </c>
      <c r="I203" s="7" t="inlineStr">
        <is>
          <t>USEC_MUN</t>
        </is>
      </c>
      <c r="J203" s="7" t="inlineStr">
        <is>
          <t>INR</t>
        </is>
      </c>
      <c r="K203" s="7" t="inlineStr">
        <is>
          <t>fixed_unsettled</t>
        </is>
      </c>
      <c r="L203" s="7" t="inlineStr">
        <is>
          <t>PNL</t>
        </is>
      </c>
      <c r="N203" s="13" t="n">
        <v>840</v>
      </c>
      <c r="O203" s="6" t="n">
        <v>0</v>
      </c>
      <c r="P203" s="13" t="n">
        <v>0</v>
      </c>
      <c r="Q203" s="22" t="n">
        <v>30</v>
      </c>
      <c r="R203" s="6" t="n">
        <v>0</v>
      </c>
      <c r="U203" s="9" t="n">
        <v>167210275.04</v>
      </c>
      <c r="V203" s="9" t="n">
        <v>167210275.04</v>
      </c>
      <c r="W203" s="9" t="n">
        <v>199059.8512</v>
      </c>
      <c r="X203" s="9" t="n">
        <v>75.78959999999999</v>
      </c>
      <c r="Y203" s="8">
        <f>IF($I203="JEA_NSA","20ft","40ft")</f>
        <v/>
      </c>
      <c r="Z203" s="8">
        <f>IF($I203="JEA_NSA","nsa","mun")</f>
        <v/>
      </c>
      <c r="AA203" s="8">
        <f>INDEX(param_values,MATCH("container_payload_mt_"&amp;$Y203,param_keys,0))/INDEX(param_values,MATCH("container_payload_mt_"&amp;$Y203&amp;"_"&amp;$H203,param_keys,0))</f>
        <v/>
      </c>
      <c r="AB203" s="16">
        <f>INDEX(Market_Daily!$C$6:$C$256,MATCH($A203,Market_Daily!$A$6:$A$256,0))*INDEX(Market_Daily!$X$6:$Z$256,MATCH($A203,Market_Daily!$A$6:$A$256,0),MATCH("grade_factor_"&amp;$H203,Market_Daily!$X$5:$Z$5,0))</f>
        <v/>
      </c>
      <c r="AC203" s="16">
        <f>$AB203*(1+insurance_rate*insured_value_uplift)</f>
        <v/>
      </c>
      <c r="AD203" s="8">
        <f>(INDEX(Market_Daily!$F$6:$F$256,MATCH($A203,Market_Daily!$A$6:$A$256,0))*(1+INDEX(Market_Daily!$I$6:$I$256,MATCH($A203,Market_Daily!$A$6:$A$256,0))*$Q203/day_count_inr)/(1+INDEX(Market_Daily!$J$6:$J$256,MATCH($A203,Market_Daily!$A$6:$A$256,0))*$Q203/day_count_usd))</f>
        <v/>
      </c>
      <c r="AE203" s="18">
        <f>$AC203*$AD203</f>
        <v/>
      </c>
      <c r="AF203" s="18">
        <f>$AC203*INDEX(Market_Daily!$V$6:$V$256,MATCH($A203,Market_Daily!$A$6:$A$256,0))</f>
        <v/>
      </c>
      <c r="AG203" s="18">
        <f>$AF203*bcd_scrap_hs7602*(1+sws_rate_on_bcd)</f>
        <v/>
      </c>
      <c r="AH203" s="18">
        <f>INDEX(param_values,MATCH("port_cf_charges_inr_t_"&amp;$Z203,param_keys,0))*$AA203+IF(INDEX(param_values,MATCH(IF($I203="JEA_NSA","psic_required_uae_origin","psic_required_safe_origin_designated_port"),param_keys,0)),psic_cost_usd_per_box*INDEX(Market_Daily!$F$6:$F$256,MATCH($A203,Market_Daily!$A$6:$A$256,0))/INDEX(param_values,MATCH("container_payload_mt_20ft_"&amp;$H203,param_keys,0)),0)</f>
        <v/>
      </c>
      <c r="AI203" s="18">
        <f>IF(igst_itc_available,0,($AF203+$AG203)*igst_rate_hs7602)</f>
        <v/>
      </c>
      <c r="AJ203" s="18">
        <f>$AE203+$AG203+$AH203+$AI203</f>
        <v/>
      </c>
      <c r="AK203" s="7" t="inlineStr">
        <is>
          <t>DERIVED_IN_WORKBOOK</t>
        </is>
      </c>
      <c r="AL203" s="8">
        <f>IF($J203="INR",1,IF($M203&lt;$A203,INDEX(Market_Daily!$F$6:$F$256,MATCH($M203,Market_Daily!$A$6:$A$256,1)),IF($M203=$A203,INDEX(Market_Daily!$F$6:$F$256,MATCH($A203,Market_Daily!$A$6:$A$256,0)),(INDEX(Market_Daily!$F$6:$F$256,MATCH($A203,Market_Daily!$A$6:$A$256,0))*(1+INDEX(Market_Daily!$I$6:$I$256,MATCH($A203,Market_Daily!$A$6:$A$256,0))*($M203-$A203)/day_count_inr)/(1+INDEX(Market_Daily!$J$6:$J$256,MATCH($A203,Market_Daily!$A$6:$A$256,0))*($M203-$A203)/day_count_usd)))))</f>
        <v/>
      </c>
      <c r="AM203" s="8">
        <f>IF(OR($J203="INR",$R203&gt;1),"",$AL203-$X203)</f>
        <v/>
      </c>
      <c r="AN203" s="8">
        <f>$N203*$AJ203</f>
        <v/>
      </c>
      <c r="AO203" s="8">
        <f>$AN203</f>
        <v/>
      </c>
      <c r="AP203" s="18">
        <f>$AO203-$V203</f>
        <v/>
      </c>
      <c r="AQ203" s="8">
        <f>IF(ABS($AP203)&lt;=tol_trade_inr,"PASS","FAIL")</f>
        <v/>
      </c>
    </row>
    <row r="204">
      <c r="A204" s="11" t="n">
        <v>44651</v>
      </c>
      <c r="B204" s="7" t="inlineStr">
        <is>
          <t>T01</t>
        </is>
      </c>
      <c r="C204" s="7" t="inlineStr">
        <is>
          <t>INVENTORY:L2</t>
        </is>
      </c>
      <c r="D204" s="7" t="inlineStr">
        <is>
          <t>INVENTORY</t>
        </is>
      </c>
      <c r="E204" s="7" t="inlineStr">
        <is>
          <t>physical</t>
        </is>
      </c>
      <c r="F204" s="7" t="inlineStr">
        <is>
          <t>L2</t>
        </is>
      </c>
      <c r="H204" s="7" t="inlineStr">
        <is>
          <t>zorba</t>
        </is>
      </c>
      <c r="I204" s="7" t="inlineStr">
        <is>
          <t>USEC_MUN</t>
        </is>
      </c>
      <c r="J204" s="7" t="inlineStr">
        <is>
          <t>INR</t>
        </is>
      </c>
      <c r="K204" s="7" t="inlineStr">
        <is>
          <t>fixed_unsettled</t>
        </is>
      </c>
      <c r="L204" s="7" t="inlineStr">
        <is>
          <t>PNL</t>
        </is>
      </c>
      <c r="N204" s="13" t="n">
        <v>840</v>
      </c>
      <c r="O204" s="6" t="n">
        <v>0</v>
      </c>
      <c r="P204" s="13" t="n">
        <v>0</v>
      </c>
      <c r="Q204" s="22" t="n">
        <v>30</v>
      </c>
      <c r="R204" s="6" t="n">
        <v>0</v>
      </c>
      <c r="U204" s="9" t="n">
        <v>167210275.04</v>
      </c>
      <c r="V204" s="9" t="n">
        <v>167210275.04</v>
      </c>
      <c r="W204" s="9" t="n">
        <v>199059.8512</v>
      </c>
      <c r="X204" s="9" t="n">
        <v>75.78959999999999</v>
      </c>
      <c r="Y204" s="8">
        <f>IF($I204="JEA_NSA","20ft","40ft")</f>
        <v/>
      </c>
      <c r="Z204" s="8">
        <f>IF($I204="JEA_NSA","nsa","mun")</f>
        <v/>
      </c>
      <c r="AA204" s="8">
        <f>INDEX(param_values,MATCH("container_payload_mt_"&amp;$Y204,param_keys,0))/INDEX(param_values,MATCH("container_payload_mt_"&amp;$Y204&amp;"_"&amp;$H204,param_keys,0))</f>
        <v/>
      </c>
      <c r="AB204" s="16">
        <f>INDEX(Market_Daily!$C$6:$C$256,MATCH($A204,Market_Daily!$A$6:$A$256,0))*INDEX(Market_Daily!$X$6:$Z$256,MATCH($A204,Market_Daily!$A$6:$A$256,0),MATCH("grade_factor_"&amp;$H204,Market_Daily!$X$5:$Z$5,0))</f>
        <v/>
      </c>
      <c r="AC204" s="16">
        <f>$AB204*(1+insurance_rate*insured_value_uplift)</f>
        <v/>
      </c>
      <c r="AD204" s="8">
        <f>(INDEX(Market_Daily!$F$6:$F$256,MATCH($A204,Market_Daily!$A$6:$A$256,0))*(1+INDEX(Market_Daily!$I$6:$I$256,MATCH($A204,Market_Daily!$A$6:$A$256,0))*$Q204/day_count_inr)/(1+INDEX(Market_Daily!$J$6:$J$256,MATCH($A204,Market_Daily!$A$6:$A$256,0))*$Q204/day_count_usd))</f>
        <v/>
      </c>
      <c r="AE204" s="18">
        <f>$AC204*$AD204</f>
        <v/>
      </c>
      <c r="AF204" s="18">
        <f>$AC204*INDEX(Market_Daily!$V$6:$V$256,MATCH($A204,Market_Daily!$A$6:$A$256,0))</f>
        <v/>
      </c>
      <c r="AG204" s="18">
        <f>$AF204*bcd_scrap_hs7602*(1+sws_rate_on_bcd)</f>
        <v/>
      </c>
      <c r="AH204" s="18">
        <f>INDEX(param_values,MATCH("port_cf_charges_inr_t_"&amp;$Z204,param_keys,0))*$AA204+IF(INDEX(param_values,MATCH(IF($I204="JEA_NSA","psic_required_uae_origin","psic_required_safe_origin_designated_port"),param_keys,0)),psic_cost_usd_per_box*INDEX(Market_Daily!$F$6:$F$256,MATCH($A204,Market_Daily!$A$6:$A$256,0))/INDEX(param_values,MATCH("container_payload_mt_20ft_"&amp;$H204,param_keys,0)),0)</f>
        <v/>
      </c>
      <c r="AI204" s="18">
        <f>IF(igst_itc_available,0,($AF204+$AG204)*igst_rate_hs7602)</f>
        <v/>
      </c>
      <c r="AJ204" s="18">
        <f>$AE204+$AG204+$AH204+$AI204</f>
        <v/>
      </c>
      <c r="AK204" s="7" t="inlineStr">
        <is>
          <t>DERIVED_IN_WORKBOOK</t>
        </is>
      </c>
      <c r="AL204" s="8">
        <f>IF($J204="INR",1,IF($M204&lt;$A204,INDEX(Market_Daily!$F$6:$F$256,MATCH($M204,Market_Daily!$A$6:$A$256,1)),IF($M204=$A204,INDEX(Market_Daily!$F$6:$F$256,MATCH($A204,Market_Daily!$A$6:$A$256,0)),(INDEX(Market_Daily!$F$6:$F$256,MATCH($A204,Market_Daily!$A$6:$A$256,0))*(1+INDEX(Market_Daily!$I$6:$I$256,MATCH($A204,Market_Daily!$A$6:$A$256,0))*($M204-$A204)/day_count_inr)/(1+INDEX(Market_Daily!$J$6:$J$256,MATCH($A204,Market_Daily!$A$6:$A$256,0))*($M204-$A204)/day_count_usd)))))</f>
        <v/>
      </c>
      <c r="AM204" s="8">
        <f>IF(OR($J204="INR",$R204&gt;1),"",$AL204-$X204)</f>
        <v/>
      </c>
      <c r="AN204" s="8">
        <f>$N204*$AJ204</f>
        <v/>
      </c>
      <c r="AO204" s="8">
        <f>$AN204</f>
        <v/>
      </c>
      <c r="AP204" s="18">
        <f>$AO204-$V204</f>
        <v/>
      </c>
      <c r="AQ204" s="8">
        <f>IF(ABS($AP204)&lt;=tol_trade_inr,"PASS","FAIL")</f>
        <v/>
      </c>
    </row>
    <row r="205">
      <c r="A205" s="11" t="n">
        <v>44651</v>
      </c>
      <c r="B205" s="7" t="inlineStr">
        <is>
          <t>T01</t>
        </is>
      </c>
      <c r="C205" s="7" t="inlineStr">
        <is>
          <t>INVENTORY:L3</t>
        </is>
      </c>
      <c r="D205" s="7" t="inlineStr">
        <is>
          <t>INVENTORY</t>
        </is>
      </c>
      <c r="E205" s="7" t="inlineStr">
        <is>
          <t>physical</t>
        </is>
      </c>
      <c r="F205" s="7" t="inlineStr">
        <is>
          <t>L3</t>
        </is>
      </c>
      <c r="H205" s="7" t="inlineStr">
        <is>
          <t>zorba</t>
        </is>
      </c>
      <c r="I205" s="7" t="inlineStr">
        <is>
          <t>USEC_MUN</t>
        </is>
      </c>
      <c r="J205" s="7" t="inlineStr">
        <is>
          <t>INR</t>
        </is>
      </c>
      <c r="K205" s="7" t="inlineStr">
        <is>
          <t>fixed_unsettled</t>
        </is>
      </c>
      <c r="L205" s="7" t="inlineStr">
        <is>
          <t>PNL</t>
        </is>
      </c>
      <c r="N205" s="13" t="n">
        <v>840</v>
      </c>
      <c r="O205" s="6" t="n">
        <v>0</v>
      </c>
      <c r="P205" s="13" t="n">
        <v>0</v>
      </c>
      <c r="Q205" s="22" t="n">
        <v>30</v>
      </c>
      <c r="R205" s="6" t="n">
        <v>0</v>
      </c>
      <c r="U205" s="9" t="n">
        <v>167210275.04</v>
      </c>
      <c r="V205" s="9" t="n">
        <v>167210275.04</v>
      </c>
      <c r="W205" s="9" t="n">
        <v>199059.8512</v>
      </c>
      <c r="X205" s="9" t="n">
        <v>75.78959999999999</v>
      </c>
      <c r="Y205" s="8">
        <f>IF($I205="JEA_NSA","20ft","40ft")</f>
        <v/>
      </c>
      <c r="Z205" s="8">
        <f>IF($I205="JEA_NSA","nsa","mun")</f>
        <v/>
      </c>
      <c r="AA205" s="8">
        <f>INDEX(param_values,MATCH("container_payload_mt_"&amp;$Y205,param_keys,0))/INDEX(param_values,MATCH("container_payload_mt_"&amp;$Y205&amp;"_"&amp;$H205,param_keys,0))</f>
        <v/>
      </c>
      <c r="AB205" s="16">
        <f>INDEX(Market_Daily!$C$6:$C$256,MATCH($A205,Market_Daily!$A$6:$A$256,0))*INDEX(Market_Daily!$X$6:$Z$256,MATCH($A205,Market_Daily!$A$6:$A$256,0),MATCH("grade_factor_"&amp;$H205,Market_Daily!$X$5:$Z$5,0))</f>
        <v/>
      </c>
      <c r="AC205" s="16">
        <f>$AB205*(1+insurance_rate*insured_value_uplift)</f>
        <v/>
      </c>
      <c r="AD205" s="8">
        <f>(INDEX(Market_Daily!$F$6:$F$256,MATCH($A205,Market_Daily!$A$6:$A$256,0))*(1+INDEX(Market_Daily!$I$6:$I$256,MATCH($A205,Market_Daily!$A$6:$A$256,0))*$Q205/day_count_inr)/(1+INDEX(Market_Daily!$J$6:$J$256,MATCH($A205,Market_Daily!$A$6:$A$256,0))*$Q205/day_count_usd))</f>
        <v/>
      </c>
      <c r="AE205" s="18">
        <f>$AC205*$AD205</f>
        <v/>
      </c>
      <c r="AF205" s="18">
        <f>$AC205*INDEX(Market_Daily!$V$6:$V$256,MATCH($A205,Market_Daily!$A$6:$A$256,0))</f>
        <v/>
      </c>
      <c r="AG205" s="18">
        <f>$AF205*bcd_scrap_hs7602*(1+sws_rate_on_bcd)</f>
        <v/>
      </c>
      <c r="AH205" s="18">
        <f>INDEX(param_values,MATCH("port_cf_charges_inr_t_"&amp;$Z205,param_keys,0))*$AA205+IF(INDEX(param_values,MATCH(IF($I205="JEA_NSA","psic_required_uae_origin","psic_required_safe_origin_designated_port"),param_keys,0)),psic_cost_usd_per_box*INDEX(Market_Daily!$F$6:$F$256,MATCH($A205,Market_Daily!$A$6:$A$256,0))/INDEX(param_values,MATCH("container_payload_mt_20ft_"&amp;$H205,param_keys,0)),0)</f>
        <v/>
      </c>
      <c r="AI205" s="18">
        <f>IF(igst_itc_available,0,($AF205+$AG205)*igst_rate_hs7602)</f>
        <v/>
      </c>
      <c r="AJ205" s="18">
        <f>$AE205+$AG205+$AH205+$AI205</f>
        <v/>
      </c>
      <c r="AK205" s="7" t="inlineStr">
        <is>
          <t>DERIVED_IN_WORKBOOK</t>
        </is>
      </c>
      <c r="AL205" s="8">
        <f>IF($J205="INR",1,IF($M205&lt;$A205,INDEX(Market_Daily!$F$6:$F$256,MATCH($M205,Market_Daily!$A$6:$A$256,1)),IF($M205=$A205,INDEX(Market_Daily!$F$6:$F$256,MATCH($A205,Market_Daily!$A$6:$A$256,0)),(INDEX(Market_Daily!$F$6:$F$256,MATCH($A205,Market_Daily!$A$6:$A$256,0))*(1+INDEX(Market_Daily!$I$6:$I$256,MATCH($A205,Market_Daily!$A$6:$A$256,0))*($M205-$A205)/day_count_inr)/(1+INDEX(Market_Daily!$J$6:$J$256,MATCH($A205,Market_Daily!$A$6:$A$256,0))*($M205-$A205)/day_count_usd)))))</f>
        <v/>
      </c>
      <c r="AM205" s="8">
        <f>IF(OR($J205="INR",$R205&gt;1),"",$AL205-$X205)</f>
        <v/>
      </c>
      <c r="AN205" s="8">
        <f>$N205*$AJ205</f>
        <v/>
      </c>
      <c r="AO205" s="8">
        <f>$AN205</f>
        <v/>
      </c>
      <c r="AP205" s="18">
        <f>$AO205-$V205</f>
        <v/>
      </c>
      <c r="AQ205" s="8">
        <f>IF(ABS($AP205)&lt;=tol_trade_inr,"PASS","FAIL")</f>
        <v/>
      </c>
    </row>
    <row r="206">
      <c r="A206" s="11" t="n">
        <v>44651</v>
      </c>
      <c r="B206" s="7" t="inlineStr">
        <is>
          <t>T01</t>
        </is>
      </c>
      <c r="C206" s="7" t="inlineStr">
        <is>
          <t>MCX:T01-MCX-1</t>
        </is>
      </c>
      <c r="D206" s="7" t="inlineStr">
        <is>
          <t>MCX</t>
        </is>
      </c>
      <c r="E206" s="7" t="inlineStr">
        <is>
          <t>mcx</t>
        </is>
      </c>
      <c r="H206" s="7" t="inlineStr">
        <is>
          <t>zorba</t>
        </is>
      </c>
      <c r="I206" s="7" t="inlineStr">
        <is>
          <t>USEC_MUN</t>
        </is>
      </c>
      <c r="J206" s="7" t="inlineStr">
        <is>
          <t>INR</t>
        </is>
      </c>
      <c r="K206" s="7" t="inlineStr">
        <is>
          <t>partially_fixed</t>
        </is>
      </c>
      <c r="L206" s="7" t="inlineStr">
        <is>
          <t>PNL</t>
        </is>
      </c>
      <c r="M206" s="11" t="n">
        <v>44671</v>
      </c>
      <c r="N206" s="13" t="n">
        <v>0</v>
      </c>
      <c r="O206" s="6" t="n">
        <v>-200</v>
      </c>
      <c r="P206" s="13" t="n">
        <v>0</v>
      </c>
      <c r="Q206" s="22" t="n">
        <v>30</v>
      </c>
      <c r="R206" s="6" t="n">
        <v>29</v>
      </c>
      <c r="U206" s="9" t="n">
        <v>0</v>
      </c>
      <c r="V206" s="9" t="n">
        <v>0</v>
      </c>
      <c r="X206" s="9" t="n">
        <v>75.78959999999999</v>
      </c>
      <c r="AK206" s="7" t="inlineStr">
        <is>
          <t>PYTHON_MULTI_FLOW_LEG</t>
        </is>
      </c>
      <c r="AL206" s="8">
        <f>IF($J206="INR",1,IF($M206&lt;$A206,INDEX(Market_Daily!$F$6:$F$256,MATCH($M206,Market_Daily!$A$6:$A$256,1)),IF($M206=$A206,INDEX(Market_Daily!$F$6:$F$256,MATCH($A206,Market_Daily!$A$6:$A$256,0)),(INDEX(Market_Daily!$F$6:$F$256,MATCH($A206,Market_Daily!$A$6:$A$256,0))*(1+INDEX(Market_Daily!$I$6:$I$256,MATCH($A206,Market_Daily!$A$6:$A$256,0))*($M206-$A206)/day_count_inr)/(1+INDEX(Market_Daily!$J$6:$J$256,MATCH($A206,Market_Daily!$A$6:$A$256,0))*($M206-$A206)/day_count_usd)))))</f>
        <v/>
      </c>
      <c r="AM206" s="8">
        <f>IF(OR($J206="INR",$R206&gt;1),"",$AL206-$X206)</f>
        <v/>
      </c>
      <c r="AN206" s="8">
        <f>$U206</f>
        <v/>
      </c>
      <c r="AO206" s="8">
        <f>$V206</f>
        <v/>
      </c>
      <c r="AP206" s="18">
        <f>$AO206-$V206</f>
        <v/>
      </c>
      <c r="AQ206" s="8">
        <f>IF(ABS($AP206)&lt;=tol_trade_inr,"PASS","FAIL")</f>
        <v/>
      </c>
    </row>
    <row r="207">
      <c r="A207" s="11" t="n">
        <v>44651</v>
      </c>
      <c r="B207" s="7" t="inlineStr">
        <is>
          <t>T01</t>
        </is>
      </c>
      <c r="C207" s="7" t="inlineStr">
        <is>
          <t>MCX:T01-MCX-2</t>
        </is>
      </c>
      <c r="D207" s="7" t="inlineStr">
        <is>
          <t>MCX</t>
        </is>
      </c>
      <c r="E207" s="7" t="inlineStr">
        <is>
          <t>mcx</t>
        </is>
      </c>
      <c r="H207" s="7" t="inlineStr">
        <is>
          <t>zorba</t>
        </is>
      </c>
      <c r="I207" s="7" t="inlineStr">
        <is>
          <t>USEC_MUN</t>
        </is>
      </c>
      <c r="J207" s="7" t="inlineStr">
        <is>
          <t>INR</t>
        </is>
      </c>
      <c r="K207" s="7" t="inlineStr">
        <is>
          <t>partially_fixed</t>
        </is>
      </c>
      <c r="L207" s="7" t="inlineStr">
        <is>
          <t>PNL</t>
        </is>
      </c>
      <c r="M207" s="11" t="n">
        <v>44671</v>
      </c>
      <c r="N207" s="13" t="n">
        <v>0</v>
      </c>
      <c r="O207" s="6" t="n">
        <v>-100</v>
      </c>
      <c r="P207" s="13" t="n">
        <v>0</v>
      </c>
      <c r="Q207" s="22" t="n">
        <v>30</v>
      </c>
      <c r="R207" s="6" t="n">
        <v>29</v>
      </c>
      <c r="U207" s="9" t="n">
        <v>0</v>
      </c>
      <c r="V207" s="9" t="n">
        <v>0</v>
      </c>
      <c r="X207" s="9" t="n">
        <v>75.78959999999999</v>
      </c>
      <c r="AK207" s="7" t="inlineStr">
        <is>
          <t>PYTHON_MULTI_FLOW_LEG</t>
        </is>
      </c>
      <c r="AL207" s="8">
        <f>IF($J207="INR",1,IF($M207&lt;$A207,INDEX(Market_Daily!$F$6:$F$256,MATCH($M207,Market_Daily!$A$6:$A$256,1)),IF($M207=$A207,INDEX(Market_Daily!$F$6:$F$256,MATCH($A207,Market_Daily!$A$6:$A$256,0)),(INDEX(Market_Daily!$F$6:$F$256,MATCH($A207,Market_Daily!$A$6:$A$256,0))*(1+INDEX(Market_Daily!$I$6:$I$256,MATCH($A207,Market_Daily!$A$6:$A$256,0))*($M207-$A207)/day_count_inr)/(1+INDEX(Market_Daily!$J$6:$J$256,MATCH($A207,Market_Daily!$A$6:$A$256,0))*($M207-$A207)/day_count_usd)))))</f>
        <v/>
      </c>
      <c r="AM207" s="8">
        <f>IF(OR($J207="INR",$R207&gt;1),"",$AL207-$X207)</f>
        <v/>
      </c>
      <c r="AN207" s="8">
        <f>$U207</f>
        <v/>
      </c>
      <c r="AO207" s="8">
        <f>$V207</f>
        <v/>
      </c>
      <c r="AP207" s="18">
        <f>$AO207-$V207</f>
        <v/>
      </c>
      <c r="AQ207" s="8">
        <f>IF(ABS($AP207)&lt;=tol_trade_inr,"PASS","FAIL")</f>
        <v/>
      </c>
    </row>
    <row r="208">
      <c r="A208" s="11" t="n">
        <v>44651</v>
      </c>
      <c r="B208" s="7" t="inlineStr">
        <is>
          <t>T01</t>
        </is>
      </c>
      <c r="C208" s="7" t="inlineStr">
        <is>
          <t>PORT:L1</t>
        </is>
      </c>
      <c r="D208" s="7" t="inlineStr">
        <is>
          <t>PORT</t>
        </is>
      </c>
      <c r="E208" s="7" t="inlineStr">
        <is>
          <t>physical</t>
        </is>
      </c>
      <c r="F208" s="7" t="inlineStr">
        <is>
          <t>L1</t>
        </is>
      </c>
      <c r="H208" s="7" t="inlineStr">
        <is>
          <t>zorba</t>
        </is>
      </c>
      <c r="I208" s="7" t="inlineStr">
        <is>
          <t>USEC_MUN</t>
        </is>
      </c>
      <c r="J208" s="7" t="inlineStr">
        <is>
          <t>INR</t>
        </is>
      </c>
      <c r="K208" s="7" t="inlineStr">
        <is>
          <t>fixed_unsettled</t>
        </is>
      </c>
      <c r="L208" s="7" t="inlineStr">
        <is>
          <t>PNL</t>
        </is>
      </c>
      <c r="M208" s="11" t="n">
        <v>44699</v>
      </c>
      <c r="N208" s="13" t="n">
        <v>0</v>
      </c>
      <c r="O208" s="6" t="n">
        <v>0</v>
      </c>
      <c r="P208" s="13" t="n">
        <v>0</v>
      </c>
      <c r="Q208" s="22" t="n">
        <v>30</v>
      </c>
      <c r="R208" s="6" t="n">
        <v>1</v>
      </c>
      <c r="U208" s="9" t="n">
        <v>-2226000</v>
      </c>
      <c r="V208" s="9" t="n">
        <v>-2226000</v>
      </c>
      <c r="X208" s="9" t="n">
        <v>75.78959999999999</v>
      </c>
      <c r="AK208" s="7" t="inlineStr">
        <is>
          <t>PYTHON_LIFECYCLE</t>
        </is>
      </c>
      <c r="AL208" s="8">
        <f>IF($J208="INR",1,IF($M208&lt;$A208,INDEX(Market_Daily!$F$6:$F$256,MATCH($M208,Market_Daily!$A$6:$A$256,1)),IF($M208=$A208,INDEX(Market_Daily!$F$6:$F$256,MATCH($A208,Market_Daily!$A$6:$A$256,0)),(INDEX(Market_Daily!$F$6:$F$256,MATCH($A208,Market_Daily!$A$6:$A$256,0))*(1+INDEX(Market_Daily!$I$6:$I$256,MATCH($A208,Market_Daily!$A$6:$A$256,0))*($M208-$A208)/day_count_inr)/(1+INDEX(Market_Daily!$J$6:$J$256,MATCH($A208,Market_Daily!$A$6:$A$256,0))*($M208-$A208)/day_count_usd)))))</f>
        <v/>
      </c>
      <c r="AM208" s="8">
        <f>IF(OR($J208="INR",$R208&gt;1),"",$AL208-$X208)</f>
        <v/>
      </c>
      <c r="AN208" s="8">
        <f>$U208</f>
        <v/>
      </c>
      <c r="AO208" s="8">
        <f>$AN208*IF($J208="INR",1,$AL208)</f>
        <v/>
      </c>
      <c r="AP208" s="18">
        <f>$AO208-$V208</f>
        <v/>
      </c>
      <c r="AQ208" s="8">
        <f>IF(ABS($AP208)&lt;=tol_trade_inr,"PASS","FAIL")</f>
        <v/>
      </c>
    </row>
    <row r="209">
      <c r="A209" s="11" t="n">
        <v>44651</v>
      </c>
      <c r="B209" s="7" t="inlineStr">
        <is>
          <t>T01</t>
        </is>
      </c>
      <c r="C209" s="7" t="inlineStr">
        <is>
          <t>PORT:L2</t>
        </is>
      </c>
      <c r="D209" s="7" t="inlineStr">
        <is>
          <t>PORT</t>
        </is>
      </c>
      <c r="E209" s="7" t="inlineStr">
        <is>
          <t>physical</t>
        </is>
      </c>
      <c r="F209" s="7" t="inlineStr">
        <is>
          <t>L2</t>
        </is>
      </c>
      <c r="H209" s="7" t="inlineStr">
        <is>
          <t>zorba</t>
        </is>
      </c>
      <c r="I209" s="7" t="inlineStr">
        <is>
          <t>USEC_MUN</t>
        </is>
      </c>
      <c r="J209" s="7" t="inlineStr">
        <is>
          <t>INR</t>
        </is>
      </c>
      <c r="K209" s="7" t="inlineStr">
        <is>
          <t>fixed_unsettled</t>
        </is>
      </c>
      <c r="L209" s="7" t="inlineStr">
        <is>
          <t>PNL</t>
        </is>
      </c>
      <c r="M209" s="11" t="n">
        <v>44705</v>
      </c>
      <c r="N209" s="13" t="n">
        <v>0</v>
      </c>
      <c r="O209" s="6" t="n">
        <v>0</v>
      </c>
      <c r="P209" s="13" t="n">
        <v>0</v>
      </c>
      <c r="Q209" s="22" t="n">
        <v>30</v>
      </c>
      <c r="R209" s="6" t="n">
        <v>1</v>
      </c>
      <c r="U209" s="9" t="n">
        <v>-2226000</v>
      </c>
      <c r="V209" s="9" t="n">
        <v>-2226000</v>
      </c>
      <c r="X209" s="9" t="n">
        <v>75.78959999999999</v>
      </c>
      <c r="AK209" s="7" t="inlineStr">
        <is>
          <t>PYTHON_LIFECYCLE</t>
        </is>
      </c>
      <c r="AL209" s="8">
        <f>IF($J209="INR",1,IF($M209&lt;$A209,INDEX(Market_Daily!$F$6:$F$256,MATCH($M209,Market_Daily!$A$6:$A$256,1)),IF($M209=$A209,INDEX(Market_Daily!$F$6:$F$256,MATCH($A209,Market_Daily!$A$6:$A$256,0)),(INDEX(Market_Daily!$F$6:$F$256,MATCH($A209,Market_Daily!$A$6:$A$256,0))*(1+INDEX(Market_Daily!$I$6:$I$256,MATCH($A209,Market_Daily!$A$6:$A$256,0))*($M209-$A209)/day_count_inr)/(1+INDEX(Market_Daily!$J$6:$J$256,MATCH($A209,Market_Daily!$A$6:$A$256,0))*($M209-$A209)/day_count_usd)))))</f>
        <v/>
      </c>
      <c r="AM209" s="8">
        <f>IF(OR($J209="INR",$R209&gt;1),"",$AL209-$X209)</f>
        <v/>
      </c>
      <c r="AN209" s="8">
        <f>$U209</f>
        <v/>
      </c>
      <c r="AO209" s="8">
        <f>$AN209*IF($J209="INR",1,$AL209)</f>
        <v/>
      </c>
      <c r="AP209" s="18">
        <f>$AO209-$V209</f>
        <v/>
      </c>
      <c r="AQ209" s="8">
        <f>IF(ABS($AP209)&lt;=tol_trade_inr,"PASS","FAIL")</f>
        <v/>
      </c>
    </row>
    <row r="210">
      <c r="A210" s="11" t="n">
        <v>44651</v>
      </c>
      <c r="B210" s="7" t="inlineStr">
        <is>
          <t>T01</t>
        </is>
      </c>
      <c r="C210" s="7" t="inlineStr">
        <is>
          <t>PORT:L3</t>
        </is>
      </c>
      <c r="D210" s="7" t="inlineStr">
        <is>
          <t>PORT</t>
        </is>
      </c>
      <c r="E210" s="7" t="inlineStr">
        <is>
          <t>physical</t>
        </is>
      </c>
      <c r="F210" s="7" t="inlineStr">
        <is>
          <t>L3</t>
        </is>
      </c>
      <c r="H210" s="7" t="inlineStr">
        <is>
          <t>zorba</t>
        </is>
      </c>
      <c r="I210" s="7" t="inlineStr">
        <is>
          <t>USEC_MUN</t>
        </is>
      </c>
      <c r="J210" s="7" t="inlineStr">
        <is>
          <t>INR</t>
        </is>
      </c>
      <c r="K210" s="7" t="inlineStr">
        <is>
          <t>fixed_unsettled</t>
        </is>
      </c>
      <c r="L210" s="7" t="inlineStr">
        <is>
          <t>PNL</t>
        </is>
      </c>
      <c r="M210" s="11" t="n">
        <v>44708</v>
      </c>
      <c r="N210" s="13" t="n">
        <v>0</v>
      </c>
      <c r="O210" s="6" t="n">
        <v>0</v>
      </c>
      <c r="P210" s="13" t="n">
        <v>0</v>
      </c>
      <c r="Q210" s="22" t="n">
        <v>30</v>
      </c>
      <c r="R210" s="6" t="n">
        <v>1</v>
      </c>
      <c r="U210" s="9" t="n">
        <v>-2226000</v>
      </c>
      <c r="V210" s="9" t="n">
        <v>-2226000</v>
      </c>
      <c r="X210" s="9" t="n">
        <v>75.78959999999999</v>
      </c>
      <c r="AK210" s="7" t="inlineStr">
        <is>
          <t>PYTHON_LIFECYCLE</t>
        </is>
      </c>
      <c r="AL210" s="8">
        <f>IF($J210="INR",1,IF($M210&lt;$A210,INDEX(Market_Daily!$F$6:$F$256,MATCH($M210,Market_Daily!$A$6:$A$256,1)),IF($M210=$A210,INDEX(Market_Daily!$F$6:$F$256,MATCH($A210,Market_Daily!$A$6:$A$256,0)),(INDEX(Market_Daily!$F$6:$F$256,MATCH($A210,Market_Daily!$A$6:$A$256,0))*(1+INDEX(Market_Daily!$I$6:$I$256,MATCH($A210,Market_Daily!$A$6:$A$256,0))*($M210-$A210)/day_count_inr)/(1+INDEX(Market_Daily!$J$6:$J$256,MATCH($A210,Market_Daily!$A$6:$A$256,0))*($M210-$A210)/day_count_usd)))))</f>
        <v/>
      </c>
      <c r="AM210" s="8">
        <f>IF(OR($J210="INR",$R210&gt;1),"",$AL210-$X210)</f>
        <v/>
      </c>
      <c r="AN210" s="8">
        <f>$U210</f>
        <v/>
      </c>
      <c r="AO210" s="8">
        <f>$AN210*IF($J210="INR",1,$AL210)</f>
        <v/>
      </c>
      <c r="AP210" s="18">
        <f>$AO210-$V210</f>
        <v/>
      </c>
      <c r="AQ210" s="8">
        <f>IF(ABS($AP210)&lt;=tol_trade_inr,"PASS","FAIL")</f>
        <v/>
      </c>
    </row>
    <row r="211">
      <c r="A211" s="11" t="n">
        <v>44651</v>
      </c>
      <c r="B211" s="7" t="inlineStr">
        <is>
          <t>T01</t>
        </is>
      </c>
      <c r="C211" s="7" t="inlineStr">
        <is>
          <t>PURCHASE:L1</t>
        </is>
      </c>
      <c r="D211" s="7" t="inlineStr">
        <is>
          <t>PURCHASE</t>
        </is>
      </c>
      <c r="E211" s="7" t="inlineStr">
        <is>
          <t>physical</t>
        </is>
      </c>
      <c r="F211" s="7" t="inlineStr">
        <is>
          <t>L1</t>
        </is>
      </c>
      <c r="G211" s="7" t="inlineStr">
        <is>
          <t>SUP_USEC_01</t>
        </is>
      </c>
      <c r="H211" s="7" t="inlineStr">
        <is>
          <t>zorba</t>
        </is>
      </c>
      <c r="I211" s="7" t="inlineStr">
        <is>
          <t>USEC_MUN</t>
        </is>
      </c>
      <c r="J211" s="7" t="inlineStr">
        <is>
          <t>USD</t>
        </is>
      </c>
      <c r="K211" s="7" t="inlineStr">
        <is>
          <t>fixed_unsettled</t>
        </is>
      </c>
      <c r="L211" s="7" t="inlineStr">
        <is>
          <t>PNL</t>
        </is>
      </c>
      <c r="M211" s="11" t="n">
        <v>44656</v>
      </c>
      <c r="N211" s="13" t="n">
        <v>840</v>
      </c>
      <c r="O211" s="6" t="n">
        <v>0</v>
      </c>
      <c r="P211" s="13" t="n">
        <v>0</v>
      </c>
      <c r="Q211" s="22" t="n">
        <v>30</v>
      </c>
      <c r="R211" s="6" t="n">
        <v>1</v>
      </c>
      <c r="U211" s="9" t="n">
        <v>-1965600</v>
      </c>
      <c r="V211" s="9" t="n">
        <v>-149038555.7</v>
      </c>
      <c r="X211" s="9" t="n">
        <v>75.82340000000001</v>
      </c>
      <c r="AK211" s="7" t="inlineStr">
        <is>
          <t>PYTHON_LIFECYCLE</t>
        </is>
      </c>
      <c r="AL211" s="8">
        <f>IF($J211="INR",1,IF($M211&lt;$A211,INDEX(Market_Daily!$F$6:$F$256,MATCH($M211,Market_Daily!$A$6:$A$256,1)),IF($M211=$A211,INDEX(Market_Daily!$F$6:$F$256,MATCH($A211,Market_Daily!$A$6:$A$256,0)),(INDEX(Market_Daily!$F$6:$F$256,MATCH($A211,Market_Daily!$A$6:$A$256,0))*(1+INDEX(Market_Daily!$I$6:$I$256,MATCH($A211,Market_Daily!$A$6:$A$256,0))*($M211-$A211)/day_count_inr)/(1+INDEX(Market_Daily!$J$6:$J$256,MATCH($A211,Market_Daily!$A$6:$A$256,0))*($M211-$A211)/day_count_usd)))))</f>
        <v/>
      </c>
      <c r="AM211" s="8">
        <f>IF(OR($J211="INR",$R211&gt;1),"",$AL211-$X211)</f>
        <v/>
      </c>
      <c r="AN211" s="8">
        <f>$U211</f>
        <v/>
      </c>
      <c r="AO211" s="8">
        <f>$AN211*IF($J211="INR",1,$AL211)</f>
        <v/>
      </c>
      <c r="AP211" s="18">
        <f>$AO211-$V211</f>
        <v/>
      </c>
      <c r="AQ211" s="8">
        <f>IF(ABS($AP211)&lt;=tol_trade_inr,"PASS","FAIL")</f>
        <v/>
      </c>
    </row>
    <row r="212">
      <c r="A212" s="11" t="n">
        <v>44651</v>
      </c>
      <c r="B212" s="7" t="inlineStr">
        <is>
          <t>T01</t>
        </is>
      </c>
      <c r="C212" s="7" t="inlineStr">
        <is>
          <t>PURCHASE:L2</t>
        </is>
      </c>
      <c r="D212" s="7" t="inlineStr">
        <is>
          <t>PURCHASE</t>
        </is>
      </c>
      <c r="E212" s="7" t="inlineStr">
        <is>
          <t>physical</t>
        </is>
      </c>
      <c r="F212" s="7" t="inlineStr">
        <is>
          <t>L2</t>
        </is>
      </c>
      <c r="G212" s="7" t="inlineStr">
        <is>
          <t>SUP_USEC_01</t>
        </is>
      </c>
      <c r="H212" s="7" t="inlineStr">
        <is>
          <t>zorba</t>
        </is>
      </c>
      <c r="I212" s="7" t="inlineStr">
        <is>
          <t>USEC_MUN</t>
        </is>
      </c>
      <c r="J212" s="7" t="inlineStr">
        <is>
          <t>USD</t>
        </is>
      </c>
      <c r="K212" s="7" t="inlineStr">
        <is>
          <t>fixed_unsettled</t>
        </is>
      </c>
      <c r="L212" s="7" t="inlineStr">
        <is>
          <t>PNL</t>
        </is>
      </c>
      <c r="M212" s="11" t="n">
        <v>44662</v>
      </c>
      <c r="N212" s="13" t="n">
        <v>840</v>
      </c>
      <c r="O212" s="6" t="n">
        <v>0</v>
      </c>
      <c r="P212" s="13" t="n">
        <v>0</v>
      </c>
      <c r="Q212" s="22" t="n">
        <v>30</v>
      </c>
      <c r="R212" s="6" t="n">
        <v>1</v>
      </c>
      <c r="U212" s="9" t="n">
        <v>-1965600</v>
      </c>
      <c r="V212" s="9" t="n">
        <v>-149118364.71</v>
      </c>
      <c r="X212" s="9" t="n">
        <v>75.864</v>
      </c>
      <c r="AK212" s="7" t="inlineStr">
        <is>
          <t>PYTHON_LIFECYCLE</t>
        </is>
      </c>
      <c r="AL212" s="8">
        <f>IF($J212="INR",1,IF($M212&lt;$A212,INDEX(Market_Daily!$F$6:$F$256,MATCH($M212,Market_Daily!$A$6:$A$256,1)),IF($M212=$A212,INDEX(Market_Daily!$F$6:$F$256,MATCH($A212,Market_Daily!$A$6:$A$256,0)),(INDEX(Market_Daily!$F$6:$F$256,MATCH($A212,Market_Daily!$A$6:$A$256,0))*(1+INDEX(Market_Daily!$I$6:$I$256,MATCH($A212,Market_Daily!$A$6:$A$256,0))*($M212-$A212)/day_count_inr)/(1+INDEX(Market_Daily!$J$6:$J$256,MATCH($A212,Market_Daily!$A$6:$A$256,0))*($M212-$A212)/day_count_usd)))))</f>
        <v/>
      </c>
      <c r="AM212" s="8">
        <f>IF(OR($J212="INR",$R212&gt;1),"",$AL212-$X212)</f>
        <v/>
      </c>
      <c r="AN212" s="8">
        <f>$U212</f>
        <v/>
      </c>
      <c r="AO212" s="8">
        <f>$AN212*IF($J212="INR",1,$AL212)</f>
        <v/>
      </c>
      <c r="AP212" s="18">
        <f>$AO212-$V212</f>
        <v/>
      </c>
      <c r="AQ212" s="8">
        <f>IF(ABS($AP212)&lt;=tol_trade_inr,"PASS","FAIL")</f>
        <v/>
      </c>
    </row>
    <row r="213">
      <c r="A213" s="11" t="n">
        <v>44651</v>
      </c>
      <c r="B213" s="7" t="inlineStr">
        <is>
          <t>T01</t>
        </is>
      </c>
      <c r="C213" s="7" t="inlineStr">
        <is>
          <t>PURCHASE:L3</t>
        </is>
      </c>
      <c r="D213" s="7" t="inlineStr">
        <is>
          <t>PURCHASE</t>
        </is>
      </c>
      <c r="E213" s="7" t="inlineStr">
        <is>
          <t>physical</t>
        </is>
      </c>
      <c r="F213" s="7" t="inlineStr">
        <is>
          <t>L3</t>
        </is>
      </c>
      <c r="G213" s="7" t="inlineStr">
        <is>
          <t>SUP_USEC_01</t>
        </is>
      </c>
      <c r="H213" s="7" t="inlineStr">
        <is>
          <t>zorba</t>
        </is>
      </c>
      <c r="I213" s="7" t="inlineStr">
        <is>
          <t>USEC_MUN</t>
        </is>
      </c>
      <c r="J213" s="7" t="inlineStr">
        <is>
          <t>USD</t>
        </is>
      </c>
      <c r="K213" s="7" t="inlineStr">
        <is>
          <t>fixed_unsettled</t>
        </is>
      </c>
      <c r="L213" s="7" t="inlineStr">
        <is>
          <t>PNL</t>
        </is>
      </c>
      <c r="M213" s="11" t="n">
        <v>44665</v>
      </c>
      <c r="N213" s="13" t="n">
        <v>840</v>
      </c>
      <c r="O213" s="6" t="n">
        <v>0</v>
      </c>
      <c r="P213" s="13" t="n">
        <v>0</v>
      </c>
      <c r="Q213" s="22" t="n">
        <v>30</v>
      </c>
      <c r="R213" s="6" t="n">
        <v>1</v>
      </c>
      <c r="U213" s="9" t="n">
        <v>-1965600</v>
      </c>
      <c r="V213" s="9" t="n">
        <v>-149158264.11</v>
      </c>
      <c r="X213" s="9" t="n">
        <v>75.8843</v>
      </c>
      <c r="AK213" s="7" t="inlineStr">
        <is>
          <t>PYTHON_LIFECYCLE</t>
        </is>
      </c>
      <c r="AL213" s="8">
        <f>IF($J213="INR",1,IF($M213&lt;$A213,INDEX(Market_Daily!$F$6:$F$256,MATCH($M213,Market_Daily!$A$6:$A$256,1)),IF($M213=$A213,INDEX(Market_Daily!$F$6:$F$256,MATCH($A213,Market_Daily!$A$6:$A$256,0)),(INDEX(Market_Daily!$F$6:$F$256,MATCH($A213,Market_Daily!$A$6:$A$256,0))*(1+INDEX(Market_Daily!$I$6:$I$256,MATCH($A213,Market_Daily!$A$6:$A$256,0))*($M213-$A213)/day_count_inr)/(1+INDEX(Market_Daily!$J$6:$J$256,MATCH($A213,Market_Daily!$A$6:$A$256,0))*($M213-$A213)/day_count_usd)))))</f>
        <v/>
      </c>
      <c r="AM213" s="8">
        <f>IF(OR($J213="INR",$R213&gt;1),"",$AL213-$X213)</f>
        <v/>
      </c>
      <c r="AN213" s="8">
        <f>$U213</f>
        <v/>
      </c>
      <c r="AO213" s="8">
        <f>$AN213*IF($J213="INR",1,$AL213)</f>
        <v/>
      </c>
      <c r="AP213" s="18">
        <f>$AO213-$V213</f>
        <v/>
      </c>
      <c r="AQ213" s="8">
        <f>IF(ABS($AP213)&lt;=tol_trade_inr,"PASS","FAIL")</f>
        <v/>
      </c>
    </row>
    <row r="214">
      <c r="A214" s="11" t="n">
        <v>44651</v>
      </c>
      <c r="B214" s="7" t="inlineStr">
        <is>
          <t>T02</t>
        </is>
      </c>
      <c r="C214" s="7" t="inlineStr">
        <is>
          <t>BILL_COMMISSION:L1</t>
        </is>
      </c>
      <c r="D214" s="7" t="inlineStr">
        <is>
          <t>BILL_COMMISSION</t>
        </is>
      </c>
      <c r="E214" s="7" t="inlineStr">
        <is>
          <t>physical</t>
        </is>
      </c>
      <c r="F214" s="7" t="inlineStr">
        <is>
          <t>L1</t>
        </is>
      </c>
      <c r="H214" s="7" t="inlineStr">
        <is>
          <t>tense</t>
        </is>
      </c>
      <c r="I214" s="7" t="inlineStr">
        <is>
          <t>JEA_NSA</t>
        </is>
      </c>
      <c r="J214" s="7" t="inlineStr">
        <is>
          <t>USD</t>
        </is>
      </c>
      <c r="K214" s="7" t="inlineStr">
        <is>
          <t>floating</t>
        </is>
      </c>
      <c r="L214" s="7" t="inlineStr">
        <is>
          <t>PNL</t>
        </is>
      </c>
      <c r="M214" s="11" t="n">
        <v>44746</v>
      </c>
      <c r="N214" s="13" t="n">
        <v>0</v>
      </c>
      <c r="O214" s="6" t="n">
        <v>0</v>
      </c>
      <c r="P214" s="13" t="n">
        <v>0</v>
      </c>
      <c r="Q214" s="22" t="n">
        <v>30</v>
      </c>
      <c r="R214" s="6" t="n">
        <v>1</v>
      </c>
      <c r="U214" s="9" t="n">
        <v>-1529.04</v>
      </c>
      <c r="V214" s="9" t="n">
        <v>-116867.28</v>
      </c>
      <c r="X214" s="9" t="n">
        <v>76.4318</v>
      </c>
      <c r="AK214" s="7" t="inlineStr">
        <is>
          <t>PYTHON_LIFECYCLE</t>
        </is>
      </c>
      <c r="AL214" s="8">
        <f>IF($J214="INR",1,IF($M214&lt;$A214,INDEX(Market_Daily!$F$6:$F$256,MATCH($M214,Market_Daily!$A$6:$A$256,1)),IF($M214=$A214,INDEX(Market_Daily!$F$6:$F$256,MATCH($A214,Market_Daily!$A$6:$A$256,0)),(INDEX(Market_Daily!$F$6:$F$256,MATCH($A214,Market_Daily!$A$6:$A$256,0))*(1+INDEX(Market_Daily!$I$6:$I$256,MATCH($A214,Market_Daily!$A$6:$A$256,0))*($M214-$A214)/day_count_inr)/(1+INDEX(Market_Daily!$J$6:$J$256,MATCH($A214,Market_Daily!$A$6:$A$256,0))*($M214-$A214)/day_count_usd)))))</f>
        <v/>
      </c>
      <c r="AM214" s="8">
        <f>IF(OR($J214="INR",$R214&gt;1),"",$AL214-$X214)</f>
        <v/>
      </c>
      <c r="AN214" s="8">
        <f>$U214</f>
        <v/>
      </c>
      <c r="AO214" s="8">
        <f>$AN214*IF($J214="INR",1,$AL214)</f>
        <v/>
      </c>
      <c r="AP214" s="18">
        <f>$AO214-$V214</f>
        <v/>
      </c>
      <c r="AQ214" s="8">
        <f>IF(ABS($AP214)&lt;=tol_trade_inr,"PASS","FAIL")</f>
        <v/>
      </c>
    </row>
    <row r="215">
      <c r="A215" s="11" t="n">
        <v>44651</v>
      </c>
      <c r="B215" s="7" t="inlineStr">
        <is>
          <t>T02</t>
        </is>
      </c>
      <c r="C215" s="7" t="inlineStr">
        <is>
          <t>BILL_COMMISSION:L2</t>
        </is>
      </c>
      <c r="D215" s="7" t="inlineStr">
        <is>
          <t>BILL_COMMISSION</t>
        </is>
      </c>
      <c r="E215" s="7" t="inlineStr">
        <is>
          <t>physical</t>
        </is>
      </c>
      <c r="F215" s="7" t="inlineStr">
        <is>
          <t>L2</t>
        </is>
      </c>
      <c r="H215" s="7" t="inlineStr">
        <is>
          <t>tense</t>
        </is>
      </c>
      <c r="I215" s="7" t="inlineStr">
        <is>
          <t>JEA_NSA</t>
        </is>
      </c>
      <c r="J215" s="7" t="inlineStr">
        <is>
          <t>USD</t>
        </is>
      </c>
      <c r="K215" s="7" t="inlineStr">
        <is>
          <t>floating</t>
        </is>
      </c>
      <c r="L215" s="7" t="inlineStr">
        <is>
          <t>PNL</t>
        </is>
      </c>
      <c r="M215" s="11" t="n">
        <v>44754</v>
      </c>
      <c r="N215" s="13" t="n">
        <v>0</v>
      </c>
      <c r="O215" s="6" t="n">
        <v>0</v>
      </c>
      <c r="P215" s="13" t="n">
        <v>0</v>
      </c>
      <c r="Q215" s="22" t="n">
        <v>30</v>
      </c>
      <c r="R215" s="6" t="n">
        <v>1</v>
      </c>
      <c r="U215" s="9" t="n">
        <v>-1529.62</v>
      </c>
      <c r="V215" s="9" t="n">
        <v>-116993.86</v>
      </c>
      <c r="X215" s="9" t="n">
        <v>76.4858</v>
      </c>
      <c r="AK215" s="7" t="inlineStr">
        <is>
          <t>PYTHON_LIFECYCLE</t>
        </is>
      </c>
      <c r="AL215" s="8">
        <f>IF($J215="INR",1,IF($M215&lt;$A215,INDEX(Market_Daily!$F$6:$F$256,MATCH($M215,Market_Daily!$A$6:$A$256,1)),IF($M215=$A215,INDEX(Market_Daily!$F$6:$F$256,MATCH($A215,Market_Daily!$A$6:$A$256,0)),(INDEX(Market_Daily!$F$6:$F$256,MATCH($A215,Market_Daily!$A$6:$A$256,0))*(1+INDEX(Market_Daily!$I$6:$I$256,MATCH($A215,Market_Daily!$A$6:$A$256,0))*($M215-$A215)/day_count_inr)/(1+INDEX(Market_Daily!$J$6:$J$256,MATCH($A215,Market_Daily!$A$6:$A$256,0))*($M215-$A215)/day_count_usd)))))</f>
        <v/>
      </c>
      <c r="AM215" s="8">
        <f>IF(OR($J215="INR",$R215&gt;1),"",$AL215-$X215)</f>
        <v/>
      </c>
      <c r="AN215" s="8">
        <f>$U215</f>
        <v/>
      </c>
      <c r="AO215" s="8">
        <f>$AN215*IF($J215="INR",1,$AL215)</f>
        <v/>
      </c>
      <c r="AP215" s="18">
        <f>$AO215-$V215</f>
        <v/>
      </c>
      <c r="AQ215" s="8">
        <f>IF(ABS($AP215)&lt;=tol_trade_inr,"PASS","FAIL")</f>
        <v/>
      </c>
    </row>
    <row r="216">
      <c r="A216" s="11" t="n">
        <v>44651</v>
      </c>
      <c r="B216" s="7" t="inlineStr">
        <is>
          <t>T02</t>
        </is>
      </c>
      <c r="C216" s="7" t="inlineStr">
        <is>
          <t>DUTY:L1</t>
        </is>
      </c>
      <c r="D216" s="7" t="inlineStr">
        <is>
          <t>DUTY</t>
        </is>
      </c>
      <c r="E216" s="7" t="inlineStr">
        <is>
          <t>physical</t>
        </is>
      </c>
      <c r="F216" s="7" t="inlineStr">
        <is>
          <t>L1</t>
        </is>
      </c>
      <c r="H216" s="7" t="inlineStr">
        <is>
          <t>tense</t>
        </is>
      </c>
      <c r="I216" s="7" t="inlineStr">
        <is>
          <t>JEA_NSA</t>
        </is>
      </c>
      <c r="J216" s="7" t="inlineStr">
        <is>
          <t>INR</t>
        </is>
      </c>
      <c r="K216" s="7" t="inlineStr">
        <is>
          <t>floating</t>
        </is>
      </c>
      <c r="L216" s="7" t="inlineStr">
        <is>
          <t>PNL</t>
        </is>
      </c>
      <c r="M216" s="11" t="n">
        <v>44721</v>
      </c>
      <c r="N216" s="13" t="n">
        <v>600</v>
      </c>
      <c r="O216" s="6" t="n">
        <v>0</v>
      </c>
      <c r="P216" s="13" t="n">
        <v>0</v>
      </c>
      <c r="Q216" s="22" t="n">
        <v>30</v>
      </c>
      <c r="R216" s="6" t="n">
        <v>2</v>
      </c>
      <c r="U216" s="9" t="n">
        <v>-2845117.59</v>
      </c>
      <c r="V216" s="9" t="n">
        <v>-2845117.59</v>
      </c>
      <c r="X216" s="9" t="n">
        <v>75.78959999999999</v>
      </c>
      <c r="AK216" s="7" t="inlineStr">
        <is>
          <t>PYTHON_MULTI_FLOW_LEG</t>
        </is>
      </c>
      <c r="AL216" s="8">
        <f>IF($J216="INR",1,IF($M216&lt;$A216,INDEX(Market_Daily!$F$6:$F$256,MATCH($M216,Market_Daily!$A$6:$A$256,1)),IF($M216=$A216,INDEX(Market_Daily!$F$6:$F$256,MATCH($A216,Market_Daily!$A$6:$A$256,0)),(INDEX(Market_Daily!$F$6:$F$256,MATCH($A216,Market_Daily!$A$6:$A$256,0))*(1+INDEX(Market_Daily!$I$6:$I$256,MATCH($A216,Market_Daily!$A$6:$A$256,0))*($M216-$A216)/day_count_inr)/(1+INDEX(Market_Daily!$J$6:$J$256,MATCH($A216,Market_Daily!$A$6:$A$256,0))*($M216-$A216)/day_count_usd)))))</f>
        <v/>
      </c>
      <c r="AM216" s="8">
        <f>IF(OR($J216="INR",$R216&gt;1),"",$AL216-$X216)</f>
        <v/>
      </c>
      <c r="AN216" s="8">
        <f>$U216</f>
        <v/>
      </c>
      <c r="AO216" s="8">
        <f>$V216</f>
        <v/>
      </c>
      <c r="AP216" s="18">
        <f>$AO216-$V216</f>
        <v/>
      </c>
      <c r="AQ216" s="8">
        <f>IF(ABS($AP216)&lt;=tol_trade_inr,"PASS","FAIL")</f>
        <v/>
      </c>
    </row>
    <row r="217">
      <c r="A217" s="11" t="n">
        <v>44651</v>
      </c>
      <c r="B217" s="7" t="inlineStr">
        <is>
          <t>T02</t>
        </is>
      </c>
      <c r="C217" s="7" t="inlineStr">
        <is>
          <t>DUTY:L2</t>
        </is>
      </c>
      <c r="D217" s="7" t="inlineStr">
        <is>
          <t>DUTY</t>
        </is>
      </c>
      <c r="E217" s="7" t="inlineStr">
        <is>
          <t>physical</t>
        </is>
      </c>
      <c r="F217" s="7" t="inlineStr">
        <is>
          <t>L2</t>
        </is>
      </c>
      <c r="H217" s="7" t="inlineStr">
        <is>
          <t>tense</t>
        </is>
      </c>
      <c r="I217" s="7" t="inlineStr">
        <is>
          <t>JEA_NSA</t>
        </is>
      </c>
      <c r="J217" s="7" t="inlineStr">
        <is>
          <t>INR</t>
        </is>
      </c>
      <c r="K217" s="7" t="inlineStr">
        <is>
          <t>floating</t>
        </is>
      </c>
      <c r="L217" s="7" t="inlineStr">
        <is>
          <t>PNL</t>
        </is>
      </c>
      <c r="M217" s="11" t="n">
        <v>44721</v>
      </c>
      <c r="N217" s="13" t="n">
        <v>600</v>
      </c>
      <c r="O217" s="6" t="n">
        <v>0</v>
      </c>
      <c r="P217" s="13" t="n">
        <v>0</v>
      </c>
      <c r="Q217" s="22" t="n">
        <v>30</v>
      </c>
      <c r="R217" s="6" t="n">
        <v>2</v>
      </c>
      <c r="U217" s="9" t="n">
        <v>-2845117.59</v>
      </c>
      <c r="V217" s="9" t="n">
        <v>-2845117.59</v>
      </c>
      <c r="X217" s="9" t="n">
        <v>75.78959999999999</v>
      </c>
      <c r="AK217" s="7" t="inlineStr">
        <is>
          <t>PYTHON_MULTI_FLOW_LEG</t>
        </is>
      </c>
      <c r="AL217" s="8">
        <f>IF($J217="INR",1,IF($M217&lt;$A217,INDEX(Market_Daily!$F$6:$F$256,MATCH($M217,Market_Daily!$A$6:$A$256,1)),IF($M217=$A217,INDEX(Market_Daily!$F$6:$F$256,MATCH($A217,Market_Daily!$A$6:$A$256,0)),(INDEX(Market_Daily!$F$6:$F$256,MATCH($A217,Market_Daily!$A$6:$A$256,0))*(1+INDEX(Market_Daily!$I$6:$I$256,MATCH($A217,Market_Daily!$A$6:$A$256,0))*($M217-$A217)/day_count_inr)/(1+INDEX(Market_Daily!$J$6:$J$256,MATCH($A217,Market_Daily!$A$6:$A$256,0))*($M217-$A217)/day_count_usd)))))</f>
        <v/>
      </c>
      <c r="AM217" s="8">
        <f>IF(OR($J217="INR",$R217&gt;1),"",$AL217-$X217)</f>
        <v/>
      </c>
      <c r="AN217" s="8">
        <f>$U217</f>
        <v/>
      </c>
      <c r="AO217" s="8">
        <f>$V217</f>
        <v/>
      </c>
      <c r="AP217" s="18">
        <f>$AO217-$V217</f>
        <v/>
      </c>
      <c r="AQ217" s="8">
        <f>IF(ABS($AP217)&lt;=tol_trade_inr,"PASS","FAIL")</f>
        <v/>
      </c>
    </row>
    <row r="218">
      <c r="A218" s="11" t="n">
        <v>44651</v>
      </c>
      <c r="B218" s="7" t="inlineStr">
        <is>
          <t>T02</t>
        </is>
      </c>
      <c r="C218" s="7" t="inlineStr">
        <is>
          <t>IGST:L1</t>
        </is>
      </c>
      <c r="D218" s="7" t="inlineStr">
        <is>
          <t>IGST</t>
        </is>
      </c>
      <c r="E218" s="7" t="inlineStr">
        <is>
          <t>physical</t>
        </is>
      </c>
      <c r="F218" s="7" t="inlineStr">
        <is>
          <t>L1</t>
        </is>
      </c>
      <c r="H218" s="7" t="inlineStr">
        <is>
          <t>tense</t>
        </is>
      </c>
      <c r="I218" s="7" t="inlineStr">
        <is>
          <t>JEA_NSA</t>
        </is>
      </c>
      <c r="J218" s="7" t="inlineStr">
        <is>
          <t>INR</t>
        </is>
      </c>
      <c r="K218" s="7" t="inlineStr">
        <is>
          <t>floating</t>
        </is>
      </c>
      <c r="L218" s="7" t="inlineStr">
        <is>
          <t>BS</t>
        </is>
      </c>
      <c r="M218" s="11" t="n">
        <v>44707</v>
      </c>
      <c r="N218" s="13" t="n">
        <v>0</v>
      </c>
      <c r="O218" s="6" t="n">
        <v>0</v>
      </c>
      <c r="P218" s="13" t="n">
        <v>0</v>
      </c>
      <c r="Q218" s="22" t="n">
        <v>30</v>
      </c>
      <c r="R218" s="6" t="n">
        <v>2</v>
      </c>
      <c r="U218" s="9" t="n">
        <v>0</v>
      </c>
      <c r="V218" s="9" t="n">
        <v>0</v>
      </c>
      <c r="X218" s="9" t="n">
        <v>75.78959999999999</v>
      </c>
      <c r="AK218" s="7" t="inlineStr">
        <is>
          <t>PYTHON_MULTI_FLOW_LEG</t>
        </is>
      </c>
      <c r="AL218" s="8">
        <f>IF($J218="INR",1,IF($M218&lt;$A218,INDEX(Market_Daily!$F$6:$F$256,MATCH($M218,Market_Daily!$A$6:$A$256,1)),IF($M218=$A218,INDEX(Market_Daily!$F$6:$F$256,MATCH($A218,Market_Daily!$A$6:$A$256,0)),(INDEX(Market_Daily!$F$6:$F$256,MATCH($A218,Market_Daily!$A$6:$A$256,0))*(1+INDEX(Market_Daily!$I$6:$I$256,MATCH($A218,Market_Daily!$A$6:$A$256,0))*($M218-$A218)/day_count_inr)/(1+INDEX(Market_Daily!$J$6:$J$256,MATCH($A218,Market_Daily!$A$6:$A$256,0))*($M218-$A218)/day_count_usd)))))</f>
        <v/>
      </c>
      <c r="AM218" s="8">
        <f>IF(OR($J218="INR",$R218&gt;1),"",$AL218-$X218)</f>
        <v/>
      </c>
      <c r="AN218" s="8">
        <f>$U218</f>
        <v/>
      </c>
      <c r="AO218" s="8">
        <f>$V218</f>
        <v/>
      </c>
      <c r="AP218" s="18">
        <f>$AO218-$V218</f>
        <v/>
      </c>
      <c r="AQ218" s="8">
        <f>IF(ABS($AP218)&lt;=tol_trade_inr,"PASS","FAIL")</f>
        <v/>
      </c>
    </row>
    <row r="219">
      <c r="A219" s="11" t="n">
        <v>44651</v>
      </c>
      <c r="B219" s="7" t="inlineStr">
        <is>
          <t>T02</t>
        </is>
      </c>
      <c r="C219" s="7" t="inlineStr">
        <is>
          <t>IGST:L2</t>
        </is>
      </c>
      <c r="D219" s="7" t="inlineStr">
        <is>
          <t>IGST</t>
        </is>
      </c>
      <c r="E219" s="7" t="inlineStr">
        <is>
          <t>physical</t>
        </is>
      </c>
      <c r="F219" s="7" t="inlineStr">
        <is>
          <t>L2</t>
        </is>
      </c>
      <c r="H219" s="7" t="inlineStr">
        <is>
          <t>tense</t>
        </is>
      </c>
      <c r="I219" s="7" t="inlineStr">
        <is>
          <t>JEA_NSA</t>
        </is>
      </c>
      <c r="J219" s="7" t="inlineStr">
        <is>
          <t>INR</t>
        </is>
      </c>
      <c r="K219" s="7" t="inlineStr">
        <is>
          <t>floating</t>
        </is>
      </c>
      <c r="L219" s="7" t="inlineStr">
        <is>
          <t>BS</t>
        </is>
      </c>
      <c r="M219" s="11" t="n">
        <v>44718</v>
      </c>
      <c r="N219" s="13" t="n">
        <v>0</v>
      </c>
      <c r="O219" s="6" t="n">
        <v>0</v>
      </c>
      <c r="P219" s="13" t="n">
        <v>0</v>
      </c>
      <c r="Q219" s="22" t="n">
        <v>30</v>
      </c>
      <c r="R219" s="6" t="n">
        <v>2</v>
      </c>
      <c r="U219" s="9" t="n">
        <v>0</v>
      </c>
      <c r="V219" s="9" t="n">
        <v>0</v>
      </c>
      <c r="X219" s="9" t="n">
        <v>75.78959999999999</v>
      </c>
      <c r="AK219" s="7" t="inlineStr">
        <is>
          <t>PYTHON_MULTI_FLOW_LEG</t>
        </is>
      </c>
      <c r="AL219" s="8">
        <f>IF($J219="INR",1,IF($M219&lt;$A219,INDEX(Market_Daily!$F$6:$F$256,MATCH($M219,Market_Daily!$A$6:$A$256,1)),IF($M219=$A219,INDEX(Market_Daily!$F$6:$F$256,MATCH($A219,Market_Daily!$A$6:$A$256,0)),(INDEX(Market_Daily!$F$6:$F$256,MATCH($A219,Market_Daily!$A$6:$A$256,0))*(1+INDEX(Market_Daily!$I$6:$I$256,MATCH($A219,Market_Daily!$A$6:$A$256,0))*($M219-$A219)/day_count_inr)/(1+INDEX(Market_Daily!$J$6:$J$256,MATCH($A219,Market_Daily!$A$6:$A$256,0))*($M219-$A219)/day_count_usd)))))</f>
        <v/>
      </c>
      <c r="AM219" s="8">
        <f>IF(OR($J219="INR",$R219&gt;1),"",$AL219-$X219)</f>
        <v/>
      </c>
      <c r="AN219" s="8">
        <f>$U219</f>
        <v/>
      </c>
      <c r="AO219" s="8">
        <f>$V219</f>
        <v/>
      </c>
      <c r="AP219" s="18">
        <f>$AO219-$V219</f>
        <v/>
      </c>
      <c r="AQ219" s="8">
        <f>IF(ABS($AP219)&lt;=tol_trade_inr,"PASS","FAIL")</f>
        <v/>
      </c>
    </row>
    <row r="220">
      <c r="A220" s="11" t="n">
        <v>44651</v>
      </c>
      <c r="B220" s="7" t="inlineStr">
        <is>
          <t>T02</t>
        </is>
      </c>
      <c r="C220" s="7" t="inlineStr">
        <is>
          <t>INSURANCE:L1</t>
        </is>
      </c>
      <c r="D220" s="7" t="inlineStr">
        <is>
          <t>INSURANCE</t>
        </is>
      </c>
      <c r="E220" s="7" t="inlineStr">
        <is>
          <t>physical</t>
        </is>
      </c>
      <c r="F220" s="7" t="inlineStr">
        <is>
          <t>L1</t>
        </is>
      </c>
      <c r="H220" s="7" t="inlineStr">
        <is>
          <t>tense</t>
        </is>
      </c>
      <c r="I220" s="7" t="inlineStr">
        <is>
          <t>JEA_NSA</t>
        </is>
      </c>
      <c r="J220" s="7" t="inlineStr">
        <is>
          <t>USD</t>
        </is>
      </c>
      <c r="K220" s="7" t="inlineStr">
        <is>
          <t>floating</t>
        </is>
      </c>
      <c r="L220" s="7" t="inlineStr">
        <is>
          <t>PNL</t>
        </is>
      </c>
      <c r="M220" s="11" t="n">
        <v>44656</v>
      </c>
      <c r="N220" s="13" t="n">
        <v>600</v>
      </c>
      <c r="O220" s="6" t="n">
        <v>0</v>
      </c>
      <c r="P220" s="13" t="n">
        <v>0</v>
      </c>
      <c r="Q220" s="22" t="n">
        <v>30</v>
      </c>
      <c r="R220" s="6" t="n">
        <v>1</v>
      </c>
      <c r="U220" s="9" t="n">
        <v>-1475.39</v>
      </c>
      <c r="V220" s="9" t="n">
        <v>-111869.17</v>
      </c>
      <c r="X220" s="9" t="n">
        <v>75.82340000000001</v>
      </c>
      <c r="AK220" s="7" t="inlineStr">
        <is>
          <t>PYTHON_LIFECYCLE</t>
        </is>
      </c>
      <c r="AL220" s="8">
        <f>IF($J220="INR",1,IF($M220&lt;$A220,INDEX(Market_Daily!$F$6:$F$256,MATCH($M220,Market_Daily!$A$6:$A$256,1)),IF($M220=$A220,INDEX(Market_Daily!$F$6:$F$256,MATCH($A220,Market_Daily!$A$6:$A$256,0)),(INDEX(Market_Daily!$F$6:$F$256,MATCH($A220,Market_Daily!$A$6:$A$256,0))*(1+INDEX(Market_Daily!$I$6:$I$256,MATCH($A220,Market_Daily!$A$6:$A$256,0))*($M220-$A220)/day_count_inr)/(1+INDEX(Market_Daily!$J$6:$J$256,MATCH($A220,Market_Daily!$A$6:$A$256,0))*($M220-$A220)/day_count_usd)))))</f>
        <v/>
      </c>
      <c r="AM220" s="8">
        <f>IF(OR($J220="INR",$R220&gt;1),"",$AL220-$X220)</f>
        <v/>
      </c>
      <c r="AN220" s="8">
        <f>$U220</f>
        <v/>
      </c>
      <c r="AO220" s="8">
        <f>$AN220*IF($J220="INR",1,$AL220)</f>
        <v/>
      </c>
      <c r="AP220" s="18">
        <f>$AO220-$V220</f>
        <v/>
      </c>
      <c r="AQ220" s="8">
        <f>IF(ABS($AP220)&lt;=tol_trade_inr,"PASS","FAIL")</f>
        <v/>
      </c>
    </row>
    <row r="221">
      <c r="A221" s="11" t="n">
        <v>44651</v>
      </c>
      <c r="B221" s="7" t="inlineStr">
        <is>
          <t>T02</t>
        </is>
      </c>
      <c r="C221" s="7" t="inlineStr">
        <is>
          <t>INSURANCE:L2</t>
        </is>
      </c>
      <c r="D221" s="7" t="inlineStr">
        <is>
          <t>INSURANCE</t>
        </is>
      </c>
      <c r="E221" s="7" t="inlineStr">
        <is>
          <t>physical</t>
        </is>
      </c>
      <c r="F221" s="7" t="inlineStr">
        <is>
          <t>L2</t>
        </is>
      </c>
      <c r="H221" s="7" t="inlineStr">
        <is>
          <t>tense</t>
        </is>
      </c>
      <c r="I221" s="7" t="inlineStr">
        <is>
          <t>JEA_NSA</t>
        </is>
      </c>
      <c r="J221" s="7" t="inlineStr">
        <is>
          <t>USD</t>
        </is>
      </c>
      <c r="K221" s="7" t="inlineStr">
        <is>
          <t>floating</t>
        </is>
      </c>
      <c r="L221" s="7" t="inlineStr">
        <is>
          <t>PNL</t>
        </is>
      </c>
      <c r="M221" s="11" t="n">
        <v>44664</v>
      </c>
      <c r="N221" s="13" t="n">
        <v>600</v>
      </c>
      <c r="O221" s="6" t="n">
        <v>0</v>
      </c>
      <c r="P221" s="13" t="n">
        <v>0</v>
      </c>
      <c r="Q221" s="22" t="n">
        <v>30</v>
      </c>
      <c r="R221" s="6" t="n">
        <v>1</v>
      </c>
      <c r="U221" s="9" t="n">
        <v>-1475.95</v>
      </c>
      <c r="V221" s="9" t="n">
        <v>-111991.17</v>
      </c>
      <c r="X221" s="9" t="n">
        <v>75.8776</v>
      </c>
      <c r="AK221" s="7" t="inlineStr">
        <is>
          <t>PYTHON_LIFECYCLE</t>
        </is>
      </c>
      <c r="AL221" s="8">
        <f>IF($J221="INR",1,IF($M221&lt;$A221,INDEX(Market_Daily!$F$6:$F$256,MATCH($M221,Market_Daily!$A$6:$A$256,1)),IF($M221=$A221,INDEX(Market_Daily!$F$6:$F$256,MATCH($A221,Market_Daily!$A$6:$A$256,0)),(INDEX(Market_Daily!$F$6:$F$256,MATCH($A221,Market_Daily!$A$6:$A$256,0))*(1+INDEX(Market_Daily!$I$6:$I$256,MATCH($A221,Market_Daily!$A$6:$A$256,0))*($M221-$A221)/day_count_inr)/(1+INDEX(Market_Daily!$J$6:$J$256,MATCH($A221,Market_Daily!$A$6:$A$256,0))*($M221-$A221)/day_count_usd)))))</f>
        <v/>
      </c>
      <c r="AM221" s="8">
        <f>IF(OR($J221="INR",$R221&gt;1),"",$AL221-$X221)</f>
        <v/>
      </c>
      <c r="AN221" s="8">
        <f>$U221</f>
        <v/>
      </c>
      <c r="AO221" s="8">
        <f>$AN221*IF($J221="INR",1,$AL221)</f>
        <v/>
      </c>
      <c r="AP221" s="18">
        <f>$AO221-$V221</f>
        <v/>
      </c>
      <c r="AQ221" s="8">
        <f>IF(ABS($AP221)&lt;=tol_trade_inr,"PASS","FAIL")</f>
        <v/>
      </c>
    </row>
    <row r="222">
      <c r="A222" s="11" t="n">
        <v>44651</v>
      </c>
      <c r="B222" s="7" t="inlineStr">
        <is>
          <t>T02</t>
        </is>
      </c>
      <c r="C222" s="7" t="inlineStr">
        <is>
          <t>LC_USANCE_FEE:L1</t>
        </is>
      </c>
      <c r="D222" s="7" t="inlineStr">
        <is>
          <t>LC_USANCE_FEE</t>
        </is>
      </c>
      <c r="E222" s="7" t="inlineStr">
        <is>
          <t>physical</t>
        </is>
      </c>
      <c r="F222" s="7" t="inlineStr">
        <is>
          <t>L1</t>
        </is>
      </c>
      <c r="H222" s="7" t="inlineStr">
        <is>
          <t>tense</t>
        </is>
      </c>
      <c r="I222" s="7" t="inlineStr">
        <is>
          <t>JEA_NSA</t>
        </is>
      </c>
      <c r="J222" s="7" t="inlineStr">
        <is>
          <t>USD</t>
        </is>
      </c>
      <c r="K222" s="7" t="inlineStr">
        <is>
          <t>floating</t>
        </is>
      </c>
      <c r="L222" s="7" t="inlineStr">
        <is>
          <t>PNL</t>
        </is>
      </c>
      <c r="M222" s="11" t="n">
        <v>44663</v>
      </c>
      <c r="N222" s="13" t="n">
        <v>0</v>
      </c>
      <c r="O222" s="6" t="n">
        <v>0</v>
      </c>
      <c r="P222" s="13" t="n">
        <v>0</v>
      </c>
      <c r="Q222" s="22" t="n">
        <v>30</v>
      </c>
      <c r="R222" s="6" t="n">
        <v>1</v>
      </c>
      <c r="U222" s="9" t="n">
        <v>-2675.82</v>
      </c>
      <c r="V222" s="9" t="n">
        <v>-203016.74</v>
      </c>
      <c r="X222" s="9" t="n">
        <v>75.8708</v>
      </c>
      <c r="AK222" s="7" t="inlineStr">
        <is>
          <t>PYTHON_LIFECYCLE</t>
        </is>
      </c>
      <c r="AL222" s="8">
        <f>IF($J222="INR",1,IF($M222&lt;$A222,INDEX(Market_Daily!$F$6:$F$256,MATCH($M222,Market_Daily!$A$6:$A$256,1)),IF($M222=$A222,INDEX(Market_Daily!$F$6:$F$256,MATCH($A222,Market_Daily!$A$6:$A$256,0)),(INDEX(Market_Daily!$F$6:$F$256,MATCH($A222,Market_Daily!$A$6:$A$256,0))*(1+INDEX(Market_Daily!$I$6:$I$256,MATCH($A222,Market_Daily!$A$6:$A$256,0))*($M222-$A222)/day_count_inr)/(1+INDEX(Market_Daily!$J$6:$J$256,MATCH($A222,Market_Daily!$A$6:$A$256,0))*($M222-$A222)/day_count_usd)))))</f>
        <v/>
      </c>
      <c r="AM222" s="8">
        <f>IF(OR($J222="INR",$R222&gt;1),"",$AL222-$X222)</f>
        <v/>
      </c>
      <c r="AN222" s="8">
        <f>$U222</f>
        <v/>
      </c>
      <c r="AO222" s="8">
        <f>$AN222*IF($J222="INR",1,$AL222)</f>
        <v/>
      </c>
      <c r="AP222" s="18">
        <f>$AO222-$V222</f>
        <v/>
      </c>
      <c r="AQ222" s="8">
        <f>IF(ABS($AP222)&lt;=tol_trade_inr,"PASS","FAIL")</f>
        <v/>
      </c>
    </row>
    <row r="223">
      <c r="A223" s="11" t="n">
        <v>44651</v>
      </c>
      <c r="B223" s="7" t="inlineStr">
        <is>
          <t>T02</t>
        </is>
      </c>
      <c r="C223" s="7" t="inlineStr">
        <is>
          <t>LC_USANCE_FEE:L2</t>
        </is>
      </c>
      <c r="D223" s="7" t="inlineStr">
        <is>
          <t>LC_USANCE_FEE</t>
        </is>
      </c>
      <c r="E223" s="7" t="inlineStr">
        <is>
          <t>physical</t>
        </is>
      </c>
      <c r="F223" s="7" t="inlineStr">
        <is>
          <t>L2</t>
        </is>
      </c>
      <c r="H223" s="7" t="inlineStr">
        <is>
          <t>tense</t>
        </is>
      </c>
      <c r="I223" s="7" t="inlineStr">
        <is>
          <t>JEA_NSA</t>
        </is>
      </c>
      <c r="J223" s="7" t="inlineStr">
        <is>
          <t>USD</t>
        </is>
      </c>
      <c r="K223" s="7" t="inlineStr">
        <is>
          <t>floating</t>
        </is>
      </c>
      <c r="L223" s="7" t="inlineStr">
        <is>
          <t>PNL</t>
        </is>
      </c>
      <c r="M223" s="11" t="n">
        <v>44671</v>
      </c>
      <c r="N223" s="13" t="n">
        <v>0</v>
      </c>
      <c r="O223" s="6" t="n">
        <v>0</v>
      </c>
      <c r="P223" s="13" t="n">
        <v>0</v>
      </c>
      <c r="Q223" s="22" t="n">
        <v>30</v>
      </c>
      <c r="R223" s="6" t="n">
        <v>1</v>
      </c>
      <c r="U223" s="9" t="n">
        <v>-2676.83</v>
      </c>
      <c r="V223" s="9" t="n">
        <v>-203238.03</v>
      </c>
      <c r="X223" s="9" t="n">
        <v>75.92489999999999</v>
      </c>
      <c r="AK223" s="7" t="inlineStr">
        <is>
          <t>PYTHON_LIFECYCLE</t>
        </is>
      </c>
      <c r="AL223" s="8">
        <f>IF($J223="INR",1,IF($M223&lt;$A223,INDEX(Market_Daily!$F$6:$F$256,MATCH($M223,Market_Daily!$A$6:$A$256,1)),IF($M223=$A223,INDEX(Market_Daily!$F$6:$F$256,MATCH($A223,Market_Daily!$A$6:$A$256,0)),(INDEX(Market_Daily!$F$6:$F$256,MATCH($A223,Market_Daily!$A$6:$A$256,0))*(1+INDEX(Market_Daily!$I$6:$I$256,MATCH($A223,Market_Daily!$A$6:$A$256,0))*($M223-$A223)/day_count_inr)/(1+INDEX(Market_Daily!$J$6:$J$256,MATCH($A223,Market_Daily!$A$6:$A$256,0))*($M223-$A223)/day_count_usd)))))</f>
        <v/>
      </c>
      <c r="AM223" s="8">
        <f>IF(OR($J223="INR",$R223&gt;1),"",$AL223-$X223)</f>
        <v/>
      </c>
      <c r="AN223" s="8">
        <f>$U223</f>
        <v/>
      </c>
      <c r="AO223" s="8">
        <f>$AN223*IF($J223="INR",1,$AL223)</f>
        <v/>
      </c>
      <c r="AP223" s="18">
        <f>$AO223-$V223</f>
        <v/>
      </c>
      <c r="AQ223" s="8">
        <f>IF(ABS($AP223)&lt;=tol_trade_inr,"PASS","FAIL")</f>
        <v/>
      </c>
    </row>
    <row r="224">
      <c r="A224" s="11" t="n">
        <v>44651</v>
      </c>
      <c r="B224" s="7" t="inlineStr">
        <is>
          <t>T02</t>
        </is>
      </c>
      <c r="C224" s="7" t="inlineStr">
        <is>
          <t>MCX:T02-MCX-2</t>
        </is>
      </c>
      <c r="D224" s="7" t="inlineStr">
        <is>
          <t>MCX</t>
        </is>
      </c>
      <c r="E224" s="7" t="inlineStr">
        <is>
          <t>mcx</t>
        </is>
      </c>
      <c r="H224" s="7" t="inlineStr">
        <is>
          <t>tense</t>
        </is>
      </c>
      <c r="I224" s="7" t="inlineStr">
        <is>
          <t>JEA_NSA</t>
        </is>
      </c>
      <c r="J224" s="7" t="inlineStr">
        <is>
          <t>INR</t>
        </is>
      </c>
      <c r="K224" s="7" t="inlineStr">
        <is>
          <t>partially_fixed</t>
        </is>
      </c>
      <c r="L224" s="7" t="inlineStr">
        <is>
          <t>PNL</t>
        </is>
      </c>
      <c r="M224" s="11" t="n">
        <v>44671</v>
      </c>
      <c r="N224" s="13" t="n">
        <v>0</v>
      </c>
      <c r="O224" s="6" t="n">
        <v>-74</v>
      </c>
      <c r="P224" s="13" t="n">
        <v>0</v>
      </c>
      <c r="Q224" s="22" t="n">
        <v>30</v>
      </c>
      <c r="R224" s="6" t="n">
        <v>20</v>
      </c>
      <c r="U224" s="9" t="n">
        <v>0</v>
      </c>
      <c r="V224" s="9" t="n">
        <v>0</v>
      </c>
      <c r="X224" s="9" t="n">
        <v>75.78959999999999</v>
      </c>
      <c r="AK224" s="7" t="inlineStr">
        <is>
          <t>PYTHON_MULTI_FLOW_LEG</t>
        </is>
      </c>
      <c r="AL224" s="8">
        <f>IF($J224="INR",1,IF($M224&lt;$A224,INDEX(Market_Daily!$F$6:$F$256,MATCH($M224,Market_Daily!$A$6:$A$256,1)),IF($M224=$A224,INDEX(Market_Daily!$F$6:$F$256,MATCH($A224,Market_Daily!$A$6:$A$256,0)),(INDEX(Market_Daily!$F$6:$F$256,MATCH($A224,Market_Daily!$A$6:$A$256,0))*(1+INDEX(Market_Daily!$I$6:$I$256,MATCH($A224,Market_Daily!$A$6:$A$256,0))*($M224-$A224)/day_count_inr)/(1+INDEX(Market_Daily!$J$6:$J$256,MATCH($A224,Market_Daily!$A$6:$A$256,0))*($M224-$A224)/day_count_usd)))))</f>
        <v/>
      </c>
      <c r="AM224" s="8">
        <f>IF(OR($J224="INR",$R224&gt;1),"",$AL224-$X224)</f>
        <v/>
      </c>
      <c r="AN224" s="8">
        <f>$U224</f>
        <v/>
      </c>
      <c r="AO224" s="8">
        <f>$V224</f>
        <v/>
      </c>
      <c r="AP224" s="18">
        <f>$AO224-$V224</f>
        <v/>
      </c>
      <c r="AQ224" s="8">
        <f>IF(ABS($AP224)&lt;=tol_trade_inr,"PASS","FAIL")</f>
        <v/>
      </c>
    </row>
    <row r="225">
      <c r="A225" s="11" t="n">
        <v>44651</v>
      </c>
      <c r="B225" s="7" t="inlineStr">
        <is>
          <t>T02</t>
        </is>
      </c>
      <c r="C225" s="7" t="inlineStr">
        <is>
          <t>PORT:L1</t>
        </is>
      </c>
      <c r="D225" s="7" t="inlineStr">
        <is>
          <t>PORT</t>
        </is>
      </c>
      <c r="E225" s="7" t="inlineStr">
        <is>
          <t>physical</t>
        </is>
      </c>
      <c r="F225" s="7" t="inlineStr">
        <is>
          <t>L1</t>
        </is>
      </c>
      <c r="H225" s="7" t="inlineStr">
        <is>
          <t>tense</t>
        </is>
      </c>
      <c r="I225" s="7" t="inlineStr">
        <is>
          <t>JEA_NSA</t>
        </is>
      </c>
      <c r="J225" s="7" t="inlineStr">
        <is>
          <t>INR</t>
        </is>
      </c>
      <c r="K225" s="7" t="inlineStr">
        <is>
          <t>fixed_unsettled</t>
        </is>
      </c>
      <c r="L225" s="7" t="inlineStr">
        <is>
          <t>PNL</t>
        </is>
      </c>
      <c r="M225" s="11" t="n">
        <v>44671</v>
      </c>
      <c r="N225" s="13" t="n">
        <v>0</v>
      </c>
      <c r="O225" s="6" t="n">
        <v>0</v>
      </c>
      <c r="P225" s="13" t="n">
        <v>0</v>
      </c>
      <c r="Q225" s="22" t="n">
        <v>30</v>
      </c>
      <c r="R225" s="6" t="n">
        <v>1</v>
      </c>
      <c r="U225" s="9" t="n">
        <v>-960000</v>
      </c>
      <c r="V225" s="9" t="n">
        <v>-960000</v>
      </c>
      <c r="X225" s="9" t="n">
        <v>75.78959999999999</v>
      </c>
      <c r="AK225" s="7" t="inlineStr">
        <is>
          <t>PYTHON_LIFECYCLE</t>
        </is>
      </c>
      <c r="AL225" s="8">
        <f>IF($J225="INR",1,IF($M225&lt;$A225,INDEX(Market_Daily!$F$6:$F$256,MATCH($M225,Market_Daily!$A$6:$A$256,1)),IF($M225=$A225,INDEX(Market_Daily!$F$6:$F$256,MATCH($A225,Market_Daily!$A$6:$A$256,0)),(INDEX(Market_Daily!$F$6:$F$256,MATCH($A225,Market_Daily!$A$6:$A$256,0))*(1+INDEX(Market_Daily!$I$6:$I$256,MATCH($A225,Market_Daily!$A$6:$A$256,0))*($M225-$A225)/day_count_inr)/(1+INDEX(Market_Daily!$J$6:$J$256,MATCH($A225,Market_Daily!$A$6:$A$256,0))*($M225-$A225)/day_count_usd)))))</f>
        <v/>
      </c>
      <c r="AM225" s="8">
        <f>IF(OR($J225="INR",$R225&gt;1),"",$AL225-$X225)</f>
        <v/>
      </c>
      <c r="AN225" s="8">
        <f>$U225</f>
        <v/>
      </c>
      <c r="AO225" s="8">
        <f>$AN225*IF($J225="INR",1,$AL225)</f>
        <v/>
      </c>
      <c r="AP225" s="18">
        <f>$AO225-$V225</f>
        <v/>
      </c>
      <c r="AQ225" s="8">
        <f>IF(ABS($AP225)&lt;=tol_trade_inr,"PASS","FAIL")</f>
        <v/>
      </c>
    </row>
    <row r="226">
      <c r="A226" s="11" t="n">
        <v>44651</v>
      </c>
      <c r="B226" s="7" t="inlineStr">
        <is>
          <t>T02</t>
        </is>
      </c>
      <c r="C226" s="7" t="inlineStr">
        <is>
          <t>PORT:L2</t>
        </is>
      </c>
      <c r="D226" s="7" t="inlineStr">
        <is>
          <t>PORT</t>
        </is>
      </c>
      <c r="E226" s="7" t="inlineStr">
        <is>
          <t>physical</t>
        </is>
      </c>
      <c r="F226" s="7" t="inlineStr">
        <is>
          <t>L2</t>
        </is>
      </c>
      <c r="H226" s="7" t="inlineStr">
        <is>
          <t>tense</t>
        </is>
      </c>
      <c r="I226" s="7" t="inlineStr">
        <is>
          <t>JEA_NSA</t>
        </is>
      </c>
      <c r="J226" s="7" t="inlineStr">
        <is>
          <t>INR</t>
        </is>
      </c>
      <c r="K226" s="7" t="inlineStr">
        <is>
          <t>fixed_unsettled</t>
        </is>
      </c>
      <c r="L226" s="7" t="inlineStr">
        <is>
          <t>PNL</t>
        </is>
      </c>
      <c r="M226" s="11" t="n">
        <v>44679</v>
      </c>
      <c r="N226" s="13" t="n">
        <v>0</v>
      </c>
      <c r="O226" s="6" t="n">
        <v>0</v>
      </c>
      <c r="P226" s="13" t="n">
        <v>0</v>
      </c>
      <c r="Q226" s="22" t="n">
        <v>30</v>
      </c>
      <c r="R226" s="6" t="n">
        <v>1</v>
      </c>
      <c r="U226" s="9" t="n">
        <v>-960000</v>
      </c>
      <c r="V226" s="9" t="n">
        <v>-960000</v>
      </c>
      <c r="X226" s="9" t="n">
        <v>75.78959999999999</v>
      </c>
      <c r="AK226" s="7" t="inlineStr">
        <is>
          <t>PYTHON_LIFECYCLE</t>
        </is>
      </c>
      <c r="AL226" s="8">
        <f>IF($J226="INR",1,IF($M226&lt;$A226,INDEX(Market_Daily!$F$6:$F$256,MATCH($M226,Market_Daily!$A$6:$A$256,1)),IF($M226=$A226,INDEX(Market_Daily!$F$6:$F$256,MATCH($A226,Market_Daily!$A$6:$A$256,0)),(INDEX(Market_Daily!$F$6:$F$256,MATCH($A226,Market_Daily!$A$6:$A$256,0))*(1+INDEX(Market_Daily!$I$6:$I$256,MATCH($A226,Market_Daily!$A$6:$A$256,0))*($M226-$A226)/day_count_inr)/(1+INDEX(Market_Daily!$J$6:$J$256,MATCH($A226,Market_Daily!$A$6:$A$256,0))*($M226-$A226)/day_count_usd)))))</f>
        <v/>
      </c>
      <c r="AM226" s="8">
        <f>IF(OR($J226="INR",$R226&gt;1),"",$AL226-$X226)</f>
        <v/>
      </c>
      <c r="AN226" s="8">
        <f>$U226</f>
        <v/>
      </c>
      <c r="AO226" s="8">
        <f>$AN226*IF($J226="INR",1,$AL226)</f>
        <v/>
      </c>
      <c r="AP226" s="18">
        <f>$AO226-$V226</f>
        <v/>
      </c>
      <c r="AQ226" s="8">
        <f>IF(ABS($AP226)&lt;=tol_trade_inr,"PASS","FAIL")</f>
        <v/>
      </c>
    </row>
    <row r="227">
      <c r="A227" s="11" t="n">
        <v>44651</v>
      </c>
      <c r="B227" s="7" t="inlineStr">
        <is>
          <t>T02</t>
        </is>
      </c>
      <c r="C227" s="7" t="inlineStr">
        <is>
          <t>PSIC:L1</t>
        </is>
      </c>
      <c r="D227" s="7" t="inlineStr">
        <is>
          <t>PSIC</t>
        </is>
      </c>
      <c r="E227" s="7" t="inlineStr">
        <is>
          <t>physical</t>
        </is>
      </c>
      <c r="F227" s="7" t="inlineStr">
        <is>
          <t>L1</t>
        </is>
      </c>
      <c r="H227" s="7" t="inlineStr">
        <is>
          <t>tense</t>
        </is>
      </c>
      <c r="I227" s="7" t="inlineStr">
        <is>
          <t>JEA_NSA</t>
        </is>
      </c>
      <c r="J227" s="7" t="inlineStr">
        <is>
          <t>USD</t>
        </is>
      </c>
      <c r="K227" s="7" t="inlineStr">
        <is>
          <t>floating</t>
        </is>
      </c>
      <c r="L227" s="7" t="inlineStr">
        <is>
          <t>PNL</t>
        </is>
      </c>
      <c r="M227" s="11" t="n">
        <v>44656</v>
      </c>
      <c r="N227" s="13" t="n">
        <v>0</v>
      </c>
      <c r="O227" s="6" t="n">
        <v>0</v>
      </c>
      <c r="P227" s="13" t="n">
        <v>0</v>
      </c>
      <c r="Q227" s="22" t="n">
        <v>30</v>
      </c>
      <c r="R227" s="6" t="n">
        <v>1</v>
      </c>
      <c r="U227" s="9" t="n">
        <v>-960</v>
      </c>
      <c r="V227" s="9" t="n">
        <v>-72790.5</v>
      </c>
      <c r="X227" s="9" t="n">
        <v>75.82340000000001</v>
      </c>
      <c r="AK227" s="7" t="inlineStr">
        <is>
          <t>PYTHON_LIFECYCLE</t>
        </is>
      </c>
      <c r="AL227" s="8">
        <f>IF($J227="INR",1,IF($M227&lt;$A227,INDEX(Market_Daily!$F$6:$F$256,MATCH($M227,Market_Daily!$A$6:$A$256,1)),IF($M227=$A227,INDEX(Market_Daily!$F$6:$F$256,MATCH($A227,Market_Daily!$A$6:$A$256,0)),(INDEX(Market_Daily!$F$6:$F$256,MATCH($A227,Market_Daily!$A$6:$A$256,0))*(1+INDEX(Market_Daily!$I$6:$I$256,MATCH($A227,Market_Daily!$A$6:$A$256,0))*($M227-$A227)/day_count_inr)/(1+INDEX(Market_Daily!$J$6:$J$256,MATCH($A227,Market_Daily!$A$6:$A$256,0))*($M227-$A227)/day_count_usd)))))</f>
        <v/>
      </c>
      <c r="AM227" s="8">
        <f>IF(OR($J227="INR",$R227&gt;1),"",$AL227-$X227)</f>
        <v/>
      </c>
      <c r="AN227" s="8">
        <f>$U227</f>
        <v/>
      </c>
      <c r="AO227" s="8">
        <f>$AN227*IF($J227="INR",1,$AL227)</f>
        <v/>
      </c>
      <c r="AP227" s="18">
        <f>$AO227-$V227</f>
        <v/>
      </c>
      <c r="AQ227" s="8">
        <f>IF(ABS($AP227)&lt;=tol_trade_inr,"PASS","FAIL")</f>
        <v/>
      </c>
    </row>
    <row r="228">
      <c r="A228" s="11" t="n">
        <v>44651</v>
      </c>
      <c r="B228" s="7" t="inlineStr">
        <is>
          <t>T02</t>
        </is>
      </c>
      <c r="C228" s="7" t="inlineStr">
        <is>
          <t>PSIC:L2</t>
        </is>
      </c>
      <c r="D228" s="7" t="inlineStr">
        <is>
          <t>PSIC</t>
        </is>
      </c>
      <c r="E228" s="7" t="inlineStr">
        <is>
          <t>physical</t>
        </is>
      </c>
      <c r="F228" s="7" t="inlineStr">
        <is>
          <t>L2</t>
        </is>
      </c>
      <c r="H228" s="7" t="inlineStr">
        <is>
          <t>tense</t>
        </is>
      </c>
      <c r="I228" s="7" t="inlineStr">
        <is>
          <t>JEA_NSA</t>
        </is>
      </c>
      <c r="J228" s="7" t="inlineStr">
        <is>
          <t>USD</t>
        </is>
      </c>
      <c r="K228" s="7" t="inlineStr">
        <is>
          <t>floating</t>
        </is>
      </c>
      <c r="L228" s="7" t="inlineStr">
        <is>
          <t>PNL</t>
        </is>
      </c>
      <c r="M228" s="11" t="n">
        <v>44664</v>
      </c>
      <c r="N228" s="13" t="n">
        <v>0</v>
      </c>
      <c r="O228" s="6" t="n">
        <v>0</v>
      </c>
      <c r="P228" s="13" t="n">
        <v>0</v>
      </c>
      <c r="Q228" s="22" t="n">
        <v>30</v>
      </c>
      <c r="R228" s="6" t="n">
        <v>1</v>
      </c>
      <c r="U228" s="9" t="n">
        <v>-960</v>
      </c>
      <c r="V228" s="9" t="n">
        <v>-72842.47</v>
      </c>
      <c r="X228" s="9" t="n">
        <v>75.8776</v>
      </c>
      <c r="AK228" s="7" t="inlineStr">
        <is>
          <t>PYTHON_LIFECYCLE</t>
        </is>
      </c>
      <c r="AL228" s="8">
        <f>IF($J228="INR",1,IF($M228&lt;$A228,INDEX(Market_Daily!$F$6:$F$256,MATCH($M228,Market_Daily!$A$6:$A$256,1)),IF($M228=$A228,INDEX(Market_Daily!$F$6:$F$256,MATCH($A228,Market_Daily!$A$6:$A$256,0)),(INDEX(Market_Daily!$F$6:$F$256,MATCH($A228,Market_Daily!$A$6:$A$256,0))*(1+INDEX(Market_Daily!$I$6:$I$256,MATCH($A228,Market_Daily!$A$6:$A$256,0))*($M228-$A228)/day_count_inr)/(1+INDEX(Market_Daily!$J$6:$J$256,MATCH($A228,Market_Daily!$A$6:$A$256,0))*($M228-$A228)/day_count_usd)))))</f>
        <v/>
      </c>
      <c r="AM228" s="8">
        <f>IF(OR($J228="INR",$R228&gt;1),"",$AL228-$X228)</f>
        <v/>
      </c>
      <c r="AN228" s="8">
        <f>$U228</f>
        <v/>
      </c>
      <c r="AO228" s="8">
        <f>$AN228*IF($J228="INR",1,$AL228)</f>
        <v/>
      </c>
      <c r="AP228" s="18">
        <f>$AO228-$V228</f>
        <v/>
      </c>
      <c r="AQ228" s="8">
        <f>IF(ABS($AP228)&lt;=tol_trade_inr,"PASS","FAIL")</f>
        <v/>
      </c>
    </row>
    <row r="229">
      <c r="A229" s="11" t="n">
        <v>44651</v>
      </c>
      <c r="B229" s="7" t="inlineStr">
        <is>
          <t>T02</t>
        </is>
      </c>
      <c r="C229" s="7" t="inlineStr">
        <is>
          <t>PURCHASE:L1</t>
        </is>
      </c>
      <c r="D229" s="7" t="inlineStr">
        <is>
          <t>PURCHASE</t>
        </is>
      </c>
      <c r="E229" s="7" t="inlineStr">
        <is>
          <t>physical</t>
        </is>
      </c>
      <c r="F229" s="7" t="inlineStr">
        <is>
          <t>L1</t>
        </is>
      </c>
      <c r="G229" s="7" t="inlineStr">
        <is>
          <t>SUP_JEA_01</t>
        </is>
      </c>
      <c r="H229" s="7" t="inlineStr">
        <is>
          <t>tense</t>
        </is>
      </c>
      <c r="I229" s="7" t="inlineStr">
        <is>
          <t>JEA_NSA</t>
        </is>
      </c>
      <c r="J229" s="7" t="inlineStr">
        <is>
          <t>USD</t>
        </is>
      </c>
      <c r="K229" s="7" t="inlineStr">
        <is>
          <t>floating</t>
        </is>
      </c>
      <c r="L229" s="7" t="inlineStr">
        <is>
          <t>PNL</t>
        </is>
      </c>
      <c r="M229" s="11" t="n">
        <v>44746</v>
      </c>
      <c r="N229" s="13" t="n">
        <v>1200</v>
      </c>
      <c r="O229" s="6" t="n">
        <v>0</v>
      </c>
      <c r="P229" s="13" t="n">
        <v>0</v>
      </c>
      <c r="Q229" s="22" t="n">
        <v>30</v>
      </c>
      <c r="R229" s="6" t="n">
        <v>2</v>
      </c>
      <c r="U229" s="9" t="n">
        <v>-1343890.01</v>
      </c>
      <c r="V229" s="9" t="n">
        <v>-102704108.84</v>
      </c>
      <c r="X229" s="9" t="n">
        <v>76.4318</v>
      </c>
      <c r="AK229" s="7" t="inlineStr">
        <is>
          <t>PYTHON_MULTI_FLOW_LEG</t>
        </is>
      </c>
      <c r="AL229" s="8">
        <f>IF($J229="INR",1,IF($M229&lt;$A229,INDEX(Market_Daily!$F$6:$F$256,MATCH($M229,Market_Daily!$A$6:$A$256,1)),IF($M229=$A229,INDEX(Market_Daily!$F$6:$F$256,MATCH($A229,Market_Daily!$A$6:$A$256,0)),(INDEX(Market_Daily!$F$6:$F$256,MATCH($A229,Market_Daily!$A$6:$A$256,0))*(1+INDEX(Market_Daily!$I$6:$I$256,MATCH($A229,Market_Daily!$A$6:$A$256,0))*($M229-$A229)/day_count_inr)/(1+INDEX(Market_Daily!$J$6:$J$256,MATCH($A229,Market_Daily!$A$6:$A$256,0))*($M229-$A229)/day_count_usd)))))</f>
        <v/>
      </c>
      <c r="AM229" s="8">
        <f>IF(OR($J229="INR",$R229&gt;1),"",$AL229-$X229)</f>
        <v/>
      </c>
      <c r="AN229" s="8">
        <f>$U229</f>
        <v/>
      </c>
      <c r="AO229" s="8">
        <f>$V229</f>
        <v/>
      </c>
      <c r="AP229" s="18">
        <f>$AO229-$V229</f>
        <v/>
      </c>
      <c r="AQ229" s="8">
        <f>IF(ABS($AP229)&lt;=tol_trade_inr,"PASS","FAIL")</f>
        <v/>
      </c>
    </row>
    <row r="230">
      <c r="A230" s="11" t="n">
        <v>44651</v>
      </c>
      <c r="B230" s="7" t="inlineStr">
        <is>
          <t>T02</t>
        </is>
      </c>
      <c r="C230" s="7" t="inlineStr">
        <is>
          <t>PURCHASE:L2</t>
        </is>
      </c>
      <c r="D230" s="7" t="inlineStr">
        <is>
          <t>PURCHASE</t>
        </is>
      </c>
      <c r="E230" s="7" t="inlineStr">
        <is>
          <t>physical</t>
        </is>
      </c>
      <c r="F230" s="7" t="inlineStr">
        <is>
          <t>L2</t>
        </is>
      </c>
      <c r="G230" s="7" t="inlineStr">
        <is>
          <t>SUP_JEA_01</t>
        </is>
      </c>
      <c r="H230" s="7" t="inlineStr">
        <is>
          <t>tense</t>
        </is>
      </c>
      <c r="I230" s="7" t="inlineStr">
        <is>
          <t>JEA_NSA</t>
        </is>
      </c>
      <c r="J230" s="7" t="inlineStr">
        <is>
          <t>USD</t>
        </is>
      </c>
      <c r="K230" s="7" t="inlineStr">
        <is>
          <t>floating</t>
        </is>
      </c>
      <c r="L230" s="7" t="inlineStr">
        <is>
          <t>PNL</t>
        </is>
      </c>
      <c r="M230" s="11" t="n">
        <v>44754</v>
      </c>
      <c r="N230" s="13" t="n">
        <v>1200</v>
      </c>
      <c r="O230" s="6" t="n">
        <v>0</v>
      </c>
      <c r="P230" s="13" t="n">
        <v>0</v>
      </c>
      <c r="Q230" s="22" t="n">
        <v>30</v>
      </c>
      <c r="R230" s="6" t="n">
        <v>2</v>
      </c>
      <c r="U230" s="9" t="n">
        <v>-1343890.01</v>
      </c>
      <c r="V230" s="9" t="n">
        <v>-102773018.81</v>
      </c>
      <c r="X230" s="9" t="n">
        <v>76.4858</v>
      </c>
      <c r="AK230" s="7" t="inlineStr">
        <is>
          <t>PYTHON_MULTI_FLOW_LEG</t>
        </is>
      </c>
      <c r="AL230" s="8">
        <f>IF($J230="INR",1,IF($M230&lt;$A230,INDEX(Market_Daily!$F$6:$F$256,MATCH($M230,Market_Daily!$A$6:$A$256,1)),IF($M230=$A230,INDEX(Market_Daily!$F$6:$F$256,MATCH($A230,Market_Daily!$A$6:$A$256,0)),(INDEX(Market_Daily!$F$6:$F$256,MATCH($A230,Market_Daily!$A$6:$A$256,0))*(1+INDEX(Market_Daily!$I$6:$I$256,MATCH($A230,Market_Daily!$A$6:$A$256,0))*($M230-$A230)/day_count_inr)/(1+INDEX(Market_Daily!$J$6:$J$256,MATCH($A230,Market_Daily!$A$6:$A$256,0))*($M230-$A230)/day_count_usd)))))</f>
        <v/>
      </c>
      <c r="AM230" s="8">
        <f>IF(OR($J230="INR",$R230&gt;1),"",$AL230-$X230)</f>
        <v/>
      </c>
      <c r="AN230" s="8">
        <f>$U230</f>
        <v/>
      </c>
      <c r="AO230" s="8">
        <f>$V230</f>
        <v/>
      </c>
      <c r="AP230" s="18">
        <f>$AO230-$V230</f>
        <v/>
      </c>
      <c r="AQ230" s="8">
        <f>IF(ABS($AP230)&lt;=tol_trade_inr,"PASS","FAIL")</f>
        <v/>
      </c>
    </row>
    <row r="231">
      <c r="A231" s="11" t="n">
        <v>44651</v>
      </c>
      <c r="B231" s="7" t="inlineStr">
        <is>
          <t>T02</t>
        </is>
      </c>
      <c r="C231" s="7" t="inlineStr">
        <is>
          <t>SALE:S1</t>
        </is>
      </c>
      <c r="D231" s="7" t="inlineStr">
        <is>
          <t>SALE</t>
        </is>
      </c>
      <c r="E231" s="7" t="inlineStr">
        <is>
          <t>physical</t>
        </is>
      </c>
      <c r="G231" s="7" t="inlineStr">
        <is>
          <t>BUY_JNPT_01</t>
        </is>
      </c>
      <c r="H231" s="7" t="inlineStr">
        <is>
          <t>tense</t>
        </is>
      </c>
      <c r="I231" s="7" t="inlineStr">
        <is>
          <t>JEA_NSA</t>
        </is>
      </c>
      <c r="J231" s="7" t="inlineStr">
        <is>
          <t>INR</t>
        </is>
      </c>
      <c r="K231" s="7" t="inlineStr">
        <is>
          <t>floating</t>
        </is>
      </c>
      <c r="L231" s="7" t="inlineStr">
        <is>
          <t>PNL</t>
        </is>
      </c>
      <c r="M231" s="11" t="n">
        <v>44711</v>
      </c>
      <c r="N231" s="13" t="n">
        <v>1200</v>
      </c>
      <c r="O231" s="6" t="n">
        <v>0</v>
      </c>
      <c r="P231" s="13" t="n">
        <v>0</v>
      </c>
      <c r="Q231" s="22" t="n">
        <v>30</v>
      </c>
      <c r="R231" s="6" t="n">
        <v>1</v>
      </c>
      <c r="U231" s="9" t="n">
        <v>254572154.68</v>
      </c>
      <c r="V231" s="9" t="n">
        <v>254572154.68</v>
      </c>
      <c r="W231" s="9" t="n">
        <v>212143.4622</v>
      </c>
      <c r="X231" s="9" t="n">
        <v>75.78959999999999</v>
      </c>
      <c r="AK231" s="7" t="inlineStr">
        <is>
          <t>PYTHON_LIFECYCLE</t>
        </is>
      </c>
      <c r="AL231" s="8">
        <f>IF($J231="INR",1,IF($M231&lt;$A231,INDEX(Market_Daily!$F$6:$F$256,MATCH($M231,Market_Daily!$A$6:$A$256,1)),IF($M231=$A231,INDEX(Market_Daily!$F$6:$F$256,MATCH($A231,Market_Daily!$A$6:$A$256,0)),(INDEX(Market_Daily!$F$6:$F$256,MATCH($A231,Market_Daily!$A$6:$A$256,0))*(1+INDEX(Market_Daily!$I$6:$I$256,MATCH($A231,Market_Daily!$A$6:$A$256,0))*($M231-$A231)/day_count_inr)/(1+INDEX(Market_Daily!$J$6:$J$256,MATCH($A231,Market_Daily!$A$6:$A$256,0))*($M231-$A231)/day_count_usd)))))</f>
        <v/>
      </c>
      <c r="AM231" s="8">
        <f>IF(OR($J231="INR",$R231&gt;1),"",$AL231-$X231)</f>
        <v/>
      </c>
      <c r="AN231" s="8">
        <f>$U231</f>
        <v/>
      </c>
      <c r="AO231" s="8">
        <f>$AN231*IF($J231="INR",1,$AL231)</f>
        <v/>
      </c>
      <c r="AP231" s="18">
        <f>$AO231-$V231</f>
        <v/>
      </c>
      <c r="AQ231" s="8">
        <f>IF(ABS($AP231)&lt;=tol_trade_inr,"PASS","FAIL")</f>
        <v/>
      </c>
    </row>
    <row r="232">
      <c r="A232" s="11" t="n">
        <v>44651</v>
      </c>
      <c r="B232" s="7" t="inlineStr">
        <is>
          <t>T02</t>
        </is>
      </c>
      <c r="C232" s="7" t="inlineStr">
        <is>
          <t>USANCE_INTEREST:L1</t>
        </is>
      </c>
      <c r="D232" s="7" t="inlineStr">
        <is>
          <t>USANCE_INTEREST</t>
        </is>
      </c>
      <c r="E232" s="7" t="inlineStr">
        <is>
          <t>physical</t>
        </is>
      </c>
      <c r="F232" s="7" t="inlineStr">
        <is>
          <t>L1</t>
        </is>
      </c>
      <c r="H232" s="7" t="inlineStr">
        <is>
          <t>tense</t>
        </is>
      </c>
      <c r="I232" s="7" t="inlineStr">
        <is>
          <t>JEA_NSA</t>
        </is>
      </c>
      <c r="J232" s="7" t="inlineStr">
        <is>
          <t>USD</t>
        </is>
      </c>
      <c r="K232" s="7" t="inlineStr">
        <is>
          <t>floating</t>
        </is>
      </c>
      <c r="L232" s="7" t="inlineStr">
        <is>
          <t>PNL</t>
        </is>
      </c>
      <c r="M232" s="11" t="n">
        <v>44746</v>
      </c>
      <c r="N232" s="13" t="n">
        <v>0</v>
      </c>
      <c r="O232" s="6" t="n">
        <v>0</v>
      </c>
      <c r="P232" s="13" t="n">
        <v>0</v>
      </c>
      <c r="Q232" s="22" t="n">
        <v>30</v>
      </c>
      <c r="R232" s="6" t="n">
        <v>1</v>
      </c>
      <c r="U232" s="9" t="n">
        <v>-6412.1</v>
      </c>
      <c r="V232" s="9" t="n">
        <v>-490087.79</v>
      </c>
      <c r="X232" s="9" t="n">
        <v>76.4318</v>
      </c>
      <c r="AK232" s="7" t="inlineStr">
        <is>
          <t>PYTHON_LIFECYCLE</t>
        </is>
      </c>
      <c r="AL232" s="8">
        <f>IF($J232="INR",1,IF($M232&lt;$A232,INDEX(Market_Daily!$F$6:$F$256,MATCH($M232,Market_Daily!$A$6:$A$256,1)),IF($M232=$A232,INDEX(Market_Daily!$F$6:$F$256,MATCH($A232,Market_Daily!$A$6:$A$256,0)),(INDEX(Market_Daily!$F$6:$F$256,MATCH($A232,Market_Daily!$A$6:$A$256,0))*(1+INDEX(Market_Daily!$I$6:$I$256,MATCH($A232,Market_Daily!$A$6:$A$256,0))*($M232-$A232)/day_count_inr)/(1+INDEX(Market_Daily!$J$6:$J$256,MATCH($A232,Market_Daily!$A$6:$A$256,0))*($M232-$A232)/day_count_usd)))))</f>
        <v/>
      </c>
      <c r="AM232" s="8">
        <f>IF(OR($J232="INR",$R232&gt;1),"",$AL232-$X232)</f>
        <v/>
      </c>
      <c r="AN232" s="8">
        <f>$U232</f>
        <v/>
      </c>
      <c r="AO232" s="8">
        <f>$AN232*IF($J232="INR",1,$AL232)</f>
        <v/>
      </c>
      <c r="AP232" s="18">
        <f>$AO232-$V232</f>
        <v/>
      </c>
      <c r="AQ232" s="8">
        <f>IF(ABS($AP232)&lt;=tol_trade_inr,"PASS","FAIL")</f>
        <v/>
      </c>
    </row>
    <row r="233">
      <c r="A233" s="11" t="n">
        <v>44651</v>
      </c>
      <c r="B233" s="7" t="inlineStr">
        <is>
          <t>T02</t>
        </is>
      </c>
      <c r="C233" s="7" t="inlineStr">
        <is>
          <t>USANCE_INTEREST:L2</t>
        </is>
      </c>
      <c r="D233" s="7" t="inlineStr">
        <is>
          <t>USANCE_INTEREST</t>
        </is>
      </c>
      <c r="E233" s="7" t="inlineStr">
        <is>
          <t>physical</t>
        </is>
      </c>
      <c r="F233" s="7" t="inlineStr">
        <is>
          <t>L2</t>
        </is>
      </c>
      <c r="H233" s="7" t="inlineStr">
        <is>
          <t>tense</t>
        </is>
      </c>
      <c r="I233" s="7" t="inlineStr">
        <is>
          <t>JEA_NSA</t>
        </is>
      </c>
      <c r="J233" s="7" t="inlineStr">
        <is>
          <t>USD</t>
        </is>
      </c>
      <c r="K233" s="7" t="inlineStr">
        <is>
          <t>floating</t>
        </is>
      </c>
      <c r="L233" s="7" t="inlineStr">
        <is>
          <t>PNL</t>
        </is>
      </c>
      <c r="M233" s="11" t="n">
        <v>44754</v>
      </c>
      <c r="N233" s="13" t="n">
        <v>0</v>
      </c>
      <c r="O233" s="6" t="n">
        <v>0</v>
      </c>
      <c r="P233" s="13" t="n">
        <v>0</v>
      </c>
      <c r="Q233" s="22" t="n">
        <v>30</v>
      </c>
      <c r="R233" s="6" t="n">
        <v>1</v>
      </c>
      <c r="U233" s="9" t="n">
        <v>-6414.51</v>
      </c>
      <c r="V233" s="9" t="n">
        <v>-490618.61</v>
      </c>
      <c r="X233" s="9" t="n">
        <v>76.4858</v>
      </c>
      <c r="AK233" s="7" t="inlineStr">
        <is>
          <t>PYTHON_LIFECYCLE</t>
        </is>
      </c>
      <c r="AL233" s="8">
        <f>IF($J233="INR",1,IF($M233&lt;$A233,INDEX(Market_Daily!$F$6:$F$256,MATCH($M233,Market_Daily!$A$6:$A$256,1)),IF($M233=$A233,INDEX(Market_Daily!$F$6:$F$256,MATCH($A233,Market_Daily!$A$6:$A$256,0)),(INDEX(Market_Daily!$F$6:$F$256,MATCH($A233,Market_Daily!$A$6:$A$256,0))*(1+INDEX(Market_Daily!$I$6:$I$256,MATCH($A233,Market_Daily!$A$6:$A$256,0))*($M233-$A233)/day_count_inr)/(1+INDEX(Market_Daily!$J$6:$J$256,MATCH($A233,Market_Daily!$A$6:$A$256,0))*($M233-$A233)/day_count_usd)))))</f>
        <v/>
      </c>
      <c r="AM233" s="8">
        <f>IF(OR($J233="INR",$R233&gt;1),"",$AL233-$X233)</f>
        <v/>
      </c>
      <c r="AN233" s="8">
        <f>$U233</f>
        <v/>
      </c>
      <c r="AO233" s="8">
        <f>$AN233*IF($J233="INR",1,$AL233)</f>
        <v/>
      </c>
      <c r="AP233" s="18">
        <f>$AO233-$V233</f>
        <v/>
      </c>
      <c r="AQ233" s="8">
        <f>IF(ABS($AP233)&lt;=tol_trade_inr,"PASS","FAIL")</f>
        <v/>
      </c>
    </row>
    <row r="234">
      <c r="A234" s="11" t="n">
        <v>44651</v>
      </c>
      <c r="B234" s="7" t="inlineStr">
        <is>
          <t>T03</t>
        </is>
      </c>
      <c r="C234" s="7" t="inlineStr">
        <is>
          <t>BILL_COMMISSION:L1</t>
        </is>
      </c>
      <c r="D234" s="7" t="inlineStr">
        <is>
          <t>BILL_COMMISSION</t>
        </is>
      </c>
      <c r="E234" s="7" t="inlineStr">
        <is>
          <t>physical</t>
        </is>
      </c>
      <c r="F234" s="7" t="inlineStr">
        <is>
          <t>L1</t>
        </is>
      </c>
      <c r="H234" s="7" t="inlineStr">
        <is>
          <t>taint_tabor</t>
        </is>
      </c>
      <c r="I234" s="7" t="inlineStr">
        <is>
          <t>JEA_NSA</t>
        </is>
      </c>
      <c r="J234" s="7" t="inlineStr">
        <is>
          <t>USD</t>
        </is>
      </c>
      <c r="K234" s="7" t="inlineStr">
        <is>
          <t>floating</t>
        </is>
      </c>
      <c r="L234" s="7" t="inlineStr">
        <is>
          <t>PNL</t>
        </is>
      </c>
      <c r="M234" s="11" t="n">
        <v>44671</v>
      </c>
      <c r="N234" s="13" t="n">
        <v>0</v>
      </c>
      <c r="O234" s="6" t="n">
        <v>0</v>
      </c>
      <c r="P234" s="13" t="n">
        <v>0</v>
      </c>
      <c r="Q234" s="22" t="n">
        <v>30</v>
      </c>
      <c r="R234" s="6" t="n">
        <v>1</v>
      </c>
      <c r="U234" s="9" t="n">
        <v>-1778.4</v>
      </c>
      <c r="V234" s="9" t="n">
        <v>-135024.9</v>
      </c>
      <c r="X234" s="9" t="n">
        <v>75.92489999999999</v>
      </c>
      <c r="AK234" s="7" t="inlineStr">
        <is>
          <t>PYTHON_LIFECYCLE</t>
        </is>
      </c>
      <c r="AL234" s="8">
        <f>IF($J234="INR",1,IF($M234&lt;$A234,INDEX(Market_Daily!$F$6:$F$256,MATCH($M234,Market_Daily!$A$6:$A$256,1)),IF($M234=$A234,INDEX(Market_Daily!$F$6:$F$256,MATCH($A234,Market_Daily!$A$6:$A$256,0)),(INDEX(Market_Daily!$F$6:$F$256,MATCH($A234,Market_Daily!$A$6:$A$256,0))*(1+INDEX(Market_Daily!$I$6:$I$256,MATCH($A234,Market_Daily!$A$6:$A$256,0))*($M234-$A234)/day_count_inr)/(1+INDEX(Market_Daily!$J$6:$J$256,MATCH($A234,Market_Daily!$A$6:$A$256,0))*($M234-$A234)/day_count_usd)))))</f>
        <v/>
      </c>
      <c r="AM234" s="8">
        <f>IF(OR($J234="INR",$R234&gt;1),"",$AL234-$X234)</f>
        <v/>
      </c>
      <c r="AN234" s="8">
        <f>$U234</f>
        <v/>
      </c>
      <c r="AO234" s="8">
        <f>$AN234*IF($J234="INR",1,$AL234)</f>
        <v/>
      </c>
      <c r="AP234" s="18">
        <f>$AO234-$V234</f>
        <v/>
      </c>
      <c r="AQ234" s="8">
        <f>IF(ABS($AP234)&lt;=tol_trade_inr,"PASS","FAIL")</f>
        <v/>
      </c>
    </row>
    <row r="235">
      <c r="A235" s="11" t="n">
        <v>44651</v>
      </c>
      <c r="B235" s="7" t="inlineStr">
        <is>
          <t>T03</t>
        </is>
      </c>
      <c r="C235" s="7" t="inlineStr">
        <is>
          <t>BILL_COMMISSION:L2</t>
        </is>
      </c>
      <c r="D235" s="7" t="inlineStr">
        <is>
          <t>BILL_COMMISSION</t>
        </is>
      </c>
      <c r="E235" s="7" t="inlineStr">
        <is>
          <t>physical</t>
        </is>
      </c>
      <c r="F235" s="7" t="inlineStr">
        <is>
          <t>L2</t>
        </is>
      </c>
      <c r="H235" s="7" t="inlineStr">
        <is>
          <t>taint_tabor</t>
        </is>
      </c>
      <c r="I235" s="7" t="inlineStr">
        <is>
          <t>JEA_NSA</t>
        </is>
      </c>
      <c r="J235" s="7" t="inlineStr">
        <is>
          <t>USD</t>
        </is>
      </c>
      <c r="K235" s="7" t="inlineStr">
        <is>
          <t>floating</t>
        </is>
      </c>
      <c r="L235" s="7" t="inlineStr">
        <is>
          <t>PNL</t>
        </is>
      </c>
      <c r="M235" s="11" t="n">
        <v>44680</v>
      </c>
      <c r="N235" s="13" t="n">
        <v>0</v>
      </c>
      <c r="O235" s="6" t="n">
        <v>0</v>
      </c>
      <c r="P235" s="13" t="n">
        <v>0</v>
      </c>
      <c r="Q235" s="22" t="n">
        <v>30</v>
      </c>
      <c r="R235" s="6" t="n">
        <v>1</v>
      </c>
      <c r="U235" s="9" t="n">
        <v>-1778.4</v>
      </c>
      <c r="V235" s="9" t="n">
        <v>-135133.17</v>
      </c>
      <c r="X235" s="9" t="n">
        <v>75.9858</v>
      </c>
      <c r="AK235" s="7" t="inlineStr">
        <is>
          <t>PYTHON_LIFECYCLE</t>
        </is>
      </c>
      <c r="AL235" s="8">
        <f>IF($J235="INR",1,IF($M235&lt;$A235,INDEX(Market_Daily!$F$6:$F$256,MATCH($M235,Market_Daily!$A$6:$A$256,1)),IF($M235=$A235,INDEX(Market_Daily!$F$6:$F$256,MATCH($A235,Market_Daily!$A$6:$A$256,0)),(INDEX(Market_Daily!$F$6:$F$256,MATCH($A235,Market_Daily!$A$6:$A$256,0))*(1+INDEX(Market_Daily!$I$6:$I$256,MATCH($A235,Market_Daily!$A$6:$A$256,0))*($M235-$A235)/day_count_inr)/(1+INDEX(Market_Daily!$J$6:$J$256,MATCH($A235,Market_Daily!$A$6:$A$256,0))*($M235-$A235)/day_count_usd)))))</f>
        <v/>
      </c>
      <c r="AM235" s="8">
        <f>IF(OR($J235="INR",$R235&gt;1),"",$AL235-$X235)</f>
        <v/>
      </c>
      <c r="AN235" s="8">
        <f>$U235</f>
        <v/>
      </c>
      <c r="AO235" s="8">
        <f>$AN235*IF($J235="INR",1,$AL235)</f>
        <v/>
      </c>
      <c r="AP235" s="18">
        <f>$AO235-$V235</f>
        <v/>
      </c>
      <c r="AQ235" s="8">
        <f>IF(ABS($AP235)&lt;=tol_trade_inr,"PASS","FAIL")</f>
        <v/>
      </c>
    </row>
    <row r="236">
      <c r="A236" s="11" t="n">
        <v>44651</v>
      </c>
      <c r="B236" s="7" t="inlineStr">
        <is>
          <t>T03</t>
        </is>
      </c>
      <c r="C236" s="7" t="inlineStr">
        <is>
          <t>DUTY:L1</t>
        </is>
      </c>
      <c r="D236" s="7" t="inlineStr">
        <is>
          <t>DUTY</t>
        </is>
      </c>
      <c r="E236" s="7" t="inlineStr">
        <is>
          <t>physical</t>
        </is>
      </c>
      <c r="F236" s="7" t="inlineStr">
        <is>
          <t>L1</t>
        </is>
      </c>
      <c r="H236" s="7" t="inlineStr">
        <is>
          <t>taint_tabor</t>
        </is>
      </c>
      <c r="I236" s="7" t="inlineStr">
        <is>
          <t>JEA_NSA</t>
        </is>
      </c>
      <c r="J236" s="7" t="inlineStr">
        <is>
          <t>INR</t>
        </is>
      </c>
      <c r="K236" s="7" t="inlineStr">
        <is>
          <t>floating</t>
        </is>
      </c>
      <c r="L236" s="7" t="inlineStr">
        <is>
          <t>PNL</t>
        </is>
      </c>
      <c r="M236" s="11" t="n">
        <v>44670</v>
      </c>
      <c r="N236" s="13" t="n">
        <v>600</v>
      </c>
      <c r="O236" s="6" t="n">
        <v>0</v>
      </c>
      <c r="P236" s="13" t="n">
        <v>0</v>
      </c>
      <c r="Q236" s="22" t="n">
        <v>30</v>
      </c>
      <c r="R236" s="6" t="n">
        <v>1</v>
      </c>
      <c r="U236" s="9" t="n">
        <v>-3137506.97</v>
      </c>
      <c r="V236" s="9" t="n">
        <v>-3137506.97</v>
      </c>
      <c r="X236" s="9" t="n">
        <v>75.78959999999999</v>
      </c>
      <c r="AK236" s="7" t="inlineStr">
        <is>
          <t>PYTHON_LIFECYCLE</t>
        </is>
      </c>
      <c r="AL236" s="8">
        <f>IF($J236="INR",1,IF($M236&lt;$A236,INDEX(Market_Daily!$F$6:$F$256,MATCH($M236,Market_Daily!$A$6:$A$256,1)),IF($M236=$A236,INDEX(Market_Daily!$F$6:$F$256,MATCH($A236,Market_Daily!$A$6:$A$256,0)),(INDEX(Market_Daily!$F$6:$F$256,MATCH($A236,Market_Daily!$A$6:$A$256,0))*(1+INDEX(Market_Daily!$I$6:$I$256,MATCH($A236,Market_Daily!$A$6:$A$256,0))*($M236-$A236)/day_count_inr)/(1+INDEX(Market_Daily!$J$6:$J$256,MATCH($A236,Market_Daily!$A$6:$A$256,0))*($M236-$A236)/day_count_usd)))))</f>
        <v/>
      </c>
      <c r="AM236" s="8">
        <f>IF(OR($J236="INR",$R236&gt;1),"",$AL236-$X236)</f>
        <v/>
      </c>
      <c r="AN236" s="8">
        <f>$U236</f>
        <v/>
      </c>
      <c r="AO236" s="8">
        <f>$AN236*IF($J236="INR",1,$AL236)</f>
        <v/>
      </c>
      <c r="AP236" s="18">
        <f>$AO236-$V236</f>
        <v/>
      </c>
      <c r="AQ236" s="8">
        <f>IF(ABS($AP236)&lt;=tol_trade_inr,"PASS","FAIL")</f>
        <v/>
      </c>
    </row>
    <row r="237">
      <c r="A237" s="11" t="n">
        <v>44651</v>
      </c>
      <c r="B237" s="7" t="inlineStr">
        <is>
          <t>T03</t>
        </is>
      </c>
      <c r="C237" s="7" t="inlineStr">
        <is>
          <t>DUTY:L2</t>
        </is>
      </c>
      <c r="D237" s="7" t="inlineStr">
        <is>
          <t>DUTY</t>
        </is>
      </c>
      <c r="E237" s="7" t="inlineStr">
        <is>
          <t>physical</t>
        </is>
      </c>
      <c r="F237" s="7" t="inlineStr">
        <is>
          <t>L2</t>
        </is>
      </c>
      <c r="H237" s="7" t="inlineStr">
        <is>
          <t>taint_tabor</t>
        </is>
      </c>
      <c r="I237" s="7" t="inlineStr">
        <is>
          <t>JEA_NSA</t>
        </is>
      </c>
      <c r="J237" s="7" t="inlineStr">
        <is>
          <t>INR</t>
        </is>
      </c>
      <c r="K237" s="7" t="inlineStr">
        <is>
          <t>floating</t>
        </is>
      </c>
      <c r="L237" s="7" t="inlineStr">
        <is>
          <t>PNL</t>
        </is>
      </c>
      <c r="M237" s="11" t="n">
        <v>44679</v>
      </c>
      <c r="N237" s="13" t="n">
        <v>600</v>
      </c>
      <c r="O237" s="6" t="n">
        <v>0</v>
      </c>
      <c r="P237" s="13" t="n">
        <v>0</v>
      </c>
      <c r="Q237" s="22" t="n">
        <v>30</v>
      </c>
      <c r="R237" s="6" t="n">
        <v>1</v>
      </c>
      <c r="U237" s="9" t="n">
        <v>-3137506.97</v>
      </c>
      <c r="V237" s="9" t="n">
        <v>-3137506.97</v>
      </c>
      <c r="X237" s="9" t="n">
        <v>75.78959999999999</v>
      </c>
      <c r="AK237" s="7" t="inlineStr">
        <is>
          <t>PYTHON_LIFECYCLE</t>
        </is>
      </c>
      <c r="AL237" s="8">
        <f>IF($J237="INR",1,IF($M237&lt;$A237,INDEX(Market_Daily!$F$6:$F$256,MATCH($M237,Market_Daily!$A$6:$A$256,1)),IF($M237=$A237,INDEX(Market_Daily!$F$6:$F$256,MATCH($A237,Market_Daily!$A$6:$A$256,0)),(INDEX(Market_Daily!$F$6:$F$256,MATCH($A237,Market_Daily!$A$6:$A$256,0))*(1+INDEX(Market_Daily!$I$6:$I$256,MATCH($A237,Market_Daily!$A$6:$A$256,0))*($M237-$A237)/day_count_inr)/(1+INDEX(Market_Daily!$J$6:$J$256,MATCH($A237,Market_Daily!$A$6:$A$256,0))*($M237-$A237)/day_count_usd)))))</f>
        <v/>
      </c>
      <c r="AM237" s="8">
        <f>IF(OR($J237="INR",$R237&gt;1),"",$AL237-$X237)</f>
        <v/>
      </c>
      <c r="AN237" s="8">
        <f>$U237</f>
        <v/>
      </c>
      <c r="AO237" s="8">
        <f>$AN237*IF($J237="INR",1,$AL237)</f>
        <v/>
      </c>
      <c r="AP237" s="18">
        <f>$AO237-$V237</f>
        <v/>
      </c>
      <c r="AQ237" s="8">
        <f>IF(ABS($AP237)&lt;=tol_trade_inr,"PASS","FAIL")</f>
        <v/>
      </c>
    </row>
    <row r="238">
      <c r="A238" s="11" t="n">
        <v>44651</v>
      </c>
      <c r="B238" s="7" t="inlineStr">
        <is>
          <t>T03</t>
        </is>
      </c>
      <c r="C238" s="7" t="inlineStr">
        <is>
          <t>IGST:L1</t>
        </is>
      </c>
      <c r="D238" s="7" t="inlineStr">
        <is>
          <t>IGST</t>
        </is>
      </c>
      <c r="E238" s="7" t="inlineStr">
        <is>
          <t>physical</t>
        </is>
      </c>
      <c r="F238" s="7" t="inlineStr">
        <is>
          <t>L1</t>
        </is>
      </c>
      <c r="H238" s="7" t="inlineStr">
        <is>
          <t>taint_tabor</t>
        </is>
      </c>
      <c r="I238" s="7" t="inlineStr">
        <is>
          <t>JEA_NSA</t>
        </is>
      </c>
      <c r="J238" s="7" t="inlineStr">
        <is>
          <t>INR</t>
        </is>
      </c>
      <c r="K238" s="7" t="inlineStr">
        <is>
          <t>floating</t>
        </is>
      </c>
      <c r="L238" s="7" t="inlineStr">
        <is>
          <t>BS</t>
        </is>
      </c>
      <c r="M238" s="11" t="n">
        <v>44718</v>
      </c>
      <c r="N238" s="13" t="n">
        <v>0</v>
      </c>
      <c r="O238" s="6" t="n">
        <v>0</v>
      </c>
      <c r="P238" s="13" t="n">
        <v>0</v>
      </c>
      <c r="Q238" s="22" t="n">
        <v>30</v>
      </c>
      <c r="R238" s="6" t="n">
        <v>2</v>
      </c>
      <c r="U238" s="9" t="n">
        <v>0</v>
      </c>
      <c r="V238" s="9" t="n">
        <v>0</v>
      </c>
      <c r="X238" s="9" t="n">
        <v>75.78959999999999</v>
      </c>
      <c r="AK238" s="7" t="inlineStr">
        <is>
          <t>PYTHON_MULTI_FLOW_LEG</t>
        </is>
      </c>
      <c r="AL238" s="8">
        <f>IF($J238="INR",1,IF($M238&lt;$A238,INDEX(Market_Daily!$F$6:$F$256,MATCH($M238,Market_Daily!$A$6:$A$256,1)),IF($M238=$A238,INDEX(Market_Daily!$F$6:$F$256,MATCH($A238,Market_Daily!$A$6:$A$256,0)),(INDEX(Market_Daily!$F$6:$F$256,MATCH($A238,Market_Daily!$A$6:$A$256,0))*(1+INDEX(Market_Daily!$I$6:$I$256,MATCH($A238,Market_Daily!$A$6:$A$256,0))*($M238-$A238)/day_count_inr)/(1+INDEX(Market_Daily!$J$6:$J$256,MATCH($A238,Market_Daily!$A$6:$A$256,0))*($M238-$A238)/day_count_usd)))))</f>
        <v/>
      </c>
      <c r="AM238" s="8">
        <f>IF(OR($J238="INR",$R238&gt;1),"",$AL238-$X238)</f>
        <v/>
      </c>
      <c r="AN238" s="8">
        <f>$U238</f>
        <v/>
      </c>
      <c r="AO238" s="8">
        <f>$V238</f>
        <v/>
      </c>
      <c r="AP238" s="18">
        <f>$AO238-$V238</f>
        <v/>
      </c>
      <c r="AQ238" s="8">
        <f>IF(ABS($AP238)&lt;=tol_trade_inr,"PASS","FAIL")</f>
        <v/>
      </c>
    </row>
    <row r="239">
      <c r="A239" s="11" t="n">
        <v>44651</v>
      </c>
      <c r="B239" s="7" t="inlineStr">
        <is>
          <t>T03</t>
        </is>
      </c>
      <c r="C239" s="7" t="inlineStr">
        <is>
          <t>IGST:L2</t>
        </is>
      </c>
      <c r="D239" s="7" t="inlineStr">
        <is>
          <t>IGST</t>
        </is>
      </c>
      <c r="E239" s="7" t="inlineStr">
        <is>
          <t>physical</t>
        </is>
      </c>
      <c r="F239" s="7" t="inlineStr">
        <is>
          <t>L2</t>
        </is>
      </c>
      <c r="H239" s="7" t="inlineStr">
        <is>
          <t>taint_tabor</t>
        </is>
      </c>
      <c r="I239" s="7" t="inlineStr">
        <is>
          <t>JEA_NSA</t>
        </is>
      </c>
      <c r="J239" s="7" t="inlineStr">
        <is>
          <t>INR</t>
        </is>
      </c>
      <c r="K239" s="7" t="inlineStr">
        <is>
          <t>floating</t>
        </is>
      </c>
      <c r="L239" s="7" t="inlineStr">
        <is>
          <t>BS</t>
        </is>
      </c>
      <c r="M239" s="11" t="n">
        <v>44725</v>
      </c>
      <c r="N239" s="13" t="n">
        <v>0</v>
      </c>
      <c r="O239" s="6" t="n">
        <v>0</v>
      </c>
      <c r="P239" s="13" t="n">
        <v>0</v>
      </c>
      <c r="Q239" s="22" t="n">
        <v>30</v>
      </c>
      <c r="R239" s="6" t="n">
        <v>2</v>
      </c>
      <c r="U239" s="9" t="n">
        <v>0</v>
      </c>
      <c r="V239" s="9" t="n">
        <v>0</v>
      </c>
      <c r="X239" s="9" t="n">
        <v>75.78959999999999</v>
      </c>
      <c r="AK239" s="7" t="inlineStr">
        <is>
          <t>PYTHON_MULTI_FLOW_LEG</t>
        </is>
      </c>
      <c r="AL239" s="8">
        <f>IF($J239="INR",1,IF($M239&lt;$A239,INDEX(Market_Daily!$F$6:$F$256,MATCH($M239,Market_Daily!$A$6:$A$256,1)),IF($M239=$A239,INDEX(Market_Daily!$F$6:$F$256,MATCH($A239,Market_Daily!$A$6:$A$256,0)),(INDEX(Market_Daily!$F$6:$F$256,MATCH($A239,Market_Daily!$A$6:$A$256,0))*(1+INDEX(Market_Daily!$I$6:$I$256,MATCH($A239,Market_Daily!$A$6:$A$256,0))*($M239-$A239)/day_count_inr)/(1+INDEX(Market_Daily!$J$6:$J$256,MATCH($A239,Market_Daily!$A$6:$A$256,0))*($M239-$A239)/day_count_usd)))))</f>
        <v/>
      </c>
      <c r="AM239" s="8">
        <f>IF(OR($J239="INR",$R239&gt;1),"",$AL239-$X239)</f>
        <v/>
      </c>
      <c r="AN239" s="8">
        <f>$U239</f>
        <v/>
      </c>
      <c r="AO239" s="8">
        <f>$V239</f>
        <v/>
      </c>
      <c r="AP239" s="18">
        <f>$AO239-$V239</f>
        <v/>
      </c>
      <c r="AQ239" s="8">
        <f>IF(ABS($AP239)&lt;=tol_trade_inr,"PASS","FAIL")</f>
        <v/>
      </c>
    </row>
    <row r="240">
      <c r="A240" s="11" t="n">
        <v>44651</v>
      </c>
      <c r="B240" s="7" t="inlineStr">
        <is>
          <t>T03</t>
        </is>
      </c>
      <c r="C240" s="7" t="inlineStr">
        <is>
          <t>INSURANCE:L1</t>
        </is>
      </c>
      <c r="D240" s="7" t="inlineStr">
        <is>
          <t>INSURANCE</t>
        </is>
      </c>
      <c r="E240" s="7" t="inlineStr">
        <is>
          <t>physical</t>
        </is>
      </c>
      <c r="F240" s="7" t="inlineStr">
        <is>
          <t>L1</t>
        </is>
      </c>
      <c r="H240" s="7" t="inlineStr">
        <is>
          <t>taint_tabor</t>
        </is>
      </c>
      <c r="I240" s="7" t="inlineStr">
        <is>
          <t>JEA_NSA</t>
        </is>
      </c>
      <c r="J240" s="7" t="inlineStr">
        <is>
          <t>USD</t>
        </is>
      </c>
      <c r="K240" s="7" t="inlineStr">
        <is>
          <t>floating</t>
        </is>
      </c>
      <c r="L240" s="7" t="inlineStr">
        <is>
          <t>PNL</t>
        </is>
      </c>
      <c r="M240" s="11" t="n">
        <v>44664</v>
      </c>
      <c r="N240" s="13" t="n">
        <v>600</v>
      </c>
      <c r="O240" s="6" t="n">
        <v>0</v>
      </c>
      <c r="P240" s="13" t="n">
        <v>0</v>
      </c>
      <c r="Q240" s="22" t="n">
        <v>30</v>
      </c>
      <c r="R240" s="6" t="n">
        <v>1</v>
      </c>
      <c r="U240" s="9" t="n">
        <v>-1630.2</v>
      </c>
      <c r="V240" s="9" t="n">
        <v>-123695.63</v>
      </c>
      <c r="X240" s="9" t="n">
        <v>75.8776</v>
      </c>
      <c r="AK240" s="7" t="inlineStr">
        <is>
          <t>PYTHON_LIFECYCLE</t>
        </is>
      </c>
      <c r="AL240" s="8">
        <f>IF($J240="INR",1,IF($M240&lt;$A240,INDEX(Market_Daily!$F$6:$F$256,MATCH($M240,Market_Daily!$A$6:$A$256,1)),IF($M240=$A240,INDEX(Market_Daily!$F$6:$F$256,MATCH($A240,Market_Daily!$A$6:$A$256,0)),(INDEX(Market_Daily!$F$6:$F$256,MATCH($A240,Market_Daily!$A$6:$A$256,0))*(1+INDEX(Market_Daily!$I$6:$I$256,MATCH($A240,Market_Daily!$A$6:$A$256,0))*($M240-$A240)/day_count_inr)/(1+INDEX(Market_Daily!$J$6:$J$256,MATCH($A240,Market_Daily!$A$6:$A$256,0))*($M240-$A240)/day_count_usd)))))</f>
        <v/>
      </c>
      <c r="AM240" s="8">
        <f>IF(OR($J240="INR",$R240&gt;1),"",$AL240-$X240)</f>
        <v/>
      </c>
      <c r="AN240" s="8">
        <f>$U240</f>
        <v/>
      </c>
      <c r="AO240" s="8">
        <f>$AN240*IF($J240="INR",1,$AL240)</f>
        <v/>
      </c>
      <c r="AP240" s="18">
        <f>$AO240-$V240</f>
        <v/>
      </c>
      <c r="AQ240" s="8">
        <f>IF(ABS($AP240)&lt;=tol_trade_inr,"PASS","FAIL")</f>
        <v/>
      </c>
    </row>
    <row r="241">
      <c r="A241" s="11" t="n">
        <v>44651</v>
      </c>
      <c r="B241" s="7" t="inlineStr">
        <is>
          <t>T03</t>
        </is>
      </c>
      <c r="C241" s="7" t="inlineStr">
        <is>
          <t>INSURANCE:L2</t>
        </is>
      </c>
      <c r="D241" s="7" t="inlineStr">
        <is>
          <t>INSURANCE</t>
        </is>
      </c>
      <c r="E241" s="7" t="inlineStr">
        <is>
          <t>physical</t>
        </is>
      </c>
      <c r="F241" s="7" t="inlineStr">
        <is>
          <t>L2</t>
        </is>
      </c>
      <c r="H241" s="7" t="inlineStr">
        <is>
          <t>taint_tabor</t>
        </is>
      </c>
      <c r="I241" s="7" t="inlineStr">
        <is>
          <t>JEA_NSA</t>
        </is>
      </c>
      <c r="J241" s="7" t="inlineStr">
        <is>
          <t>USD</t>
        </is>
      </c>
      <c r="K241" s="7" t="inlineStr">
        <is>
          <t>floating</t>
        </is>
      </c>
      <c r="L241" s="7" t="inlineStr">
        <is>
          <t>PNL</t>
        </is>
      </c>
      <c r="M241" s="11" t="n">
        <v>44673</v>
      </c>
      <c r="N241" s="13" t="n">
        <v>600</v>
      </c>
      <c r="O241" s="6" t="n">
        <v>0</v>
      </c>
      <c r="P241" s="13" t="n">
        <v>0</v>
      </c>
      <c r="Q241" s="22" t="n">
        <v>30</v>
      </c>
      <c r="R241" s="6" t="n">
        <v>1</v>
      </c>
      <c r="U241" s="9" t="n">
        <v>-1630.2</v>
      </c>
      <c r="V241" s="9" t="n">
        <v>-123794.88</v>
      </c>
      <c r="X241" s="9" t="n">
        <v>75.9385</v>
      </c>
      <c r="AK241" s="7" t="inlineStr">
        <is>
          <t>PYTHON_LIFECYCLE</t>
        </is>
      </c>
      <c r="AL241" s="8">
        <f>IF($J241="INR",1,IF($M241&lt;$A241,INDEX(Market_Daily!$F$6:$F$256,MATCH($M241,Market_Daily!$A$6:$A$256,1)),IF($M241=$A241,INDEX(Market_Daily!$F$6:$F$256,MATCH($A241,Market_Daily!$A$6:$A$256,0)),(INDEX(Market_Daily!$F$6:$F$256,MATCH($A241,Market_Daily!$A$6:$A$256,0))*(1+INDEX(Market_Daily!$I$6:$I$256,MATCH($A241,Market_Daily!$A$6:$A$256,0))*($M241-$A241)/day_count_inr)/(1+INDEX(Market_Daily!$J$6:$J$256,MATCH($A241,Market_Daily!$A$6:$A$256,0))*($M241-$A241)/day_count_usd)))))</f>
        <v/>
      </c>
      <c r="AM241" s="8">
        <f>IF(OR($J241="INR",$R241&gt;1),"",$AL241-$X241)</f>
        <v/>
      </c>
      <c r="AN241" s="8">
        <f>$U241</f>
        <v/>
      </c>
      <c r="AO241" s="8">
        <f>$AN241*IF($J241="INR",1,$AL241)</f>
        <v/>
      </c>
      <c r="AP241" s="18">
        <f>$AO241-$V241</f>
        <v/>
      </c>
      <c r="AQ241" s="8">
        <f>IF(ABS($AP241)&lt;=tol_trade_inr,"PASS","FAIL")</f>
        <v/>
      </c>
    </row>
    <row r="242">
      <c r="A242" s="11" t="n">
        <v>44651</v>
      </c>
      <c r="B242" s="7" t="inlineStr">
        <is>
          <t>T03</t>
        </is>
      </c>
      <c r="C242" s="7" t="inlineStr">
        <is>
          <t>INVENTORY:L1</t>
        </is>
      </c>
      <c r="D242" s="7" t="inlineStr">
        <is>
          <t>INVENTORY</t>
        </is>
      </c>
      <c r="E242" s="7" t="inlineStr">
        <is>
          <t>physical</t>
        </is>
      </c>
      <c r="F242" s="7" t="inlineStr">
        <is>
          <t>L1</t>
        </is>
      </c>
      <c r="H242" s="7" t="inlineStr">
        <is>
          <t>taint_tabor</t>
        </is>
      </c>
      <c r="I242" s="7" t="inlineStr">
        <is>
          <t>JEA_NSA</t>
        </is>
      </c>
      <c r="J242" s="7" t="inlineStr">
        <is>
          <t>INR</t>
        </is>
      </c>
      <c r="K242" s="7" t="inlineStr">
        <is>
          <t>fixed_unsettled</t>
        </is>
      </c>
      <c r="L242" s="7" t="inlineStr">
        <is>
          <t>PNL</t>
        </is>
      </c>
      <c r="N242" s="13" t="n">
        <v>600</v>
      </c>
      <c r="O242" s="6" t="n">
        <v>0</v>
      </c>
      <c r="P242" s="13" t="n">
        <v>0</v>
      </c>
      <c r="Q242" s="22" t="n">
        <v>30</v>
      </c>
      <c r="R242" s="6" t="n">
        <v>0</v>
      </c>
      <c r="U242" s="9" t="n">
        <v>119136858.26</v>
      </c>
      <c r="V242" s="9" t="n">
        <v>119136858.26</v>
      </c>
      <c r="W242" s="9" t="n">
        <v>198561.4304</v>
      </c>
      <c r="X242" s="9" t="n">
        <v>75.78959999999999</v>
      </c>
      <c r="Y242" s="8">
        <f>IF($I242="JEA_NSA","20ft","40ft")</f>
        <v/>
      </c>
      <c r="Z242" s="8">
        <f>IF($I242="JEA_NSA","nsa","mun")</f>
        <v/>
      </c>
      <c r="AA242" s="8">
        <f>INDEX(param_values,MATCH("container_payload_mt_"&amp;$Y242,param_keys,0))/INDEX(param_values,MATCH("container_payload_mt_"&amp;$Y242&amp;"_"&amp;$H242,param_keys,0))</f>
        <v/>
      </c>
      <c r="AB242" s="16">
        <f>INDEX(Market_Daily!$C$6:$C$256,MATCH($A242,Market_Daily!$A$6:$A$256,0))*INDEX(Market_Daily!$X$6:$Z$256,MATCH($A242,Market_Daily!$A$6:$A$256,0),MATCH("grade_factor_"&amp;$H242,Market_Daily!$X$5:$Z$5,0))</f>
        <v/>
      </c>
      <c r="AC242" s="16">
        <f>$AB242*(1+insurance_rate*insured_value_uplift)</f>
        <v/>
      </c>
      <c r="AD242" s="8">
        <f>(INDEX(Market_Daily!$F$6:$F$256,MATCH($A242,Market_Daily!$A$6:$A$256,0))*(1+INDEX(Market_Daily!$I$6:$I$256,MATCH($A242,Market_Daily!$A$6:$A$256,0))*$Q242/day_count_inr)/(1+INDEX(Market_Daily!$J$6:$J$256,MATCH($A242,Market_Daily!$A$6:$A$256,0))*$Q242/day_count_usd))</f>
        <v/>
      </c>
      <c r="AE242" s="18">
        <f>$AC242*$AD242</f>
        <v/>
      </c>
      <c r="AF242" s="18">
        <f>$AC242*INDEX(Market_Daily!$V$6:$V$256,MATCH($A242,Market_Daily!$A$6:$A$256,0))</f>
        <v/>
      </c>
      <c r="AG242" s="18">
        <f>$AF242*bcd_scrap_hs7602*(1+sws_rate_on_bcd)</f>
        <v/>
      </c>
      <c r="AH242" s="18">
        <f>INDEX(param_values,MATCH("port_cf_charges_inr_t_"&amp;$Z242,param_keys,0))*$AA242+IF(INDEX(param_values,MATCH(IF($I242="JEA_NSA","psic_required_uae_origin","psic_required_safe_origin_designated_port"),param_keys,0)),psic_cost_usd_per_box*INDEX(Market_Daily!$F$6:$F$256,MATCH($A242,Market_Daily!$A$6:$A$256,0))/INDEX(param_values,MATCH("container_payload_mt_20ft_"&amp;$H242,param_keys,0)),0)</f>
        <v/>
      </c>
      <c r="AI242" s="18">
        <f>IF(igst_itc_available,0,($AF242+$AG242)*igst_rate_hs7602)</f>
        <v/>
      </c>
      <c r="AJ242" s="18">
        <f>$AE242+$AG242+$AH242+$AI242</f>
        <v/>
      </c>
      <c r="AK242" s="7" t="inlineStr">
        <is>
          <t>DERIVED_IN_WORKBOOK</t>
        </is>
      </c>
      <c r="AL242" s="8">
        <f>IF($J242="INR",1,IF($M242&lt;$A242,INDEX(Market_Daily!$F$6:$F$256,MATCH($M242,Market_Daily!$A$6:$A$256,1)),IF($M242=$A242,INDEX(Market_Daily!$F$6:$F$256,MATCH($A242,Market_Daily!$A$6:$A$256,0)),(INDEX(Market_Daily!$F$6:$F$256,MATCH($A242,Market_Daily!$A$6:$A$256,0))*(1+INDEX(Market_Daily!$I$6:$I$256,MATCH($A242,Market_Daily!$A$6:$A$256,0))*($M242-$A242)/day_count_inr)/(1+INDEX(Market_Daily!$J$6:$J$256,MATCH($A242,Market_Daily!$A$6:$A$256,0))*($M242-$A242)/day_count_usd)))))</f>
        <v/>
      </c>
      <c r="AM242" s="8">
        <f>IF(OR($J242="INR",$R242&gt;1),"",$AL242-$X242)</f>
        <v/>
      </c>
      <c r="AN242" s="8">
        <f>$N242*$AJ242</f>
        <v/>
      </c>
      <c r="AO242" s="8">
        <f>$AN242</f>
        <v/>
      </c>
      <c r="AP242" s="18">
        <f>$AO242-$V242</f>
        <v/>
      </c>
      <c r="AQ242" s="8">
        <f>IF(ABS($AP242)&lt;=tol_trade_inr,"PASS","FAIL")</f>
        <v/>
      </c>
    </row>
    <row r="243">
      <c r="A243" s="11" t="n">
        <v>44651</v>
      </c>
      <c r="B243" s="7" t="inlineStr">
        <is>
          <t>T03</t>
        </is>
      </c>
      <c r="C243" s="7" t="inlineStr">
        <is>
          <t>INVENTORY:L2</t>
        </is>
      </c>
      <c r="D243" s="7" t="inlineStr">
        <is>
          <t>INVENTORY</t>
        </is>
      </c>
      <c r="E243" s="7" t="inlineStr">
        <is>
          <t>physical</t>
        </is>
      </c>
      <c r="F243" s="7" t="inlineStr">
        <is>
          <t>L2</t>
        </is>
      </c>
      <c r="H243" s="7" t="inlineStr">
        <is>
          <t>taint_tabor</t>
        </is>
      </c>
      <c r="I243" s="7" t="inlineStr">
        <is>
          <t>JEA_NSA</t>
        </is>
      </c>
      <c r="J243" s="7" t="inlineStr">
        <is>
          <t>INR</t>
        </is>
      </c>
      <c r="K243" s="7" t="inlineStr">
        <is>
          <t>fixed_unsettled</t>
        </is>
      </c>
      <c r="L243" s="7" t="inlineStr">
        <is>
          <t>PNL</t>
        </is>
      </c>
      <c r="N243" s="13" t="n">
        <v>600</v>
      </c>
      <c r="O243" s="6" t="n">
        <v>0</v>
      </c>
      <c r="P243" s="13" t="n">
        <v>0</v>
      </c>
      <c r="Q243" s="22" t="n">
        <v>30</v>
      </c>
      <c r="R243" s="6" t="n">
        <v>0</v>
      </c>
      <c r="U243" s="9" t="n">
        <v>119136858.26</v>
      </c>
      <c r="V243" s="9" t="n">
        <v>119136858.26</v>
      </c>
      <c r="W243" s="9" t="n">
        <v>198561.4304</v>
      </c>
      <c r="X243" s="9" t="n">
        <v>75.78959999999999</v>
      </c>
      <c r="Y243" s="8">
        <f>IF($I243="JEA_NSA","20ft","40ft")</f>
        <v/>
      </c>
      <c r="Z243" s="8">
        <f>IF($I243="JEA_NSA","nsa","mun")</f>
        <v/>
      </c>
      <c r="AA243" s="8">
        <f>INDEX(param_values,MATCH("container_payload_mt_"&amp;$Y243,param_keys,0))/INDEX(param_values,MATCH("container_payload_mt_"&amp;$Y243&amp;"_"&amp;$H243,param_keys,0))</f>
        <v/>
      </c>
      <c r="AB243" s="16">
        <f>INDEX(Market_Daily!$C$6:$C$256,MATCH($A243,Market_Daily!$A$6:$A$256,0))*INDEX(Market_Daily!$X$6:$Z$256,MATCH($A243,Market_Daily!$A$6:$A$256,0),MATCH("grade_factor_"&amp;$H243,Market_Daily!$X$5:$Z$5,0))</f>
        <v/>
      </c>
      <c r="AC243" s="16">
        <f>$AB243*(1+insurance_rate*insured_value_uplift)</f>
        <v/>
      </c>
      <c r="AD243" s="8">
        <f>(INDEX(Market_Daily!$F$6:$F$256,MATCH($A243,Market_Daily!$A$6:$A$256,0))*(1+INDEX(Market_Daily!$I$6:$I$256,MATCH($A243,Market_Daily!$A$6:$A$256,0))*$Q243/day_count_inr)/(1+INDEX(Market_Daily!$J$6:$J$256,MATCH($A243,Market_Daily!$A$6:$A$256,0))*$Q243/day_count_usd))</f>
        <v/>
      </c>
      <c r="AE243" s="18">
        <f>$AC243*$AD243</f>
        <v/>
      </c>
      <c r="AF243" s="18">
        <f>$AC243*INDEX(Market_Daily!$V$6:$V$256,MATCH($A243,Market_Daily!$A$6:$A$256,0))</f>
        <v/>
      </c>
      <c r="AG243" s="18">
        <f>$AF243*bcd_scrap_hs7602*(1+sws_rate_on_bcd)</f>
        <v/>
      </c>
      <c r="AH243" s="18">
        <f>INDEX(param_values,MATCH("port_cf_charges_inr_t_"&amp;$Z243,param_keys,0))*$AA243+IF(INDEX(param_values,MATCH(IF($I243="JEA_NSA","psic_required_uae_origin","psic_required_safe_origin_designated_port"),param_keys,0)),psic_cost_usd_per_box*INDEX(Market_Daily!$F$6:$F$256,MATCH($A243,Market_Daily!$A$6:$A$256,0))/INDEX(param_values,MATCH("container_payload_mt_20ft_"&amp;$H243,param_keys,0)),0)</f>
        <v/>
      </c>
      <c r="AI243" s="18">
        <f>IF(igst_itc_available,0,($AF243+$AG243)*igst_rate_hs7602)</f>
        <v/>
      </c>
      <c r="AJ243" s="18">
        <f>$AE243+$AG243+$AH243+$AI243</f>
        <v/>
      </c>
      <c r="AK243" s="7" t="inlineStr">
        <is>
          <t>DERIVED_IN_WORKBOOK</t>
        </is>
      </c>
      <c r="AL243" s="8">
        <f>IF($J243="INR",1,IF($M243&lt;$A243,INDEX(Market_Daily!$F$6:$F$256,MATCH($M243,Market_Daily!$A$6:$A$256,1)),IF($M243=$A243,INDEX(Market_Daily!$F$6:$F$256,MATCH($A243,Market_Daily!$A$6:$A$256,0)),(INDEX(Market_Daily!$F$6:$F$256,MATCH($A243,Market_Daily!$A$6:$A$256,0))*(1+INDEX(Market_Daily!$I$6:$I$256,MATCH($A243,Market_Daily!$A$6:$A$256,0))*($M243-$A243)/day_count_inr)/(1+INDEX(Market_Daily!$J$6:$J$256,MATCH($A243,Market_Daily!$A$6:$A$256,0))*($M243-$A243)/day_count_usd)))))</f>
        <v/>
      </c>
      <c r="AM243" s="8">
        <f>IF(OR($J243="INR",$R243&gt;1),"",$AL243-$X243)</f>
        <v/>
      </c>
      <c r="AN243" s="8">
        <f>$N243*$AJ243</f>
        <v/>
      </c>
      <c r="AO243" s="8">
        <f>$AN243</f>
        <v/>
      </c>
      <c r="AP243" s="18">
        <f>$AO243-$V243</f>
        <v/>
      </c>
      <c r="AQ243" s="8">
        <f>IF(ABS($AP243)&lt;=tol_trade_inr,"PASS","FAIL")</f>
        <v/>
      </c>
    </row>
    <row r="244">
      <c r="A244" s="11" t="n">
        <v>44651</v>
      </c>
      <c r="B244" s="7" t="inlineStr">
        <is>
          <t>T03</t>
        </is>
      </c>
      <c r="C244" s="7" t="inlineStr">
        <is>
          <t>MCX:T03-MCX-1</t>
        </is>
      </c>
      <c r="D244" s="7" t="inlineStr">
        <is>
          <t>MCX</t>
        </is>
      </c>
      <c r="E244" s="7" t="inlineStr">
        <is>
          <t>mcx</t>
        </is>
      </c>
      <c r="H244" s="7" t="inlineStr">
        <is>
          <t>taint_tabor</t>
        </is>
      </c>
      <c r="I244" s="7" t="inlineStr">
        <is>
          <t>JEA_NSA</t>
        </is>
      </c>
      <c r="J244" s="7" t="inlineStr">
        <is>
          <t>INR</t>
        </is>
      </c>
      <c r="K244" s="7" t="inlineStr">
        <is>
          <t>partially_fixed</t>
        </is>
      </c>
      <c r="L244" s="7" t="inlineStr">
        <is>
          <t>PNL</t>
        </is>
      </c>
      <c r="M244" s="11" t="n">
        <v>44671</v>
      </c>
      <c r="N244" s="13" t="n">
        <v>0</v>
      </c>
      <c r="O244" s="6" t="n">
        <v>-143</v>
      </c>
      <c r="P244" s="13" t="n">
        <v>0</v>
      </c>
      <c r="Q244" s="22" t="n">
        <v>30</v>
      </c>
      <c r="R244" s="6" t="n">
        <v>19</v>
      </c>
      <c r="U244" s="9" t="n">
        <v>0</v>
      </c>
      <c r="V244" s="9" t="n">
        <v>0</v>
      </c>
      <c r="X244" s="9" t="n">
        <v>75.78959999999999</v>
      </c>
      <c r="AK244" s="7" t="inlineStr">
        <is>
          <t>PYTHON_MULTI_FLOW_LEG</t>
        </is>
      </c>
      <c r="AL244" s="8">
        <f>IF($J244="INR",1,IF($M244&lt;$A244,INDEX(Market_Daily!$F$6:$F$256,MATCH($M244,Market_Daily!$A$6:$A$256,1)),IF($M244=$A244,INDEX(Market_Daily!$F$6:$F$256,MATCH($A244,Market_Daily!$A$6:$A$256,0)),(INDEX(Market_Daily!$F$6:$F$256,MATCH($A244,Market_Daily!$A$6:$A$256,0))*(1+INDEX(Market_Daily!$I$6:$I$256,MATCH($A244,Market_Daily!$A$6:$A$256,0))*($M244-$A244)/day_count_inr)/(1+INDEX(Market_Daily!$J$6:$J$256,MATCH($A244,Market_Daily!$A$6:$A$256,0))*($M244-$A244)/day_count_usd)))))</f>
        <v/>
      </c>
      <c r="AM244" s="8">
        <f>IF(OR($J244="INR",$R244&gt;1),"",$AL244-$X244)</f>
        <v/>
      </c>
      <c r="AN244" s="8">
        <f>$U244</f>
        <v/>
      </c>
      <c r="AO244" s="8">
        <f>$V244</f>
        <v/>
      </c>
      <c r="AP244" s="18">
        <f>$AO244-$V244</f>
        <v/>
      </c>
      <c r="AQ244" s="8">
        <f>IF(ABS($AP244)&lt;=tol_trade_inr,"PASS","FAIL")</f>
        <v/>
      </c>
    </row>
    <row r="245">
      <c r="A245" s="11" t="n">
        <v>44651</v>
      </c>
      <c r="B245" s="7" t="inlineStr">
        <is>
          <t>T03</t>
        </is>
      </c>
      <c r="C245" s="7" t="inlineStr">
        <is>
          <t>PORT:L1</t>
        </is>
      </c>
      <c r="D245" s="7" t="inlineStr">
        <is>
          <t>PORT</t>
        </is>
      </c>
      <c r="E245" s="7" t="inlineStr">
        <is>
          <t>physical</t>
        </is>
      </c>
      <c r="F245" s="7" t="inlineStr">
        <is>
          <t>L1</t>
        </is>
      </c>
      <c r="H245" s="7" t="inlineStr">
        <is>
          <t>taint_tabor</t>
        </is>
      </c>
      <c r="I245" s="7" t="inlineStr">
        <is>
          <t>JEA_NSA</t>
        </is>
      </c>
      <c r="J245" s="7" t="inlineStr">
        <is>
          <t>INR</t>
        </is>
      </c>
      <c r="K245" s="7" t="inlineStr">
        <is>
          <t>fixed_unsettled</t>
        </is>
      </c>
      <c r="L245" s="7" t="inlineStr">
        <is>
          <t>PNL</t>
        </is>
      </c>
      <c r="M245" s="11" t="n">
        <v>44679</v>
      </c>
      <c r="N245" s="13" t="n">
        <v>0</v>
      </c>
      <c r="O245" s="6" t="n">
        <v>0</v>
      </c>
      <c r="P245" s="13" t="n">
        <v>0</v>
      </c>
      <c r="Q245" s="22" t="n">
        <v>30</v>
      </c>
      <c r="R245" s="6" t="n">
        <v>1</v>
      </c>
      <c r="U245" s="9" t="n">
        <v>-1200000</v>
      </c>
      <c r="V245" s="9" t="n">
        <v>-1200000</v>
      </c>
      <c r="X245" s="9" t="n">
        <v>75.78959999999999</v>
      </c>
      <c r="AK245" s="7" t="inlineStr">
        <is>
          <t>PYTHON_LIFECYCLE</t>
        </is>
      </c>
      <c r="AL245" s="8">
        <f>IF($J245="INR",1,IF($M245&lt;$A245,INDEX(Market_Daily!$F$6:$F$256,MATCH($M245,Market_Daily!$A$6:$A$256,1)),IF($M245=$A245,INDEX(Market_Daily!$F$6:$F$256,MATCH($A245,Market_Daily!$A$6:$A$256,0)),(INDEX(Market_Daily!$F$6:$F$256,MATCH($A245,Market_Daily!$A$6:$A$256,0))*(1+INDEX(Market_Daily!$I$6:$I$256,MATCH($A245,Market_Daily!$A$6:$A$256,0))*($M245-$A245)/day_count_inr)/(1+INDEX(Market_Daily!$J$6:$J$256,MATCH($A245,Market_Daily!$A$6:$A$256,0))*($M245-$A245)/day_count_usd)))))</f>
        <v/>
      </c>
      <c r="AM245" s="8">
        <f>IF(OR($J245="INR",$R245&gt;1),"",$AL245-$X245)</f>
        <v/>
      </c>
      <c r="AN245" s="8">
        <f>$U245</f>
        <v/>
      </c>
      <c r="AO245" s="8">
        <f>$AN245*IF($J245="INR",1,$AL245)</f>
        <v/>
      </c>
      <c r="AP245" s="18">
        <f>$AO245-$V245</f>
        <v/>
      </c>
      <c r="AQ245" s="8">
        <f>IF(ABS($AP245)&lt;=tol_trade_inr,"PASS","FAIL")</f>
        <v/>
      </c>
    </row>
    <row r="246">
      <c r="A246" s="11" t="n">
        <v>44651</v>
      </c>
      <c r="B246" s="7" t="inlineStr">
        <is>
          <t>T03</t>
        </is>
      </c>
      <c r="C246" s="7" t="inlineStr">
        <is>
          <t>PORT:L2</t>
        </is>
      </c>
      <c r="D246" s="7" t="inlineStr">
        <is>
          <t>PORT</t>
        </is>
      </c>
      <c r="E246" s="7" t="inlineStr">
        <is>
          <t>physical</t>
        </is>
      </c>
      <c r="F246" s="7" t="inlineStr">
        <is>
          <t>L2</t>
        </is>
      </c>
      <c r="H246" s="7" t="inlineStr">
        <is>
          <t>taint_tabor</t>
        </is>
      </c>
      <c r="I246" s="7" t="inlineStr">
        <is>
          <t>JEA_NSA</t>
        </is>
      </c>
      <c r="J246" s="7" t="inlineStr">
        <is>
          <t>INR</t>
        </is>
      </c>
      <c r="K246" s="7" t="inlineStr">
        <is>
          <t>fixed_unsettled</t>
        </is>
      </c>
      <c r="L246" s="7" t="inlineStr">
        <is>
          <t>PNL</t>
        </is>
      </c>
      <c r="M246" s="11" t="n">
        <v>44690</v>
      </c>
      <c r="N246" s="13" t="n">
        <v>0</v>
      </c>
      <c r="O246" s="6" t="n">
        <v>0</v>
      </c>
      <c r="P246" s="13" t="n">
        <v>0</v>
      </c>
      <c r="Q246" s="22" t="n">
        <v>30</v>
      </c>
      <c r="R246" s="6" t="n">
        <v>1</v>
      </c>
      <c r="U246" s="9" t="n">
        <v>-1200000</v>
      </c>
      <c r="V246" s="9" t="n">
        <v>-1200000</v>
      </c>
      <c r="X246" s="9" t="n">
        <v>75.78959999999999</v>
      </c>
      <c r="AK246" s="7" t="inlineStr">
        <is>
          <t>PYTHON_LIFECYCLE</t>
        </is>
      </c>
      <c r="AL246" s="8">
        <f>IF($J246="INR",1,IF($M246&lt;$A246,INDEX(Market_Daily!$F$6:$F$256,MATCH($M246,Market_Daily!$A$6:$A$256,1)),IF($M246=$A246,INDEX(Market_Daily!$F$6:$F$256,MATCH($A246,Market_Daily!$A$6:$A$256,0)),(INDEX(Market_Daily!$F$6:$F$256,MATCH($A246,Market_Daily!$A$6:$A$256,0))*(1+INDEX(Market_Daily!$I$6:$I$256,MATCH($A246,Market_Daily!$A$6:$A$256,0))*($M246-$A246)/day_count_inr)/(1+INDEX(Market_Daily!$J$6:$J$256,MATCH($A246,Market_Daily!$A$6:$A$256,0))*($M246-$A246)/day_count_usd)))))</f>
        <v/>
      </c>
      <c r="AM246" s="8">
        <f>IF(OR($J246="INR",$R246&gt;1),"",$AL246-$X246)</f>
        <v/>
      </c>
      <c r="AN246" s="8">
        <f>$U246</f>
        <v/>
      </c>
      <c r="AO246" s="8">
        <f>$AN246*IF($J246="INR",1,$AL246)</f>
        <v/>
      </c>
      <c r="AP246" s="18">
        <f>$AO246-$V246</f>
        <v/>
      </c>
      <c r="AQ246" s="8">
        <f>IF(ABS($AP246)&lt;=tol_trade_inr,"PASS","FAIL")</f>
        <v/>
      </c>
    </row>
    <row r="247">
      <c r="A247" s="11" t="n">
        <v>44651</v>
      </c>
      <c r="B247" s="7" t="inlineStr">
        <is>
          <t>T03</t>
        </is>
      </c>
      <c r="C247" s="7" t="inlineStr">
        <is>
          <t>PSIC:L1</t>
        </is>
      </c>
      <c r="D247" s="7" t="inlineStr">
        <is>
          <t>PSIC</t>
        </is>
      </c>
      <c r="E247" s="7" t="inlineStr">
        <is>
          <t>physical</t>
        </is>
      </c>
      <c r="F247" s="7" t="inlineStr">
        <is>
          <t>L1</t>
        </is>
      </c>
      <c r="H247" s="7" t="inlineStr">
        <is>
          <t>taint_tabor</t>
        </is>
      </c>
      <c r="I247" s="7" t="inlineStr">
        <is>
          <t>JEA_NSA</t>
        </is>
      </c>
      <c r="J247" s="7" t="inlineStr">
        <is>
          <t>USD</t>
        </is>
      </c>
      <c r="K247" s="7" t="inlineStr">
        <is>
          <t>floating</t>
        </is>
      </c>
      <c r="L247" s="7" t="inlineStr">
        <is>
          <t>PNL</t>
        </is>
      </c>
      <c r="M247" s="11" t="n">
        <v>44664</v>
      </c>
      <c r="N247" s="13" t="n">
        <v>0</v>
      </c>
      <c r="O247" s="6" t="n">
        <v>0</v>
      </c>
      <c r="P247" s="13" t="n">
        <v>0</v>
      </c>
      <c r="Q247" s="22" t="n">
        <v>30</v>
      </c>
      <c r="R247" s="6" t="n">
        <v>1</v>
      </c>
      <c r="U247" s="9" t="n">
        <v>-1200</v>
      </c>
      <c r="V247" s="9" t="n">
        <v>-91053.09</v>
      </c>
      <c r="X247" s="9" t="n">
        <v>75.8776</v>
      </c>
      <c r="AK247" s="7" t="inlineStr">
        <is>
          <t>PYTHON_LIFECYCLE</t>
        </is>
      </c>
      <c r="AL247" s="8">
        <f>IF($J247="INR",1,IF($M247&lt;$A247,INDEX(Market_Daily!$F$6:$F$256,MATCH($M247,Market_Daily!$A$6:$A$256,1)),IF($M247=$A247,INDEX(Market_Daily!$F$6:$F$256,MATCH($A247,Market_Daily!$A$6:$A$256,0)),(INDEX(Market_Daily!$F$6:$F$256,MATCH($A247,Market_Daily!$A$6:$A$256,0))*(1+INDEX(Market_Daily!$I$6:$I$256,MATCH($A247,Market_Daily!$A$6:$A$256,0))*($M247-$A247)/day_count_inr)/(1+INDEX(Market_Daily!$J$6:$J$256,MATCH($A247,Market_Daily!$A$6:$A$256,0))*($M247-$A247)/day_count_usd)))))</f>
        <v/>
      </c>
      <c r="AM247" s="8">
        <f>IF(OR($J247="INR",$R247&gt;1),"",$AL247-$X247)</f>
        <v/>
      </c>
      <c r="AN247" s="8">
        <f>$U247</f>
        <v/>
      </c>
      <c r="AO247" s="8">
        <f>$AN247*IF($J247="INR",1,$AL247)</f>
        <v/>
      </c>
      <c r="AP247" s="18">
        <f>$AO247-$V247</f>
        <v/>
      </c>
      <c r="AQ247" s="8">
        <f>IF(ABS($AP247)&lt;=tol_trade_inr,"PASS","FAIL")</f>
        <v/>
      </c>
    </row>
    <row r="248">
      <c r="A248" s="11" t="n">
        <v>44651</v>
      </c>
      <c r="B248" s="7" t="inlineStr">
        <is>
          <t>T03</t>
        </is>
      </c>
      <c r="C248" s="7" t="inlineStr">
        <is>
          <t>PSIC:L2</t>
        </is>
      </c>
      <c r="D248" s="7" t="inlineStr">
        <is>
          <t>PSIC</t>
        </is>
      </c>
      <c r="E248" s="7" t="inlineStr">
        <is>
          <t>physical</t>
        </is>
      </c>
      <c r="F248" s="7" t="inlineStr">
        <is>
          <t>L2</t>
        </is>
      </c>
      <c r="H248" s="7" t="inlineStr">
        <is>
          <t>taint_tabor</t>
        </is>
      </c>
      <c r="I248" s="7" t="inlineStr">
        <is>
          <t>JEA_NSA</t>
        </is>
      </c>
      <c r="J248" s="7" t="inlineStr">
        <is>
          <t>USD</t>
        </is>
      </c>
      <c r="K248" s="7" t="inlineStr">
        <is>
          <t>floating</t>
        </is>
      </c>
      <c r="L248" s="7" t="inlineStr">
        <is>
          <t>PNL</t>
        </is>
      </c>
      <c r="M248" s="11" t="n">
        <v>44673</v>
      </c>
      <c r="N248" s="13" t="n">
        <v>0</v>
      </c>
      <c r="O248" s="6" t="n">
        <v>0</v>
      </c>
      <c r="P248" s="13" t="n">
        <v>0</v>
      </c>
      <c r="Q248" s="22" t="n">
        <v>30</v>
      </c>
      <c r="R248" s="6" t="n">
        <v>1</v>
      </c>
      <c r="U248" s="9" t="n">
        <v>-1200</v>
      </c>
      <c r="V248" s="9" t="n">
        <v>-91126.16</v>
      </c>
      <c r="X248" s="9" t="n">
        <v>75.9385</v>
      </c>
      <c r="AK248" s="7" t="inlineStr">
        <is>
          <t>PYTHON_LIFECYCLE</t>
        </is>
      </c>
      <c r="AL248" s="8">
        <f>IF($J248="INR",1,IF($M248&lt;$A248,INDEX(Market_Daily!$F$6:$F$256,MATCH($M248,Market_Daily!$A$6:$A$256,1)),IF($M248=$A248,INDEX(Market_Daily!$F$6:$F$256,MATCH($A248,Market_Daily!$A$6:$A$256,0)),(INDEX(Market_Daily!$F$6:$F$256,MATCH($A248,Market_Daily!$A$6:$A$256,0))*(1+INDEX(Market_Daily!$I$6:$I$256,MATCH($A248,Market_Daily!$A$6:$A$256,0))*($M248-$A248)/day_count_inr)/(1+INDEX(Market_Daily!$J$6:$J$256,MATCH($A248,Market_Daily!$A$6:$A$256,0))*($M248-$A248)/day_count_usd)))))</f>
        <v/>
      </c>
      <c r="AM248" s="8">
        <f>IF(OR($J248="INR",$R248&gt;1),"",$AL248-$X248)</f>
        <v/>
      </c>
      <c r="AN248" s="8">
        <f>$U248</f>
        <v/>
      </c>
      <c r="AO248" s="8">
        <f>$AN248*IF($J248="INR",1,$AL248)</f>
        <v/>
      </c>
      <c r="AP248" s="18">
        <f>$AO248-$V248</f>
        <v/>
      </c>
      <c r="AQ248" s="8">
        <f>IF(ABS($AP248)&lt;=tol_trade_inr,"PASS","FAIL")</f>
        <v/>
      </c>
    </row>
    <row r="249">
      <c r="A249" s="11" t="n">
        <v>44651</v>
      </c>
      <c r="B249" s="7" t="inlineStr">
        <is>
          <t>T03</t>
        </is>
      </c>
      <c r="C249" s="7" t="inlineStr">
        <is>
          <t>PURCHASE:L1</t>
        </is>
      </c>
      <c r="D249" s="7" t="inlineStr">
        <is>
          <t>PURCHASE</t>
        </is>
      </c>
      <c r="E249" s="7" t="inlineStr">
        <is>
          <t>physical</t>
        </is>
      </c>
      <c r="F249" s="7" t="inlineStr">
        <is>
          <t>L1</t>
        </is>
      </c>
      <c r="G249" s="7" t="inlineStr">
        <is>
          <t>SUP_JEA_01</t>
        </is>
      </c>
      <c r="H249" s="7" t="inlineStr">
        <is>
          <t>taint_tabor</t>
        </is>
      </c>
      <c r="I249" s="7" t="inlineStr">
        <is>
          <t>JEA_NSA</t>
        </is>
      </c>
      <c r="J249" s="7" t="inlineStr">
        <is>
          <t>USD</t>
        </is>
      </c>
      <c r="K249" s="7" t="inlineStr">
        <is>
          <t>fixed_unsettled</t>
        </is>
      </c>
      <c r="L249" s="7" t="inlineStr">
        <is>
          <t>PNL</t>
        </is>
      </c>
      <c r="M249" s="11" t="n">
        <v>44671</v>
      </c>
      <c r="N249" s="13" t="n">
        <v>600</v>
      </c>
      <c r="O249" s="6" t="n">
        <v>0</v>
      </c>
      <c r="P249" s="13" t="n">
        <v>0</v>
      </c>
      <c r="Q249" s="22" t="n">
        <v>30</v>
      </c>
      <c r="R249" s="6" t="n">
        <v>1</v>
      </c>
      <c r="U249" s="9" t="n">
        <v>-1482000</v>
      </c>
      <c r="V249" s="9" t="n">
        <v>-112520753.99</v>
      </c>
      <c r="X249" s="9" t="n">
        <v>75.92489999999999</v>
      </c>
      <c r="AK249" s="7" t="inlineStr">
        <is>
          <t>PYTHON_LIFECYCLE</t>
        </is>
      </c>
      <c r="AL249" s="8">
        <f>IF($J249="INR",1,IF($M249&lt;$A249,INDEX(Market_Daily!$F$6:$F$256,MATCH($M249,Market_Daily!$A$6:$A$256,1)),IF($M249=$A249,INDEX(Market_Daily!$F$6:$F$256,MATCH($A249,Market_Daily!$A$6:$A$256,0)),(INDEX(Market_Daily!$F$6:$F$256,MATCH($A249,Market_Daily!$A$6:$A$256,0))*(1+INDEX(Market_Daily!$I$6:$I$256,MATCH($A249,Market_Daily!$A$6:$A$256,0))*($M249-$A249)/day_count_inr)/(1+INDEX(Market_Daily!$J$6:$J$256,MATCH($A249,Market_Daily!$A$6:$A$256,0))*($M249-$A249)/day_count_usd)))))</f>
        <v/>
      </c>
      <c r="AM249" s="8">
        <f>IF(OR($J249="INR",$R249&gt;1),"",$AL249-$X249)</f>
        <v/>
      </c>
      <c r="AN249" s="8">
        <f>$U249</f>
        <v/>
      </c>
      <c r="AO249" s="8">
        <f>$AN249*IF($J249="INR",1,$AL249)</f>
        <v/>
      </c>
      <c r="AP249" s="18">
        <f>$AO249-$V249</f>
        <v/>
      </c>
      <c r="AQ249" s="8">
        <f>IF(ABS($AP249)&lt;=tol_trade_inr,"PASS","FAIL")</f>
        <v/>
      </c>
    </row>
    <row r="250">
      <c r="A250" s="11" t="n">
        <v>44651</v>
      </c>
      <c r="B250" s="7" t="inlineStr">
        <is>
          <t>T03</t>
        </is>
      </c>
      <c r="C250" s="7" t="inlineStr">
        <is>
          <t>PURCHASE:L2</t>
        </is>
      </c>
      <c r="D250" s="7" t="inlineStr">
        <is>
          <t>PURCHASE</t>
        </is>
      </c>
      <c r="E250" s="7" t="inlineStr">
        <is>
          <t>physical</t>
        </is>
      </c>
      <c r="F250" s="7" t="inlineStr">
        <is>
          <t>L2</t>
        </is>
      </c>
      <c r="G250" s="7" t="inlineStr">
        <is>
          <t>SUP_JEA_01</t>
        </is>
      </c>
      <c r="H250" s="7" t="inlineStr">
        <is>
          <t>taint_tabor</t>
        </is>
      </c>
      <c r="I250" s="7" t="inlineStr">
        <is>
          <t>JEA_NSA</t>
        </is>
      </c>
      <c r="J250" s="7" t="inlineStr">
        <is>
          <t>USD</t>
        </is>
      </c>
      <c r="K250" s="7" t="inlineStr">
        <is>
          <t>fixed_unsettled</t>
        </is>
      </c>
      <c r="L250" s="7" t="inlineStr">
        <is>
          <t>PNL</t>
        </is>
      </c>
      <c r="M250" s="11" t="n">
        <v>44680</v>
      </c>
      <c r="N250" s="13" t="n">
        <v>600</v>
      </c>
      <c r="O250" s="6" t="n">
        <v>0</v>
      </c>
      <c r="P250" s="13" t="n">
        <v>0</v>
      </c>
      <c r="Q250" s="22" t="n">
        <v>30</v>
      </c>
      <c r="R250" s="6" t="n">
        <v>1</v>
      </c>
      <c r="U250" s="9" t="n">
        <v>-1482000</v>
      </c>
      <c r="V250" s="9" t="n">
        <v>-112610971.77</v>
      </c>
      <c r="X250" s="9" t="n">
        <v>75.9858</v>
      </c>
      <c r="AK250" s="7" t="inlineStr">
        <is>
          <t>PYTHON_LIFECYCLE</t>
        </is>
      </c>
      <c r="AL250" s="8">
        <f>IF($J250="INR",1,IF($M250&lt;$A250,INDEX(Market_Daily!$F$6:$F$256,MATCH($M250,Market_Daily!$A$6:$A$256,1)),IF($M250=$A250,INDEX(Market_Daily!$F$6:$F$256,MATCH($A250,Market_Daily!$A$6:$A$256,0)),(INDEX(Market_Daily!$F$6:$F$256,MATCH($A250,Market_Daily!$A$6:$A$256,0))*(1+INDEX(Market_Daily!$I$6:$I$256,MATCH($A250,Market_Daily!$A$6:$A$256,0))*($M250-$A250)/day_count_inr)/(1+INDEX(Market_Daily!$J$6:$J$256,MATCH($A250,Market_Daily!$A$6:$A$256,0))*($M250-$A250)/day_count_usd)))))</f>
        <v/>
      </c>
      <c r="AM250" s="8">
        <f>IF(OR($J250="INR",$R250&gt;1),"",$AL250-$X250)</f>
        <v/>
      </c>
      <c r="AN250" s="8">
        <f>$U250</f>
        <v/>
      </c>
      <c r="AO250" s="8">
        <f>$AN250*IF($J250="INR",1,$AL250)</f>
        <v/>
      </c>
      <c r="AP250" s="18">
        <f>$AO250-$V250</f>
        <v/>
      </c>
      <c r="AQ250" s="8">
        <f>IF(ABS($AP250)&lt;=tol_trade_inr,"PASS","FAIL")</f>
        <v/>
      </c>
    </row>
    <row r="251">
      <c r="A251" s="11" t="n">
        <v>44656</v>
      </c>
      <c r="B251" s="7" t="inlineStr">
        <is>
          <t>T01</t>
        </is>
      </c>
      <c r="C251" s="7" t="inlineStr">
        <is>
          <t>BILL_COMMISSION:L2</t>
        </is>
      </c>
      <c r="D251" s="7" t="inlineStr">
        <is>
          <t>BILL_COMMISSION</t>
        </is>
      </c>
      <c r="E251" s="7" t="inlineStr">
        <is>
          <t>physical</t>
        </is>
      </c>
      <c r="F251" s="7" t="inlineStr">
        <is>
          <t>L2</t>
        </is>
      </c>
      <c r="H251" s="7" t="inlineStr">
        <is>
          <t>zorba</t>
        </is>
      </c>
      <c r="I251" s="7" t="inlineStr">
        <is>
          <t>USEC_MUN</t>
        </is>
      </c>
      <c r="J251" s="7" t="inlineStr">
        <is>
          <t>USD</t>
        </is>
      </c>
      <c r="K251" s="7" t="inlineStr">
        <is>
          <t>floating</t>
        </is>
      </c>
      <c r="L251" s="7" t="inlineStr">
        <is>
          <t>PNL</t>
        </is>
      </c>
      <c r="M251" s="11" t="n">
        <v>44662</v>
      </c>
      <c r="N251" s="13" t="n">
        <v>0</v>
      </c>
      <c r="O251" s="6" t="n">
        <v>0</v>
      </c>
      <c r="P251" s="13" t="n">
        <v>0</v>
      </c>
      <c r="Q251" s="22" t="n">
        <v>30</v>
      </c>
      <c r="R251" s="6" t="n">
        <v>1</v>
      </c>
      <c r="U251" s="9" t="n">
        <v>-2358.72</v>
      </c>
      <c r="V251" s="9" t="n">
        <v>-177789.54</v>
      </c>
      <c r="X251" s="9" t="n">
        <v>75.3754</v>
      </c>
      <c r="AK251" s="7" t="inlineStr">
        <is>
          <t>PYTHON_LIFECYCLE</t>
        </is>
      </c>
      <c r="AL251" s="8">
        <f>IF($J251="INR",1,IF($M251&lt;$A251,INDEX(Market_Daily!$F$6:$F$256,MATCH($M251,Market_Daily!$A$6:$A$256,1)),IF($M251=$A251,INDEX(Market_Daily!$F$6:$F$256,MATCH($A251,Market_Daily!$A$6:$A$256,0)),(INDEX(Market_Daily!$F$6:$F$256,MATCH($A251,Market_Daily!$A$6:$A$256,0))*(1+INDEX(Market_Daily!$I$6:$I$256,MATCH($A251,Market_Daily!$A$6:$A$256,0))*($M251-$A251)/day_count_inr)/(1+INDEX(Market_Daily!$J$6:$J$256,MATCH($A251,Market_Daily!$A$6:$A$256,0))*($M251-$A251)/day_count_usd)))))</f>
        <v/>
      </c>
      <c r="AM251" s="8">
        <f>IF(OR($J251="INR",$R251&gt;1),"",$AL251-$X251)</f>
        <v/>
      </c>
      <c r="AN251" s="8">
        <f>$U251</f>
        <v/>
      </c>
      <c r="AO251" s="8">
        <f>$AN251*IF($J251="INR",1,$AL251)</f>
        <v/>
      </c>
      <c r="AP251" s="18">
        <f>$AO251-$V251</f>
        <v/>
      </c>
      <c r="AQ251" s="8">
        <f>IF(ABS($AP251)&lt;=tol_trade_inr,"PASS","FAIL")</f>
        <v/>
      </c>
    </row>
    <row r="252">
      <c r="A252" s="11" t="n">
        <v>44656</v>
      </c>
      <c r="B252" s="7" t="inlineStr">
        <is>
          <t>T01</t>
        </is>
      </c>
      <c r="C252" s="7" t="inlineStr">
        <is>
          <t>BILL_COMMISSION:L3</t>
        </is>
      </c>
      <c r="D252" s="7" t="inlineStr">
        <is>
          <t>BILL_COMMISSION</t>
        </is>
      </c>
      <c r="E252" s="7" t="inlineStr">
        <is>
          <t>physical</t>
        </is>
      </c>
      <c r="F252" s="7" t="inlineStr">
        <is>
          <t>L3</t>
        </is>
      </c>
      <c r="H252" s="7" t="inlineStr">
        <is>
          <t>zorba</t>
        </is>
      </c>
      <c r="I252" s="7" t="inlineStr">
        <is>
          <t>USEC_MUN</t>
        </is>
      </c>
      <c r="J252" s="7" t="inlineStr">
        <is>
          <t>USD</t>
        </is>
      </c>
      <c r="K252" s="7" t="inlineStr">
        <is>
          <t>floating</t>
        </is>
      </c>
      <c r="L252" s="7" t="inlineStr">
        <is>
          <t>PNL</t>
        </is>
      </c>
      <c r="M252" s="11" t="n">
        <v>44665</v>
      </c>
      <c r="N252" s="13" t="n">
        <v>0</v>
      </c>
      <c r="O252" s="6" t="n">
        <v>0</v>
      </c>
      <c r="P252" s="13" t="n">
        <v>0</v>
      </c>
      <c r="Q252" s="22" t="n">
        <v>30</v>
      </c>
      <c r="R252" s="6" t="n">
        <v>1</v>
      </c>
      <c r="U252" s="9" t="n">
        <v>-2358.72</v>
      </c>
      <c r="V252" s="9" t="n">
        <v>-177837.22</v>
      </c>
      <c r="X252" s="9" t="n">
        <v>75.3956</v>
      </c>
      <c r="AK252" s="7" t="inlineStr">
        <is>
          <t>PYTHON_LIFECYCLE</t>
        </is>
      </c>
      <c r="AL252" s="8">
        <f>IF($J252="INR",1,IF($M252&lt;$A252,INDEX(Market_Daily!$F$6:$F$256,MATCH($M252,Market_Daily!$A$6:$A$256,1)),IF($M252=$A252,INDEX(Market_Daily!$F$6:$F$256,MATCH($A252,Market_Daily!$A$6:$A$256,0)),(INDEX(Market_Daily!$F$6:$F$256,MATCH($A252,Market_Daily!$A$6:$A$256,0))*(1+INDEX(Market_Daily!$I$6:$I$256,MATCH($A252,Market_Daily!$A$6:$A$256,0))*($M252-$A252)/day_count_inr)/(1+INDEX(Market_Daily!$J$6:$J$256,MATCH($A252,Market_Daily!$A$6:$A$256,0))*($M252-$A252)/day_count_usd)))))</f>
        <v/>
      </c>
      <c r="AM252" s="8">
        <f>IF(OR($J252="INR",$R252&gt;1),"",$AL252-$X252)</f>
        <v/>
      </c>
      <c r="AN252" s="8">
        <f>$U252</f>
        <v/>
      </c>
      <c r="AO252" s="8">
        <f>$AN252*IF($J252="INR",1,$AL252)</f>
        <v/>
      </c>
      <c r="AP252" s="18">
        <f>$AO252-$V252</f>
        <v/>
      </c>
      <c r="AQ252" s="8">
        <f>IF(ABS($AP252)&lt;=tol_trade_inr,"PASS","FAIL")</f>
        <v/>
      </c>
    </row>
    <row r="253">
      <c r="A253" s="11" t="n">
        <v>44656</v>
      </c>
      <c r="B253" s="7" t="inlineStr">
        <is>
          <t>T01</t>
        </is>
      </c>
      <c r="C253" s="7" t="inlineStr">
        <is>
          <t>DUTY:L1</t>
        </is>
      </c>
      <c r="D253" s="7" t="inlineStr">
        <is>
          <t>DUTY</t>
        </is>
      </c>
      <c r="E253" s="7" t="inlineStr">
        <is>
          <t>physical</t>
        </is>
      </c>
      <c r="F253" s="7" t="inlineStr">
        <is>
          <t>L1</t>
        </is>
      </c>
      <c r="H253" s="7" t="inlineStr">
        <is>
          <t>zorba</t>
        </is>
      </c>
      <c r="I253" s="7" t="inlineStr">
        <is>
          <t>USEC_MUN</t>
        </is>
      </c>
      <c r="J253" s="7" t="inlineStr">
        <is>
          <t>INR</t>
        </is>
      </c>
      <c r="K253" s="7" t="inlineStr">
        <is>
          <t>floating</t>
        </is>
      </c>
      <c r="L253" s="7" t="inlineStr">
        <is>
          <t>PNL</t>
        </is>
      </c>
      <c r="M253" s="11" t="n">
        <v>44690</v>
      </c>
      <c r="N253" s="13" t="n">
        <v>840</v>
      </c>
      <c r="O253" s="6" t="n">
        <v>0</v>
      </c>
      <c r="P253" s="13" t="n">
        <v>0</v>
      </c>
      <c r="Q253" s="22" t="n">
        <v>30</v>
      </c>
      <c r="R253" s="6" t="n">
        <v>1</v>
      </c>
      <c r="U253" s="9" t="n">
        <v>-4345087.24</v>
      </c>
      <c r="V253" s="9" t="n">
        <v>-4345087.24</v>
      </c>
      <c r="X253" s="9" t="n">
        <v>75.33499999999999</v>
      </c>
      <c r="AK253" s="7" t="inlineStr">
        <is>
          <t>PYTHON_LIFECYCLE</t>
        </is>
      </c>
      <c r="AL253" s="8">
        <f>IF($J253="INR",1,IF($M253&lt;$A253,INDEX(Market_Daily!$F$6:$F$256,MATCH($M253,Market_Daily!$A$6:$A$256,1)),IF($M253=$A253,INDEX(Market_Daily!$F$6:$F$256,MATCH($A253,Market_Daily!$A$6:$A$256,0)),(INDEX(Market_Daily!$F$6:$F$256,MATCH($A253,Market_Daily!$A$6:$A$256,0))*(1+INDEX(Market_Daily!$I$6:$I$256,MATCH($A253,Market_Daily!$A$6:$A$256,0))*($M253-$A253)/day_count_inr)/(1+INDEX(Market_Daily!$J$6:$J$256,MATCH($A253,Market_Daily!$A$6:$A$256,0))*($M253-$A253)/day_count_usd)))))</f>
        <v/>
      </c>
      <c r="AM253" s="8">
        <f>IF(OR($J253="INR",$R253&gt;1),"",$AL253-$X253)</f>
        <v/>
      </c>
      <c r="AN253" s="8">
        <f>$U253</f>
        <v/>
      </c>
      <c r="AO253" s="8">
        <f>$AN253*IF($J253="INR",1,$AL253)</f>
        <v/>
      </c>
      <c r="AP253" s="18">
        <f>$AO253-$V253</f>
        <v/>
      </c>
      <c r="AQ253" s="8">
        <f>IF(ABS($AP253)&lt;=tol_trade_inr,"PASS","FAIL")</f>
        <v/>
      </c>
    </row>
    <row r="254">
      <c r="A254" s="11" t="n">
        <v>44656</v>
      </c>
      <c r="B254" s="7" t="inlineStr">
        <is>
          <t>T01</t>
        </is>
      </c>
      <c r="C254" s="7" t="inlineStr">
        <is>
          <t>DUTY:L2</t>
        </is>
      </c>
      <c r="D254" s="7" t="inlineStr">
        <is>
          <t>DUTY</t>
        </is>
      </c>
      <c r="E254" s="7" t="inlineStr">
        <is>
          <t>physical</t>
        </is>
      </c>
      <c r="F254" s="7" t="inlineStr">
        <is>
          <t>L2</t>
        </is>
      </c>
      <c r="H254" s="7" t="inlineStr">
        <is>
          <t>zorba</t>
        </is>
      </c>
      <c r="I254" s="7" t="inlineStr">
        <is>
          <t>USEC_MUN</t>
        </is>
      </c>
      <c r="J254" s="7" t="inlineStr">
        <is>
          <t>INR</t>
        </is>
      </c>
      <c r="K254" s="7" t="inlineStr">
        <is>
          <t>floating</t>
        </is>
      </c>
      <c r="L254" s="7" t="inlineStr">
        <is>
          <t>PNL</t>
        </is>
      </c>
      <c r="M254" s="11" t="n">
        <v>44697</v>
      </c>
      <c r="N254" s="13" t="n">
        <v>840</v>
      </c>
      <c r="O254" s="6" t="n">
        <v>0</v>
      </c>
      <c r="P254" s="13" t="n">
        <v>0</v>
      </c>
      <c r="Q254" s="22" t="n">
        <v>30</v>
      </c>
      <c r="R254" s="6" t="n">
        <v>1</v>
      </c>
      <c r="U254" s="9" t="n">
        <v>-4345087.24</v>
      </c>
      <c r="V254" s="9" t="n">
        <v>-4345087.24</v>
      </c>
      <c r="X254" s="9" t="n">
        <v>75.33499999999999</v>
      </c>
      <c r="AK254" s="7" t="inlineStr">
        <is>
          <t>PYTHON_LIFECYCLE</t>
        </is>
      </c>
      <c r="AL254" s="8">
        <f>IF($J254="INR",1,IF($M254&lt;$A254,INDEX(Market_Daily!$F$6:$F$256,MATCH($M254,Market_Daily!$A$6:$A$256,1)),IF($M254=$A254,INDEX(Market_Daily!$F$6:$F$256,MATCH($A254,Market_Daily!$A$6:$A$256,0)),(INDEX(Market_Daily!$F$6:$F$256,MATCH($A254,Market_Daily!$A$6:$A$256,0))*(1+INDEX(Market_Daily!$I$6:$I$256,MATCH($A254,Market_Daily!$A$6:$A$256,0))*($M254-$A254)/day_count_inr)/(1+INDEX(Market_Daily!$J$6:$J$256,MATCH($A254,Market_Daily!$A$6:$A$256,0))*($M254-$A254)/day_count_usd)))))</f>
        <v/>
      </c>
      <c r="AM254" s="8">
        <f>IF(OR($J254="INR",$R254&gt;1),"",$AL254-$X254)</f>
        <v/>
      </c>
      <c r="AN254" s="8">
        <f>$U254</f>
        <v/>
      </c>
      <c r="AO254" s="8">
        <f>$AN254*IF($J254="INR",1,$AL254)</f>
        <v/>
      </c>
      <c r="AP254" s="18">
        <f>$AO254-$V254</f>
        <v/>
      </c>
      <c r="AQ254" s="8">
        <f>IF(ABS($AP254)&lt;=tol_trade_inr,"PASS","FAIL")</f>
        <v/>
      </c>
    </row>
    <row r="255">
      <c r="A255" s="11" t="n">
        <v>44656</v>
      </c>
      <c r="B255" s="7" t="inlineStr">
        <is>
          <t>T01</t>
        </is>
      </c>
      <c r="C255" s="7" t="inlineStr">
        <is>
          <t>DUTY:L3</t>
        </is>
      </c>
      <c r="D255" s="7" t="inlineStr">
        <is>
          <t>DUTY</t>
        </is>
      </c>
      <c r="E255" s="7" t="inlineStr">
        <is>
          <t>physical</t>
        </is>
      </c>
      <c r="F255" s="7" t="inlineStr">
        <is>
          <t>L3</t>
        </is>
      </c>
      <c r="H255" s="7" t="inlineStr">
        <is>
          <t>zorba</t>
        </is>
      </c>
      <c r="I255" s="7" t="inlineStr">
        <is>
          <t>USEC_MUN</t>
        </is>
      </c>
      <c r="J255" s="7" t="inlineStr">
        <is>
          <t>INR</t>
        </is>
      </c>
      <c r="K255" s="7" t="inlineStr">
        <is>
          <t>floating</t>
        </is>
      </c>
      <c r="L255" s="7" t="inlineStr">
        <is>
          <t>PNL</t>
        </is>
      </c>
      <c r="M255" s="11" t="n">
        <v>44699</v>
      </c>
      <c r="N255" s="13" t="n">
        <v>840</v>
      </c>
      <c r="O255" s="6" t="n">
        <v>0</v>
      </c>
      <c r="P255" s="13" t="n">
        <v>0</v>
      </c>
      <c r="Q255" s="22" t="n">
        <v>30</v>
      </c>
      <c r="R255" s="6" t="n">
        <v>1</v>
      </c>
      <c r="U255" s="9" t="n">
        <v>-4345087.24</v>
      </c>
      <c r="V255" s="9" t="n">
        <v>-4345087.24</v>
      </c>
      <c r="X255" s="9" t="n">
        <v>75.33499999999999</v>
      </c>
      <c r="AK255" s="7" t="inlineStr">
        <is>
          <t>PYTHON_LIFECYCLE</t>
        </is>
      </c>
      <c r="AL255" s="8">
        <f>IF($J255="INR",1,IF($M255&lt;$A255,INDEX(Market_Daily!$F$6:$F$256,MATCH($M255,Market_Daily!$A$6:$A$256,1)),IF($M255=$A255,INDEX(Market_Daily!$F$6:$F$256,MATCH($A255,Market_Daily!$A$6:$A$256,0)),(INDEX(Market_Daily!$F$6:$F$256,MATCH($A255,Market_Daily!$A$6:$A$256,0))*(1+INDEX(Market_Daily!$I$6:$I$256,MATCH($A255,Market_Daily!$A$6:$A$256,0))*($M255-$A255)/day_count_inr)/(1+INDEX(Market_Daily!$J$6:$J$256,MATCH($A255,Market_Daily!$A$6:$A$256,0))*($M255-$A255)/day_count_usd)))))</f>
        <v/>
      </c>
      <c r="AM255" s="8">
        <f>IF(OR($J255="INR",$R255&gt;1),"",$AL255-$X255)</f>
        <v/>
      </c>
      <c r="AN255" s="8">
        <f>$U255</f>
        <v/>
      </c>
      <c r="AO255" s="8">
        <f>$AN255*IF($J255="INR",1,$AL255)</f>
        <v/>
      </c>
      <c r="AP255" s="18">
        <f>$AO255-$V255</f>
        <v/>
      </c>
      <c r="AQ255" s="8">
        <f>IF(ABS($AP255)&lt;=tol_trade_inr,"PASS","FAIL")</f>
        <v/>
      </c>
    </row>
    <row r="256">
      <c r="A256" s="11" t="n">
        <v>44656</v>
      </c>
      <c r="B256" s="7" t="inlineStr">
        <is>
          <t>T01</t>
        </is>
      </c>
      <c r="C256" s="7" t="inlineStr">
        <is>
          <t>FREIGHT:L1</t>
        </is>
      </c>
      <c r="D256" s="7" t="inlineStr">
        <is>
          <t>FREIGHT</t>
        </is>
      </c>
      <c r="E256" s="7" t="inlineStr">
        <is>
          <t>physical</t>
        </is>
      </c>
      <c r="F256" s="7" t="inlineStr">
        <is>
          <t>L1</t>
        </is>
      </c>
      <c r="G256" s="7" t="inlineStr">
        <is>
          <t>Meridian Box Lines NVOCC (SIM)</t>
        </is>
      </c>
      <c r="H256" s="7" t="inlineStr">
        <is>
          <t>zorba</t>
        </is>
      </c>
      <c r="I256" s="7" t="inlineStr">
        <is>
          <t>USEC_MUN</t>
        </is>
      </c>
      <c r="J256" s="7" t="inlineStr">
        <is>
          <t>USD</t>
        </is>
      </c>
      <c r="K256" s="7" t="inlineStr">
        <is>
          <t>fixed_unsettled</t>
        </is>
      </c>
      <c r="L256" s="7" t="inlineStr">
        <is>
          <t>PNL</t>
        </is>
      </c>
      <c r="M256" s="11" t="n">
        <v>44690</v>
      </c>
      <c r="N256" s="13" t="n">
        <v>840</v>
      </c>
      <c r="O256" s="6" t="n">
        <v>0</v>
      </c>
      <c r="P256" s="13" t="n">
        <v>0</v>
      </c>
      <c r="Q256" s="22" t="n">
        <v>30</v>
      </c>
      <c r="R256" s="6" t="n">
        <v>1</v>
      </c>
      <c r="U256" s="9" t="n">
        <v>-86800</v>
      </c>
      <c r="V256" s="9" t="n">
        <v>-6558956.32</v>
      </c>
      <c r="X256" s="9" t="n">
        <v>75.56399999999999</v>
      </c>
      <c r="AK256" s="7" t="inlineStr">
        <is>
          <t>PYTHON_LIFECYCLE</t>
        </is>
      </c>
      <c r="AL256" s="8">
        <f>IF($J256="INR",1,IF($M256&lt;$A256,INDEX(Market_Daily!$F$6:$F$256,MATCH($M256,Market_Daily!$A$6:$A$256,1)),IF($M256=$A256,INDEX(Market_Daily!$F$6:$F$256,MATCH($A256,Market_Daily!$A$6:$A$256,0)),(INDEX(Market_Daily!$F$6:$F$256,MATCH($A256,Market_Daily!$A$6:$A$256,0))*(1+INDEX(Market_Daily!$I$6:$I$256,MATCH($A256,Market_Daily!$A$6:$A$256,0))*($M256-$A256)/day_count_inr)/(1+INDEX(Market_Daily!$J$6:$J$256,MATCH($A256,Market_Daily!$A$6:$A$256,0))*($M256-$A256)/day_count_usd)))))</f>
        <v/>
      </c>
      <c r="AM256" s="8">
        <f>IF(OR($J256="INR",$R256&gt;1),"",$AL256-$X256)</f>
        <v/>
      </c>
      <c r="AN256" s="8">
        <f>$U256</f>
        <v/>
      </c>
      <c r="AO256" s="8">
        <f>$AN256*IF($J256="INR",1,$AL256)</f>
        <v/>
      </c>
      <c r="AP256" s="18">
        <f>$AO256-$V256</f>
        <v/>
      </c>
      <c r="AQ256" s="8">
        <f>IF(ABS($AP256)&lt;=tol_trade_inr,"PASS","FAIL")</f>
        <v/>
      </c>
    </row>
    <row r="257">
      <c r="A257" s="11" t="n">
        <v>44656</v>
      </c>
      <c r="B257" s="7" t="inlineStr">
        <is>
          <t>T01</t>
        </is>
      </c>
      <c r="C257" s="7" t="inlineStr">
        <is>
          <t>FREIGHT:L2</t>
        </is>
      </c>
      <c r="D257" s="7" t="inlineStr">
        <is>
          <t>FREIGHT</t>
        </is>
      </c>
      <c r="E257" s="7" t="inlineStr">
        <is>
          <t>physical</t>
        </is>
      </c>
      <c r="F257" s="7" t="inlineStr">
        <is>
          <t>L2</t>
        </is>
      </c>
      <c r="G257" s="7" t="inlineStr">
        <is>
          <t>Meridian Box Lines NVOCC (SIM)</t>
        </is>
      </c>
      <c r="H257" s="7" t="inlineStr">
        <is>
          <t>zorba</t>
        </is>
      </c>
      <c r="I257" s="7" t="inlineStr">
        <is>
          <t>USEC_MUN</t>
        </is>
      </c>
      <c r="J257" s="7" t="inlineStr">
        <is>
          <t>USD</t>
        </is>
      </c>
      <c r="K257" s="7" t="inlineStr">
        <is>
          <t>fixed_unsettled</t>
        </is>
      </c>
      <c r="L257" s="7" t="inlineStr">
        <is>
          <t>PNL</t>
        </is>
      </c>
      <c r="M257" s="11" t="n">
        <v>44697</v>
      </c>
      <c r="N257" s="13" t="n">
        <v>840</v>
      </c>
      <c r="O257" s="6" t="n">
        <v>0</v>
      </c>
      <c r="P257" s="13" t="n">
        <v>0</v>
      </c>
      <c r="Q257" s="22" t="n">
        <v>30</v>
      </c>
      <c r="R257" s="6" t="n">
        <v>1</v>
      </c>
      <c r="U257" s="9" t="n">
        <v>-86800</v>
      </c>
      <c r="V257" s="9" t="n">
        <v>-6563045.89</v>
      </c>
      <c r="X257" s="9" t="n">
        <v>75.61109999999999</v>
      </c>
      <c r="AK257" s="7" t="inlineStr">
        <is>
          <t>PYTHON_LIFECYCLE</t>
        </is>
      </c>
      <c r="AL257" s="8">
        <f>IF($J257="INR",1,IF($M257&lt;$A257,INDEX(Market_Daily!$F$6:$F$256,MATCH($M257,Market_Daily!$A$6:$A$256,1)),IF($M257=$A257,INDEX(Market_Daily!$F$6:$F$256,MATCH($A257,Market_Daily!$A$6:$A$256,0)),(INDEX(Market_Daily!$F$6:$F$256,MATCH($A257,Market_Daily!$A$6:$A$256,0))*(1+INDEX(Market_Daily!$I$6:$I$256,MATCH($A257,Market_Daily!$A$6:$A$256,0))*($M257-$A257)/day_count_inr)/(1+INDEX(Market_Daily!$J$6:$J$256,MATCH($A257,Market_Daily!$A$6:$A$256,0))*($M257-$A257)/day_count_usd)))))</f>
        <v/>
      </c>
      <c r="AM257" s="8">
        <f>IF(OR($J257="INR",$R257&gt;1),"",$AL257-$X257)</f>
        <v/>
      </c>
      <c r="AN257" s="8">
        <f>$U257</f>
        <v/>
      </c>
      <c r="AO257" s="8">
        <f>$AN257*IF($J257="INR",1,$AL257)</f>
        <v/>
      </c>
      <c r="AP257" s="18">
        <f>$AO257-$V257</f>
        <v/>
      </c>
      <c r="AQ257" s="8">
        <f>IF(ABS($AP257)&lt;=tol_trade_inr,"PASS","FAIL")</f>
        <v/>
      </c>
    </row>
    <row r="258">
      <c r="A258" s="11" t="n">
        <v>44656</v>
      </c>
      <c r="B258" s="7" t="inlineStr">
        <is>
          <t>T01</t>
        </is>
      </c>
      <c r="C258" s="7" t="inlineStr">
        <is>
          <t>FREIGHT:L3</t>
        </is>
      </c>
      <c r="D258" s="7" t="inlineStr">
        <is>
          <t>FREIGHT</t>
        </is>
      </c>
      <c r="E258" s="7" t="inlineStr">
        <is>
          <t>physical</t>
        </is>
      </c>
      <c r="F258" s="7" t="inlineStr">
        <is>
          <t>L3</t>
        </is>
      </c>
      <c r="G258" s="7" t="inlineStr">
        <is>
          <t>Meridian Box Lines NVOCC (SIM)</t>
        </is>
      </c>
      <c r="H258" s="7" t="inlineStr">
        <is>
          <t>zorba</t>
        </is>
      </c>
      <c r="I258" s="7" t="inlineStr">
        <is>
          <t>USEC_MUN</t>
        </is>
      </c>
      <c r="J258" s="7" t="inlineStr">
        <is>
          <t>USD</t>
        </is>
      </c>
      <c r="K258" s="7" t="inlineStr">
        <is>
          <t>fixed_unsettled</t>
        </is>
      </c>
      <c r="L258" s="7" t="inlineStr">
        <is>
          <t>PNL</t>
        </is>
      </c>
      <c r="M258" s="11" t="n">
        <v>44698</v>
      </c>
      <c r="N258" s="13" t="n">
        <v>840</v>
      </c>
      <c r="O258" s="6" t="n">
        <v>0</v>
      </c>
      <c r="P258" s="13" t="n">
        <v>0</v>
      </c>
      <c r="Q258" s="22" t="n">
        <v>30</v>
      </c>
      <c r="R258" s="6" t="n">
        <v>1</v>
      </c>
      <c r="U258" s="9" t="n">
        <v>-86800</v>
      </c>
      <c r="V258" s="9" t="n">
        <v>-6563630.03</v>
      </c>
      <c r="X258" s="9" t="n">
        <v>75.61790000000001</v>
      </c>
      <c r="AK258" s="7" t="inlineStr">
        <is>
          <t>PYTHON_LIFECYCLE</t>
        </is>
      </c>
      <c r="AL258" s="8">
        <f>IF($J258="INR",1,IF($M258&lt;$A258,INDEX(Market_Daily!$F$6:$F$256,MATCH($M258,Market_Daily!$A$6:$A$256,1)),IF($M258=$A258,INDEX(Market_Daily!$F$6:$F$256,MATCH($A258,Market_Daily!$A$6:$A$256,0)),(INDEX(Market_Daily!$F$6:$F$256,MATCH($A258,Market_Daily!$A$6:$A$256,0))*(1+INDEX(Market_Daily!$I$6:$I$256,MATCH($A258,Market_Daily!$A$6:$A$256,0))*($M258-$A258)/day_count_inr)/(1+INDEX(Market_Daily!$J$6:$J$256,MATCH($A258,Market_Daily!$A$6:$A$256,0))*($M258-$A258)/day_count_usd)))))</f>
        <v/>
      </c>
      <c r="AM258" s="8">
        <f>IF(OR($J258="INR",$R258&gt;1),"",$AL258-$X258)</f>
        <v/>
      </c>
      <c r="AN258" s="8">
        <f>$U258</f>
        <v/>
      </c>
      <c r="AO258" s="8">
        <f>$AN258*IF($J258="INR",1,$AL258)</f>
        <v/>
      </c>
      <c r="AP258" s="18">
        <f>$AO258-$V258</f>
        <v/>
      </c>
      <c r="AQ258" s="8">
        <f>IF(ABS($AP258)&lt;=tol_trade_inr,"PASS","FAIL")</f>
        <v/>
      </c>
    </row>
    <row r="259">
      <c r="A259" s="11" t="n">
        <v>44656</v>
      </c>
      <c r="B259" s="7" t="inlineStr">
        <is>
          <t>T01</t>
        </is>
      </c>
      <c r="C259" s="7" t="inlineStr">
        <is>
          <t>FX:T01-FX-2</t>
        </is>
      </c>
      <c r="D259" s="7" t="inlineStr">
        <is>
          <t>FX</t>
        </is>
      </c>
      <c r="E259" s="7" t="inlineStr">
        <is>
          <t>fx_forward</t>
        </is>
      </c>
      <c r="H259" s="7" t="inlineStr">
        <is>
          <t>zorba</t>
        </is>
      </c>
      <c r="I259" s="7" t="inlineStr">
        <is>
          <t>USEC_MUN</t>
        </is>
      </c>
      <c r="J259" s="7" t="inlineStr">
        <is>
          <t>INR</t>
        </is>
      </c>
      <c r="K259" s="7" t="inlineStr">
        <is>
          <t>floating</t>
        </is>
      </c>
      <c r="L259" s="7" t="inlineStr">
        <is>
          <t>PNL</t>
        </is>
      </c>
      <c r="M259" s="11" t="n">
        <v>44662</v>
      </c>
      <c r="N259" s="13" t="n">
        <v>0</v>
      </c>
      <c r="O259" s="6" t="n">
        <v>0</v>
      </c>
      <c r="P259" s="13" t="n">
        <v>1965600</v>
      </c>
      <c r="Q259" s="22" t="n">
        <v>30</v>
      </c>
      <c r="R259" s="6" t="n">
        <v>1</v>
      </c>
      <c r="S259" s="12" t="n">
        <v>44662</v>
      </c>
      <c r="T259" s="21" t="n">
        <v>75.674504</v>
      </c>
      <c r="U259" s="9" t="n">
        <v>-587850.65</v>
      </c>
      <c r="V259" s="9" t="n">
        <v>-587850.65</v>
      </c>
      <c r="X259" s="9" t="n">
        <v>75.33499999999999</v>
      </c>
      <c r="AK259" s="7" t="inlineStr">
        <is>
          <t>DERIVED_IN_WORKBOOK</t>
        </is>
      </c>
      <c r="AL259" s="8">
        <f>IF($J259="INR",1,IF($M259&lt;$A259,INDEX(Market_Daily!$F$6:$F$256,MATCH($M259,Market_Daily!$A$6:$A$256,1)),IF($M259=$A259,INDEX(Market_Daily!$F$6:$F$256,MATCH($A259,Market_Daily!$A$6:$A$256,0)),(INDEX(Market_Daily!$F$6:$F$256,MATCH($A259,Market_Daily!$A$6:$A$256,0))*(1+INDEX(Market_Daily!$I$6:$I$256,MATCH($A259,Market_Daily!$A$6:$A$256,0))*($M259-$A259)/day_count_inr)/(1+INDEX(Market_Daily!$J$6:$J$256,MATCH($A259,Market_Daily!$A$6:$A$256,0))*($M259-$A259)/day_count_usd)))))</f>
        <v/>
      </c>
      <c r="AM259" s="8">
        <f>IF(OR($J259="INR",$R259&gt;1),"",$AL259-$X259)</f>
        <v/>
      </c>
      <c r="AN259" s="8">
        <f>$P259*(IF($S259&lt;$A259,INDEX(Market_Daily!$F$6:$F$256,MATCH($S259,Market_Daily!$A$6:$A$256,1)),IF($S259=$A259,INDEX(Market_Daily!$F$6:$F$256,MATCH($A259,Market_Daily!$A$6:$A$256,0)),(INDEX(Market_Daily!$F$6:$F$256,MATCH($A259,Market_Daily!$A$6:$A$256,0))*(1+INDEX(Market_Daily!$I$6:$I$256,MATCH($A259,Market_Daily!$A$6:$A$256,0))*($S259-$A259)/day_count_inr)/(1+INDEX(Market_Daily!$J$6:$J$256,MATCH($A259,Market_Daily!$A$6:$A$256,0))*($S259-$A259)/day_count_usd))))-$T259)</f>
        <v/>
      </c>
      <c r="AO259" s="8">
        <f>$AN259</f>
        <v/>
      </c>
      <c r="AP259" s="18">
        <f>$AO259-$V259</f>
        <v/>
      </c>
      <c r="AQ259" s="8">
        <f>IF(ABS($AP259)&lt;=tol_trade_inr,"PASS","FAIL")</f>
        <v/>
      </c>
    </row>
    <row r="260">
      <c r="A260" s="11" t="n">
        <v>44656</v>
      </c>
      <c r="B260" s="7" t="inlineStr">
        <is>
          <t>T01</t>
        </is>
      </c>
      <c r="C260" s="7" t="inlineStr">
        <is>
          <t>FX:T01-FX-4</t>
        </is>
      </c>
      <c r="D260" s="7" t="inlineStr">
        <is>
          <t>FX</t>
        </is>
      </c>
      <c r="E260" s="7" t="inlineStr">
        <is>
          <t>fx_forward</t>
        </is>
      </c>
      <c r="H260" s="7" t="inlineStr">
        <is>
          <t>zorba</t>
        </is>
      </c>
      <c r="I260" s="7" t="inlineStr">
        <is>
          <t>USEC_MUN</t>
        </is>
      </c>
      <c r="J260" s="7" t="inlineStr">
        <is>
          <t>INR</t>
        </is>
      </c>
      <c r="K260" s="7" t="inlineStr">
        <is>
          <t>floating</t>
        </is>
      </c>
      <c r="L260" s="7" t="inlineStr">
        <is>
          <t>PNL</t>
        </is>
      </c>
      <c r="M260" s="11" t="n">
        <v>44697</v>
      </c>
      <c r="N260" s="13" t="n">
        <v>0</v>
      </c>
      <c r="O260" s="6" t="n">
        <v>0</v>
      </c>
      <c r="P260" s="13" t="n">
        <v>260400</v>
      </c>
      <c r="Q260" s="22" t="n">
        <v>30</v>
      </c>
      <c r="R260" s="6" t="n">
        <v>1</v>
      </c>
      <c r="S260" s="12" t="n">
        <v>44697</v>
      </c>
      <c r="T260" s="21" t="n">
        <v>76.62367500000001</v>
      </c>
      <c r="U260" s="9" t="n">
        <v>-263667.35</v>
      </c>
      <c r="V260" s="9" t="n">
        <v>-263667.35</v>
      </c>
      <c r="X260" s="9" t="n">
        <v>75.33499999999999</v>
      </c>
      <c r="AK260" s="7" t="inlineStr">
        <is>
          <t>DERIVED_IN_WORKBOOK</t>
        </is>
      </c>
      <c r="AL260" s="8">
        <f>IF($J260="INR",1,IF($M260&lt;$A260,INDEX(Market_Daily!$F$6:$F$256,MATCH($M260,Market_Daily!$A$6:$A$256,1)),IF($M260=$A260,INDEX(Market_Daily!$F$6:$F$256,MATCH($A260,Market_Daily!$A$6:$A$256,0)),(INDEX(Market_Daily!$F$6:$F$256,MATCH($A260,Market_Daily!$A$6:$A$256,0))*(1+INDEX(Market_Daily!$I$6:$I$256,MATCH($A260,Market_Daily!$A$6:$A$256,0))*($M260-$A260)/day_count_inr)/(1+INDEX(Market_Daily!$J$6:$J$256,MATCH($A260,Market_Daily!$A$6:$A$256,0))*($M260-$A260)/day_count_usd)))))</f>
        <v/>
      </c>
      <c r="AM260" s="8">
        <f>IF(OR($J260="INR",$R260&gt;1),"",$AL260-$X260)</f>
        <v/>
      </c>
      <c r="AN260" s="8">
        <f>$P260*(IF($S260&lt;$A260,INDEX(Market_Daily!$F$6:$F$256,MATCH($S260,Market_Daily!$A$6:$A$256,1)),IF($S260=$A260,INDEX(Market_Daily!$F$6:$F$256,MATCH($A260,Market_Daily!$A$6:$A$256,0)),(INDEX(Market_Daily!$F$6:$F$256,MATCH($A260,Market_Daily!$A$6:$A$256,0))*(1+INDEX(Market_Daily!$I$6:$I$256,MATCH($A260,Market_Daily!$A$6:$A$256,0))*($S260-$A260)/day_count_inr)/(1+INDEX(Market_Daily!$J$6:$J$256,MATCH($A260,Market_Daily!$A$6:$A$256,0))*($S260-$A260)/day_count_usd))))-$T260)</f>
        <v/>
      </c>
      <c r="AO260" s="8">
        <f>$AN260</f>
        <v/>
      </c>
      <c r="AP260" s="18">
        <f>$AO260-$V260</f>
        <v/>
      </c>
      <c r="AQ260" s="8">
        <f>IF(ABS($AP260)&lt;=tol_trade_inr,"PASS","FAIL")</f>
        <v/>
      </c>
    </row>
    <row r="261">
      <c r="A261" s="11" t="n">
        <v>44656</v>
      </c>
      <c r="B261" s="7" t="inlineStr">
        <is>
          <t>T01</t>
        </is>
      </c>
      <c r="C261" s="7" t="inlineStr">
        <is>
          <t>IGST:L1</t>
        </is>
      </c>
      <c r="D261" s="7" t="inlineStr">
        <is>
          <t>IGST</t>
        </is>
      </c>
      <c r="E261" s="7" t="inlineStr">
        <is>
          <t>physical</t>
        </is>
      </c>
      <c r="F261" s="7" t="inlineStr">
        <is>
          <t>L1</t>
        </is>
      </c>
      <c r="H261" s="7" t="inlineStr">
        <is>
          <t>zorba</t>
        </is>
      </c>
      <c r="I261" s="7" t="inlineStr">
        <is>
          <t>USEC_MUN</t>
        </is>
      </c>
      <c r="J261" s="7" t="inlineStr">
        <is>
          <t>INR</t>
        </is>
      </c>
      <c r="K261" s="7" t="inlineStr">
        <is>
          <t>floating</t>
        </is>
      </c>
      <c r="L261" s="7" t="inlineStr">
        <is>
          <t>BS</t>
        </is>
      </c>
      <c r="M261" s="11" t="n">
        <v>44735</v>
      </c>
      <c r="N261" s="13" t="n">
        <v>0</v>
      </c>
      <c r="O261" s="6" t="n">
        <v>0</v>
      </c>
      <c r="P261" s="13" t="n">
        <v>0</v>
      </c>
      <c r="Q261" s="22" t="n">
        <v>30</v>
      </c>
      <c r="R261" s="6" t="n">
        <v>2</v>
      </c>
      <c r="U261" s="9" t="n">
        <v>0</v>
      </c>
      <c r="V261" s="9" t="n">
        <v>0</v>
      </c>
      <c r="X261" s="9" t="n">
        <v>75.33499999999999</v>
      </c>
      <c r="AK261" s="7" t="inlineStr">
        <is>
          <t>PYTHON_MULTI_FLOW_LEG</t>
        </is>
      </c>
      <c r="AL261" s="8">
        <f>IF($J261="INR",1,IF($M261&lt;$A261,INDEX(Market_Daily!$F$6:$F$256,MATCH($M261,Market_Daily!$A$6:$A$256,1)),IF($M261=$A261,INDEX(Market_Daily!$F$6:$F$256,MATCH($A261,Market_Daily!$A$6:$A$256,0)),(INDEX(Market_Daily!$F$6:$F$256,MATCH($A261,Market_Daily!$A$6:$A$256,0))*(1+INDEX(Market_Daily!$I$6:$I$256,MATCH($A261,Market_Daily!$A$6:$A$256,0))*($M261-$A261)/day_count_inr)/(1+INDEX(Market_Daily!$J$6:$J$256,MATCH($A261,Market_Daily!$A$6:$A$256,0))*($M261-$A261)/day_count_usd)))))</f>
        <v/>
      </c>
      <c r="AM261" s="8">
        <f>IF(OR($J261="INR",$R261&gt;1),"",$AL261-$X261)</f>
        <v/>
      </c>
      <c r="AN261" s="8">
        <f>$U261</f>
        <v/>
      </c>
      <c r="AO261" s="8">
        <f>$V261</f>
        <v/>
      </c>
      <c r="AP261" s="18">
        <f>$AO261-$V261</f>
        <v/>
      </c>
      <c r="AQ261" s="8">
        <f>IF(ABS($AP261)&lt;=tol_trade_inr,"PASS","FAIL")</f>
        <v/>
      </c>
    </row>
    <row r="262">
      <c r="A262" s="11" t="n">
        <v>44656</v>
      </c>
      <c r="B262" s="7" t="inlineStr">
        <is>
          <t>T01</t>
        </is>
      </c>
      <c r="C262" s="7" t="inlineStr">
        <is>
          <t>IGST:L2</t>
        </is>
      </c>
      <c r="D262" s="7" t="inlineStr">
        <is>
          <t>IGST</t>
        </is>
      </c>
      <c r="E262" s="7" t="inlineStr">
        <is>
          <t>physical</t>
        </is>
      </c>
      <c r="F262" s="7" t="inlineStr">
        <is>
          <t>L2</t>
        </is>
      </c>
      <c r="H262" s="7" t="inlineStr">
        <is>
          <t>zorba</t>
        </is>
      </c>
      <c r="I262" s="7" t="inlineStr">
        <is>
          <t>USEC_MUN</t>
        </is>
      </c>
      <c r="J262" s="7" t="inlineStr">
        <is>
          <t>INR</t>
        </is>
      </c>
      <c r="K262" s="7" t="inlineStr">
        <is>
          <t>floating</t>
        </is>
      </c>
      <c r="L262" s="7" t="inlineStr">
        <is>
          <t>BS</t>
        </is>
      </c>
      <c r="M262" s="11" t="n">
        <v>44741</v>
      </c>
      <c r="N262" s="13" t="n">
        <v>0</v>
      </c>
      <c r="O262" s="6" t="n">
        <v>0</v>
      </c>
      <c r="P262" s="13" t="n">
        <v>0</v>
      </c>
      <c r="Q262" s="22" t="n">
        <v>30</v>
      </c>
      <c r="R262" s="6" t="n">
        <v>2</v>
      </c>
      <c r="U262" s="9" t="n">
        <v>0</v>
      </c>
      <c r="V262" s="9" t="n">
        <v>0</v>
      </c>
      <c r="X262" s="9" t="n">
        <v>75.33499999999999</v>
      </c>
      <c r="AK262" s="7" t="inlineStr">
        <is>
          <t>PYTHON_MULTI_FLOW_LEG</t>
        </is>
      </c>
      <c r="AL262" s="8">
        <f>IF($J262="INR",1,IF($M262&lt;$A262,INDEX(Market_Daily!$F$6:$F$256,MATCH($M262,Market_Daily!$A$6:$A$256,1)),IF($M262=$A262,INDEX(Market_Daily!$F$6:$F$256,MATCH($A262,Market_Daily!$A$6:$A$256,0)),(INDEX(Market_Daily!$F$6:$F$256,MATCH($A262,Market_Daily!$A$6:$A$256,0))*(1+INDEX(Market_Daily!$I$6:$I$256,MATCH($A262,Market_Daily!$A$6:$A$256,0))*($M262-$A262)/day_count_inr)/(1+INDEX(Market_Daily!$J$6:$J$256,MATCH($A262,Market_Daily!$A$6:$A$256,0))*($M262-$A262)/day_count_usd)))))</f>
        <v/>
      </c>
      <c r="AM262" s="8">
        <f>IF(OR($J262="INR",$R262&gt;1),"",$AL262-$X262)</f>
        <v/>
      </c>
      <c r="AN262" s="8">
        <f>$U262</f>
        <v/>
      </c>
      <c r="AO262" s="8">
        <f>$V262</f>
        <v/>
      </c>
      <c r="AP262" s="18">
        <f>$AO262-$V262</f>
        <v/>
      </c>
      <c r="AQ262" s="8">
        <f>IF(ABS($AP262)&lt;=tol_trade_inr,"PASS","FAIL")</f>
        <v/>
      </c>
    </row>
    <row r="263">
      <c r="A263" s="11" t="n">
        <v>44656</v>
      </c>
      <c r="B263" s="7" t="inlineStr">
        <is>
          <t>T01</t>
        </is>
      </c>
      <c r="C263" s="7" t="inlineStr">
        <is>
          <t>IGST:L3</t>
        </is>
      </c>
      <c r="D263" s="7" t="inlineStr">
        <is>
          <t>IGST</t>
        </is>
      </c>
      <c r="E263" s="7" t="inlineStr">
        <is>
          <t>physical</t>
        </is>
      </c>
      <c r="F263" s="7" t="inlineStr">
        <is>
          <t>L3</t>
        </is>
      </c>
      <c r="H263" s="7" t="inlineStr">
        <is>
          <t>zorba</t>
        </is>
      </c>
      <c r="I263" s="7" t="inlineStr">
        <is>
          <t>USEC_MUN</t>
        </is>
      </c>
      <c r="J263" s="7" t="inlineStr">
        <is>
          <t>INR</t>
        </is>
      </c>
      <c r="K263" s="7" t="inlineStr">
        <is>
          <t>floating</t>
        </is>
      </c>
      <c r="L263" s="7" t="inlineStr">
        <is>
          <t>BS</t>
        </is>
      </c>
      <c r="M263" s="11" t="n">
        <v>44746</v>
      </c>
      <c r="N263" s="13" t="n">
        <v>0</v>
      </c>
      <c r="O263" s="6" t="n">
        <v>0</v>
      </c>
      <c r="P263" s="13" t="n">
        <v>0</v>
      </c>
      <c r="Q263" s="22" t="n">
        <v>30</v>
      </c>
      <c r="R263" s="6" t="n">
        <v>2</v>
      </c>
      <c r="U263" s="9" t="n">
        <v>0</v>
      </c>
      <c r="V263" s="9" t="n">
        <v>0</v>
      </c>
      <c r="X263" s="9" t="n">
        <v>75.33499999999999</v>
      </c>
      <c r="AK263" s="7" t="inlineStr">
        <is>
          <t>PYTHON_MULTI_FLOW_LEG</t>
        </is>
      </c>
      <c r="AL263" s="8">
        <f>IF($J263="INR",1,IF($M263&lt;$A263,INDEX(Market_Daily!$F$6:$F$256,MATCH($M263,Market_Daily!$A$6:$A$256,1)),IF($M263=$A263,INDEX(Market_Daily!$F$6:$F$256,MATCH($A263,Market_Daily!$A$6:$A$256,0)),(INDEX(Market_Daily!$F$6:$F$256,MATCH($A263,Market_Daily!$A$6:$A$256,0))*(1+INDEX(Market_Daily!$I$6:$I$256,MATCH($A263,Market_Daily!$A$6:$A$256,0))*($M263-$A263)/day_count_inr)/(1+INDEX(Market_Daily!$J$6:$J$256,MATCH($A263,Market_Daily!$A$6:$A$256,0))*($M263-$A263)/day_count_usd)))))</f>
        <v/>
      </c>
      <c r="AM263" s="8">
        <f>IF(OR($J263="INR",$R263&gt;1),"",$AL263-$X263)</f>
        <v/>
      </c>
      <c r="AN263" s="8">
        <f>$U263</f>
        <v/>
      </c>
      <c r="AO263" s="8">
        <f>$V263</f>
        <v/>
      </c>
      <c r="AP263" s="18">
        <f>$AO263-$V263</f>
        <v/>
      </c>
      <c r="AQ263" s="8">
        <f>IF(ABS($AP263)&lt;=tol_trade_inr,"PASS","FAIL")</f>
        <v/>
      </c>
    </row>
    <row r="264">
      <c r="A264" s="11" t="n">
        <v>44656</v>
      </c>
      <c r="B264" s="7" t="inlineStr">
        <is>
          <t>T01</t>
        </is>
      </c>
      <c r="C264" s="7" t="inlineStr">
        <is>
          <t>INSURANCE:L3</t>
        </is>
      </c>
      <c r="D264" s="7" t="inlineStr">
        <is>
          <t>INSURANCE</t>
        </is>
      </c>
      <c r="E264" s="7" t="inlineStr">
        <is>
          <t>physical</t>
        </is>
      </c>
      <c r="F264" s="7" t="inlineStr">
        <is>
          <t>L3</t>
        </is>
      </c>
      <c r="H264" s="7" t="inlineStr">
        <is>
          <t>zorba</t>
        </is>
      </c>
      <c r="I264" s="7" t="inlineStr">
        <is>
          <t>USEC_MUN</t>
        </is>
      </c>
      <c r="J264" s="7" t="inlineStr">
        <is>
          <t>USD</t>
        </is>
      </c>
      <c r="K264" s="7" t="inlineStr">
        <is>
          <t>floating</t>
        </is>
      </c>
      <c r="L264" s="7" t="inlineStr">
        <is>
          <t>PNL</t>
        </is>
      </c>
      <c r="M264" s="11" t="n">
        <v>44658</v>
      </c>
      <c r="N264" s="13" t="n">
        <v>840</v>
      </c>
      <c r="O264" s="6" t="n">
        <v>0</v>
      </c>
      <c r="P264" s="13" t="n">
        <v>0</v>
      </c>
      <c r="Q264" s="22" t="n">
        <v>30</v>
      </c>
      <c r="R264" s="6" t="n">
        <v>1</v>
      </c>
      <c r="U264" s="9" t="n">
        <v>-2257.64</v>
      </c>
      <c r="V264" s="9" t="n">
        <v>-170109.74</v>
      </c>
      <c r="X264" s="9" t="n">
        <v>75.3485</v>
      </c>
      <c r="AK264" s="7" t="inlineStr">
        <is>
          <t>PYTHON_LIFECYCLE</t>
        </is>
      </c>
      <c r="AL264" s="8">
        <f>IF($J264="INR",1,IF($M264&lt;$A264,INDEX(Market_Daily!$F$6:$F$256,MATCH($M264,Market_Daily!$A$6:$A$256,1)),IF($M264=$A264,INDEX(Market_Daily!$F$6:$F$256,MATCH($A264,Market_Daily!$A$6:$A$256,0)),(INDEX(Market_Daily!$F$6:$F$256,MATCH($A264,Market_Daily!$A$6:$A$256,0))*(1+INDEX(Market_Daily!$I$6:$I$256,MATCH($A264,Market_Daily!$A$6:$A$256,0))*($M264-$A264)/day_count_inr)/(1+INDEX(Market_Daily!$J$6:$J$256,MATCH($A264,Market_Daily!$A$6:$A$256,0))*($M264-$A264)/day_count_usd)))))</f>
        <v/>
      </c>
      <c r="AM264" s="8">
        <f>IF(OR($J264="INR",$R264&gt;1),"",$AL264-$X264)</f>
        <v/>
      </c>
      <c r="AN264" s="8">
        <f>$U264</f>
        <v/>
      </c>
      <c r="AO264" s="8">
        <f>$AN264*IF($J264="INR",1,$AL264)</f>
        <v/>
      </c>
      <c r="AP264" s="18">
        <f>$AO264-$V264</f>
        <v/>
      </c>
      <c r="AQ264" s="8">
        <f>IF(ABS($AP264)&lt;=tol_trade_inr,"PASS","FAIL")</f>
        <v/>
      </c>
    </row>
    <row r="265">
      <c r="A265" s="11" t="n">
        <v>44656</v>
      </c>
      <c r="B265" s="7" t="inlineStr">
        <is>
          <t>T01</t>
        </is>
      </c>
      <c r="C265" s="7" t="inlineStr">
        <is>
          <t>INVENTORY:L1</t>
        </is>
      </c>
      <c r="D265" s="7" t="inlineStr">
        <is>
          <t>INVENTORY</t>
        </is>
      </c>
      <c r="E265" s="7" t="inlineStr">
        <is>
          <t>physical</t>
        </is>
      </c>
      <c r="F265" s="7" t="inlineStr">
        <is>
          <t>L1</t>
        </is>
      </c>
      <c r="H265" s="7" t="inlineStr">
        <is>
          <t>zorba</t>
        </is>
      </c>
      <c r="I265" s="7" t="inlineStr">
        <is>
          <t>USEC_MUN</t>
        </is>
      </c>
      <c r="J265" s="7" t="inlineStr">
        <is>
          <t>INR</t>
        </is>
      </c>
      <c r="K265" s="7" t="inlineStr">
        <is>
          <t>fixed_unsettled</t>
        </is>
      </c>
      <c r="L265" s="7" t="inlineStr">
        <is>
          <t>PNL</t>
        </is>
      </c>
      <c r="N265" s="13" t="n">
        <v>840</v>
      </c>
      <c r="O265" s="6" t="n">
        <v>0</v>
      </c>
      <c r="P265" s="13" t="n">
        <v>0</v>
      </c>
      <c r="Q265" s="22" t="n">
        <v>30</v>
      </c>
      <c r="R265" s="6" t="n">
        <v>0</v>
      </c>
      <c r="U265" s="9" t="n">
        <v>164905080.33</v>
      </c>
      <c r="V265" s="9" t="n">
        <v>164905080.33</v>
      </c>
      <c r="W265" s="9" t="n">
        <v>196315.5718</v>
      </c>
      <c r="X265" s="9" t="n">
        <v>75.33499999999999</v>
      </c>
      <c r="Y265" s="8">
        <f>IF($I265="JEA_NSA","20ft","40ft")</f>
        <v/>
      </c>
      <c r="Z265" s="8">
        <f>IF($I265="JEA_NSA","nsa","mun")</f>
        <v/>
      </c>
      <c r="AA265" s="8">
        <f>INDEX(param_values,MATCH("container_payload_mt_"&amp;$Y265,param_keys,0))/INDEX(param_values,MATCH("container_payload_mt_"&amp;$Y265&amp;"_"&amp;$H265,param_keys,0))</f>
        <v/>
      </c>
      <c r="AB265" s="16">
        <f>INDEX(Market_Daily!$C$6:$C$256,MATCH($A265,Market_Daily!$A$6:$A$256,0))*INDEX(Market_Daily!$X$6:$Z$256,MATCH($A265,Market_Daily!$A$6:$A$256,0),MATCH("grade_factor_"&amp;$H265,Market_Daily!$X$5:$Z$5,0))</f>
        <v/>
      </c>
      <c r="AC265" s="16">
        <f>$AB265*(1+insurance_rate*insured_value_uplift)</f>
        <v/>
      </c>
      <c r="AD265" s="8">
        <f>(INDEX(Market_Daily!$F$6:$F$256,MATCH($A265,Market_Daily!$A$6:$A$256,0))*(1+INDEX(Market_Daily!$I$6:$I$256,MATCH($A265,Market_Daily!$A$6:$A$256,0))*$Q265/day_count_inr)/(1+INDEX(Market_Daily!$J$6:$J$256,MATCH($A265,Market_Daily!$A$6:$A$256,0))*$Q265/day_count_usd))</f>
        <v/>
      </c>
      <c r="AE265" s="18">
        <f>$AC265*$AD265</f>
        <v/>
      </c>
      <c r="AF265" s="18">
        <f>$AC265*INDEX(Market_Daily!$V$6:$V$256,MATCH($A265,Market_Daily!$A$6:$A$256,0))</f>
        <v/>
      </c>
      <c r="AG265" s="18">
        <f>$AF265*bcd_scrap_hs7602*(1+sws_rate_on_bcd)</f>
        <v/>
      </c>
      <c r="AH265" s="18">
        <f>INDEX(param_values,MATCH("port_cf_charges_inr_t_"&amp;$Z265,param_keys,0))*$AA265+IF(INDEX(param_values,MATCH(IF($I265="JEA_NSA","psic_required_uae_origin","psic_required_safe_origin_designated_port"),param_keys,0)),psic_cost_usd_per_box*INDEX(Market_Daily!$F$6:$F$256,MATCH($A265,Market_Daily!$A$6:$A$256,0))/INDEX(param_values,MATCH("container_payload_mt_20ft_"&amp;$H265,param_keys,0)),0)</f>
        <v/>
      </c>
      <c r="AI265" s="18">
        <f>IF(igst_itc_available,0,($AF265+$AG265)*igst_rate_hs7602)</f>
        <v/>
      </c>
      <c r="AJ265" s="18">
        <f>$AE265+$AG265+$AH265+$AI265</f>
        <v/>
      </c>
      <c r="AK265" s="7" t="inlineStr">
        <is>
          <t>DERIVED_IN_WORKBOOK</t>
        </is>
      </c>
      <c r="AL265" s="8">
        <f>IF($J265="INR",1,IF($M265&lt;$A265,INDEX(Market_Daily!$F$6:$F$256,MATCH($M265,Market_Daily!$A$6:$A$256,1)),IF($M265=$A265,INDEX(Market_Daily!$F$6:$F$256,MATCH($A265,Market_Daily!$A$6:$A$256,0)),(INDEX(Market_Daily!$F$6:$F$256,MATCH($A265,Market_Daily!$A$6:$A$256,0))*(1+INDEX(Market_Daily!$I$6:$I$256,MATCH($A265,Market_Daily!$A$6:$A$256,0))*($M265-$A265)/day_count_inr)/(1+INDEX(Market_Daily!$J$6:$J$256,MATCH($A265,Market_Daily!$A$6:$A$256,0))*($M265-$A265)/day_count_usd)))))</f>
        <v/>
      </c>
      <c r="AM265" s="8">
        <f>IF(OR($J265="INR",$R265&gt;1),"",$AL265-$X265)</f>
        <v/>
      </c>
      <c r="AN265" s="8">
        <f>$N265*$AJ265</f>
        <v/>
      </c>
      <c r="AO265" s="8">
        <f>$AN265</f>
        <v/>
      </c>
      <c r="AP265" s="18">
        <f>$AO265-$V265</f>
        <v/>
      </c>
      <c r="AQ265" s="8">
        <f>IF(ABS($AP265)&lt;=tol_trade_inr,"PASS","FAIL")</f>
        <v/>
      </c>
    </row>
    <row r="266">
      <c r="A266" s="11" t="n">
        <v>44656</v>
      </c>
      <c r="B266" s="7" t="inlineStr">
        <is>
          <t>T01</t>
        </is>
      </c>
      <c r="C266" s="7" t="inlineStr">
        <is>
          <t>INVENTORY:L2</t>
        </is>
      </c>
      <c r="D266" s="7" t="inlineStr">
        <is>
          <t>INVENTORY</t>
        </is>
      </c>
      <c r="E266" s="7" t="inlineStr">
        <is>
          <t>physical</t>
        </is>
      </c>
      <c r="F266" s="7" t="inlineStr">
        <is>
          <t>L2</t>
        </is>
      </c>
      <c r="H266" s="7" t="inlineStr">
        <is>
          <t>zorba</t>
        </is>
      </c>
      <c r="I266" s="7" t="inlineStr">
        <is>
          <t>USEC_MUN</t>
        </is>
      </c>
      <c r="J266" s="7" t="inlineStr">
        <is>
          <t>INR</t>
        </is>
      </c>
      <c r="K266" s="7" t="inlineStr">
        <is>
          <t>fixed_unsettled</t>
        </is>
      </c>
      <c r="L266" s="7" t="inlineStr">
        <is>
          <t>PNL</t>
        </is>
      </c>
      <c r="N266" s="13" t="n">
        <v>840</v>
      </c>
      <c r="O266" s="6" t="n">
        <v>0</v>
      </c>
      <c r="P266" s="13" t="n">
        <v>0</v>
      </c>
      <c r="Q266" s="22" t="n">
        <v>30</v>
      </c>
      <c r="R266" s="6" t="n">
        <v>0</v>
      </c>
      <c r="U266" s="9" t="n">
        <v>164905080.33</v>
      </c>
      <c r="V266" s="9" t="n">
        <v>164905080.33</v>
      </c>
      <c r="W266" s="9" t="n">
        <v>196315.5718</v>
      </c>
      <c r="X266" s="9" t="n">
        <v>75.33499999999999</v>
      </c>
      <c r="Y266" s="8">
        <f>IF($I266="JEA_NSA","20ft","40ft")</f>
        <v/>
      </c>
      <c r="Z266" s="8">
        <f>IF($I266="JEA_NSA","nsa","mun")</f>
        <v/>
      </c>
      <c r="AA266" s="8">
        <f>INDEX(param_values,MATCH("container_payload_mt_"&amp;$Y266,param_keys,0))/INDEX(param_values,MATCH("container_payload_mt_"&amp;$Y266&amp;"_"&amp;$H266,param_keys,0))</f>
        <v/>
      </c>
      <c r="AB266" s="16">
        <f>INDEX(Market_Daily!$C$6:$C$256,MATCH($A266,Market_Daily!$A$6:$A$256,0))*INDEX(Market_Daily!$X$6:$Z$256,MATCH($A266,Market_Daily!$A$6:$A$256,0),MATCH("grade_factor_"&amp;$H266,Market_Daily!$X$5:$Z$5,0))</f>
        <v/>
      </c>
      <c r="AC266" s="16">
        <f>$AB266*(1+insurance_rate*insured_value_uplift)</f>
        <v/>
      </c>
      <c r="AD266" s="8">
        <f>(INDEX(Market_Daily!$F$6:$F$256,MATCH($A266,Market_Daily!$A$6:$A$256,0))*(1+INDEX(Market_Daily!$I$6:$I$256,MATCH($A266,Market_Daily!$A$6:$A$256,0))*$Q266/day_count_inr)/(1+INDEX(Market_Daily!$J$6:$J$256,MATCH($A266,Market_Daily!$A$6:$A$256,0))*$Q266/day_count_usd))</f>
        <v/>
      </c>
      <c r="AE266" s="18">
        <f>$AC266*$AD266</f>
        <v/>
      </c>
      <c r="AF266" s="18">
        <f>$AC266*INDEX(Market_Daily!$V$6:$V$256,MATCH($A266,Market_Daily!$A$6:$A$256,0))</f>
        <v/>
      </c>
      <c r="AG266" s="18">
        <f>$AF266*bcd_scrap_hs7602*(1+sws_rate_on_bcd)</f>
        <v/>
      </c>
      <c r="AH266" s="18">
        <f>INDEX(param_values,MATCH("port_cf_charges_inr_t_"&amp;$Z266,param_keys,0))*$AA266+IF(INDEX(param_values,MATCH(IF($I266="JEA_NSA","psic_required_uae_origin","psic_required_safe_origin_designated_port"),param_keys,0)),psic_cost_usd_per_box*INDEX(Market_Daily!$F$6:$F$256,MATCH($A266,Market_Daily!$A$6:$A$256,0))/INDEX(param_values,MATCH("container_payload_mt_20ft_"&amp;$H266,param_keys,0)),0)</f>
        <v/>
      </c>
      <c r="AI266" s="18">
        <f>IF(igst_itc_available,0,($AF266+$AG266)*igst_rate_hs7602)</f>
        <v/>
      </c>
      <c r="AJ266" s="18">
        <f>$AE266+$AG266+$AH266+$AI266</f>
        <v/>
      </c>
      <c r="AK266" s="7" t="inlineStr">
        <is>
          <t>DERIVED_IN_WORKBOOK</t>
        </is>
      </c>
      <c r="AL266" s="8">
        <f>IF($J266="INR",1,IF($M266&lt;$A266,INDEX(Market_Daily!$F$6:$F$256,MATCH($M266,Market_Daily!$A$6:$A$256,1)),IF($M266=$A266,INDEX(Market_Daily!$F$6:$F$256,MATCH($A266,Market_Daily!$A$6:$A$256,0)),(INDEX(Market_Daily!$F$6:$F$256,MATCH($A266,Market_Daily!$A$6:$A$256,0))*(1+INDEX(Market_Daily!$I$6:$I$256,MATCH($A266,Market_Daily!$A$6:$A$256,0))*($M266-$A266)/day_count_inr)/(1+INDEX(Market_Daily!$J$6:$J$256,MATCH($A266,Market_Daily!$A$6:$A$256,0))*($M266-$A266)/day_count_usd)))))</f>
        <v/>
      </c>
      <c r="AM266" s="8">
        <f>IF(OR($J266="INR",$R266&gt;1),"",$AL266-$X266)</f>
        <v/>
      </c>
      <c r="AN266" s="8">
        <f>$N266*$AJ266</f>
        <v/>
      </c>
      <c r="AO266" s="8">
        <f>$AN266</f>
        <v/>
      </c>
      <c r="AP266" s="18">
        <f>$AO266-$V266</f>
        <v/>
      </c>
      <c r="AQ266" s="8">
        <f>IF(ABS($AP266)&lt;=tol_trade_inr,"PASS","FAIL")</f>
        <v/>
      </c>
    </row>
    <row r="267">
      <c r="A267" s="11" t="n">
        <v>44656</v>
      </c>
      <c r="B267" s="7" t="inlineStr">
        <is>
          <t>T01</t>
        </is>
      </c>
      <c r="C267" s="7" t="inlineStr">
        <is>
          <t>INVENTORY:L3</t>
        </is>
      </c>
      <c r="D267" s="7" t="inlineStr">
        <is>
          <t>INVENTORY</t>
        </is>
      </c>
      <c r="E267" s="7" t="inlineStr">
        <is>
          <t>physical</t>
        </is>
      </c>
      <c r="F267" s="7" t="inlineStr">
        <is>
          <t>L3</t>
        </is>
      </c>
      <c r="H267" s="7" t="inlineStr">
        <is>
          <t>zorba</t>
        </is>
      </c>
      <c r="I267" s="7" t="inlineStr">
        <is>
          <t>USEC_MUN</t>
        </is>
      </c>
      <c r="J267" s="7" t="inlineStr">
        <is>
          <t>INR</t>
        </is>
      </c>
      <c r="K267" s="7" t="inlineStr">
        <is>
          <t>fixed_unsettled</t>
        </is>
      </c>
      <c r="L267" s="7" t="inlineStr">
        <is>
          <t>PNL</t>
        </is>
      </c>
      <c r="N267" s="13" t="n">
        <v>840</v>
      </c>
      <c r="O267" s="6" t="n">
        <v>0</v>
      </c>
      <c r="P267" s="13" t="n">
        <v>0</v>
      </c>
      <c r="Q267" s="22" t="n">
        <v>30</v>
      </c>
      <c r="R267" s="6" t="n">
        <v>0</v>
      </c>
      <c r="U267" s="9" t="n">
        <v>164905080.33</v>
      </c>
      <c r="V267" s="9" t="n">
        <v>164905080.33</v>
      </c>
      <c r="W267" s="9" t="n">
        <v>196315.5718</v>
      </c>
      <c r="X267" s="9" t="n">
        <v>75.33499999999999</v>
      </c>
      <c r="Y267" s="8">
        <f>IF($I267="JEA_NSA","20ft","40ft")</f>
        <v/>
      </c>
      <c r="Z267" s="8">
        <f>IF($I267="JEA_NSA","nsa","mun")</f>
        <v/>
      </c>
      <c r="AA267" s="8">
        <f>INDEX(param_values,MATCH("container_payload_mt_"&amp;$Y267,param_keys,0))/INDEX(param_values,MATCH("container_payload_mt_"&amp;$Y267&amp;"_"&amp;$H267,param_keys,0))</f>
        <v/>
      </c>
      <c r="AB267" s="16">
        <f>INDEX(Market_Daily!$C$6:$C$256,MATCH($A267,Market_Daily!$A$6:$A$256,0))*INDEX(Market_Daily!$X$6:$Z$256,MATCH($A267,Market_Daily!$A$6:$A$256,0),MATCH("grade_factor_"&amp;$H267,Market_Daily!$X$5:$Z$5,0))</f>
        <v/>
      </c>
      <c r="AC267" s="16">
        <f>$AB267*(1+insurance_rate*insured_value_uplift)</f>
        <v/>
      </c>
      <c r="AD267" s="8">
        <f>(INDEX(Market_Daily!$F$6:$F$256,MATCH($A267,Market_Daily!$A$6:$A$256,0))*(1+INDEX(Market_Daily!$I$6:$I$256,MATCH($A267,Market_Daily!$A$6:$A$256,0))*$Q267/day_count_inr)/(1+INDEX(Market_Daily!$J$6:$J$256,MATCH($A267,Market_Daily!$A$6:$A$256,0))*$Q267/day_count_usd))</f>
        <v/>
      </c>
      <c r="AE267" s="18">
        <f>$AC267*$AD267</f>
        <v/>
      </c>
      <c r="AF267" s="18">
        <f>$AC267*INDEX(Market_Daily!$V$6:$V$256,MATCH($A267,Market_Daily!$A$6:$A$256,0))</f>
        <v/>
      </c>
      <c r="AG267" s="18">
        <f>$AF267*bcd_scrap_hs7602*(1+sws_rate_on_bcd)</f>
        <v/>
      </c>
      <c r="AH267" s="18">
        <f>INDEX(param_values,MATCH("port_cf_charges_inr_t_"&amp;$Z267,param_keys,0))*$AA267+IF(INDEX(param_values,MATCH(IF($I267="JEA_NSA","psic_required_uae_origin","psic_required_safe_origin_designated_port"),param_keys,0)),psic_cost_usd_per_box*INDEX(Market_Daily!$F$6:$F$256,MATCH($A267,Market_Daily!$A$6:$A$256,0))/INDEX(param_values,MATCH("container_payload_mt_20ft_"&amp;$H267,param_keys,0)),0)</f>
        <v/>
      </c>
      <c r="AI267" s="18">
        <f>IF(igst_itc_available,0,($AF267+$AG267)*igst_rate_hs7602)</f>
        <v/>
      </c>
      <c r="AJ267" s="18">
        <f>$AE267+$AG267+$AH267+$AI267</f>
        <v/>
      </c>
      <c r="AK267" s="7" t="inlineStr">
        <is>
          <t>DERIVED_IN_WORKBOOK</t>
        </is>
      </c>
      <c r="AL267" s="8">
        <f>IF($J267="INR",1,IF($M267&lt;$A267,INDEX(Market_Daily!$F$6:$F$256,MATCH($M267,Market_Daily!$A$6:$A$256,1)),IF($M267=$A267,INDEX(Market_Daily!$F$6:$F$256,MATCH($A267,Market_Daily!$A$6:$A$256,0)),(INDEX(Market_Daily!$F$6:$F$256,MATCH($A267,Market_Daily!$A$6:$A$256,0))*(1+INDEX(Market_Daily!$I$6:$I$256,MATCH($A267,Market_Daily!$A$6:$A$256,0))*($M267-$A267)/day_count_inr)/(1+INDEX(Market_Daily!$J$6:$J$256,MATCH($A267,Market_Daily!$A$6:$A$256,0))*($M267-$A267)/day_count_usd)))))</f>
        <v/>
      </c>
      <c r="AM267" s="8">
        <f>IF(OR($J267="INR",$R267&gt;1),"",$AL267-$X267)</f>
        <v/>
      </c>
      <c r="AN267" s="8">
        <f>$N267*$AJ267</f>
        <v/>
      </c>
      <c r="AO267" s="8">
        <f>$AN267</f>
        <v/>
      </c>
      <c r="AP267" s="18">
        <f>$AO267-$V267</f>
        <v/>
      </c>
      <c r="AQ267" s="8">
        <f>IF(ABS($AP267)&lt;=tol_trade_inr,"PASS","FAIL")</f>
        <v/>
      </c>
    </row>
    <row r="268">
      <c r="A268" s="11" t="n">
        <v>44656</v>
      </c>
      <c r="B268" s="7" t="inlineStr">
        <is>
          <t>T01</t>
        </is>
      </c>
      <c r="C268" s="7" t="inlineStr">
        <is>
          <t>MCX:T01-MCX-1</t>
        </is>
      </c>
      <c r="D268" s="7" t="inlineStr">
        <is>
          <t>MCX</t>
        </is>
      </c>
      <c r="E268" s="7" t="inlineStr">
        <is>
          <t>mcx</t>
        </is>
      </c>
      <c r="H268" s="7" t="inlineStr">
        <is>
          <t>zorba</t>
        </is>
      </c>
      <c r="I268" s="7" t="inlineStr">
        <is>
          <t>USEC_MUN</t>
        </is>
      </c>
      <c r="J268" s="7" t="inlineStr">
        <is>
          <t>INR</t>
        </is>
      </c>
      <c r="K268" s="7" t="inlineStr">
        <is>
          <t>partially_fixed</t>
        </is>
      </c>
      <c r="L268" s="7" t="inlineStr">
        <is>
          <t>PNL</t>
        </is>
      </c>
      <c r="M268" s="11" t="n">
        <v>44671</v>
      </c>
      <c r="N268" s="13" t="n">
        <v>0</v>
      </c>
      <c r="O268" s="6" t="n">
        <v>-200</v>
      </c>
      <c r="P268" s="13" t="n">
        <v>0</v>
      </c>
      <c r="Q268" s="22" t="n">
        <v>30</v>
      </c>
      <c r="R268" s="6" t="n">
        <v>29</v>
      </c>
      <c r="U268" s="9" t="n">
        <v>0</v>
      </c>
      <c r="V268" s="9" t="n">
        <v>0</v>
      </c>
      <c r="X268" s="9" t="n">
        <v>75.33499999999999</v>
      </c>
      <c r="AK268" s="7" t="inlineStr">
        <is>
          <t>PYTHON_MULTI_FLOW_LEG</t>
        </is>
      </c>
      <c r="AL268" s="8">
        <f>IF($J268="INR",1,IF($M268&lt;$A268,INDEX(Market_Daily!$F$6:$F$256,MATCH($M268,Market_Daily!$A$6:$A$256,1)),IF($M268=$A268,INDEX(Market_Daily!$F$6:$F$256,MATCH($A268,Market_Daily!$A$6:$A$256,0)),(INDEX(Market_Daily!$F$6:$F$256,MATCH($A268,Market_Daily!$A$6:$A$256,0))*(1+INDEX(Market_Daily!$I$6:$I$256,MATCH($A268,Market_Daily!$A$6:$A$256,0))*($M268-$A268)/day_count_inr)/(1+INDEX(Market_Daily!$J$6:$J$256,MATCH($A268,Market_Daily!$A$6:$A$256,0))*($M268-$A268)/day_count_usd)))))</f>
        <v/>
      </c>
      <c r="AM268" s="8">
        <f>IF(OR($J268="INR",$R268&gt;1),"",$AL268-$X268)</f>
        <v/>
      </c>
      <c r="AN268" s="8">
        <f>$U268</f>
        <v/>
      </c>
      <c r="AO268" s="8">
        <f>$V268</f>
        <v/>
      </c>
      <c r="AP268" s="18">
        <f>$AO268-$V268</f>
        <v/>
      </c>
      <c r="AQ268" s="8">
        <f>IF(ABS($AP268)&lt;=tol_trade_inr,"PASS","FAIL")</f>
        <v/>
      </c>
    </row>
    <row r="269">
      <c r="A269" s="11" t="n">
        <v>44656</v>
      </c>
      <c r="B269" s="7" t="inlineStr">
        <is>
          <t>T01</t>
        </is>
      </c>
      <c r="C269" s="7" t="inlineStr">
        <is>
          <t>MCX:T01-MCX-2</t>
        </is>
      </c>
      <c r="D269" s="7" t="inlineStr">
        <is>
          <t>MCX</t>
        </is>
      </c>
      <c r="E269" s="7" t="inlineStr">
        <is>
          <t>mcx</t>
        </is>
      </c>
      <c r="H269" s="7" t="inlineStr">
        <is>
          <t>zorba</t>
        </is>
      </c>
      <c r="I269" s="7" t="inlineStr">
        <is>
          <t>USEC_MUN</t>
        </is>
      </c>
      <c r="J269" s="7" t="inlineStr">
        <is>
          <t>INR</t>
        </is>
      </c>
      <c r="K269" s="7" t="inlineStr">
        <is>
          <t>partially_fixed</t>
        </is>
      </c>
      <c r="L269" s="7" t="inlineStr">
        <is>
          <t>PNL</t>
        </is>
      </c>
      <c r="M269" s="11" t="n">
        <v>44671</v>
      </c>
      <c r="N269" s="13" t="n">
        <v>0</v>
      </c>
      <c r="O269" s="6" t="n">
        <v>-100</v>
      </c>
      <c r="P269" s="13" t="n">
        <v>0</v>
      </c>
      <c r="Q269" s="22" t="n">
        <v>30</v>
      </c>
      <c r="R269" s="6" t="n">
        <v>29</v>
      </c>
      <c r="U269" s="9" t="n">
        <v>0</v>
      </c>
      <c r="V269" s="9" t="n">
        <v>0</v>
      </c>
      <c r="X269" s="9" t="n">
        <v>75.33499999999999</v>
      </c>
      <c r="AK269" s="7" t="inlineStr">
        <is>
          <t>PYTHON_MULTI_FLOW_LEG</t>
        </is>
      </c>
      <c r="AL269" s="8">
        <f>IF($J269="INR",1,IF($M269&lt;$A269,INDEX(Market_Daily!$F$6:$F$256,MATCH($M269,Market_Daily!$A$6:$A$256,1)),IF($M269=$A269,INDEX(Market_Daily!$F$6:$F$256,MATCH($A269,Market_Daily!$A$6:$A$256,0)),(INDEX(Market_Daily!$F$6:$F$256,MATCH($A269,Market_Daily!$A$6:$A$256,0))*(1+INDEX(Market_Daily!$I$6:$I$256,MATCH($A269,Market_Daily!$A$6:$A$256,0))*($M269-$A269)/day_count_inr)/(1+INDEX(Market_Daily!$J$6:$J$256,MATCH($A269,Market_Daily!$A$6:$A$256,0))*($M269-$A269)/day_count_usd)))))</f>
        <v/>
      </c>
      <c r="AM269" s="8">
        <f>IF(OR($J269="INR",$R269&gt;1),"",$AL269-$X269)</f>
        <v/>
      </c>
      <c r="AN269" s="8">
        <f>$U269</f>
        <v/>
      </c>
      <c r="AO269" s="8">
        <f>$V269</f>
        <v/>
      </c>
      <c r="AP269" s="18">
        <f>$AO269-$V269</f>
        <v/>
      </c>
      <c r="AQ269" s="8">
        <f>IF(ABS($AP269)&lt;=tol_trade_inr,"PASS","FAIL")</f>
        <v/>
      </c>
    </row>
    <row r="270">
      <c r="A270" s="11" t="n">
        <v>44656</v>
      </c>
      <c r="B270" s="7" t="inlineStr">
        <is>
          <t>T01</t>
        </is>
      </c>
      <c r="C270" s="7" t="inlineStr">
        <is>
          <t>PORT:L1</t>
        </is>
      </c>
      <c r="D270" s="7" t="inlineStr">
        <is>
          <t>PORT</t>
        </is>
      </c>
      <c r="E270" s="7" t="inlineStr">
        <is>
          <t>physical</t>
        </is>
      </c>
      <c r="F270" s="7" t="inlineStr">
        <is>
          <t>L1</t>
        </is>
      </c>
      <c r="H270" s="7" t="inlineStr">
        <is>
          <t>zorba</t>
        </is>
      </c>
      <c r="I270" s="7" t="inlineStr">
        <is>
          <t>USEC_MUN</t>
        </is>
      </c>
      <c r="J270" s="7" t="inlineStr">
        <is>
          <t>INR</t>
        </is>
      </c>
      <c r="K270" s="7" t="inlineStr">
        <is>
          <t>fixed_unsettled</t>
        </is>
      </c>
      <c r="L270" s="7" t="inlineStr">
        <is>
          <t>PNL</t>
        </is>
      </c>
      <c r="M270" s="11" t="n">
        <v>44699</v>
      </c>
      <c r="N270" s="13" t="n">
        <v>0</v>
      </c>
      <c r="O270" s="6" t="n">
        <v>0</v>
      </c>
      <c r="P270" s="13" t="n">
        <v>0</v>
      </c>
      <c r="Q270" s="22" t="n">
        <v>30</v>
      </c>
      <c r="R270" s="6" t="n">
        <v>1</v>
      </c>
      <c r="U270" s="9" t="n">
        <v>-2226000</v>
      </c>
      <c r="V270" s="9" t="n">
        <v>-2226000</v>
      </c>
      <c r="X270" s="9" t="n">
        <v>75.33499999999999</v>
      </c>
      <c r="AK270" s="7" t="inlineStr">
        <is>
          <t>PYTHON_LIFECYCLE</t>
        </is>
      </c>
      <c r="AL270" s="8">
        <f>IF($J270="INR",1,IF($M270&lt;$A270,INDEX(Market_Daily!$F$6:$F$256,MATCH($M270,Market_Daily!$A$6:$A$256,1)),IF($M270=$A270,INDEX(Market_Daily!$F$6:$F$256,MATCH($A270,Market_Daily!$A$6:$A$256,0)),(INDEX(Market_Daily!$F$6:$F$256,MATCH($A270,Market_Daily!$A$6:$A$256,0))*(1+INDEX(Market_Daily!$I$6:$I$256,MATCH($A270,Market_Daily!$A$6:$A$256,0))*($M270-$A270)/day_count_inr)/(1+INDEX(Market_Daily!$J$6:$J$256,MATCH($A270,Market_Daily!$A$6:$A$256,0))*($M270-$A270)/day_count_usd)))))</f>
        <v/>
      </c>
      <c r="AM270" s="8">
        <f>IF(OR($J270="INR",$R270&gt;1),"",$AL270-$X270)</f>
        <v/>
      </c>
      <c r="AN270" s="8">
        <f>$U270</f>
        <v/>
      </c>
      <c r="AO270" s="8">
        <f>$AN270*IF($J270="INR",1,$AL270)</f>
        <v/>
      </c>
      <c r="AP270" s="18">
        <f>$AO270-$V270</f>
        <v/>
      </c>
      <c r="AQ270" s="8">
        <f>IF(ABS($AP270)&lt;=tol_trade_inr,"PASS","FAIL")</f>
        <v/>
      </c>
    </row>
    <row r="271">
      <c r="A271" s="11" t="n">
        <v>44656</v>
      </c>
      <c r="B271" s="7" t="inlineStr">
        <is>
          <t>T01</t>
        </is>
      </c>
      <c r="C271" s="7" t="inlineStr">
        <is>
          <t>PORT:L2</t>
        </is>
      </c>
      <c r="D271" s="7" t="inlineStr">
        <is>
          <t>PORT</t>
        </is>
      </c>
      <c r="E271" s="7" t="inlineStr">
        <is>
          <t>physical</t>
        </is>
      </c>
      <c r="F271" s="7" t="inlineStr">
        <is>
          <t>L2</t>
        </is>
      </c>
      <c r="H271" s="7" t="inlineStr">
        <is>
          <t>zorba</t>
        </is>
      </c>
      <c r="I271" s="7" t="inlineStr">
        <is>
          <t>USEC_MUN</t>
        </is>
      </c>
      <c r="J271" s="7" t="inlineStr">
        <is>
          <t>INR</t>
        </is>
      </c>
      <c r="K271" s="7" t="inlineStr">
        <is>
          <t>fixed_unsettled</t>
        </is>
      </c>
      <c r="L271" s="7" t="inlineStr">
        <is>
          <t>PNL</t>
        </is>
      </c>
      <c r="M271" s="11" t="n">
        <v>44705</v>
      </c>
      <c r="N271" s="13" t="n">
        <v>0</v>
      </c>
      <c r="O271" s="6" t="n">
        <v>0</v>
      </c>
      <c r="P271" s="13" t="n">
        <v>0</v>
      </c>
      <c r="Q271" s="22" t="n">
        <v>30</v>
      </c>
      <c r="R271" s="6" t="n">
        <v>1</v>
      </c>
      <c r="U271" s="9" t="n">
        <v>-2226000</v>
      </c>
      <c r="V271" s="9" t="n">
        <v>-2226000</v>
      </c>
      <c r="X271" s="9" t="n">
        <v>75.33499999999999</v>
      </c>
      <c r="AK271" s="7" t="inlineStr">
        <is>
          <t>PYTHON_LIFECYCLE</t>
        </is>
      </c>
      <c r="AL271" s="8">
        <f>IF($J271="INR",1,IF($M271&lt;$A271,INDEX(Market_Daily!$F$6:$F$256,MATCH($M271,Market_Daily!$A$6:$A$256,1)),IF($M271=$A271,INDEX(Market_Daily!$F$6:$F$256,MATCH($A271,Market_Daily!$A$6:$A$256,0)),(INDEX(Market_Daily!$F$6:$F$256,MATCH($A271,Market_Daily!$A$6:$A$256,0))*(1+INDEX(Market_Daily!$I$6:$I$256,MATCH($A271,Market_Daily!$A$6:$A$256,0))*($M271-$A271)/day_count_inr)/(1+INDEX(Market_Daily!$J$6:$J$256,MATCH($A271,Market_Daily!$A$6:$A$256,0))*($M271-$A271)/day_count_usd)))))</f>
        <v/>
      </c>
      <c r="AM271" s="8">
        <f>IF(OR($J271="INR",$R271&gt;1),"",$AL271-$X271)</f>
        <v/>
      </c>
      <c r="AN271" s="8">
        <f>$U271</f>
        <v/>
      </c>
      <c r="AO271" s="8">
        <f>$AN271*IF($J271="INR",1,$AL271)</f>
        <v/>
      </c>
      <c r="AP271" s="18">
        <f>$AO271-$V271</f>
        <v/>
      </c>
      <c r="AQ271" s="8">
        <f>IF(ABS($AP271)&lt;=tol_trade_inr,"PASS","FAIL")</f>
        <v/>
      </c>
    </row>
    <row r="272">
      <c r="A272" s="11" t="n">
        <v>44656</v>
      </c>
      <c r="B272" s="7" t="inlineStr">
        <is>
          <t>T01</t>
        </is>
      </c>
      <c r="C272" s="7" t="inlineStr">
        <is>
          <t>PORT:L3</t>
        </is>
      </c>
      <c r="D272" s="7" t="inlineStr">
        <is>
          <t>PORT</t>
        </is>
      </c>
      <c r="E272" s="7" t="inlineStr">
        <is>
          <t>physical</t>
        </is>
      </c>
      <c r="F272" s="7" t="inlineStr">
        <is>
          <t>L3</t>
        </is>
      </c>
      <c r="H272" s="7" t="inlineStr">
        <is>
          <t>zorba</t>
        </is>
      </c>
      <c r="I272" s="7" t="inlineStr">
        <is>
          <t>USEC_MUN</t>
        </is>
      </c>
      <c r="J272" s="7" t="inlineStr">
        <is>
          <t>INR</t>
        </is>
      </c>
      <c r="K272" s="7" t="inlineStr">
        <is>
          <t>fixed_unsettled</t>
        </is>
      </c>
      <c r="L272" s="7" t="inlineStr">
        <is>
          <t>PNL</t>
        </is>
      </c>
      <c r="M272" s="11" t="n">
        <v>44708</v>
      </c>
      <c r="N272" s="13" t="n">
        <v>0</v>
      </c>
      <c r="O272" s="6" t="n">
        <v>0</v>
      </c>
      <c r="P272" s="13" t="n">
        <v>0</v>
      </c>
      <c r="Q272" s="22" t="n">
        <v>30</v>
      </c>
      <c r="R272" s="6" t="n">
        <v>1</v>
      </c>
      <c r="U272" s="9" t="n">
        <v>-2226000</v>
      </c>
      <c r="V272" s="9" t="n">
        <v>-2226000</v>
      </c>
      <c r="X272" s="9" t="n">
        <v>75.33499999999999</v>
      </c>
      <c r="AK272" s="7" t="inlineStr">
        <is>
          <t>PYTHON_LIFECYCLE</t>
        </is>
      </c>
      <c r="AL272" s="8">
        <f>IF($J272="INR",1,IF($M272&lt;$A272,INDEX(Market_Daily!$F$6:$F$256,MATCH($M272,Market_Daily!$A$6:$A$256,1)),IF($M272=$A272,INDEX(Market_Daily!$F$6:$F$256,MATCH($A272,Market_Daily!$A$6:$A$256,0)),(INDEX(Market_Daily!$F$6:$F$256,MATCH($A272,Market_Daily!$A$6:$A$256,0))*(1+INDEX(Market_Daily!$I$6:$I$256,MATCH($A272,Market_Daily!$A$6:$A$256,0))*($M272-$A272)/day_count_inr)/(1+INDEX(Market_Daily!$J$6:$J$256,MATCH($A272,Market_Daily!$A$6:$A$256,0))*($M272-$A272)/day_count_usd)))))</f>
        <v/>
      </c>
      <c r="AM272" s="8">
        <f>IF(OR($J272="INR",$R272&gt;1),"",$AL272-$X272)</f>
        <v/>
      </c>
      <c r="AN272" s="8">
        <f>$U272</f>
        <v/>
      </c>
      <c r="AO272" s="8">
        <f>$AN272*IF($J272="INR",1,$AL272)</f>
        <v/>
      </c>
      <c r="AP272" s="18">
        <f>$AO272-$V272</f>
        <v/>
      </c>
      <c r="AQ272" s="8">
        <f>IF(ABS($AP272)&lt;=tol_trade_inr,"PASS","FAIL")</f>
        <v/>
      </c>
    </row>
    <row r="273">
      <c r="A273" s="11" t="n">
        <v>44656</v>
      </c>
      <c r="B273" s="7" t="inlineStr">
        <is>
          <t>T01</t>
        </is>
      </c>
      <c r="C273" s="7" t="inlineStr">
        <is>
          <t>PURCHASE:L2</t>
        </is>
      </c>
      <c r="D273" s="7" t="inlineStr">
        <is>
          <t>PURCHASE</t>
        </is>
      </c>
      <c r="E273" s="7" t="inlineStr">
        <is>
          <t>physical</t>
        </is>
      </c>
      <c r="F273" s="7" t="inlineStr">
        <is>
          <t>L2</t>
        </is>
      </c>
      <c r="G273" s="7" t="inlineStr">
        <is>
          <t>SUP_USEC_01</t>
        </is>
      </c>
      <c r="H273" s="7" t="inlineStr">
        <is>
          <t>zorba</t>
        </is>
      </c>
      <c r="I273" s="7" t="inlineStr">
        <is>
          <t>USEC_MUN</t>
        </is>
      </c>
      <c r="J273" s="7" t="inlineStr">
        <is>
          <t>USD</t>
        </is>
      </c>
      <c r="K273" s="7" t="inlineStr">
        <is>
          <t>fixed_unsettled</t>
        </is>
      </c>
      <c r="L273" s="7" t="inlineStr">
        <is>
          <t>PNL</t>
        </is>
      </c>
      <c r="M273" s="11" t="n">
        <v>44662</v>
      </c>
      <c r="N273" s="13" t="n">
        <v>840</v>
      </c>
      <c r="O273" s="6" t="n">
        <v>0</v>
      </c>
      <c r="P273" s="13" t="n">
        <v>0</v>
      </c>
      <c r="Q273" s="22" t="n">
        <v>30</v>
      </c>
      <c r="R273" s="6" t="n">
        <v>1</v>
      </c>
      <c r="U273" s="9" t="n">
        <v>-1965600</v>
      </c>
      <c r="V273" s="9" t="n">
        <v>-148157954.08</v>
      </c>
      <c r="X273" s="9" t="n">
        <v>75.3754</v>
      </c>
      <c r="AK273" s="7" t="inlineStr">
        <is>
          <t>PYTHON_LIFECYCLE</t>
        </is>
      </c>
      <c r="AL273" s="8">
        <f>IF($J273="INR",1,IF($M273&lt;$A273,INDEX(Market_Daily!$F$6:$F$256,MATCH($M273,Market_Daily!$A$6:$A$256,1)),IF($M273=$A273,INDEX(Market_Daily!$F$6:$F$256,MATCH($A273,Market_Daily!$A$6:$A$256,0)),(INDEX(Market_Daily!$F$6:$F$256,MATCH($A273,Market_Daily!$A$6:$A$256,0))*(1+INDEX(Market_Daily!$I$6:$I$256,MATCH($A273,Market_Daily!$A$6:$A$256,0))*($M273-$A273)/day_count_inr)/(1+INDEX(Market_Daily!$J$6:$J$256,MATCH($A273,Market_Daily!$A$6:$A$256,0))*($M273-$A273)/day_count_usd)))))</f>
        <v/>
      </c>
      <c r="AM273" s="8">
        <f>IF(OR($J273="INR",$R273&gt;1),"",$AL273-$X273)</f>
        <v/>
      </c>
      <c r="AN273" s="8">
        <f>$U273</f>
        <v/>
      </c>
      <c r="AO273" s="8">
        <f>$AN273*IF($J273="INR",1,$AL273)</f>
        <v/>
      </c>
      <c r="AP273" s="18">
        <f>$AO273-$V273</f>
        <v/>
      </c>
      <c r="AQ273" s="8">
        <f>IF(ABS($AP273)&lt;=tol_trade_inr,"PASS","FAIL")</f>
        <v/>
      </c>
    </row>
    <row r="274">
      <c r="A274" s="11" t="n">
        <v>44656</v>
      </c>
      <c r="B274" s="7" t="inlineStr">
        <is>
          <t>T01</t>
        </is>
      </c>
      <c r="C274" s="7" t="inlineStr">
        <is>
          <t>PURCHASE:L3</t>
        </is>
      </c>
      <c r="D274" s="7" t="inlineStr">
        <is>
          <t>PURCHASE</t>
        </is>
      </c>
      <c r="E274" s="7" t="inlineStr">
        <is>
          <t>physical</t>
        </is>
      </c>
      <c r="F274" s="7" t="inlineStr">
        <is>
          <t>L3</t>
        </is>
      </c>
      <c r="G274" s="7" t="inlineStr">
        <is>
          <t>SUP_USEC_01</t>
        </is>
      </c>
      <c r="H274" s="7" t="inlineStr">
        <is>
          <t>zorba</t>
        </is>
      </c>
      <c r="I274" s="7" t="inlineStr">
        <is>
          <t>USEC_MUN</t>
        </is>
      </c>
      <c r="J274" s="7" t="inlineStr">
        <is>
          <t>USD</t>
        </is>
      </c>
      <c r="K274" s="7" t="inlineStr">
        <is>
          <t>fixed_unsettled</t>
        </is>
      </c>
      <c r="L274" s="7" t="inlineStr">
        <is>
          <t>PNL</t>
        </is>
      </c>
      <c r="M274" s="11" t="n">
        <v>44665</v>
      </c>
      <c r="N274" s="13" t="n">
        <v>840</v>
      </c>
      <c r="O274" s="6" t="n">
        <v>0</v>
      </c>
      <c r="P274" s="13" t="n">
        <v>0</v>
      </c>
      <c r="Q274" s="22" t="n">
        <v>30</v>
      </c>
      <c r="R274" s="6" t="n">
        <v>1</v>
      </c>
      <c r="U274" s="9" t="n">
        <v>-1965600</v>
      </c>
      <c r="V274" s="9" t="n">
        <v>-148197686.65</v>
      </c>
      <c r="X274" s="9" t="n">
        <v>75.3956</v>
      </c>
      <c r="AK274" s="7" t="inlineStr">
        <is>
          <t>PYTHON_LIFECYCLE</t>
        </is>
      </c>
      <c r="AL274" s="8">
        <f>IF($J274="INR",1,IF($M274&lt;$A274,INDEX(Market_Daily!$F$6:$F$256,MATCH($M274,Market_Daily!$A$6:$A$256,1)),IF($M274=$A274,INDEX(Market_Daily!$F$6:$F$256,MATCH($A274,Market_Daily!$A$6:$A$256,0)),(INDEX(Market_Daily!$F$6:$F$256,MATCH($A274,Market_Daily!$A$6:$A$256,0))*(1+INDEX(Market_Daily!$I$6:$I$256,MATCH($A274,Market_Daily!$A$6:$A$256,0))*($M274-$A274)/day_count_inr)/(1+INDEX(Market_Daily!$J$6:$J$256,MATCH($A274,Market_Daily!$A$6:$A$256,0))*($M274-$A274)/day_count_usd)))))</f>
        <v/>
      </c>
      <c r="AM274" s="8">
        <f>IF(OR($J274="INR",$R274&gt;1),"",$AL274-$X274)</f>
        <v/>
      </c>
      <c r="AN274" s="8">
        <f>$U274</f>
        <v/>
      </c>
      <c r="AO274" s="8">
        <f>$AN274*IF($J274="INR",1,$AL274)</f>
        <v/>
      </c>
      <c r="AP274" s="18">
        <f>$AO274-$V274</f>
        <v/>
      </c>
      <c r="AQ274" s="8">
        <f>IF(ABS($AP274)&lt;=tol_trade_inr,"PASS","FAIL")</f>
        <v/>
      </c>
    </row>
    <row r="275">
      <c r="A275" s="11" t="n">
        <v>44656</v>
      </c>
      <c r="B275" s="7" t="inlineStr">
        <is>
          <t>T02</t>
        </is>
      </c>
      <c r="C275" s="7" t="inlineStr">
        <is>
          <t>BILL_COMMISSION:L1</t>
        </is>
      </c>
      <c r="D275" s="7" t="inlineStr">
        <is>
          <t>BILL_COMMISSION</t>
        </is>
      </c>
      <c r="E275" s="7" t="inlineStr">
        <is>
          <t>physical</t>
        </is>
      </c>
      <c r="F275" s="7" t="inlineStr">
        <is>
          <t>L1</t>
        </is>
      </c>
      <c r="H275" s="7" t="inlineStr">
        <is>
          <t>tense</t>
        </is>
      </c>
      <c r="I275" s="7" t="inlineStr">
        <is>
          <t>JEA_NSA</t>
        </is>
      </c>
      <c r="J275" s="7" t="inlineStr">
        <is>
          <t>USD</t>
        </is>
      </c>
      <c r="K275" s="7" t="inlineStr">
        <is>
          <t>floating</t>
        </is>
      </c>
      <c r="L275" s="7" t="inlineStr">
        <is>
          <t>PNL</t>
        </is>
      </c>
      <c r="M275" s="11" t="n">
        <v>44746</v>
      </c>
      <c r="N275" s="13" t="n">
        <v>0</v>
      </c>
      <c r="O275" s="6" t="n">
        <v>0</v>
      </c>
      <c r="P275" s="13" t="n">
        <v>0</v>
      </c>
      <c r="Q275" s="22" t="n">
        <v>30</v>
      </c>
      <c r="R275" s="6" t="n">
        <v>1</v>
      </c>
      <c r="U275" s="9" t="n">
        <v>-1490.28</v>
      </c>
      <c r="V275" s="9" t="n">
        <v>-113172.65</v>
      </c>
      <c r="X275" s="9" t="n">
        <v>75.9406</v>
      </c>
      <c r="AK275" s="7" t="inlineStr">
        <is>
          <t>PYTHON_LIFECYCLE</t>
        </is>
      </c>
      <c r="AL275" s="8">
        <f>IF($J275="INR",1,IF($M275&lt;$A275,INDEX(Market_Daily!$F$6:$F$256,MATCH($M275,Market_Daily!$A$6:$A$256,1)),IF($M275=$A275,INDEX(Market_Daily!$F$6:$F$256,MATCH($A275,Market_Daily!$A$6:$A$256,0)),(INDEX(Market_Daily!$F$6:$F$256,MATCH($A275,Market_Daily!$A$6:$A$256,0))*(1+INDEX(Market_Daily!$I$6:$I$256,MATCH($A275,Market_Daily!$A$6:$A$256,0))*($M275-$A275)/day_count_inr)/(1+INDEX(Market_Daily!$J$6:$J$256,MATCH($A275,Market_Daily!$A$6:$A$256,0))*($M275-$A275)/day_count_usd)))))</f>
        <v/>
      </c>
      <c r="AM275" s="8">
        <f>IF(OR($J275="INR",$R275&gt;1),"",$AL275-$X275)</f>
        <v/>
      </c>
      <c r="AN275" s="8">
        <f>$U275</f>
        <v/>
      </c>
      <c r="AO275" s="8">
        <f>$AN275*IF($J275="INR",1,$AL275)</f>
        <v/>
      </c>
      <c r="AP275" s="18">
        <f>$AO275-$V275</f>
        <v/>
      </c>
      <c r="AQ275" s="8">
        <f>IF(ABS($AP275)&lt;=tol_trade_inr,"PASS","FAIL")</f>
        <v/>
      </c>
    </row>
    <row r="276">
      <c r="A276" s="11" t="n">
        <v>44656</v>
      </c>
      <c r="B276" s="7" t="inlineStr">
        <is>
          <t>T02</t>
        </is>
      </c>
      <c r="C276" s="7" t="inlineStr">
        <is>
          <t>BILL_COMMISSION:L2</t>
        </is>
      </c>
      <c r="D276" s="7" t="inlineStr">
        <is>
          <t>BILL_COMMISSION</t>
        </is>
      </c>
      <c r="E276" s="7" t="inlineStr">
        <is>
          <t>physical</t>
        </is>
      </c>
      <c r="F276" s="7" t="inlineStr">
        <is>
          <t>L2</t>
        </is>
      </c>
      <c r="H276" s="7" t="inlineStr">
        <is>
          <t>tense</t>
        </is>
      </c>
      <c r="I276" s="7" t="inlineStr">
        <is>
          <t>JEA_NSA</t>
        </is>
      </c>
      <c r="J276" s="7" t="inlineStr">
        <is>
          <t>USD</t>
        </is>
      </c>
      <c r="K276" s="7" t="inlineStr">
        <is>
          <t>floating</t>
        </is>
      </c>
      <c r="L276" s="7" t="inlineStr">
        <is>
          <t>PNL</t>
        </is>
      </c>
      <c r="M276" s="11" t="n">
        <v>44754</v>
      </c>
      <c r="N276" s="13" t="n">
        <v>0</v>
      </c>
      <c r="O276" s="6" t="n">
        <v>0</v>
      </c>
      <c r="P276" s="13" t="n">
        <v>0</v>
      </c>
      <c r="Q276" s="22" t="n">
        <v>30</v>
      </c>
      <c r="R276" s="6" t="n">
        <v>1</v>
      </c>
      <c r="U276" s="9" t="n">
        <v>-1491.28</v>
      </c>
      <c r="V276" s="9" t="n">
        <v>-113328.54</v>
      </c>
      <c r="X276" s="9" t="n">
        <v>75.9943</v>
      </c>
      <c r="AK276" s="7" t="inlineStr">
        <is>
          <t>PYTHON_LIFECYCLE</t>
        </is>
      </c>
      <c r="AL276" s="8">
        <f>IF($J276="INR",1,IF($M276&lt;$A276,INDEX(Market_Daily!$F$6:$F$256,MATCH($M276,Market_Daily!$A$6:$A$256,1)),IF($M276=$A276,INDEX(Market_Daily!$F$6:$F$256,MATCH($A276,Market_Daily!$A$6:$A$256,0)),(INDEX(Market_Daily!$F$6:$F$256,MATCH($A276,Market_Daily!$A$6:$A$256,0))*(1+INDEX(Market_Daily!$I$6:$I$256,MATCH($A276,Market_Daily!$A$6:$A$256,0))*($M276-$A276)/day_count_inr)/(1+INDEX(Market_Daily!$J$6:$J$256,MATCH($A276,Market_Daily!$A$6:$A$256,0))*($M276-$A276)/day_count_usd)))))</f>
        <v/>
      </c>
      <c r="AM276" s="8">
        <f>IF(OR($J276="INR",$R276&gt;1),"",$AL276-$X276)</f>
        <v/>
      </c>
      <c r="AN276" s="8">
        <f>$U276</f>
        <v/>
      </c>
      <c r="AO276" s="8">
        <f>$AN276*IF($J276="INR",1,$AL276)</f>
        <v/>
      </c>
      <c r="AP276" s="18">
        <f>$AO276-$V276</f>
        <v/>
      </c>
      <c r="AQ276" s="8">
        <f>IF(ABS($AP276)&lt;=tol_trade_inr,"PASS","FAIL")</f>
        <v/>
      </c>
    </row>
    <row r="277">
      <c r="A277" s="11" t="n">
        <v>44656</v>
      </c>
      <c r="B277" s="7" t="inlineStr">
        <is>
          <t>T02</t>
        </is>
      </c>
      <c r="C277" s="7" t="inlineStr">
        <is>
          <t>DUTY:L1</t>
        </is>
      </c>
      <c r="D277" s="7" t="inlineStr">
        <is>
          <t>DUTY</t>
        </is>
      </c>
      <c r="E277" s="7" t="inlineStr">
        <is>
          <t>physical</t>
        </is>
      </c>
      <c r="F277" s="7" t="inlineStr">
        <is>
          <t>L1</t>
        </is>
      </c>
      <c r="H277" s="7" t="inlineStr">
        <is>
          <t>tense</t>
        </is>
      </c>
      <c r="I277" s="7" t="inlineStr">
        <is>
          <t>JEA_NSA</t>
        </is>
      </c>
      <c r="J277" s="7" t="inlineStr">
        <is>
          <t>INR</t>
        </is>
      </c>
      <c r="K277" s="7" t="inlineStr">
        <is>
          <t>floating</t>
        </is>
      </c>
      <c r="L277" s="7" t="inlineStr">
        <is>
          <t>PNL</t>
        </is>
      </c>
      <c r="M277" s="11" t="n">
        <v>44721</v>
      </c>
      <c r="N277" s="13" t="n">
        <v>600</v>
      </c>
      <c r="O277" s="6" t="n">
        <v>0</v>
      </c>
      <c r="P277" s="13" t="n">
        <v>0</v>
      </c>
      <c r="Q277" s="22" t="n">
        <v>30</v>
      </c>
      <c r="R277" s="6" t="n">
        <v>2</v>
      </c>
      <c r="U277" s="9" t="n">
        <v>-2777210.09</v>
      </c>
      <c r="V277" s="9" t="n">
        <v>-2777210.09</v>
      </c>
      <c r="X277" s="9" t="n">
        <v>75.33499999999999</v>
      </c>
      <c r="AK277" s="7" t="inlineStr">
        <is>
          <t>PYTHON_MULTI_FLOW_LEG</t>
        </is>
      </c>
      <c r="AL277" s="8">
        <f>IF($J277="INR",1,IF($M277&lt;$A277,INDEX(Market_Daily!$F$6:$F$256,MATCH($M277,Market_Daily!$A$6:$A$256,1)),IF($M277=$A277,INDEX(Market_Daily!$F$6:$F$256,MATCH($A277,Market_Daily!$A$6:$A$256,0)),(INDEX(Market_Daily!$F$6:$F$256,MATCH($A277,Market_Daily!$A$6:$A$256,0))*(1+INDEX(Market_Daily!$I$6:$I$256,MATCH($A277,Market_Daily!$A$6:$A$256,0))*($M277-$A277)/day_count_inr)/(1+INDEX(Market_Daily!$J$6:$J$256,MATCH($A277,Market_Daily!$A$6:$A$256,0))*($M277-$A277)/day_count_usd)))))</f>
        <v/>
      </c>
      <c r="AM277" s="8">
        <f>IF(OR($J277="INR",$R277&gt;1),"",$AL277-$X277)</f>
        <v/>
      </c>
      <c r="AN277" s="8">
        <f>$U277</f>
        <v/>
      </c>
      <c r="AO277" s="8">
        <f>$V277</f>
        <v/>
      </c>
      <c r="AP277" s="18">
        <f>$AO277-$V277</f>
        <v/>
      </c>
      <c r="AQ277" s="8">
        <f>IF(ABS($AP277)&lt;=tol_trade_inr,"PASS","FAIL")</f>
        <v/>
      </c>
    </row>
    <row r="278">
      <c r="A278" s="11" t="n">
        <v>44656</v>
      </c>
      <c r="B278" s="7" t="inlineStr">
        <is>
          <t>T02</t>
        </is>
      </c>
      <c r="C278" s="7" t="inlineStr">
        <is>
          <t>DUTY:L2</t>
        </is>
      </c>
      <c r="D278" s="7" t="inlineStr">
        <is>
          <t>DUTY</t>
        </is>
      </c>
      <c r="E278" s="7" t="inlineStr">
        <is>
          <t>physical</t>
        </is>
      </c>
      <c r="F278" s="7" t="inlineStr">
        <is>
          <t>L2</t>
        </is>
      </c>
      <c r="H278" s="7" t="inlineStr">
        <is>
          <t>tense</t>
        </is>
      </c>
      <c r="I278" s="7" t="inlineStr">
        <is>
          <t>JEA_NSA</t>
        </is>
      </c>
      <c r="J278" s="7" t="inlineStr">
        <is>
          <t>INR</t>
        </is>
      </c>
      <c r="K278" s="7" t="inlineStr">
        <is>
          <t>floating</t>
        </is>
      </c>
      <c r="L278" s="7" t="inlineStr">
        <is>
          <t>PNL</t>
        </is>
      </c>
      <c r="M278" s="11" t="n">
        <v>44721</v>
      </c>
      <c r="N278" s="13" t="n">
        <v>600</v>
      </c>
      <c r="O278" s="6" t="n">
        <v>0</v>
      </c>
      <c r="P278" s="13" t="n">
        <v>0</v>
      </c>
      <c r="Q278" s="22" t="n">
        <v>30</v>
      </c>
      <c r="R278" s="6" t="n">
        <v>2</v>
      </c>
      <c r="U278" s="9" t="n">
        <v>-2777210.09</v>
      </c>
      <c r="V278" s="9" t="n">
        <v>-2777210.09</v>
      </c>
      <c r="X278" s="9" t="n">
        <v>75.33499999999999</v>
      </c>
      <c r="AK278" s="7" t="inlineStr">
        <is>
          <t>PYTHON_MULTI_FLOW_LEG</t>
        </is>
      </c>
      <c r="AL278" s="8">
        <f>IF($J278="INR",1,IF($M278&lt;$A278,INDEX(Market_Daily!$F$6:$F$256,MATCH($M278,Market_Daily!$A$6:$A$256,1)),IF($M278=$A278,INDEX(Market_Daily!$F$6:$F$256,MATCH($A278,Market_Daily!$A$6:$A$256,0)),(INDEX(Market_Daily!$F$6:$F$256,MATCH($A278,Market_Daily!$A$6:$A$256,0))*(1+INDEX(Market_Daily!$I$6:$I$256,MATCH($A278,Market_Daily!$A$6:$A$256,0))*($M278-$A278)/day_count_inr)/(1+INDEX(Market_Daily!$J$6:$J$256,MATCH($A278,Market_Daily!$A$6:$A$256,0))*($M278-$A278)/day_count_usd)))))</f>
        <v/>
      </c>
      <c r="AM278" s="8">
        <f>IF(OR($J278="INR",$R278&gt;1),"",$AL278-$X278)</f>
        <v/>
      </c>
      <c r="AN278" s="8">
        <f>$U278</f>
        <v/>
      </c>
      <c r="AO278" s="8">
        <f>$V278</f>
        <v/>
      </c>
      <c r="AP278" s="18">
        <f>$AO278-$V278</f>
        <v/>
      </c>
      <c r="AQ278" s="8">
        <f>IF(ABS($AP278)&lt;=tol_trade_inr,"PASS","FAIL")</f>
        <v/>
      </c>
    </row>
    <row r="279">
      <c r="A279" s="11" t="n">
        <v>44656</v>
      </c>
      <c r="B279" s="7" t="inlineStr">
        <is>
          <t>T02</t>
        </is>
      </c>
      <c r="C279" s="7" t="inlineStr">
        <is>
          <t>FX:T02-FX-1</t>
        </is>
      </c>
      <c r="D279" s="7" t="inlineStr">
        <is>
          <t>FX</t>
        </is>
      </c>
      <c r="E279" s="7" t="inlineStr">
        <is>
          <t>fx_forward</t>
        </is>
      </c>
      <c r="H279" s="7" t="inlineStr">
        <is>
          <t>tense</t>
        </is>
      </c>
      <c r="I279" s="7" t="inlineStr">
        <is>
          <t>JEA_NSA</t>
        </is>
      </c>
      <c r="J279" s="7" t="inlineStr">
        <is>
          <t>INR</t>
        </is>
      </c>
      <c r="K279" s="7" t="inlineStr">
        <is>
          <t>floating</t>
        </is>
      </c>
      <c r="L279" s="7" t="inlineStr">
        <is>
          <t>PNL</t>
        </is>
      </c>
      <c r="M279" s="11" t="n">
        <v>44746</v>
      </c>
      <c r="N279" s="13" t="n">
        <v>0</v>
      </c>
      <c r="O279" s="6" t="n">
        <v>0</v>
      </c>
      <c r="P279" s="13" t="n">
        <v>1241900</v>
      </c>
      <c r="Q279" s="22" t="n">
        <v>30</v>
      </c>
      <c r="R279" s="6" t="n">
        <v>1</v>
      </c>
      <c r="S279" s="12" t="n">
        <v>44746</v>
      </c>
      <c r="T279" s="21" t="n">
        <v>76.040598</v>
      </c>
      <c r="U279" s="9" t="n">
        <v>-124190</v>
      </c>
      <c r="V279" s="9" t="n">
        <v>-124190</v>
      </c>
      <c r="X279" s="9" t="n">
        <v>75.33499999999999</v>
      </c>
      <c r="AK279" s="7" t="inlineStr">
        <is>
          <t>DERIVED_IN_WORKBOOK</t>
        </is>
      </c>
      <c r="AL279" s="8">
        <f>IF($J279="INR",1,IF($M279&lt;$A279,INDEX(Market_Daily!$F$6:$F$256,MATCH($M279,Market_Daily!$A$6:$A$256,1)),IF($M279=$A279,INDEX(Market_Daily!$F$6:$F$256,MATCH($A279,Market_Daily!$A$6:$A$256,0)),(INDEX(Market_Daily!$F$6:$F$256,MATCH($A279,Market_Daily!$A$6:$A$256,0))*(1+INDEX(Market_Daily!$I$6:$I$256,MATCH($A279,Market_Daily!$A$6:$A$256,0))*($M279-$A279)/day_count_inr)/(1+INDEX(Market_Daily!$J$6:$J$256,MATCH($A279,Market_Daily!$A$6:$A$256,0))*($M279-$A279)/day_count_usd)))))</f>
        <v/>
      </c>
      <c r="AM279" s="8">
        <f>IF(OR($J279="INR",$R279&gt;1),"",$AL279-$X279)</f>
        <v/>
      </c>
      <c r="AN279" s="8">
        <f>$P279*(IF($S279&lt;$A279,INDEX(Market_Daily!$F$6:$F$256,MATCH($S279,Market_Daily!$A$6:$A$256,1)),IF($S279=$A279,INDEX(Market_Daily!$F$6:$F$256,MATCH($A279,Market_Daily!$A$6:$A$256,0)),(INDEX(Market_Daily!$F$6:$F$256,MATCH($A279,Market_Daily!$A$6:$A$256,0))*(1+INDEX(Market_Daily!$I$6:$I$256,MATCH($A279,Market_Daily!$A$6:$A$256,0))*($S279-$A279)/day_count_inr)/(1+INDEX(Market_Daily!$J$6:$J$256,MATCH($A279,Market_Daily!$A$6:$A$256,0))*($S279-$A279)/day_count_usd))))-$T279)</f>
        <v/>
      </c>
      <c r="AO279" s="8">
        <f>$AN279</f>
        <v/>
      </c>
      <c r="AP279" s="18">
        <f>$AO279-$V279</f>
        <v/>
      </c>
      <c r="AQ279" s="8">
        <f>IF(ABS($AP279)&lt;=tol_trade_inr,"PASS","FAIL")</f>
        <v/>
      </c>
    </row>
    <row r="280">
      <c r="A280" s="11" t="n">
        <v>44656</v>
      </c>
      <c r="B280" s="7" t="inlineStr">
        <is>
          <t>T02</t>
        </is>
      </c>
      <c r="C280" s="7" t="inlineStr">
        <is>
          <t>IGST:L1</t>
        </is>
      </c>
      <c r="D280" s="7" t="inlineStr">
        <is>
          <t>IGST</t>
        </is>
      </c>
      <c r="E280" s="7" t="inlineStr">
        <is>
          <t>physical</t>
        </is>
      </c>
      <c r="F280" s="7" t="inlineStr">
        <is>
          <t>L1</t>
        </is>
      </c>
      <c r="H280" s="7" t="inlineStr">
        <is>
          <t>tense</t>
        </is>
      </c>
      <c r="I280" s="7" t="inlineStr">
        <is>
          <t>JEA_NSA</t>
        </is>
      </c>
      <c r="J280" s="7" t="inlineStr">
        <is>
          <t>INR</t>
        </is>
      </c>
      <c r="K280" s="7" t="inlineStr">
        <is>
          <t>floating</t>
        </is>
      </c>
      <c r="L280" s="7" t="inlineStr">
        <is>
          <t>BS</t>
        </is>
      </c>
      <c r="M280" s="11" t="n">
        <v>44707</v>
      </c>
      <c r="N280" s="13" t="n">
        <v>0</v>
      </c>
      <c r="O280" s="6" t="n">
        <v>0</v>
      </c>
      <c r="P280" s="13" t="n">
        <v>0</v>
      </c>
      <c r="Q280" s="22" t="n">
        <v>30</v>
      </c>
      <c r="R280" s="6" t="n">
        <v>2</v>
      </c>
      <c r="U280" s="9" t="n">
        <v>0</v>
      </c>
      <c r="V280" s="9" t="n">
        <v>0</v>
      </c>
      <c r="X280" s="9" t="n">
        <v>75.33499999999999</v>
      </c>
      <c r="AK280" s="7" t="inlineStr">
        <is>
          <t>PYTHON_MULTI_FLOW_LEG</t>
        </is>
      </c>
      <c r="AL280" s="8">
        <f>IF($J280="INR",1,IF($M280&lt;$A280,INDEX(Market_Daily!$F$6:$F$256,MATCH($M280,Market_Daily!$A$6:$A$256,1)),IF($M280=$A280,INDEX(Market_Daily!$F$6:$F$256,MATCH($A280,Market_Daily!$A$6:$A$256,0)),(INDEX(Market_Daily!$F$6:$F$256,MATCH($A280,Market_Daily!$A$6:$A$256,0))*(1+INDEX(Market_Daily!$I$6:$I$256,MATCH($A280,Market_Daily!$A$6:$A$256,0))*($M280-$A280)/day_count_inr)/(1+INDEX(Market_Daily!$J$6:$J$256,MATCH($A280,Market_Daily!$A$6:$A$256,0))*($M280-$A280)/day_count_usd)))))</f>
        <v/>
      </c>
      <c r="AM280" s="8">
        <f>IF(OR($J280="INR",$R280&gt;1),"",$AL280-$X280)</f>
        <v/>
      </c>
      <c r="AN280" s="8">
        <f>$U280</f>
        <v/>
      </c>
      <c r="AO280" s="8">
        <f>$V280</f>
        <v/>
      </c>
      <c r="AP280" s="18">
        <f>$AO280-$V280</f>
        <v/>
      </c>
      <c r="AQ280" s="8">
        <f>IF(ABS($AP280)&lt;=tol_trade_inr,"PASS","FAIL")</f>
        <v/>
      </c>
    </row>
    <row r="281">
      <c r="A281" s="11" t="n">
        <v>44656</v>
      </c>
      <c r="B281" s="7" t="inlineStr">
        <is>
          <t>T02</t>
        </is>
      </c>
      <c r="C281" s="7" t="inlineStr">
        <is>
          <t>IGST:L2</t>
        </is>
      </c>
      <c r="D281" s="7" t="inlineStr">
        <is>
          <t>IGST</t>
        </is>
      </c>
      <c r="E281" s="7" t="inlineStr">
        <is>
          <t>physical</t>
        </is>
      </c>
      <c r="F281" s="7" t="inlineStr">
        <is>
          <t>L2</t>
        </is>
      </c>
      <c r="H281" s="7" t="inlineStr">
        <is>
          <t>tense</t>
        </is>
      </c>
      <c r="I281" s="7" t="inlineStr">
        <is>
          <t>JEA_NSA</t>
        </is>
      </c>
      <c r="J281" s="7" t="inlineStr">
        <is>
          <t>INR</t>
        </is>
      </c>
      <c r="K281" s="7" t="inlineStr">
        <is>
          <t>floating</t>
        </is>
      </c>
      <c r="L281" s="7" t="inlineStr">
        <is>
          <t>BS</t>
        </is>
      </c>
      <c r="M281" s="11" t="n">
        <v>44718</v>
      </c>
      <c r="N281" s="13" t="n">
        <v>0</v>
      </c>
      <c r="O281" s="6" t="n">
        <v>0</v>
      </c>
      <c r="P281" s="13" t="n">
        <v>0</v>
      </c>
      <c r="Q281" s="22" t="n">
        <v>30</v>
      </c>
      <c r="R281" s="6" t="n">
        <v>2</v>
      </c>
      <c r="U281" s="9" t="n">
        <v>0</v>
      </c>
      <c r="V281" s="9" t="n">
        <v>0</v>
      </c>
      <c r="X281" s="9" t="n">
        <v>75.33499999999999</v>
      </c>
      <c r="AK281" s="7" t="inlineStr">
        <is>
          <t>PYTHON_MULTI_FLOW_LEG</t>
        </is>
      </c>
      <c r="AL281" s="8">
        <f>IF($J281="INR",1,IF($M281&lt;$A281,INDEX(Market_Daily!$F$6:$F$256,MATCH($M281,Market_Daily!$A$6:$A$256,1)),IF($M281=$A281,INDEX(Market_Daily!$F$6:$F$256,MATCH($A281,Market_Daily!$A$6:$A$256,0)),(INDEX(Market_Daily!$F$6:$F$256,MATCH($A281,Market_Daily!$A$6:$A$256,0))*(1+INDEX(Market_Daily!$I$6:$I$256,MATCH($A281,Market_Daily!$A$6:$A$256,0))*($M281-$A281)/day_count_inr)/(1+INDEX(Market_Daily!$J$6:$J$256,MATCH($A281,Market_Daily!$A$6:$A$256,0))*($M281-$A281)/day_count_usd)))))</f>
        <v/>
      </c>
      <c r="AM281" s="8">
        <f>IF(OR($J281="INR",$R281&gt;1),"",$AL281-$X281)</f>
        <v/>
      </c>
      <c r="AN281" s="8">
        <f>$U281</f>
        <v/>
      </c>
      <c r="AO281" s="8">
        <f>$V281</f>
        <v/>
      </c>
      <c r="AP281" s="18">
        <f>$AO281-$V281</f>
        <v/>
      </c>
      <c r="AQ281" s="8">
        <f>IF(ABS($AP281)&lt;=tol_trade_inr,"PASS","FAIL")</f>
        <v/>
      </c>
    </row>
    <row r="282">
      <c r="A282" s="11" t="n">
        <v>44656</v>
      </c>
      <c r="B282" s="7" t="inlineStr">
        <is>
          <t>T02</t>
        </is>
      </c>
      <c r="C282" s="7" t="inlineStr">
        <is>
          <t>INSURANCE:L2</t>
        </is>
      </c>
      <c r="D282" s="7" t="inlineStr">
        <is>
          <t>INSURANCE</t>
        </is>
      </c>
      <c r="E282" s="7" t="inlineStr">
        <is>
          <t>physical</t>
        </is>
      </c>
      <c r="F282" s="7" t="inlineStr">
        <is>
          <t>L2</t>
        </is>
      </c>
      <c r="H282" s="7" t="inlineStr">
        <is>
          <t>tense</t>
        </is>
      </c>
      <c r="I282" s="7" t="inlineStr">
        <is>
          <t>JEA_NSA</t>
        </is>
      </c>
      <c r="J282" s="7" t="inlineStr">
        <is>
          <t>USD</t>
        </is>
      </c>
      <c r="K282" s="7" t="inlineStr">
        <is>
          <t>floating</t>
        </is>
      </c>
      <c r="L282" s="7" t="inlineStr">
        <is>
          <t>PNL</t>
        </is>
      </c>
      <c r="M282" s="11" t="n">
        <v>44664</v>
      </c>
      <c r="N282" s="13" t="n">
        <v>600</v>
      </c>
      <c r="O282" s="6" t="n">
        <v>0</v>
      </c>
      <c r="P282" s="13" t="n">
        <v>0</v>
      </c>
      <c r="Q282" s="22" t="n">
        <v>30</v>
      </c>
      <c r="R282" s="6" t="n">
        <v>1</v>
      </c>
      <c r="U282" s="9" t="n">
        <v>-1438.95</v>
      </c>
      <c r="V282" s="9" t="n">
        <v>-108480.92</v>
      </c>
      <c r="X282" s="9" t="n">
        <v>75.38890000000001</v>
      </c>
      <c r="AK282" s="7" t="inlineStr">
        <is>
          <t>PYTHON_LIFECYCLE</t>
        </is>
      </c>
      <c r="AL282" s="8">
        <f>IF($J282="INR",1,IF($M282&lt;$A282,INDEX(Market_Daily!$F$6:$F$256,MATCH($M282,Market_Daily!$A$6:$A$256,1)),IF($M282=$A282,INDEX(Market_Daily!$F$6:$F$256,MATCH($A282,Market_Daily!$A$6:$A$256,0)),(INDEX(Market_Daily!$F$6:$F$256,MATCH($A282,Market_Daily!$A$6:$A$256,0))*(1+INDEX(Market_Daily!$I$6:$I$256,MATCH($A282,Market_Daily!$A$6:$A$256,0))*($M282-$A282)/day_count_inr)/(1+INDEX(Market_Daily!$J$6:$J$256,MATCH($A282,Market_Daily!$A$6:$A$256,0))*($M282-$A282)/day_count_usd)))))</f>
        <v/>
      </c>
      <c r="AM282" s="8">
        <f>IF(OR($J282="INR",$R282&gt;1),"",$AL282-$X282)</f>
        <v/>
      </c>
      <c r="AN282" s="8">
        <f>$U282</f>
        <v/>
      </c>
      <c r="AO282" s="8">
        <f>$AN282*IF($J282="INR",1,$AL282)</f>
        <v/>
      </c>
      <c r="AP282" s="18">
        <f>$AO282-$V282</f>
        <v/>
      </c>
      <c r="AQ282" s="8">
        <f>IF(ABS($AP282)&lt;=tol_trade_inr,"PASS","FAIL")</f>
        <v/>
      </c>
    </row>
    <row r="283">
      <c r="A283" s="11" t="n">
        <v>44656</v>
      </c>
      <c r="B283" s="7" t="inlineStr">
        <is>
          <t>T02</t>
        </is>
      </c>
      <c r="C283" s="7" t="inlineStr">
        <is>
          <t>LC_USANCE_FEE:L1</t>
        </is>
      </c>
      <c r="D283" s="7" t="inlineStr">
        <is>
          <t>LC_USANCE_FEE</t>
        </is>
      </c>
      <c r="E283" s="7" t="inlineStr">
        <is>
          <t>physical</t>
        </is>
      </c>
      <c r="F283" s="7" t="inlineStr">
        <is>
          <t>L1</t>
        </is>
      </c>
      <c r="H283" s="7" t="inlineStr">
        <is>
          <t>tense</t>
        </is>
      </c>
      <c r="I283" s="7" t="inlineStr">
        <is>
          <t>JEA_NSA</t>
        </is>
      </c>
      <c r="J283" s="7" t="inlineStr">
        <is>
          <t>USD</t>
        </is>
      </c>
      <c r="K283" s="7" t="inlineStr">
        <is>
          <t>floating</t>
        </is>
      </c>
      <c r="L283" s="7" t="inlineStr">
        <is>
          <t>PNL</t>
        </is>
      </c>
      <c r="M283" s="11" t="n">
        <v>44663</v>
      </c>
      <c r="N283" s="13" t="n">
        <v>0</v>
      </c>
      <c r="O283" s="6" t="n">
        <v>0</v>
      </c>
      <c r="P283" s="13" t="n">
        <v>0</v>
      </c>
      <c r="Q283" s="22" t="n">
        <v>30</v>
      </c>
      <c r="R283" s="6" t="n">
        <v>1</v>
      </c>
      <c r="U283" s="9" t="n">
        <v>-2607.99</v>
      </c>
      <c r="V283" s="9" t="n">
        <v>-196595.78</v>
      </c>
      <c r="X283" s="9" t="n">
        <v>75.3822</v>
      </c>
      <c r="AK283" s="7" t="inlineStr">
        <is>
          <t>PYTHON_LIFECYCLE</t>
        </is>
      </c>
      <c r="AL283" s="8">
        <f>IF($J283="INR",1,IF($M283&lt;$A283,INDEX(Market_Daily!$F$6:$F$256,MATCH($M283,Market_Daily!$A$6:$A$256,1)),IF($M283=$A283,INDEX(Market_Daily!$F$6:$F$256,MATCH($A283,Market_Daily!$A$6:$A$256,0)),(INDEX(Market_Daily!$F$6:$F$256,MATCH($A283,Market_Daily!$A$6:$A$256,0))*(1+INDEX(Market_Daily!$I$6:$I$256,MATCH($A283,Market_Daily!$A$6:$A$256,0))*($M283-$A283)/day_count_inr)/(1+INDEX(Market_Daily!$J$6:$J$256,MATCH($A283,Market_Daily!$A$6:$A$256,0))*($M283-$A283)/day_count_usd)))))</f>
        <v/>
      </c>
      <c r="AM283" s="8">
        <f>IF(OR($J283="INR",$R283&gt;1),"",$AL283-$X283)</f>
        <v/>
      </c>
      <c r="AN283" s="8">
        <f>$U283</f>
        <v/>
      </c>
      <c r="AO283" s="8">
        <f>$AN283*IF($J283="INR",1,$AL283)</f>
        <v/>
      </c>
      <c r="AP283" s="18">
        <f>$AO283-$V283</f>
        <v/>
      </c>
      <c r="AQ283" s="8">
        <f>IF(ABS($AP283)&lt;=tol_trade_inr,"PASS","FAIL")</f>
        <v/>
      </c>
    </row>
    <row r="284">
      <c r="A284" s="11" t="n">
        <v>44656</v>
      </c>
      <c r="B284" s="7" t="inlineStr">
        <is>
          <t>T02</t>
        </is>
      </c>
      <c r="C284" s="7" t="inlineStr">
        <is>
          <t>LC_USANCE_FEE:L2</t>
        </is>
      </c>
      <c r="D284" s="7" t="inlineStr">
        <is>
          <t>LC_USANCE_FEE</t>
        </is>
      </c>
      <c r="E284" s="7" t="inlineStr">
        <is>
          <t>physical</t>
        </is>
      </c>
      <c r="F284" s="7" t="inlineStr">
        <is>
          <t>L2</t>
        </is>
      </c>
      <c r="H284" s="7" t="inlineStr">
        <is>
          <t>tense</t>
        </is>
      </c>
      <c r="I284" s="7" t="inlineStr">
        <is>
          <t>JEA_NSA</t>
        </is>
      </c>
      <c r="J284" s="7" t="inlineStr">
        <is>
          <t>USD</t>
        </is>
      </c>
      <c r="K284" s="7" t="inlineStr">
        <is>
          <t>floating</t>
        </is>
      </c>
      <c r="L284" s="7" t="inlineStr">
        <is>
          <t>PNL</t>
        </is>
      </c>
      <c r="M284" s="11" t="n">
        <v>44671</v>
      </c>
      <c r="N284" s="13" t="n">
        <v>0</v>
      </c>
      <c r="O284" s="6" t="n">
        <v>0</v>
      </c>
      <c r="P284" s="13" t="n">
        <v>0</v>
      </c>
      <c r="Q284" s="22" t="n">
        <v>30</v>
      </c>
      <c r="R284" s="6" t="n">
        <v>1</v>
      </c>
      <c r="U284" s="9" t="n">
        <v>-2609.73</v>
      </c>
      <c r="V284" s="9" t="n">
        <v>-196868.02</v>
      </c>
      <c r="X284" s="9" t="n">
        <v>75.4361</v>
      </c>
      <c r="AK284" s="7" t="inlineStr">
        <is>
          <t>PYTHON_LIFECYCLE</t>
        </is>
      </c>
      <c r="AL284" s="8">
        <f>IF($J284="INR",1,IF($M284&lt;$A284,INDEX(Market_Daily!$F$6:$F$256,MATCH($M284,Market_Daily!$A$6:$A$256,1)),IF($M284=$A284,INDEX(Market_Daily!$F$6:$F$256,MATCH($A284,Market_Daily!$A$6:$A$256,0)),(INDEX(Market_Daily!$F$6:$F$256,MATCH($A284,Market_Daily!$A$6:$A$256,0))*(1+INDEX(Market_Daily!$I$6:$I$256,MATCH($A284,Market_Daily!$A$6:$A$256,0))*($M284-$A284)/day_count_inr)/(1+INDEX(Market_Daily!$J$6:$J$256,MATCH($A284,Market_Daily!$A$6:$A$256,0))*($M284-$A284)/day_count_usd)))))</f>
        <v/>
      </c>
      <c r="AM284" s="8">
        <f>IF(OR($J284="INR",$R284&gt;1),"",$AL284-$X284)</f>
        <v/>
      </c>
      <c r="AN284" s="8">
        <f>$U284</f>
        <v/>
      </c>
      <c r="AO284" s="8">
        <f>$AN284*IF($J284="INR",1,$AL284)</f>
        <v/>
      </c>
      <c r="AP284" s="18">
        <f>$AO284-$V284</f>
        <v/>
      </c>
      <c r="AQ284" s="8">
        <f>IF(ABS($AP284)&lt;=tol_trade_inr,"PASS","FAIL")</f>
        <v/>
      </c>
    </row>
    <row r="285">
      <c r="A285" s="11" t="n">
        <v>44656</v>
      </c>
      <c r="B285" s="7" t="inlineStr">
        <is>
          <t>T02</t>
        </is>
      </c>
      <c r="C285" s="7" t="inlineStr">
        <is>
          <t>MCX:T02-MCX-2</t>
        </is>
      </c>
      <c r="D285" s="7" t="inlineStr">
        <is>
          <t>MCX</t>
        </is>
      </c>
      <c r="E285" s="7" t="inlineStr">
        <is>
          <t>mcx</t>
        </is>
      </c>
      <c r="H285" s="7" t="inlineStr">
        <is>
          <t>tense</t>
        </is>
      </c>
      <c r="I285" s="7" t="inlineStr">
        <is>
          <t>JEA_NSA</t>
        </is>
      </c>
      <c r="J285" s="7" t="inlineStr">
        <is>
          <t>INR</t>
        </is>
      </c>
      <c r="K285" s="7" t="inlineStr">
        <is>
          <t>partially_fixed</t>
        </is>
      </c>
      <c r="L285" s="7" t="inlineStr">
        <is>
          <t>PNL</t>
        </is>
      </c>
      <c r="M285" s="11" t="n">
        <v>44671</v>
      </c>
      <c r="N285" s="13" t="n">
        <v>0</v>
      </c>
      <c r="O285" s="6" t="n">
        <v>-74</v>
      </c>
      <c r="P285" s="13" t="n">
        <v>0</v>
      </c>
      <c r="Q285" s="22" t="n">
        <v>30</v>
      </c>
      <c r="R285" s="6" t="n">
        <v>20</v>
      </c>
      <c r="U285" s="9" t="n">
        <v>0</v>
      </c>
      <c r="V285" s="9" t="n">
        <v>0</v>
      </c>
      <c r="X285" s="9" t="n">
        <v>75.33499999999999</v>
      </c>
      <c r="AK285" s="7" t="inlineStr">
        <is>
          <t>PYTHON_MULTI_FLOW_LEG</t>
        </is>
      </c>
      <c r="AL285" s="8">
        <f>IF($J285="INR",1,IF($M285&lt;$A285,INDEX(Market_Daily!$F$6:$F$256,MATCH($M285,Market_Daily!$A$6:$A$256,1)),IF($M285=$A285,INDEX(Market_Daily!$F$6:$F$256,MATCH($A285,Market_Daily!$A$6:$A$256,0)),(INDEX(Market_Daily!$F$6:$F$256,MATCH($A285,Market_Daily!$A$6:$A$256,0))*(1+INDEX(Market_Daily!$I$6:$I$256,MATCH($A285,Market_Daily!$A$6:$A$256,0))*($M285-$A285)/day_count_inr)/(1+INDEX(Market_Daily!$J$6:$J$256,MATCH($A285,Market_Daily!$A$6:$A$256,0))*($M285-$A285)/day_count_usd)))))</f>
        <v/>
      </c>
      <c r="AM285" s="8">
        <f>IF(OR($J285="INR",$R285&gt;1),"",$AL285-$X285)</f>
        <v/>
      </c>
      <c r="AN285" s="8">
        <f>$U285</f>
        <v/>
      </c>
      <c r="AO285" s="8">
        <f>$V285</f>
        <v/>
      </c>
      <c r="AP285" s="18">
        <f>$AO285-$V285</f>
        <v/>
      </c>
      <c r="AQ285" s="8">
        <f>IF(ABS($AP285)&lt;=tol_trade_inr,"PASS","FAIL")</f>
        <v/>
      </c>
    </row>
    <row r="286">
      <c r="A286" s="11" t="n">
        <v>44656</v>
      </c>
      <c r="B286" s="7" t="inlineStr">
        <is>
          <t>T02</t>
        </is>
      </c>
      <c r="C286" s="7" t="inlineStr">
        <is>
          <t>PORT:L1</t>
        </is>
      </c>
      <c r="D286" s="7" t="inlineStr">
        <is>
          <t>PORT</t>
        </is>
      </c>
      <c r="E286" s="7" t="inlineStr">
        <is>
          <t>physical</t>
        </is>
      </c>
      <c r="F286" s="7" t="inlineStr">
        <is>
          <t>L1</t>
        </is>
      </c>
      <c r="H286" s="7" t="inlineStr">
        <is>
          <t>tense</t>
        </is>
      </c>
      <c r="I286" s="7" t="inlineStr">
        <is>
          <t>JEA_NSA</t>
        </is>
      </c>
      <c r="J286" s="7" t="inlineStr">
        <is>
          <t>INR</t>
        </is>
      </c>
      <c r="K286" s="7" t="inlineStr">
        <is>
          <t>fixed_unsettled</t>
        </is>
      </c>
      <c r="L286" s="7" t="inlineStr">
        <is>
          <t>PNL</t>
        </is>
      </c>
      <c r="M286" s="11" t="n">
        <v>44671</v>
      </c>
      <c r="N286" s="13" t="n">
        <v>0</v>
      </c>
      <c r="O286" s="6" t="n">
        <v>0</v>
      </c>
      <c r="P286" s="13" t="n">
        <v>0</v>
      </c>
      <c r="Q286" s="22" t="n">
        <v>30</v>
      </c>
      <c r="R286" s="6" t="n">
        <v>1</v>
      </c>
      <c r="U286" s="9" t="n">
        <v>-960000</v>
      </c>
      <c r="V286" s="9" t="n">
        <v>-960000</v>
      </c>
      <c r="X286" s="9" t="n">
        <v>75.33499999999999</v>
      </c>
      <c r="AK286" s="7" t="inlineStr">
        <is>
          <t>PYTHON_LIFECYCLE</t>
        </is>
      </c>
      <c r="AL286" s="8">
        <f>IF($J286="INR",1,IF($M286&lt;$A286,INDEX(Market_Daily!$F$6:$F$256,MATCH($M286,Market_Daily!$A$6:$A$256,1)),IF($M286=$A286,INDEX(Market_Daily!$F$6:$F$256,MATCH($A286,Market_Daily!$A$6:$A$256,0)),(INDEX(Market_Daily!$F$6:$F$256,MATCH($A286,Market_Daily!$A$6:$A$256,0))*(1+INDEX(Market_Daily!$I$6:$I$256,MATCH($A286,Market_Daily!$A$6:$A$256,0))*($M286-$A286)/day_count_inr)/(1+INDEX(Market_Daily!$J$6:$J$256,MATCH($A286,Market_Daily!$A$6:$A$256,0))*($M286-$A286)/day_count_usd)))))</f>
        <v/>
      </c>
      <c r="AM286" s="8">
        <f>IF(OR($J286="INR",$R286&gt;1),"",$AL286-$X286)</f>
        <v/>
      </c>
      <c r="AN286" s="8">
        <f>$U286</f>
        <v/>
      </c>
      <c r="AO286" s="8">
        <f>$AN286*IF($J286="INR",1,$AL286)</f>
        <v/>
      </c>
      <c r="AP286" s="18">
        <f>$AO286-$V286</f>
        <v/>
      </c>
      <c r="AQ286" s="8">
        <f>IF(ABS($AP286)&lt;=tol_trade_inr,"PASS","FAIL")</f>
        <v/>
      </c>
    </row>
    <row r="287">
      <c r="A287" s="11" t="n">
        <v>44656</v>
      </c>
      <c r="B287" s="7" t="inlineStr">
        <is>
          <t>T02</t>
        </is>
      </c>
      <c r="C287" s="7" t="inlineStr">
        <is>
          <t>PORT:L2</t>
        </is>
      </c>
      <c r="D287" s="7" t="inlineStr">
        <is>
          <t>PORT</t>
        </is>
      </c>
      <c r="E287" s="7" t="inlineStr">
        <is>
          <t>physical</t>
        </is>
      </c>
      <c r="F287" s="7" t="inlineStr">
        <is>
          <t>L2</t>
        </is>
      </c>
      <c r="H287" s="7" t="inlineStr">
        <is>
          <t>tense</t>
        </is>
      </c>
      <c r="I287" s="7" t="inlineStr">
        <is>
          <t>JEA_NSA</t>
        </is>
      </c>
      <c r="J287" s="7" t="inlineStr">
        <is>
          <t>INR</t>
        </is>
      </c>
      <c r="K287" s="7" t="inlineStr">
        <is>
          <t>fixed_unsettled</t>
        </is>
      </c>
      <c r="L287" s="7" t="inlineStr">
        <is>
          <t>PNL</t>
        </is>
      </c>
      <c r="M287" s="11" t="n">
        <v>44679</v>
      </c>
      <c r="N287" s="13" t="n">
        <v>0</v>
      </c>
      <c r="O287" s="6" t="n">
        <v>0</v>
      </c>
      <c r="P287" s="13" t="n">
        <v>0</v>
      </c>
      <c r="Q287" s="22" t="n">
        <v>30</v>
      </c>
      <c r="R287" s="6" t="n">
        <v>1</v>
      </c>
      <c r="U287" s="9" t="n">
        <v>-960000</v>
      </c>
      <c r="V287" s="9" t="n">
        <v>-960000</v>
      </c>
      <c r="X287" s="9" t="n">
        <v>75.33499999999999</v>
      </c>
      <c r="AK287" s="7" t="inlineStr">
        <is>
          <t>PYTHON_LIFECYCLE</t>
        </is>
      </c>
      <c r="AL287" s="8">
        <f>IF($J287="INR",1,IF($M287&lt;$A287,INDEX(Market_Daily!$F$6:$F$256,MATCH($M287,Market_Daily!$A$6:$A$256,1)),IF($M287=$A287,INDEX(Market_Daily!$F$6:$F$256,MATCH($A287,Market_Daily!$A$6:$A$256,0)),(INDEX(Market_Daily!$F$6:$F$256,MATCH($A287,Market_Daily!$A$6:$A$256,0))*(1+INDEX(Market_Daily!$I$6:$I$256,MATCH($A287,Market_Daily!$A$6:$A$256,0))*($M287-$A287)/day_count_inr)/(1+INDEX(Market_Daily!$J$6:$J$256,MATCH($A287,Market_Daily!$A$6:$A$256,0))*($M287-$A287)/day_count_usd)))))</f>
        <v/>
      </c>
      <c r="AM287" s="8">
        <f>IF(OR($J287="INR",$R287&gt;1),"",$AL287-$X287)</f>
        <v/>
      </c>
      <c r="AN287" s="8">
        <f>$U287</f>
        <v/>
      </c>
      <c r="AO287" s="8">
        <f>$AN287*IF($J287="INR",1,$AL287)</f>
        <v/>
      </c>
      <c r="AP287" s="18">
        <f>$AO287-$V287</f>
        <v/>
      </c>
      <c r="AQ287" s="8">
        <f>IF(ABS($AP287)&lt;=tol_trade_inr,"PASS","FAIL")</f>
        <v/>
      </c>
    </row>
    <row r="288">
      <c r="A288" s="11" t="n">
        <v>44656</v>
      </c>
      <c r="B288" s="7" t="inlineStr">
        <is>
          <t>T02</t>
        </is>
      </c>
      <c r="C288" s="7" t="inlineStr">
        <is>
          <t>PSIC:L2</t>
        </is>
      </c>
      <c r="D288" s="7" t="inlineStr">
        <is>
          <t>PSIC</t>
        </is>
      </c>
      <c r="E288" s="7" t="inlineStr">
        <is>
          <t>physical</t>
        </is>
      </c>
      <c r="F288" s="7" t="inlineStr">
        <is>
          <t>L2</t>
        </is>
      </c>
      <c r="H288" s="7" t="inlineStr">
        <is>
          <t>tense</t>
        </is>
      </c>
      <c r="I288" s="7" t="inlineStr">
        <is>
          <t>JEA_NSA</t>
        </is>
      </c>
      <c r="J288" s="7" t="inlineStr">
        <is>
          <t>USD</t>
        </is>
      </c>
      <c r="K288" s="7" t="inlineStr">
        <is>
          <t>floating</t>
        </is>
      </c>
      <c r="L288" s="7" t="inlineStr">
        <is>
          <t>PNL</t>
        </is>
      </c>
      <c r="M288" s="11" t="n">
        <v>44664</v>
      </c>
      <c r="N288" s="13" t="n">
        <v>0</v>
      </c>
      <c r="O288" s="6" t="n">
        <v>0</v>
      </c>
      <c r="P288" s="13" t="n">
        <v>0</v>
      </c>
      <c r="Q288" s="22" t="n">
        <v>30</v>
      </c>
      <c r="R288" s="6" t="n">
        <v>1</v>
      </c>
      <c r="U288" s="9" t="n">
        <v>-960</v>
      </c>
      <c r="V288" s="9" t="n">
        <v>-72373.35000000001</v>
      </c>
      <c r="X288" s="9" t="n">
        <v>75.38890000000001</v>
      </c>
      <c r="AK288" s="7" t="inlineStr">
        <is>
          <t>PYTHON_LIFECYCLE</t>
        </is>
      </c>
      <c r="AL288" s="8">
        <f>IF($J288="INR",1,IF($M288&lt;$A288,INDEX(Market_Daily!$F$6:$F$256,MATCH($M288,Market_Daily!$A$6:$A$256,1)),IF($M288=$A288,INDEX(Market_Daily!$F$6:$F$256,MATCH($A288,Market_Daily!$A$6:$A$256,0)),(INDEX(Market_Daily!$F$6:$F$256,MATCH($A288,Market_Daily!$A$6:$A$256,0))*(1+INDEX(Market_Daily!$I$6:$I$256,MATCH($A288,Market_Daily!$A$6:$A$256,0))*($M288-$A288)/day_count_inr)/(1+INDEX(Market_Daily!$J$6:$J$256,MATCH($A288,Market_Daily!$A$6:$A$256,0))*($M288-$A288)/day_count_usd)))))</f>
        <v/>
      </c>
      <c r="AM288" s="8">
        <f>IF(OR($J288="INR",$R288&gt;1),"",$AL288-$X288)</f>
        <v/>
      </c>
      <c r="AN288" s="8">
        <f>$U288</f>
        <v/>
      </c>
      <c r="AO288" s="8">
        <f>$AN288*IF($J288="INR",1,$AL288)</f>
        <v/>
      </c>
      <c r="AP288" s="18">
        <f>$AO288-$V288</f>
        <v/>
      </c>
      <c r="AQ288" s="8">
        <f>IF(ABS($AP288)&lt;=tol_trade_inr,"PASS","FAIL")</f>
        <v/>
      </c>
    </row>
    <row r="289">
      <c r="A289" s="11" t="n">
        <v>44656</v>
      </c>
      <c r="B289" s="7" t="inlineStr">
        <is>
          <t>T02</t>
        </is>
      </c>
      <c r="C289" s="7" t="inlineStr">
        <is>
          <t>PURCHASE:L1</t>
        </is>
      </c>
      <c r="D289" s="7" t="inlineStr">
        <is>
          <t>PURCHASE</t>
        </is>
      </c>
      <c r="E289" s="7" t="inlineStr">
        <is>
          <t>physical</t>
        </is>
      </c>
      <c r="F289" s="7" t="inlineStr">
        <is>
          <t>L1</t>
        </is>
      </c>
      <c r="G289" s="7" t="inlineStr">
        <is>
          <t>SUP_JEA_01</t>
        </is>
      </c>
      <c r="H289" s="7" t="inlineStr">
        <is>
          <t>tense</t>
        </is>
      </c>
      <c r="I289" s="7" t="inlineStr">
        <is>
          <t>JEA_NSA</t>
        </is>
      </c>
      <c r="J289" s="7" t="inlineStr">
        <is>
          <t>USD</t>
        </is>
      </c>
      <c r="K289" s="7" t="inlineStr">
        <is>
          <t>partially_fixed</t>
        </is>
      </c>
      <c r="L289" s="7" t="inlineStr">
        <is>
          <t>PNL</t>
        </is>
      </c>
      <c r="M289" s="11" t="n">
        <v>44746</v>
      </c>
      <c r="N289" s="13" t="n">
        <v>1200</v>
      </c>
      <c r="O289" s="6" t="n">
        <v>0</v>
      </c>
      <c r="P289" s="13" t="n">
        <v>0</v>
      </c>
      <c r="Q289" s="22" t="n">
        <v>30</v>
      </c>
      <c r="R289" s="6" t="n">
        <v>2</v>
      </c>
      <c r="U289" s="9" t="n">
        <v>-1311813.93</v>
      </c>
      <c r="V289" s="9" t="n">
        <v>-99608187.09</v>
      </c>
      <c r="X289" s="9" t="n">
        <v>75.9406</v>
      </c>
      <c r="AK289" s="7" t="inlineStr">
        <is>
          <t>PYTHON_MULTI_FLOW_LEG</t>
        </is>
      </c>
      <c r="AL289" s="8">
        <f>IF($J289="INR",1,IF($M289&lt;$A289,INDEX(Market_Daily!$F$6:$F$256,MATCH($M289,Market_Daily!$A$6:$A$256,1)),IF($M289=$A289,INDEX(Market_Daily!$F$6:$F$256,MATCH($A289,Market_Daily!$A$6:$A$256,0)),(INDEX(Market_Daily!$F$6:$F$256,MATCH($A289,Market_Daily!$A$6:$A$256,0))*(1+INDEX(Market_Daily!$I$6:$I$256,MATCH($A289,Market_Daily!$A$6:$A$256,0))*($M289-$A289)/day_count_inr)/(1+INDEX(Market_Daily!$J$6:$J$256,MATCH($A289,Market_Daily!$A$6:$A$256,0))*($M289-$A289)/day_count_usd)))))</f>
        <v/>
      </c>
      <c r="AM289" s="8">
        <f>IF(OR($J289="INR",$R289&gt;1),"",$AL289-$X289)</f>
        <v/>
      </c>
      <c r="AN289" s="8">
        <f>$U289</f>
        <v/>
      </c>
      <c r="AO289" s="8">
        <f>$V289</f>
        <v/>
      </c>
      <c r="AP289" s="18">
        <f>$AO289-$V289</f>
        <v/>
      </c>
      <c r="AQ289" s="8">
        <f>IF(ABS($AP289)&lt;=tol_trade_inr,"PASS","FAIL")</f>
        <v/>
      </c>
    </row>
    <row r="290">
      <c r="A290" s="11" t="n">
        <v>44656</v>
      </c>
      <c r="B290" s="7" t="inlineStr">
        <is>
          <t>T02</t>
        </is>
      </c>
      <c r="C290" s="7" t="inlineStr">
        <is>
          <t>PURCHASE:L2</t>
        </is>
      </c>
      <c r="D290" s="7" t="inlineStr">
        <is>
          <t>PURCHASE</t>
        </is>
      </c>
      <c r="E290" s="7" t="inlineStr">
        <is>
          <t>physical</t>
        </is>
      </c>
      <c r="F290" s="7" t="inlineStr">
        <is>
          <t>L2</t>
        </is>
      </c>
      <c r="G290" s="7" t="inlineStr">
        <is>
          <t>SUP_JEA_01</t>
        </is>
      </c>
      <c r="H290" s="7" t="inlineStr">
        <is>
          <t>tense</t>
        </is>
      </c>
      <c r="I290" s="7" t="inlineStr">
        <is>
          <t>JEA_NSA</t>
        </is>
      </c>
      <c r="J290" s="7" t="inlineStr">
        <is>
          <t>USD</t>
        </is>
      </c>
      <c r="K290" s="7" t="inlineStr">
        <is>
          <t>floating</t>
        </is>
      </c>
      <c r="L290" s="7" t="inlineStr">
        <is>
          <t>PNL</t>
        </is>
      </c>
      <c r="M290" s="11" t="n">
        <v>44754</v>
      </c>
      <c r="N290" s="13" t="n">
        <v>1200</v>
      </c>
      <c r="O290" s="6" t="n">
        <v>0</v>
      </c>
      <c r="P290" s="13" t="n">
        <v>0</v>
      </c>
      <c r="Q290" s="22" t="n">
        <v>30</v>
      </c>
      <c r="R290" s="6" t="n">
        <v>2</v>
      </c>
      <c r="U290" s="9" t="n">
        <v>-1311813.93</v>
      </c>
      <c r="V290" s="9" t="n">
        <v>-99675105.72</v>
      </c>
      <c r="X290" s="9" t="n">
        <v>75.9943</v>
      </c>
      <c r="AK290" s="7" t="inlineStr">
        <is>
          <t>PYTHON_MULTI_FLOW_LEG</t>
        </is>
      </c>
      <c r="AL290" s="8">
        <f>IF($J290="INR",1,IF($M290&lt;$A290,INDEX(Market_Daily!$F$6:$F$256,MATCH($M290,Market_Daily!$A$6:$A$256,1)),IF($M290=$A290,INDEX(Market_Daily!$F$6:$F$256,MATCH($A290,Market_Daily!$A$6:$A$256,0)),(INDEX(Market_Daily!$F$6:$F$256,MATCH($A290,Market_Daily!$A$6:$A$256,0))*(1+INDEX(Market_Daily!$I$6:$I$256,MATCH($A290,Market_Daily!$A$6:$A$256,0))*($M290-$A290)/day_count_inr)/(1+INDEX(Market_Daily!$J$6:$J$256,MATCH($A290,Market_Daily!$A$6:$A$256,0))*($M290-$A290)/day_count_usd)))))</f>
        <v/>
      </c>
      <c r="AM290" s="8">
        <f>IF(OR($J290="INR",$R290&gt;1),"",$AL290-$X290)</f>
        <v/>
      </c>
      <c r="AN290" s="8">
        <f>$U290</f>
        <v/>
      </c>
      <c r="AO290" s="8">
        <f>$V290</f>
        <v/>
      </c>
      <c r="AP290" s="18">
        <f>$AO290-$V290</f>
        <v/>
      </c>
      <c r="AQ290" s="8">
        <f>IF(ABS($AP290)&lt;=tol_trade_inr,"PASS","FAIL")</f>
        <v/>
      </c>
    </row>
    <row r="291">
      <c r="A291" s="11" t="n">
        <v>44656</v>
      </c>
      <c r="B291" s="7" t="inlineStr">
        <is>
          <t>T02</t>
        </is>
      </c>
      <c r="C291" s="7" t="inlineStr">
        <is>
          <t>SALE:S1</t>
        </is>
      </c>
      <c r="D291" s="7" t="inlineStr">
        <is>
          <t>SALE</t>
        </is>
      </c>
      <c r="E291" s="7" t="inlineStr">
        <is>
          <t>physical</t>
        </is>
      </c>
      <c r="G291" s="7" t="inlineStr">
        <is>
          <t>BUY_JNPT_01</t>
        </is>
      </c>
      <c r="H291" s="7" t="inlineStr">
        <is>
          <t>tense</t>
        </is>
      </c>
      <c r="I291" s="7" t="inlineStr">
        <is>
          <t>JEA_NSA</t>
        </is>
      </c>
      <c r="J291" s="7" t="inlineStr">
        <is>
          <t>INR</t>
        </is>
      </c>
      <c r="K291" s="7" t="inlineStr">
        <is>
          <t>floating</t>
        </is>
      </c>
      <c r="L291" s="7" t="inlineStr">
        <is>
          <t>PNL</t>
        </is>
      </c>
      <c r="M291" s="11" t="n">
        <v>44711</v>
      </c>
      <c r="N291" s="13" t="n">
        <v>1200</v>
      </c>
      <c r="O291" s="6" t="n">
        <v>0</v>
      </c>
      <c r="P291" s="13" t="n">
        <v>0</v>
      </c>
      <c r="Q291" s="22" t="n">
        <v>30</v>
      </c>
      <c r="R291" s="6" t="n">
        <v>1</v>
      </c>
      <c r="U291" s="9" t="n">
        <v>244630439.16</v>
      </c>
      <c r="V291" s="9" t="n">
        <v>244630439.16</v>
      </c>
      <c r="W291" s="9" t="n">
        <v>203858.6993</v>
      </c>
      <c r="X291" s="9" t="n">
        <v>75.33499999999999</v>
      </c>
      <c r="AK291" s="7" t="inlineStr">
        <is>
          <t>PYTHON_LIFECYCLE</t>
        </is>
      </c>
      <c r="AL291" s="8">
        <f>IF($J291="INR",1,IF($M291&lt;$A291,INDEX(Market_Daily!$F$6:$F$256,MATCH($M291,Market_Daily!$A$6:$A$256,1)),IF($M291=$A291,INDEX(Market_Daily!$F$6:$F$256,MATCH($A291,Market_Daily!$A$6:$A$256,0)),(INDEX(Market_Daily!$F$6:$F$256,MATCH($A291,Market_Daily!$A$6:$A$256,0))*(1+INDEX(Market_Daily!$I$6:$I$256,MATCH($A291,Market_Daily!$A$6:$A$256,0))*($M291-$A291)/day_count_inr)/(1+INDEX(Market_Daily!$J$6:$J$256,MATCH($A291,Market_Daily!$A$6:$A$256,0))*($M291-$A291)/day_count_usd)))))</f>
        <v/>
      </c>
      <c r="AM291" s="8">
        <f>IF(OR($J291="INR",$R291&gt;1),"",$AL291-$X291)</f>
        <v/>
      </c>
      <c r="AN291" s="8">
        <f>$U291</f>
        <v/>
      </c>
      <c r="AO291" s="8">
        <f>$AN291*IF($J291="INR",1,$AL291)</f>
        <v/>
      </c>
      <c r="AP291" s="18">
        <f>$AO291-$V291</f>
        <v/>
      </c>
      <c r="AQ291" s="8">
        <f>IF(ABS($AP291)&lt;=tol_trade_inr,"PASS","FAIL")</f>
        <v/>
      </c>
    </row>
    <row r="292">
      <c r="A292" s="11" t="n">
        <v>44656</v>
      </c>
      <c r="B292" s="7" t="inlineStr">
        <is>
          <t>T02</t>
        </is>
      </c>
      <c r="C292" s="7" t="inlineStr">
        <is>
          <t>USANCE_INTEREST:L1</t>
        </is>
      </c>
      <c r="D292" s="7" t="inlineStr">
        <is>
          <t>USANCE_INTEREST</t>
        </is>
      </c>
      <c r="E292" s="7" t="inlineStr">
        <is>
          <t>physical</t>
        </is>
      </c>
      <c r="F292" s="7" t="inlineStr">
        <is>
          <t>L1</t>
        </is>
      </c>
      <c r="H292" s="7" t="inlineStr">
        <is>
          <t>tense</t>
        </is>
      </c>
      <c r="I292" s="7" t="inlineStr">
        <is>
          <t>JEA_NSA</t>
        </is>
      </c>
      <c r="J292" s="7" t="inlineStr">
        <is>
          <t>USD</t>
        </is>
      </c>
      <c r="K292" s="7" t="inlineStr">
        <is>
          <t>floating</t>
        </is>
      </c>
      <c r="L292" s="7" t="inlineStr">
        <is>
          <t>PNL</t>
        </is>
      </c>
      <c r="M292" s="11" t="n">
        <v>44746</v>
      </c>
      <c r="N292" s="13" t="n">
        <v>0</v>
      </c>
      <c r="O292" s="6" t="n">
        <v>0</v>
      </c>
      <c r="P292" s="13" t="n">
        <v>0</v>
      </c>
      <c r="Q292" s="22" t="n">
        <v>30</v>
      </c>
      <c r="R292" s="6" t="n">
        <v>1</v>
      </c>
      <c r="U292" s="9" t="n">
        <v>-6678.31</v>
      </c>
      <c r="V292" s="9" t="n">
        <v>-507154.96</v>
      </c>
      <c r="X292" s="9" t="n">
        <v>75.9406</v>
      </c>
      <c r="AK292" s="7" t="inlineStr">
        <is>
          <t>PYTHON_LIFECYCLE</t>
        </is>
      </c>
      <c r="AL292" s="8">
        <f>IF($J292="INR",1,IF($M292&lt;$A292,INDEX(Market_Daily!$F$6:$F$256,MATCH($M292,Market_Daily!$A$6:$A$256,1)),IF($M292=$A292,INDEX(Market_Daily!$F$6:$F$256,MATCH($A292,Market_Daily!$A$6:$A$256,0)),(INDEX(Market_Daily!$F$6:$F$256,MATCH($A292,Market_Daily!$A$6:$A$256,0))*(1+INDEX(Market_Daily!$I$6:$I$256,MATCH($A292,Market_Daily!$A$6:$A$256,0))*($M292-$A292)/day_count_inr)/(1+INDEX(Market_Daily!$J$6:$J$256,MATCH($A292,Market_Daily!$A$6:$A$256,0))*($M292-$A292)/day_count_usd)))))</f>
        <v/>
      </c>
      <c r="AM292" s="8">
        <f>IF(OR($J292="INR",$R292&gt;1),"",$AL292-$X292)</f>
        <v/>
      </c>
      <c r="AN292" s="8">
        <f>$U292</f>
        <v/>
      </c>
      <c r="AO292" s="8">
        <f>$AN292*IF($J292="INR",1,$AL292)</f>
        <v/>
      </c>
      <c r="AP292" s="18">
        <f>$AO292-$V292</f>
        <v/>
      </c>
      <c r="AQ292" s="8">
        <f>IF(ABS($AP292)&lt;=tol_trade_inr,"PASS","FAIL")</f>
        <v/>
      </c>
    </row>
    <row r="293">
      <c r="A293" s="11" t="n">
        <v>44656</v>
      </c>
      <c r="B293" s="7" t="inlineStr">
        <is>
          <t>T02</t>
        </is>
      </c>
      <c r="C293" s="7" t="inlineStr">
        <is>
          <t>USANCE_INTEREST:L2</t>
        </is>
      </c>
      <c r="D293" s="7" t="inlineStr">
        <is>
          <t>USANCE_INTEREST</t>
        </is>
      </c>
      <c r="E293" s="7" t="inlineStr">
        <is>
          <t>physical</t>
        </is>
      </c>
      <c r="F293" s="7" t="inlineStr">
        <is>
          <t>L2</t>
        </is>
      </c>
      <c r="H293" s="7" t="inlineStr">
        <is>
          <t>tense</t>
        </is>
      </c>
      <c r="I293" s="7" t="inlineStr">
        <is>
          <t>JEA_NSA</t>
        </is>
      </c>
      <c r="J293" s="7" t="inlineStr">
        <is>
          <t>USD</t>
        </is>
      </c>
      <c r="K293" s="7" t="inlineStr">
        <is>
          <t>floating</t>
        </is>
      </c>
      <c r="L293" s="7" t="inlineStr">
        <is>
          <t>PNL</t>
        </is>
      </c>
      <c r="M293" s="11" t="n">
        <v>44754</v>
      </c>
      <c r="N293" s="13" t="n">
        <v>0</v>
      </c>
      <c r="O293" s="6" t="n">
        <v>0</v>
      </c>
      <c r="P293" s="13" t="n">
        <v>0</v>
      </c>
      <c r="Q293" s="22" t="n">
        <v>30</v>
      </c>
      <c r="R293" s="6" t="n">
        <v>1</v>
      </c>
      <c r="U293" s="9" t="n">
        <v>-6682.78</v>
      </c>
      <c r="V293" s="9" t="n">
        <v>-507853.51</v>
      </c>
      <c r="X293" s="9" t="n">
        <v>75.9943</v>
      </c>
      <c r="AK293" s="7" t="inlineStr">
        <is>
          <t>PYTHON_LIFECYCLE</t>
        </is>
      </c>
      <c r="AL293" s="8">
        <f>IF($J293="INR",1,IF($M293&lt;$A293,INDEX(Market_Daily!$F$6:$F$256,MATCH($M293,Market_Daily!$A$6:$A$256,1)),IF($M293=$A293,INDEX(Market_Daily!$F$6:$F$256,MATCH($A293,Market_Daily!$A$6:$A$256,0)),(INDEX(Market_Daily!$F$6:$F$256,MATCH($A293,Market_Daily!$A$6:$A$256,0))*(1+INDEX(Market_Daily!$I$6:$I$256,MATCH($A293,Market_Daily!$A$6:$A$256,0))*($M293-$A293)/day_count_inr)/(1+INDEX(Market_Daily!$J$6:$J$256,MATCH($A293,Market_Daily!$A$6:$A$256,0))*($M293-$A293)/day_count_usd)))))</f>
        <v/>
      </c>
      <c r="AM293" s="8">
        <f>IF(OR($J293="INR",$R293&gt;1),"",$AL293-$X293)</f>
        <v/>
      </c>
      <c r="AN293" s="8">
        <f>$U293</f>
        <v/>
      </c>
      <c r="AO293" s="8">
        <f>$AN293*IF($J293="INR",1,$AL293)</f>
        <v/>
      </c>
      <c r="AP293" s="18">
        <f>$AO293-$V293</f>
        <v/>
      </c>
      <c r="AQ293" s="8">
        <f>IF(ABS($AP293)&lt;=tol_trade_inr,"PASS","FAIL")</f>
        <v/>
      </c>
    </row>
    <row r="294">
      <c r="A294" s="11" t="n">
        <v>44656</v>
      </c>
      <c r="B294" s="7" t="inlineStr">
        <is>
          <t>T03</t>
        </is>
      </c>
      <c r="C294" s="7" t="inlineStr">
        <is>
          <t>BILL_COMMISSION:L1</t>
        </is>
      </c>
      <c r="D294" s="7" t="inlineStr">
        <is>
          <t>BILL_COMMISSION</t>
        </is>
      </c>
      <c r="E294" s="7" t="inlineStr">
        <is>
          <t>physical</t>
        </is>
      </c>
      <c r="F294" s="7" t="inlineStr">
        <is>
          <t>L1</t>
        </is>
      </c>
      <c r="H294" s="7" t="inlineStr">
        <is>
          <t>taint_tabor</t>
        </is>
      </c>
      <c r="I294" s="7" t="inlineStr">
        <is>
          <t>JEA_NSA</t>
        </is>
      </c>
      <c r="J294" s="7" t="inlineStr">
        <is>
          <t>USD</t>
        </is>
      </c>
      <c r="K294" s="7" t="inlineStr">
        <is>
          <t>floating</t>
        </is>
      </c>
      <c r="L294" s="7" t="inlineStr">
        <is>
          <t>PNL</t>
        </is>
      </c>
      <c r="M294" s="11" t="n">
        <v>44671</v>
      </c>
      <c r="N294" s="13" t="n">
        <v>0</v>
      </c>
      <c r="O294" s="6" t="n">
        <v>0</v>
      </c>
      <c r="P294" s="13" t="n">
        <v>0</v>
      </c>
      <c r="Q294" s="22" t="n">
        <v>30</v>
      </c>
      <c r="R294" s="6" t="n">
        <v>1</v>
      </c>
      <c r="U294" s="9" t="n">
        <v>-1778.4</v>
      </c>
      <c r="V294" s="9" t="n">
        <v>-134155.51</v>
      </c>
      <c r="X294" s="9" t="n">
        <v>75.4361</v>
      </c>
      <c r="AK294" s="7" t="inlineStr">
        <is>
          <t>PYTHON_LIFECYCLE</t>
        </is>
      </c>
      <c r="AL294" s="8">
        <f>IF($J294="INR",1,IF($M294&lt;$A294,INDEX(Market_Daily!$F$6:$F$256,MATCH($M294,Market_Daily!$A$6:$A$256,1)),IF($M294=$A294,INDEX(Market_Daily!$F$6:$F$256,MATCH($A294,Market_Daily!$A$6:$A$256,0)),(INDEX(Market_Daily!$F$6:$F$256,MATCH($A294,Market_Daily!$A$6:$A$256,0))*(1+INDEX(Market_Daily!$I$6:$I$256,MATCH($A294,Market_Daily!$A$6:$A$256,0))*($M294-$A294)/day_count_inr)/(1+INDEX(Market_Daily!$J$6:$J$256,MATCH($A294,Market_Daily!$A$6:$A$256,0))*($M294-$A294)/day_count_usd)))))</f>
        <v/>
      </c>
      <c r="AM294" s="8">
        <f>IF(OR($J294="INR",$R294&gt;1),"",$AL294-$X294)</f>
        <v/>
      </c>
      <c r="AN294" s="8">
        <f>$U294</f>
        <v/>
      </c>
      <c r="AO294" s="8">
        <f>$AN294*IF($J294="INR",1,$AL294)</f>
        <v/>
      </c>
      <c r="AP294" s="18">
        <f>$AO294-$V294</f>
        <v/>
      </c>
      <c r="AQ294" s="8">
        <f>IF(ABS($AP294)&lt;=tol_trade_inr,"PASS","FAIL")</f>
        <v/>
      </c>
    </row>
    <row r="295">
      <c r="A295" s="11" t="n">
        <v>44656</v>
      </c>
      <c r="B295" s="7" t="inlineStr">
        <is>
          <t>T03</t>
        </is>
      </c>
      <c r="C295" s="7" t="inlineStr">
        <is>
          <t>BILL_COMMISSION:L2</t>
        </is>
      </c>
      <c r="D295" s="7" t="inlineStr">
        <is>
          <t>BILL_COMMISSION</t>
        </is>
      </c>
      <c r="E295" s="7" t="inlineStr">
        <is>
          <t>physical</t>
        </is>
      </c>
      <c r="F295" s="7" t="inlineStr">
        <is>
          <t>L2</t>
        </is>
      </c>
      <c r="H295" s="7" t="inlineStr">
        <is>
          <t>taint_tabor</t>
        </is>
      </c>
      <c r="I295" s="7" t="inlineStr">
        <is>
          <t>JEA_NSA</t>
        </is>
      </c>
      <c r="J295" s="7" t="inlineStr">
        <is>
          <t>USD</t>
        </is>
      </c>
      <c r="K295" s="7" t="inlineStr">
        <is>
          <t>floating</t>
        </is>
      </c>
      <c r="L295" s="7" t="inlineStr">
        <is>
          <t>PNL</t>
        </is>
      </c>
      <c r="M295" s="11" t="n">
        <v>44680</v>
      </c>
      <c r="N295" s="13" t="n">
        <v>0</v>
      </c>
      <c r="O295" s="6" t="n">
        <v>0</v>
      </c>
      <c r="P295" s="13" t="n">
        <v>0</v>
      </c>
      <c r="Q295" s="22" t="n">
        <v>30</v>
      </c>
      <c r="R295" s="6" t="n">
        <v>1</v>
      </c>
      <c r="U295" s="9" t="n">
        <v>-1778.4</v>
      </c>
      <c r="V295" s="9" t="n">
        <v>-134263.31</v>
      </c>
      <c r="X295" s="9" t="n">
        <v>75.4967</v>
      </c>
      <c r="AK295" s="7" t="inlineStr">
        <is>
          <t>PYTHON_LIFECYCLE</t>
        </is>
      </c>
      <c r="AL295" s="8">
        <f>IF($J295="INR",1,IF($M295&lt;$A295,INDEX(Market_Daily!$F$6:$F$256,MATCH($M295,Market_Daily!$A$6:$A$256,1)),IF($M295=$A295,INDEX(Market_Daily!$F$6:$F$256,MATCH($A295,Market_Daily!$A$6:$A$256,0)),(INDEX(Market_Daily!$F$6:$F$256,MATCH($A295,Market_Daily!$A$6:$A$256,0))*(1+INDEX(Market_Daily!$I$6:$I$256,MATCH($A295,Market_Daily!$A$6:$A$256,0))*($M295-$A295)/day_count_inr)/(1+INDEX(Market_Daily!$J$6:$J$256,MATCH($A295,Market_Daily!$A$6:$A$256,0))*($M295-$A295)/day_count_usd)))))</f>
        <v/>
      </c>
      <c r="AM295" s="8">
        <f>IF(OR($J295="INR",$R295&gt;1),"",$AL295-$X295)</f>
        <v/>
      </c>
      <c r="AN295" s="8">
        <f>$U295</f>
        <v/>
      </c>
      <c r="AO295" s="8">
        <f>$AN295*IF($J295="INR",1,$AL295)</f>
        <v/>
      </c>
      <c r="AP295" s="18">
        <f>$AO295-$V295</f>
        <v/>
      </c>
      <c r="AQ295" s="8">
        <f>IF(ABS($AP295)&lt;=tol_trade_inr,"PASS","FAIL")</f>
        <v/>
      </c>
    </row>
    <row r="296">
      <c r="A296" s="11" t="n">
        <v>44656</v>
      </c>
      <c r="B296" s="7" t="inlineStr">
        <is>
          <t>T03</t>
        </is>
      </c>
      <c r="C296" s="7" t="inlineStr">
        <is>
          <t>DUTY:L1</t>
        </is>
      </c>
      <c r="D296" s="7" t="inlineStr">
        <is>
          <t>DUTY</t>
        </is>
      </c>
      <c r="E296" s="7" t="inlineStr">
        <is>
          <t>physical</t>
        </is>
      </c>
      <c r="F296" s="7" t="inlineStr">
        <is>
          <t>L1</t>
        </is>
      </c>
      <c r="H296" s="7" t="inlineStr">
        <is>
          <t>taint_tabor</t>
        </is>
      </c>
      <c r="I296" s="7" t="inlineStr">
        <is>
          <t>JEA_NSA</t>
        </is>
      </c>
      <c r="J296" s="7" t="inlineStr">
        <is>
          <t>INR</t>
        </is>
      </c>
      <c r="K296" s="7" t="inlineStr">
        <is>
          <t>floating</t>
        </is>
      </c>
      <c r="L296" s="7" t="inlineStr">
        <is>
          <t>PNL</t>
        </is>
      </c>
      <c r="M296" s="11" t="n">
        <v>44670</v>
      </c>
      <c r="N296" s="13" t="n">
        <v>600</v>
      </c>
      <c r="O296" s="6" t="n">
        <v>0</v>
      </c>
      <c r="P296" s="13" t="n">
        <v>0</v>
      </c>
      <c r="Q296" s="22" t="n">
        <v>30</v>
      </c>
      <c r="R296" s="6" t="n">
        <v>1</v>
      </c>
      <c r="U296" s="9" t="n">
        <v>-3137506.97</v>
      </c>
      <c r="V296" s="9" t="n">
        <v>-3137506.97</v>
      </c>
      <c r="X296" s="9" t="n">
        <v>75.33499999999999</v>
      </c>
      <c r="AK296" s="7" t="inlineStr">
        <is>
          <t>PYTHON_LIFECYCLE</t>
        </is>
      </c>
      <c r="AL296" s="8">
        <f>IF($J296="INR",1,IF($M296&lt;$A296,INDEX(Market_Daily!$F$6:$F$256,MATCH($M296,Market_Daily!$A$6:$A$256,1)),IF($M296=$A296,INDEX(Market_Daily!$F$6:$F$256,MATCH($A296,Market_Daily!$A$6:$A$256,0)),(INDEX(Market_Daily!$F$6:$F$256,MATCH($A296,Market_Daily!$A$6:$A$256,0))*(1+INDEX(Market_Daily!$I$6:$I$256,MATCH($A296,Market_Daily!$A$6:$A$256,0))*($M296-$A296)/day_count_inr)/(1+INDEX(Market_Daily!$J$6:$J$256,MATCH($A296,Market_Daily!$A$6:$A$256,0))*($M296-$A296)/day_count_usd)))))</f>
        <v/>
      </c>
      <c r="AM296" s="8">
        <f>IF(OR($J296="INR",$R296&gt;1),"",$AL296-$X296)</f>
        <v/>
      </c>
      <c r="AN296" s="8">
        <f>$U296</f>
        <v/>
      </c>
      <c r="AO296" s="8">
        <f>$AN296*IF($J296="INR",1,$AL296)</f>
        <v/>
      </c>
      <c r="AP296" s="18">
        <f>$AO296-$V296</f>
        <v/>
      </c>
      <c r="AQ296" s="8">
        <f>IF(ABS($AP296)&lt;=tol_trade_inr,"PASS","FAIL")</f>
        <v/>
      </c>
    </row>
    <row r="297">
      <c r="A297" s="11" t="n">
        <v>44656</v>
      </c>
      <c r="B297" s="7" t="inlineStr">
        <is>
          <t>T03</t>
        </is>
      </c>
      <c r="C297" s="7" t="inlineStr">
        <is>
          <t>DUTY:L2</t>
        </is>
      </c>
      <c r="D297" s="7" t="inlineStr">
        <is>
          <t>DUTY</t>
        </is>
      </c>
      <c r="E297" s="7" t="inlineStr">
        <is>
          <t>physical</t>
        </is>
      </c>
      <c r="F297" s="7" t="inlineStr">
        <is>
          <t>L2</t>
        </is>
      </c>
      <c r="H297" s="7" t="inlineStr">
        <is>
          <t>taint_tabor</t>
        </is>
      </c>
      <c r="I297" s="7" t="inlineStr">
        <is>
          <t>JEA_NSA</t>
        </is>
      </c>
      <c r="J297" s="7" t="inlineStr">
        <is>
          <t>INR</t>
        </is>
      </c>
      <c r="K297" s="7" t="inlineStr">
        <is>
          <t>floating</t>
        </is>
      </c>
      <c r="L297" s="7" t="inlineStr">
        <is>
          <t>PNL</t>
        </is>
      </c>
      <c r="M297" s="11" t="n">
        <v>44679</v>
      </c>
      <c r="N297" s="13" t="n">
        <v>600</v>
      </c>
      <c r="O297" s="6" t="n">
        <v>0</v>
      </c>
      <c r="P297" s="13" t="n">
        <v>0</v>
      </c>
      <c r="Q297" s="22" t="n">
        <v>30</v>
      </c>
      <c r="R297" s="6" t="n">
        <v>1</v>
      </c>
      <c r="U297" s="9" t="n">
        <v>-3137506.97</v>
      </c>
      <c r="V297" s="9" t="n">
        <v>-3137506.97</v>
      </c>
      <c r="X297" s="9" t="n">
        <v>75.33499999999999</v>
      </c>
      <c r="AK297" s="7" t="inlineStr">
        <is>
          <t>PYTHON_LIFECYCLE</t>
        </is>
      </c>
      <c r="AL297" s="8">
        <f>IF($J297="INR",1,IF($M297&lt;$A297,INDEX(Market_Daily!$F$6:$F$256,MATCH($M297,Market_Daily!$A$6:$A$256,1)),IF($M297=$A297,INDEX(Market_Daily!$F$6:$F$256,MATCH($A297,Market_Daily!$A$6:$A$256,0)),(INDEX(Market_Daily!$F$6:$F$256,MATCH($A297,Market_Daily!$A$6:$A$256,0))*(1+INDEX(Market_Daily!$I$6:$I$256,MATCH($A297,Market_Daily!$A$6:$A$256,0))*($M297-$A297)/day_count_inr)/(1+INDEX(Market_Daily!$J$6:$J$256,MATCH($A297,Market_Daily!$A$6:$A$256,0))*($M297-$A297)/day_count_usd)))))</f>
        <v/>
      </c>
      <c r="AM297" s="8">
        <f>IF(OR($J297="INR",$R297&gt;1),"",$AL297-$X297)</f>
        <v/>
      </c>
      <c r="AN297" s="8">
        <f>$U297</f>
        <v/>
      </c>
      <c r="AO297" s="8">
        <f>$AN297*IF($J297="INR",1,$AL297)</f>
        <v/>
      </c>
      <c r="AP297" s="18">
        <f>$AO297-$V297</f>
        <v/>
      </c>
      <c r="AQ297" s="8">
        <f>IF(ABS($AP297)&lt;=tol_trade_inr,"PASS","FAIL")</f>
        <v/>
      </c>
    </row>
    <row r="298">
      <c r="A298" s="11" t="n">
        <v>44656</v>
      </c>
      <c r="B298" s="7" t="inlineStr">
        <is>
          <t>T03</t>
        </is>
      </c>
      <c r="C298" s="7" t="inlineStr">
        <is>
          <t>IGST:L1</t>
        </is>
      </c>
      <c r="D298" s="7" t="inlineStr">
        <is>
          <t>IGST</t>
        </is>
      </c>
      <c r="E298" s="7" t="inlineStr">
        <is>
          <t>physical</t>
        </is>
      </c>
      <c r="F298" s="7" t="inlineStr">
        <is>
          <t>L1</t>
        </is>
      </c>
      <c r="H298" s="7" t="inlineStr">
        <is>
          <t>taint_tabor</t>
        </is>
      </c>
      <c r="I298" s="7" t="inlineStr">
        <is>
          <t>JEA_NSA</t>
        </is>
      </c>
      <c r="J298" s="7" t="inlineStr">
        <is>
          <t>INR</t>
        </is>
      </c>
      <c r="K298" s="7" t="inlineStr">
        <is>
          <t>floating</t>
        </is>
      </c>
      <c r="L298" s="7" t="inlineStr">
        <is>
          <t>BS</t>
        </is>
      </c>
      <c r="M298" s="11" t="n">
        <v>44718</v>
      </c>
      <c r="N298" s="13" t="n">
        <v>0</v>
      </c>
      <c r="O298" s="6" t="n">
        <v>0</v>
      </c>
      <c r="P298" s="13" t="n">
        <v>0</v>
      </c>
      <c r="Q298" s="22" t="n">
        <v>30</v>
      </c>
      <c r="R298" s="6" t="n">
        <v>2</v>
      </c>
      <c r="U298" s="9" t="n">
        <v>0</v>
      </c>
      <c r="V298" s="9" t="n">
        <v>0</v>
      </c>
      <c r="X298" s="9" t="n">
        <v>75.33499999999999</v>
      </c>
      <c r="AK298" s="7" t="inlineStr">
        <is>
          <t>PYTHON_MULTI_FLOW_LEG</t>
        </is>
      </c>
      <c r="AL298" s="8">
        <f>IF($J298="INR",1,IF($M298&lt;$A298,INDEX(Market_Daily!$F$6:$F$256,MATCH($M298,Market_Daily!$A$6:$A$256,1)),IF($M298=$A298,INDEX(Market_Daily!$F$6:$F$256,MATCH($A298,Market_Daily!$A$6:$A$256,0)),(INDEX(Market_Daily!$F$6:$F$256,MATCH($A298,Market_Daily!$A$6:$A$256,0))*(1+INDEX(Market_Daily!$I$6:$I$256,MATCH($A298,Market_Daily!$A$6:$A$256,0))*($M298-$A298)/day_count_inr)/(1+INDEX(Market_Daily!$J$6:$J$256,MATCH($A298,Market_Daily!$A$6:$A$256,0))*($M298-$A298)/day_count_usd)))))</f>
        <v/>
      </c>
      <c r="AM298" s="8">
        <f>IF(OR($J298="INR",$R298&gt;1),"",$AL298-$X298)</f>
        <v/>
      </c>
      <c r="AN298" s="8">
        <f>$U298</f>
        <v/>
      </c>
      <c r="AO298" s="8">
        <f>$V298</f>
        <v/>
      </c>
      <c r="AP298" s="18">
        <f>$AO298-$V298</f>
        <v/>
      </c>
      <c r="AQ298" s="8">
        <f>IF(ABS($AP298)&lt;=tol_trade_inr,"PASS","FAIL")</f>
        <v/>
      </c>
    </row>
    <row r="299">
      <c r="A299" s="11" t="n">
        <v>44656</v>
      </c>
      <c r="B299" s="7" t="inlineStr">
        <is>
          <t>T03</t>
        </is>
      </c>
      <c r="C299" s="7" t="inlineStr">
        <is>
          <t>IGST:L2</t>
        </is>
      </c>
      <c r="D299" s="7" t="inlineStr">
        <is>
          <t>IGST</t>
        </is>
      </c>
      <c r="E299" s="7" t="inlineStr">
        <is>
          <t>physical</t>
        </is>
      </c>
      <c r="F299" s="7" t="inlineStr">
        <is>
          <t>L2</t>
        </is>
      </c>
      <c r="H299" s="7" t="inlineStr">
        <is>
          <t>taint_tabor</t>
        </is>
      </c>
      <c r="I299" s="7" t="inlineStr">
        <is>
          <t>JEA_NSA</t>
        </is>
      </c>
      <c r="J299" s="7" t="inlineStr">
        <is>
          <t>INR</t>
        </is>
      </c>
      <c r="K299" s="7" t="inlineStr">
        <is>
          <t>floating</t>
        </is>
      </c>
      <c r="L299" s="7" t="inlineStr">
        <is>
          <t>BS</t>
        </is>
      </c>
      <c r="M299" s="11" t="n">
        <v>44725</v>
      </c>
      <c r="N299" s="13" t="n">
        <v>0</v>
      </c>
      <c r="O299" s="6" t="n">
        <v>0</v>
      </c>
      <c r="P299" s="13" t="n">
        <v>0</v>
      </c>
      <c r="Q299" s="22" t="n">
        <v>30</v>
      </c>
      <c r="R299" s="6" t="n">
        <v>2</v>
      </c>
      <c r="U299" s="9" t="n">
        <v>0</v>
      </c>
      <c r="V299" s="9" t="n">
        <v>0</v>
      </c>
      <c r="X299" s="9" t="n">
        <v>75.33499999999999</v>
      </c>
      <c r="AK299" s="7" t="inlineStr">
        <is>
          <t>PYTHON_MULTI_FLOW_LEG</t>
        </is>
      </c>
      <c r="AL299" s="8">
        <f>IF($J299="INR",1,IF($M299&lt;$A299,INDEX(Market_Daily!$F$6:$F$256,MATCH($M299,Market_Daily!$A$6:$A$256,1)),IF($M299=$A299,INDEX(Market_Daily!$F$6:$F$256,MATCH($A299,Market_Daily!$A$6:$A$256,0)),(INDEX(Market_Daily!$F$6:$F$256,MATCH($A299,Market_Daily!$A$6:$A$256,0))*(1+INDEX(Market_Daily!$I$6:$I$256,MATCH($A299,Market_Daily!$A$6:$A$256,0))*($M299-$A299)/day_count_inr)/(1+INDEX(Market_Daily!$J$6:$J$256,MATCH($A299,Market_Daily!$A$6:$A$256,0))*($M299-$A299)/day_count_usd)))))</f>
        <v/>
      </c>
      <c r="AM299" s="8">
        <f>IF(OR($J299="INR",$R299&gt;1),"",$AL299-$X299)</f>
        <v/>
      </c>
      <c r="AN299" s="8">
        <f>$U299</f>
        <v/>
      </c>
      <c r="AO299" s="8">
        <f>$V299</f>
        <v/>
      </c>
      <c r="AP299" s="18">
        <f>$AO299-$V299</f>
        <v/>
      </c>
      <c r="AQ299" s="8">
        <f>IF(ABS($AP299)&lt;=tol_trade_inr,"PASS","FAIL")</f>
        <v/>
      </c>
    </row>
    <row r="300">
      <c r="A300" s="11" t="n">
        <v>44656</v>
      </c>
      <c r="B300" s="7" t="inlineStr">
        <is>
          <t>T03</t>
        </is>
      </c>
      <c r="C300" s="7" t="inlineStr">
        <is>
          <t>INSURANCE:L1</t>
        </is>
      </c>
      <c r="D300" s="7" t="inlineStr">
        <is>
          <t>INSURANCE</t>
        </is>
      </c>
      <c r="E300" s="7" t="inlineStr">
        <is>
          <t>physical</t>
        </is>
      </c>
      <c r="F300" s="7" t="inlineStr">
        <is>
          <t>L1</t>
        </is>
      </c>
      <c r="H300" s="7" t="inlineStr">
        <is>
          <t>taint_tabor</t>
        </is>
      </c>
      <c r="I300" s="7" t="inlineStr">
        <is>
          <t>JEA_NSA</t>
        </is>
      </c>
      <c r="J300" s="7" t="inlineStr">
        <is>
          <t>USD</t>
        </is>
      </c>
      <c r="K300" s="7" t="inlineStr">
        <is>
          <t>floating</t>
        </is>
      </c>
      <c r="L300" s="7" t="inlineStr">
        <is>
          <t>PNL</t>
        </is>
      </c>
      <c r="M300" s="11" t="n">
        <v>44664</v>
      </c>
      <c r="N300" s="13" t="n">
        <v>600</v>
      </c>
      <c r="O300" s="6" t="n">
        <v>0</v>
      </c>
      <c r="P300" s="13" t="n">
        <v>0</v>
      </c>
      <c r="Q300" s="22" t="n">
        <v>30</v>
      </c>
      <c r="R300" s="6" t="n">
        <v>1</v>
      </c>
      <c r="U300" s="9" t="n">
        <v>-1630.2</v>
      </c>
      <c r="V300" s="9" t="n">
        <v>-122899</v>
      </c>
      <c r="X300" s="9" t="n">
        <v>75.38890000000001</v>
      </c>
      <c r="AK300" s="7" t="inlineStr">
        <is>
          <t>PYTHON_LIFECYCLE</t>
        </is>
      </c>
      <c r="AL300" s="8">
        <f>IF($J300="INR",1,IF($M300&lt;$A300,INDEX(Market_Daily!$F$6:$F$256,MATCH($M300,Market_Daily!$A$6:$A$256,1)),IF($M300=$A300,INDEX(Market_Daily!$F$6:$F$256,MATCH($A300,Market_Daily!$A$6:$A$256,0)),(INDEX(Market_Daily!$F$6:$F$256,MATCH($A300,Market_Daily!$A$6:$A$256,0))*(1+INDEX(Market_Daily!$I$6:$I$256,MATCH($A300,Market_Daily!$A$6:$A$256,0))*($M300-$A300)/day_count_inr)/(1+INDEX(Market_Daily!$J$6:$J$256,MATCH($A300,Market_Daily!$A$6:$A$256,0))*($M300-$A300)/day_count_usd)))))</f>
        <v/>
      </c>
      <c r="AM300" s="8">
        <f>IF(OR($J300="INR",$R300&gt;1),"",$AL300-$X300)</f>
        <v/>
      </c>
      <c r="AN300" s="8">
        <f>$U300</f>
        <v/>
      </c>
      <c r="AO300" s="8">
        <f>$AN300*IF($J300="INR",1,$AL300)</f>
        <v/>
      </c>
      <c r="AP300" s="18">
        <f>$AO300-$V300</f>
        <v/>
      </c>
      <c r="AQ300" s="8">
        <f>IF(ABS($AP300)&lt;=tol_trade_inr,"PASS","FAIL")</f>
        <v/>
      </c>
    </row>
    <row r="301">
      <c r="A301" s="11" t="n">
        <v>44656</v>
      </c>
      <c r="B301" s="7" t="inlineStr">
        <is>
          <t>T03</t>
        </is>
      </c>
      <c r="C301" s="7" t="inlineStr">
        <is>
          <t>INSURANCE:L2</t>
        </is>
      </c>
      <c r="D301" s="7" t="inlineStr">
        <is>
          <t>INSURANCE</t>
        </is>
      </c>
      <c r="E301" s="7" t="inlineStr">
        <is>
          <t>physical</t>
        </is>
      </c>
      <c r="F301" s="7" t="inlineStr">
        <is>
          <t>L2</t>
        </is>
      </c>
      <c r="H301" s="7" t="inlineStr">
        <is>
          <t>taint_tabor</t>
        </is>
      </c>
      <c r="I301" s="7" t="inlineStr">
        <is>
          <t>JEA_NSA</t>
        </is>
      </c>
      <c r="J301" s="7" t="inlineStr">
        <is>
          <t>USD</t>
        </is>
      </c>
      <c r="K301" s="7" t="inlineStr">
        <is>
          <t>floating</t>
        </is>
      </c>
      <c r="L301" s="7" t="inlineStr">
        <is>
          <t>PNL</t>
        </is>
      </c>
      <c r="M301" s="11" t="n">
        <v>44673</v>
      </c>
      <c r="N301" s="13" t="n">
        <v>600</v>
      </c>
      <c r="O301" s="6" t="n">
        <v>0</v>
      </c>
      <c r="P301" s="13" t="n">
        <v>0</v>
      </c>
      <c r="Q301" s="22" t="n">
        <v>30</v>
      </c>
      <c r="R301" s="6" t="n">
        <v>1</v>
      </c>
      <c r="U301" s="9" t="n">
        <v>-1630.2</v>
      </c>
      <c r="V301" s="9" t="n">
        <v>-122997.84</v>
      </c>
      <c r="X301" s="9" t="n">
        <v>75.4495</v>
      </c>
      <c r="AK301" s="7" t="inlineStr">
        <is>
          <t>PYTHON_LIFECYCLE</t>
        </is>
      </c>
      <c r="AL301" s="8">
        <f>IF($J301="INR",1,IF($M301&lt;$A301,INDEX(Market_Daily!$F$6:$F$256,MATCH($M301,Market_Daily!$A$6:$A$256,1)),IF($M301=$A301,INDEX(Market_Daily!$F$6:$F$256,MATCH($A301,Market_Daily!$A$6:$A$256,0)),(INDEX(Market_Daily!$F$6:$F$256,MATCH($A301,Market_Daily!$A$6:$A$256,0))*(1+INDEX(Market_Daily!$I$6:$I$256,MATCH($A301,Market_Daily!$A$6:$A$256,0))*($M301-$A301)/day_count_inr)/(1+INDEX(Market_Daily!$J$6:$J$256,MATCH($A301,Market_Daily!$A$6:$A$256,0))*($M301-$A301)/day_count_usd)))))</f>
        <v/>
      </c>
      <c r="AM301" s="8">
        <f>IF(OR($J301="INR",$R301&gt;1),"",$AL301-$X301)</f>
        <v/>
      </c>
      <c r="AN301" s="8">
        <f>$U301</f>
        <v/>
      </c>
      <c r="AO301" s="8">
        <f>$AN301*IF($J301="INR",1,$AL301)</f>
        <v/>
      </c>
      <c r="AP301" s="18">
        <f>$AO301-$V301</f>
        <v/>
      </c>
      <c r="AQ301" s="8">
        <f>IF(ABS($AP301)&lt;=tol_trade_inr,"PASS","FAIL")</f>
        <v/>
      </c>
    </row>
    <row r="302">
      <c r="A302" s="11" t="n">
        <v>44656</v>
      </c>
      <c r="B302" s="7" t="inlineStr">
        <is>
          <t>T03</t>
        </is>
      </c>
      <c r="C302" s="7" t="inlineStr">
        <is>
          <t>INVENTORY:L1</t>
        </is>
      </c>
      <c r="D302" s="7" t="inlineStr">
        <is>
          <t>INVENTORY</t>
        </is>
      </c>
      <c r="E302" s="7" t="inlineStr">
        <is>
          <t>physical</t>
        </is>
      </c>
      <c r="F302" s="7" t="inlineStr">
        <is>
          <t>L1</t>
        </is>
      </c>
      <c r="H302" s="7" t="inlineStr">
        <is>
          <t>taint_tabor</t>
        </is>
      </c>
      <c r="I302" s="7" t="inlineStr">
        <is>
          <t>JEA_NSA</t>
        </is>
      </c>
      <c r="J302" s="7" t="inlineStr">
        <is>
          <t>INR</t>
        </is>
      </c>
      <c r="K302" s="7" t="inlineStr">
        <is>
          <t>fixed_unsettled</t>
        </is>
      </c>
      <c r="L302" s="7" t="inlineStr">
        <is>
          <t>PNL</t>
        </is>
      </c>
      <c r="N302" s="13" t="n">
        <v>600</v>
      </c>
      <c r="O302" s="6" t="n">
        <v>0</v>
      </c>
      <c r="P302" s="13" t="n">
        <v>0</v>
      </c>
      <c r="Q302" s="22" t="n">
        <v>30</v>
      </c>
      <c r="R302" s="6" t="n">
        <v>0</v>
      </c>
      <c r="U302" s="9" t="n">
        <v>117489745.09</v>
      </c>
      <c r="V302" s="9" t="n">
        <v>117489745.09</v>
      </c>
      <c r="W302" s="9" t="n">
        <v>195816.2418</v>
      </c>
      <c r="X302" s="9" t="n">
        <v>75.33499999999999</v>
      </c>
      <c r="Y302" s="8">
        <f>IF($I302="JEA_NSA","20ft","40ft")</f>
        <v/>
      </c>
      <c r="Z302" s="8">
        <f>IF($I302="JEA_NSA","nsa","mun")</f>
        <v/>
      </c>
      <c r="AA302" s="8">
        <f>INDEX(param_values,MATCH("container_payload_mt_"&amp;$Y302,param_keys,0))/INDEX(param_values,MATCH("container_payload_mt_"&amp;$Y302&amp;"_"&amp;$H302,param_keys,0))</f>
        <v/>
      </c>
      <c r="AB302" s="16">
        <f>INDEX(Market_Daily!$C$6:$C$256,MATCH($A302,Market_Daily!$A$6:$A$256,0))*INDEX(Market_Daily!$X$6:$Z$256,MATCH($A302,Market_Daily!$A$6:$A$256,0),MATCH("grade_factor_"&amp;$H302,Market_Daily!$X$5:$Z$5,0))</f>
        <v/>
      </c>
      <c r="AC302" s="16">
        <f>$AB302*(1+insurance_rate*insured_value_uplift)</f>
        <v/>
      </c>
      <c r="AD302" s="8">
        <f>(INDEX(Market_Daily!$F$6:$F$256,MATCH($A302,Market_Daily!$A$6:$A$256,0))*(1+INDEX(Market_Daily!$I$6:$I$256,MATCH($A302,Market_Daily!$A$6:$A$256,0))*$Q302/day_count_inr)/(1+INDEX(Market_Daily!$J$6:$J$256,MATCH($A302,Market_Daily!$A$6:$A$256,0))*$Q302/day_count_usd))</f>
        <v/>
      </c>
      <c r="AE302" s="18">
        <f>$AC302*$AD302</f>
        <v/>
      </c>
      <c r="AF302" s="18">
        <f>$AC302*INDEX(Market_Daily!$V$6:$V$256,MATCH($A302,Market_Daily!$A$6:$A$256,0))</f>
        <v/>
      </c>
      <c r="AG302" s="18">
        <f>$AF302*bcd_scrap_hs7602*(1+sws_rate_on_bcd)</f>
        <v/>
      </c>
      <c r="AH302" s="18">
        <f>INDEX(param_values,MATCH("port_cf_charges_inr_t_"&amp;$Z302,param_keys,0))*$AA302+IF(INDEX(param_values,MATCH(IF($I302="JEA_NSA","psic_required_uae_origin","psic_required_safe_origin_designated_port"),param_keys,0)),psic_cost_usd_per_box*INDEX(Market_Daily!$F$6:$F$256,MATCH($A302,Market_Daily!$A$6:$A$256,0))/INDEX(param_values,MATCH("container_payload_mt_20ft_"&amp;$H302,param_keys,0)),0)</f>
        <v/>
      </c>
      <c r="AI302" s="18">
        <f>IF(igst_itc_available,0,($AF302+$AG302)*igst_rate_hs7602)</f>
        <v/>
      </c>
      <c r="AJ302" s="18">
        <f>$AE302+$AG302+$AH302+$AI302</f>
        <v/>
      </c>
      <c r="AK302" s="7" t="inlineStr">
        <is>
          <t>DERIVED_IN_WORKBOOK</t>
        </is>
      </c>
      <c r="AL302" s="8">
        <f>IF($J302="INR",1,IF($M302&lt;$A302,INDEX(Market_Daily!$F$6:$F$256,MATCH($M302,Market_Daily!$A$6:$A$256,1)),IF($M302=$A302,INDEX(Market_Daily!$F$6:$F$256,MATCH($A302,Market_Daily!$A$6:$A$256,0)),(INDEX(Market_Daily!$F$6:$F$256,MATCH($A302,Market_Daily!$A$6:$A$256,0))*(1+INDEX(Market_Daily!$I$6:$I$256,MATCH($A302,Market_Daily!$A$6:$A$256,0))*($M302-$A302)/day_count_inr)/(1+INDEX(Market_Daily!$J$6:$J$256,MATCH($A302,Market_Daily!$A$6:$A$256,0))*($M302-$A302)/day_count_usd)))))</f>
        <v/>
      </c>
      <c r="AM302" s="8">
        <f>IF(OR($J302="INR",$R302&gt;1),"",$AL302-$X302)</f>
        <v/>
      </c>
      <c r="AN302" s="8">
        <f>$N302*$AJ302</f>
        <v/>
      </c>
      <c r="AO302" s="8">
        <f>$AN302</f>
        <v/>
      </c>
      <c r="AP302" s="18">
        <f>$AO302-$V302</f>
        <v/>
      </c>
      <c r="AQ302" s="8">
        <f>IF(ABS($AP302)&lt;=tol_trade_inr,"PASS","FAIL")</f>
        <v/>
      </c>
    </row>
    <row r="303">
      <c r="A303" s="11" t="n">
        <v>44656</v>
      </c>
      <c r="B303" s="7" t="inlineStr">
        <is>
          <t>T03</t>
        </is>
      </c>
      <c r="C303" s="7" t="inlineStr">
        <is>
          <t>INVENTORY:L2</t>
        </is>
      </c>
      <c r="D303" s="7" t="inlineStr">
        <is>
          <t>INVENTORY</t>
        </is>
      </c>
      <c r="E303" s="7" t="inlineStr">
        <is>
          <t>physical</t>
        </is>
      </c>
      <c r="F303" s="7" t="inlineStr">
        <is>
          <t>L2</t>
        </is>
      </c>
      <c r="H303" s="7" t="inlineStr">
        <is>
          <t>taint_tabor</t>
        </is>
      </c>
      <c r="I303" s="7" t="inlineStr">
        <is>
          <t>JEA_NSA</t>
        </is>
      </c>
      <c r="J303" s="7" t="inlineStr">
        <is>
          <t>INR</t>
        </is>
      </c>
      <c r="K303" s="7" t="inlineStr">
        <is>
          <t>fixed_unsettled</t>
        </is>
      </c>
      <c r="L303" s="7" t="inlineStr">
        <is>
          <t>PNL</t>
        </is>
      </c>
      <c r="N303" s="13" t="n">
        <v>600</v>
      </c>
      <c r="O303" s="6" t="n">
        <v>0</v>
      </c>
      <c r="P303" s="13" t="n">
        <v>0</v>
      </c>
      <c r="Q303" s="22" t="n">
        <v>30</v>
      </c>
      <c r="R303" s="6" t="n">
        <v>0</v>
      </c>
      <c r="U303" s="9" t="n">
        <v>117489745.09</v>
      </c>
      <c r="V303" s="9" t="n">
        <v>117489745.09</v>
      </c>
      <c r="W303" s="9" t="n">
        <v>195816.2418</v>
      </c>
      <c r="X303" s="9" t="n">
        <v>75.33499999999999</v>
      </c>
      <c r="Y303" s="8">
        <f>IF($I303="JEA_NSA","20ft","40ft")</f>
        <v/>
      </c>
      <c r="Z303" s="8">
        <f>IF($I303="JEA_NSA","nsa","mun")</f>
        <v/>
      </c>
      <c r="AA303" s="8">
        <f>INDEX(param_values,MATCH("container_payload_mt_"&amp;$Y303,param_keys,0))/INDEX(param_values,MATCH("container_payload_mt_"&amp;$Y303&amp;"_"&amp;$H303,param_keys,0))</f>
        <v/>
      </c>
      <c r="AB303" s="16">
        <f>INDEX(Market_Daily!$C$6:$C$256,MATCH($A303,Market_Daily!$A$6:$A$256,0))*INDEX(Market_Daily!$X$6:$Z$256,MATCH($A303,Market_Daily!$A$6:$A$256,0),MATCH("grade_factor_"&amp;$H303,Market_Daily!$X$5:$Z$5,0))</f>
        <v/>
      </c>
      <c r="AC303" s="16">
        <f>$AB303*(1+insurance_rate*insured_value_uplift)</f>
        <v/>
      </c>
      <c r="AD303" s="8">
        <f>(INDEX(Market_Daily!$F$6:$F$256,MATCH($A303,Market_Daily!$A$6:$A$256,0))*(1+INDEX(Market_Daily!$I$6:$I$256,MATCH($A303,Market_Daily!$A$6:$A$256,0))*$Q303/day_count_inr)/(1+INDEX(Market_Daily!$J$6:$J$256,MATCH($A303,Market_Daily!$A$6:$A$256,0))*$Q303/day_count_usd))</f>
        <v/>
      </c>
      <c r="AE303" s="18">
        <f>$AC303*$AD303</f>
        <v/>
      </c>
      <c r="AF303" s="18">
        <f>$AC303*INDEX(Market_Daily!$V$6:$V$256,MATCH($A303,Market_Daily!$A$6:$A$256,0))</f>
        <v/>
      </c>
      <c r="AG303" s="18">
        <f>$AF303*bcd_scrap_hs7602*(1+sws_rate_on_bcd)</f>
        <v/>
      </c>
      <c r="AH303" s="18">
        <f>INDEX(param_values,MATCH("port_cf_charges_inr_t_"&amp;$Z303,param_keys,0))*$AA303+IF(INDEX(param_values,MATCH(IF($I303="JEA_NSA","psic_required_uae_origin","psic_required_safe_origin_designated_port"),param_keys,0)),psic_cost_usd_per_box*INDEX(Market_Daily!$F$6:$F$256,MATCH($A303,Market_Daily!$A$6:$A$256,0))/INDEX(param_values,MATCH("container_payload_mt_20ft_"&amp;$H303,param_keys,0)),0)</f>
        <v/>
      </c>
      <c r="AI303" s="18">
        <f>IF(igst_itc_available,0,($AF303+$AG303)*igst_rate_hs7602)</f>
        <v/>
      </c>
      <c r="AJ303" s="18">
        <f>$AE303+$AG303+$AH303+$AI303</f>
        <v/>
      </c>
      <c r="AK303" s="7" t="inlineStr">
        <is>
          <t>DERIVED_IN_WORKBOOK</t>
        </is>
      </c>
      <c r="AL303" s="8">
        <f>IF($J303="INR",1,IF($M303&lt;$A303,INDEX(Market_Daily!$F$6:$F$256,MATCH($M303,Market_Daily!$A$6:$A$256,1)),IF($M303=$A303,INDEX(Market_Daily!$F$6:$F$256,MATCH($A303,Market_Daily!$A$6:$A$256,0)),(INDEX(Market_Daily!$F$6:$F$256,MATCH($A303,Market_Daily!$A$6:$A$256,0))*(1+INDEX(Market_Daily!$I$6:$I$256,MATCH($A303,Market_Daily!$A$6:$A$256,0))*($M303-$A303)/day_count_inr)/(1+INDEX(Market_Daily!$J$6:$J$256,MATCH($A303,Market_Daily!$A$6:$A$256,0))*($M303-$A303)/day_count_usd)))))</f>
        <v/>
      </c>
      <c r="AM303" s="8">
        <f>IF(OR($J303="INR",$R303&gt;1),"",$AL303-$X303)</f>
        <v/>
      </c>
      <c r="AN303" s="8">
        <f>$N303*$AJ303</f>
        <v/>
      </c>
      <c r="AO303" s="8">
        <f>$AN303</f>
        <v/>
      </c>
      <c r="AP303" s="18">
        <f>$AO303-$V303</f>
        <v/>
      </c>
      <c r="AQ303" s="8">
        <f>IF(ABS($AP303)&lt;=tol_trade_inr,"PASS","FAIL")</f>
        <v/>
      </c>
    </row>
    <row r="304">
      <c r="A304" s="11" t="n">
        <v>44656</v>
      </c>
      <c r="B304" s="7" t="inlineStr">
        <is>
          <t>T03</t>
        </is>
      </c>
      <c r="C304" s="7" t="inlineStr">
        <is>
          <t>MCX:T03-MCX-1</t>
        </is>
      </c>
      <c r="D304" s="7" t="inlineStr">
        <is>
          <t>MCX</t>
        </is>
      </c>
      <c r="E304" s="7" t="inlineStr">
        <is>
          <t>mcx</t>
        </is>
      </c>
      <c r="H304" s="7" t="inlineStr">
        <is>
          <t>taint_tabor</t>
        </is>
      </c>
      <c r="I304" s="7" t="inlineStr">
        <is>
          <t>JEA_NSA</t>
        </is>
      </c>
      <c r="J304" s="7" t="inlineStr">
        <is>
          <t>INR</t>
        </is>
      </c>
      <c r="K304" s="7" t="inlineStr">
        <is>
          <t>partially_fixed</t>
        </is>
      </c>
      <c r="L304" s="7" t="inlineStr">
        <is>
          <t>PNL</t>
        </is>
      </c>
      <c r="M304" s="11" t="n">
        <v>44671</v>
      </c>
      <c r="N304" s="13" t="n">
        <v>0</v>
      </c>
      <c r="O304" s="6" t="n">
        <v>-143</v>
      </c>
      <c r="P304" s="13" t="n">
        <v>0</v>
      </c>
      <c r="Q304" s="22" t="n">
        <v>30</v>
      </c>
      <c r="R304" s="6" t="n">
        <v>19</v>
      </c>
      <c r="U304" s="9" t="n">
        <v>0</v>
      </c>
      <c r="V304" s="9" t="n">
        <v>0</v>
      </c>
      <c r="X304" s="9" t="n">
        <v>75.33499999999999</v>
      </c>
      <c r="AK304" s="7" t="inlineStr">
        <is>
          <t>PYTHON_MULTI_FLOW_LEG</t>
        </is>
      </c>
      <c r="AL304" s="8">
        <f>IF($J304="INR",1,IF($M304&lt;$A304,INDEX(Market_Daily!$F$6:$F$256,MATCH($M304,Market_Daily!$A$6:$A$256,1)),IF($M304=$A304,INDEX(Market_Daily!$F$6:$F$256,MATCH($A304,Market_Daily!$A$6:$A$256,0)),(INDEX(Market_Daily!$F$6:$F$256,MATCH($A304,Market_Daily!$A$6:$A$256,0))*(1+INDEX(Market_Daily!$I$6:$I$256,MATCH($A304,Market_Daily!$A$6:$A$256,0))*($M304-$A304)/day_count_inr)/(1+INDEX(Market_Daily!$J$6:$J$256,MATCH($A304,Market_Daily!$A$6:$A$256,0))*($M304-$A304)/day_count_usd)))))</f>
        <v/>
      </c>
      <c r="AM304" s="8">
        <f>IF(OR($J304="INR",$R304&gt;1),"",$AL304-$X304)</f>
        <v/>
      </c>
      <c r="AN304" s="8">
        <f>$U304</f>
        <v/>
      </c>
      <c r="AO304" s="8">
        <f>$V304</f>
        <v/>
      </c>
      <c r="AP304" s="18">
        <f>$AO304-$V304</f>
        <v/>
      </c>
      <c r="AQ304" s="8">
        <f>IF(ABS($AP304)&lt;=tol_trade_inr,"PASS","FAIL")</f>
        <v/>
      </c>
    </row>
    <row r="305">
      <c r="A305" s="11" t="n">
        <v>44656</v>
      </c>
      <c r="B305" s="7" t="inlineStr">
        <is>
          <t>T03</t>
        </is>
      </c>
      <c r="C305" s="7" t="inlineStr">
        <is>
          <t>PORT:L1</t>
        </is>
      </c>
      <c r="D305" s="7" t="inlineStr">
        <is>
          <t>PORT</t>
        </is>
      </c>
      <c r="E305" s="7" t="inlineStr">
        <is>
          <t>physical</t>
        </is>
      </c>
      <c r="F305" s="7" t="inlineStr">
        <is>
          <t>L1</t>
        </is>
      </c>
      <c r="H305" s="7" t="inlineStr">
        <is>
          <t>taint_tabor</t>
        </is>
      </c>
      <c r="I305" s="7" t="inlineStr">
        <is>
          <t>JEA_NSA</t>
        </is>
      </c>
      <c r="J305" s="7" t="inlineStr">
        <is>
          <t>INR</t>
        </is>
      </c>
      <c r="K305" s="7" t="inlineStr">
        <is>
          <t>fixed_unsettled</t>
        </is>
      </c>
      <c r="L305" s="7" t="inlineStr">
        <is>
          <t>PNL</t>
        </is>
      </c>
      <c r="M305" s="11" t="n">
        <v>44679</v>
      </c>
      <c r="N305" s="13" t="n">
        <v>0</v>
      </c>
      <c r="O305" s="6" t="n">
        <v>0</v>
      </c>
      <c r="P305" s="13" t="n">
        <v>0</v>
      </c>
      <c r="Q305" s="22" t="n">
        <v>30</v>
      </c>
      <c r="R305" s="6" t="n">
        <v>1</v>
      </c>
      <c r="U305" s="9" t="n">
        <v>-1200000</v>
      </c>
      <c r="V305" s="9" t="n">
        <v>-1200000</v>
      </c>
      <c r="X305" s="9" t="n">
        <v>75.33499999999999</v>
      </c>
      <c r="AK305" s="7" t="inlineStr">
        <is>
          <t>PYTHON_LIFECYCLE</t>
        </is>
      </c>
      <c r="AL305" s="8">
        <f>IF($J305="INR",1,IF($M305&lt;$A305,INDEX(Market_Daily!$F$6:$F$256,MATCH($M305,Market_Daily!$A$6:$A$256,1)),IF($M305=$A305,INDEX(Market_Daily!$F$6:$F$256,MATCH($A305,Market_Daily!$A$6:$A$256,0)),(INDEX(Market_Daily!$F$6:$F$256,MATCH($A305,Market_Daily!$A$6:$A$256,0))*(1+INDEX(Market_Daily!$I$6:$I$256,MATCH($A305,Market_Daily!$A$6:$A$256,0))*($M305-$A305)/day_count_inr)/(1+INDEX(Market_Daily!$J$6:$J$256,MATCH($A305,Market_Daily!$A$6:$A$256,0))*($M305-$A305)/day_count_usd)))))</f>
        <v/>
      </c>
      <c r="AM305" s="8">
        <f>IF(OR($J305="INR",$R305&gt;1),"",$AL305-$X305)</f>
        <v/>
      </c>
      <c r="AN305" s="8">
        <f>$U305</f>
        <v/>
      </c>
      <c r="AO305" s="8">
        <f>$AN305*IF($J305="INR",1,$AL305)</f>
        <v/>
      </c>
      <c r="AP305" s="18">
        <f>$AO305-$V305</f>
        <v/>
      </c>
      <c r="AQ305" s="8">
        <f>IF(ABS($AP305)&lt;=tol_trade_inr,"PASS","FAIL")</f>
        <v/>
      </c>
    </row>
    <row r="306">
      <c r="A306" s="11" t="n">
        <v>44656</v>
      </c>
      <c r="B306" s="7" t="inlineStr">
        <is>
          <t>T03</t>
        </is>
      </c>
      <c r="C306" s="7" t="inlineStr">
        <is>
          <t>PORT:L2</t>
        </is>
      </c>
      <c r="D306" s="7" t="inlineStr">
        <is>
          <t>PORT</t>
        </is>
      </c>
      <c r="E306" s="7" t="inlineStr">
        <is>
          <t>physical</t>
        </is>
      </c>
      <c r="F306" s="7" t="inlineStr">
        <is>
          <t>L2</t>
        </is>
      </c>
      <c r="H306" s="7" t="inlineStr">
        <is>
          <t>taint_tabor</t>
        </is>
      </c>
      <c r="I306" s="7" t="inlineStr">
        <is>
          <t>JEA_NSA</t>
        </is>
      </c>
      <c r="J306" s="7" t="inlineStr">
        <is>
          <t>INR</t>
        </is>
      </c>
      <c r="K306" s="7" t="inlineStr">
        <is>
          <t>fixed_unsettled</t>
        </is>
      </c>
      <c r="L306" s="7" t="inlineStr">
        <is>
          <t>PNL</t>
        </is>
      </c>
      <c r="M306" s="11" t="n">
        <v>44690</v>
      </c>
      <c r="N306" s="13" t="n">
        <v>0</v>
      </c>
      <c r="O306" s="6" t="n">
        <v>0</v>
      </c>
      <c r="P306" s="13" t="n">
        <v>0</v>
      </c>
      <c r="Q306" s="22" t="n">
        <v>30</v>
      </c>
      <c r="R306" s="6" t="n">
        <v>1</v>
      </c>
      <c r="U306" s="9" t="n">
        <v>-1200000</v>
      </c>
      <c r="V306" s="9" t="n">
        <v>-1200000</v>
      </c>
      <c r="X306" s="9" t="n">
        <v>75.33499999999999</v>
      </c>
      <c r="AK306" s="7" t="inlineStr">
        <is>
          <t>PYTHON_LIFECYCLE</t>
        </is>
      </c>
      <c r="AL306" s="8">
        <f>IF($J306="INR",1,IF($M306&lt;$A306,INDEX(Market_Daily!$F$6:$F$256,MATCH($M306,Market_Daily!$A$6:$A$256,1)),IF($M306=$A306,INDEX(Market_Daily!$F$6:$F$256,MATCH($A306,Market_Daily!$A$6:$A$256,0)),(INDEX(Market_Daily!$F$6:$F$256,MATCH($A306,Market_Daily!$A$6:$A$256,0))*(1+INDEX(Market_Daily!$I$6:$I$256,MATCH($A306,Market_Daily!$A$6:$A$256,0))*($M306-$A306)/day_count_inr)/(1+INDEX(Market_Daily!$J$6:$J$256,MATCH($A306,Market_Daily!$A$6:$A$256,0))*($M306-$A306)/day_count_usd)))))</f>
        <v/>
      </c>
      <c r="AM306" s="8">
        <f>IF(OR($J306="INR",$R306&gt;1),"",$AL306-$X306)</f>
        <v/>
      </c>
      <c r="AN306" s="8">
        <f>$U306</f>
        <v/>
      </c>
      <c r="AO306" s="8">
        <f>$AN306*IF($J306="INR",1,$AL306)</f>
        <v/>
      </c>
      <c r="AP306" s="18">
        <f>$AO306-$V306</f>
        <v/>
      </c>
      <c r="AQ306" s="8">
        <f>IF(ABS($AP306)&lt;=tol_trade_inr,"PASS","FAIL")</f>
        <v/>
      </c>
    </row>
    <row r="307">
      <c r="A307" s="11" t="n">
        <v>44656</v>
      </c>
      <c r="B307" s="7" t="inlineStr">
        <is>
          <t>T03</t>
        </is>
      </c>
      <c r="C307" s="7" t="inlineStr">
        <is>
          <t>PSIC:L1</t>
        </is>
      </c>
      <c r="D307" s="7" t="inlineStr">
        <is>
          <t>PSIC</t>
        </is>
      </c>
      <c r="E307" s="7" t="inlineStr">
        <is>
          <t>physical</t>
        </is>
      </c>
      <c r="F307" s="7" t="inlineStr">
        <is>
          <t>L1</t>
        </is>
      </c>
      <c r="H307" s="7" t="inlineStr">
        <is>
          <t>taint_tabor</t>
        </is>
      </c>
      <c r="I307" s="7" t="inlineStr">
        <is>
          <t>JEA_NSA</t>
        </is>
      </c>
      <c r="J307" s="7" t="inlineStr">
        <is>
          <t>USD</t>
        </is>
      </c>
      <c r="K307" s="7" t="inlineStr">
        <is>
          <t>floating</t>
        </is>
      </c>
      <c r="L307" s="7" t="inlineStr">
        <is>
          <t>PNL</t>
        </is>
      </c>
      <c r="M307" s="11" t="n">
        <v>44664</v>
      </c>
      <c r="N307" s="13" t="n">
        <v>0</v>
      </c>
      <c r="O307" s="6" t="n">
        <v>0</v>
      </c>
      <c r="P307" s="13" t="n">
        <v>0</v>
      </c>
      <c r="Q307" s="22" t="n">
        <v>30</v>
      </c>
      <c r="R307" s="6" t="n">
        <v>1</v>
      </c>
      <c r="U307" s="9" t="n">
        <v>-1200</v>
      </c>
      <c r="V307" s="9" t="n">
        <v>-90466.69</v>
      </c>
      <c r="X307" s="9" t="n">
        <v>75.38890000000001</v>
      </c>
      <c r="AK307" s="7" t="inlineStr">
        <is>
          <t>PYTHON_LIFECYCLE</t>
        </is>
      </c>
      <c r="AL307" s="8">
        <f>IF($J307="INR",1,IF($M307&lt;$A307,INDEX(Market_Daily!$F$6:$F$256,MATCH($M307,Market_Daily!$A$6:$A$256,1)),IF($M307=$A307,INDEX(Market_Daily!$F$6:$F$256,MATCH($A307,Market_Daily!$A$6:$A$256,0)),(INDEX(Market_Daily!$F$6:$F$256,MATCH($A307,Market_Daily!$A$6:$A$256,0))*(1+INDEX(Market_Daily!$I$6:$I$256,MATCH($A307,Market_Daily!$A$6:$A$256,0))*($M307-$A307)/day_count_inr)/(1+INDEX(Market_Daily!$J$6:$J$256,MATCH($A307,Market_Daily!$A$6:$A$256,0))*($M307-$A307)/day_count_usd)))))</f>
        <v/>
      </c>
      <c r="AM307" s="8">
        <f>IF(OR($J307="INR",$R307&gt;1),"",$AL307-$X307)</f>
        <v/>
      </c>
      <c r="AN307" s="8">
        <f>$U307</f>
        <v/>
      </c>
      <c r="AO307" s="8">
        <f>$AN307*IF($J307="INR",1,$AL307)</f>
        <v/>
      </c>
      <c r="AP307" s="18">
        <f>$AO307-$V307</f>
        <v/>
      </c>
      <c r="AQ307" s="8">
        <f>IF(ABS($AP307)&lt;=tol_trade_inr,"PASS","FAIL")</f>
        <v/>
      </c>
    </row>
    <row r="308">
      <c r="A308" s="11" t="n">
        <v>44656</v>
      </c>
      <c r="B308" s="7" t="inlineStr">
        <is>
          <t>T03</t>
        </is>
      </c>
      <c r="C308" s="7" t="inlineStr">
        <is>
          <t>PSIC:L2</t>
        </is>
      </c>
      <c r="D308" s="7" t="inlineStr">
        <is>
          <t>PSIC</t>
        </is>
      </c>
      <c r="E308" s="7" t="inlineStr">
        <is>
          <t>physical</t>
        </is>
      </c>
      <c r="F308" s="7" t="inlineStr">
        <is>
          <t>L2</t>
        </is>
      </c>
      <c r="H308" s="7" t="inlineStr">
        <is>
          <t>taint_tabor</t>
        </is>
      </c>
      <c r="I308" s="7" t="inlineStr">
        <is>
          <t>JEA_NSA</t>
        </is>
      </c>
      <c r="J308" s="7" t="inlineStr">
        <is>
          <t>USD</t>
        </is>
      </c>
      <c r="K308" s="7" t="inlineStr">
        <is>
          <t>floating</t>
        </is>
      </c>
      <c r="L308" s="7" t="inlineStr">
        <is>
          <t>PNL</t>
        </is>
      </c>
      <c r="M308" s="11" t="n">
        <v>44673</v>
      </c>
      <c r="N308" s="13" t="n">
        <v>0</v>
      </c>
      <c r="O308" s="6" t="n">
        <v>0</v>
      </c>
      <c r="P308" s="13" t="n">
        <v>0</v>
      </c>
      <c r="Q308" s="22" t="n">
        <v>30</v>
      </c>
      <c r="R308" s="6" t="n">
        <v>1</v>
      </c>
      <c r="U308" s="9" t="n">
        <v>-1200</v>
      </c>
      <c r="V308" s="9" t="n">
        <v>-90539.45</v>
      </c>
      <c r="X308" s="9" t="n">
        <v>75.4495</v>
      </c>
      <c r="AK308" s="7" t="inlineStr">
        <is>
          <t>PYTHON_LIFECYCLE</t>
        </is>
      </c>
      <c r="AL308" s="8">
        <f>IF($J308="INR",1,IF($M308&lt;$A308,INDEX(Market_Daily!$F$6:$F$256,MATCH($M308,Market_Daily!$A$6:$A$256,1)),IF($M308=$A308,INDEX(Market_Daily!$F$6:$F$256,MATCH($A308,Market_Daily!$A$6:$A$256,0)),(INDEX(Market_Daily!$F$6:$F$256,MATCH($A308,Market_Daily!$A$6:$A$256,0))*(1+INDEX(Market_Daily!$I$6:$I$256,MATCH($A308,Market_Daily!$A$6:$A$256,0))*($M308-$A308)/day_count_inr)/(1+INDEX(Market_Daily!$J$6:$J$256,MATCH($A308,Market_Daily!$A$6:$A$256,0))*($M308-$A308)/day_count_usd)))))</f>
        <v/>
      </c>
      <c r="AM308" s="8">
        <f>IF(OR($J308="INR",$R308&gt;1),"",$AL308-$X308)</f>
        <v/>
      </c>
      <c r="AN308" s="8">
        <f>$U308</f>
        <v/>
      </c>
      <c r="AO308" s="8">
        <f>$AN308*IF($J308="INR",1,$AL308)</f>
        <v/>
      </c>
      <c r="AP308" s="18">
        <f>$AO308-$V308</f>
        <v/>
      </c>
      <c r="AQ308" s="8">
        <f>IF(ABS($AP308)&lt;=tol_trade_inr,"PASS","FAIL")</f>
        <v/>
      </c>
    </row>
    <row r="309">
      <c r="A309" s="11" t="n">
        <v>44656</v>
      </c>
      <c r="B309" s="7" t="inlineStr">
        <is>
          <t>T03</t>
        </is>
      </c>
      <c r="C309" s="7" t="inlineStr">
        <is>
          <t>PURCHASE:L1</t>
        </is>
      </c>
      <c r="D309" s="7" t="inlineStr">
        <is>
          <t>PURCHASE</t>
        </is>
      </c>
      <c r="E309" s="7" t="inlineStr">
        <is>
          <t>physical</t>
        </is>
      </c>
      <c r="F309" s="7" t="inlineStr">
        <is>
          <t>L1</t>
        </is>
      </c>
      <c r="G309" s="7" t="inlineStr">
        <is>
          <t>SUP_JEA_01</t>
        </is>
      </c>
      <c r="H309" s="7" t="inlineStr">
        <is>
          <t>taint_tabor</t>
        </is>
      </c>
      <c r="I309" s="7" t="inlineStr">
        <is>
          <t>JEA_NSA</t>
        </is>
      </c>
      <c r="J309" s="7" t="inlineStr">
        <is>
          <t>USD</t>
        </is>
      </c>
      <c r="K309" s="7" t="inlineStr">
        <is>
          <t>fixed_unsettled</t>
        </is>
      </c>
      <c r="L309" s="7" t="inlineStr">
        <is>
          <t>PNL</t>
        </is>
      </c>
      <c r="M309" s="11" t="n">
        <v>44671</v>
      </c>
      <c r="N309" s="13" t="n">
        <v>600</v>
      </c>
      <c r="O309" s="6" t="n">
        <v>0</v>
      </c>
      <c r="P309" s="13" t="n">
        <v>0</v>
      </c>
      <c r="Q309" s="22" t="n">
        <v>30</v>
      </c>
      <c r="R309" s="6" t="n">
        <v>1</v>
      </c>
      <c r="U309" s="9" t="n">
        <v>-1482000</v>
      </c>
      <c r="V309" s="9" t="n">
        <v>-111796255.49</v>
      </c>
      <c r="X309" s="9" t="n">
        <v>75.4361</v>
      </c>
      <c r="AK309" s="7" t="inlineStr">
        <is>
          <t>PYTHON_LIFECYCLE</t>
        </is>
      </c>
      <c r="AL309" s="8">
        <f>IF($J309="INR",1,IF($M309&lt;$A309,INDEX(Market_Daily!$F$6:$F$256,MATCH($M309,Market_Daily!$A$6:$A$256,1)),IF($M309=$A309,INDEX(Market_Daily!$F$6:$F$256,MATCH($A309,Market_Daily!$A$6:$A$256,0)),(INDEX(Market_Daily!$F$6:$F$256,MATCH($A309,Market_Daily!$A$6:$A$256,0))*(1+INDEX(Market_Daily!$I$6:$I$256,MATCH($A309,Market_Daily!$A$6:$A$256,0))*($M309-$A309)/day_count_inr)/(1+INDEX(Market_Daily!$J$6:$J$256,MATCH($A309,Market_Daily!$A$6:$A$256,0))*($M309-$A309)/day_count_usd)))))</f>
        <v/>
      </c>
      <c r="AM309" s="8">
        <f>IF(OR($J309="INR",$R309&gt;1),"",$AL309-$X309)</f>
        <v/>
      </c>
      <c r="AN309" s="8">
        <f>$U309</f>
        <v/>
      </c>
      <c r="AO309" s="8">
        <f>$AN309*IF($J309="INR",1,$AL309)</f>
        <v/>
      </c>
      <c r="AP309" s="18">
        <f>$AO309-$V309</f>
        <v/>
      </c>
      <c r="AQ309" s="8">
        <f>IF(ABS($AP309)&lt;=tol_trade_inr,"PASS","FAIL")</f>
        <v/>
      </c>
    </row>
    <row r="310">
      <c r="A310" s="11" t="n">
        <v>44656</v>
      </c>
      <c r="B310" s="7" t="inlineStr">
        <is>
          <t>T03</t>
        </is>
      </c>
      <c r="C310" s="7" t="inlineStr">
        <is>
          <t>PURCHASE:L2</t>
        </is>
      </c>
      <c r="D310" s="7" t="inlineStr">
        <is>
          <t>PURCHASE</t>
        </is>
      </c>
      <c r="E310" s="7" t="inlineStr">
        <is>
          <t>physical</t>
        </is>
      </c>
      <c r="F310" s="7" t="inlineStr">
        <is>
          <t>L2</t>
        </is>
      </c>
      <c r="G310" s="7" t="inlineStr">
        <is>
          <t>SUP_JEA_01</t>
        </is>
      </c>
      <c r="H310" s="7" t="inlineStr">
        <is>
          <t>taint_tabor</t>
        </is>
      </c>
      <c r="I310" s="7" t="inlineStr">
        <is>
          <t>JEA_NSA</t>
        </is>
      </c>
      <c r="J310" s="7" t="inlineStr">
        <is>
          <t>USD</t>
        </is>
      </c>
      <c r="K310" s="7" t="inlineStr">
        <is>
          <t>fixed_unsettled</t>
        </is>
      </c>
      <c r="L310" s="7" t="inlineStr">
        <is>
          <t>PNL</t>
        </is>
      </c>
      <c r="M310" s="11" t="n">
        <v>44680</v>
      </c>
      <c r="N310" s="13" t="n">
        <v>600</v>
      </c>
      <c r="O310" s="6" t="n">
        <v>0</v>
      </c>
      <c r="P310" s="13" t="n">
        <v>0</v>
      </c>
      <c r="Q310" s="22" t="n">
        <v>30</v>
      </c>
      <c r="R310" s="6" t="n">
        <v>1</v>
      </c>
      <c r="U310" s="9" t="n">
        <v>-1482000</v>
      </c>
      <c r="V310" s="9" t="n">
        <v>-111886087.8</v>
      </c>
      <c r="X310" s="9" t="n">
        <v>75.4967</v>
      </c>
      <c r="AK310" s="7" t="inlineStr">
        <is>
          <t>PYTHON_LIFECYCLE</t>
        </is>
      </c>
      <c r="AL310" s="8">
        <f>IF($J310="INR",1,IF($M310&lt;$A310,INDEX(Market_Daily!$F$6:$F$256,MATCH($M310,Market_Daily!$A$6:$A$256,1)),IF($M310=$A310,INDEX(Market_Daily!$F$6:$F$256,MATCH($A310,Market_Daily!$A$6:$A$256,0)),(INDEX(Market_Daily!$F$6:$F$256,MATCH($A310,Market_Daily!$A$6:$A$256,0))*(1+INDEX(Market_Daily!$I$6:$I$256,MATCH($A310,Market_Daily!$A$6:$A$256,0))*($M310-$A310)/day_count_inr)/(1+INDEX(Market_Daily!$J$6:$J$256,MATCH($A310,Market_Daily!$A$6:$A$256,0))*($M310-$A310)/day_count_usd)))))</f>
        <v/>
      </c>
      <c r="AM310" s="8">
        <f>IF(OR($J310="INR",$R310&gt;1),"",$AL310-$X310)</f>
        <v/>
      </c>
      <c r="AN310" s="8">
        <f>$U310</f>
        <v/>
      </c>
      <c r="AO310" s="8">
        <f>$AN310*IF($J310="INR",1,$AL310)</f>
        <v/>
      </c>
      <c r="AP310" s="18">
        <f>$AO310-$V310</f>
        <v/>
      </c>
      <c r="AQ310" s="8">
        <f>IF(ABS($AP310)&lt;=tol_trade_inr,"PASS","FAIL")</f>
        <v/>
      </c>
    </row>
    <row r="311">
      <c r="A311" s="11" t="n">
        <v>44657</v>
      </c>
      <c r="B311" s="7" t="inlineStr">
        <is>
          <t>T01</t>
        </is>
      </c>
      <c r="C311" s="7" t="inlineStr">
        <is>
          <t>BILL_COMMISSION:L2</t>
        </is>
      </c>
      <c r="D311" s="7" t="inlineStr">
        <is>
          <t>BILL_COMMISSION</t>
        </is>
      </c>
      <c r="E311" s="7" t="inlineStr">
        <is>
          <t>physical</t>
        </is>
      </c>
      <c r="F311" s="7" t="inlineStr">
        <is>
          <t>L2</t>
        </is>
      </c>
      <c r="H311" s="7" t="inlineStr">
        <is>
          <t>zorba</t>
        </is>
      </c>
      <c r="I311" s="7" t="inlineStr">
        <is>
          <t>USEC_MUN</t>
        </is>
      </c>
      <c r="J311" s="7" t="inlineStr">
        <is>
          <t>USD</t>
        </is>
      </c>
      <c r="K311" s="7" t="inlineStr">
        <is>
          <t>floating</t>
        </is>
      </c>
      <c r="L311" s="7" t="inlineStr">
        <is>
          <t>PNL</t>
        </is>
      </c>
      <c r="M311" s="11" t="n">
        <v>44662</v>
      </c>
      <c r="N311" s="13" t="n">
        <v>0</v>
      </c>
      <c r="O311" s="6" t="n">
        <v>0</v>
      </c>
      <c r="P311" s="13" t="n">
        <v>0</v>
      </c>
      <c r="Q311" s="22" t="n">
        <v>30</v>
      </c>
      <c r="R311" s="6" t="n">
        <v>1</v>
      </c>
      <c r="U311" s="9" t="n">
        <v>-2358.72</v>
      </c>
      <c r="V311" s="9" t="n">
        <v>-178952.58</v>
      </c>
      <c r="X311" s="9" t="n">
        <v>75.8685</v>
      </c>
      <c r="AK311" s="7" t="inlineStr">
        <is>
          <t>PYTHON_LIFECYCLE</t>
        </is>
      </c>
      <c r="AL311" s="8">
        <f>IF($J311="INR",1,IF($M311&lt;$A311,INDEX(Market_Daily!$F$6:$F$256,MATCH($M311,Market_Daily!$A$6:$A$256,1)),IF($M311=$A311,INDEX(Market_Daily!$F$6:$F$256,MATCH($A311,Market_Daily!$A$6:$A$256,0)),(INDEX(Market_Daily!$F$6:$F$256,MATCH($A311,Market_Daily!$A$6:$A$256,0))*(1+INDEX(Market_Daily!$I$6:$I$256,MATCH($A311,Market_Daily!$A$6:$A$256,0))*($M311-$A311)/day_count_inr)/(1+INDEX(Market_Daily!$J$6:$J$256,MATCH($A311,Market_Daily!$A$6:$A$256,0))*($M311-$A311)/day_count_usd)))))</f>
        <v/>
      </c>
      <c r="AM311" s="8">
        <f>IF(OR($J311="INR",$R311&gt;1),"",$AL311-$X311)</f>
        <v/>
      </c>
      <c r="AN311" s="8">
        <f>$U311</f>
        <v/>
      </c>
      <c r="AO311" s="8">
        <f>$AN311*IF($J311="INR",1,$AL311)</f>
        <v/>
      </c>
      <c r="AP311" s="18">
        <f>$AO311-$V311</f>
        <v/>
      </c>
      <c r="AQ311" s="8">
        <f>IF(ABS($AP311)&lt;=tol_trade_inr,"PASS","FAIL")</f>
        <v/>
      </c>
    </row>
    <row r="312">
      <c r="A312" s="11" t="n">
        <v>44657</v>
      </c>
      <c r="B312" s="7" t="inlineStr">
        <is>
          <t>T01</t>
        </is>
      </c>
      <c r="C312" s="7" t="inlineStr">
        <is>
          <t>BILL_COMMISSION:L3</t>
        </is>
      </c>
      <c r="D312" s="7" t="inlineStr">
        <is>
          <t>BILL_COMMISSION</t>
        </is>
      </c>
      <c r="E312" s="7" t="inlineStr">
        <is>
          <t>physical</t>
        </is>
      </c>
      <c r="F312" s="7" t="inlineStr">
        <is>
          <t>L3</t>
        </is>
      </c>
      <c r="H312" s="7" t="inlineStr">
        <is>
          <t>zorba</t>
        </is>
      </c>
      <c r="I312" s="7" t="inlineStr">
        <is>
          <t>USEC_MUN</t>
        </is>
      </c>
      <c r="J312" s="7" t="inlineStr">
        <is>
          <t>USD</t>
        </is>
      </c>
      <c r="K312" s="7" t="inlineStr">
        <is>
          <t>floating</t>
        </is>
      </c>
      <c r="L312" s="7" t="inlineStr">
        <is>
          <t>PNL</t>
        </is>
      </c>
      <c r="M312" s="11" t="n">
        <v>44665</v>
      </c>
      <c r="N312" s="13" t="n">
        <v>0</v>
      </c>
      <c r="O312" s="6" t="n">
        <v>0</v>
      </c>
      <c r="P312" s="13" t="n">
        <v>0</v>
      </c>
      <c r="Q312" s="22" t="n">
        <v>30</v>
      </c>
      <c r="R312" s="6" t="n">
        <v>1</v>
      </c>
      <c r="U312" s="9" t="n">
        <v>-2358.72</v>
      </c>
      <c r="V312" s="9" t="n">
        <v>-179000.28</v>
      </c>
      <c r="X312" s="9" t="n">
        <v>75.8887</v>
      </c>
      <c r="AK312" s="7" t="inlineStr">
        <is>
          <t>PYTHON_LIFECYCLE</t>
        </is>
      </c>
      <c r="AL312" s="8">
        <f>IF($J312="INR",1,IF($M312&lt;$A312,INDEX(Market_Daily!$F$6:$F$256,MATCH($M312,Market_Daily!$A$6:$A$256,1)),IF($M312=$A312,INDEX(Market_Daily!$F$6:$F$256,MATCH($A312,Market_Daily!$A$6:$A$256,0)),(INDEX(Market_Daily!$F$6:$F$256,MATCH($A312,Market_Daily!$A$6:$A$256,0))*(1+INDEX(Market_Daily!$I$6:$I$256,MATCH($A312,Market_Daily!$A$6:$A$256,0))*($M312-$A312)/day_count_inr)/(1+INDEX(Market_Daily!$J$6:$J$256,MATCH($A312,Market_Daily!$A$6:$A$256,0))*($M312-$A312)/day_count_usd)))))</f>
        <v/>
      </c>
      <c r="AM312" s="8">
        <f>IF(OR($J312="INR",$R312&gt;1),"",$AL312-$X312)</f>
        <v/>
      </c>
      <c r="AN312" s="8">
        <f>$U312</f>
        <v/>
      </c>
      <c r="AO312" s="8">
        <f>$AN312*IF($J312="INR",1,$AL312)</f>
        <v/>
      </c>
      <c r="AP312" s="18">
        <f>$AO312-$V312</f>
        <v/>
      </c>
      <c r="AQ312" s="8">
        <f>IF(ABS($AP312)&lt;=tol_trade_inr,"PASS","FAIL")</f>
        <v/>
      </c>
    </row>
    <row r="313">
      <c r="A313" s="11" t="n">
        <v>44657</v>
      </c>
      <c r="B313" s="7" t="inlineStr">
        <is>
          <t>T01</t>
        </is>
      </c>
      <c r="C313" s="7" t="inlineStr">
        <is>
          <t>DUTY:L1</t>
        </is>
      </c>
      <c r="D313" s="7" t="inlineStr">
        <is>
          <t>DUTY</t>
        </is>
      </c>
      <c r="E313" s="7" t="inlineStr">
        <is>
          <t>physical</t>
        </is>
      </c>
      <c r="F313" s="7" t="inlineStr">
        <is>
          <t>L1</t>
        </is>
      </c>
      <c r="H313" s="7" t="inlineStr">
        <is>
          <t>zorba</t>
        </is>
      </c>
      <c r="I313" s="7" t="inlineStr">
        <is>
          <t>USEC_MUN</t>
        </is>
      </c>
      <c r="J313" s="7" t="inlineStr">
        <is>
          <t>INR</t>
        </is>
      </c>
      <c r="K313" s="7" t="inlineStr">
        <is>
          <t>floating</t>
        </is>
      </c>
      <c r="L313" s="7" t="inlineStr">
        <is>
          <t>PNL</t>
        </is>
      </c>
      <c r="M313" s="11" t="n">
        <v>44690</v>
      </c>
      <c r="N313" s="13" t="n">
        <v>840</v>
      </c>
      <c r="O313" s="6" t="n">
        <v>0</v>
      </c>
      <c r="P313" s="13" t="n">
        <v>0</v>
      </c>
      <c r="Q313" s="22" t="n">
        <v>30</v>
      </c>
      <c r="R313" s="6" t="n">
        <v>1</v>
      </c>
      <c r="U313" s="9" t="n">
        <v>-4345087.24</v>
      </c>
      <c r="V313" s="9" t="n">
        <v>-4345087.24</v>
      </c>
      <c r="X313" s="9" t="n">
        <v>75.8348</v>
      </c>
      <c r="AK313" s="7" t="inlineStr">
        <is>
          <t>PYTHON_LIFECYCLE</t>
        </is>
      </c>
      <c r="AL313" s="8">
        <f>IF($J313="INR",1,IF($M313&lt;$A313,INDEX(Market_Daily!$F$6:$F$256,MATCH($M313,Market_Daily!$A$6:$A$256,1)),IF($M313=$A313,INDEX(Market_Daily!$F$6:$F$256,MATCH($A313,Market_Daily!$A$6:$A$256,0)),(INDEX(Market_Daily!$F$6:$F$256,MATCH($A313,Market_Daily!$A$6:$A$256,0))*(1+INDEX(Market_Daily!$I$6:$I$256,MATCH($A313,Market_Daily!$A$6:$A$256,0))*($M313-$A313)/day_count_inr)/(1+INDEX(Market_Daily!$J$6:$J$256,MATCH($A313,Market_Daily!$A$6:$A$256,0))*($M313-$A313)/day_count_usd)))))</f>
        <v/>
      </c>
      <c r="AM313" s="8">
        <f>IF(OR($J313="INR",$R313&gt;1),"",$AL313-$X313)</f>
        <v/>
      </c>
      <c r="AN313" s="8">
        <f>$U313</f>
        <v/>
      </c>
      <c r="AO313" s="8">
        <f>$AN313*IF($J313="INR",1,$AL313)</f>
        <v/>
      </c>
      <c r="AP313" s="18">
        <f>$AO313-$V313</f>
        <v/>
      </c>
      <c r="AQ313" s="8">
        <f>IF(ABS($AP313)&lt;=tol_trade_inr,"PASS","FAIL")</f>
        <v/>
      </c>
    </row>
    <row r="314">
      <c r="A314" s="11" t="n">
        <v>44657</v>
      </c>
      <c r="B314" s="7" t="inlineStr">
        <is>
          <t>T01</t>
        </is>
      </c>
      <c r="C314" s="7" t="inlineStr">
        <is>
          <t>DUTY:L2</t>
        </is>
      </c>
      <c r="D314" s="7" t="inlineStr">
        <is>
          <t>DUTY</t>
        </is>
      </c>
      <c r="E314" s="7" t="inlineStr">
        <is>
          <t>physical</t>
        </is>
      </c>
      <c r="F314" s="7" t="inlineStr">
        <is>
          <t>L2</t>
        </is>
      </c>
      <c r="H314" s="7" t="inlineStr">
        <is>
          <t>zorba</t>
        </is>
      </c>
      <c r="I314" s="7" t="inlineStr">
        <is>
          <t>USEC_MUN</t>
        </is>
      </c>
      <c r="J314" s="7" t="inlineStr">
        <is>
          <t>INR</t>
        </is>
      </c>
      <c r="K314" s="7" t="inlineStr">
        <is>
          <t>floating</t>
        </is>
      </c>
      <c r="L314" s="7" t="inlineStr">
        <is>
          <t>PNL</t>
        </is>
      </c>
      <c r="M314" s="11" t="n">
        <v>44697</v>
      </c>
      <c r="N314" s="13" t="n">
        <v>840</v>
      </c>
      <c r="O314" s="6" t="n">
        <v>0</v>
      </c>
      <c r="P314" s="13" t="n">
        <v>0</v>
      </c>
      <c r="Q314" s="22" t="n">
        <v>30</v>
      </c>
      <c r="R314" s="6" t="n">
        <v>1</v>
      </c>
      <c r="U314" s="9" t="n">
        <v>-4345087.24</v>
      </c>
      <c r="V314" s="9" t="n">
        <v>-4345087.24</v>
      </c>
      <c r="X314" s="9" t="n">
        <v>75.8348</v>
      </c>
      <c r="AK314" s="7" t="inlineStr">
        <is>
          <t>PYTHON_LIFECYCLE</t>
        </is>
      </c>
      <c r="AL314" s="8">
        <f>IF($J314="INR",1,IF($M314&lt;$A314,INDEX(Market_Daily!$F$6:$F$256,MATCH($M314,Market_Daily!$A$6:$A$256,1)),IF($M314=$A314,INDEX(Market_Daily!$F$6:$F$256,MATCH($A314,Market_Daily!$A$6:$A$256,0)),(INDEX(Market_Daily!$F$6:$F$256,MATCH($A314,Market_Daily!$A$6:$A$256,0))*(1+INDEX(Market_Daily!$I$6:$I$256,MATCH($A314,Market_Daily!$A$6:$A$256,0))*($M314-$A314)/day_count_inr)/(1+INDEX(Market_Daily!$J$6:$J$256,MATCH($A314,Market_Daily!$A$6:$A$256,0))*($M314-$A314)/day_count_usd)))))</f>
        <v/>
      </c>
      <c r="AM314" s="8">
        <f>IF(OR($J314="INR",$R314&gt;1),"",$AL314-$X314)</f>
        <v/>
      </c>
      <c r="AN314" s="8">
        <f>$U314</f>
        <v/>
      </c>
      <c r="AO314" s="8">
        <f>$AN314*IF($J314="INR",1,$AL314)</f>
        <v/>
      </c>
      <c r="AP314" s="18">
        <f>$AO314-$V314</f>
        <v/>
      </c>
      <c r="AQ314" s="8">
        <f>IF(ABS($AP314)&lt;=tol_trade_inr,"PASS","FAIL")</f>
        <v/>
      </c>
    </row>
    <row r="315">
      <c r="A315" s="11" t="n">
        <v>44657</v>
      </c>
      <c r="B315" s="7" t="inlineStr">
        <is>
          <t>T01</t>
        </is>
      </c>
      <c r="C315" s="7" t="inlineStr">
        <is>
          <t>DUTY:L3</t>
        </is>
      </c>
      <c r="D315" s="7" t="inlineStr">
        <is>
          <t>DUTY</t>
        </is>
      </c>
      <c r="E315" s="7" t="inlineStr">
        <is>
          <t>physical</t>
        </is>
      </c>
      <c r="F315" s="7" t="inlineStr">
        <is>
          <t>L3</t>
        </is>
      </c>
      <c r="H315" s="7" t="inlineStr">
        <is>
          <t>zorba</t>
        </is>
      </c>
      <c r="I315" s="7" t="inlineStr">
        <is>
          <t>USEC_MUN</t>
        </is>
      </c>
      <c r="J315" s="7" t="inlineStr">
        <is>
          <t>INR</t>
        </is>
      </c>
      <c r="K315" s="7" t="inlineStr">
        <is>
          <t>floating</t>
        </is>
      </c>
      <c r="L315" s="7" t="inlineStr">
        <is>
          <t>PNL</t>
        </is>
      </c>
      <c r="M315" s="11" t="n">
        <v>44699</v>
      </c>
      <c r="N315" s="13" t="n">
        <v>840</v>
      </c>
      <c r="O315" s="6" t="n">
        <v>0</v>
      </c>
      <c r="P315" s="13" t="n">
        <v>0</v>
      </c>
      <c r="Q315" s="22" t="n">
        <v>30</v>
      </c>
      <c r="R315" s="6" t="n">
        <v>1</v>
      </c>
      <c r="U315" s="9" t="n">
        <v>-4345087.24</v>
      </c>
      <c r="V315" s="9" t="n">
        <v>-4345087.24</v>
      </c>
      <c r="X315" s="9" t="n">
        <v>75.8348</v>
      </c>
      <c r="AK315" s="7" t="inlineStr">
        <is>
          <t>PYTHON_LIFECYCLE</t>
        </is>
      </c>
      <c r="AL315" s="8">
        <f>IF($J315="INR",1,IF($M315&lt;$A315,INDEX(Market_Daily!$F$6:$F$256,MATCH($M315,Market_Daily!$A$6:$A$256,1)),IF($M315=$A315,INDEX(Market_Daily!$F$6:$F$256,MATCH($A315,Market_Daily!$A$6:$A$256,0)),(INDEX(Market_Daily!$F$6:$F$256,MATCH($A315,Market_Daily!$A$6:$A$256,0))*(1+INDEX(Market_Daily!$I$6:$I$256,MATCH($A315,Market_Daily!$A$6:$A$256,0))*($M315-$A315)/day_count_inr)/(1+INDEX(Market_Daily!$J$6:$J$256,MATCH($A315,Market_Daily!$A$6:$A$256,0))*($M315-$A315)/day_count_usd)))))</f>
        <v/>
      </c>
      <c r="AM315" s="8">
        <f>IF(OR($J315="INR",$R315&gt;1),"",$AL315-$X315)</f>
        <v/>
      </c>
      <c r="AN315" s="8">
        <f>$U315</f>
        <v/>
      </c>
      <c r="AO315" s="8">
        <f>$AN315*IF($J315="INR",1,$AL315)</f>
        <v/>
      </c>
      <c r="AP315" s="18">
        <f>$AO315-$V315</f>
        <v/>
      </c>
      <c r="AQ315" s="8">
        <f>IF(ABS($AP315)&lt;=tol_trade_inr,"PASS","FAIL")</f>
        <v/>
      </c>
    </row>
    <row r="316">
      <c r="A316" s="11" t="n">
        <v>44657</v>
      </c>
      <c r="B316" s="7" t="inlineStr">
        <is>
          <t>T01</t>
        </is>
      </c>
      <c r="C316" s="7" t="inlineStr">
        <is>
          <t>FREIGHT:L1</t>
        </is>
      </c>
      <c r="D316" s="7" t="inlineStr">
        <is>
          <t>FREIGHT</t>
        </is>
      </c>
      <c r="E316" s="7" t="inlineStr">
        <is>
          <t>physical</t>
        </is>
      </c>
      <c r="F316" s="7" t="inlineStr">
        <is>
          <t>L1</t>
        </is>
      </c>
      <c r="G316" s="7" t="inlineStr">
        <is>
          <t>Meridian Box Lines NVOCC (SIM)</t>
        </is>
      </c>
      <c r="H316" s="7" t="inlineStr">
        <is>
          <t>zorba</t>
        </is>
      </c>
      <c r="I316" s="7" t="inlineStr">
        <is>
          <t>USEC_MUN</t>
        </is>
      </c>
      <c r="J316" s="7" t="inlineStr">
        <is>
          <t>USD</t>
        </is>
      </c>
      <c r="K316" s="7" t="inlineStr">
        <is>
          <t>fixed_unsettled</t>
        </is>
      </c>
      <c r="L316" s="7" t="inlineStr">
        <is>
          <t>PNL</t>
        </is>
      </c>
      <c r="M316" s="11" t="n">
        <v>44690</v>
      </c>
      <c r="N316" s="13" t="n">
        <v>840</v>
      </c>
      <c r="O316" s="6" t="n">
        <v>0</v>
      </c>
      <c r="P316" s="13" t="n">
        <v>0</v>
      </c>
      <c r="Q316" s="22" t="n">
        <v>30</v>
      </c>
      <c r="R316" s="6" t="n">
        <v>1</v>
      </c>
      <c r="U316" s="9" t="n">
        <v>-86800</v>
      </c>
      <c r="V316" s="9" t="n">
        <v>-6601763.51</v>
      </c>
      <c r="X316" s="9" t="n">
        <v>76.05719999999999</v>
      </c>
      <c r="AK316" s="7" t="inlineStr">
        <is>
          <t>PYTHON_LIFECYCLE</t>
        </is>
      </c>
      <c r="AL316" s="8">
        <f>IF($J316="INR",1,IF($M316&lt;$A316,INDEX(Market_Daily!$F$6:$F$256,MATCH($M316,Market_Daily!$A$6:$A$256,1)),IF($M316=$A316,INDEX(Market_Daily!$F$6:$F$256,MATCH($A316,Market_Daily!$A$6:$A$256,0)),(INDEX(Market_Daily!$F$6:$F$256,MATCH($A316,Market_Daily!$A$6:$A$256,0))*(1+INDEX(Market_Daily!$I$6:$I$256,MATCH($A316,Market_Daily!$A$6:$A$256,0))*($M316-$A316)/day_count_inr)/(1+INDEX(Market_Daily!$J$6:$J$256,MATCH($A316,Market_Daily!$A$6:$A$256,0))*($M316-$A316)/day_count_usd)))))</f>
        <v/>
      </c>
      <c r="AM316" s="8">
        <f>IF(OR($J316="INR",$R316&gt;1),"",$AL316-$X316)</f>
        <v/>
      </c>
      <c r="AN316" s="8">
        <f>$U316</f>
        <v/>
      </c>
      <c r="AO316" s="8">
        <f>$AN316*IF($J316="INR",1,$AL316)</f>
        <v/>
      </c>
      <c r="AP316" s="18">
        <f>$AO316-$V316</f>
        <v/>
      </c>
      <c r="AQ316" s="8">
        <f>IF(ABS($AP316)&lt;=tol_trade_inr,"PASS","FAIL")</f>
        <v/>
      </c>
    </row>
    <row r="317">
      <c r="A317" s="11" t="n">
        <v>44657</v>
      </c>
      <c r="B317" s="7" t="inlineStr">
        <is>
          <t>T01</t>
        </is>
      </c>
      <c r="C317" s="7" t="inlineStr">
        <is>
          <t>FREIGHT:L2</t>
        </is>
      </c>
      <c r="D317" s="7" t="inlineStr">
        <is>
          <t>FREIGHT</t>
        </is>
      </c>
      <c r="E317" s="7" t="inlineStr">
        <is>
          <t>physical</t>
        </is>
      </c>
      <c r="F317" s="7" t="inlineStr">
        <is>
          <t>L2</t>
        </is>
      </c>
      <c r="G317" s="7" t="inlineStr">
        <is>
          <t>Meridian Box Lines NVOCC (SIM)</t>
        </is>
      </c>
      <c r="H317" s="7" t="inlineStr">
        <is>
          <t>zorba</t>
        </is>
      </c>
      <c r="I317" s="7" t="inlineStr">
        <is>
          <t>USEC_MUN</t>
        </is>
      </c>
      <c r="J317" s="7" t="inlineStr">
        <is>
          <t>USD</t>
        </is>
      </c>
      <c r="K317" s="7" t="inlineStr">
        <is>
          <t>fixed_unsettled</t>
        </is>
      </c>
      <c r="L317" s="7" t="inlineStr">
        <is>
          <t>PNL</t>
        </is>
      </c>
      <c r="M317" s="11" t="n">
        <v>44697</v>
      </c>
      <c r="N317" s="13" t="n">
        <v>840</v>
      </c>
      <c r="O317" s="6" t="n">
        <v>0</v>
      </c>
      <c r="P317" s="13" t="n">
        <v>0</v>
      </c>
      <c r="Q317" s="22" t="n">
        <v>30</v>
      </c>
      <c r="R317" s="6" t="n">
        <v>1</v>
      </c>
      <c r="U317" s="9" t="n">
        <v>-86800</v>
      </c>
      <c r="V317" s="9" t="n">
        <v>-6605855.01</v>
      </c>
      <c r="X317" s="9" t="n">
        <v>76.10429999999999</v>
      </c>
      <c r="AK317" s="7" t="inlineStr">
        <is>
          <t>PYTHON_LIFECYCLE</t>
        </is>
      </c>
      <c r="AL317" s="8">
        <f>IF($J317="INR",1,IF($M317&lt;$A317,INDEX(Market_Daily!$F$6:$F$256,MATCH($M317,Market_Daily!$A$6:$A$256,1)),IF($M317=$A317,INDEX(Market_Daily!$F$6:$F$256,MATCH($A317,Market_Daily!$A$6:$A$256,0)),(INDEX(Market_Daily!$F$6:$F$256,MATCH($A317,Market_Daily!$A$6:$A$256,0))*(1+INDEX(Market_Daily!$I$6:$I$256,MATCH($A317,Market_Daily!$A$6:$A$256,0))*($M317-$A317)/day_count_inr)/(1+INDEX(Market_Daily!$J$6:$J$256,MATCH($A317,Market_Daily!$A$6:$A$256,0))*($M317-$A317)/day_count_usd)))))</f>
        <v/>
      </c>
      <c r="AM317" s="8">
        <f>IF(OR($J317="INR",$R317&gt;1),"",$AL317-$X317)</f>
        <v/>
      </c>
      <c r="AN317" s="8">
        <f>$U317</f>
        <v/>
      </c>
      <c r="AO317" s="8">
        <f>$AN317*IF($J317="INR",1,$AL317)</f>
        <v/>
      </c>
      <c r="AP317" s="18">
        <f>$AO317-$V317</f>
        <v/>
      </c>
      <c r="AQ317" s="8">
        <f>IF(ABS($AP317)&lt;=tol_trade_inr,"PASS","FAIL")</f>
        <v/>
      </c>
    </row>
    <row r="318">
      <c r="A318" s="11" t="n">
        <v>44657</v>
      </c>
      <c r="B318" s="7" t="inlineStr">
        <is>
          <t>T01</t>
        </is>
      </c>
      <c r="C318" s="7" t="inlineStr">
        <is>
          <t>FREIGHT:L3</t>
        </is>
      </c>
      <c r="D318" s="7" t="inlineStr">
        <is>
          <t>FREIGHT</t>
        </is>
      </c>
      <c r="E318" s="7" t="inlineStr">
        <is>
          <t>physical</t>
        </is>
      </c>
      <c r="F318" s="7" t="inlineStr">
        <is>
          <t>L3</t>
        </is>
      </c>
      <c r="G318" s="7" t="inlineStr">
        <is>
          <t>Meridian Box Lines NVOCC (SIM)</t>
        </is>
      </c>
      <c r="H318" s="7" t="inlineStr">
        <is>
          <t>zorba</t>
        </is>
      </c>
      <c r="I318" s="7" t="inlineStr">
        <is>
          <t>USEC_MUN</t>
        </is>
      </c>
      <c r="J318" s="7" t="inlineStr">
        <is>
          <t>USD</t>
        </is>
      </c>
      <c r="K318" s="7" t="inlineStr">
        <is>
          <t>fixed_unsettled</t>
        </is>
      </c>
      <c r="L318" s="7" t="inlineStr">
        <is>
          <t>PNL</t>
        </is>
      </c>
      <c r="M318" s="11" t="n">
        <v>44698</v>
      </c>
      <c r="N318" s="13" t="n">
        <v>840</v>
      </c>
      <c r="O318" s="6" t="n">
        <v>0</v>
      </c>
      <c r="P318" s="13" t="n">
        <v>0</v>
      </c>
      <c r="Q318" s="22" t="n">
        <v>30</v>
      </c>
      <c r="R318" s="6" t="n">
        <v>1</v>
      </c>
      <c r="U318" s="9" t="n">
        <v>-86800</v>
      </c>
      <c r="V318" s="9" t="n">
        <v>-6606439.43</v>
      </c>
      <c r="X318" s="9" t="n">
        <v>76.11109999999999</v>
      </c>
      <c r="AK318" s="7" t="inlineStr">
        <is>
          <t>PYTHON_LIFECYCLE</t>
        </is>
      </c>
      <c r="AL318" s="8">
        <f>IF($J318="INR",1,IF($M318&lt;$A318,INDEX(Market_Daily!$F$6:$F$256,MATCH($M318,Market_Daily!$A$6:$A$256,1)),IF($M318=$A318,INDEX(Market_Daily!$F$6:$F$256,MATCH($A318,Market_Daily!$A$6:$A$256,0)),(INDEX(Market_Daily!$F$6:$F$256,MATCH($A318,Market_Daily!$A$6:$A$256,0))*(1+INDEX(Market_Daily!$I$6:$I$256,MATCH($A318,Market_Daily!$A$6:$A$256,0))*($M318-$A318)/day_count_inr)/(1+INDEX(Market_Daily!$J$6:$J$256,MATCH($A318,Market_Daily!$A$6:$A$256,0))*($M318-$A318)/day_count_usd)))))</f>
        <v/>
      </c>
      <c r="AM318" s="8">
        <f>IF(OR($J318="INR",$R318&gt;1),"",$AL318-$X318)</f>
        <v/>
      </c>
      <c r="AN318" s="8">
        <f>$U318</f>
        <v/>
      </c>
      <c r="AO318" s="8">
        <f>$AN318*IF($J318="INR",1,$AL318)</f>
        <v/>
      </c>
      <c r="AP318" s="18">
        <f>$AO318-$V318</f>
        <v/>
      </c>
      <c r="AQ318" s="8">
        <f>IF(ABS($AP318)&lt;=tol_trade_inr,"PASS","FAIL")</f>
        <v/>
      </c>
    </row>
    <row r="319">
      <c r="A319" s="11" t="n">
        <v>44657</v>
      </c>
      <c r="B319" s="7" t="inlineStr">
        <is>
          <t>T01</t>
        </is>
      </c>
      <c r="C319" s="7" t="inlineStr">
        <is>
          <t>FX:T01-FX-2</t>
        </is>
      </c>
      <c r="D319" s="7" t="inlineStr">
        <is>
          <t>FX</t>
        </is>
      </c>
      <c r="E319" s="7" t="inlineStr">
        <is>
          <t>fx_forward</t>
        </is>
      </c>
      <c r="H319" s="7" t="inlineStr">
        <is>
          <t>zorba</t>
        </is>
      </c>
      <c r="I319" s="7" t="inlineStr">
        <is>
          <t>USEC_MUN</t>
        </is>
      </c>
      <c r="J319" s="7" t="inlineStr">
        <is>
          <t>INR</t>
        </is>
      </c>
      <c r="K319" s="7" t="inlineStr">
        <is>
          <t>floating</t>
        </is>
      </c>
      <c r="L319" s="7" t="inlineStr">
        <is>
          <t>PNL</t>
        </is>
      </c>
      <c r="M319" s="11" t="n">
        <v>44662</v>
      </c>
      <c r="N319" s="13" t="n">
        <v>0</v>
      </c>
      <c r="O319" s="6" t="n">
        <v>0</v>
      </c>
      <c r="P319" s="13" t="n">
        <v>1965600</v>
      </c>
      <c r="Q319" s="22" t="n">
        <v>30</v>
      </c>
      <c r="R319" s="6" t="n">
        <v>1</v>
      </c>
      <c r="S319" s="12" t="n">
        <v>44662</v>
      </c>
      <c r="T319" s="21" t="n">
        <v>75.674504</v>
      </c>
      <c r="U319" s="9" t="n">
        <v>381342.51</v>
      </c>
      <c r="V319" s="9" t="n">
        <v>381342.51</v>
      </c>
      <c r="X319" s="9" t="n">
        <v>75.8348</v>
      </c>
      <c r="AK319" s="7" t="inlineStr">
        <is>
          <t>DERIVED_IN_WORKBOOK</t>
        </is>
      </c>
      <c r="AL319" s="8">
        <f>IF($J319="INR",1,IF($M319&lt;$A319,INDEX(Market_Daily!$F$6:$F$256,MATCH($M319,Market_Daily!$A$6:$A$256,1)),IF($M319=$A319,INDEX(Market_Daily!$F$6:$F$256,MATCH($A319,Market_Daily!$A$6:$A$256,0)),(INDEX(Market_Daily!$F$6:$F$256,MATCH($A319,Market_Daily!$A$6:$A$256,0))*(1+INDEX(Market_Daily!$I$6:$I$256,MATCH($A319,Market_Daily!$A$6:$A$256,0))*($M319-$A319)/day_count_inr)/(1+INDEX(Market_Daily!$J$6:$J$256,MATCH($A319,Market_Daily!$A$6:$A$256,0))*($M319-$A319)/day_count_usd)))))</f>
        <v/>
      </c>
      <c r="AM319" s="8">
        <f>IF(OR($J319="INR",$R319&gt;1),"",$AL319-$X319)</f>
        <v/>
      </c>
      <c r="AN319" s="8">
        <f>$P319*(IF($S319&lt;$A319,INDEX(Market_Daily!$F$6:$F$256,MATCH($S319,Market_Daily!$A$6:$A$256,1)),IF($S319=$A319,INDEX(Market_Daily!$F$6:$F$256,MATCH($A319,Market_Daily!$A$6:$A$256,0)),(INDEX(Market_Daily!$F$6:$F$256,MATCH($A319,Market_Daily!$A$6:$A$256,0))*(1+INDEX(Market_Daily!$I$6:$I$256,MATCH($A319,Market_Daily!$A$6:$A$256,0))*($S319-$A319)/day_count_inr)/(1+INDEX(Market_Daily!$J$6:$J$256,MATCH($A319,Market_Daily!$A$6:$A$256,0))*($S319-$A319)/day_count_usd))))-$T319)</f>
        <v/>
      </c>
      <c r="AO319" s="8">
        <f>$AN319</f>
        <v/>
      </c>
      <c r="AP319" s="18">
        <f>$AO319-$V319</f>
        <v/>
      </c>
      <c r="AQ319" s="8">
        <f>IF(ABS($AP319)&lt;=tol_trade_inr,"PASS","FAIL")</f>
        <v/>
      </c>
    </row>
    <row r="320">
      <c r="A320" s="11" t="n">
        <v>44657</v>
      </c>
      <c r="B320" s="7" t="inlineStr">
        <is>
          <t>T01</t>
        </is>
      </c>
      <c r="C320" s="7" t="inlineStr">
        <is>
          <t>FX:T01-FX-4</t>
        </is>
      </c>
      <c r="D320" s="7" t="inlineStr">
        <is>
          <t>FX</t>
        </is>
      </c>
      <c r="E320" s="7" t="inlineStr">
        <is>
          <t>fx_forward</t>
        </is>
      </c>
      <c r="H320" s="7" t="inlineStr">
        <is>
          <t>zorba</t>
        </is>
      </c>
      <c r="I320" s="7" t="inlineStr">
        <is>
          <t>USEC_MUN</t>
        </is>
      </c>
      <c r="J320" s="7" t="inlineStr">
        <is>
          <t>INR</t>
        </is>
      </c>
      <c r="K320" s="7" t="inlineStr">
        <is>
          <t>floating</t>
        </is>
      </c>
      <c r="L320" s="7" t="inlineStr">
        <is>
          <t>PNL</t>
        </is>
      </c>
      <c r="M320" s="11" t="n">
        <v>44697</v>
      </c>
      <c r="N320" s="13" t="n">
        <v>0</v>
      </c>
      <c r="O320" s="6" t="n">
        <v>0</v>
      </c>
      <c r="P320" s="13" t="n">
        <v>260400</v>
      </c>
      <c r="Q320" s="22" t="n">
        <v>30</v>
      </c>
      <c r="R320" s="6" t="n">
        <v>1</v>
      </c>
      <c r="S320" s="12" t="n">
        <v>44697</v>
      </c>
      <c r="T320" s="21" t="n">
        <v>76.62367500000001</v>
      </c>
      <c r="U320" s="9" t="n">
        <v>-135239.98</v>
      </c>
      <c r="V320" s="9" t="n">
        <v>-135239.98</v>
      </c>
      <c r="X320" s="9" t="n">
        <v>75.8348</v>
      </c>
      <c r="AK320" s="7" t="inlineStr">
        <is>
          <t>DERIVED_IN_WORKBOOK</t>
        </is>
      </c>
      <c r="AL320" s="8">
        <f>IF($J320="INR",1,IF($M320&lt;$A320,INDEX(Market_Daily!$F$6:$F$256,MATCH($M320,Market_Daily!$A$6:$A$256,1)),IF($M320=$A320,INDEX(Market_Daily!$F$6:$F$256,MATCH($A320,Market_Daily!$A$6:$A$256,0)),(INDEX(Market_Daily!$F$6:$F$256,MATCH($A320,Market_Daily!$A$6:$A$256,0))*(1+INDEX(Market_Daily!$I$6:$I$256,MATCH($A320,Market_Daily!$A$6:$A$256,0))*($M320-$A320)/day_count_inr)/(1+INDEX(Market_Daily!$J$6:$J$256,MATCH($A320,Market_Daily!$A$6:$A$256,0))*($M320-$A320)/day_count_usd)))))</f>
        <v/>
      </c>
      <c r="AM320" s="8">
        <f>IF(OR($J320="INR",$R320&gt;1),"",$AL320-$X320)</f>
        <v/>
      </c>
      <c r="AN320" s="8">
        <f>$P320*(IF($S320&lt;$A320,INDEX(Market_Daily!$F$6:$F$256,MATCH($S320,Market_Daily!$A$6:$A$256,1)),IF($S320=$A320,INDEX(Market_Daily!$F$6:$F$256,MATCH($A320,Market_Daily!$A$6:$A$256,0)),(INDEX(Market_Daily!$F$6:$F$256,MATCH($A320,Market_Daily!$A$6:$A$256,0))*(1+INDEX(Market_Daily!$I$6:$I$256,MATCH($A320,Market_Daily!$A$6:$A$256,0))*($S320-$A320)/day_count_inr)/(1+INDEX(Market_Daily!$J$6:$J$256,MATCH($A320,Market_Daily!$A$6:$A$256,0))*($S320-$A320)/day_count_usd))))-$T320)</f>
        <v/>
      </c>
      <c r="AO320" s="8">
        <f>$AN320</f>
        <v/>
      </c>
      <c r="AP320" s="18">
        <f>$AO320-$V320</f>
        <v/>
      </c>
      <c r="AQ320" s="8">
        <f>IF(ABS($AP320)&lt;=tol_trade_inr,"PASS","FAIL")</f>
        <v/>
      </c>
    </row>
    <row r="321">
      <c r="A321" s="11" t="n">
        <v>44657</v>
      </c>
      <c r="B321" s="7" t="inlineStr">
        <is>
          <t>T01</t>
        </is>
      </c>
      <c r="C321" s="7" t="inlineStr">
        <is>
          <t>IGST:L1</t>
        </is>
      </c>
      <c r="D321" s="7" t="inlineStr">
        <is>
          <t>IGST</t>
        </is>
      </c>
      <c r="E321" s="7" t="inlineStr">
        <is>
          <t>physical</t>
        </is>
      </c>
      <c r="F321" s="7" t="inlineStr">
        <is>
          <t>L1</t>
        </is>
      </c>
      <c r="H321" s="7" t="inlineStr">
        <is>
          <t>zorba</t>
        </is>
      </c>
      <c r="I321" s="7" t="inlineStr">
        <is>
          <t>USEC_MUN</t>
        </is>
      </c>
      <c r="J321" s="7" t="inlineStr">
        <is>
          <t>INR</t>
        </is>
      </c>
      <c r="K321" s="7" t="inlineStr">
        <is>
          <t>floating</t>
        </is>
      </c>
      <c r="L321" s="7" t="inlineStr">
        <is>
          <t>BS</t>
        </is>
      </c>
      <c r="M321" s="11" t="n">
        <v>44735</v>
      </c>
      <c r="N321" s="13" t="n">
        <v>0</v>
      </c>
      <c r="O321" s="6" t="n">
        <v>0</v>
      </c>
      <c r="P321" s="13" t="n">
        <v>0</v>
      </c>
      <c r="Q321" s="22" t="n">
        <v>30</v>
      </c>
      <c r="R321" s="6" t="n">
        <v>2</v>
      </c>
      <c r="U321" s="9" t="n">
        <v>0</v>
      </c>
      <c r="V321" s="9" t="n">
        <v>0</v>
      </c>
      <c r="X321" s="9" t="n">
        <v>75.8348</v>
      </c>
      <c r="AK321" s="7" t="inlineStr">
        <is>
          <t>PYTHON_MULTI_FLOW_LEG</t>
        </is>
      </c>
      <c r="AL321" s="8">
        <f>IF($J321="INR",1,IF($M321&lt;$A321,INDEX(Market_Daily!$F$6:$F$256,MATCH($M321,Market_Daily!$A$6:$A$256,1)),IF($M321=$A321,INDEX(Market_Daily!$F$6:$F$256,MATCH($A321,Market_Daily!$A$6:$A$256,0)),(INDEX(Market_Daily!$F$6:$F$256,MATCH($A321,Market_Daily!$A$6:$A$256,0))*(1+INDEX(Market_Daily!$I$6:$I$256,MATCH($A321,Market_Daily!$A$6:$A$256,0))*($M321-$A321)/day_count_inr)/(1+INDEX(Market_Daily!$J$6:$J$256,MATCH($A321,Market_Daily!$A$6:$A$256,0))*($M321-$A321)/day_count_usd)))))</f>
        <v/>
      </c>
      <c r="AM321" s="8">
        <f>IF(OR($J321="INR",$R321&gt;1),"",$AL321-$X321)</f>
        <v/>
      </c>
      <c r="AN321" s="8">
        <f>$U321</f>
        <v/>
      </c>
      <c r="AO321" s="8">
        <f>$V321</f>
        <v/>
      </c>
      <c r="AP321" s="18">
        <f>$AO321-$V321</f>
        <v/>
      </c>
      <c r="AQ321" s="8">
        <f>IF(ABS($AP321)&lt;=tol_trade_inr,"PASS","FAIL")</f>
        <v/>
      </c>
    </row>
    <row r="322">
      <c r="A322" s="11" t="n">
        <v>44657</v>
      </c>
      <c r="B322" s="7" t="inlineStr">
        <is>
          <t>T01</t>
        </is>
      </c>
      <c r="C322" s="7" t="inlineStr">
        <is>
          <t>IGST:L2</t>
        </is>
      </c>
      <c r="D322" s="7" t="inlineStr">
        <is>
          <t>IGST</t>
        </is>
      </c>
      <c r="E322" s="7" t="inlineStr">
        <is>
          <t>physical</t>
        </is>
      </c>
      <c r="F322" s="7" t="inlineStr">
        <is>
          <t>L2</t>
        </is>
      </c>
      <c r="H322" s="7" t="inlineStr">
        <is>
          <t>zorba</t>
        </is>
      </c>
      <c r="I322" s="7" t="inlineStr">
        <is>
          <t>USEC_MUN</t>
        </is>
      </c>
      <c r="J322" s="7" t="inlineStr">
        <is>
          <t>INR</t>
        </is>
      </c>
      <c r="K322" s="7" t="inlineStr">
        <is>
          <t>floating</t>
        </is>
      </c>
      <c r="L322" s="7" t="inlineStr">
        <is>
          <t>BS</t>
        </is>
      </c>
      <c r="M322" s="11" t="n">
        <v>44741</v>
      </c>
      <c r="N322" s="13" t="n">
        <v>0</v>
      </c>
      <c r="O322" s="6" t="n">
        <v>0</v>
      </c>
      <c r="P322" s="13" t="n">
        <v>0</v>
      </c>
      <c r="Q322" s="22" t="n">
        <v>30</v>
      </c>
      <c r="R322" s="6" t="n">
        <v>2</v>
      </c>
      <c r="U322" s="9" t="n">
        <v>0</v>
      </c>
      <c r="V322" s="9" t="n">
        <v>0</v>
      </c>
      <c r="X322" s="9" t="n">
        <v>75.8348</v>
      </c>
      <c r="AK322" s="7" t="inlineStr">
        <is>
          <t>PYTHON_MULTI_FLOW_LEG</t>
        </is>
      </c>
      <c r="AL322" s="8">
        <f>IF($J322="INR",1,IF($M322&lt;$A322,INDEX(Market_Daily!$F$6:$F$256,MATCH($M322,Market_Daily!$A$6:$A$256,1)),IF($M322=$A322,INDEX(Market_Daily!$F$6:$F$256,MATCH($A322,Market_Daily!$A$6:$A$256,0)),(INDEX(Market_Daily!$F$6:$F$256,MATCH($A322,Market_Daily!$A$6:$A$256,0))*(1+INDEX(Market_Daily!$I$6:$I$256,MATCH($A322,Market_Daily!$A$6:$A$256,0))*($M322-$A322)/day_count_inr)/(1+INDEX(Market_Daily!$J$6:$J$256,MATCH($A322,Market_Daily!$A$6:$A$256,0))*($M322-$A322)/day_count_usd)))))</f>
        <v/>
      </c>
      <c r="AM322" s="8">
        <f>IF(OR($J322="INR",$R322&gt;1),"",$AL322-$X322)</f>
        <v/>
      </c>
      <c r="AN322" s="8">
        <f>$U322</f>
        <v/>
      </c>
      <c r="AO322" s="8">
        <f>$V322</f>
        <v/>
      </c>
      <c r="AP322" s="18">
        <f>$AO322-$V322</f>
        <v/>
      </c>
      <c r="AQ322" s="8">
        <f>IF(ABS($AP322)&lt;=tol_trade_inr,"PASS","FAIL")</f>
        <v/>
      </c>
    </row>
    <row r="323">
      <c r="A323" s="11" t="n">
        <v>44657</v>
      </c>
      <c r="B323" s="7" t="inlineStr">
        <is>
          <t>T01</t>
        </is>
      </c>
      <c r="C323" s="7" t="inlineStr">
        <is>
          <t>IGST:L3</t>
        </is>
      </c>
      <c r="D323" s="7" t="inlineStr">
        <is>
          <t>IGST</t>
        </is>
      </c>
      <c r="E323" s="7" t="inlineStr">
        <is>
          <t>physical</t>
        </is>
      </c>
      <c r="F323" s="7" t="inlineStr">
        <is>
          <t>L3</t>
        </is>
      </c>
      <c r="H323" s="7" t="inlineStr">
        <is>
          <t>zorba</t>
        </is>
      </c>
      <c r="I323" s="7" t="inlineStr">
        <is>
          <t>USEC_MUN</t>
        </is>
      </c>
      <c r="J323" s="7" t="inlineStr">
        <is>
          <t>INR</t>
        </is>
      </c>
      <c r="K323" s="7" t="inlineStr">
        <is>
          <t>floating</t>
        </is>
      </c>
      <c r="L323" s="7" t="inlineStr">
        <is>
          <t>BS</t>
        </is>
      </c>
      <c r="M323" s="11" t="n">
        <v>44746</v>
      </c>
      <c r="N323" s="13" t="n">
        <v>0</v>
      </c>
      <c r="O323" s="6" t="n">
        <v>0</v>
      </c>
      <c r="P323" s="13" t="n">
        <v>0</v>
      </c>
      <c r="Q323" s="22" t="n">
        <v>30</v>
      </c>
      <c r="R323" s="6" t="n">
        <v>2</v>
      </c>
      <c r="U323" s="9" t="n">
        <v>0</v>
      </c>
      <c r="V323" s="9" t="n">
        <v>0</v>
      </c>
      <c r="X323" s="9" t="n">
        <v>75.8348</v>
      </c>
      <c r="AK323" s="7" t="inlineStr">
        <is>
          <t>PYTHON_MULTI_FLOW_LEG</t>
        </is>
      </c>
      <c r="AL323" s="8">
        <f>IF($J323="INR",1,IF($M323&lt;$A323,INDEX(Market_Daily!$F$6:$F$256,MATCH($M323,Market_Daily!$A$6:$A$256,1)),IF($M323=$A323,INDEX(Market_Daily!$F$6:$F$256,MATCH($A323,Market_Daily!$A$6:$A$256,0)),(INDEX(Market_Daily!$F$6:$F$256,MATCH($A323,Market_Daily!$A$6:$A$256,0))*(1+INDEX(Market_Daily!$I$6:$I$256,MATCH($A323,Market_Daily!$A$6:$A$256,0))*($M323-$A323)/day_count_inr)/(1+INDEX(Market_Daily!$J$6:$J$256,MATCH($A323,Market_Daily!$A$6:$A$256,0))*($M323-$A323)/day_count_usd)))))</f>
        <v/>
      </c>
      <c r="AM323" s="8">
        <f>IF(OR($J323="INR",$R323&gt;1),"",$AL323-$X323)</f>
        <v/>
      </c>
      <c r="AN323" s="8">
        <f>$U323</f>
        <v/>
      </c>
      <c r="AO323" s="8">
        <f>$V323</f>
        <v/>
      </c>
      <c r="AP323" s="18">
        <f>$AO323-$V323</f>
        <v/>
      </c>
      <c r="AQ323" s="8">
        <f>IF(ABS($AP323)&lt;=tol_trade_inr,"PASS","FAIL")</f>
        <v/>
      </c>
    </row>
    <row r="324">
      <c r="A324" s="11" t="n">
        <v>44657</v>
      </c>
      <c r="B324" s="7" t="inlineStr">
        <is>
          <t>T01</t>
        </is>
      </c>
      <c r="C324" s="7" t="inlineStr">
        <is>
          <t>INSURANCE:L3</t>
        </is>
      </c>
      <c r="D324" s="7" t="inlineStr">
        <is>
          <t>INSURANCE</t>
        </is>
      </c>
      <c r="E324" s="7" t="inlineStr">
        <is>
          <t>physical</t>
        </is>
      </c>
      <c r="F324" s="7" t="inlineStr">
        <is>
          <t>L3</t>
        </is>
      </c>
      <c r="H324" s="7" t="inlineStr">
        <is>
          <t>zorba</t>
        </is>
      </c>
      <c r="I324" s="7" t="inlineStr">
        <is>
          <t>USEC_MUN</t>
        </is>
      </c>
      <c r="J324" s="7" t="inlineStr">
        <is>
          <t>USD</t>
        </is>
      </c>
      <c r="K324" s="7" t="inlineStr">
        <is>
          <t>floating</t>
        </is>
      </c>
      <c r="L324" s="7" t="inlineStr">
        <is>
          <t>PNL</t>
        </is>
      </c>
      <c r="M324" s="11" t="n">
        <v>44658</v>
      </c>
      <c r="N324" s="13" t="n">
        <v>840</v>
      </c>
      <c r="O324" s="6" t="n">
        <v>0</v>
      </c>
      <c r="P324" s="13" t="n">
        <v>0</v>
      </c>
      <c r="Q324" s="22" t="n">
        <v>30</v>
      </c>
      <c r="R324" s="6" t="n">
        <v>1</v>
      </c>
      <c r="U324" s="9" t="n">
        <v>-2257.64</v>
      </c>
      <c r="V324" s="9" t="n">
        <v>-171222.9</v>
      </c>
      <c r="X324" s="9" t="n">
        <v>75.8415</v>
      </c>
      <c r="AK324" s="7" t="inlineStr">
        <is>
          <t>PYTHON_LIFECYCLE</t>
        </is>
      </c>
      <c r="AL324" s="8">
        <f>IF($J324="INR",1,IF($M324&lt;$A324,INDEX(Market_Daily!$F$6:$F$256,MATCH($M324,Market_Daily!$A$6:$A$256,1)),IF($M324=$A324,INDEX(Market_Daily!$F$6:$F$256,MATCH($A324,Market_Daily!$A$6:$A$256,0)),(INDEX(Market_Daily!$F$6:$F$256,MATCH($A324,Market_Daily!$A$6:$A$256,0))*(1+INDEX(Market_Daily!$I$6:$I$256,MATCH($A324,Market_Daily!$A$6:$A$256,0))*($M324-$A324)/day_count_inr)/(1+INDEX(Market_Daily!$J$6:$J$256,MATCH($A324,Market_Daily!$A$6:$A$256,0))*($M324-$A324)/day_count_usd)))))</f>
        <v/>
      </c>
      <c r="AM324" s="8">
        <f>IF(OR($J324="INR",$R324&gt;1),"",$AL324-$X324)</f>
        <v/>
      </c>
      <c r="AN324" s="8">
        <f>$U324</f>
        <v/>
      </c>
      <c r="AO324" s="8">
        <f>$AN324*IF($J324="INR",1,$AL324)</f>
        <v/>
      </c>
      <c r="AP324" s="18">
        <f>$AO324-$V324</f>
        <v/>
      </c>
      <c r="AQ324" s="8">
        <f>IF(ABS($AP324)&lt;=tol_trade_inr,"PASS","FAIL")</f>
        <v/>
      </c>
    </row>
    <row r="325">
      <c r="A325" s="11" t="n">
        <v>44657</v>
      </c>
      <c r="B325" s="7" t="inlineStr">
        <is>
          <t>T01</t>
        </is>
      </c>
      <c r="C325" s="7" t="inlineStr">
        <is>
          <t>INVENTORY:L1</t>
        </is>
      </c>
      <c r="D325" s="7" t="inlineStr">
        <is>
          <t>INVENTORY</t>
        </is>
      </c>
      <c r="E325" s="7" t="inlineStr">
        <is>
          <t>physical</t>
        </is>
      </c>
      <c r="F325" s="7" t="inlineStr">
        <is>
          <t>L1</t>
        </is>
      </c>
      <c r="H325" s="7" t="inlineStr">
        <is>
          <t>zorba</t>
        </is>
      </c>
      <c r="I325" s="7" t="inlineStr">
        <is>
          <t>USEC_MUN</t>
        </is>
      </c>
      <c r="J325" s="7" t="inlineStr">
        <is>
          <t>INR</t>
        </is>
      </c>
      <c r="K325" s="7" t="inlineStr">
        <is>
          <t>fixed_unsettled</t>
        </is>
      </c>
      <c r="L325" s="7" t="inlineStr">
        <is>
          <t>PNL</t>
        </is>
      </c>
      <c r="N325" s="13" t="n">
        <v>840</v>
      </c>
      <c r="O325" s="6" t="n">
        <v>0</v>
      </c>
      <c r="P325" s="13" t="n">
        <v>0</v>
      </c>
      <c r="Q325" s="22" t="n">
        <v>30</v>
      </c>
      <c r="R325" s="6" t="n">
        <v>0</v>
      </c>
      <c r="U325" s="9" t="n">
        <v>167645153.74</v>
      </c>
      <c r="V325" s="9" t="n">
        <v>167645153.74</v>
      </c>
      <c r="W325" s="9" t="n">
        <v>199577.564</v>
      </c>
      <c r="X325" s="9" t="n">
        <v>75.8348</v>
      </c>
      <c r="Y325" s="8">
        <f>IF($I325="JEA_NSA","20ft","40ft")</f>
        <v/>
      </c>
      <c r="Z325" s="8">
        <f>IF($I325="JEA_NSA","nsa","mun")</f>
        <v/>
      </c>
      <c r="AA325" s="8">
        <f>INDEX(param_values,MATCH("container_payload_mt_"&amp;$Y325,param_keys,0))/INDEX(param_values,MATCH("container_payload_mt_"&amp;$Y325&amp;"_"&amp;$H325,param_keys,0))</f>
        <v/>
      </c>
      <c r="AB325" s="16">
        <f>INDEX(Market_Daily!$C$6:$C$256,MATCH($A325,Market_Daily!$A$6:$A$256,0))*INDEX(Market_Daily!$X$6:$Z$256,MATCH($A325,Market_Daily!$A$6:$A$256,0),MATCH("grade_factor_"&amp;$H325,Market_Daily!$X$5:$Z$5,0))</f>
        <v/>
      </c>
      <c r="AC325" s="16">
        <f>$AB325*(1+insurance_rate*insured_value_uplift)</f>
        <v/>
      </c>
      <c r="AD325" s="8">
        <f>(INDEX(Market_Daily!$F$6:$F$256,MATCH($A325,Market_Daily!$A$6:$A$256,0))*(1+INDEX(Market_Daily!$I$6:$I$256,MATCH($A325,Market_Daily!$A$6:$A$256,0))*$Q325/day_count_inr)/(1+INDEX(Market_Daily!$J$6:$J$256,MATCH($A325,Market_Daily!$A$6:$A$256,0))*$Q325/day_count_usd))</f>
        <v/>
      </c>
      <c r="AE325" s="18">
        <f>$AC325*$AD325</f>
        <v/>
      </c>
      <c r="AF325" s="18">
        <f>$AC325*INDEX(Market_Daily!$V$6:$V$256,MATCH($A325,Market_Daily!$A$6:$A$256,0))</f>
        <v/>
      </c>
      <c r="AG325" s="18">
        <f>$AF325*bcd_scrap_hs7602*(1+sws_rate_on_bcd)</f>
        <v/>
      </c>
      <c r="AH325" s="18">
        <f>INDEX(param_values,MATCH("port_cf_charges_inr_t_"&amp;$Z325,param_keys,0))*$AA325+IF(INDEX(param_values,MATCH(IF($I325="JEA_NSA","psic_required_uae_origin","psic_required_safe_origin_designated_port"),param_keys,0)),psic_cost_usd_per_box*INDEX(Market_Daily!$F$6:$F$256,MATCH($A325,Market_Daily!$A$6:$A$256,0))/INDEX(param_values,MATCH("container_payload_mt_20ft_"&amp;$H325,param_keys,0)),0)</f>
        <v/>
      </c>
      <c r="AI325" s="18">
        <f>IF(igst_itc_available,0,($AF325+$AG325)*igst_rate_hs7602)</f>
        <v/>
      </c>
      <c r="AJ325" s="18">
        <f>$AE325+$AG325+$AH325+$AI325</f>
        <v/>
      </c>
      <c r="AK325" s="7" t="inlineStr">
        <is>
          <t>DERIVED_IN_WORKBOOK</t>
        </is>
      </c>
      <c r="AL325" s="8">
        <f>IF($J325="INR",1,IF($M325&lt;$A325,INDEX(Market_Daily!$F$6:$F$256,MATCH($M325,Market_Daily!$A$6:$A$256,1)),IF($M325=$A325,INDEX(Market_Daily!$F$6:$F$256,MATCH($A325,Market_Daily!$A$6:$A$256,0)),(INDEX(Market_Daily!$F$6:$F$256,MATCH($A325,Market_Daily!$A$6:$A$256,0))*(1+INDEX(Market_Daily!$I$6:$I$256,MATCH($A325,Market_Daily!$A$6:$A$256,0))*($M325-$A325)/day_count_inr)/(1+INDEX(Market_Daily!$J$6:$J$256,MATCH($A325,Market_Daily!$A$6:$A$256,0))*($M325-$A325)/day_count_usd)))))</f>
        <v/>
      </c>
      <c r="AM325" s="8">
        <f>IF(OR($J325="INR",$R325&gt;1),"",$AL325-$X325)</f>
        <v/>
      </c>
      <c r="AN325" s="8">
        <f>$N325*$AJ325</f>
        <v/>
      </c>
      <c r="AO325" s="8">
        <f>$AN325</f>
        <v/>
      </c>
      <c r="AP325" s="18">
        <f>$AO325-$V325</f>
        <v/>
      </c>
      <c r="AQ325" s="8">
        <f>IF(ABS($AP325)&lt;=tol_trade_inr,"PASS","FAIL")</f>
        <v/>
      </c>
    </row>
    <row r="326">
      <c r="A326" s="11" t="n">
        <v>44657</v>
      </c>
      <c r="B326" s="7" t="inlineStr">
        <is>
          <t>T01</t>
        </is>
      </c>
      <c r="C326" s="7" t="inlineStr">
        <is>
          <t>INVENTORY:L2</t>
        </is>
      </c>
      <c r="D326" s="7" t="inlineStr">
        <is>
          <t>INVENTORY</t>
        </is>
      </c>
      <c r="E326" s="7" t="inlineStr">
        <is>
          <t>physical</t>
        </is>
      </c>
      <c r="F326" s="7" t="inlineStr">
        <is>
          <t>L2</t>
        </is>
      </c>
      <c r="H326" s="7" t="inlineStr">
        <is>
          <t>zorba</t>
        </is>
      </c>
      <c r="I326" s="7" t="inlineStr">
        <is>
          <t>USEC_MUN</t>
        </is>
      </c>
      <c r="J326" s="7" t="inlineStr">
        <is>
          <t>INR</t>
        </is>
      </c>
      <c r="K326" s="7" t="inlineStr">
        <is>
          <t>fixed_unsettled</t>
        </is>
      </c>
      <c r="L326" s="7" t="inlineStr">
        <is>
          <t>PNL</t>
        </is>
      </c>
      <c r="N326" s="13" t="n">
        <v>840</v>
      </c>
      <c r="O326" s="6" t="n">
        <v>0</v>
      </c>
      <c r="P326" s="13" t="n">
        <v>0</v>
      </c>
      <c r="Q326" s="22" t="n">
        <v>30</v>
      </c>
      <c r="R326" s="6" t="n">
        <v>0</v>
      </c>
      <c r="U326" s="9" t="n">
        <v>167645153.74</v>
      </c>
      <c r="V326" s="9" t="n">
        <v>167645153.74</v>
      </c>
      <c r="W326" s="9" t="n">
        <v>199577.564</v>
      </c>
      <c r="X326" s="9" t="n">
        <v>75.8348</v>
      </c>
      <c r="Y326" s="8">
        <f>IF($I326="JEA_NSA","20ft","40ft")</f>
        <v/>
      </c>
      <c r="Z326" s="8">
        <f>IF($I326="JEA_NSA","nsa","mun")</f>
        <v/>
      </c>
      <c r="AA326" s="8">
        <f>INDEX(param_values,MATCH("container_payload_mt_"&amp;$Y326,param_keys,0))/INDEX(param_values,MATCH("container_payload_mt_"&amp;$Y326&amp;"_"&amp;$H326,param_keys,0))</f>
        <v/>
      </c>
      <c r="AB326" s="16">
        <f>INDEX(Market_Daily!$C$6:$C$256,MATCH($A326,Market_Daily!$A$6:$A$256,0))*INDEX(Market_Daily!$X$6:$Z$256,MATCH($A326,Market_Daily!$A$6:$A$256,0),MATCH("grade_factor_"&amp;$H326,Market_Daily!$X$5:$Z$5,0))</f>
        <v/>
      </c>
      <c r="AC326" s="16">
        <f>$AB326*(1+insurance_rate*insured_value_uplift)</f>
        <v/>
      </c>
      <c r="AD326" s="8">
        <f>(INDEX(Market_Daily!$F$6:$F$256,MATCH($A326,Market_Daily!$A$6:$A$256,0))*(1+INDEX(Market_Daily!$I$6:$I$256,MATCH($A326,Market_Daily!$A$6:$A$256,0))*$Q326/day_count_inr)/(1+INDEX(Market_Daily!$J$6:$J$256,MATCH($A326,Market_Daily!$A$6:$A$256,0))*$Q326/day_count_usd))</f>
        <v/>
      </c>
      <c r="AE326" s="18">
        <f>$AC326*$AD326</f>
        <v/>
      </c>
      <c r="AF326" s="18">
        <f>$AC326*INDEX(Market_Daily!$V$6:$V$256,MATCH($A326,Market_Daily!$A$6:$A$256,0))</f>
        <v/>
      </c>
      <c r="AG326" s="18">
        <f>$AF326*bcd_scrap_hs7602*(1+sws_rate_on_bcd)</f>
        <v/>
      </c>
      <c r="AH326" s="18">
        <f>INDEX(param_values,MATCH("port_cf_charges_inr_t_"&amp;$Z326,param_keys,0))*$AA326+IF(INDEX(param_values,MATCH(IF($I326="JEA_NSA","psic_required_uae_origin","psic_required_safe_origin_designated_port"),param_keys,0)),psic_cost_usd_per_box*INDEX(Market_Daily!$F$6:$F$256,MATCH($A326,Market_Daily!$A$6:$A$256,0))/INDEX(param_values,MATCH("container_payload_mt_20ft_"&amp;$H326,param_keys,0)),0)</f>
        <v/>
      </c>
      <c r="AI326" s="18">
        <f>IF(igst_itc_available,0,($AF326+$AG326)*igst_rate_hs7602)</f>
        <v/>
      </c>
      <c r="AJ326" s="18">
        <f>$AE326+$AG326+$AH326+$AI326</f>
        <v/>
      </c>
      <c r="AK326" s="7" t="inlineStr">
        <is>
          <t>DERIVED_IN_WORKBOOK</t>
        </is>
      </c>
      <c r="AL326" s="8">
        <f>IF($J326="INR",1,IF($M326&lt;$A326,INDEX(Market_Daily!$F$6:$F$256,MATCH($M326,Market_Daily!$A$6:$A$256,1)),IF($M326=$A326,INDEX(Market_Daily!$F$6:$F$256,MATCH($A326,Market_Daily!$A$6:$A$256,0)),(INDEX(Market_Daily!$F$6:$F$256,MATCH($A326,Market_Daily!$A$6:$A$256,0))*(1+INDEX(Market_Daily!$I$6:$I$256,MATCH($A326,Market_Daily!$A$6:$A$256,0))*($M326-$A326)/day_count_inr)/(1+INDEX(Market_Daily!$J$6:$J$256,MATCH($A326,Market_Daily!$A$6:$A$256,0))*($M326-$A326)/day_count_usd)))))</f>
        <v/>
      </c>
      <c r="AM326" s="8">
        <f>IF(OR($J326="INR",$R326&gt;1),"",$AL326-$X326)</f>
        <v/>
      </c>
      <c r="AN326" s="8">
        <f>$N326*$AJ326</f>
        <v/>
      </c>
      <c r="AO326" s="8">
        <f>$AN326</f>
        <v/>
      </c>
      <c r="AP326" s="18">
        <f>$AO326-$V326</f>
        <v/>
      </c>
      <c r="AQ326" s="8">
        <f>IF(ABS($AP326)&lt;=tol_trade_inr,"PASS","FAIL")</f>
        <v/>
      </c>
    </row>
    <row r="327">
      <c r="A327" s="11" t="n">
        <v>44657</v>
      </c>
      <c r="B327" s="7" t="inlineStr">
        <is>
          <t>T01</t>
        </is>
      </c>
      <c r="C327" s="7" t="inlineStr">
        <is>
          <t>INVENTORY:L3</t>
        </is>
      </c>
      <c r="D327" s="7" t="inlineStr">
        <is>
          <t>INVENTORY</t>
        </is>
      </c>
      <c r="E327" s="7" t="inlineStr">
        <is>
          <t>physical</t>
        </is>
      </c>
      <c r="F327" s="7" t="inlineStr">
        <is>
          <t>L3</t>
        </is>
      </c>
      <c r="H327" s="7" t="inlineStr">
        <is>
          <t>zorba</t>
        </is>
      </c>
      <c r="I327" s="7" t="inlineStr">
        <is>
          <t>USEC_MUN</t>
        </is>
      </c>
      <c r="J327" s="7" t="inlineStr">
        <is>
          <t>INR</t>
        </is>
      </c>
      <c r="K327" s="7" t="inlineStr">
        <is>
          <t>fixed_unsettled</t>
        </is>
      </c>
      <c r="L327" s="7" t="inlineStr">
        <is>
          <t>PNL</t>
        </is>
      </c>
      <c r="N327" s="13" t="n">
        <v>840</v>
      </c>
      <c r="O327" s="6" t="n">
        <v>0</v>
      </c>
      <c r="P327" s="13" t="n">
        <v>0</v>
      </c>
      <c r="Q327" s="22" t="n">
        <v>30</v>
      </c>
      <c r="R327" s="6" t="n">
        <v>0</v>
      </c>
      <c r="U327" s="9" t="n">
        <v>167645153.74</v>
      </c>
      <c r="V327" s="9" t="n">
        <v>167645153.74</v>
      </c>
      <c r="W327" s="9" t="n">
        <v>199577.564</v>
      </c>
      <c r="X327" s="9" t="n">
        <v>75.8348</v>
      </c>
      <c r="Y327" s="8">
        <f>IF($I327="JEA_NSA","20ft","40ft")</f>
        <v/>
      </c>
      <c r="Z327" s="8">
        <f>IF($I327="JEA_NSA","nsa","mun")</f>
        <v/>
      </c>
      <c r="AA327" s="8">
        <f>INDEX(param_values,MATCH("container_payload_mt_"&amp;$Y327,param_keys,0))/INDEX(param_values,MATCH("container_payload_mt_"&amp;$Y327&amp;"_"&amp;$H327,param_keys,0))</f>
        <v/>
      </c>
      <c r="AB327" s="16">
        <f>INDEX(Market_Daily!$C$6:$C$256,MATCH($A327,Market_Daily!$A$6:$A$256,0))*INDEX(Market_Daily!$X$6:$Z$256,MATCH($A327,Market_Daily!$A$6:$A$256,0),MATCH("grade_factor_"&amp;$H327,Market_Daily!$X$5:$Z$5,0))</f>
        <v/>
      </c>
      <c r="AC327" s="16">
        <f>$AB327*(1+insurance_rate*insured_value_uplift)</f>
        <v/>
      </c>
      <c r="AD327" s="8">
        <f>(INDEX(Market_Daily!$F$6:$F$256,MATCH($A327,Market_Daily!$A$6:$A$256,0))*(1+INDEX(Market_Daily!$I$6:$I$256,MATCH($A327,Market_Daily!$A$6:$A$256,0))*$Q327/day_count_inr)/(1+INDEX(Market_Daily!$J$6:$J$256,MATCH($A327,Market_Daily!$A$6:$A$256,0))*$Q327/day_count_usd))</f>
        <v/>
      </c>
      <c r="AE327" s="18">
        <f>$AC327*$AD327</f>
        <v/>
      </c>
      <c r="AF327" s="18">
        <f>$AC327*INDEX(Market_Daily!$V$6:$V$256,MATCH($A327,Market_Daily!$A$6:$A$256,0))</f>
        <v/>
      </c>
      <c r="AG327" s="18">
        <f>$AF327*bcd_scrap_hs7602*(1+sws_rate_on_bcd)</f>
        <v/>
      </c>
      <c r="AH327" s="18">
        <f>INDEX(param_values,MATCH("port_cf_charges_inr_t_"&amp;$Z327,param_keys,0))*$AA327+IF(INDEX(param_values,MATCH(IF($I327="JEA_NSA","psic_required_uae_origin","psic_required_safe_origin_designated_port"),param_keys,0)),psic_cost_usd_per_box*INDEX(Market_Daily!$F$6:$F$256,MATCH($A327,Market_Daily!$A$6:$A$256,0))/INDEX(param_values,MATCH("container_payload_mt_20ft_"&amp;$H327,param_keys,0)),0)</f>
        <v/>
      </c>
      <c r="AI327" s="18">
        <f>IF(igst_itc_available,0,($AF327+$AG327)*igst_rate_hs7602)</f>
        <v/>
      </c>
      <c r="AJ327" s="18">
        <f>$AE327+$AG327+$AH327+$AI327</f>
        <v/>
      </c>
      <c r="AK327" s="7" t="inlineStr">
        <is>
          <t>DERIVED_IN_WORKBOOK</t>
        </is>
      </c>
      <c r="AL327" s="8">
        <f>IF($J327="INR",1,IF($M327&lt;$A327,INDEX(Market_Daily!$F$6:$F$256,MATCH($M327,Market_Daily!$A$6:$A$256,1)),IF($M327=$A327,INDEX(Market_Daily!$F$6:$F$256,MATCH($A327,Market_Daily!$A$6:$A$256,0)),(INDEX(Market_Daily!$F$6:$F$256,MATCH($A327,Market_Daily!$A$6:$A$256,0))*(1+INDEX(Market_Daily!$I$6:$I$256,MATCH($A327,Market_Daily!$A$6:$A$256,0))*($M327-$A327)/day_count_inr)/(1+INDEX(Market_Daily!$J$6:$J$256,MATCH($A327,Market_Daily!$A$6:$A$256,0))*($M327-$A327)/day_count_usd)))))</f>
        <v/>
      </c>
      <c r="AM327" s="8">
        <f>IF(OR($J327="INR",$R327&gt;1),"",$AL327-$X327)</f>
        <v/>
      </c>
      <c r="AN327" s="8">
        <f>$N327*$AJ327</f>
        <v/>
      </c>
      <c r="AO327" s="8">
        <f>$AN327</f>
        <v/>
      </c>
      <c r="AP327" s="18">
        <f>$AO327-$V327</f>
        <v/>
      </c>
      <c r="AQ327" s="8">
        <f>IF(ABS($AP327)&lt;=tol_trade_inr,"PASS","FAIL")</f>
        <v/>
      </c>
    </row>
    <row r="328">
      <c r="A328" s="11" t="n">
        <v>44657</v>
      </c>
      <c r="B328" s="7" t="inlineStr">
        <is>
          <t>T01</t>
        </is>
      </c>
      <c r="C328" s="7" t="inlineStr">
        <is>
          <t>MCX:T01-MCX-1</t>
        </is>
      </c>
      <c r="D328" s="7" t="inlineStr">
        <is>
          <t>MCX</t>
        </is>
      </c>
      <c r="E328" s="7" t="inlineStr">
        <is>
          <t>mcx</t>
        </is>
      </c>
      <c r="H328" s="7" t="inlineStr">
        <is>
          <t>zorba</t>
        </is>
      </c>
      <c r="I328" s="7" t="inlineStr">
        <is>
          <t>USEC_MUN</t>
        </is>
      </c>
      <c r="J328" s="7" t="inlineStr">
        <is>
          <t>INR</t>
        </is>
      </c>
      <c r="K328" s="7" t="inlineStr">
        <is>
          <t>partially_fixed</t>
        </is>
      </c>
      <c r="L328" s="7" t="inlineStr">
        <is>
          <t>PNL</t>
        </is>
      </c>
      <c r="M328" s="11" t="n">
        <v>44671</v>
      </c>
      <c r="N328" s="13" t="n">
        <v>0</v>
      </c>
      <c r="O328" s="6" t="n">
        <v>-200</v>
      </c>
      <c r="P328" s="13" t="n">
        <v>0</v>
      </c>
      <c r="Q328" s="22" t="n">
        <v>30</v>
      </c>
      <c r="R328" s="6" t="n">
        <v>29</v>
      </c>
      <c r="U328" s="9" t="n">
        <v>0</v>
      </c>
      <c r="V328" s="9" t="n">
        <v>0</v>
      </c>
      <c r="X328" s="9" t="n">
        <v>75.8348</v>
      </c>
      <c r="AK328" s="7" t="inlineStr">
        <is>
          <t>PYTHON_MULTI_FLOW_LEG</t>
        </is>
      </c>
      <c r="AL328" s="8">
        <f>IF($J328="INR",1,IF($M328&lt;$A328,INDEX(Market_Daily!$F$6:$F$256,MATCH($M328,Market_Daily!$A$6:$A$256,1)),IF($M328=$A328,INDEX(Market_Daily!$F$6:$F$256,MATCH($A328,Market_Daily!$A$6:$A$256,0)),(INDEX(Market_Daily!$F$6:$F$256,MATCH($A328,Market_Daily!$A$6:$A$256,0))*(1+INDEX(Market_Daily!$I$6:$I$256,MATCH($A328,Market_Daily!$A$6:$A$256,0))*($M328-$A328)/day_count_inr)/(1+INDEX(Market_Daily!$J$6:$J$256,MATCH($A328,Market_Daily!$A$6:$A$256,0))*($M328-$A328)/day_count_usd)))))</f>
        <v/>
      </c>
      <c r="AM328" s="8">
        <f>IF(OR($J328="INR",$R328&gt;1),"",$AL328-$X328)</f>
        <v/>
      </c>
      <c r="AN328" s="8">
        <f>$U328</f>
        <v/>
      </c>
      <c r="AO328" s="8">
        <f>$V328</f>
        <v/>
      </c>
      <c r="AP328" s="18">
        <f>$AO328-$V328</f>
        <v/>
      </c>
      <c r="AQ328" s="8">
        <f>IF(ABS($AP328)&lt;=tol_trade_inr,"PASS","FAIL")</f>
        <v/>
      </c>
    </row>
    <row r="329">
      <c r="A329" s="11" t="n">
        <v>44657</v>
      </c>
      <c r="B329" s="7" t="inlineStr">
        <is>
          <t>T01</t>
        </is>
      </c>
      <c r="C329" s="7" t="inlineStr">
        <is>
          <t>MCX:T01-MCX-2</t>
        </is>
      </c>
      <c r="D329" s="7" t="inlineStr">
        <is>
          <t>MCX</t>
        </is>
      </c>
      <c r="E329" s="7" t="inlineStr">
        <is>
          <t>mcx</t>
        </is>
      </c>
      <c r="H329" s="7" t="inlineStr">
        <is>
          <t>zorba</t>
        </is>
      </c>
      <c r="I329" s="7" t="inlineStr">
        <is>
          <t>USEC_MUN</t>
        </is>
      </c>
      <c r="J329" s="7" t="inlineStr">
        <is>
          <t>INR</t>
        </is>
      </c>
      <c r="K329" s="7" t="inlineStr">
        <is>
          <t>partially_fixed</t>
        </is>
      </c>
      <c r="L329" s="7" t="inlineStr">
        <is>
          <t>PNL</t>
        </is>
      </c>
      <c r="M329" s="11" t="n">
        <v>44671</v>
      </c>
      <c r="N329" s="13" t="n">
        <v>0</v>
      </c>
      <c r="O329" s="6" t="n">
        <v>-100</v>
      </c>
      <c r="P329" s="13" t="n">
        <v>0</v>
      </c>
      <c r="Q329" s="22" t="n">
        <v>30</v>
      </c>
      <c r="R329" s="6" t="n">
        <v>29</v>
      </c>
      <c r="U329" s="9" t="n">
        <v>0</v>
      </c>
      <c r="V329" s="9" t="n">
        <v>0</v>
      </c>
      <c r="X329" s="9" t="n">
        <v>75.8348</v>
      </c>
      <c r="AK329" s="7" t="inlineStr">
        <is>
          <t>PYTHON_MULTI_FLOW_LEG</t>
        </is>
      </c>
      <c r="AL329" s="8">
        <f>IF($J329="INR",1,IF($M329&lt;$A329,INDEX(Market_Daily!$F$6:$F$256,MATCH($M329,Market_Daily!$A$6:$A$256,1)),IF($M329=$A329,INDEX(Market_Daily!$F$6:$F$256,MATCH($A329,Market_Daily!$A$6:$A$256,0)),(INDEX(Market_Daily!$F$6:$F$256,MATCH($A329,Market_Daily!$A$6:$A$256,0))*(1+INDEX(Market_Daily!$I$6:$I$256,MATCH($A329,Market_Daily!$A$6:$A$256,0))*($M329-$A329)/day_count_inr)/(1+INDEX(Market_Daily!$J$6:$J$256,MATCH($A329,Market_Daily!$A$6:$A$256,0))*($M329-$A329)/day_count_usd)))))</f>
        <v/>
      </c>
      <c r="AM329" s="8">
        <f>IF(OR($J329="INR",$R329&gt;1),"",$AL329-$X329)</f>
        <v/>
      </c>
      <c r="AN329" s="8">
        <f>$U329</f>
        <v/>
      </c>
      <c r="AO329" s="8">
        <f>$V329</f>
        <v/>
      </c>
      <c r="AP329" s="18">
        <f>$AO329-$V329</f>
        <v/>
      </c>
      <c r="AQ329" s="8">
        <f>IF(ABS($AP329)&lt;=tol_trade_inr,"PASS","FAIL")</f>
        <v/>
      </c>
    </row>
    <row r="330">
      <c r="A330" s="11" t="n">
        <v>44657</v>
      </c>
      <c r="B330" s="7" t="inlineStr">
        <is>
          <t>T01</t>
        </is>
      </c>
      <c r="C330" s="7" t="inlineStr">
        <is>
          <t>PORT:L1</t>
        </is>
      </c>
      <c r="D330" s="7" t="inlineStr">
        <is>
          <t>PORT</t>
        </is>
      </c>
      <c r="E330" s="7" t="inlineStr">
        <is>
          <t>physical</t>
        </is>
      </c>
      <c r="F330" s="7" t="inlineStr">
        <is>
          <t>L1</t>
        </is>
      </c>
      <c r="H330" s="7" t="inlineStr">
        <is>
          <t>zorba</t>
        </is>
      </c>
      <c r="I330" s="7" t="inlineStr">
        <is>
          <t>USEC_MUN</t>
        </is>
      </c>
      <c r="J330" s="7" t="inlineStr">
        <is>
          <t>INR</t>
        </is>
      </c>
      <c r="K330" s="7" t="inlineStr">
        <is>
          <t>fixed_unsettled</t>
        </is>
      </c>
      <c r="L330" s="7" t="inlineStr">
        <is>
          <t>PNL</t>
        </is>
      </c>
      <c r="M330" s="11" t="n">
        <v>44699</v>
      </c>
      <c r="N330" s="13" t="n">
        <v>0</v>
      </c>
      <c r="O330" s="6" t="n">
        <v>0</v>
      </c>
      <c r="P330" s="13" t="n">
        <v>0</v>
      </c>
      <c r="Q330" s="22" t="n">
        <v>30</v>
      </c>
      <c r="R330" s="6" t="n">
        <v>1</v>
      </c>
      <c r="U330" s="9" t="n">
        <v>-2226000</v>
      </c>
      <c r="V330" s="9" t="n">
        <v>-2226000</v>
      </c>
      <c r="X330" s="9" t="n">
        <v>75.8348</v>
      </c>
      <c r="AK330" s="7" t="inlineStr">
        <is>
          <t>PYTHON_LIFECYCLE</t>
        </is>
      </c>
      <c r="AL330" s="8">
        <f>IF($J330="INR",1,IF($M330&lt;$A330,INDEX(Market_Daily!$F$6:$F$256,MATCH($M330,Market_Daily!$A$6:$A$256,1)),IF($M330=$A330,INDEX(Market_Daily!$F$6:$F$256,MATCH($A330,Market_Daily!$A$6:$A$256,0)),(INDEX(Market_Daily!$F$6:$F$256,MATCH($A330,Market_Daily!$A$6:$A$256,0))*(1+INDEX(Market_Daily!$I$6:$I$256,MATCH($A330,Market_Daily!$A$6:$A$256,0))*($M330-$A330)/day_count_inr)/(1+INDEX(Market_Daily!$J$6:$J$256,MATCH($A330,Market_Daily!$A$6:$A$256,0))*($M330-$A330)/day_count_usd)))))</f>
        <v/>
      </c>
      <c r="AM330" s="8">
        <f>IF(OR($J330="INR",$R330&gt;1),"",$AL330-$X330)</f>
        <v/>
      </c>
      <c r="AN330" s="8">
        <f>$U330</f>
        <v/>
      </c>
      <c r="AO330" s="8">
        <f>$AN330*IF($J330="INR",1,$AL330)</f>
        <v/>
      </c>
      <c r="AP330" s="18">
        <f>$AO330-$V330</f>
        <v/>
      </c>
      <c r="AQ330" s="8">
        <f>IF(ABS($AP330)&lt;=tol_trade_inr,"PASS","FAIL")</f>
        <v/>
      </c>
    </row>
    <row r="331">
      <c r="A331" s="11" t="n">
        <v>44657</v>
      </c>
      <c r="B331" s="7" t="inlineStr">
        <is>
          <t>T01</t>
        </is>
      </c>
      <c r="C331" s="7" t="inlineStr">
        <is>
          <t>PORT:L2</t>
        </is>
      </c>
      <c r="D331" s="7" t="inlineStr">
        <is>
          <t>PORT</t>
        </is>
      </c>
      <c r="E331" s="7" t="inlineStr">
        <is>
          <t>physical</t>
        </is>
      </c>
      <c r="F331" s="7" t="inlineStr">
        <is>
          <t>L2</t>
        </is>
      </c>
      <c r="H331" s="7" t="inlineStr">
        <is>
          <t>zorba</t>
        </is>
      </c>
      <c r="I331" s="7" t="inlineStr">
        <is>
          <t>USEC_MUN</t>
        </is>
      </c>
      <c r="J331" s="7" t="inlineStr">
        <is>
          <t>INR</t>
        </is>
      </c>
      <c r="K331" s="7" t="inlineStr">
        <is>
          <t>fixed_unsettled</t>
        </is>
      </c>
      <c r="L331" s="7" t="inlineStr">
        <is>
          <t>PNL</t>
        </is>
      </c>
      <c r="M331" s="11" t="n">
        <v>44705</v>
      </c>
      <c r="N331" s="13" t="n">
        <v>0</v>
      </c>
      <c r="O331" s="6" t="n">
        <v>0</v>
      </c>
      <c r="P331" s="13" t="n">
        <v>0</v>
      </c>
      <c r="Q331" s="22" t="n">
        <v>30</v>
      </c>
      <c r="R331" s="6" t="n">
        <v>1</v>
      </c>
      <c r="U331" s="9" t="n">
        <v>-2226000</v>
      </c>
      <c r="V331" s="9" t="n">
        <v>-2226000</v>
      </c>
      <c r="X331" s="9" t="n">
        <v>75.8348</v>
      </c>
      <c r="AK331" s="7" t="inlineStr">
        <is>
          <t>PYTHON_LIFECYCLE</t>
        </is>
      </c>
      <c r="AL331" s="8">
        <f>IF($J331="INR",1,IF($M331&lt;$A331,INDEX(Market_Daily!$F$6:$F$256,MATCH($M331,Market_Daily!$A$6:$A$256,1)),IF($M331=$A331,INDEX(Market_Daily!$F$6:$F$256,MATCH($A331,Market_Daily!$A$6:$A$256,0)),(INDEX(Market_Daily!$F$6:$F$256,MATCH($A331,Market_Daily!$A$6:$A$256,0))*(1+INDEX(Market_Daily!$I$6:$I$256,MATCH($A331,Market_Daily!$A$6:$A$256,0))*($M331-$A331)/day_count_inr)/(1+INDEX(Market_Daily!$J$6:$J$256,MATCH($A331,Market_Daily!$A$6:$A$256,0))*($M331-$A331)/day_count_usd)))))</f>
        <v/>
      </c>
      <c r="AM331" s="8">
        <f>IF(OR($J331="INR",$R331&gt;1),"",$AL331-$X331)</f>
        <v/>
      </c>
      <c r="AN331" s="8">
        <f>$U331</f>
        <v/>
      </c>
      <c r="AO331" s="8">
        <f>$AN331*IF($J331="INR",1,$AL331)</f>
        <v/>
      </c>
      <c r="AP331" s="18">
        <f>$AO331-$V331</f>
        <v/>
      </c>
      <c r="AQ331" s="8">
        <f>IF(ABS($AP331)&lt;=tol_trade_inr,"PASS","FAIL")</f>
        <v/>
      </c>
    </row>
    <row r="332">
      <c r="A332" s="11" t="n">
        <v>44657</v>
      </c>
      <c r="B332" s="7" t="inlineStr">
        <is>
          <t>T01</t>
        </is>
      </c>
      <c r="C332" s="7" t="inlineStr">
        <is>
          <t>PORT:L3</t>
        </is>
      </c>
      <c r="D332" s="7" t="inlineStr">
        <is>
          <t>PORT</t>
        </is>
      </c>
      <c r="E332" s="7" t="inlineStr">
        <is>
          <t>physical</t>
        </is>
      </c>
      <c r="F332" s="7" t="inlineStr">
        <is>
          <t>L3</t>
        </is>
      </c>
      <c r="H332" s="7" t="inlineStr">
        <is>
          <t>zorba</t>
        </is>
      </c>
      <c r="I332" s="7" t="inlineStr">
        <is>
          <t>USEC_MUN</t>
        </is>
      </c>
      <c r="J332" s="7" t="inlineStr">
        <is>
          <t>INR</t>
        </is>
      </c>
      <c r="K332" s="7" t="inlineStr">
        <is>
          <t>fixed_unsettled</t>
        </is>
      </c>
      <c r="L332" s="7" t="inlineStr">
        <is>
          <t>PNL</t>
        </is>
      </c>
      <c r="M332" s="11" t="n">
        <v>44708</v>
      </c>
      <c r="N332" s="13" t="n">
        <v>0</v>
      </c>
      <c r="O332" s="6" t="n">
        <v>0</v>
      </c>
      <c r="P332" s="13" t="n">
        <v>0</v>
      </c>
      <c r="Q332" s="22" t="n">
        <v>30</v>
      </c>
      <c r="R332" s="6" t="n">
        <v>1</v>
      </c>
      <c r="U332" s="9" t="n">
        <v>-2226000</v>
      </c>
      <c r="V332" s="9" t="n">
        <v>-2226000</v>
      </c>
      <c r="X332" s="9" t="n">
        <v>75.8348</v>
      </c>
      <c r="AK332" s="7" t="inlineStr">
        <is>
          <t>PYTHON_LIFECYCLE</t>
        </is>
      </c>
      <c r="AL332" s="8">
        <f>IF($J332="INR",1,IF($M332&lt;$A332,INDEX(Market_Daily!$F$6:$F$256,MATCH($M332,Market_Daily!$A$6:$A$256,1)),IF($M332=$A332,INDEX(Market_Daily!$F$6:$F$256,MATCH($A332,Market_Daily!$A$6:$A$256,0)),(INDEX(Market_Daily!$F$6:$F$256,MATCH($A332,Market_Daily!$A$6:$A$256,0))*(1+INDEX(Market_Daily!$I$6:$I$256,MATCH($A332,Market_Daily!$A$6:$A$256,0))*($M332-$A332)/day_count_inr)/(1+INDEX(Market_Daily!$J$6:$J$256,MATCH($A332,Market_Daily!$A$6:$A$256,0))*($M332-$A332)/day_count_usd)))))</f>
        <v/>
      </c>
      <c r="AM332" s="8">
        <f>IF(OR($J332="INR",$R332&gt;1),"",$AL332-$X332)</f>
        <v/>
      </c>
      <c r="AN332" s="8">
        <f>$U332</f>
        <v/>
      </c>
      <c r="AO332" s="8">
        <f>$AN332*IF($J332="INR",1,$AL332)</f>
        <v/>
      </c>
      <c r="AP332" s="18">
        <f>$AO332-$V332</f>
        <v/>
      </c>
      <c r="AQ332" s="8">
        <f>IF(ABS($AP332)&lt;=tol_trade_inr,"PASS","FAIL")</f>
        <v/>
      </c>
    </row>
    <row r="333">
      <c r="A333" s="11" t="n">
        <v>44657</v>
      </c>
      <c r="B333" s="7" t="inlineStr">
        <is>
          <t>T01</t>
        </is>
      </c>
      <c r="C333" s="7" t="inlineStr">
        <is>
          <t>PURCHASE:L2</t>
        </is>
      </c>
      <c r="D333" s="7" t="inlineStr">
        <is>
          <t>PURCHASE</t>
        </is>
      </c>
      <c r="E333" s="7" t="inlineStr">
        <is>
          <t>physical</t>
        </is>
      </c>
      <c r="F333" s="7" t="inlineStr">
        <is>
          <t>L2</t>
        </is>
      </c>
      <c r="G333" s="7" t="inlineStr">
        <is>
          <t>SUP_USEC_01</t>
        </is>
      </c>
      <c r="H333" s="7" t="inlineStr">
        <is>
          <t>zorba</t>
        </is>
      </c>
      <c r="I333" s="7" t="inlineStr">
        <is>
          <t>USEC_MUN</t>
        </is>
      </c>
      <c r="J333" s="7" t="inlineStr">
        <is>
          <t>USD</t>
        </is>
      </c>
      <c r="K333" s="7" t="inlineStr">
        <is>
          <t>fixed_unsettled</t>
        </is>
      </c>
      <c r="L333" s="7" t="inlineStr">
        <is>
          <t>PNL</t>
        </is>
      </c>
      <c r="M333" s="11" t="n">
        <v>44662</v>
      </c>
      <c r="N333" s="13" t="n">
        <v>840</v>
      </c>
      <c r="O333" s="6" t="n">
        <v>0</v>
      </c>
      <c r="P333" s="13" t="n">
        <v>0</v>
      </c>
      <c r="Q333" s="22" t="n">
        <v>30</v>
      </c>
      <c r="R333" s="6" t="n">
        <v>1</v>
      </c>
      <c r="U333" s="9" t="n">
        <v>-1965600</v>
      </c>
      <c r="V333" s="9" t="n">
        <v>-149127147.23</v>
      </c>
      <c r="X333" s="9" t="n">
        <v>75.8685</v>
      </c>
      <c r="AK333" s="7" t="inlineStr">
        <is>
          <t>PYTHON_LIFECYCLE</t>
        </is>
      </c>
      <c r="AL333" s="8">
        <f>IF($J333="INR",1,IF($M333&lt;$A333,INDEX(Market_Daily!$F$6:$F$256,MATCH($M333,Market_Daily!$A$6:$A$256,1)),IF($M333=$A333,INDEX(Market_Daily!$F$6:$F$256,MATCH($A333,Market_Daily!$A$6:$A$256,0)),(INDEX(Market_Daily!$F$6:$F$256,MATCH($A333,Market_Daily!$A$6:$A$256,0))*(1+INDEX(Market_Daily!$I$6:$I$256,MATCH($A333,Market_Daily!$A$6:$A$256,0))*($M333-$A333)/day_count_inr)/(1+INDEX(Market_Daily!$J$6:$J$256,MATCH($A333,Market_Daily!$A$6:$A$256,0))*($M333-$A333)/day_count_usd)))))</f>
        <v/>
      </c>
      <c r="AM333" s="8">
        <f>IF(OR($J333="INR",$R333&gt;1),"",$AL333-$X333)</f>
        <v/>
      </c>
      <c r="AN333" s="8">
        <f>$U333</f>
        <v/>
      </c>
      <c r="AO333" s="8">
        <f>$AN333*IF($J333="INR",1,$AL333)</f>
        <v/>
      </c>
      <c r="AP333" s="18">
        <f>$AO333-$V333</f>
        <v/>
      </c>
      <c r="AQ333" s="8">
        <f>IF(ABS($AP333)&lt;=tol_trade_inr,"PASS","FAIL")</f>
        <v/>
      </c>
    </row>
    <row r="334">
      <c r="A334" s="11" t="n">
        <v>44657</v>
      </c>
      <c r="B334" s="7" t="inlineStr">
        <is>
          <t>T01</t>
        </is>
      </c>
      <c r="C334" s="7" t="inlineStr">
        <is>
          <t>PURCHASE:L3</t>
        </is>
      </c>
      <c r="D334" s="7" t="inlineStr">
        <is>
          <t>PURCHASE</t>
        </is>
      </c>
      <c r="E334" s="7" t="inlineStr">
        <is>
          <t>physical</t>
        </is>
      </c>
      <c r="F334" s="7" t="inlineStr">
        <is>
          <t>L3</t>
        </is>
      </c>
      <c r="G334" s="7" t="inlineStr">
        <is>
          <t>SUP_USEC_01</t>
        </is>
      </c>
      <c r="H334" s="7" t="inlineStr">
        <is>
          <t>zorba</t>
        </is>
      </c>
      <c r="I334" s="7" t="inlineStr">
        <is>
          <t>USEC_MUN</t>
        </is>
      </c>
      <c r="J334" s="7" t="inlineStr">
        <is>
          <t>USD</t>
        </is>
      </c>
      <c r="K334" s="7" t="inlineStr">
        <is>
          <t>fixed_unsettled</t>
        </is>
      </c>
      <c r="L334" s="7" t="inlineStr">
        <is>
          <t>PNL</t>
        </is>
      </c>
      <c r="M334" s="11" t="n">
        <v>44665</v>
      </c>
      <c r="N334" s="13" t="n">
        <v>840</v>
      </c>
      <c r="O334" s="6" t="n">
        <v>0</v>
      </c>
      <c r="P334" s="13" t="n">
        <v>0</v>
      </c>
      <c r="Q334" s="22" t="n">
        <v>30</v>
      </c>
      <c r="R334" s="6" t="n">
        <v>1</v>
      </c>
      <c r="U334" s="9" t="n">
        <v>-1965600</v>
      </c>
      <c r="V334" s="9" t="n">
        <v>-149166899.92</v>
      </c>
      <c r="X334" s="9" t="n">
        <v>75.8887</v>
      </c>
      <c r="AK334" s="7" t="inlineStr">
        <is>
          <t>PYTHON_LIFECYCLE</t>
        </is>
      </c>
      <c r="AL334" s="8">
        <f>IF($J334="INR",1,IF($M334&lt;$A334,INDEX(Market_Daily!$F$6:$F$256,MATCH($M334,Market_Daily!$A$6:$A$256,1)),IF($M334=$A334,INDEX(Market_Daily!$F$6:$F$256,MATCH($A334,Market_Daily!$A$6:$A$256,0)),(INDEX(Market_Daily!$F$6:$F$256,MATCH($A334,Market_Daily!$A$6:$A$256,0))*(1+INDEX(Market_Daily!$I$6:$I$256,MATCH($A334,Market_Daily!$A$6:$A$256,0))*($M334-$A334)/day_count_inr)/(1+INDEX(Market_Daily!$J$6:$J$256,MATCH($A334,Market_Daily!$A$6:$A$256,0))*($M334-$A334)/day_count_usd)))))</f>
        <v/>
      </c>
      <c r="AM334" s="8">
        <f>IF(OR($J334="INR",$R334&gt;1),"",$AL334-$X334)</f>
        <v/>
      </c>
      <c r="AN334" s="8">
        <f>$U334</f>
        <v/>
      </c>
      <c r="AO334" s="8">
        <f>$AN334*IF($J334="INR",1,$AL334)</f>
        <v/>
      </c>
      <c r="AP334" s="18">
        <f>$AO334-$V334</f>
        <v/>
      </c>
      <c r="AQ334" s="8">
        <f>IF(ABS($AP334)&lt;=tol_trade_inr,"PASS","FAIL")</f>
        <v/>
      </c>
    </row>
    <row r="335">
      <c r="A335" s="11" t="n">
        <v>44657</v>
      </c>
      <c r="B335" s="7" t="inlineStr">
        <is>
          <t>T02</t>
        </is>
      </c>
      <c r="C335" s="7" t="inlineStr">
        <is>
          <t>BILL_COMMISSION:L1</t>
        </is>
      </c>
      <c r="D335" s="7" t="inlineStr">
        <is>
          <t>BILL_COMMISSION</t>
        </is>
      </c>
      <c r="E335" s="7" t="inlineStr">
        <is>
          <t>physical</t>
        </is>
      </c>
      <c r="F335" s="7" t="inlineStr">
        <is>
          <t>L1</t>
        </is>
      </c>
      <c r="H335" s="7" t="inlineStr">
        <is>
          <t>tense</t>
        </is>
      </c>
      <c r="I335" s="7" t="inlineStr">
        <is>
          <t>JEA_NSA</t>
        </is>
      </c>
      <c r="J335" s="7" t="inlineStr">
        <is>
          <t>USD</t>
        </is>
      </c>
      <c r="K335" s="7" t="inlineStr">
        <is>
          <t>floating</t>
        </is>
      </c>
      <c r="L335" s="7" t="inlineStr">
        <is>
          <t>PNL</t>
        </is>
      </c>
      <c r="M335" s="11" t="n">
        <v>44746</v>
      </c>
      <c r="N335" s="13" t="n">
        <v>0</v>
      </c>
      <c r="O335" s="6" t="n">
        <v>0</v>
      </c>
      <c r="P335" s="13" t="n">
        <v>0</v>
      </c>
      <c r="Q335" s="22" t="n">
        <v>30</v>
      </c>
      <c r="R335" s="6" t="n">
        <v>1</v>
      </c>
      <c r="U335" s="9" t="n">
        <v>-1490.28</v>
      </c>
      <c r="V335" s="9" t="n">
        <v>-113907.87</v>
      </c>
      <c r="X335" s="9" t="n">
        <v>76.43389999999999</v>
      </c>
      <c r="AK335" s="7" t="inlineStr">
        <is>
          <t>PYTHON_LIFECYCLE</t>
        </is>
      </c>
      <c r="AL335" s="8">
        <f>IF($J335="INR",1,IF($M335&lt;$A335,INDEX(Market_Daily!$F$6:$F$256,MATCH($M335,Market_Daily!$A$6:$A$256,1)),IF($M335=$A335,INDEX(Market_Daily!$F$6:$F$256,MATCH($A335,Market_Daily!$A$6:$A$256,0)),(INDEX(Market_Daily!$F$6:$F$256,MATCH($A335,Market_Daily!$A$6:$A$256,0))*(1+INDEX(Market_Daily!$I$6:$I$256,MATCH($A335,Market_Daily!$A$6:$A$256,0))*($M335-$A335)/day_count_inr)/(1+INDEX(Market_Daily!$J$6:$J$256,MATCH($A335,Market_Daily!$A$6:$A$256,0))*($M335-$A335)/day_count_usd)))))</f>
        <v/>
      </c>
      <c r="AM335" s="8">
        <f>IF(OR($J335="INR",$R335&gt;1),"",$AL335-$X335)</f>
        <v/>
      </c>
      <c r="AN335" s="8">
        <f>$U335</f>
        <v/>
      </c>
      <c r="AO335" s="8">
        <f>$AN335*IF($J335="INR",1,$AL335)</f>
        <v/>
      </c>
      <c r="AP335" s="18">
        <f>$AO335-$V335</f>
        <v/>
      </c>
      <c r="AQ335" s="8">
        <f>IF(ABS($AP335)&lt;=tol_trade_inr,"PASS","FAIL")</f>
        <v/>
      </c>
    </row>
    <row r="336">
      <c r="A336" s="11" t="n">
        <v>44657</v>
      </c>
      <c r="B336" s="7" t="inlineStr">
        <is>
          <t>T02</t>
        </is>
      </c>
      <c r="C336" s="7" t="inlineStr">
        <is>
          <t>BILL_COMMISSION:L2</t>
        </is>
      </c>
      <c r="D336" s="7" t="inlineStr">
        <is>
          <t>BILL_COMMISSION</t>
        </is>
      </c>
      <c r="E336" s="7" t="inlineStr">
        <is>
          <t>physical</t>
        </is>
      </c>
      <c r="F336" s="7" t="inlineStr">
        <is>
          <t>L2</t>
        </is>
      </c>
      <c r="H336" s="7" t="inlineStr">
        <is>
          <t>tense</t>
        </is>
      </c>
      <c r="I336" s="7" t="inlineStr">
        <is>
          <t>JEA_NSA</t>
        </is>
      </c>
      <c r="J336" s="7" t="inlineStr">
        <is>
          <t>USD</t>
        </is>
      </c>
      <c r="K336" s="7" t="inlineStr">
        <is>
          <t>floating</t>
        </is>
      </c>
      <c r="L336" s="7" t="inlineStr">
        <is>
          <t>PNL</t>
        </is>
      </c>
      <c r="M336" s="11" t="n">
        <v>44754</v>
      </c>
      <c r="N336" s="13" t="n">
        <v>0</v>
      </c>
      <c r="O336" s="6" t="n">
        <v>0</v>
      </c>
      <c r="P336" s="13" t="n">
        <v>0</v>
      </c>
      <c r="Q336" s="22" t="n">
        <v>30</v>
      </c>
      <c r="R336" s="6" t="n">
        <v>1</v>
      </c>
      <c r="U336" s="9" t="n">
        <v>-1503.5</v>
      </c>
      <c r="V336" s="9" t="n">
        <v>-114999.61</v>
      </c>
      <c r="X336" s="9" t="n">
        <v>76.4877</v>
      </c>
      <c r="AK336" s="7" t="inlineStr">
        <is>
          <t>PYTHON_LIFECYCLE</t>
        </is>
      </c>
      <c r="AL336" s="8">
        <f>IF($J336="INR",1,IF($M336&lt;$A336,INDEX(Market_Daily!$F$6:$F$256,MATCH($M336,Market_Daily!$A$6:$A$256,1)),IF($M336=$A336,INDEX(Market_Daily!$F$6:$F$256,MATCH($A336,Market_Daily!$A$6:$A$256,0)),(INDEX(Market_Daily!$F$6:$F$256,MATCH($A336,Market_Daily!$A$6:$A$256,0))*(1+INDEX(Market_Daily!$I$6:$I$256,MATCH($A336,Market_Daily!$A$6:$A$256,0))*($M336-$A336)/day_count_inr)/(1+INDEX(Market_Daily!$J$6:$J$256,MATCH($A336,Market_Daily!$A$6:$A$256,0))*($M336-$A336)/day_count_usd)))))</f>
        <v/>
      </c>
      <c r="AM336" s="8">
        <f>IF(OR($J336="INR",$R336&gt;1),"",$AL336-$X336)</f>
        <v/>
      </c>
      <c r="AN336" s="8">
        <f>$U336</f>
        <v/>
      </c>
      <c r="AO336" s="8">
        <f>$AN336*IF($J336="INR",1,$AL336)</f>
        <v/>
      </c>
      <c r="AP336" s="18">
        <f>$AO336-$V336</f>
        <v/>
      </c>
      <c r="AQ336" s="8">
        <f>IF(ABS($AP336)&lt;=tol_trade_inr,"PASS","FAIL")</f>
        <v/>
      </c>
    </row>
    <row r="337">
      <c r="A337" s="11" t="n">
        <v>44657</v>
      </c>
      <c r="B337" s="7" t="inlineStr">
        <is>
          <t>T02</t>
        </is>
      </c>
      <c r="C337" s="7" t="inlineStr">
        <is>
          <t>DUTY:L1</t>
        </is>
      </c>
      <c r="D337" s="7" t="inlineStr">
        <is>
          <t>DUTY</t>
        </is>
      </c>
      <c r="E337" s="7" t="inlineStr">
        <is>
          <t>physical</t>
        </is>
      </c>
      <c r="F337" s="7" t="inlineStr">
        <is>
          <t>L1</t>
        </is>
      </c>
      <c r="H337" s="7" t="inlineStr">
        <is>
          <t>tense</t>
        </is>
      </c>
      <c r="I337" s="7" t="inlineStr">
        <is>
          <t>JEA_NSA</t>
        </is>
      </c>
      <c r="J337" s="7" t="inlineStr">
        <is>
          <t>INR</t>
        </is>
      </c>
      <c r="K337" s="7" t="inlineStr">
        <is>
          <t>floating</t>
        </is>
      </c>
      <c r="L337" s="7" t="inlineStr">
        <is>
          <t>PNL</t>
        </is>
      </c>
      <c r="M337" s="11" t="n">
        <v>44721</v>
      </c>
      <c r="N337" s="13" t="n">
        <v>600</v>
      </c>
      <c r="O337" s="6" t="n">
        <v>0</v>
      </c>
      <c r="P337" s="13" t="n">
        <v>0</v>
      </c>
      <c r="Q337" s="22" t="n">
        <v>30</v>
      </c>
      <c r="R337" s="6" t="n">
        <v>2</v>
      </c>
      <c r="U337" s="9" t="n">
        <v>-2799171.07</v>
      </c>
      <c r="V337" s="9" t="n">
        <v>-2799171.07</v>
      </c>
      <c r="X337" s="9" t="n">
        <v>75.8348</v>
      </c>
      <c r="AK337" s="7" t="inlineStr">
        <is>
          <t>PYTHON_MULTI_FLOW_LEG</t>
        </is>
      </c>
      <c r="AL337" s="8">
        <f>IF($J337="INR",1,IF($M337&lt;$A337,INDEX(Market_Daily!$F$6:$F$256,MATCH($M337,Market_Daily!$A$6:$A$256,1)),IF($M337=$A337,INDEX(Market_Daily!$F$6:$F$256,MATCH($A337,Market_Daily!$A$6:$A$256,0)),(INDEX(Market_Daily!$F$6:$F$256,MATCH($A337,Market_Daily!$A$6:$A$256,0))*(1+INDEX(Market_Daily!$I$6:$I$256,MATCH($A337,Market_Daily!$A$6:$A$256,0))*($M337-$A337)/day_count_inr)/(1+INDEX(Market_Daily!$J$6:$J$256,MATCH($A337,Market_Daily!$A$6:$A$256,0))*($M337-$A337)/day_count_usd)))))</f>
        <v/>
      </c>
      <c r="AM337" s="8">
        <f>IF(OR($J337="INR",$R337&gt;1),"",$AL337-$X337)</f>
        <v/>
      </c>
      <c r="AN337" s="8">
        <f>$U337</f>
        <v/>
      </c>
      <c r="AO337" s="8">
        <f>$V337</f>
        <v/>
      </c>
      <c r="AP337" s="18">
        <f>$AO337-$V337</f>
        <v/>
      </c>
      <c r="AQ337" s="8">
        <f>IF(ABS($AP337)&lt;=tol_trade_inr,"PASS","FAIL")</f>
        <v/>
      </c>
    </row>
    <row r="338">
      <c r="A338" s="11" t="n">
        <v>44657</v>
      </c>
      <c r="B338" s="7" t="inlineStr">
        <is>
          <t>T02</t>
        </is>
      </c>
      <c r="C338" s="7" t="inlineStr">
        <is>
          <t>DUTY:L2</t>
        </is>
      </c>
      <c r="D338" s="7" t="inlineStr">
        <is>
          <t>DUTY</t>
        </is>
      </c>
      <c r="E338" s="7" t="inlineStr">
        <is>
          <t>physical</t>
        </is>
      </c>
      <c r="F338" s="7" t="inlineStr">
        <is>
          <t>L2</t>
        </is>
      </c>
      <c r="H338" s="7" t="inlineStr">
        <is>
          <t>tense</t>
        </is>
      </c>
      <c r="I338" s="7" t="inlineStr">
        <is>
          <t>JEA_NSA</t>
        </is>
      </c>
      <c r="J338" s="7" t="inlineStr">
        <is>
          <t>INR</t>
        </is>
      </c>
      <c r="K338" s="7" t="inlineStr">
        <is>
          <t>floating</t>
        </is>
      </c>
      <c r="L338" s="7" t="inlineStr">
        <is>
          <t>PNL</t>
        </is>
      </c>
      <c r="M338" s="11" t="n">
        <v>44721</v>
      </c>
      <c r="N338" s="13" t="n">
        <v>600</v>
      </c>
      <c r="O338" s="6" t="n">
        <v>0</v>
      </c>
      <c r="P338" s="13" t="n">
        <v>0</v>
      </c>
      <c r="Q338" s="22" t="n">
        <v>30</v>
      </c>
      <c r="R338" s="6" t="n">
        <v>2</v>
      </c>
      <c r="U338" s="9" t="n">
        <v>-2799171.07</v>
      </c>
      <c r="V338" s="9" t="n">
        <v>-2799171.07</v>
      </c>
      <c r="X338" s="9" t="n">
        <v>75.8348</v>
      </c>
      <c r="AK338" s="7" t="inlineStr">
        <is>
          <t>PYTHON_MULTI_FLOW_LEG</t>
        </is>
      </c>
      <c r="AL338" s="8">
        <f>IF($J338="INR",1,IF($M338&lt;$A338,INDEX(Market_Daily!$F$6:$F$256,MATCH($M338,Market_Daily!$A$6:$A$256,1)),IF($M338=$A338,INDEX(Market_Daily!$F$6:$F$256,MATCH($A338,Market_Daily!$A$6:$A$256,0)),(INDEX(Market_Daily!$F$6:$F$256,MATCH($A338,Market_Daily!$A$6:$A$256,0))*(1+INDEX(Market_Daily!$I$6:$I$256,MATCH($A338,Market_Daily!$A$6:$A$256,0))*($M338-$A338)/day_count_inr)/(1+INDEX(Market_Daily!$J$6:$J$256,MATCH($A338,Market_Daily!$A$6:$A$256,0))*($M338-$A338)/day_count_usd)))))</f>
        <v/>
      </c>
      <c r="AM338" s="8">
        <f>IF(OR($J338="INR",$R338&gt;1),"",$AL338-$X338)</f>
        <v/>
      </c>
      <c r="AN338" s="8">
        <f>$U338</f>
        <v/>
      </c>
      <c r="AO338" s="8">
        <f>$V338</f>
        <v/>
      </c>
      <c r="AP338" s="18">
        <f>$AO338-$V338</f>
        <v/>
      </c>
      <c r="AQ338" s="8">
        <f>IF(ABS($AP338)&lt;=tol_trade_inr,"PASS","FAIL")</f>
        <v/>
      </c>
    </row>
    <row r="339">
      <c r="A339" s="11" t="n">
        <v>44657</v>
      </c>
      <c r="B339" s="7" t="inlineStr">
        <is>
          <t>T02</t>
        </is>
      </c>
      <c r="C339" s="7" t="inlineStr">
        <is>
          <t>FX:T02-FX-1</t>
        </is>
      </c>
      <c r="D339" s="7" t="inlineStr">
        <is>
          <t>FX</t>
        </is>
      </c>
      <c r="E339" s="7" t="inlineStr">
        <is>
          <t>fx_forward</t>
        </is>
      </c>
      <c r="H339" s="7" t="inlineStr">
        <is>
          <t>tense</t>
        </is>
      </c>
      <c r="I339" s="7" t="inlineStr">
        <is>
          <t>JEA_NSA</t>
        </is>
      </c>
      <c r="J339" s="7" t="inlineStr">
        <is>
          <t>INR</t>
        </is>
      </c>
      <c r="K339" s="7" t="inlineStr">
        <is>
          <t>floating</t>
        </is>
      </c>
      <c r="L339" s="7" t="inlineStr">
        <is>
          <t>PNL</t>
        </is>
      </c>
      <c r="M339" s="11" t="n">
        <v>44746</v>
      </c>
      <c r="N339" s="13" t="n">
        <v>0</v>
      </c>
      <c r="O339" s="6" t="n">
        <v>0</v>
      </c>
      <c r="P339" s="13" t="n">
        <v>1241900</v>
      </c>
      <c r="Q339" s="22" t="n">
        <v>30</v>
      </c>
      <c r="R339" s="6" t="n">
        <v>1</v>
      </c>
      <c r="S339" s="12" t="n">
        <v>44746</v>
      </c>
      <c r="T339" s="21" t="n">
        <v>76.040598</v>
      </c>
      <c r="U339" s="9" t="n">
        <v>488487.17</v>
      </c>
      <c r="V339" s="9" t="n">
        <v>488487.17</v>
      </c>
      <c r="X339" s="9" t="n">
        <v>75.8348</v>
      </c>
      <c r="AK339" s="7" t="inlineStr">
        <is>
          <t>DERIVED_IN_WORKBOOK</t>
        </is>
      </c>
      <c r="AL339" s="8">
        <f>IF($J339="INR",1,IF($M339&lt;$A339,INDEX(Market_Daily!$F$6:$F$256,MATCH($M339,Market_Daily!$A$6:$A$256,1)),IF($M339=$A339,INDEX(Market_Daily!$F$6:$F$256,MATCH($A339,Market_Daily!$A$6:$A$256,0)),(INDEX(Market_Daily!$F$6:$F$256,MATCH($A339,Market_Daily!$A$6:$A$256,0))*(1+INDEX(Market_Daily!$I$6:$I$256,MATCH($A339,Market_Daily!$A$6:$A$256,0))*($M339-$A339)/day_count_inr)/(1+INDEX(Market_Daily!$J$6:$J$256,MATCH($A339,Market_Daily!$A$6:$A$256,0))*($M339-$A339)/day_count_usd)))))</f>
        <v/>
      </c>
      <c r="AM339" s="8">
        <f>IF(OR($J339="INR",$R339&gt;1),"",$AL339-$X339)</f>
        <v/>
      </c>
      <c r="AN339" s="8">
        <f>$P339*(IF($S339&lt;$A339,INDEX(Market_Daily!$F$6:$F$256,MATCH($S339,Market_Daily!$A$6:$A$256,1)),IF($S339=$A339,INDEX(Market_Daily!$F$6:$F$256,MATCH($A339,Market_Daily!$A$6:$A$256,0)),(INDEX(Market_Daily!$F$6:$F$256,MATCH($A339,Market_Daily!$A$6:$A$256,0))*(1+INDEX(Market_Daily!$I$6:$I$256,MATCH($A339,Market_Daily!$A$6:$A$256,0))*($S339-$A339)/day_count_inr)/(1+INDEX(Market_Daily!$J$6:$J$256,MATCH($A339,Market_Daily!$A$6:$A$256,0))*($S339-$A339)/day_count_usd))))-$T339)</f>
        <v/>
      </c>
      <c r="AO339" s="8">
        <f>$AN339</f>
        <v/>
      </c>
      <c r="AP339" s="18">
        <f>$AO339-$V339</f>
        <v/>
      </c>
      <c r="AQ339" s="8">
        <f>IF(ABS($AP339)&lt;=tol_trade_inr,"PASS","FAIL")</f>
        <v/>
      </c>
    </row>
    <row r="340">
      <c r="A340" s="11" t="n">
        <v>44657</v>
      </c>
      <c r="B340" s="7" t="inlineStr">
        <is>
          <t>T02</t>
        </is>
      </c>
      <c r="C340" s="7" t="inlineStr">
        <is>
          <t>IGST:L1</t>
        </is>
      </c>
      <c r="D340" s="7" t="inlineStr">
        <is>
          <t>IGST</t>
        </is>
      </c>
      <c r="E340" s="7" t="inlineStr">
        <is>
          <t>physical</t>
        </is>
      </c>
      <c r="F340" s="7" t="inlineStr">
        <is>
          <t>L1</t>
        </is>
      </c>
      <c r="H340" s="7" t="inlineStr">
        <is>
          <t>tense</t>
        </is>
      </c>
      <c r="I340" s="7" t="inlineStr">
        <is>
          <t>JEA_NSA</t>
        </is>
      </c>
      <c r="J340" s="7" t="inlineStr">
        <is>
          <t>INR</t>
        </is>
      </c>
      <c r="K340" s="7" t="inlineStr">
        <is>
          <t>floating</t>
        </is>
      </c>
      <c r="L340" s="7" t="inlineStr">
        <is>
          <t>BS</t>
        </is>
      </c>
      <c r="M340" s="11" t="n">
        <v>44707</v>
      </c>
      <c r="N340" s="13" t="n">
        <v>0</v>
      </c>
      <c r="O340" s="6" t="n">
        <v>0</v>
      </c>
      <c r="P340" s="13" t="n">
        <v>0</v>
      </c>
      <c r="Q340" s="22" t="n">
        <v>30</v>
      </c>
      <c r="R340" s="6" t="n">
        <v>2</v>
      </c>
      <c r="U340" s="9" t="n">
        <v>0</v>
      </c>
      <c r="V340" s="9" t="n">
        <v>0</v>
      </c>
      <c r="X340" s="9" t="n">
        <v>75.8348</v>
      </c>
      <c r="AK340" s="7" t="inlineStr">
        <is>
          <t>PYTHON_MULTI_FLOW_LEG</t>
        </is>
      </c>
      <c r="AL340" s="8">
        <f>IF($J340="INR",1,IF($M340&lt;$A340,INDEX(Market_Daily!$F$6:$F$256,MATCH($M340,Market_Daily!$A$6:$A$256,1)),IF($M340=$A340,INDEX(Market_Daily!$F$6:$F$256,MATCH($A340,Market_Daily!$A$6:$A$256,0)),(INDEX(Market_Daily!$F$6:$F$256,MATCH($A340,Market_Daily!$A$6:$A$256,0))*(1+INDEX(Market_Daily!$I$6:$I$256,MATCH($A340,Market_Daily!$A$6:$A$256,0))*($M340-$A340)/day_count_inr)/(1+INDEX(Market_Daily!$J$6:$J$256,MATCH($A340,Market_Daily!$A$6:$A$256,0))*($M340-$A340)/day_count_usd)))))</f>
        <v/>
      </c>
      <c r="AM340" s="8">
        <f>IF(OR($J340="INR",$R340&gt;1),"",$AL340-$X340)</f>
        <v/>
      </c>
      <c r="AN340" s="8">
        <f>$U340</f>
        <v/>
      </c>
      <c r="AO340" s="8">
        <f>$V340</f>
        <v/>
      </c>
      <c r="AP340" s="18">
        <f>$AO340-$V340</f>
        <v/>
      </c>
      <c r="AQ340" s="8">
        <f>IF(ABS($AP340)&lt;=tol_trade_inr,"PASS","FAIL")</f>
        <v/>
      </c>
    </row>
    <row r="341">
      <c r="A341" s="11" t="n">
        <v>44657</v>
      </c>
      <c r="B341" s="7" t="inlineStr">
        <is>
          <t>T02</t>
        </is>
      </c>
      <c r="C341" s="7" t="inlineStr">
        <is>
          <t>IGST:L2</t>
        </is>
      </c>
      <c r="D341" s="7" t="inlineStr">
        <is>
          <t>IGST</t>
        </is>
      </c>
      <c r="E341" s="7" t="inlineStr">
        <is>
          <t>physical</t>
        </is>
      </c>
      <c r="F341" s="7" t="inlineStr">
        <is>
          <t>L2</t>
        </is>
      </c>
      <c r="H341" s="7" t="inlineStr">
        <is>
          <t>tense</t>
        </is>
      </c>
      <c r="I341" s="7" t="inlineStr">
        <is>
          <t>JEA_NSA</t>
        </is>
      </c>
      <c r="J341" s="7" t="inlineStr">
        <is>
          <t>INR</t>
        </is>
      </c>
      <c r="K341" s="7" t="inlineStr">
        <is>
          <t>floating</t>
        </is>
      </c>
      <c r="L341" s="7" t="inlineStr">
        <is>
          <t>BS</t>
        </is>
      </c>
      <c r="M341" s="11" t="n">
        <v>44718</v>
      </c>
      <c r="N341" s="13" t="n">
        <v>0</v>
      </c>
      <c r="O341" s="6" t="n">
        <v>0</v>
      </c>
      <c r="P341" s="13" t="n">
        <v>0</v>
      </c>
      <c r="Q341" s="22" t="n">
        <v>30</v>
      </c>
      <c r="R341" s="6" t="n">
        <v>2</v>
      </c>
      <c r="U341" s="9" t="n">
        <v>0</v>
      </c>
      <c r="V341" s="9" t="n">
        <v>0</v>
      </c>
      <c r="X341" s="9" t="n">
        <v>75.8348</v>
      </c>
      <c r="AK341" s="7" t="inlineStr">
        <is>
          <t>PYTHON_MULTI_FLOW_LEG</t>
        </is>
      </c>
      <c r="AL341" s="8">
        <f>IF($J341="INR",1,IF($M341&lt;$A341,INDEX(Market_Daily!$F$6:$F$256,MATCH($M341,Market_Daily!$A$6:$A$256,1)),IF($M341=$A341,INDEX(Market_Daily!$F$6:$F$256,MATCH($A341,Market_Daily!$A$6:$A$256,0)),(INDEX(Market_Daily!$F$6:$F$256,MATCH($A341,Market_Daily!$A$6:$A$256,0))*(1+INDEX(Market_Daily!$I$6:$I$256,MATCH($A341,Market_Daily!$A$6:$A$256,0))*($M341-$A341)/day_count_inr)/(1+INDEX(Market_Daily!$J$6:$J$256,MATCH($A341,Market_Daily!$A$6:$A$256,0))*($M341-$A341)/day_count_usd)))))</f>
        <v/>
      </c>
      <c r="AM341" s="8">
        <f>IF(OR($J341="INR",$R341&gt;1),"",$AL341-$X341)</f>
        <v/>
      </c>
      <c r="AN341" s="8">
        <f>$U341</f>
        <v/>
      </c>
      <c r="AO341" s="8">
        <f>$V341</f>
        <v/>
      </c>
      <c r="AP341" s="18">
        <f>$AO341-$V341</f>
        <v/>
      </c>
      <c r="AQ341" s="8">
        <f>IF(ABS($AP341)&lt;=tol_trade_inr,"PASS","FAIL")</f>
        <v/>
      </c>
    </row>
    <row r="342">
      <c r="A342" s="11" t="n">
        <v>44657</v>
      </c>
      <c r="B342" s="7" t="inlineStr">
        <is>
          <t>T02</t>
        </is>
      </c>
      <c r="C342" s="7" t="inlineStr">
        <is>
          <t>INSURANCE:L2</t>
        </is>
      </c>
      <c r="D342" s="7" t="inlineStr">
        <is>
          <t>INSURANCE</t>
        </is>
      </c>
      <c r="E342" s="7" t="inlineStr">
        <is>
          <t>physical</t>
        </is>
      </c>
      <c r="F342" s="7" t="inlineStr">
        <is>
          <t>L2</t>
        </is>
      </c>
      <c r="H342" s="7" t="inlineStr">
        <is>
          <t>tense</t>
        </is>
      </c>
      <c r="I342" s="7" t="inlineStr">
        <is>
          <t>JEA_NSA</t>
        </is>
      </c>
      <c r="J342" s="7" t="inlineStr">
        <is>
          <t>USD</t>
        </is>
      </c>
      <c r="K342" s="7" t="inlineStr">
        <is>
          <t>floating</t>
        </is>
      </c>
      <c r="L342" s="7" t="inlineStr">
        <is>
          <t>PNL</t>
        </is>
      </c>
      <c r="M342" s="11" t="n">
        <v>44664</v>
      </c>
      <c r="N342" s="13" t="n">
        <v>600</v>
      </c>
      <c r="O342" s="6" t="n">
        <v>0</v>
      </c>
      <c r="P342" s="13" t="n">
        <v>0</v>
      </c>
      <c r="Q342" s="22" t="n">
        <v>30</v>
      </c>
      <c r="R342" s="6" t="n">
        <v>1</v>
      </c>
      <c r="U342" s="9" t="n">
        <v>-1450.75</v>
      </c>
      <c r="V342" s="9" t="n">
        <v>-110085.82</v>
      </c>
      <c r="X342" s="9" t="n">
        <v>75.88200000000001</v>
      </c>
      <c r="AK342" s="7" t="inlineStr">
        <is>
          <t>PYTHON_LIFECYCLE</t>
        </is>
      </c>
      <c r="AL342" s="8">
        <f>IF($J342="INR",1,IF($M342&lt;$A342,INDEX(Market_Daily!$F$6:$F$256,MATCH($M342,Market_Daily!$A$6:$A$256,1)),IF($M342=$A342,INDEX(Market_Daily!$F$6:$F$256,MATCH($A342,Market_Daily!$A$6:$A$256,0)),(INDEX(Market_Daily!$F$6:$F$256,MATCH($A342,Market_Daily!$A$6:$A$256,0))*(1+INDEX(Market_Daily!$I$6:$I$256,MATCH($A342,Market_Daily!$A$6:$A$256,0))*($M342-$A342)/day_count_inr)/(1+INDEX(Market_Daily!$J$6:$J$256,MATCH($A342,Market_Daily!$A$6:$A$256,0))*($M342-$A342)/day_count_usd)))))</f>
        <v/>
      </c>
      <c r="AM342" s="8">
        <f>IF(OR($J342="INR",$R342&gt;1),"",$AL342-$X342)</f>
        <v/>
      </c>
      <c r="AN342" s="8">
        <f>$U342</f>
        <v/>
      </c>
      <c r="AO342" s="8">
        <f>$AN342*IF($J342="INR",1,$AL342)</f>
        <v/>
      </c>
      <c r="AP342" s="18">
        <f>$AO342-$V342</f>
        <v/>
      </c>
      <c r="AQ342" s="8">
        <f>IF(ABS($AP342)&lt;=tol_trade_inr,"PASS","FAIL")</f>
        <v/>
      </c>
    </row>
    <row r="343">
      <c r="A343" s="11" t="n">
        <v>44657</v>
      </c>
      <c r="B343" s="7" t="inlineStr">
        <is>
          <t>T02</t>
        </is>
      </c>
      <c r="C343" s="7" t="inlineStr">
        <is>
          <t>LC_USANCE_FEE:L1</t>
        </is>
      </c>
      <c r="D343" s="7" t="inlineStr">
        <is>
          <t>LC_USANCE_FEE</t>
        </is>
      </c>
      <c r="E343" s="7" t="inlineStr">
        <is>
          <t>physical</t>
        </is>
      </c>
      <c r="F343" s="7" t="inlineStr">
        <is>
          <t>L1</t>
        </is>
      </c>
      <c r="H343" s="7" t="inlineStr">
        <is>
          <t>tense</t>
        </is>
      </c>
      <c r="I343" s="7" t="inlineStr">
        <is>
          <t>JEA_NSA</t>
        </is>
      </c>
      <c r="J343" s="7" t="inlineStr">
        <is>
          <t>USD</t>
        </is>
      </c>
      <c r="K343" s="7" t="inlineStr">
        <is>
          <t>floating</t>
        </is>
      </c>
      <c r="L343" s="7" t="inlineStr">
        <is>
          <t>PNL</t>
        </is>
      </c>
      <c r="M343" s="11" t="n">
        <v>44663</v>
      </c>
      <c r="N343" s="13" t="n">
        <v>0</v>
      </c>
      <c r="O343" s="6" t="n">
        <v>0</v>
      </c>
      <c r="P343" s="13" t="n">
        <v>0</v>
      </c>
      <c r="Q343" s="22" t="n">
        <v>30</v>
      </c>
      <c r="R343" s="6" t="n">
        <v>1</v>
      </c>
      <c r="U343" s="9" t="n">
        <v>-2607.99</v>
      </c>
      <c r="V343" s="9" t="n">
        <v>-197881.73</v>
      </c>
      <c r="X343" s="9" t="n">
        <v>75.8753</v>
      </c>
      <c r="AK343" s="7" t="inlineStr">
        <is>
          <t>PYTHON_LIFECYCLE</t>
        </is>
      </c>
      <c r="AL343" s="8">
        <f>IF($J343="INR",1,IF($M343&lt;$A343,INDEX(Market_Daily!$F$6:$F$256,MATCH($M343,Market_Daily!$A$6:$A$256,1)),IF($M343=$A343,INDEX(Market_Daily!$F$6:$F$256,MATCH($A343,Market_Daily!$A$6:$A$256,0)),(INDEX(Market_Daily!$F$6:$F$256,MATCH($A343,Market_Daily!$A$6:$A$256,0))*(1+INDEX(Market_Daily!$I$6:$I$256,MATCH($A343,Market_Daily!$A$6:$A$256,0))*($M343-$A343)/day_count_inr)/(1+INDEX(Market_Daily!$J$6:$J$256,MATCH($A343,Market_Daily!$A$6:$A$256,0))*($M343-$A343)/day_count_usd)))))</f>
        <v/>
      </c>
      <c r="AM343" s="8">
        <f>IF(OR($J343="INR",$R343&gt;1),"",$AL343-$X343)</f>
        <v/>
      </c>
      <c r="AN343" s="8">
        <f>$U343</f>
        <v/>
      </c>
      <c r="AO343" s="8">
        <f>$AN343*IF($J343="INR",1,$AL343)</f>
        <v/>
      </c>
      <c r="AP343" s="18">
        <f>$AO343-$V343</f>
        <v/>
      </c>
      <c r="AQ343" s="8">
        <f>IF(ABS($AP343)&lt;=tol_trade_inr,"PASS","FAIL")</f>
        <v/>
      </c>
    </row>
    <row r="344">
      <c r="A344" s="11" t="n">
        <v>44657</v>
      </c>
      <c r="B344" s="7" t="inlineStr">
        <is>
          <t>T02</t>
        </is>
      </c>
      <c r="C344" s="7" t="inlineStr">
        <is>
          <t>LC_USANCE_FEE:L2</t>
        </is>
      </c>
      <c r="D344" s="7" t="inlineStr">
        <is>
          <t>LC_USANCE_FEE</t>
        </is>
      </c>
      <c r="E344" s="7" t="inlineStr">
        <is>
          <t>physical</t>
        </is>
      </c>
      <c r="F344" s="7" t="inlineStr">
        <is>
          <t>L2</t>
        </is>
      </c>
      <c r="H344" s="7" t="inlineStr">
        <is>
          <t>tense</t>
        </is>
      </c>
      <c r="I344" s="7" t="inlineStr">
        <is>
          <t>JEA_NSA</t>
        </is>
      </c>
      <c r="J344" s="7" t="inlineStr">
        <is>
          <t>USD</t>
        </is>
      </c>
      <c r="K344" s="7" t="inlineStr">
        <is>
          <t>floating</t>
        </is>
      </c>
      <c r="L344" s="7" t="inlineStr">
        <is>
          <t>PNL</t>
        </is>
      </c>
      <c r="M344" s="11" t="n">
        <v>44671</v>
      </c>
      <c r="N344" s="13" t="n">
        <v>0</v>
      </c>
      <c r="O344" s="6" t="n">
        <v>0</v>
      </c>
      <c r="P344" s="13" t="n">
        <v>0</v>
      </c>
      <c r="Q344" s="22" t="n">
        <v>30</v>
      </c>
      <c r="R344" s="6" t="n">
        <v>1</v>
      </c>
      <c r="U344" s="9" t="n">
        <v>-2631.13</v>
      </c>
      <c r="V344" s="9" t="n">
        <v>-199779.78</v>
      </c>
      <c r="X344" s="9" t="n">
        <v>75.92919999999999</v>
      </c>
      <c r="AK344" s="7" t="inlineStr">
        <is>
          <t>PYTHON_LIFECYCLE</t>
        </is>
      </c>
      <c r="AL344" s="8">
        <f>IF($J344="INR",1,IF($M344&lt;$A344,INDEX(Market_Daily!$F$6:$F$256,MATCH($M344,Market_Daily!$A$6:$A$256,1)),IF($M344=$A344,INDEX(Market_Daily!$F$6:$F$256,MATCH($A344,Market_Daily!$A$6:$A$256,0)),(INDEX(Market_Daily!$F$6:$F$256,MATCH($A344,Market_Daily!$A$6:$A$256,0))*(1+INDEX(Market_Daily!$I$6:$I$256,MATCH($A344,Market_Daily!$A$6:$A$256,0))*($M344-$A344)/day_count_inr)/(1+INDEX(Market_Daily!$J$6:$J$256,MATCH($A344,Market_Daily!$A$6:$A$256,0))*($M344-$A344)/day_count_usd)))))</f>
        <v/>
      </c>
      <c r="AM344" s="8">
        <f>IF(OR($J344="INR",$R344&gt;1),"",$AL344-$X344)</f>
        <v/>
      </c>
      <c r="AN344" s="8">
        <f>$U344</f>
        <v/>
      </c>
      <c r="AO344" s="8">
        <f>$AN344*IF($J344="INR",1,$AL344)</f>
        <v/>
      </c>
      <c r="AP344" s="18">
        <f>$AO344-$V344</f>
        <v/>
      </c>
      <c r="AQ344" s="8">
        <f>IF(ABS($AP344)&lt;=tol_trade_inr,"PASS","FAIL")</f>
        <v/>
      </c>
    </row>
    <row r="345">
      <c r="A345" s="11" t="n">
        <v>44657</v>
      </c>
      <c r="B345" s="7" t="inlineStr">
        <is>
          <t>T02</t>
        </is>
      </c>
      <c r="C345" s="7" t="inlineStr">
        <is>
          <t>MCX:T02-MCX-2</t>
        </is>
      </c>
      <c r="D345" s="7" t="inlineStr">
        <is>
          <t>MCX</t>
        </is>
      </c>
      <c r="E345" s="7" t="inlineStr">
        <is>
          <t>mcx</t>
        </is>
      </c>
      <c r="H345" s="7" t="inlineStr">
        <is>
          <t>tense</t>
        </is>
      </c>
      <c r="I345" s="7" t="inlineStr">
        <is>
          <t>JEA_NSA</t>
        </is>
      </c>
      <c r="J345" s="7" t="inlineStr">
        <is>
          <t>INR</t>
        </is>
      </c>
      <c r="K345" s="7" t="inlineStr">
        <is>
          <t>partially_fixed</t>
        </is>
      </c>
      <c r="L345" s="7" t="inlineStr">
        <is>
          <t>PNL</t>
        </is>
      </c>
      <c r="M345" s="11" t="n">
        <v>44671</v>
      </c>
      <c r="N345" s="13" t="n">
        <v>0</v>
      </c>
      <c r="O345" s="6" t="n">
        <v>-74</v>
      </c>
      <c r="P345" s="13" t="n">
        <v>0</v>
      </c>
      <c r="Q345" s="22" t="n">
        <v>30</v>
      </c>
      <c r="R345" s="6" t="n">
        <v>20</v>
      </c>
      <c r="U345" s="9" t="n">
        <v>0</v>
      </c>
      <c r="V345" s="9" t="n">
        <v>0</v>
      </c>
      <c r="X345" s="9" t="n">
        <v>75.8348</v>
      </c>
      <c r="AK345" s="7" t="inlineStr">
        <is>
          <t>PYTHON_MULTI_FLOW_LEG</t>
        </is>
      </c>
      <c r="AL345" s="8">
        <f>IF($J345="INR",1,IF($M345&lt;$A345,INDEX(Market_Daily!$F$6:$F$256,MATCH($M345,Market_Daily!$A$6:$A$256,1)),IF($M345=$A345,INDEX(Market_Daily!$F$6:$F$256,MATCH($A345,Market_Daily!$A$6:$A$256,0)),(INDEX(Market_Daily!$F$6:$F$256,MATCH($A345,Market_Daily!$A$6:$A$256,0))*(1+INDEX(Market_Daily!$I$6:$I$256,MATCH($A345,Market_Daily!$A$6:$A$256,0))*($M345-$A345)/day_count_inr)/(1+INDEX(Market_Daily!$J$6:$J$256,MATCH($A345,Market_Daily!$A$6:$A$256,0))*($M345-$A345)/day_count_usd)))))</f>
        <v/>
      </c>
      <c r="AM345" s="8">
        <f>IF(OR($J345="INR",$R345&gt;1),"",$AL345-$X345)</f>
        <v/>
      </c>
      <c r="AN345" s="8">
        <f>$U345</f>
        <v/>
      </c>
      <c r="AO345" s="8">
        <f>$V345</f>
        <v/>
      </c>
      <c r="AP345" s="18">
        <f>$AO345-$V345</f>
        <v/>
      </c>
      <c r="AQ345" s="8">
        <f>IF(ABS($AP345)&lt;=tol_trade_inr,"PASS","FAIL")</f>
        <v/>
      </c>
    </row>
    <row r="346">
      <c r="A346" s="11" t="n">
        <v>44657</v>
      </c>
      <c r="B346" s="7" t="inlineStr">
        <is>
          <t>T02</t>
        </is>
      </c>
      <c r="C346" s="7" t="inlineStr">
        <is>
          <t>PORT:L1</t>
        </is>
      </c>
      <c r="D346" s="7" t="inlineStr">
        <is>
          <t>PORT</t>
        </is>
      </c>
      <c r="E346" s="7" t="inlineStr">
        <is>
          <t>physical</t>
        </is>
      </c>
      <c r="F346" s="7" t="inlineStr">
        <is>
          <t>L1</t>
        </is>
      </c>
      <c r="H346" s="7" t="inlineStr">
        <is>
          <t>tense</t>
        </is>
      </c>
      <c r="I346" s="7" t="inlineStr">
        <is>
          <t>JEA_NSA</t>
        </is>
      </c>
      <c r="J346" s="7" t="inlineStr">
        <is>
          <t>INR</t>
        </is>
      </c>
      <c r="K346" s="7" t="inlineStr">
        <is>
          <t>fixed_unsettled</t>
        </is>
      </c>
      <c r="L346" s="7" t="inlineStr">
        <is>
          <t>PNL</t>
        </is>
      </c>
      <c r="M346" s="11" t="n">
        <v>44671</v>
      </c>
      <c r="N346" s="13" t="n">
        <v>0</v>
      </c>
      <c r="O346" s="6" t="n">
        <v>0</v>
      </c>
      <c r="P346" s="13" t="n">
        <v>0</v>
      </c>
      <c r="Q346" s="22" t="n">
        <v>30</v>
      </c>
      <c r="R346" s="6" t="n">
        <v>1</v>
      </c>
      <c r="U346" s="9" t="n">
        <v>-960000</v>
      </c>
      <c r="V346" s="9" t="n">
        <v>-960000</v>
      </c>
      <c r="X346" s="9" t="n">
        <v>75.8348</v>
      </c>
      <c r="AK346" s="7" t="inlineStr">
        <is>
          <t>PYTHON_LIFECYCLE</t>
        </is>
      </c>
      <c r="AL346" s="8">
        <f>IF($J346="INR",1,IF($M346&lt;$A346,INDEX(Market_Daily!$F$6:$F$256,MATCH($M346,Market_Daily!$A$6:$A$256,1)),IF($M346=$A346,INDEX(Market_Daily!$F$6:$F$256,MATCH($A346,Market_Daily!$A$6:$A$256,0)),(INDEX(Market_Daily!$F$6:$F$256,MATCH($A346,Market_Daily!$A$6:$A$256,0))*(1+INDEX(Market_Daily!$I$6:$I$256,MATCH($A346,Market_Daily!$A$6:$A$256,0))*($M346-$A346)/day_count_inr)/(1+INDEX(Market_Daily!$J$6:$J$256,MATCH($A346,Market_Daily!$A$6:$A$256,0))*($M346-$A346)/day_count_usd)))))</f>
        <v/>
      </c>
      <c r="AM346" s="8">
        <f>IF(OR($J346="INR",$R346&gt;1),"",$AL346-$X346)</f>
        <v/>
      </c>
      <c r="AN346" s="8">
        <f>$U346</f>
        <v/>
      </c>
      <c r="AO346" s="8">
        <f>$AN346*IF($J346="INR",1,$AL346)</f>
        <v/>
      </c>
      <c r="AP346" s="18">
        <f>$AO346-$V346</f>
        <v/>
      </c>
      <c r="AQ346" s="8">
        <f>IF(ABS($AP346)&lt;=tol_trade_inr,"PASS","FAIL")</f>
        <v/>
      </c>
    </row>
    <row r="347">
      <c r="A347" s="11" t="n">
        <v>44657</v>
      </c>
      <c r="B347" s="7" t="inlineStr">
        <is>
          <t>T02</t>
        </is>
      </c>
      <c r="C347" s="7" t="inlineStr">
        <is>
          <t>PORT:L2</t>
        </is>
      </c>
      <c r="D347" s="7" t="inlineStr">
        <is>
          <t>PORT</t>
        </is>
      </c>
      <c r="E347" s="7" t="inlineStr">
        <is>
          <t>physical</t>
        </is>
      </c>
      <c r="F347" s="7" t="inlineStr">
        <is>
          <t>L2</t>
        </is>
      </c>
      <c r="H347" s="7" t="inlineStr">
        <is>
          <t>tense</t>
        </is>
      </c>
      <c r="I347" s="7" t="inlineStr">
        <is>
          <t>JEA_NSA</t>
        </is>
      </c>
      <c r="J347" s="7" t="inlineStr">
        <is>
          <t>INR</t>
        </is>
      </c>
      <c r="K347" s="7" t="inlineStr">
        <is>
          <t>fixed_unsettled</t>
        </is>
      </c>
      <c r="L347" s="7" t="inlineStr">
        <is>
          <t>PNL</t>
        </is>
      </c>
      <c r="M347" s="11" t="n">
        <v>44679</v>
      </c>
      <c r="N347" s="13" t="n">
        <v>0</v>
      </c>
      <c r="O347" s="6" t="n">
        <v>0</v>
      </c>
      <c r="P347" s="13" t="n">
        <v>0</v>
      </c>
      <c r="Q347" s="22" t="n">
        <v>30</v>
      </c>
      <c r="R347" s="6" t="n">
        <v>1</v>
      </c>
      <c r="U347" s="9" t="n">
        <v>-960000</v>
      </c>
      <c r="V347" s="9" t="n">
        <v>-960000</v>
      </c>
      <c r="X347" s="9" t="n">
        <v>75.8348</v>
      </c>
      <c r="AK347" s="7" t="inlineStr">
        <is>
          <t>PYTHON_LIFECYCLE</t>
        </is>
      </c>
      <c r="AL347" s="8">
        <f>IF($J347="INR",1,IF($M347&lt;$A347,INDEX(Market_Daily!$F$6:$F$256,MATCH($M347,Market_Daily!$A$6:$A$256,1)),IF($M347=$A347,INDEX(Market_Daily!$F$6:$F$256,MATCH($A347,Market_Daily!$A$6:$A$256,0)),(INDEX(Market_Daily!$F$6:$F$256,MATCH($A347,Market_Daily!$A$6:$A$256,0))*(1+INDEX(Market_Daily!$I$6:$I$256,MATCH($A347,Market_Daily!$A$6:$A$256,0))*($M347-$A347)/day_count_inr)/(1+INDEX(Market_Daily!$J$6:$J$256,MATCH($A347,Market_Daily!$A$6:$A$256,0))*($M347-$A347)/day_count_usd)))))</f>
        <v/>
      </c>
      <c r="AM347" s="8">
        <f>IF(OR($J347="INR",$R347&gt;1),"",$AL347-$X347)</f>
        <v/>
      </c>
      <c r="AN347" s="8">
        <f>$U347</f>
        <v/>
      </c>
      <c r="AO347" s="8">
        <f>$AN347*IF($J347="INR",1,$AL347)</f>
        <v/>
      </c>
      <c r="AP347" s="18">
        <f>$AO347-$V347</f>
        <v/>
      </c>
      <c r="AQ347" s="8">
        <f>IF(ABS($AP347)&lt;=tol_trade_inr,"PASS","FAIL")</f>
        <v/>
      </c>
    </row>
    <row r="348">
      <c r="A348" s="11" t="n">
        <v>44657</v>
      </c>
      <c r="B348" s="7" t="inlineStr">
        <is>
          <t>T02</t>
        </is>
      </c>
      <c r="C348" s="7" t="inlineStr">
        <is>
          <t>PSIC:L2</t>
        </is>
      </c>
      <c r="D348" s="7" t="inlineStr">
        <is>
          <t>PSIC</t>
        </is>
      </c>
      <c r="E348" s="7" t="inlineStr">
        <is>
          <t>physical</t>
        </is>
      </c>
      <c r="F348" s="7" t="inlineStr">
        <is>
          <t>L2</t>
        </is>
      </c>
      <c r="H348" s="7" t="inlineStr">
        <is>
          <t>tense</t>
        </is>
      </c>
      <c r="I348" s="7" t="inlineStr">
        <is>
          <t>JEA_NSA</t>
        </is>
      </c>
      <c r="J348" s="7" t="inlineStr">
        <is>
          <t>USD</t>
        </is>
      </c>
      <c r="K348" s="7" t="inlineStr">
        <is>
          <t>floating</t>
        </is>
      </c>
      <c r="L348" s="7" t="inlineStr">
        <is>
          <t>PNL</t>
        </is>
      </c>
      <c r="M348" s="11" t="n">
        <v>44664</v>
      </c>
      <c r="N348" s="13" t="n">
        <v>0</v>
      </c>
      <c r="O348" s="6" t="n">
        <v>0</v>
      </c>
      <c r="P348" s="13" t="n">
        <v>0</v>
      </c>
      <c r="Q348" s="22" t="n">
        <v>30</v>
      </c>
      <c r="R348" s="6" t="n">
        <v>1</v>
      </c>
      <c r="U348" s="9" t="n">
        <v>-960</v>
      </c>
      <c r="V348" s="9" t="n">
        <v>-72846.72</v>
      </c>
      <c r="X348" s="9" t="n">
        <v>75.88200000000001</v>
      </c>
      <c r="AK348" s="7" t="inlineStr">
        <is>
          <t>PYTHON_LIFECYCLE</t>
        </is>
      </c>
      <c r="AL348" s="8">
        <f>IF($J348="INR",1,IF($M348&lt;$A348,INDEX(Market_Daily!$F$6:$F$256,MATCH($M348,Market_Daily!$A$6:$A$256,1)),IF($M348=$A348,INDEX(Market_Daily!$F$6:$F$256,MATCH($A348,Market_Daily!$A$6:$A$256,0)),(INDEX(Market_Daily!$F$6:$F$256,MATCH($A348,Market_Daily!$A$6:$A$256,0))*(1+INDEX(Market_Daily!$I$6:$I$256,MATCH($A348,Market_Daily!$A$6:$A$256,0))*($M348-$A348)/day_count_inr)/(1+INDEX(Market_Daily!$J$6:$J$256,MATCH($A348,Market_Daily!$A$6:$A$256,0))*($M348-$A348)/day_count_usd)))))</f>
        <v/>
      </c>
      <c r="AM348" s="8">
        <f>IF(OR($J348="INR",$R348&gt;1),"",$AL348-$X348)</f>
        <v/>
      </c>
      <c r="AN348" s="8">
        <f>$U348</f>
        <v/>
      </c>
      <c r="AO348" s="8">
        <f>$AN348*IF($J348="INR",1,$AL348)</f>
        <v/>
      </c>
      <c r="AP348" s="18">
        <f>$AO348-$V348</f>
        <v/>
      </c>
      <c r="AQ348" s="8">
        <f>IF(ABS($AP348)&lt;=tol_trade_inr,"PASS","FAIL")</f>
        <v/>
      </c>
    </row>
    <row r="349">
      <c r="A349" s="11" t="n">
        <v>44657</v>
      </c>
      <c r="B349" s="7" t="inlineStr">
        <is>
          <t>T02</t>
        </is>
      </c>
      <c r="C349" s="7" t="inlineStr">
        <is>
          <t>PURCHASE:L1</t>
        </is>
      </c>
      <c r="D349" s="7" t="inlineStr">
        <is>
          <t>PURCHASE</t>
        </is>
      </c>
      <c r="E349" s="7" t="inlineStr">
        <is>
          <t>physical</t>
        </is>
      </c>
      <c r="F349" s="7" t="inlineStr">
        <is>
          <t>L1</t>
        </is>
      </c>
      <c r="G349" s="7" t="inlineStr">
        <is>
          <t>SUP_JEA_01</t>
        </is>
      </c>
      <c r="H349" s="7" t="inlineStr">
        <is>
          <t>tense</t>
        </is>
      </c>
      <c r="I349" s="7" t="inlineStr">
        <is>
          <t>JEA_NSA</t>
        </is>
      </c>
      <c r="J349" s="7" t="inlineStr">
        <is>
          <t>USD</t>
        </is>
      </c>
      <c r="K349" s="7" t="inlineStr">
        <is>
          <t>partially_fixed</t>
        </is>
      </c>
      <c r="L349" s="7" t="inlineStr">
        <is>
          <t>PNL</t>
        </is>
      </c>
      <c r="M349" s="11" t="n">
        <v>44746</v>
      </c>
      <c r="N349" s="13" t="n">
        <v>1200</v>
      </c>
      <c r="O349" s="6" t="n">
        <v>0</v>
      </c>
      <c r="P349" s="13" t="n">
        <v>0</v>
      </c>
      <c r="Q349" s="22" t="n">
        <v>30</v>
      </c>
      <c r="R349" s="6" t="n">
        <v>2</v>
      </c>
      <c r="U349" s="9" t="n">
        <v>-1322187.19</v>
      </c>
      <c r="V349" s="9" t="n">
        <v>-101046475.77</v>
      </c>
      <c r="X349" s="9" t="n">
        <v>76.43389999999999</v>
      </c>
      <c r="AK349" s="7" t="inlineStr">
        <is>
          <t>PYTHON_MULTI_FLOW_LEG</t>
        </is>
      </c>
      <c r="AL349" s="8">
        <f>IF($J349="INR",1,IF($M349&lt;$A349,INDEX(Market_Daily!$F$6:$F$256,MATCH($M349,Market_Daily!$A$6:$A$256,1)),IF($M349=$A349,INDEX(Market_Daily!$F$6:$F$256,MATCH($A349,Market_Daily!$A$6:$A$256,0)),(INDEX(Market_Daily!$F$6:$F$256,MATCH($A349,Market_Daily!$A$6:$A$256,0))*(1+INDEX(Market_Daily!$I$6:$I$256,MATCH($A349,Market_Daily!$A$6:$A$256,0))*($M349-$A349)/day_count_inr)/(1+INDEX(Market_Daily!$J$6:$J$256,MATCH($A349,Market_Daily!$A$6:$A$256,0))*($M349-$A349)/day_count_usd)))))</f>
        <v/>
      </c>
      <c r="AM349" s="8">
        <f>IF(OR($J349="INR",$R349&gt;1),"",$AL349-$X349)</f>
        <v/>
      </c>
      <c r="AN349" s="8">
        <f>$U349</f>
        <v/>
      </c>
      <c r="AO349" s="8">
        <f>$V349</f>
        <v/>
      </c>
      <c r="AP349" s="18">
        <f>$AO349-$V349</f>
        <v/>
      </c>
      <c r="AQ349" s="8">
        <f>IF(ABS($AP349)&lt;=tol_trade_inr,"PASS","FAIL")</f>
        <v/>
      </c>
    </row>
    <row r="350">
      <c r="A350" s="11" t="n">
        <v>44657</v>
      </c>
      <c r="B350" s="7" t="inlineStr">
        <is>
          <t>T02</t>
        </is>
      </c>
      <c r="C350" s="7" t="inlineStr">
        <is>
          <t>PURCHASE:L2</t>
        </is>
      </c>
      <c r="D350" s="7" t="inlineStr">
        <is>
          <t>PURCHASE</t>
        </is>
      </c>
      <c r="E350" s="7" t="inlineStr">
        <is>
          <t>physical</t>
        </is>
      </c>
      <c r="F350" s="7" t="inlineStr">
        <is>
          <t>L2</t>
        </is>
      </c>
      <c r="G350" s="7" t="inlineStr">
        <is>
          <t>SUP_JEA_01</t>
        </is>
      </c>
      <c r="H350" s="7" t="inlineStr">
        <is>
          <t>tense</t>
        </is>
      </c>
      <c r="I350" s="7" t="inlineStr">
        <is>
          <t>JEA_NSA</t>
        </is>
      </c>
      <c r="J350" s="7" t="inlineStr">
        <is>
          <t>USD</t>
        </is>
      </c>
      <c r="K350" s="7" t="inlineStr">
        <is>
          <t>floating</t>
        </is>
      </c>
      <c r="L350" s="7" t="inlineStr">
        <is>
          <t>PNL</t>
        </is>
      </c>
      <c r="M350" s="11" t="n">
        <v>44754</v>
      </c>
      <c r="N350" s="13" t="n">
        <v>1200</v>
      </c>
      <c r="O350" s="6" t="n">
        <v>0</v>
      </c>
      <c r="P350" s="13" t="n">
        <v>0</v>
      </c>
      <c r="Q350" s="22" t="n">
        <v>30</v>
      </c>
      <c r="R350" s="6" t="n">
        <v>2</v>
      </c>
      <c r="U350" s="9" t="n">
        <v>-1322187.19</v>
      </c>
      <c r="V350" s="9" t="n">
        <v>-101115682.75</v>
      </c>
      <c r="X350" s="9" t="n">
        <v>76.4877</v>
      </c>
      <c r="AK350" s="7" t="inlineStr">
        <is>
          <t>PYTHON_MULTI_FLOW_LEG</t>
        </is>
      </c>
      <c r="AL350" s="8">
        <f>IF($J350="INR",1,IF($M350&lt;$A350,INDEX(Market_Daily!$F$6:$F$256,MATCH($M350,Market_Daily!$A$6:$A$256,1)),IF($M350=$A350,INDEX(Market_Daily!$F$6:$F$256,MATCH($A350,Market_Daily!$A$6:$A$256,0)),(INDEX(Market_Daily!$F$6:$F$256,MATCH($A350,Market_Daily!$A$6:$A$256,0))*(1+INDEX(Market_Daily!$I$6:$I$256,MATCH($A350,Market_Daily!$A$6:$A$256,0))*($M350-$A350)/day_count_inr)/(1+INDEX(Market_Daily!$J$6:$J$256,MATCH($A350,Market_Daily!$A$6:$A$256,0))*($M350-$A350)/day_count_usd)))))</f>
        <v/>
      </c>
      <c r="AM350" s="8">
        <f>IF(OR($J350="INR",$R350&gt;1),"",$AL350-$X350)</f>
        <v/>
      </c>
      <c r="AN350" s="8">
        <f>$U350</f>
        <v/>
      </c>
      <c r="AO350" s="8">
        <f>$V350</f>
        <v/>
      </c>
      <c r="AP350" s="18">
        <f>$AO350-$V350</f>
        <v/>
      </c>
      <c r="AQ350" s="8">
        <f>IF(ABS($AP350)&lt;=tol_trade_inr,"PASS","FAIL")</f>
        <v/>
      </c>
    </row>
    <row r="351">
      <c r="A351" s="11" t="n">
        <v>44657</v>
      </c>
      <c r="B351" s="7" t="inlineStr">
        <is>
          <t>T02</t>
        </is>
      </c>
      <c r="C351" s="7" t="inlineStr">
        <is>
          <t>SALE:S1</t>
        </is>
      </c>
      <c r="D351" s="7" t="inlineStr">
        <is>
          <t>SALE</t>
        </is>
      </c>
      <c r="E351" s="7" t="inlineStr">
        <is>
          <t>physical</t>
        </is>
      </c>
      <c r="G351" s="7" t="inlineStr">
        <is>
          <t>BUY_JNPT_01</t>
        </is>
      </c>
      <c r="H351" s="7" t="inlineStr">
        <is>
          <t>tense</t>
        </is>
      </c>
      <c r="I351" s="7" t="inlineStr">
        <is>
          <t>JEA_NSA</t>
        </is>
      </c>
      <c r="J351" s="7" t="inlineStr">
        <is>
          <t>INR</t>
        </is>
      </c>
      <c r="K351" s="7" t="inlineStr">
        <is>
          <t>floating</t>
        </is>
      </c>
      <c r="L351" s="7" t="inlineStr">
        <is>
          <t>PNL</t>
        </is>
      </c>
      <c r="M351" s="11" t="n">
        <v>44711</v>
      </c>
      <c r="N351" s="13" t="n">
        <v>1200</v>
      </c>
      <c r="O351" s="6" t="n">
        <v>0</v>
      </c>
      <c r="P351" s="13" t="n">
        <v>0</v>
      </c>
      <c r="Q351" s="22" t="n">
        <v>30</v>
      </c>
      <c r="R351" s="6" t="n">
        <v>1</v>
      </c>
      <c r="U351" s="9" t="n">
        <v>249211502.32</v>
      </c>
      <c r="V351" s="9" t="n">
        <v>249211502.32</v>
      </c>
      <c r="W351" s="9" t="n">
        <v>207676.2519</v>
      </c>
      <c r="X351" s="9" t="n">
        <v>75.8348</v>
      </c>
      <c r="AK351" s="7" t="inlineStr">
        <is>
          <t>PYTHON_LIFECYCLE</t>
        </is>
      </c>
      <c r="AL351" s="8">
        <f>IF($J351="INR",1,IF($M351&lt;$A351,INDEX(Market_Daily!$F$6:$F$256,MATCH($M351,Market_Daily!$A$6:$A$256,1)),IF($M351=$A351,INDEX(Market_Daily!$F$6:$F$256,MATCH($A351,Market_Daily!$A$6:$A$256,0)),(INDEX(Market_Daily!$F$6:$F$256,MATCH($A351,Market_Daily!$A$6:$A$256,0))*(1+INDEX(Market_Daily!$I$6:$I$256,MATCH($A351,Market_Daily!$A$6:$A$256,0))*($M351-$A351)/day_count_inr)/(1+INDEX(Market_Daily!$J$6:$J$256,MATCH($A351,Market_Daily!$A$6:$A$256,0))*($M351-$A351)/day_count_usd)))))</f>
        <v/>
      </c>
      <c r="AM351" s="8">
        <f>IF(OR($J351="INR",$R351&gt;1),"",$AL351-$X351)</f>
        <v/>
      </c>
      <c r="AN351" s="8">
        <f>$U351</f>
        <v/>
      </c>
      <c r="AO351" s="8">
        <f>$AN351*IF($J351="INR",1,$AL351)</f>
        <v/>
      </c>
      <c r="AP351" s="18">
        <f>$AO351-$V351</f>
        <v/>
      </c>
      <c r="AQ351" s="8">
        <f>IF(ABS($AP351)&lt;=tol_trade_inr,"PASS","FAIL")</f>
        <v/>
      </c>
    </row>
    <row r="352">
      <c r="A352" s="11" t="n">
        <v>44657</v>
      </c>
      <c r="B352" s="7" t="inlineStr">
        <is>
          <t>T02</t>
        </is>
      </c>
      <c r="C352" s="7" t="inlineStr">
        <is>
          <t>USANCE_INTEREST:L1</t>
        </is>
      </c>
      <c r="D352" s="7" t="inlineStr">
        <is>
          <t>USANCE_INTEREST</t>
        </is>
      </c>
      <c r="E352" s="7" t="inlineStr">
        <is>
          <t>physical</t>
        </is>
      </c>
      <c r="F352" s="7" t="inlineStr">
        <is>
          <t>L1</t>
        </is>
      </c>
      <c r="H352" s="7" t="inlineStr">
        <is>
          <t>tense</t>
        </is>
      </c>
      <c r="I352" s="7" t="inlineStr">
        <is>
          <t>JEA_NSA</t>
        </is>
      </c>
      <c r="J352" s="7" t="inlineStr">
        <is>
          <t>USD</t>
        </is>
      </c>
      <c r="K352" s="7" t="inlineStr">
        <is>
          <t>floating</t>
        </is>
      </c>
      <c r="L352" s="7" t="inlineStr">
        <is>
          <t>PNL</t>
        </is>
      </c>
      <c r="M352" s="11" t="n">
        <v>44746</v>
      </c>
      <c r="N352" s="13" t="n">
        <v>0</v>
      </c>
      <c r="O352" s="6" t="n">
        <v>0</v>
      </c>
      <c r="P352" s="13" t="n">
        <v>0</v>
      </c>
      <c r="Q352" s="22" t="n">
        <v>30</v>
      </c>
      <c r="R352" s="6" t="n">
        <v>1</v>
      </c>
      <c r="U352" s="9" t="n">
        <v>-6739.47</v>
      </c>
      <c r="V352" s="9" t="n">
        <v>-515124.59</v>
      </c>
      <c r="X352" s="9" t="n">
        <v>76.43389999999999</v>
      </c>
      <c r="AK352" s="7" t="inlineStr">
        <is>
          <t>PYTHON_LIFECYCLE</t>
        </is>
      </c>
      <c r="AL352" s="8">
        <f>IF($J352="INR",1,IF($M352&lt;$A352,INDEX(Market_Daily!$F$6:$F$256,MATCH($M352,Market_Daily!$A$6:$A$256,1)),IF($M352=$A352,INDEX(Market_Daily!$F$6:$F$256,MATCH($A352,Market_Daily!$A$6:$A$256,0)),(INDEX(Market_Daily!$F$6:$F$256,MATCH($A352,Market_Daily!$A$6:$A$256,0))*(1+INDEX(Market_Daily!$I$6:$I$256,MATCH($A352,Market_Daily!$A$6:$A$256,0))*($M352-$A352)/day_count_inr)/(1+INDEX(Market_Daily!$J$6:$J$256,MATCH($A352,Market_Daily!$A$6:$A$256,0))*($M352-$A352)/day_count_usd)))))</f>
        <v/>
      </c>
      <c r="AM352" s="8">
        <f>IF(OR($J352="INR",$R352&gt;1),"",$AL352-$X352)</f>
        <v/>
      </c>
      <c r="AN352" s="8">
        <f>$U352</f>
        <v/>
      </c>
      <c r="AO352" s="8">
        <f>$AN352*IF($J352="INR",1,$AL352)</f>
        <v/>
      </c>
      <c r="AP352" s="18">
        <f>$AO352-$V352</f>
        <v/>
      </c>
      <c r="AQ352" s="8">
        <f>IF(ABS($AP352)&lt;=tol_trade_inr,"PASS","FAIL")</f>
        <v/>
      </c>
    </row>
    <row r="353">
      <c r="A353" s="11" t="n">
        <v>44657</v>
      </c>
      <c r="B353" s="7" t="inlineStr">
        <is>
          <t>T02</t>
        </is>
      </c>
      <c r="C353" s="7" t="inlineStr">
        <is>
          <t>USANCE_INTEREST:L2</t>
        </is>
      </c>
      <c r="D353" s="7" t="inlineStr">
        <is>
          <t>USANCE_INTEREST</t>
        </is>
      </c>
      <c r="E353" s="7" t="inlineStr">
        <is>
          <t>physical</t>
        </is>
      </c>
      <c r="F353" s="7" t="inlineStr">
        <is>
          <t>L2</t>
        </is>
      </c>
      <c r="H353" s="7" t="inlineStr">
        <is>
          <t>tense</t>
        </is>
      </c>
      <c r="I353" s="7" t="inlineStr">
        <is>
          <t>JEA_NSA</t>
        </is>
      </c>
      <c r="J353" s="7" t="inlineStr">
        <is>
          <t>USD</t>
        </is>
      </c>
      <c r="K353" s="7" t="inlineStr">
        <is>
          <t>floating</t>
        </is>
      </c>
      <c r="L353" s="7" t="inlineStr">
        <is>
          <t>PNL</t>
        </is>
      </c>
      <c r="M353" s="11" t="n">
        <v>44754</v>
      </c>
      <c r="N353" s="13" t="n">
        <v>0</v>
      </c>
      <c r="O353" s="6" t="n">
        <v>0</v>
      </c>
      <c r="P353" s="13" t="n">
        <v>0</v>
      </c>
      <c r="Q353" s="22" t="n">
        <v>30</v>
      </c>
      <c r="R353" s="6" t="n">
        <v>1</v>
      </c>
      <c r="U353" s="9" t="n">
        <v>-6799.29</v>
      </c>
      <c r="V353" s="9" t="n">
        <v>-520061.77</v>
      </c>
      <c r="X353" s="9" t="n">
        <v>76.4877</v>
      </c>
      <c r="AK353" s="7" t="inlineStr">
        <is>
          <t>PYTHON_LIFECYCLE</t>
        </is>
      </c>
      <c r="AL353" s="8">
        <f>IF($J353="INR",1,IF($M353&lt;$A353,INDEX(Market_Daily!$F$6:$F$256,MATCH($M353,Market_Daily!$A$6:$A$256,1)),IF($M353=$A353,INDEX(Market_Daily!$F$6:$F$256,MATCH($A353,Market_Daily!$A$6:$A$256,0)),(INDEX(Market_Daily!$F$6:$F$256,MATCH($A353,Market_Daily!$A$6:$A$256,0))*(1+INDEX(Market_Daily!$I$6:$I$256,MATCH($A353,Market_Daily!$A$6:$A$256,0))*($M353-$A353)/day_count_inr)/(1+INDEX(Market_Daily!$J$6:$J$256,MATCH($A353,Market_Daily!$A$6:$A$256,0))*($M353-$A353)/day_count_usd)))))</f>
        <v/>
      </c>
      <c r="AM353" s="8">
        <f>IF(OR($J353="INR",$R353&gt;1),"",$AL353-$X353)</f>
        <v/>
      </c>
      <c r="AN353" s="8">
        <f>$U353</f>
        <v/>
      </c>
      <c r="AO353" s="8">
        <f>$AN353*IF($J353="INR",1,$AL353)</f>
        <v/>
      </c>
      <c r="AP353" s="18">
        <f>$AO353-$V353</f>
        <v/>
      </c>
      <c r="AQ353" s="8">
        <f>IF(ABS($AP353)&lt;=tol_trade_inr,"PASS","FAIL")</f>
        <v/>
      </c>
    </row>
    <row r="354">
      <c r="A354" s="11" t="n">
        <v>44657</v>
      </c>
      <c r="B354" s="7" t="inlineStr">
        <is>
          <t>T03</t>
        </is>
      </c>
      <c r="C354" s="7" t="inlineStr">
        <is>
          <t>BILL_COMMISSION:L1</t>
        </is>
      </c>
      <c r="D354" s="7" t="inlineStr">
        <is>
          <t>BILL_COMMISSION</t>
        </is>
      </c>
      <c r="E354" s="7" t="inlineStr">
        <is>
          <t>physical</t>
        </is>
      </c>
      <c r="F354" s="7" t="inlineStr">
        <is>
          <t>L1</t>
        </is>
      </c>
      <c r="H354" s="7" t="inlineStr">
        <is>
          <t>taint_tabor</t>
        </is>
      </c>
      <c r="I354" s="7" t="inlineStr">
        <is>
          <t>JEA_NSA</t>
        </is>
      </c>
      <c r="J354" s="7" t="inlineStr">
        <is>
          <t>USD</t>
        </is>
      </c>
      <c r="K354" s="7" t="inlineStr">
        <is>
          <t>floating</t>
        </is>
      </c>
      <c r="L354" s="7" t="inlineStr">
        <is>
          <t>PNL</t>
        </is>
      </c>
      <c r="M354" s="11" t="n">
        <v>44671</v>
      </c>
      <c r="N354" s="13" t="n">
        <v>0</v>
      </c>
      <c r="O354" s="6" t="n">
        <v>0</v>
      </c>
      <c r="P354" s="13" t="n">
        <v>0</v>
      </c>
      <c r="Q354" s="22" t="n">
        <v>30</v>
      </c>
      <c r="R354" s="6" t="n">
        <v>1</v>
      </c>
      <c r="U354" s="9" t="n">
        <v>-1778.4</v>
      </c>
      <c r="V354" s="9" t="n">
        <v>-135032.45</v>
      </c>
      <c r="X354" s="9" t="n">
        <v>75.92919999999999</v>
      </c>
      <c r="AK354" s="7" t="inlineStr">
        <is>
          <t>PYTHON_LIFECYCLE</t>
        </is>
      </c>
      <c r="AL354" s="8">
        <f>IF($J354="INR",1,IF($M354&lt;$A354,INDEX(Market_Daily!$F$6:$F$256,MATCH($M354,Market_Daily!$A$6:$A$256,1)),IF($M354=$A354,INDEX(Market_Daily!$F$6:$F$256,MATCH($A354,Market_Daily!$A$6:$A$256,0)),(INDEX(Market_Daily!$F$6:$F$256,MATCH($A354,Market_Daily!$A$6:$A$256,0))*(1+INDEX(Market_Daily!$I$6:$I$256,MATCH($A354,Market_Daily!$A$6:$A$256,0))*($M354-$A354)/day_count_inr)/(1+INDEX(Market_Daily!$J$6:$J$256,MATCH($A354,Market_Daily!$A$6:$A$256,0))*($M354-$A354)/day_count_usd)))))</f>
        <v/>
      </c>
      <c r="AM354" s="8">
        <f>IF(OR($J354="INR",$R354&gt;1),"",$AL354-$X354)</f>
        <v/>
      </c>
      <c r="AN354" s="8">
        <f>$U354</f>
        <v/>
      </c>
      <c r="AO354" s="8">
        <f>$AN354*IF($J354="INR",1,$AL354)</f>
        <v/>
      </c>
      <c r="AP354" s="18">
        <f>$AO354-$V354</f>
        <v/>
      </c>
      <c r="AQ354" s="8">
        <f>IF(ABS($AP354)&lt;=tol_trade_inr,"PASS","FAIL")</f>
        <v/>
      </c>
    </row>
    <row r="355">
      <c r="A355" s="11" t="n">
        <v>44657</v>
      </c>
      <c r="B355" s="7" t="inlineStr">
        <is>
          <t>T03</t>
        </is>
      </c>
      <c r="C355" s="7" t="inlineStr">
        <is>
          <t>BILL_COMMISSION:L2</t>
        </is>
      </c>
      <c r="D355" s="7" t="inlineStr">
        <is>
          <t>BILL_COMMISSION</t>
        </is>
      </c>
      <c r="E355" s="7" t="inlineStr">
        <is>
          <t>physical</t>
        </is>
      </c>
      <c r="F355" s="7" t="inlineStr">
        <is>
          <t>L2</t>
        </is>
      </c>
      <c r="H355" s="7" t="inlineStr">
        <is>
          <t>taint_tabor</t>
        </is>
      </c>
      <c r="I355" s="7" t="inlineStr">
        <is>
          <t>JEA_NSA</t>
        </is>
      </c>
      <c r="J355" s="7" t="inlineStr">
        <is>
          <t>USD</t>
        </is>
      </c>
      <c r="K355" s="7" t="inlineStr">
        <is>
          <t>floating</t>
        </is>
      </c>
      <c r="L355" s="7" t="inlineStr">
        <is>
          <t>PNL</t>
        </is>
      </c>
      <c r="M355" s="11" t="n">
        <v>44680</v>
      </c>
      <c r="N355" s="13" t="n">
        <v>0</v>
      </c>
      <c r="O355" s="6" t="n">
        <v>0</v>
      </c>
      <c r="P355" s="13" t="n">
        <v>0</v>
      </c>
      <c r="Q355" s="22" t="n">
        <v>30</v>
      </c>
      <c r="R355" s="6" t="n">
        <v>1</v>
      </c>
      <c r="U355" s="9" t="n">
        <v>-1778.4</v>
      </c>
      <c r="V355" s="9" t="n">
        <v>-135140.3</v>
      </c>
      <c r="X355" s="9" t="n">
        <v>75.9898</v>
      </c>
      <c r="AK355" s="7" t="inlineStr">
        <is>
          <t>PYTHON_LIFECYCLE</t>
        </is>
      </c>
      <c r="AL355" s="8">
        <f>IF($J355="INR",1,IF($M355&lt;$A355,INDEX(Market_Daily!$F$6:$F$256,MATCH($M355,Market_Daily!$A$6:$A$256,1)),IF($M355=$A355,INDEX(Market_Daily!$F$6:$F$256,MATCH($A355,Market_Daily!$A$6:$A$256,0)),(INDEX(Market_Daily!$F$6:$F$256,MATCH($A355,Market_Daily!$A$6:$A$256,0))*(1+INDEX(Market_Daily!$I$6:$I$256,MATCH($A355,Market_Daily!$A$6:$A$256,0))*($M355-$A355)/day_count_inr)/(1+INDEX(Market_Daily!$J$6:$J$256,MATCH($A355,Market_Daily!$A$6:$A$256,0))*($M355-$A355)/day_count_usd)))))</f>
        <v/>
      </c>
      <c r="AM355" s="8">
        <f>IF(OR($J355="INR",$R355&gt;1),"",$AL355-$X355)</f>
        <v/>
      </c>
      <c r="AN355" s="8">
        <f>$U355</f>
        <v/>
      </c>
      <c r="AO355" s="8">
        <f>$AN355*IF($J355="INR",1,$AL355)</f>
        <v/>
      </c>
      <c r="AP355" s="18">
        <f>$AO355-$V355</f>
        <v/>
      </c>
      <c r="AQ355" s="8">
        <f>IF(ABS($AP355)&lt;=tol_trade_inr,"PASS","FAIL")</f>
        <v/>
      </c>
    </row>
    <row r="356">
      <c r="A356" s="11" t="n">
        <v>44657</v>
      </c>
      <c r="B356" s="7" t="inlineStr">
        <is>
          <t>T03</t>
        </is>
      </c>
      <c r="C356" s="7" t="inlineStr">
        <is>
          <t>DUTY:L1</t>
        </is>
      </c>
      <c r="D356" s="7" t="inlineStr">
        <is>
          <t>DUTY</t>
        </is>
      </c>
      <c r="E356" s="7" t="inlineStr">
        <is>
          <t>physical</t>
        </is>
      </c>
      <c r="F356" s="7" t="inlineStr">
        <is>
          <t>L1</t>
        </is>
      </c>
      <c r="H356" s="7" t="inlineStr">
        <is>
          <t>taint_tabor</t>
        </is>
      </c>
      <c r="I356" s="7" t="inlineStr">
        <is>
          <t>JEA_NSA</t>
        </is>
      </c>
      <c r="J356" s="7" t="inlineStr">
        <is>
          <t>INR</t>
        </is>
      </c>
      <c r="K356" s="7" t="inlineStr">
        <is>
          <t>floating</t>
        </is>
      </c>
      <c r="L356" s="7" t="inlineStr">
        <is>
          <t>PNL</t>
        </is>
      </c>
      <c r="M356" s="11" t="n">
        <v>44670</v>
      </c>
      <c r="N356" s="13" t="n">
        <v>600</v>
      </c>
      <c r="O356" s="6" t="n">
        <v>0</v>
      </c>
      <c r="P356" s="13" t="n">
        <v>0</v>
      </c>
      <c r="Q356" s="22" t="n">
        <v>30</v>
      </c>
      <c r="R356" s="6" t="n">
        <v>1</v>
      </c>
      <c r="U356" s="9" t="n">
        <v>-3137506.97</v>
      </c>
      <c r="V356" s="9" t="n">
        <v>-3137506.97</v>
      </c>
      <c r="X356" s="9" t="n">
        <v>75.8348</v>
      </c>
      <c r="AK356" s="7" t="inlineStr">
        <is>
          <t>PYTHON_LIFECYCLE</t>
        </is>
      </c>
      <c r="AL356" s="8">
        <f>IF($J356="INR",1,IF($M356&lt;$A356,INDEX(Market_Daily!$F$6:$F$256,MATCH($M356,Market_Daily!$A$6:$A$256,1)),IF($M356=$A356,INDEX(Market_Daily!$F$6:$F$256,MATCH($A356,Market_Daily!$A$6:$A$256,0)),(INDEX(Market_Daily!$F$6:$F$256,MATCH($A356,Market_Daily!$A$6:$A$256,0))*(1+INDEX(Market_Daily!$I$6:$I$256,MATCH($A356,Market_Daily!$A$6:$A$256,0))*($M356-$A356)/day_count_inr)/(1+INDEX(Market_Daily!$J$6:$J$256,MATCH($A356,Market_Daily!$A$6:$A$256,0))*($M356-$A356)/day_count_usd)))))</f>
        <v/>
      </c>
      <c r="AM356" s="8">
        <f>IF(OR($J356="INR",$R356&gt;1),"",$AL356-$X356)</f>
        <v/>
      </c>
      <c r="AN356" s="8">
        <f>$U356</f>
        <v/>
      </c>
      <c r="AO356" s="8">
        <f>$AN356*IF($J356="INR",1,$AL356)</f>
        <v/>
      </c>
      <c r="AP356" s="18">
        <f>$AO356-$V356</f>
        <v/>
      </c>
      <c r="AQ356" s="8">
        <f>IF(ABS($AP356)&lt;=tol_trade_inr,"PASS","FAIL")</f>
        <v/>
      </c>
    </row>
    <row r="357">
      <c r="A357" s="11" t="n">
        <v>44657</v>
      </c>
      <c r="B357" s="7" t="inlineStr">
        <is>
          <t>T03</t>
        </is>
      </c>
      <c r="C357" s="7" t="inlineStr">
        <is>
          <t>DUTY:L2</t>
        </is>
      </c>
      <c r="D357" s="7" t="inlineStr">
        <is>
          <t>DUTY</t>
        </is>
      </c>
      <c r="E357" s="7" t="inlineStr">
        <is>
          <t>physical</t>
        </is>
      </c>
      <c r="F357" s="7" t="inlineStr">
        <is>
          <t>L2</t>
        </is>
      </c>
      <c r="H357" s="7" t="inlineStr">
        <is>
          <t>taint_tabor</t>
        </is>
      </c>
      <c r="I357" s="7" t="inlineStr">
        <is>
          <t>JEA_NSA</t>
        </is>
      </c>
      <c r="J357" s="7" t="inlineStr">
        <is>
          <t>INR</t>
        </is>
      </c>
      <c r="K357" s="7" t="inlineStr">
        <is>
          <t>floating</t>
        </is>
      </c>
      <c r="L357" s="7" t="inlineStr">
        <is>
          <t>PNL</t>
        </is>
      </c>
      <c r="M357" s="11" t="n">
        <v>44679</v>
      </c>
      <c r="N357" s="13" t="n">
        <v>600</v>
      </c>
      <c r="O357" s="6" t="n">
        <v>0</v>
      </c>
      <c r="P357" s="13" t="n">
        <v>0</v>
      </c>
      <c r="Q357" s="22" t="n">
        <v>30</v>
      </c>
      <c r="R357" s="6" t="n">
        <v>1</v>
      </c>
      <c r="U357" s="9" t="n">
        <v>-3137506.97</v>
      </c>
      <c r="V357" s="9" t="n">
        <v>-3137506.97</v>
      </c>
      <c r="X357" s="9" t="n">
        <v>75.8348</v>
      </c>
      <c r="AK357" s="7" t="inlineStr">
        <is>
          <t>PYTHON_LIFECYCLE</t>
        </is>
      </c>
      <c r="AL357" s="8">
        <f>IF($J357="INR",1,IF($M357&lt;$A357,INDEX(Market_Daily!$F$6:$F$256,MATCH($M357,Market_Daily!$A$6:$A$256,1)),IF($M357=$A357,INDEX(Market_Daily!$F$6:$F$256,MATCH($A357,Market_Daily!$A$6:$A$256,0)),(INDEX(Market_Daily!$F$6:$F$256,MATCH($A357,Market_Daily!$A$6:$A$256,0))*(1+INDEX(Market_Daily!$I$6:$I$256,MATCH($A357,Market_Daily!$A$6:$A$256,0))*($M357-$A357)/day_count_inr)/(1+INDEX(Market_Daily!$J$6:$J$256,MATCH($A357,Market_Daily!$A$6:$A$256,0))*($M357-$A357)/day_count_usd)))))</f>
        <v/>
      </c>
      <c r="AM357" s="8">
        <f>IF(OR($J357="INR",$R357&gt;1),"",$AL357-$X357)</f>
        <v/>
      </c>
      <c r="AN357" s="8">
        <f>$U357</f>
        <v/>
      </c>
      <c r="AO357" s="8">
        <f>$AN357*IF($J357="INR",1,$AL357)</f>
        <v/>
      </c>
      <c r="AP357" s="18">
        <f>$AO357-$V357</f>
        <v/>
      </c>
      <c r="AQ357" s="8">
        <f>IF(ABS($AP357)&lt;=tol_trade_inr,"PASS","FAIL")</f>
        <v/>
      </c>
    </row>
    <row r="358">
      <c r="A358" s="11" t="n">
        <v>44657</v>
      </c>
      <c r="B358" s="7" t="inlineStr">
        <is>
          <t>T03</t>
        </is>
      </c>
      <c r="C358" s="7" t="inlineStr">
        <is>
          <t>IGST:L1</t>
        </is>
      </c>
      <c r="D358" s="7" t="inlineStr">
        <is>
          <t>IGST</t>
        </is>
      </c>
      <c r="E358" s="7" t="inlineStr">
        <is>
          <t>physical</t>
        </is>
      </c>
      <c r="F358" s="7" t="inlineStr">
        <is>
          <t>L1</t>
        </is>
      </c>
      <c r="H358" s="7" t="inlineStr">
        <is>
          <t>taint_tabor</t>
        </is>
      </c>
      <c r="I358" s="7" t="inlineStr">
        <is>
          <t>JEA_NSA</t>
        </is>
      </c>
      <c r="J358" s="7" t="inlineStr">
        <is>
          <t>INR</t>
        </is>
      </c>
      <c r="K358" s="7" t="inlineStr">
        <is>
          <t>floating</t>
        </is>
      </c>
      <c r="L358" s="7" t="inlineStr">
        <is>
          <t>BS</t>
        </is>
      </c>
      <c r="M358" s="11" t="n">
        <v>44718</v>
      </c>
      <c r="N358" s="13" t="n">
        <v>0</v>
      </c>
      <c r="O358" s="6" t="n">
        <v>0</v>
      </c>
      <c r="P358" s="13" t="n">
        <v>0</v>
      </c>
      <c r="Q358" s="22" t="n">
        <v>30</v>
      </c>
      <c r="R358" s="6" t="n">
        <v>2</v>
      </c>
      <c r="U358" s="9" t="n">
        <v>0</v>
      </c>
      <c r="V358" s="9" t="n">
        <v>0</v>
      </c>
      <c r="X358" s="9" t="n">
        <v>75.8348</v>
      </c>
      <c r="AK358" s="7" t="inlineStr">
        <is>
          <t>PYTHON_MULTI_FLOW_LEG</t>
        </is>
      </c>
      <c r="AL358" s="8">
        <f>IF($J358="INR",1,IF($M358&lt;$A358,INDEX(Market_Daily!$F$6:$F$256,MATCH($M358,Market_Daily!$A$6:$A$256,1)),IF($M358=$A358,INDEX(Market_Daily!$F$6:$F$256,MATCH($A358,Market_Daily!$A$6:$A$256,0)),(INDEX(Market_Daily!$F$6:$F$256,MATCH($A358,Market_Daily!$A$6:$A$256,0))*(1+INDEX(Market_Daily!$I$6:$I$256,MATCH($A358,Market_Daily!$A$6:$A$256,0))*($M358-$A358)/day_count_inr)/(1+INDEX(Market_Daily!$J$6:$J$256,MATCH($A358,Market_Daily!$A$6:$A$256,0))*($M358-$A358)/day_count_usd)))))</f>
        <v/>
      </c>
      <c r="AM358" s="8">
        <f>IF(OR($J358="INR",$R358&gt;1),"",$AL358-$X358)</f>
        <v/>
      </c>
      <c r="AN358" s="8">
        <f>$U358</f>
        <v/>
      </c>
      <c r="AO358" s="8">
        <f>$V358</f>
        <v/>
      </c>
      <c r="AP358" s="18">
        <f>$AO358-$V358</f>
        <v/>
      </c>
      <c r="AQ358" s="8">
        <f>IF(ABS($AP358)&lt;=tol_trade_inr,"PASS","FAIL")</f>
        <v/>
      </c>
    </row>
    <row r="359">
      <c r="A359" s="11" t="n">
        <v>44657</v>
      </c>
      <c r="B359" s="7" t="inlineStr">
        <is>
          <t>T03</t>
        </is>
      </c>
      <c r="C359" s="7" t="inlineStr">
        <is>
          <t>IGST:L2</t>
        </is>
      </c>
      <c r="D359" s="7" t="inlineStr">
        <is>
          <t>IGST</t>
        </is>
      </c>
      <c r="E359" s="7" t="inlineStr">
        <is>
          <t>physical</t>
        </is>
      </c>
      <c r="F359" s="7" t="inlineStr">
        <is>
          <t>L2</t>
        </is>
      </c>
      <c r="H359" s="7" t="inlineStr">
        <is>
          <t>taint_tabor</t>
        </is>
      </c>
      <c r="I359" s="7" t="inlineStr">
        <is>
          <t>JEA_NSA</t>
        </is>
      </c>
      <c r="J359" s="7" t="inlineStr">
        <is>
          <t>INR</t>
        </is>
      </c>
      <c r="K359" s="7" t="inlineStr">
        <is>
          <t>floating</t>
        </is>
      </c>
      <c r="L359" s="7" t="inlineStr">
        <is>
          <t>BS</t>
        </is>
      </c>
      <c r="M359" s="11" t="n">
        <v>44725</v>
      </c>
      <c r="N359" s="13" t="n">
        <v>0</v>
      </c>
      <c r="O359" s="6" t="n">
        <v>0</v>
      </c>
      <c r="P359" s="13" t="n">
        <v>0</v>
      </c>
      <c r="Q359" s="22" t="n">
        <v>30</v>
      </c>
      <c r="R359" s="6" t="n">
        <v>2</v>
      </c>
      <c r="U359" s="9" t="n">
        <v>0</v>
      </c>
      <c r="V359" s="9" t="n">
        <v>0</v>
      </c>
      <c r="X359" s="9" t="n">
        <v>75.8348</v>
      </c>
      <c r="AK359" s="7" t="inlineStr">
        <is>
          <t>PYTHON_MULTI_FLOW_LEG</t>
        </is>
      </c>
      <c r="AL359" s="8">
        <f>IF($J359="INR",1,IF($M359&lt;$A359,INDEX(Market_Daily!$F$6:$F$256,MATCH($M359,Market_Daily!$A$6:$A$256,1)),IF($M359=$A359,INDEX(Market_Daily!$F$6:$F$256,MATCH($A359,Market_Daily!$A$6:$A$256,0)),(INDEX(Market_Daily!$F$6:$F$256,MATCH($A359,Market_Daily!$A$6:$A$256,0))*(1+INDEX(Market_Daily!$I$6:$I$256,MATCH($A359,Market_Daily!$A$6:$A$256,0))*($M359-$A359)/day_count_inr)/(1+INDEX(Market_Daily!$J$6:$J$256,MATCH($A359,Market_Daily!$A$6:$A$256,0))*($M359-$A359)/day_count_usd)))))</f>
        <v/>
      </c>
      <c r="AM359" s="8">
        <f>IF(OR($J359="INR",$R359&gt;1),"",$AL359-$X359)</f>
        <v/>
      </c>
      <c r="AN359" s="8">
        <f>$U359</f>
        <v/>
      </c>
      <c r="AO359" s="8">
        <f>$V359</f>
        <v/>
      </c>
      <c r="AP359" s="18">
        <f>$AO359-$V359</f>
        <v/>
      </c>
      <c r="AQ359" s="8">
        <f>IF(ABS($AP359)&lt;=tol_trade_inr,"PASS","FAIL")</f>
        <v/>
      </c>
    </row>
    <row r="360">
      <c r="A360" s="11" t="n">
        <v>44657</v>
      </c>
      <c r="B360" s="7" t="inlineStr">
        <is>
          <t>T03</t>
        </is>
      </c>
      <c r="C360" s="7" t="inlineStr">
        <is>
          <t>INSURANCE:L1</t>
        </is>
      </c>
      <c r="D360" s="7" t="inlineStr">
        <is>
          <t>INSURANCE</t>
        </is>
      </c>
      <c r="E360" s="7" t="inlineStr">
        <is>
          <t>physical</t>
        </is>
      </c>
      <c r="F360" s="7" t="inlineStr">
        <is>
          <t>L1</t>
        </is>
      </c>
      <c r="H360" s="7" t="inlineStr">
        <is>
          <t>taint_tabor</t>
        </is>
      </c>
      <c r="I360" s="7" t="inlineStr">
        <is>
          <t>JEA_NSA</t>
        </is>
      </c>
      <c r="J360" s="7" t="inlineStr">
        <is>
          <t>USD</t>
        </is>
      </c>
      <c r="K360" s="7" t="inlineStr">
        <is>
          <t>floating</t>
        </is>
      </c>
      <c r="L360" s="7" t="inlineStr">
        <is>
          <t>PNL</t>
        </is>
      </c>
      <c r="M360" s="11" t="n">
        <v>44664</v>
      </c>
      <c r="N360" s="13" t="n">
        <v>600</v>
      </c>
      <c r="O360" s="6" t="n">
        <v>0</v>
      </c>
      <c r="P360" s="13" t="n">
        <v>0</v>
      </c>
      <c r="Q360" s="22" t="n">
        <v>30</v>
      </c>
      <c r="R360" s="6" t="n">
        <v>1</v>
      </c>
      <c r="U360" s="9" t="n">
        <v>-1630.2</v>
      </c>
      <c r="V360" s="9" t="n">
        <v>-123702.83</v>
      </c>
      <c r="X360" s="9" t="n">
        <v>75.88200000000001</v>
      </c>
      <c r="AK360" s="7" t="inlineStr">
        <is>
          <t>PYTHON_LIFECYCLE</t>
        </is>
      </c>
      <c r="AL360" s="8">
        <f>IF($J360="INR",1,IF($M360&lt;$A360,INDEX(Market_Daily!$F$6:$F$256,MATCH($M360,Market_Daily!$A$6:$A$256,1)),IF($M360=$A360,INDEX(Market_Daily!$F$6:$F$256,MATCH($A360,Market_Daily!$A$6:$A$256,0)),(INDEX(Market_Daily!$F$6:$F$256,MATCH($A360,Market_Daily!$A$6:$A$256,0))*(1+INDEX(Market_Daily!$I$6:$I$256,MATCH($A360,Market_Daily!$A$6:$A$256,0))*($M360-$A360)/day_count_inr)/(1+INDEX(Market_Daily!$J$6:$J$256,MATCH($A360,Market_Daily!$A$6:$A$256,0))*($M360-$A360)/day_count_usd)))))</f>
        <v/>
      </c>
      <c r="AM360" s="8">
        <f>IF(OR($J360="INR",$R360&gt;1),"",$AL360-$X360)</f>
        <v/>
      </c>
      <c r="AN360" s="8">
        <f>$U360</f>
        <v/>
      </c>
      <c r="AO360" s="8">
        <f>$AN360*IF($J360="INR",1,$AL360)</f>
        <v/>
      </c>
      <c r="AP360" s="18">
        <f>$AO360-$V360</f>
        <v/>
      </c>
      <c r="AQ360" s="8">
        <f>IF(ABS($AP360)&lt;=tol_trade_inr,"PASS","FAIL")</f>
        <v/>
      </c>
    </row>
    <row r="361">
      <c r="A361" s="11" t="n">
        <v>44657</v>
      </c>
      <c r="B361" s="7" t="inlineStr">
        <is>
          <t>T03</t>
        </is>
      </c>
      <c r="C361" s="7" t="inlineStr">
        <is>
          <t>INSURANCE:L2</t>
        </is>
      </c>
      <c r="D361" s="7" t="inlineStr">
        <is>
          <t>INSURANCE</t>
        </is>
      </c>
      <c r="E361" s="7" t="inlineStr">
        <is>
          <t>physical</t>
        </is>
      </c>
      <c r="F361" s="7" t="inlineStr">
        <is>
          <t>L2</t>
        </is>
      </c>
      <c r="H361" s="7" t="inlineStr">
        <is>
          <t>taint_tabor</t>
        </is>
      </c>
      <c r="I361" s="7" t="inlineStr">
        <is>
          <t>JEA_NSA</t>
        </is>
      </c>
      <c r="J361" s="7" t="inlineStr">
        <is>
          <t>USD</t>
        </is>
      </c>
      <c r="K361" s="7" t="inlineStr">
        <is>
          <t>floating</t>
        </is>
      </c>
      <c r="L361" s="7" t="inlineStr">
        <is>
          <t>PNL</t>
        </is>
      </c>
      <c r="M361" s="11" t="n">
        <v>44673</v>
      </c>
      <c r="N361" s="13" t="n">
        <v>600</v>
      </c>
      <c r="O361" s="6" t="n">
        <v>0</v>
      </c>
      <c r="P361" s="13" t="n">
        <v>0</v>
      </c>
      <c r="Q361" s="22" t="n">
        <v>30</v>
      </c>
      <c r="R361" s="6" t="n">
        <v>1</v>
      </c>
      <c r="U361" s="9" t="n">
        <v>-1630.2</v>
      </c>
      <c r="V361" s="9" t="n">
        <v>-123801.72</v>
      </c>
      <c r="X361" s="9" t="n">
        <v>75.9427</v>
      </c>
      <c r="AK361" s="7" t="inlineStr">
        <is>
          <t>PYTHON_LIFECYCLE</t>
        </is>
      </c>
      <c r="AL361" s="8">
        <f>IF($J361="INR",1,IF($M361&lt;$A361,INDEX(Market_Daily!$F$6:$F$256,MATCH($M361,Market_Daily!$A$6:$A$256,1)),IF($M361=$A361,INDEX(Market_Daily!$F$6:$F$256,MATCH($A361,Market_Daily!$A$6:$A$256,0)),(INDEX(Market_Daily!$F$6:$F$256,MATCH($A361,Market_Daily!$A$6:$A$256,0))*(1+INDEX(Market_Daily!$I$6:$I$256,MATCH($A361,Market_Daily!$A$6:$A$256,0))*($M361-$A361)/day_count_inr)/(1+INDEX(Market_Daily!$J$6:$J$256,MATCH($A361,Market_Daily!$A$6:$A$256,0))*($M361-$A361)/day_count_usd)))))</f>
        <v/>
      </c>
      <c r="AM361" s="8">
        <f>IF(OR($J361="INR",$R361&gt;1),"",$AL361-$X361)</f>
        <v/>
      </c>
      <c r="AN361" s="8">
        <f>$U361</f>
        <v/>
      </c>
      <c r="AO361" s="8">
        <f>$AN361*IF($J361="INR",1,$AL361)</f>
        <v/>
      </c>
      <c r="AP361" s="18">
        <f>$AO361-$V361</f>
        <v/>
      </c>
      <c r="AQ361" s="8">
        <f>IF(ABS($AP361)&lt;=tol_trade_inr,"PASS","FAIL")</f>
        <v/>
      </c>
    </row>
    <row r="362">
      <c r="A362" s="11" t="n">
        <v>44657</v>
      </c>
      <c r="B362" s="7" t="inlineStr">
        <is>
          <t>T03</t>
        </is>
      </c>
      <c r="C362" s="7" t="inlineStr">
        <is>
          <t>INVENTORY:L1</t>
        </is>
      </c>
      <c r="D362" s="7" t="inlineStr">
        <is>
          <t>INVENTORY</t>
        </is>
      </c>
      <c r="E362" s="7" t="inlineStr">
        <is>
          <t>physical</t>
        </is>
      </c>
      <c r="F362" s="7" t="inlineStr">
        <is>
          <t>L1</t>
        </is>
      </c>
      <c r="H362" s="7" t="inlineStr">
        <is>
          <t>taint_tabor</t>
        </is>
      </c>
      <c r="I362" s="7" t="inlineStr">
        <is>
          <t>JEA_NSA</t>
        </is>
      </c>
      <c r="J362" s="7" t="inlineStr">
        <is>
          <t>INR</t>
        </is>
      </c>
      <c r="K362" s="7" t="inlineStr">
        <is>
          <t>fixed_unsettled</t>
        </is>
      </c>
      <c r="L362" s="7" t="inlineStr">
        <is>
          <t>PNL</t>
        </is>
      </c>
      <c r="N362" s="13" t="n">
        <v>600</v>
      </c>
      <c r="O362" s="6" t="n">
        <v>0</v>
      </c>
      <c r="P362" s="13" t="n">
        <v>0</v>
      </c>
      <c r="Q362" s="22" t="n">
        <v>30</v>
      </c>
      <c r="R362" s="6" t="n">
        <v>0</v>
      </c>
      <c r="U362" s="9" t="n">
        <v>119447540.15</v>
      </c>
      <c r="V362" s="9" t="n">
        <v>119447540.15</v>
      </c>
      <c r="W362" s="9" t="n">
        <v>199079.2336</v>
      </c>
      <c r="X362" s="9" t="n">
        <v>75.8348</v>
      </c>
      <c r="Y362" s="8">
        <f>IF($I362="JEA_NSA","20ft","40ft")</f>
        <v/>
      </c>
      <c r="Z362" s="8">
        <f>IF($I362="JEA_NSA","nsa","mun")</f>
        <v/>
      </c>
      <c r="AA362" s="8">
        <f>INDEX(param_values,MATCH("container_payload_mt_"&amp;$Y362,param_keys,0))/INDEX(param_values,MATCH("container_payload_mt_"&amp;$Y362&amp;"_"&amp;$H362,param_keys,0))</f>
        <v/>
      </c>
      <c r="AB362" s="16">
        <f>INDEX(Market_Daily!$C$6:$C$256,MATCH($A362,Market_Daily!$A$6:$A$256,0))*INDEX(Market_Daily!$X$6:$Z$256,MATCH($A362,Market_Daily!$A$6:$A$256,0),MATCH("grade_factor_"&amp;$H362,Market_Daily!$X$5:$Z$5,0))</f>
        <v/>
      </c>
      <c r="AC362" s="16">
        <f>$AB362*(1+insurance_rate*insured_value_uplift)</f>
        <v/>
      </c>
      <c r="AD362" s="8">
        <f>(INDEX(Market_Daily!$F$6:$F$256,MATCH($A362,Market_Daily!$A$6:$A$256,0))*(1+INDEX(Market_Daily!$I$6:$I$256,MATCH($A362,Market_Daily!$A$6:$A$256,0))*$Q362/day_count_inr)/(1+INDEX(Market_Daily!$J$6:$J$256,MATCH($A362,Market_Daily!$A$6:$A$256,0))*$Q362/day_count_usd))</f>
        <v/>
      </c>
      <c r="AE362" s="18">
        <f>$AC362*$AD362</f>
        <v/>
      </c>
      <c r="AF362" s="18">
        <f>$AC362*INDEX(Market_Daily!$V$6:$V$256,MATCH($A362,Market_Daily!$A$6:$A$256,0))</f>
        <v/>
      </c>
      <c r="AG362" s="18">
        <f>$AF362*bcd_scrap_hs7602*(1+sws_rate_on_bcd)</f>
        <v/>
      </c>
      <c r="AH362" s="18">
        <f>INDEX(param_values,MATCH("port_cf_charges_inr_t_"&amp;$Z362,param_keys,0))*$AA362+IF(INDEX(param_values,MATCH(IF($I362="JEA_NSA","psic_required_uae_origin","psic_required_safe_origin_designated_port"),param_keys,0)),psic_cost_usd_per_box*INDEX(Market_Daily!$F$6:$F$256,MATCH($A362,Market_Daily!$A$6:$A$256,0))/INDEX(param_values,MATCH("container_payload_mt_20ft_"&amp;$H362,param_keys,0)),0)</f>
        <v/>
      </c>
      <c r="AI362" s="18">
        <f>IF(igst_itc_available,0,($AF362+$AG362)*igst_rate_hs7602)</f>
        <v/>
      </c>
      <c r="AJ362" s="18">
        <f>$AE362+$AG362+$AH362+$AI362</f>
        <v/>
      </c>
      <c r="AK362" s="7" t="inlineStr">
        <is>
          <t>DERIVED_IN_WORKBOOK</t>
        </is>
      </c>
      <c r="AL362" s="8">
        <f>IF($J362="INR",1,IF($M362&lt;$A362,INDEX(Market_Daily!$F$6:$F$256,MATCH($M362,Market_Daily!$A$6:$A$256,1)),IF($M362=$A362,INDEX(Market_Daily!$F$6:$F$256,MATCH($A362,Market_Daily!$A$6:$A$256,0)),(INDEX(Market_Daily!$F$6:$F$256,MATCH($A362,Market_Daily!$A$6:$A$256,0))*(1+INDEX(Market_Daily!$I$6:$I$256,MATCH($A362,Market_Daily!$A$6:$A$256,0))*($M362-$A362)/day_count_inr)/(1+INDEX(Market_Daily!$J$6:$J$256,MATCH($A362,Market_Daily!$A$6:$A$256,0))*($M362-$A362)/day_count_usd)))))</f>
        <v/>
      </c>
      <c r="AM362" s="8">
        <f>IF(OR($J362="INR",$R362&gt;1),"",$AL362-$X362)</f>
        <v/>
      </c>
      <c r="AN362" s="8">
        <f>$N362*$AJ362</f>
        <v/>
      </c>
      <c r="AO362" s="8">
        <f>$AN362</f>
        <v/>
      </c>
      <c r="AP362" s="18">
        <f>$AO362-$V362</f>
        <v/>
      </c>
      <c r="AQ362" s="8">
        <f>IF(ABS($AP362)&lt;=tol_trade_inr,"PASS","FAIL")</f>
        <v/>
      </c>
    </row>
    <row r="363">
      <c r="A363" s="11" t="n">
        <v>44657</v>
      </c>
      <c r="B363" s="7" t="inlineStr">
        <is>
          <t>T03</t>
        </is>
      </c>
      <c r="C363" s="7" t="inlineStr">
        <is>
          <t>INVENTORY:L2</t>
        </is>
      </c>
      <c r="D363" s="7" t="inlineStr">
        <is>
          <t>INVENTORY</t>
        </is>
      </c>
      <c r="E363" s="7" t="inlineStr">
        <is>
          <t>physical</t>
        </is>
      </c>
      <c r="F363" s="7" t="inlineStr">
        <is>
          <t>L2</t>
        </is>
      </c>
      <c r="H363" s="7" t="inlineStr">
        <is>
          <t>taint_tabor</t>
        </is>
      </c>
      <c r="I363" s="7" t="inlineStr">
        <is>
          <t>JEA_NSA</t>
        </is>
      </c>
      <c r="J363" s="7" t="inlineStr">
        <is>
          <t>INR</t>
        </is>
      </c>
      <c r="K363" s="7" t="inlineStr">
        <is>
          <t>fixed_unsettled</t>
        </is>
      </c>
      <c r="L363" s="7" t="inlineStr">
        <is>
          <t>PNL</t>
        </is>
      </c>
      <c r="N363" s="13" t="n">
        <v>600</v>
      </c>
      <c r="O363" s="6" t="n">
        <v>0</v>
      </c>
      <c r="P363" s="13" t="n">
        <v>0</v>
      </c>
      <c r="Q363" s="22" t="n">
        <v>30</v>
      </c>
      <c r="R363" s="6" t="n">
        <v>0</v>
      </c>
      <c r="U363" s="9" t="n">
        <v>119447540.15</v>
      </c>
      <c r="V363" s="9" t="n">
        <v>119447540.15</v>
      </c>
      <c r="W363" s="9" t="n">
        <v>199079.2336</v>
      </c>
      <c r="X363" s="9" t="n">
        <v>75.8348</v>
      </c>
      <c r="Y363" s="8">
        <f>IF($I363="JEA_NSA","20ft","40ft")</f>
        <v/>
      </c>
      <c r="Z363" s="8">
        <f>IF($I363="JEA_NSA","nsa","mun")</f>
        <v/>
      </c>
      <c r="AA363" s="8">
        <f>INDEX(param_values,MATCH("container_payload_mt_"&amp;$Y363,param_keys,0))/INDEX(param_values,MATCH("container_payload_mt_"&amp;$Y363&amp;"_"&amp;$H363,param_keys,0))</f>
        <v/>
      </c>
      <c r="AB363" s="16">
        <f>INDEX(Market_Daily!$C$6:$C$256,MATCH($A363,Market_Daily!$A$6:$A$256,0))*INDEX(Market_Daily!$X$6:$Z$256,MATCH($A363,Market_Daily!$A$6:$A$256,0),MATCH("grade_factor_"&amp;$H363,Market_Daily!$X$5:$Z$5,0))</f>
        <v/>
      </c>
      <c r="AC363" s="16">
        <f>$AB363*(1+insurance_rate*insured_value_uplift)</f>
        <v/>
      </c>
      <c r="AD363" s="8">
        <f>(INDEX(Market_Daily!$F$6:$F$256,MATCH($A363,Market_Daily!$A$6:$A$256,0))*(1+INDEX(Market_Daily!$I$6:$I$256,MATCH($A363,Market_Daily!$A$6:$A$256,0))*$Q363/day_count_inr)/(1+INDEX(Market_Daily!$J$6:$J$256,MATCH($A363,Market_Daily!$A$6:$A$256,0))*$Q363/day_count_usd))</f>
        <v/>
      </c>
      <c r="AE363" s="18">
        <f>$AC363*$AD363</f>
        <v/>
      </c>
      <c r="AF363" s="18">
        <f>$AC363*INDEX(Market_Daily!$V$6:$V$256,MATCH($A363,Market_Daily!$A$6:$A$256,0))</f>
        <v/>
      </c>
      <c r="AG363" s="18">
        <f>$AF363*bcd_scrap_hs7602*(1+sws_rate_on_bcd)</f>
        <v/>
      </c>
      <c r="AH363" s="18">
        <f>INDEX(param_values,MATCH("port_cf_charges_inr_t_"&amp;$Z363,param_keys,0))*$AA363+IF(INDEX(param_values,MATCH(IF($I363="JEA_NSA","psic_required_uae_origin","psic_required_safe_origin_designated_port"),param_keys,0)),psic_cost_usd_per_box*INDEX(Market_Daily!$F$6:$F$256,MATCH($A363,Market_Daily!$A$6:$A$256,0))/INDEX(param_values,MATCH("container_payload_mt_20ft_"&amp;$H363,param_keys,0)),0)</f>
        <v/>
      </c>
      <c r="AI363" s="18">
        <f>IF(igst_itc_available,0,($AF363+$AG363)*igst_rate_hs7602)</f>
        <v/>
      </c>
      <c r="AJ363" s="18">
        <f>$AE363+$AG363+$AH363+$AI363</f>
        <v/>
      </c>
      <c r="AK363" s="7" t="inlineStr">
        <is>
          <t>DERIVED_IN_WORKBOOK</t>
        </is>
      </c>
      <c r="AL363" s="8">
        <f>IF($J363="INR",1,IF($M363&lt;$A363,INDEX(Market_Daily!$F$6:$F$256,MATCH($M363,Market_Daily!$A$6:$A$256,1)),IF($M363=$A363,INDEX(Market_Daily!$F$6:$F$256,MATCH($A363,Market_Daily!$A$6:$A$256,0)),(INDEX(Market_Daily!$F$6:$F$256,MATCH($A363,Market_Daily!$A$6:$A$256,0))*(1+INDEX(Market_Daily!$I$6:$I$256,MATCH($A363,Market_Daily!$A$6:$A$256,0))*($M363-$A363)/day_count_inr)/(1+INDEX(Market_Daily!$J$6:$J$256,MATCH($A363,Market_Daily!$A$6:$A$256,0))*($M363-$A363)/day_count_usd)))))</f>
        <v/>
      </c>
      <c r="AM363" s="8">
        <f>IF(OR($J363="INR",$R363&gt;1),"",$AL363-$X363)</f>
        <v/>
      </c>
      <c r="AN363" s="8">
        <f>$N363*$AJ363</f>
        <v/>
      </c>
      <c r="AO363" s="8">
        <f>$AN363</f>
        <v/>
      </c>
      <c r="AP363" s="18">
        <f>$AO363-$V363</f>
        <v/>
      </c>
      <c r="AQ363" s="8">
        <f>IF(ABS($AP363)&lt;=tol_trade_inr,"PASS","FAIL")</f>
        <v/>
      </c>
    </row>
    <row r="364">
      <c r="A364" s="11" t="n">
        <v>44657</v>
      </c>
      <c r="B364" s="7" t="inlineStr">
        <is>
          <t>T03</t>
        </is>
      </c>
      <c r="C364" s="7" t="inlineStr">
        <is>
          <t>MCX:T03-MCX-1</t>
        </is>
      </c>
      <c r="D364" s="7" t="inlineStr">
        <is>
          <t>MCX</t>
        </is>
      </c>
      <c r="E364" s="7" t="inlineStr">
        <is>
          <t>mcx</t>
        </is>
      </c>
      <c r="H364" s="7" t="inlineStr">
        <is>
          <t>taint_tabor</t>
        </is>
      </c>
      <c r="I364" s="7" t="inlineStr">
        <is>
          <t>JEA_NSA</t>
        </is>
      </c>
      <c r="J364" s="7" t="inlineStr">
        <is>
          <t>INR</t>
        </is>
      </c>
      <c r="K364" s="7" t="inlineStr">
        <is>
          <t>partially_fixed</t>
        </is>
      </c>
      <c r="L364" s="7" t="inlineStr">
        <is>
          <t>PNL</t>
        </is>
      </c>
      <c r="M364" s="11" t="n">
        <v>44671</v>
      </c>
      <c r="N364" s="13" t="n">
        <v>0</v>
      </c>
      <c r="O364" s="6" t="n">
        <v>-143</v>
      </c>
      <c r="P364" s="13" t="n">
        <v>0</v>
      </c>
      <c r="Q364" s="22" t="n">
        <v>30</v>
      </c>
      <c r="R364" s="6" t="n">
        <v>19</v>
      </c>
      <c r="U364" s="9" t="n">
        <v>0</v>
      </c>
      <c r="V364" s="9" t="n">
        <v>0</v>
      </c>
      <c r="X364" s="9" t="n">
        <v>75.8348</v>
      </c>
      <c r="AK364" s="7" t="inlineStr">
        <is>
          <t>PYTHON_MULTI_FLOW_LEG</t>
        </is>
      </c>
      <c r="AL364" s="8">
        <f>IF($J364="INR",1,IF($M364&lt;$A364,INDEX(Market_Daily!$F$6:$F$256,MATCH($M364,Market_Daily!$A$6:$A$256,1)),IF($M364=$A364,INDEX(Market_Daily!$F$6:$F$256,MATCH($A364,Market_Daily!$A$6:$A$256,0)),(INDEX(Market_Daily!$F$6:$F$256,MATCH($A364,Market_Daily!$A$6:$A$256,0))*(1+INDEX(Market_Daily!$I$6:$I$256,MATCH($A364,Market_Daily!$A$6:$A$256,0))*($M364-$A364)/day_count_inr)/(1+INDEX(Market_Daily!$J$6:$J$256,MATCH($A364,Market_Daily!$A$6:$A$256,0))*($M364-$A364)/day_count_usd)))))</f>
        <v/>
      </c>
      <c r="AM364" s="8">
        <f>IF(OR($J364="INR",$R364&gt;1),"",$AL364-$X364)</f>
        <v/>
      </c>
      <c r="AN364" s="8">
        <f>$U364</f>
        <v/>
      </c>
      <c r="AO364" s="8">
        <f>$V364</f>
        <v/>
      </c>
      <c r="AP364" s="18">
        <f>$AO364-$V364</f>
        <v/>
      </c>
      <c r="AQ364" s="8">
        <f>IF(ABS($AP364)&lt;=tol_trade_inr,"PASS","FAIL")</f>
        <v/>
      </c>
    </row>
    <row r="365">
      <c r="A365" s="11" t="n">
        <v>44657</v>
      </c>
      <c r="B365" s="7" t="inlineStr">
        <is>
          <t>T03</t>
        </is>
      </c>
      <c r="C365" s="7" t="inlineStr">
        <is>
          <t>PORT:L1</t>
        </is>
      </c>
      <c r="D365" s="7" t="inlineStr">
        <is>
          <t>PORT</t>
        </is>
      </c>
      <c r="E365" s="7" t="inlineStr">
        <is>
          <t>physical</t>
        </is>
      </c>
      <c r="F365" s="7" t="inlineStr">
        <is>
          <t>L1</t>
        </is>
      </c>
      <c r="H365" s="7" t="inlineStr">
        <is>
          <t>taint_tabor</t>
        </is>
      </c>
      <c r="I365" s="7" t="inlineStr">
        <is>
          <t>JEA_NSA</t>
        </is>
      </c>
      <c r="J365" s="7" t="inlineStr">
        <is>
          <t>INR</t>
        </is>
      </c>
      <c r="K365" s="7" t="inlineStr">
        <is>
          <t>fixed_unsettled</t>
        </is>
      </c>
      <c r="L365" s="7" t="inlineStr">
        <is>
          <t>PNL</t>
        </is>
      </c>
      <c r="M365" s="11" t="n">
        <v>44679</v>
      </c>
      <c r="N365" s="13" t="n">
        <v>0</v>
      </c>
      <c r="O365" s="6" t="n">
        <v>0</v>
      </c>
      <c r="P365" s="13" t="n">
        <v>0</v>
      </c>
      <c r="Q365" s="22" t="n">
        <v>30</v>
      </c>
      <c r="R365" s="6" t="n">
        <v>1</v>
      </c>
      <c r="U365" s="9" t="n">
        <v>-1200000</v>
      </c>
      <c r="V365" s="9" t="n">
        <v>-1200000</v>
      </c>
      <c r="X365" s="9" t="n">
        <v>75.8348</v>
      </c>
      <c r="AK365" s="7" t="inlineStr">
        <is>
          <t>PYTHON_LIFECYCLE</t>
        </is>
      </c>
      <c r="AL365" s="8">
        <f>IF($J365="INR",1,IF($M365&lt;$A365,INDEX(Market_Daily!$F$6:$F$256,MATCH($M365,Market_Daily!$A$6:$A$256,1)),IF($M365=$A365,INDEX(Market_Daily!$F$6:$F$256,MATCH($A365,Market_Daily!$A$6:$A$256,0)),(INDEX(Market_Daily!$F$6:$F$256,MATCH($A365,Market_Daily!$A$6:$A$256,0))*(1+INDEX(Market_Daily!$I$6:$I$256,MATCH($A365,Market_Daily!$A$6:$A$256,0))*($M365-$A365)/day_count_inr)/(1+INDEX(Market_Daily!$J$6:$J$256,MATCH($A365,Market_Daily!$A$6:$A$256,0))*($M365-$A365)/day_count_usd)))))</f>
        <v/>
      </c>
      <c r="AM365" s="8">
        <f>IF(OR($J365="INR",$R365&gt;1),"",$AL365-$X365)</f>
        <v/>
      </c>
      <c r="AN365" s="8">
        <f>$U365</f>
        <v/>
      </c>
      <c r="AO365" s="8">
        <f>$AN365*IF($J365="INR",1,$AL365)</f>
        <v/>
      </c>
      <c r="AP365" s="18">
        <f>$AO365-$V365</f>
        <v/>
      </c>
      <c r="AQ365" s="8">
        <f>IF(ABS($AP365)&lt;=tol_trade_inr,"PASS","FAIL")</f>
        <v/>
      </c>
    </row>
    <row r="366">
      <c r="A366" s="11" t="n">
        <v>44657</v>
      </c>
      <c r="B366" s="7" t="inlineStr">
        <is>
          <t>T03</t>
        </is>
      </c>
      <c r="C366" s="7" t="inlineStr">
        <is>
          <t>PORT:L2</t>
        </is>
      </c>
      <c r="D366" s="7" t="inlineStr">
        <is>
          <t>PORT</t>
        </is>
      </c>
      <c r="E366" s="7" t="inlineStr">
        <is>
          <t>physical</t>
        </is>
      </c>
      <c r="F366" s="7" t="inlineStr">
        <is>
          <t>L2</t>
        </is>
      </c>
      <c r="H366" s="7" t="inlineStr">
        <is>
          <t>taint_tabor</t>
        </is>
      </c>
      <c r="I366" s="7" t="inlineStr">
        <is>
          <t>JEA_NSA</t>
        </is>
      </c>
      <c r="J366" s="7" t="inlineStr">
        <is>
          <t>INR</t>
        </is>
      </c>
      <c r="K366" s="7" t="inlineStr">
        <is>
          <t>fixed_unsettled</t>
        </is>
      </c>
      <c r="L366" s="7" t="inlineStr">
        <is>
          <t>PNL</t>
        </is>
      </c>
      <c r="M366" s="11" t="n">
        <v>44690</v>
      </c>
      <c r="N366" s="13" t="n">
        <v>0</v>
      </c>
      <c r="O366" s="6" t="n">
        <v>0</v>
      </c>
      <c r="P366" s="13" t="n">
        <v>0</v>
      </c>
      <c r="Q366" s="22" t="n">
        <v>30</v>
      </c>
      <c r="R366" s="6" t="n">
        <v>1</v>
      </c>
      <c r="U366" s="9" t="n">
        <v>-1200000</v>
      </c>
      <c r="V366" s="9" t="n">
        <v>-1200000</v>
      </c>
      <c r="X366" s="9" t="n">
        <v>75.8348</v>
      </c>
      <c r="AK366" s="7" t="inlineStr">
        <is>
          <t>PYTHON_LIFECYCLE</t>
        </is>
      </c>
      <c r="AL366" s="8">
        <f>IF($J366="INR",1,IF($M366&lt;$A366,INDEX(Market_Daily!$F$6:$F$256,MATCH($M366,Market_Daily!$A$6:$A$256,1)),IF($M366=$A366,INDEX(Market_Daily!$F$6:$F$256,MATCH($A366,Market_Daily!$A$6:$A$256,0)),(INDEX(Market_Daily!$F$6:$F$256,MATCH($A366,Market_Daily!$A$6:$A$256,0))*(1+INDEX(Market_Daily!$I$6:$I$256,MATCH($A366,Market_Daily!$A$6:$A$256,0))*($M366-$A366)/day_count_inr)/(1+INDEX(Market_Daily!$J$6:$J$256,MATCH($A366,Market_Daily!$A$6:$A$256,0))*($M366-$A366)/day_count_usd)))))</f>
        <v/>
      </c>
      <c r="AM366" s="8">
        <f>IF(OR($J366="INR",$R366&gt;1),"",$AL366-$X366)</f>
        <v/>
      </c>
      <c r="AN366" s="8">
        <f>$U366</f>
        <v/>
      </c>
      <c r="AO366" s="8">
        <f>$AN366*IF($J366="INR",1,$AL366)</f>
        <v/>
      </c>
      <c r="AP366" s="18">
        <f>$AO366-$V366</f>
        <v/>
      </c>
      <c r="AQ366" s="8">
        <f>IF(ABS($AP366)&lt;=tol_trade_inr,"PASS","FAIL")</f>
        <v/>
      </c>
    </row>
    <row r="367">
      <c r="A367" s="11" t="n">
        <v>44657</v>
      </c>
      <c r="B367" s="7" t="inlineStr">
        <is>
          <t>T03</t>
        </is>
      </c>
      <c r="C367" s="7" t="inlineStr">
        <is>
          <t>PSIC:L1</t>
        </is>
      </c>
      <c r="D367" s="7" t="inlineStr">
        <is>
          <t>PSIC</t>
        </is>
      </c>
      <c r="E367" s="7" t="inlineStr">
        <is>
          <t>physical</t>
        </is>
      </c>
      <c r="F367" s="7" t="inlineStr">
        <is>
          <t>L1</t>
        </is>
      </c>
      <c r="H367" s="7" t="inlineStr">
        <is>
          <t>taint_tabor</t>
        </is>
      </c>
      <c r="I367" s="7" t="inlineStr">
        <is>
          <t>JEA_NSA</t>
        </is>
      </c>
      <c r="J367" s="7" t="inlineStr">
        <is>
          <t>USD</t>
        </is>
      </c>
      <c r="K367" s="7" t="inlineStr">
        <is>
          <t>floating</t>
        </is>
      </c>
      <c r="L367" s="7" t="inlineStr">
        <is>
          <t>PNL</t>
        </is>
      </c>
      <c r="M367" s="11" t="n">
        <v>44664</v>
      </c>
      <c r="N367" s="13" t="n">
        <v>0</v>
      </c>
      <c r="O367" s="6" t="n">
        <v>0</v>
      </c>
      <c r="P367" s="13" t="n">
        <v>0</v>
      </c>
      <c r="Q367" s="22" t="n">
        <v>30</v>
      </c>
      <c r="R367" s="6" t="n">
        <v>1</v>
      </c>
      <c r="U367" s="9" t="n">
        <v>-1200</v>
      </c>
      <c r="V367" s="9" t="n">
        <v>-91058.39</v>
      </c>
      <c r="X367" s="9" t="n">
        <v>75.88200000000001</v>
      </c>
      <c r="AK367" s="7" t="inlineStr">
        <is>
          <t>PYTHON_LIFECYCLE</t>
        </is>
      </c>
      <c r="AL367" s="8">
        <f>IF($J367="INR",1,IF($M367&lt;$A367,INDEX(Market_Daily!$F$6:$F$256,MATCH($M367,Market_Daily!$A$6:$A$256,1)),IF($M367=$A367,INDEX(Market_Daily!$F$6:$F$256,MATCH($A367,Market_Daily!$A$6:$A$256,0)),(INDEX(Market_Daily!$F$6:$F$256,MATCH($A367,Market_Daily!$A$6:$A$256,0))*(1+INDEX(Market_Daily!$I$6:$I$256,MATCH($A367,Market_Daily!$A$6:$A$256,0))*($M367-$A367)/day_count_inr)/(1+INDEX(Market_Daily!$J$6:$J$256,MATCH($A367,Market_Daily!$A$6:$A$256,0))*($M367-$A367)/day_count_usd)))))</f>
        <v/>
      </c>
      <c r="AM367" s="8">
        <f>IF(OR($J367="INR",$R367&gt;1),"",$AL367-$X367)</f>
        <v/>
      </c>
      <c r="AN367" s="8">
        <f>$U367</f>
        <v/>
      </c>
      <c r="AO367" s="8">
        <f>$AN367*IF($J367="INR",1,$AL367)</f>
        <v/>
      </c>
      <c r="AP367" s="18">
        <f>$AO367-$V367</f>
        <v/>
      </c>
      <c r="AQ367" s="8">
        <f>IF(ABS($AP367)&lt;=tol_trade_inr,"PASS","FAIL")</f>
        <v/>
      </c>
    </row>
    <row r="368">
      <c r="A368" s="11" t="n">
        <v>44657</v>
      </c>
      <c r="B368" s="7" t="inlineStr">
        <is>
          <t>T03</t>
        </is>
      </c>
      <c r="C368" s="7" t="inlineStr">
        <is>
          <t>PSIC:L2</t>
        </is>
      </c>
      <c r="D368" s="7" t="inlineStr">
        <is>
          <t>PSIC</t>
        </is>
      </c>
      <c r="E368" s="7" t="inlineStr">
        <is>
          <t>physical</t>
        </is>
      </c>
      <c r="F368" s="7" t="inlineStr">
        <is>
          <t>L2</t>
        </is>
      </c>
      <c r="H368" s="7" t="inlineStr">
        <is>
          <t>taint_tabor</t>
        </is>
      </c>
      <c r="I368" s="7" t="inlineStr">
        <is>
          <t>JEA_NSA</t>
        </is>
      </c>
      <c r="J368" s="7" t="inlineStr">
        <is>
          <t>USD</t>
        </is>
      </c>
      <c r="K368" s="7" t="inlineStr">
        <is>
          <t>floating</t>
        </is>
      </c>
      <c r="L368" s="7" t="inlineStr">
        <is>
          <t>PNL</t>
        </is>
      </c>
      <c r="M368" s="11" t="n">
        <v>44673</v>
      </c>
      <c r="N368" s="13" t="n">
        <v>0</v>
      </c>
      <c r="O368" s="6" t="n">
        <v>0</v>
      </c>
      <c r="P368" s="13" t="n">
        <v>0</v>
      </c>
      <c r="Q368" s="22" t="n">
        <v>30</v>
      </c>
      <c r="R368" s="6" t="n">
        <v>1</v>
      </c>
      <c r="U368" s="9" t="n">
        <v>-1200</v>
      </c>
      <c r="V368" s="9" t="n">
        <v>-91131.19</v>
      </c>
      <c r="X368" s="9" t="n">
        <v>75.9427</v>
      </c>
      <c r="AK368" s="7" t="inlineStr">
        <is>
          <t>PYTHON_LIFECYCLE</t>
        </is>
      </c>
      <c r="AL368" s="8">
        <f>IF($J368="INR",1,IF($M368&lt;$A368,INDEX(Market_Daily!$F$6:$F$256,MATCH($M368,Market_Daily!$A$6:$A$256,1)),IF($M368=$A368,INDEX(Market_Daily!$F$6:$F$256,MATCH($A368,Market_Daily!$A$6:$A$256,0)),(INDEX(Market_Daily!$F$6:$F$256,MATCH($A368,Market_Daily!$A$6:$A$256,0))*(1+INDEX(Market_Daily!$I$6:$I$256,MATCH($A368,Market_Daily!$A$6:$A$256,0))*($M368-$A368)/day_count_inr)/(1+INDEX(Market_Daily!$J$6:$J$256,MATCH($A368,Market_Daily!$A$6:$A$256,0))*($M368-$A368)/day_count_usd)))))</f>
        <v/>
      </c>
      <c r="AM368" s="8">
        <f>IF(OR($J368="INR",$R368&gt;1),"",$AL368-$X368)</f>
        <v/>
      </c>
      <c r="AN368" s="8">
        <f>$U368</f>
        <v/>
      </c>
      <c r="AO368" s="8">
        <f>$AN368*IF($J368="INR",1,$AL368)</f>
        <v/>
      </c>
      <c r="AP368" s="18">
        <f>$AO368-$V368</f>
        <v/>
      </c>
      <c r="AQ368" s="8">
        <f>IF(ABS($AP368)&lt;=tol_trade_inr,"PASS","FAIL")</f>
        <v/>
      </c>
    </row>
    <row r="369">
      <c r="A369" s="11" t="n">
        <v>44657</v>
      </c>
      <c r="B369" s="7" t="inlineStr">
        <is>
          <t>T03</t>
        </is>
      </c>
      <c r="C369" s="7" t="inlineStr">
        <is>
          <t>PURCHASE:L1</t>
        </is>
      </c>
      <c r="D369" s="7" t="inlineStr">
        <is>
          <t>PURCHASE</t>
        </is>
      </c>
      <c r="E369" s="7" t="inlineStr">
        <is>
          <t>physical</t>
        </is>
      </c>
      <c r="F369" s="7" t="inlineStr">
        <is>
          <t>L1</t>
        </is>
      </c>
      <c r="G369" s="7" t="inlineStr">
        <is>
          <t>SUP_JEA_01</t>
        </is>
      </c>
      <c r="H369" s="7" t="inlineStr">
        <is>
          <t>taint_tabor</t>
        </is>
      </c>
      <c r="I369" s="7" t="inlineStr">
        <is>
          <t>JEA_NSA</t>
        </is>
      </c>
      <c r="J369" s="7" t="inlineStr">
        <is>
          <t>USD</t>
        </is>
      </c>
      <c r="K369" s="7" t="inlineStr">
        <is>
          <t>fixed_unsettled</t>
        </is>
      </c>
      <c r="L369" s="7" t="inlineStr">
        <is>
          <t>PNL</t>
        </is>
      </c>
      <c r="M369" s="11" t="n">
        <v>44671</v>
      </c>
      <c r="N369" s="13" t="n">
        <v>600</v>
      </c>
      <c r="O369" s="6" t="n">
        <v>0</v>
      </c>
      <c r="P369" s="13" t="n">
        <v>0</v>
      </c>
      <c r="Q369" s="22" t="n">
        <v>30</v>
      </c>
      <c r="R369" s="6" t="n">
        <v>1</v>
      </c>
      <c r="U369" s="9" t="n">
        <v>-1482000</v>
      </c>
      <c r="V369" s="9" t="n">
        <v>-112527041.56</v>
      </c>
      <c r="X369" s="9" t="n">
        <v>75.92919999999999</v>
      </c>
      <c r="AK369" s="7" t="inlineStr">
        <is>
          <t>PYTHON_LIFECYCLE</t>
        </is>
      </c>
      <c r="AL369" s="8">
        <f>IF($J369="INR",1,IF($M369&lt;$A369,INDEX(Market_Daily!$F$6:$F$256,MATCH($M369,Market_Daily!$A$6:$A$256,1)),IF($M369=$A369,INDEX(Market_Daily!$F$6:$F$256,MATCH($A369,Market_Daily!$A$6:$A$256,0)),(INDEX(Market_Daily!$F$6:$F$256,MATCH($A369,Market_Daily!$A$6:$A$256,0))*(1+INDEX(Market_Daily!$I$6:$I$256,MATCH($A369,Market_Daily!$A$6:$A$256,0))*($M369-$A369)/day_count_inr)/(1+INDEX(Market_Daily!$J$6:$J$256,MATCH($A369,Market_Daily!$A$6:$A$256,0))*($M369-$A369)/day_count_usd)))))</f>
        <v/>
      </c>
      <c r="AM369" s="8">
        <f>IF(OR($J369="INR",$R369&gt;1),"",$AL369-$X369)</f>
        <v/>
      </c>
      <c r="AN369" s="8">
        <f>$U369</f>
        <v/>
      </c>
      <c r="AO369" s="8">
        <f>$AN369*IF($J369="INR",1,$AL369)</f>
        <v/>
      </c>
      <c r="AP369" s="18">
        <f>$AO369-$V369</f>
        <v/>
      </c>
      <c r="AQ369" s="8">
        <f>IF(ABS($AP369)&lt;=tol_trade_inr,"PASS","FAIL")</f>
        <v/>
      </c>
    </row>
    <row r="370">
      <c r="A370" s="11" t="n">
        <v>44657</v>
      </c>
      <c r="B370" s="7" t="inlineStr">
        <is>
          <t>T03</t>
        </is>
      </c>
      <c r="C370" s="7" t="inlineStr">
        <is>
          <t>PURCHASE:L2</t>
        </is>
      </c>
      <c r="D370" s="7" t="inlineStr">
        <is>
          <t>PURCHASE</t>
        </is>
      </c>
      <c r="E370" s="7" t="inlineStr">
        <is>
          <t>physical</t>
        </is>
      </c>
      <c r="F370" s="7" t="inlineStr">
        <is>
          <t>L2</t>
        </is>
      </c>
      <c r="G370" s="7" t="inlineStr">
        <is>
          <t>SUP_JEA_01</t>
        </is>
      </c>
      <c r="H370" s="7" t="inlineStr">
        <is>
          <t>taint_tabor</t>
        </is>
      </c>
      <c r="I370" s="7" t="inlineStr">
        <is>
          <t>JEA_NSA</t>
        </is>
      </c>
      <c r="J370" s="7" t="inlineStr">
        <is>
          <t>USD</t>
        </is>
      </c>
      <c r="K370" s="7" t="inlineStr">
        <is>
          <t>fixed_unsettled</t>
        </is>
      </c>
      <c r="L370" s="7" t="inlineStr">
        <is>
          <t>PNL</t>
        </is>
      </c>
      <c r="M370" s="11" t="n">
        <v>44680</v>
      </c>
      <c r="N370" s="13" t="n">
        <v>600</v>
      </c>
      <c r="O370" s="6" t="n">
        <v>0</v>
      </c>
      <c r="P370" s="13" t="n">
        <v>0</v>
      </c>
      <c r="Q370" s="22" t="n">
        <v>30</v>
      </c>
      <c r="R370" s="6" t="n">
        <v>1</v>
      </c>
      <c r="U370" s="9" t="n">
        <v>-1482000</v>
      </c>
      <c r="V370" s="9" t="n">
        <v>-112616918.16</v>
      </c>
      <c r="X370" s="9" t="n">
        <v>75.9898</v>
      </c>
      <c r="AK370" s="7" t="inlineStr">
        <is>
          <t>PYTHON_LIFECYCLE</t>
        </is>
      </c>
      <c r="AL370" s="8">
        <f>IF($J370="INR",1,IF($M370&lt;$A370,INDEX(Market_Daily!$F$6:$F$256,MATCH($M370,Market_Daily!$A$6:$A$256,1)),IF($M370=$A370,INDEX(Market_Daily!$F$6:$F$256,MATCH($A370,Market_Daily!$A$6:$A$256,0)),(INDEX(Market_Daily!$F$6:$F$256,MATCH($A370,Market_Daily!$A$6:$A$256,0))*(1+INDEX(Market_Daily!$I$6:$I$256,MATCH($A370,Market_Daily!$A$6:$A$256,0))*($M370-$A370)/day_count_inr)/(1+INDEX(Market_Daily!$J$6:$J$256,MATCH($A370,Market_Daily!$A$6:$A$256,0))*($M370-$A370)/day_count_usd)))))</f>
        <v/>
      </c>
      <c r="AM370" s="8">
        <f>IF(OR($J370="INR",$R370&gt;1),"",$AL370-$X370)</f>
        <v/>
      </c>
      <c r="AN370" s="8">
        <f>$U370</f>
        <v/>
      </c>
      <c r="AO370" s="8">
        <f>$AN370*IF($J370="INR",1,$AL370)</f>
        <v/>
      </c>
      <c r="AP370" s="18">
        <f>$AO370-$V370</f>
        <v/>
      </c>
      <c r="AQ370" s="8">
        <f>IF(ABS($AP370)&lt;=tol_trade_inr,"PASS","FAIL")</f>
        <v/>
      </c>
    </row>
    <row r="371">
      <c r="A371" s="11" t="n">
        <v>44657</v>
      </c>
      <c r="B371" s="7" t="inlineStr">
        <is>
          <t>T04</t>
        </is>
      </c>
      <c r="C371" s="7" t="inlineStr">
        <is>
          <t>BILL_COMMISSION:L1</t>
        </is>
      </c>
      <c r="D371" s="7" t="inlineStr">
        <is>
          <t>BILL_COMMISSION</t>
        </is>
      </c>
      <c r="E371" s="7" t="inlineStr">
        <is>
          <t>physical</t>
        </is>
      </c>
      <c r="F371" s="7" t="inlineStr">
        <is>
          <t>L1</t>
        </is>
      </c>
      <c r="H371" s="7" t="inlineStr">
        <is>
          <t>taint_tabor</t>
        </is>
      </c>
      <c r="I371" s="7" t="inlineStr">
        <is>
          <t>USEC_MUN</t>
        </is>
      </c>
      <c r="J371" s="7" t="inlineStr">
        <is>
          <t>USD</t>
        </is>
      </c>
      <c r="K371" s="7" t="inlineStr">
        <is>
          <t>floating</t>
        </is>
      </c>
      <c r="L371" s="7" t="inlineStr">
        <is>
          <t>PNL</t>
        </is>
      </c>
      <c r="M371" s="11" t="n">
        <v>44685</v>
      </c>
      <c r="N371" s="13" t="n">
        <v>0</v>
      </c>
      <c r="O371" s="6" t="n">
        <v>0</v>
      </c>
      <c r="P371" s="13" t="n">
        <v>0</v>
      </c>
      <c r="Q371" s="22" t="n">
        <v>30</v>
      </c>
      <c r="R371" s="6" t="n">
        <v>1</v>
      </c>
      <c r="U371" s="9" t="n">
        <v>-1821.96</v>
      </c>
      <c r="V371" s="9" t="n">
        <v>-138511.79</v>
      </c>
      <c r="X371" s="9" t="n">
        <v>76.0235</v>
      </c>
      <c r="AK371" s="7" t="inlineStr">
        <is>
          <t>PYTHON_LIFECYCLE</t>
        </is>
      </c>
      <c r="AL371" s="8">
        <f>IF($J371="INR",1,IF($M371&lt;$A371,INDEX(Market_Daily!$F$6:$F$256,MATCH($M371,Market_Daily!$A$6:$A$256,1)),IF($M371=$A371,INDEX(Market_Daily!$F$6:$F$256,MATCH($A371,Market_Daily!$A$6:$A$256,0)),(INDEX(Market_Daily!$F$6:$F$256,MATCH($A371,Market_Daily!$A$6:$A$256,0))*(1+INDEX(Market_Daily!$I$6:$I$256,MATCH($A371,Market_Daily!$A$6:$A$256,0))*($M371-$A371)/day_count_inr)/(1+INDEX(Market_Daily!$J$6:$J$256,MATCH($A371,Market_Daily!$A$6:$A$256,0))*($M371-$A371)/day_count_usd)))))</f>
        <v/>
      </c>
      <c r="AM371" s="8">
        <f>IF(OR($J371="INR",$R371&gt;1),"",$AL371-$X371)</f>
        <v/>
      </c>
      <c r="AN371" s="8">
        <f>$U371</f>
        <v/>
      </c>
      <c r="AO371" s="8">
        <f>$AN371*IF($J371="INR",1,$AL371)</f>
        <v/>
      </c>
      <c r="AP371" s="18">
        <f>$AO371-$V371</f>
        <v/>
      </c>
      <c r="AQ371" s="8">
        <f>IF(ABS($AP371)&lt;=tol_trade_inr,"PASS","FAIL")</f>
        <v/>
      </c>
    </row>
    <row r="372">
      <c r="A372" s="11" t="n">
        <v>44657</v>
      </c>
      <c r="B372" s="7" t="inlineStr">
        <is>
          <t>T04</t>
        </is>
      </c>
      <c r="C372" s="7" t="inlineStr">
        <is>
          <t>BILL_COMMISSION:L2</t>
        </is>
      </c>
      <c r="D372" s="7" t="inlineStr">
        <is>
          <t>BILL_COMMISSION</t>
        </is>
      </c>
      <c r="E372" s="7" t="inlineStr">
        <is>
          <t>physical</t>
        </is>
      </c>
      <c r="F372" s="7" t="inlineStr">
        <is>
          <t>L2</t>
        </is>
      </c>
      <c r="H372" s="7" t="inlineStr">
        <is>
          <t>taint_tabor</t>
        </is>
      </c>
      <c r="I372" s="7" t="inlineStr">
        <is>
          <t>USEC_MUN</t>
        </is>
      </c>
      <c r="J372" s="7" t="inlineStr">
        <is>
          <t>USD</t>
        </is>
      </c>
      <c r="K372" s="7" t="inlineStr">
        <is>
          <t>floating</t>
        </is>
      </c>
      <c r="L372" s="7" t="inlineStr">
        <is>
          <t>PNL</t>
        </is>
      </c>
      <c r="M372" s="11" t="n">
        <v>44692</v>
      </c>
      <c r="N372" s="13" t="n">
        <v>0</v>
      </c>
      <c r="O372" s="6" t="n">
        <v>0</v>
      </c>
      <c r="P372" s="13" t="n">
        <v>0</v>
      </c>
      <c r="Q372" s="22" t="n">
        <v>30</v>
      </c>
      <c r="R372" s="6" t="n">
        <v>1</v>
      </c>
      <c r="U372" s="9" t="n">
        <v>-1821.96</v>
      </c>
      <c r="V372" s="9" t="n">
        <v>-138597.69</v>
      </c>
      <c r="X372" s="9" t="n">
        <v>76.0707</v>
      </c>
      <c r="AK372" s="7" t="inlineStr">
        <is>
          <t>PYTHON_LIFECYCLE</t>
        </is>
      </c>
      <c r="AL372" s="8">
        <f>IF($J372="INR",1,IF($M372&lt;$A372,INDEX(Market_Daily!$F$6:$F$256,MATCH($M372,Market_Daily!$A$6:$A$256,1)),IF($M372=$A372,INDEX(Market_Daily!$F$6:$F$256,MATCH($A372,Market_Daily!$A$6:$A$256,0)),(INDEX(Market_Daily!$F$6:$F$256,MATCH($A372,Market_Daily!$A$6:$A$256,0))*(1+INDEX(Market_Daily!$I$6:$I$256,MATCH($A372,Market_Daily!$A$6:$A$256,0))*($M372-$A372)/day_count_inr)/(1+INDEX(Market_Daily!$J$6:$J$256,MATCH($A372,Market_Daily!$A$6:$A$256,0))*($M372-$A372)/day_count_usd)))))</f>
        <v/>
      </c>
      <c r="AM372" s="8">
        <f>IF(OR($J372="INR",$R372&gt;1),"",$AL372-$X372)</f>
        <v/>
      </c>
      <c r="AN372" s="8">
        <f>$U372</f>
        <v/>
      </c>
      <c r="AO372" s="8">
        <f>$AN372*IF($J372="INR",1,$AL372)</f>
        <v/>
      </c>
      <c r="AP372" s="18">
        <f>$AO372-$V372</f>
        <v/>
      </c>
      <c r="AQ372" s="8">
        <f>IF(ABS($AP372)&lt;=tol_trade_inr,"PASS","FAIL")</f>
        <v/>
      </c>
    </row>
    <row r="373">
      <c r="A373" s="11" t="n">
        <v>44657</v>
      </c>
      <c r="B373" s="7" t="inlineStr">
        <is>
          <t>T04</t>
        </is>
      </c>
      <c r="C373" s="7" t="inlineStr">
        <is>
          <t>DUTY:L1</t>
        </is>
      </c>
      <c r="D373" s="7" t="inlineStr">
        <is>
          <t>DUTY</t>
        </is>
      </c>
      <c r="E373" s="7" t="inlineStr">
        <is>
          <t>physical</t>
        </is>
      </c>
      <c r="F373" s="7" t="inlineStr">
        <is>
          <t>L1</t>
        </is>
      </c>
      <c r="H373" s="7" t="inlineStr">
        <is>
          <t>taint_tabor</t>
        </is>
      </c>
      <c r="I373" s="7" t="inlineStr">
        <is>
          <t>USEC_MUN</t>
        </is>
      </c>
      <c r="J373" s="7" t="inlineStr">
        <is>
          <t>INR</t>
        </is>
      </c>
      <c r="K373" s="7" t="inlineStr">
        <is>
          <t>floating</t>
        </is>
      </c>
      <c r="L373" s="7" t="inlineStr">
        <is>
          <t>PNL</t>
        </is>
      </c>
      <c r="M373" s="11" t="n">
        <v>44719</v>
      </c>
      <c r="N373" s="13" t="n">
        <v>630</v>
      </c>
      <c r="O373" s="6" t="n">
        <v>0</v>
      </c>
      <c r="P373" s="13" t="n">
        <v>0</v>
      </c>
      <c r="Q373" s="22" t="n">
        <v>30</v>
      </c>
      <c r="R373" s="6" t="n">
        <v>1</v>
      </c>
      <c r="U373" s="9" t="n">
        <v>-3339276.61</v>
      </c>
      <c r="V373" s="9" t="n">
        <v>-3339276.61</v>
      </c>
      <c r="X373" s="9" t="n">
        <v>75.8348</v>
      </c>
      <c r="AK373" s="7" t="inlineStr">
        <is>
          <t>PYTHON_LIFECYCLE</t>
        </is>
      </c>
      <c r="AL373" s="8">
        <f>IF($J373="INR",1,IF($M373&lt;$A373,INDEX(Market_Daily!$F$6:$F$256,MATCH($M373,Market_Daily!$A$6:$A$256,1)),IF($M373=$A373,INDEX(Market_Daily!$F$6:$F$256,MATCH($A373,Market_Daily!$A$6:$A$256,0)),(INDEX(Market_Daily!$F$6:$F$256,MATCH($A373,Market_Daily!$A$6:$A$256,0))*(1+INDEX(Market_Daily!$I$6:$I$256,MATCH($A373,Market_Daily!$A$6:$A$256,0))*($M373-$A373)/day_count_inr)/(1+INDEX(Market_Daily!$J$6:$J$256,MATCH($A373,Market_Daily!$A$6:$A$256,0))*($M373-$A373)/day_count_usd)))))</f>
        <v/>
      </c>
      <c r="AM373" s="8">
        <f>IF(OR($J373="INR",$R373&gt;1),"",$AL373-$X373)</f>
        <v/>
      </c>
      <c r="AN373" s="8">
        <f>$U373</f>
        <v/>
      </c>
      <c r="AO373" s="8">
        <f>$AN373*IF($J373="INR",1,$AL373)</f>
        <v/>
      </c>
      <c r="AP373" s="18">
        <f>$AO373-$V373</f>
        <v/>
      </c>
      <c r="AQ373" s="8">
        <f>IF(ABS($AP373)&lt;=tol_trade_inr,"PASS","FAIL")</f>
        <v/>
      </c>
    </row>
    <row r="374">
      <c r="A374" s="11" t="n">
        <v>44657</v>
      </c>
      <c r="B374" s="7" t="inlineStr">
        <is>
          <t>T04</t>
        </is>
      </c>
      <c r="C374" s="7" t="inlineStr">
        <is>
          <t>DUTY:L2</t>
        </is>
      </c>
      <c r="D374" s="7" t="inlineStr">
        <is>
          <t>DUTY</t>
        </is>
      </c>
      <c r="E374" s="7" t="inlineStr">
        <is>
          <t>physical</t>
        </is>
      </c>
      <c r="F374" s="7" t="inlineStr">
        <is>
          <t>L2</t>
        </is>
      </c>
      <c r="H374" s="7" t="inlineStr">
        <is>
          <t>taint_tabor</t>
        </is>
      </c>
      <c r="I374" s="7" t="inlineStr">
        <is>
          <t>USEC_MUN</t>
        </is>
      </c>
      <c r="J374" s="7" t="inlineStr">
        <is>
          <t>INR</t>
        </is>
      </c>
      <c r="K374" s="7" t="inlineStr">
        <is>
          <t>floating</t>
        </is>
      </c>
      <c r="L374" s="7" t="inlineStr">
        <is>
          <t>PNL</t>
        </is>
      </c>
      <c r="M374" s="11" t="n">
        <v>44726</v>
      </c>
      <c r="N374" s="13" t="n">
        <v>630</v>
      </c>
      <c r="O374" s="6" t="n">
        <v>0</v>
      </c>
      <c r="P374" s="13" t="n">
        <v>0</v>
      </c>
      <c r="Q374" s="22" t="n">
        <v>30</v>
      </c>
      <c r="R374" s="6" t="n">
        <v>1</v>
      </c>
      <c r="U374" s="9" t="n">
        <v>-3339276.61</v>
      </c>
      <c r="V374" s="9" t="n">
        <v>-3339276.61</v>
      </c>
      <c r="X374" s="9" t="n">
        <v>75.8348</v>
      </c>
      <c r="AK374" s="7" t="inlineStr">
        <is>
          <t>PYTHON_LIFECYCLE</t>
        </is>
      </c>
      <c r="AL374" s="8">
        <f>IF($J374="INR",1,IF($M374&lt;$A374,INDEX(Market_Daily!$F$6:$F$256,MATCH($M374,Market_Daily!$A$6:$A$256,1)),IF($M374=$A374,INDEX(Market_Daily!$F$6:$F$256,MATCH($A374,Market_Daily!$A$6:$A$256,0)),(INDEX(Market_Daily!$F$6:$F$256,MATCH($A374,Market_Daily!$A$6:$A$256,0))*(1+INDEX(Market_Daily!$I$6:$I$256,MATCH($A374,Market_Daily!$A$6:$A$256,0))*($M374-$A374)/day_count_inr)/(1+INDEX(Market_Daily!$J$6:$J$256,MATCH($A374,Market_Daily!$A$6:$A$256,0))*($M374-$A374)/day_count_usd)))))</f>
        <v/>
      </c>
      <c r="AM374" s="8">
        <f>IF(OR($J374="INR",$R374&gt;1),"",$AL374-$X374)</f>
        <v/>
      </c>
      <c r="AN374" s="8">
        <f>$U374</f>
        <v/>
      </c>
      <c r="AO374" s="8">
        <f>$AN374*IF($J374="INR",1,$AL374)</f>
        <v/>
      </c>
      <c r="AP374" s="18">
        <f>$AO374-$V374</f>
        <v/>
      </c>
      <c r="AQ374" s="8">
        <f>IF(ABS($AP374)&lt;=tol_trade_inr,"PASS","FAIL")</f>
        <v/>
      </c>
    </row>
    <row r="375">
      <c r="A375" s="11" t="n">
        <v>44657</v>
      </c>
      <c r="B375" s="7" t="inlineStr">
        <is>
          <t>T04</t>
        </is>
      </c>
      <c r="C375" s="7" t="inlineStr">
        <is>
          <t>FREIGHT:L1</t>
        </is>
      </c>
      <c r="D375" s="7" t="inlineStr">
        <is>
          <t>FREIGHT</t>
        </is>
      </c>
      <c r="E375" s="7" t="inlineStr">
        <is>
          <t>physical</t>
        </is>
      </c>
      <c r="F375" s="7" t="inlineStr">
        <is>
          <t>L1</t>
        </is>
      </c>
      <c r="G375" s="7" t="inlineStr">
        <is>
          <t>Konkan Freight Services (SIM)</t>
        </is>
      </c>
      <c r="H375" s="7" t="inlineStr">
        <is>
          <t>taint_tabor</t>
        </is>
      </c>
      <c r="I375" s="7" t="inlineStr">
        <is>
          <t>USEC_MUN</t>
        </is>
      </c>
      <c r="J375" s="7" t="inlineStr">
        <is>
          <t>USD</t>
        </is>
      </c>
      <c r="K375" s="7" t="inlineStr">
        <is>
          <t>floating</t>
        </is>
      </c>
      <c r="L375" s="7" t="inlineStr">
        <is>
          <t>PNL</t>
        </is>
      </c>
      <c r="M375" s="11" t="n">
        <v>44678</v>
      </c>
      <c r="N375" s="13" t="n">
        <v>630</v>
      </c>
      <c r="O375" s="6" t="n">
        <v>0</v>
      </c>
      <c r="P375" s="13" t="n">
        <v>0</v>
      </c>
      <c r="Q375" s="22" t="n">
        <v>30</v>
      </c>
      <c r="R375" s="6" t="n">
        <v>1</v>
      </c>
      <c r="U375" s="9" t="n">
        <v>-59005.8</v>
      </c>
      <c r="V375" s="9" t="n">
        <v>-4483045.21</v>
      </c>
      <c r="X375" s="9" t="n">
        <v>75.97629999999999</v>
      </c>
      <c r="AK375" s="7" t="inlineStr">
        <is>
          <t>PYTHON_LIFECYCLE</t>
        </is>
      </c>
      <c r="AL375" s="8">
        <f>IF($J375="INR",1,IF($M375&lt;$A375,INDEX(Market_Daily!$F$6:$F$256,MATCH($M375,Market_Daily!$A$6:$A$256,1)),IF($M375=$A375,INDEX(Market_Daily!$F$6:$F$256,MATCH($A375,Market_Daily!$A$6:$A$256,0)),(INDEX(Market_Daily!$F$6:$F$256,MATCH($A375,Market_Daily!$A$6:$A$256,0))*(1+INDEX(Market_Daily!$I$6:$I$256,MATCH($A375,Market_Daily!$A$6:$A$256,0))*($M375-$A375)/day_count_inr)/(1+INDEX(Market_Daily!$J$6:$J$256,MATCH($A375,Market_Daily!$A$6:$A$256,0))*($M375-$A375)/day_count_usd)))))</f>
        <v/>
      </c>
      <c r="AM375" s="8">
        <f>IF(OR($J375="INR",$R375&gt;1),"",$AL375-$X375)</f>
        <v/>
      </c>
      <c r="AN375" s="8">
        <f>$U375</f>
        <v/>
      </c>
      <c r="AO375" s="8">
        <f>$AN375*IF($J375="INR",1,$AL375)</f>
        <v/>
      </c>
      <c r="AP375" s="18">
        <f>$AO375-$V375</f>
        <v/>
      </c>
      <c r="AQ375" s="8">
        <f>IF(ABS($AP375)&lt;=tol_trade_inr,"PASS","FAIL")</f>
        <v/>
      </c>
    </row>
    <row r="376">
      <c r="A376" s="11" t="n">
        <v>44657</v>
      </c>
      <c r="B376" s="7" t="inlineStr">
        <is>
          <t>T04</t>
        </is>
      </c>
      <c r="C376" s="7" t="inlineStr">
        <is>
          <t>FREIGHT:L2</t>
        </is>
      </c>
      <c r="D376" s="7" t="inlineStr">
        <is>
          <t>FREIGHT</t>
        </is>
      </c>
      <c r="E376" s="7" t="inlineStr">
        <is>
          <t>physical</t>
        </is>
      </c>
      <c r="F376" s="7" t="inlineStr">
        <is>
          <t>L2</t>
        </is>
      </c>
      <c r="G376" s="7" t="inlineStr">
        <is>
          <t>Konkan Freight Services (SIM)</t>
        </is>
      </c>
      <c r="H376" s="7" t="inlineStr">
        <is>
          <t>taint_tabor</t>
        </is>
      </c>
      <c r="I376" s="7" t="inlineStr">
        <is>
          <t>USEC_MUN</t>
        </is>
      </c>
      <c r="J376" s="7" t="inlineStr">
        <is>
          <t>USD</t>
        </is>
      </c>
      <c r="K376" s="7" t="inlineStr">
        <is>
          <t>floating</t>
        </is>
      </c>
      <c r="L376" s="7" t="inlineStr">
        <is>
          <t>PNL</t>
        </is>
      </c>
      <c r="M376" s="11" t="n">
        <v>44685</v>
      </c>
      <c r="N376" s="13" t="n">
        <v>630</v>
      </c>
      <c r="O376" s="6" t="n">
        <v>0</v>
      </c>
      <c r="P376" s="13" t="n">
        <v>0</v>
      </c>
      <c r="Q376" s="22" t="n">
        <v>30</v>
      </c>
      <c r="R376" s="6" t="n">
        <v>1</v>
      </c>
      <c r="U376" s="9" t="n">
        <v>-59005.8</v>
      </c>
      <c r="V376" s="9" t="n">
        <v>-4485827.82</v>
      </c>
      <c r="X376" s="9" t="n">
        <v>76.0235</v>
      </c>
      <c r="AK376" s="7" t="inlineStr">
        <is>
          <t>PYTHON_LIFECYCLE</t>
        </is>
      </c>
      <c r="AL376" s="8">
        <f>IF($J376="INR",1,IF($M376&lt;$A376,INDEX(Market_Daily!$F$6:$F$256,MATCH($M376,Market_Daily!$A$6:$A$256,1)),IF($M376=$A376,INDEX(Market_Daily!$F$6:$F$256,MATCH($A376,Market_Daily!$A$6:$A$256,0)),(INDEX(Market_Daily!$F$6:$F$256,MATCH($A376,Market_Daily!$A$6:$A$256,0))*(1+INDEX(Market_Daily!$I$6:$I$256,MATCH($A376,Market_Daily!$A$6:$A$256,0))*($M376-$A376)/day_count_inr)/(1+INDEX(Market_Daily!$J$6:$J$256,MATCH($A376,Market_Daily!$A$6:$A$256,0))*($M376-$A376)/day_count_usd)))))</f>
        <v/>
      </c>
      <c r="AM376" s="8">
        <f>IF(OR($J376="INR",$R376&gt;1),"",$AL376-$X376)</f>
        <v/>
      </c>
      <c r="AN376" s="8">
        <f>$U376</f>
        <v/>
      </c>
      <c r="AO376" s="8">
        <f>$AN376*IF($J376="INR",1,$AL376)</f>
        <v/>
      </c>
      <c r="AP376" s="18">
        <f>$AO376-$V376</f>
        <v/>
      </c>
      <c r="AQ376" s="8">
        <f>IF(ABS($AP376)&lt;=tol_trade_inr,"PASS","FAIL")</f>
        <v/>
      </c>
    </row>
    <row r="377">
      <c r="A377" s="11" t="n">
        <v>44657</v>
      </c>
      <c r="B377" s="7" t="inlineStr">
        <is>
          <t>T04</t>
        </is>
      </c>
      <c r="C377" s="7" t="inlineStr">
        <is>
          <t>IGST:L1</t>
        </is>
      </c>
      <c r="D377" s="7" t="inlineStr">
        <is>
          <t>IGST</t>
        </is>
      </c>
      <c r="E377" s="7" t="inlineStr">
        <is>
          <t>physical</t>
        </is>
      </c>
      <c r="F377" s="7" t="inlineStr">
        <is>
          <t>L1</t>
        </is>
      </c>
      <c r="H377" s="7" t="inlineStr">
        <is>
          <t>taint_tabor</t>
        </is>
      </c>
      <c r="I377" s="7" t="inlineStr">
        <is>
          <t>USEC_MUN</t>
        </is>
      </c>
      <c r="J377" s="7" t="inlineStr">
        <is>
          <t>INR</t>
        </is>
      </c>
      <c r="K377" s="7" t="inlineStr">
        <is>
          <t>floating</t>
        </is>
      </c>
      <c r="L377" s="7" t="inlineStr">
        <is>
          <t>BS</t>
        </is>
      </c>
      <c r="M377" s="11" t="n">
        <v>44764</v>
      </c>
      <c r="N377" s="13" t="n">
        <v>0</v>
      </c>
      <c r="O377" s="6" t="n">
        <v>0</v>
      </c>
      <c r="P377" s="13" t="n">
        <v>0</v>
      </c>
      <c r="Q377" s="22" t="n">
        <v>30</v>
      </c>
      <c r="R377" s="6" t="n">
        <v>2</v>
      </c>
      <c r="U377" s="9" t="n">
        <v>0</v>
      </c>
      <c r="V377" s="9" t="n">
        <v>0</v>
      </c>
      <c r="X377" s="9" t="n">
        <v>75.8348</v>
      </c>
      <c r="AK377" s="7" t="inlineStr">
        <is>
          <t>PYTHON_MULTI_FLOW_LEG</t>
        </is>
      </c>
      <c r="AL377" s="8">
        <f>IF($J377="INR",1,IF($M377&lt;$A377,INDEX(Market_Daily!$F$6:$F$256,MATCH($M377,Market_Daily!$A$6:$A$256,1)),IF($M377=$A377,INDEX(Market_Daily!$F$6:$F$256,MATCH($A377,Market_Daily!$A$6:$A$256,0)),(INDEX(Market_Daily!$F$6:$F$256,MATCH($A377,Market_Daily!$A$6:$A$256,0))*(1+INDEX(Market_Daily!$I$6:$I$256,MATCH($A377,Market_Daily!$A$6:$A$256,0))*($M377-$A377)/day_count_inr)/(1+INDEX(Market_Daily!$J$6:$J$256,MATCH($A377,Market_Daily!$A$6:$A$256,0))*($M377-$A377)/day_count_usd)))))</f>
        <v/>
      </c>
      <c r="AM377" s="8">
        <f>IF(OR($J377="INR",$R377&gt;1),"",$AL377-$X377)</f>
        <v/>
      </c>
      <c r="AN377" s="8">
        <f>$U377</f>
        <v/>
      </c>
      <c r="AO377" s="8">
        <f>$V377</f>
        <v/>
      </c>
      <c r="AP377" s="18">
        <f>$AO377-$V377</f>
        <v/>
      </c>
      <c r="AQ377" s="8">
        <f>IF(ABS($AP377)&lt;=tol_trade_inr,"PASS","FAIL")</f>
        <v/>
      </c>
    </row>
    <row r="378">
      <c r="A378" s="11" t="n">
        <v>44657</v>
      </c>
      <c r="B378" s="7" t="inlineStr">
        <is>
          <t>T04</t>
        </is>
      </c>
      <c r="C378" s="7" t="inlineStr">
        <is>
          <t>IGST:L2</t>
        </is>
      </c>
      <c r="D378" s="7" t="inlineStr">
        <is>
          <t>IGST</t>
        </is>
      </c>
      <c r="E378" s="7" t="inlineStr">
        <is>
          <t>physical</t>
        </is>
      </c>
      <c r="F378" s="7" t="inlineStr">
        <is>
          <t>L2</t>
        </is>
      </c>
      <c r="H378" s="7" t="inlineStr">
        <is>
          <t>taint_tabor</t>
        </is>
      </c>
      <c r="I378" s="7" t="inlineStr">
        <is>
          <t>USEC_MUN</t>
        </is>
      </c>
      <c r="J378" s="7" t="inlineStr">
        <is>
          <t>INR</t>
        </is>
      </c>
      <c r="K378" s="7" t="inlineStr">
        <is>
          <t>floating</t>
        </is>
      </c>
      <c r="L378" s="7" t="inlineStr">
        <is>
          <t>BS</t>
        </is>
      </c>
      <c r="M378" s="11" t="n">
        <v>44771</v>
      </c>
      <c r="N378" s="13" t="n">
        <v>0</v>
      </c>
      <c r="O378" s="6" t="n">
        <v>0</v>
      </c>
      <c r="P378" s="13" t="n">
        <v>0</v>
      </c>
      <c r="Q378" s="22" t="n">
        <v>30</v>
      </c>
      <c r="R378" s="6" t="n">
        <v>2</v>
      </c>
      <c r="U378" s="9" t="n">
        <v>0</v>
      </c>
      <c r="V378" s="9" t="n">
        <v>0</v>
      </c>
      <c r="X378" s="9" t="n">
        <v>75.8348</v>
      </c>
      <c r="AK378" s="7" t="inlineStr">
        <is>
          <t>PYTHON_MULTI_FLOW_LEG</t>
        </is>
      </c>
      <c r="AL378" s="8">
        <f>IF($J378="INR",1,IF($M378&lt;$A378,INDEX(Market_Daily!$F$6:$F$256,MATCH($M378,Market_Daily!$A$6:$A$256,1)),IF($M378=$A378,INDEX(Market_Daily!$F$6:$F$256,MATCH($A378,Market_Daily!$A$6:$A$256,0)),(INDEX(Market_Daily!$F$6:$F$256,MATCH($A378,Market_Daily!$A$6:$A$256,0))*(1+INDEX(Market_Daily!$I$6:$I$256,MATCH($A378,Market_Daily!$A$6:$A$256,0))*($M378-$A378)/day_count_inr)/(1+INDEX(Market_Daily!$J$6:$J$256,MATCH($A378,Market_Daily!$A$6:$A$256,0))*($M378-$A378)/day_count_usd)))))</f>
        <v/>
      </c>
      <c r="AM378" s="8">
        <f>IF(OR($J378="INR",$R378&gt;1),"",$AL378-$X378)</f>
        <v/>
      </c>
      <c r="AN378" s="8">
        <f>$U378</f>
        <v/>
      </c>
      <c r="AO378" s="8">
        <f>$V378</f>
        <v/>
      </c>
      <c r="AP378" s="18">
        <f>$AO378-$V378</f>
        <v/>
      </c>
      <c r="AQ378" s="8">
        <f>IF(ABS($AP378)&lt;=tol_trade_inr,"PASS","FAIL")</f>
        <v/>
      </c>
    </row>
    <row r="379">
      <c r="A379" s="11" t="n">
        <v>44657</v>
      </c>
      <c r="B379" s="7" t="inlineStr">
        <is>
          <t>T04</t>
        </is>
      </c>
      <c r="C379" s="7" t="inlineStr">
        <is>
          <t>INSURANCE:L1</t>
        </is>
      </c>
      <c r="D379" s="7" t="inlineStr">
        <is>
          <t>INSURANCE</t>
        </is>
      </c>
      <c r="E379" s="7" t="inlineStr">
        <is>
          <t>physical</t>
        </is>
      </c>
      <c r="F379" s="7" t="inlineStr">
        <is>
          <t>L1</t>
        </is>
      </c>
      <c r="H379" s="7" t="inlineStr">
        <is>
          <t>taint_tabor</t>
        </is>
      </c>
      <c r="I379" s="7" t="inlineStr">
        <is>
          <t>USEC_MUN</t>
        </is>
      </c>
      <c r="J379" s="7" t="inlineStr">
        <is>
          <t>USD</t>
        </is>
      </c>
      <c r="K379" s="7" t="inlineStr">
        <is>
          <t>floating</t>
        </is>
      </c>
      <c r="L379" s="7" t="inlineStr">
        <is>
          <t>PNL</t>
        </is>
      </c>
      <c r="M379" s="11" t="n">
        <v>44678</v>
      </c>
      <c r="N379" s="13" t="n">
        <v>630</v>
      </c>
      <c r="O379" s="6" t="n">
        <v>0</v>
      </c>
      <c r="P379" s="13" t="n">
        <v>0</v>
      </c>
      <c r="Q379" s="22" t="n">
        <v>30</v>
      </c>
      <c r="R379" s="6" t="n">
        <v>1</v>
      </c>
      <c r="U379" s="9" t="n">
        <v>-1735.04</v>
      </c>
      <c r="V379" s="9" t="n">
        <v>-131821.73</v>
      </c>
      <c r="X379" s="9" t="n">
        <v>75.97629999999999</v>
      </c>
      <c r="AK379" s="7" t="inlineStr">
        <is>
          <t>PYTHON_LIFECYCLE</t>
        </is>
      </c>
      <c r="AL379" s="8">
        <f>IF($J379="INR",1,IF($M379&lt;$A379,INDEX(Market_Daily!$F$6:$F$256,MATCH($M379,Market_Daily!$A$6:$A$256,1)),IF($M379=$A379,INDEX(Market_Daily!$F$6:$F$256,MATCH($A379,Market_Daily!$A$6:$A$256,0)),(INDEX(Market_Daily!$F$6:$F$256,MATCH($A379,Market_Daily!$A$6:$A$256,0))*(1+INDEX(Market_Daily!$I$6:$I$256,MATCH($A379,Market_Daily!$A$6:$A$256,0))*($M379-$A379)/day_count_inr)/(1+INDEX(Market_Daily!$J$6:$J$256,MATCH($A379,Market_Daily!$A$6:$A$256,0))*($M379-$A379)/day_count_usd)))))</f>
        <v/>
      </c>
      <c r="AM379" s="8">
        <f>IF(OR($J379="INR",$R379&gt;1),"",$AL379-$X379)</f>
        <v/>
      </c>
      <c r="AN379" s="8">
        <f>$U379</f>
        <v/>
      </c>
      <c r="AO379" s="8">
        <f>$AN379*IF($J379="INR",1,$AL379)</f>
        <v/>
      </c>
      <c r="AP379" s="18">
        <f>$AO379-$V379</f>
        <v/>
      </c>
      <c r="AQ379" s="8">
        <f>IF(ABS($AP379)&lt;=tol_trade_inr,"PASS","FAIL")</f>
        <v/>
      </c>
    </row>
    <row r="380">
      <c r="A380" s="11" t="n">
        <v>44657</v>
      </c>
      <c r="B380" s="7" t="inlineStr">
        <is>
          <t>T04</t>
        </is>
      </c>
      <c r="C380" s="7" t="inlineStr">
        <is>
          <t>INSURANCE:L2</t>
        </is>
      </c>
      <c r="D380" s="7" t="inlineStr">
        <is>
          <t>INSURANCE</t>
        </is>
      </c>
      <c r="E380" s="7" t="inlineStr">
        <is>
          <t>physical</t>
        </is>
      </c>
      <c r="F380" s="7" t="inlineStr">
        <is>
          <t>L2</t>
        </is>
      </c>
      <c r="H380" s="7" t="inlineStr">
        <is>
          <t>taint_tabor</t>
        </is>
      </c>
      <c r="I380" s="7" t="inlineStr">
        <is>
          <t>USEC_MUN</t>
        </is>
      </c>
      <c r="J380" s="7" t="inlineStr">
        <is>
          <t>USD</t>
        </is>
      </c>
      <c r="K380" s="7" t="inlineStr">
        <is>
          <t>floating</t>
        </is>
      </c>
      <c r="L380" s="7" t="inlineStr">
        <is>
          <t>PNL</t>
        </is>
      </c>
      <c r="M380" s="11" t="n">
        <v>44685</v>
      </c>
      <c r="N380" s="13" t="n">
        <v>630</v>
      </c>
      <c r="O380" s="6" t="n">
        <v>0</v>
      </c>
      <c r="P380" s="13" t="n">
        <v>0</v>
      </c>
      <c r="Q380" s="22" t="n">
        <v>30</v>
      </c>
      <c r="R380" s="6" t="n">
        <v>1</v>
      </c>
      <c r="U380" s="9" t="n">
        <v>-1735.04</v>
      </c>
      <c r="V380" s="9" t="n">
        <v>-131903.55</v>
      </c>
      <c r="X380" s="9" t="n">
        <v>76.0235</v>
      </c>
      <c r="AK380" s="7" t="inlineStr">
        <is>
          <t>PYTHON_LIFECYCLE</t>
        </is>
      </c>
      <c r="AL380" s="8">
        <f>IF($J380="INR",1,IF($M380&lt;$A380,INDEX(Market_Daily!$F$6:$F$256,MATCH($M380,Market_Daily!$A$6:$A$256,1)),IF($M380=$A380,INDEX(Market_Daily!$F$6:$F$256,MATCH($A380,Market_Daily!$A$6:$A$256,0)),(INDEX(Market_Daily!$F$6:$F$256,MATCH($A380,Market_Daily!$A$6:$A$256,0))*(1+INDEX(Market_Daily!$I$6:$I$256,MATCH($A380,Market_Daily!$A$6:$A$256,0))*($M380-$A380)/day_count_inr)/(1+INDEX(Market_Daily!$J$6:$J$256,MATCH($A380,Market_Daily!$A$6:$A$256,0))*($M380-$A380)/day_count_usd)))))</f>
        <v/>
      </c>
      <c r="AM380" s="8">
        <f>IF(OR($J380="INR",$R380&gt;1),"",$AL380-$X380)</f>
        <v/>
      </c>
      <c r="AN380" s="8">
        <f>$U380</f>
        <v/>
      </c>
      <c r="AO380" s="8">
        <f>$AN380*IF($J380="INR",1,$AL380)</f>
        <v/>
      </c>
      <c r="AP380" s="18">
        <f>$AO380-$V380</f>
        <v/>
      </c>
      <c r="AQ380" s="8">
        <f>IF(ABS($AP380)&lt;=tol_trade_inr,"PASS","FAIL")</f>
        <v/>
      </c>
    </row>
    <row r="381">
      <c r="A381" s="11" t="n">
        <v>44657</v>
      </c>
      <c r="B381" s="7" t="inlineStr">
        <is>
          <t>T04</t>
        </is>
      </c>
      <c r="C381" s="7" t="inlineStr">
        <is>
          <t>INVENTORY:L1</t>
        </is>
      </c>
      <c r="D381" s="7" t="inlineStr">
        <is>
          <t>INVENTORY</t>
        </is>
      </c>
      <c r="E381" s="7" t="inlineStr">
        <is>
          <t>physical</t>
        </is>
      </c>
      <c r="F381" s="7" t="inlineStr">
        <is>
          <t>L1</t>
        </is>
      </c>
      <c r="H381" s="7" t="inlineStr">
        <is>
          <t>taint_tabor</t>
        </is>
      </c>
      <c r="I381" s="7" t="inlineStr">
        <is>
          <t>USEC_MUN</t>
        </is>
      </c>
      <c r="J381" s="7" t="inlineStr">
        <is>
          <t>INR</t>
        </is>
      </c>
      <c r="K381" s="7" t="inlineStr">
        <is>
          <t>fixed_unsettled</t>
        </is>
      </c>
      <c r="L381" s="7" t="inlineStr">
        <is>
          <t>PNL</t>
        </is>
      </c>
      <c r="N381" s="13" t="n">
        <v>630</v>
      </c>
      <c r="O381" s="6" t="n">
        <v>0</v>
      </c>
      <c r="P381" s="13" t="n">
        <v>0</v>
      </c>
      <c r="Q381" s="22" t="n">
        <v>30</v>
      </c>
      <c r="R381" s="6" t="n">
        <v>0</v>
      </c>
      <c r="U381" s="9" t="n">
        <v>125733865.31</v>
      </c>
      <c r="V381" s="9" t="n">
        <v>125733865.31</v>
      </c>
      <c r="W381" s="9" t="n">
        <v>199577.564</v>
      </c>
      <c r="X381" s="9" t="n">
        <v>75.8348</v>
      </c>
      <c r="Y381" s="8">
        <f>IF($I381="JEA_NSA","20ft","40ft")</f>
        <v/>
      </c>
      <c r="Z381" s="8">
        <f>IF($I381="JEA_NSA","nsa","mun")</f>
        <v/>
      </c>
      <c r="AA381" s="8">
        <f>INDEX(param_values,MATCH("container_payload_mt_"&amp;$Y381,param_keys,0))/INDEX(param_values,MATCH("container_payload_mt_"&amp;$Y381&amp;"_"&amp;$H381,param_keys,0))</f>
        <v/>
      </c>
      <c r="AB381" s="16">
        <f>INDEX(Market_Daily!$C$6:$C$256,MATCH($A381,Market_Daily!$A$6:$A$256,0))*INDEX(Market_Daily!$X$6:$Z$256,MATCH($A381,Market_Daily!$A$6:$A$256,0),MATCH("grade_factor_"&amp;$H381,Market_Daily!$X$5:$Z$5,0))</f>
        <v/>
      </c>
      <c r="AC381" s="16">
        <f>$AB381*(1+insurance_rate*insured_value_uplift)</f>
        <v/>
      </c>
      <c r="AD381" s="8">
        <f>(INDEX(Market_Daily!$F$6:$F$256,MATCH($A381,Market_Daily!$A$6:$A$256,0))*(1+INDEX(Market_Daily!$I$6:$I$256,MATCH($A381,Market_Daily!$A$6:$A$256,0))*$Q381/day_count_inr)/(1+INDEX(Market_Daily!$J$6:$J$256,MATCH($A381,Market_Daily!$A$6:$A$256,0))*$Q381/day_count_usd))</f>
        <v/>
      </c>
      <c r="AE381" s="18">
        <f>$AC381*$AD381</f>
        <v/>
      </c>
      <c r="AF381" s="18">
        <f>$AC381*INDEX(Market_Daily!$V$6:$V$256,MATCH($A381,Market_Daily!$A$6:$A$256,0))</f>
        <v/>
      </c>
      <c r="AG381" s="18">
        <f>$AF381*bcd_scrap_hs7602*(1+sws_rate_on_bcd)</f>
        <v/>
      </c>
      <c r="AH381" s="18">
        <f>INDEX(param_values,MATCH("port_cf_charges_inr_t_"&amp;$Z381,param_keys,0))*$AA381+IF(INDEX(param_values,MATCH(IF($I381="JEA_NSA","psic_required_uae_origin","psic_required_safe_origin_designated_port"),param_keys,0)),psic_cost_usd_per_box*INDEX(Market_Daily!$F$6:$F$256,MATCH($A381,Market_Daily!$A$6:$A$256,0))/INDEX(param_values,MATCH("container_payload_mt_20ft_"&amp;$H381,param_keys,0)),0)</f>
        <v/>
      </c>
      <c r="AI381" s="18">
        <f>IF(igst_itc_available,0,($AF381+$AG381)*igst_rate_hs7602)</f>
        <v/>
      </c>
      <c r="AJ381" s="18">
        <f>$AE381+$AG381+$AH381+$AI381</f>
        <v/>
      </c>
      <c r="AK381" s="7" t="inlineStr">
        <is>
          <t>DERIVED_IN_WORKBOOK</t>
        </is>
      </c>
      <c r="AL381" s="8">
        <f>IF($J381="INR",1,IF($M381&lt;$A381,INDEX(Market_Daily!$F$6:$F$256,MATCH($M381,Market_Daily!$A$6:$A$256,1)),IF($M381=$A381,INDEX(Market_Daily!$F$6:$F$256,MATCH($A381,Market_Daily!$A$6:$A$256,0)),(INDEX(Market_Daily!$F$6:$F$256,MATCH($A381,Market_Daily!$A$6:$A$256,0))*(1+INDEX(Market_Daily!$I$6:$I$256,MATCH($A381,Market_Daily!$A$6:$A$256,0))*($M381-$A381)/day_count_inr)/(1+INDEX(Market_Daily!$J$6:$J$256,MATCH($A381,Market_Daily!$A$6:$A$256,0))*($M381-$A381)/day_count_usd)))))</f>
        <v/>
      </c>
      <c r="AM381" s="8">
        <f>IF(OR($J381="INR",$R381&gt;1),"",$AL381-$X381)</f>
        <v/>
      </c>
      <c r="AN381" s="8">
        <f>$N381*$AJ381</f>
        <v/>
      </c>
      <c r="AO381" s="8">
        <f>$AN381</f>
        <v/>
      </c>
      <c r="AP381" s="18">
        <f>$AO381-$V381</f>
        <v/>
      </c>
      <c r="AQ381" s="8">
        <f>IF(ABS($AP381)&lt;=tol_trade_inr,"PASS","FAIL")</f>
        <v/>
      </c>
    </row>
    <row r="382">
      <c r="A382" s="11" t="n">
        <v>44657</v>
      </c>
      <c r="B382" s="7" t="inlineStr">
        <is>
          <t>T04</t>
        </is>
      </c>
      <c r="C382" s="7" t="inlineStr">
        <is>
          <t>INVENTORY:L2</t>
        </is>
      </c>
      <c r="D382" s="7" t="inlineStr">
        <is>
          <t>INVENTORY</t>
        </is>
      </c>
      <c r="E382" s="7" t="inlineStr">
        <is>
          <t>physical</t>
        </is>
      </c>
      <c r="F382" s="7" t="inlineStr">
        <is>
          <t>L2</t>
        </is>
      </c>
      <c r="H382" s="7" t="inlineStr">
        <is>
          <t>taint_tabor</t>
        </is>
      </c>
      <c r="I382" s="7" t="inlineStr">
        <is>
          <t>USEC_MUN</t>
        </is>
      </c>
      <c r="J382" s="7" t="inlineStr">
        <is>
          <t>INR</t>
        </is>
      </c>
      <c r="K382" s="7" t="inlineStr">
        <is>
          <t>fixed_unsettled</t>
        </is>
      </c>
      <c r="L382" s="7" t="inlineStr">
        <is>
          <t>PNL</t>
        </is>
      </c>
      <c r="N382" s="13" t="n">
        <v>630</v>
      </c>
      <c r="O382" s="6" t="n">
        <v>0</v>
      </c>
      <c r="P382" s="13" t="n">
        <v>0</v>
      </c>
      <c r="Q382" s="22" t="n">
        <v>30</v>
      </c>
      <c r="R382" s="6" t="n">
        <v>0</v>
      </c>
      <c r="U382" s="9" t="n">
        <v>125733865.31</v>
      </c>
      <c r="V382" s="9" t="n">
        <v>125733865.31</v>
      </c>
      <c r="W382" s="9" t="n">
        <v>199577.564</v>
      </c>
      <c r="X382" s="9" t="n">
        <v>75.8348</v>
      </c>
      <c r="Y382" s="8">
        <f>IF($I382="JEA_NSA","20ft","40ft")</f>
        <v/>
      </c>
      <c r="Z382" s="8">
        <f>IF($I382="JEA_NSA","nsa","mun")</f>
        <v/>
      </c>
      <c r="AA382" s="8">
        <f>INDEX(param_values,MATCH("container_payload_mt_"&amp;$Y382,param_keys,0))/INDEX(param_values,MATCH("container_payload_mt_"&amp;$Y382&amp;"_"&amp;$H382,param_keys,0))</f>
        <v/>
      </c>
      <c r="AB382" s="16">
        <f>INDEX(Market_Daily!$C$6:$C$256,MATCH($A382,Market_Daily!$A$6:$A$256,0))*INDEX(Market_Daily!$X$6:$Z$256,MATCH($A382,Market_Daily!$A$6:$A$256,0),MATCH("grade_factor_"&amp;$H382,Market_Daily!$X$5:$Z$5,0))</f>
        <v/>
      </c>
      <c r="AC382" s="16">
        <f>$AB382*(1+insurance_rate*insured_value_uplift)</f>
        <v/>
      </c>
      <c r="AD382" s="8">
        <f>(INDEX(Market_Daily!$F$6:$F$256,MATCH($A382,Market_Daily!$A$6:$A$256,0))*(1+INDEX(Market_Daily!$I$6:$I$256,MATCH($A382,Market_Daily!$A$6:$A$256,0))*$Q382/day_count_inr)/(1+INDEX(Market_Daily!$J$6:$J$256,MATCH($A382,Market_Daily!$A$6:$A$256,0))*$Q382/day_count_usd))</f>
        <v/>
      </c>
      <c r="AE382" s="18">
        <f>$AC382*$AD382</f>
        <v/>
      </c>
      <c r="AF382" s="18">
        <f>$AC382*INDEX(Market_Daily!$V$6:$V$256,MATCH($A382,Market_Daily!$A$6:$A$256,0))</f>
        <v/>
      </c>
      <c r="AG382" s="18">
        <f>$AF382*bcd_scrap_hs7602*(1+sws_rate_on_bcd)</f>
        <v/>
      </c>
      <c r="AH382" s="18">
        <f>INDEX(param_values,MATCH("port_cf_charges_inr_t_"&amp;$Z382,param_keys,0))*$AA382+IF(INDEX(param_values,MATCH(IF($I382="JEA_NSA","psic_required_uae_origin","psic_required_safe_origin_designated_port"),param_keys,0)),psic_cost_usd_per_box*INDEX(Market_Daily!$F$6:$F$256,MATCH($A382,Market_Daily!$A$6:$A$256,0))/INDEX(param_values,MATCH("container_payload_mt_20ft_"&amp;$H382,param_keys,0)),0)</f>
        <v/>
      </c>
      <c r="AI382" s="18">
        <f>IF(igst_itc_available,0,($AF382+$AG382)*igst_rate_hs7602)</f>
        <v/>
      </c>
      <c r="AJ382" s="18">
        <f>$AE382+$AG382+$AH382+$AI382</f>
        <v/>
      </c>
      <c r="AK382" s="7" t="inlineStr">
        <is>
          <t>DERIVED_IN_WORKBOOK</t>
        </is>
      </c>
      <c r="AL382" s="8">
        <f>IF($J382="INR",1,IF($M382&lt;$A382,INDEX(Market_Daily!$F$6:$F$256,MATCH($M382,Market_Daily!$A$6:$A$256,1)),IF($M382=$A382,INDEX(Market_Daily!$F$6:$F$256,MATCH($A382,Market_Daily!$A$6:$A$256,0)),(INDEX(Market_Daily!$F$6:$F$256,MATCH($A382,Market_Daily!$A$6:$A$256,0))*(1+INDEX(Market_Daily!$I$6:$I$256,MATCH($A382,Market_Daily!$A$6:$A$256,0))*($M382-$A382)/day_count_inr)/(1+INDEX(Market_Daily!$J$6:$J$256,MATCH($A382,Market_Daily!$A$6:$A$256,0))*($M382-$A382)/day_count_usd)))))</f>
        <v/>
      </c>
      <c r="AM382" s="8">
        <f>IF(OR($J382="INR",$R382&gt;1),"",$AL382-$X382)</f>
        <v/>
      </c>
      <c r="AN382" s="8">
        <f>$N382*$AJ382</f>
        <v/>
      </c>
      <c r="AO382" s="8">
        <f>$AN382</f>
        <v/>
      </c>
      <c r="AP382" s="18">
        <f>$AO382-$V382</f>
        <v/>
      </c>
      <c r="AQ382" s="8">
        <f>IF(ABS($AP382)&lt;=tol_trade_inr,"PASS","FAIL")</f>
        <v/>
      </c>
    </row>
    <row r="383">
      <c r="A383" s="11" t="n">
        <v>44657</v>
      </c>
      <c r="B383" s="7" t="inlineStr">
        <is>
          <t>T04</t>
        </is>
      </c>
      <c r="C383" s="7" t="inlineStr">
        <is>
          <t>MCX:T04-MCX-1</t>
        </is>
      </c>
      <c r="D383" s="7" t="inlineStr">
        <is>
          <t>MCX</t>
        </is>
      </c>
      <c r="E383" s="7" t="inlineStr">
        <is>
          <t>mcx</t>
        </is>
      </c>
      <c r="H383" s="7" t="inlineStr">
        <is>
          <t>taint_tabor</t>
        </is>
      </c>
      <c r="I383" s="7" t="inlineStr">
        <is>
          <t>USEC_MUN</t>
        </is>
      </c>
      <c r="J383" s="7" t="inlineStr">
        <is>
          <t>INR</t>
        </is>
      </c>
      <c r="K383" s="7" t="inlineStr">
        <is>
          <t>partially_fixed</t>
        </is>
      </c>
      <c r="L383" s="7" t="inlineStr">
        <is>
          <t>PNL</t>
        </is>
      </c>
      <c r="M383" s="11" t="n">
        <v>44671</v>
      </c>
      <c r="N383" s="13" t="n">
        <v>0</v>
      </c>
      <c r="O383" s="6" t="n">
        <v>-87</v>
      </c>
      <c r="P383" s="13" t="n">
        <v>0</v>
      </c>
      <c r="Q383" s="22" t="n">
        <v>30</v>
      </c>
      <c r="R383" s="6" t="n">
        <v>9</v>
      </c>
      <c r="U383" s="9" t="n">
        <v>0</v>
      </c>
      <c r="V383" s="9" t="n">
        <v>0</v>
      </c>
      <c r="X383" s="9" t="n">
        <v>75.8348</v>
      </c>
      <c r="AK383" s="7" t="inlineStr">
        <is>
          <t>PYTHON_MULTI_FLOW_LEG</t>
        </is>
      </c>
      <c r="AL383" s="8">
        <f>IF($J383="INR",1,IF($M383&lt;$A383,INDEX(Market_Daily!$F$6:$F$256,MATCH($M383,Market_Daily!$A$6:$A$256,1)),IF($M383=$A383,INDEX(Market_Daily!$F$6:$F$256,MATCH($A383,Market_Daily!$A$6:$A$256,0)),(INDEX(Market_Daily!$F$6:$F$256,MATCH($A383,Market_Daily!$A$6:$A$256,0))*(1+INDEX(Market_Daily!$I$6:$I$256,MATCH($A383,Market_Daily!$A$6:$A$256,0))*($M383-$A383)/day_count_inr)/(1+INDEX(Market_Daily!$J$6:$J$256,MATCH($A383,Market_Daily!$A$6:$A$256,0))*($M383-$A383)/day_count_usd)))))</f>
        <v/>
      </c>
      <c r="AM383" s="8">
        <f>IF(OR($J383="INR",$R383&gt;1),"",$AL383-$X383)</f>
        <v/>
      </c>
      <c r="AN383" s="8">
        <f>$U383</f>
        <v/>
      </c>
      <c r="AO383" s="8">
        <f>$V383</f>
        <v/>
      </c>
      <c r="AP383" s="18">
        <f>$AO383-$V383</f>
        <v/>
      </c>
      <c r="AQ383" s="8">
        <f>IF(ABS($AP383)&lt;=tol_trade_inr,"PASS","FAIL")</f>
        <v/>
      </c>
    </row>
    <row r="384">
      <c r="A384" s="11" t="n">
        <v>44657</v>
      </c>
      <c r="B384" s="7" t="inlineStr">
        <is>
          <t>T04</t>
        </is>
      </c>
      <c r="C384" s="7" t="inlineStr">
        <is>
          <t>PORT:L1</t>
        </is>
      </c>
      <c r="D384" s="7" t="inlineStr">
        <is>
          <t>PORT</t>
        </is>
      </c>
      <c r="E384" s="7" t="inlineStr">
        <is>
          <t>physical</t>
        </is>
      </c>
      <c r="F384" s="7" t="inlineStr">
        <is>
          <t>L1</t>
        </is>
      </c>
      <c r="H384" s="7" t="inlineStr">
        <is>
          <t>taint_tabor</t>
        </is>
      </c>
      <c r="I384" s="7" t="inlineStr">
        <is>
          <t>USEC_MUN</t>
        </is>
      </c>
      <c r="J384" s="7" t="inlineStr">
        <is>
          <t>INR</t>
        </is>
      </c>
      <c r="K384" s="7" t="inlineStr">
        <is>
          <t>fixed_unsettled</t>
        </is>
      </c>
      <c r="L384" s="7" t="inlineStr">
        <is>
          <t>PNL</t>
        </is>
      </c>
      <c r="M384" s="11" t="n">
        <v>44728</v>
      </c>
      <c r="N384" s="13" t="n">
        <v>0</v>
      </c>
      <c r="O384" s="6" t="n">
        <v>0</v>
      </c>
      <c r="P384" s="13" t="n">
        <v>0</v>
      </c>
      <c r="Q384" s="22" t="n">
        <v>30</v>
      </c>
      <c r="R384" s="6" t="n">
        <v>1</v>
      </c>
      <c r="U384" s="9" t="n">
        <v>-1669500</v>
      </c>
      <c r="V384" s="9" t="n">
        <v>-1669500</v>
      </c>
      <c r="X384" s="9" t="n">
        <v>75.8348</v>
      </c>
      <c r="AK384" s="7" t="inlineStr">
        <is>
          <t>PYTHON_LIFECYCLE</t>
        </is>
      </c>
      <c r="AL384" s="8">
        <f>IF($J384="INR",1,IF($M384&lt;$A384,INDEX(Market_Daily!$F$6:$F$256,MATCH($M384,Market_Daily!$A$6:$A$256,1)),IF($M384=$A384,INDEX(Market_Daily!$F$6:$F$256,MATCH($A384,Market_Daily!$A$6:$A$256,0)),(INDEX(Market_Daily!$F$6:$F$256,MATCH($A384,Market_Daily!$A$6:$A$256,0))*(1+INDEX(Market_Daily!$I$6:$I$256,MATCH($A384,Market_Daily!$A$6:$A$256,0))*($M384-$A384)/day_count_inr)/(1+INDEX(Market_Daily!$J$6:$J$256,MATCH($A384,Market_Daily!$A$6:$A$256,0))*($M384-$A384)/day_count_usd)))))</f>
        <v/>
      </c>
      <c r="AM384" s="8">
        <f>IF(OR($J384="INR",$R384&gt;1),"",$AL384-$X384)</f>
        <v/>
      </c>
      <c r="AN384" s="8">
        <f>$U384</f>
        <v/>
      </c>
      <c r="AO384" s="8">
        <f>$AN384*IF($J384="INR",1,$AL384)</f>
        <v/>
      </c>
      <c r="AP384" s="18">
        <f>$AO384-$V384</f>
        <v/>
      </c>
      <c r="AQ384" s="8">
        <f>IF(ABS($AP384)&lt;=tol_trade_inr,"PASS","FAIL")</f>
        <v/>
      </c>
    </row>
    <row r="385">
      <c r="A385" s="11" t="n">
        <v>44657</v>
      </c>
      <c r="B385" s="7" t="inlineStr">
        <is>
          <t>T04</t>
        </is>
      </c>
      <c r="C385" s="7" t="inlineStr">
        <is>
          <t>PORT:L2</t>
        </is>
      </c>
      <c r="D385" s="7" t="inlineStr">
        <is>
          <t>PORT</t>
        </is>
      </c>
      <c r="E385" s="7" t="inlineStr">
        <is>
          <t>physical</t>
        </is>
      </c>
      <c r="F385" s="7" t="inlineStr">
        <is>
          <t>L2</t>
        </is>
      </c>
      <c r="H385" s="7" t="inlineStr">
        <is>
          <t>taint_tabor</t>
        </is>
      </c>
      <c r="I385" s="7" t="inlineStr">
        <is>
          <t>USEC_MUN</t>
        </is>
      </c>
      <c r="J385" s="7" t="inlineStr">
        <is>
          <t>INR</t>
        </is>
      </c>
      <c r="K385" s="7" t="inlineStr">
        <is>
          <t>fixed_unsettled</t>
        </is>
      </c>
      <c r="L385" s="7" t="inlineStr">
        <is>
          <t>PNL</t>
        </is>
      </c>
      <c r="M385" s="11" t="n">
        <v>44735</v>
      </c>
      <c r="N385" s="13" t="n">
        <v>0</v>
      </c>
      <c r="O385" s="6" t="n">
        <v>0</v>
      </c>
      <c r="P385" s="13" t="n">
        <v>0</v>
      </c>
      <c r="Q385" s="22" t="n">
        <v>30</v>
      </c>
      <c r="R385" s="6" t="n">
        <v>1</v>
      </c>
      <c r="U385" s="9" t="n">
        <v>-1669500</v>
      </c>
      <c r="V385" s="9" t="n">
        <v>-1669500</v>
      </c>
      <c r="X385" s="9" t="n">
        <v>75.8348</v>
      </c>
      <c r="AK385" s="7" t="inlineStr">
        <is>
          <t>PYTHON_LIFECYCLE</t>
        </is>
      </c>
      <c r="AL385" s="8">
        <f>IF($J385="INR",1,IF($M385&lt;$A385,INDEX(Market_Daily!$F$6:$F$256,MATCH($M385,Market_Daily!$A$6:$A$256,1)),IF($M385=$A385,INDEX(Market_Daily!$F$6:$F$256,MATCH($A385,Market_Daily!$A$6:$A$256,0)),(INDEX(Market_Daily!$F$6:$F$256,MATCH($A385,Market_Daily!$A$6:$A$256,0))*(1+INDEX(Market_Daily!$I$6:$I$256,MATCH($A385,Market_Daily!$A$6:$A$256,0))*($M385-$A385)/day_count_inr)/(1+INDEX(Market_Daily!$J$6:$J$256,MATCH($A385,Market_Daily!$A$6:$A$256,0))*($M385-$A385)/day_count_usd)))))</f>
        <v/>
      </c>
      <c r="AM385" s="8">
        <f>IF(OR($J385="INR",$R385&gt;1),"",$AL385-$X385)</f>
        <v/>
      </c>
      <c r="AN385" s="8">
        <f>$U385</f>
        <v/>
      </c>
      <c r="AO385" s="8">
        <f>$AN385*IF($J385="INR",1,$AL385)</f>
        <v/>
      </c>
      <c r="AP385" s="18">
        <f>$AO385-$V385</f>
        <v/>
      </c>
      <c r="AQ385" s="8">
        <f>IF(ABS($AP385)&lt;=tol_trade_inr,"PASS","FAIL")</f>
        <v/>
      </c>
    </row>
    <row r="386">
      <c r="A386" s="11" t="n">
        <v>44657</v>
      </c>
      <c r="B386" s="7" t="inlineStr">
        <is>
          <t>T04</t>
        </is>
      </c>
      <c r="C386" s="7" t="inlineStr">
        <is>
          <t>PURCHASE:L1</t>
        </is>
      </c>
      <c r="D386" s="7" t="inlineStr">
        <is>
          <t>PURCHASE</t>
        </is>
      </c>
      <c r="E386" s="7" t="inlineStr">
        <is>
          <t>physical</t>
        </is>
      </c>
      <c r="F386" s="7" t="inlineStr">
        <is>
          <t>L1</t>
        </is>
      </c>
      <c r="G386" s="7" t="inlineStr">
        <is>
          <t>SUP_USEC_02</t>
        </is>
      </c>
      <c r="H386" s="7" t="inlineStr">
        <is>
          <t>taint_tabor</t>
        </is>
      </c>
      <c r="I386" s="7" t="inlineStr">
        <is>
          <t>USEC_MUN</t>
        </is>
      </c>
      <c r="J386" s="7" t="inlineStr">
        <is>
          <t>USD</t>
        </is>
      </c>
      <c r="K386" s="7" t="inlineStr">
        <is>
          <t>fixed_unsettled</t>
        </is>
      </c>
      <c r="L386" s="7" t="inlineStr">
        <is>
          <t>PNL</t>
        </is>
      </c>
      <c r="M386" s="11" t="n">
        <v>44685</v>
      </c>
      <c r="N386" s="13" t="n">
        <v>630</v>
      </c>
      <c r="O386" s="6" t="n">
        <v>0</v>
      </c>
      <c r="P386" s="13" t="n">
        <v>0</v>
      </c>
      <c r="Q386" s="22" t="n">
        <v>30</v>
      </c>
      <c r="R386" s="6" t="n">
        <v>1</v>
      </c>
      <c r="U386" s="9" t="n">
        <v>-1518300</v>
      </c>
      <c r="V386" s="9" t="n">
        <v>-115426489.87</v>
      </c>
      <c r="X386" s="9" t="n">
        <v>76.0235</v>
      </c>
      <c r="AK386" s="7" t="inlineStr">
        <is>
          <t>PYTHON_LIFECYCLE</t>
        </is>
      </c>
      <c r="AL386" s="8">
        <f>IF($J386="INR",1,IF($M386&lt;$A386,INDEX(Market_Daily!$F$6:$F$256,MATCH($M386,Market_Daily!$A$6:$A$256,1)),IF($M386=$A386,INDEX(Market_Daily!$F$6:$F$256,MATCH($A386,Market_Daily!$A$6:$A$256,0)),(INDEX(Market_Daily!$F$6:$F$256,MATCH($A386,Market_Daily!$A$6:$A$256,0))*(1+INDEX(Market_Daily!$I$6:$I$256,MATCH($A386,Market_Daily!$A$6:$A$256,0))*($M386-$A386)/day_count_inr)/(1+INDEX(Market_Daily!$J$6:$J$256,MATCH($A386,Market_Daily!$A$6:$A$256,0))*($M386-$A386)/day_count_usd)))))</f>
        <v/>
      </c>
      <c r="AM386" s="8">
        <f>IF(OR($J386="INR",$R386&gt;1),"",$AL386-$X386)</f>
        <v/>
      </c>
      <c r="AN386" s="8">
        <f>$U386</f>
        <v/>
      </c>
      <c r="AO386" s="8">
        <f>$AN386*IF($J386="INR",1,$AL386)</f>
        <v/>
      </c>
      <c r="AP386" s="18">
        <f>$AO386-$V386</f>
        <v/>
      </c>
      <c r="AQ386" s="8">
        <f>IF(ABS($AP386)&lt;=tol_trade_inr,"PASS","FAIL")</f>
        <v/>
      </c>
    </row>
    <row r="387">
      <c r="A387" s="11" t="n">
        <v>44657</v>
      </c>
      <c r="B387" s="7" t="inlineStr">
        <is>
          <t>T04</t>
        </is>
      </c>
      <c r="C387" s="7" t="inlineStr">
        <is>
          <t>PURCHASE:L2</t>
        </is>
      </c>
      <c r="D387" s="7" t="inlineStr">
        <is>
          <t>PURCHASE</t>
        </is>
      </c>
      <c r="E387" s="7" t="inlineStr">
        <is>
          <t>physical</t>
        </is>
      </c>
      <c r="F387" s="7" t="inlineStr">
        <is>
          <t>L2</t>
        </is>
      </c>
      <c r="G387" s="7" t="inlineStr">
        <is>
          <t>SUP_USEC_02</t>
        </is>
      </c>
      <c r="H387" s="7" t="inlineStr">
        <is>
          <t>taint_tabor</t>
        </is>
      </c>
      <c r="I387" s="7" t="inlineStr">
        <is>
          <t>USEC_MUN</t>
        </is>
      </c>
      <c r="J387" s="7" t="inlineStr">
        <is>
          <t>USD</t>
        </is>
      </c>
      <c r="K387" s="7" t="inlineStr">
        <is>
          <t>fixed_unsettled</t>
        </is>
      </c>
      <c r="L387" s="7" t="inlineStr">
        <is>
          <t>PNL</t>
        </is>
      </c>
      <c r="M387" s="11" t="n">
        <v>44692</v>
      </c>
      <c r="N387" s="13" t="n">
        <v>630</v>
      </c>
      <c r="O387" s="6" t="n">
        <v>0</v>
      </c>
      <c r="P387" s="13" t="n">
        <v>0</v>
      </c>
      <c r="Q387" s="22" t="n">
        <v>30</v>
      </c>
      <c r="R387" s="6" t="n">
        <v>1</v>
      </c>
      <c r="U387" s="9" t="n">
        <v>-1518300</v>
      </c>
      <c r="V387" s="9" t="n">
        <v>-115498071.45</v>
      </c>
      <c r="X387" s="9" t="n">
        <v>76.0707</v>
      </c>
      <c r="AK387" s="7" t="inlineStr">
        <is>
          <t>PYTHON_LIFECYCLE</t>
        </is>
      </c>
      <c r="AL387" s="8">
        <f>IF($J387="INR",1,IF($M387&lt;$A387,INDEX(Market_Daily!$F$6:$F$256,MATCH($M387,Market_Daily!$A$6:$A$256,1)),IF($M387=$A387,INDEX(Market_Daily!$F$6:$F$256,MATCH($A387,Market_Daily!$A$6:$A$256,0)),(INDEX(Market_Daily!$F$6:$F$256,MATCH($A387,Market_Daily!$A$6:$A$256,0))*(1+INDEX(Market_Daily!$I$6:$I$256,MATCH($A387,Market_Daily!$A$6:$A$256,0))*($M387-$A387)/day_count_inr)/(1+INDEX(Market_Daily!$J$6:$J$256,MATCH($A387,Market_Daily!$A$6:$A$256,0))*($M387-$A387)/day_count_usd)))))</f>
        <v/>
      </c>
      <c r="AM387" s="8">
        <f>IF(OR($J387="INR",$R387&gt;1),"",$AL387-$X387)</f>
        <v/>
      </c>
      <c r="AN387" s="8">
        <f>$U387</f>
        <v/>
      </c>
      <c r="AO387" s="8">
        <f>$AN387*IF($J387="INR",1,$AL387)</f>
        <v/>
      </c>
      <c r="AP387" s="18">
        <f>$AO387-$V387</f>
        <v/>
      </c>
      <c r="AQ387" s="8">
        <f>IF(ABS($AP387)&lt;=tol_trade_inr,"PASS","FAIL")</f>
        <v/>
      </c>
    </row>
    <row r="388">
      <c r="A388" s="11" t="n">
        <v>44672</v>
      </c>
      <c r="B388" s="7" t="inlineStr">
        <is>
          <t>T01</t>
        </is>
      </c>
      <c r="C388" s="7" t="inlineStr">
        <is>
          <t>DUTY:L1</t>
        </is>
      </c>
      <c r="D388" s="7" t="inlineStr">
        <is>
          <t>DUTY</t>
        </is>
      </c>
      <c r="E388" s="7" t="inlineStr">
        <is>
          <t>physical</t>
        </is>
      </c>
      <c r="F388" s="7" t="inlineStr">
        <is>
          <t>L1</t>
        </is>
      </c>
      <c r="H388" s="7" t="inlineStr">
        <is>
          <t>zorba</t>
        </is>
      </c>
      <c r="I388" s="7" t="inlineStr">
        <is>
          <t>USEC_MUN</t>
        </is>
      </c>
      <c r="J388" s="7" t="inlineStr">
        <is>
          <t>INR</t>
        </is>
      </c>
      <c r="K388" s="7" t="inlineStr">
        <is>
          <t>floating</t>
        </is>
      </c>
      <c r="L388" s="7" t="inlineStr">
        <is>
          <t>PNL</t>
        </is>
      </c>
      <c r="M388" s="11" t="n">
        <v>44690</v>
      </c>
      <c r="N388" s="13" t="n">
        <v>840</v>
      </c>
      <c r="O388" s="6" t="n">
        <v>0</v>
      </c>
      <c r="P388" s="13" t="n">
        <v>0</v>
      </c>
      <c r="Q388" s="22" t="n">
        <v>30</v>
      </c>
      <c r="R388" s="6" t="n">
        <v>1</v>
      </c>
      <c r="U388" s="9" t="n">
        <v>-4339436.94</v>
      </c>
      <c r="V388" s="9" t="n">
        <v>-4339436.94</v>
      </c>
      <c r="X388" s="9" t="n">
        <v>76.2056</v>
      </c>
      <c r="AK388" s="7" t="inlineStr">
        <is>
          <t>PYTHON_LIFECYCLE</t>
        </is>
      </c>
      <c r="AL388" s="8">
        <f>IF($J388="INR",1,IF($M388&lt;$A388,INDEX(Market_Daily!$F$6:$F$256,MATCH($M388,Market_Daily!$A$6:$A$256,1)),IF($M388=$A388,INDEX(Market_Daily!$F$6:$F$256,MATCH($A388,Market_Daily!$A$6:$A$256,0)),(INDEX(Market_Daily!$F$6:$F$256,MATCH($A388,Market_Daily!$A$6:$A$256,0))*(1+INDEX(Market_Daily!$I$6:$I$256,MATCH($A388,Market_Daily!$A$6:$A$256,0))*($M388-$A388)/day_count_inr)/(1+INDEX(Market_Daily!$J$6:$J$256,MATCH($A388,Market_Daily!$A$6:$A$256,0))*($M388-$A388)/day_count_usd)))))</f>
        <v/>
      </c>
      <c r="AM388" s="8">
        <f>IF(OR($J388="INR",$R388&gt;1),"",$AL388-$X388)</f>
        <v/>
      </c>
      <c r="AN388" s="8">
        <f>$U388</f>
        <v/>
      </c>
      <c r="AO388" s="8">
        <f>$AN388*IF($J388="INR",1,$AL388)</f>
        <v/>
      </c>
      <c r="AP388" s="18">
        <f>$AO388-$V388</f>
        <v/>
      </c>
      <c r="AQ388" s="8">
        <f>IF(ABS($AP388)&lt;=tol_trade_inr,"PASS","FAIL")</f>
        <v/>
      </c>
    </row>
    <row r="389">
      <c r="A389" s="11" t="n">
        <v>44672</v>
      </c>
      <c r="B389" s="7" t="inlineStr">
        <is>
          <t>T01</t>
        </is>
      </c>
      <c r="C389" s="7" t="inlineStr">
        <is>
          <t>DUTY:L2</t>
        </is>
      </c>
      <c r="D389" s="7" t="inlineStr">
        <is>
          <t>DUTY</t>
        </is>
      </c>
      <c r="E389" s="7" t="inlineStr">
        <is>
          <t>physical</t>
        </is>
      </c>
      <c r="F389" s="7" t="inlineStr">
        <is>
          <t>L2</t>
        </is>
      </c>
      <c r="H389" s="7" t="inlineStr">
        <is>
          <t>zorba</t>
        </is>
      </c>
      <c r="I389" s="7" t="inlineStr">
        <is>
          <t>USEC_MUN</t>
        </is>
      </c>
      <c r="J389" s="7" t="inlineStr">
        <is>
          <t>INR</t>
        </is>
      </c>
      <c r="K389" s="7" t="inlineStr">
        <is>
          <t>floating</t>
        </is>
      </c>
      <c r="L389" s="7" t="inlineStr">
        <is>
          <t>PNL</t>
        </is>
      </c>
      <c r="M389" s="11" t="n">
        <v>44697</v>
      </c>
      <c r="N389" s="13" t="n">
        <v>840</v>
      </c>
      <c r="O389" s="6" t="n">
        <v>0</v>
      </c>
      <c r="P389" s="13" t="n">
        <v>0</v>
      </c>
      <c r="Q389" s="22" t="n">
        <v>30</v>
      </c>
      <c r="R389" s="6" t="n">
        <v>1</v>
      </c>
      <c r="U389" s="9" t="n">
        <v>-4339436.94</v>
      </c>
      <c r="V389" s="9" t="n">
        <v>-4339436.94</v>
      </c>
      <c r="X389" s="9" t="n">
        <v>76.2056</v>
      </c>
      <c r="AK389" s="7" t="inlineStr">
        <is>
          <t>PYTHON_LIFECYCLE</t>
        </is>
      </c>
      <c r="AL389" s="8">
        <f>IF($J389="INR",1,IF($M389&lt;$A389,INDEX(Market_Daily!$F$6:$F$256,MATCH($M389,Market_Daily!$A$6:$A$256,1)),IF($M389=$A389,INDEX(Market_Daily!$F$6:$F$256,MATCH($A389,Market_Daily!$A$6:$A$256,0)),(INDEX(Market_Daily!$F$6:$F$256,MATCH($A389,Market_Daily!$A$6:$A$256,0))*(1+INDEX(Market_Daily!$I$6:$I$256,MATCH($A389,Market_Daily!$A$6:$A$256,0))*($M389-$A389)/day_count_inr)/(1+INDEX(Market_Daily!$J$6:$J$256,MATCH($A389,Market_Daily!$A$6:$A$256,0))*($M389-$A389)/day_count_usd)))))</f>
        <v/>
      </c>
      <c r="AM389" s="8">
        <f>IF(OR($J389="INR",$R389&gt;1),"",$AL389-$X389)</f>
        <v/>
      </c>
      <c r="AN389" s="8">
        <f>$U389</f>
        <v/>
      </c>
      <c r="AO389" s="8">
        <f>$AN389*IF($J389="INR",1,$AL389)</f>
        <v/>
      </c>
      <c r="AP389" s="18">
        <f>$AO389-$V389</f>
        <v/>
      </c>
      <c r="AQ389" s="8">
        <f>IF(ABS($AP389)&lt;=tol_trade_inr,"PASS","FAIL")</f>
        <v/>
      </c>
    </row>
    <row r="390">
      <c r="A390" s="11" t="n">
        <v>44672</v>
      </c>
      <c r="B390" s="7" t="inlineStr">
        <is>
          <t>T01</t>
        </is>
      </c>
      <c r="C390" s="7" t="inlineStr">
        <is>
          <t>DUTY:L3</t>
        </is>
      </c>
      <c r="D390" s="7" t="inlineStr">
        <is>
          <t>DUTY</t>
        </is>
      </c>
      <c r="E390" s="7" t="inlineStr">
        <is>
          <t>physical</t>
        </is>
      </c>
      <c r="F390" s="7" t="inlineStr">
        <is>
          <t>L3</t>
        </is>
      </c>
      <c r="H390" s="7" t="inlineStr">
        <is>
          <t>zorba</t>
        </is>
      </c>
      <c r="I390" s="7" t="inlineStr">
        <is>
          <t>USEC_MUN</t>
        </is>
      </c>
      <c r="J390" s="7" t="inlineStr">
        <is>
          <t>INR</t>
        </is>
      </c>
      <c r="K390" s="7" t="inlineStr">
        <is>
          <t>floating</t>
        </is>
      </c>
      <c r="L390" s="7" t="inlineStr">
        <is>
          <t>PNL</t>
        </is>
      </c>
      <c r="M390" s="11" t="n">
        <v>44699</v>
      </c>
      <c r="N390" s="13" t="n">
        <v>840</v>
      </c>
      <c r="O390" s="6" t="n">
        <v>0</v>
      </c>
      <c r="P390" s="13" t="n">
        <v>0</v>
      </c>
      <c r="Q390" s="22" t="n">
        <v>30</v>
      </c>
      <c r="R390" s="6" t="n">
        <v>1</v>
      </c>
      <c r="U390" s="9" t="n">
        <v>-4339436.94</v>
      </c>
      <c r="V390" s="9" t="n">
        <v>-4339436.94</v>
      </c>
      <c r="X390" s="9" t="n">
        <v>76.2056</v>
      </c>
      <c r="AK390" s="7" t="inlineStr">
        <is>
          <t>PYTHON_LIFECYCLE</t>
        </is>
      </c>
      <c r="AL390" s="8">
        <f>IF($J390="INR",1,IF($M390&lt;$A390,INDEX(Market_Daily!$F$6:$F$256,MATCH($M390,Market_Daily!$A$6:$A$256,1)),IF($M390=$A390,INDEX(Market_Daily!$F$6:$F$256,MATCH($A390,Market_Daily!$A$6:$A$256,0)),(INDEX(Market_Daily!$F$6:$F$256,MATCH($A390,Market_Daily!$A$6:$A$256,0))*(1+INDEX(Market_Daily!$I$6:$I$256,MATCH($A390,Market_Daily!$A$6:$A$256,0))*($M390-$A390)/day_count_inr)/(1+INDEX(Market_Daily!$J$6:$J$256,MATCH($A390,Market_Daily!$A$6:$A$256,0))*($M390-$A390)/day_count_usd)))))</f>
        <v/>
      </c>
      <c r="AM390" s="8">
        <f>IF(OR($J390="INR",$R390&gt;1),"",$AL390-$X390)</f>
        <v/>
      </c>
      <c r="AN390" s="8">
        <f>$U390</f>
        <v/>
      </c>
      <c r="AO390" s="8">
        <f>$AN390*IF($J390="INR",1,$AL390)</f>
        <v/>
      </c>
      <c r="AP390" s="18">
        <f>$AO390-$V390</f>
        <v/>
      </c>
      <c r="AQ390" s="8">
        <f>IF(ABS($AP390)&lt;=tol_trade_inr,"PASS","FAIL")</f>
        <v/>
      </c>
    </row>
    <row r="391">
      <c r="A391" s="11" t="n">
        <v>44672</v>
      </c>
      <c r="B391" s="7" t="inlineStr">
        <is>
          <t>T01</t>
        </is>
      </c>
      <c r="C391" s="7" t="inlineStr">
        <is>
          <t>FREIGHT:L1</t>
        </is>
      </c>
      <c r="D391" s="7" t="inlineStr">
        <is>
          <t>FREIGHT</t>
        </is>
      </c>
      <c r="E391" s="7" t="inlineStr">
        <is>
          <t>physical</t>
        </is>
      </c>
      <c r="F391" s="7" t="inlineStr">
        <is>
          <t>L1</t>
        </is>
      </c>
      <c r="G391" s="7" t="inlineStr">
        <is>
          <t>Meridian Box Lines NVOCC (SIM)</t>
        </is>
      </c>
      <c r="H391" s="7" t="inlineStr">
        <is>
          <t>zorba</t>
        </is>
      </c>
      <c r="I391" s="7" t="inlineStr">
        <is>
          <t>USEC_MUN</t>
        </is>
      </c>
      <c r="J391" s="7" t="inlineStr">
        <is>
          <t>USD</t>
        </is>
      </c>
      <c r="K391" s="7" t="inlineStr">
        <is>
          <t>fixed_unsettled</t>
        </is>
      </c>
      <c r="L391" s="7" t="inlineStr">
        <is>
          <t>PNL</t>
        </is>
      </c>
      <c r="M391" s="11" t="n">
        <v>44690</v>
      </c>
      <c r="N391" s="13" t="n">
        <v>840</v>
      </c>
      <c r="O391" s="6" t="n">
        <v>0</v>
      </c>
      <c r="P391" s="13" t="n">
        <v>0</v>
      </c>
      <c r="Q391" s="22" t="n">
        <v>30</v>
      </c>
      <c r="R391" s="6" t="n">
        <v>1</v>
      </c>
      <c r="U391" s="9" t="n">
        <v>-86800</v>
      </c>
      <c r="V391" s="9" t="n">
        <v>-6624739.62</v>
      </c>
      <c r="X391" s="9" t="n">
        <v>76.3219</v>
      </c>
      <c r="AK391" s="7" t="inlineStr">
        <is>
          <t>PYTHON_LIFECYCLE</t>
        </is>
      </c>
      <c r="AL391" s="8">
        <f>IF($J391="INR",1,IF($M391&lt;$A391,INDEX(Market_Daily!$F$6:$F$256,MATCH($M391,Market_Daily!$A$6:$A$256,1)),IF($M391=$A391,INDEX(Market_Daily!$F$6:$F$256,MATCH($A391,Market_Daily!$A$6:$A$256,0)),(INDEX(Market_Daily!$F$6:$F$256,MATCH($A391,Market_Daily!$A$6:$A$256,0))*(1+INDEX(Market_Daily!$I$6:$I$256,MATCH($A391,Market_Daily!$A$6:$A$256,0))*($M391-$A391)/day_count_inr)/(1+INDEX(Market_Daily!$J$6:$J$256,MATCH($A391,Market_Daily!$A$6:$A$256,0))*($M391-$A391)/day_count_usd)))))</f>
        <v/>
      </c>
      <c r="AM391" s="8">
        <f>IF(OR($J391="INR",$R391&gt;1),"",$AL391-$X391)</f>
        <v/>
      </c>
      <c r="AN391" s="8">
        <f>$U391</f>
        <v/>
      </c>
      <c r="AO391" s="8">
        <f>$AN391*IF($J391="INR",1,$AL391)</f>
        <v/>
      </c>
      <c r="AP391" s="18">
        <f>$AO391-$V391</f>
        <v/>
      </c>
      <c r="AQ391" s="8">
        <f>IF(ABS($AP391)&lt;=tol_trade_inr,"PASS","FAIL")</f>
        <v/>
      </c>
    </row>
    <row r="392">
      <c r="A392" s="11" t="n">
        <v>44672</v>
      </c>
      <c r="B392" s="7" t="inlineStr">
        <is>
          <t>T01</t>
        </is>
      </c>
      <c r="C392" s="7" t="inlineStr">
        <is>
          <t>FREIGHT:L2</t>
        </is>
      </c>
      <c r="D392" s="7" t="inlineStr">
        <is>
          <t>FREIGHT</t>
        </is>
      </c>
      <c r="E392" s="7" t="inlineStr">
        <is>
          <t>physical</t>
        </is>
      </c>
      <c r="F392" s="7" t="inlineStr">
        <is>
          <t>L2</t>
        </is>
      </c>
      <c r="G392" s="7" t="inlineStr">
        <is>
          <t>Meridian Box Lines NVOCC (SIM)</t>
        </is>
      </c>
      <c r="H392" s="7" t="inlineStr">
        <is>
          <t>zorba</t>
        </is>
      </c>
      <c r="I392" s="7" t="inlineStr">
        <is>
          <t>USEC_MUN</t>
        </is>
      </c>
      <c r="J392" s="7" t="inlineStr">
        <is>
          <t>USD</t>
        </is>
      </c>
      <c r="K392" s="7" t="inlineStr">
        <is>
          <t>fixed_unsettled</t>
        </is>
      </c>
      <c r="L392" s="7" t="inlineStr">
        <is>
          <t>PNL</t>
        </is>
      </c>
      <c r="M392" s="11" t="n">
        <v>44697</v>
      </c>
      <c r="N392" s="13" t="n">
        <v>840</v>
      </c>
      <c r="O392" s="6" t="n">
        <v>0</v>
      </c>
      <c r="P392" s="13" t="n">
        <v>0</v>
      </c>
      <c r="Q392" s="22" t="n">
        <v>30</v>
      </c>
      <c r="R392" s="6" t="n">
        <v>1</v>
      </c>
      <c r="U392" s="9" t="n">
        <v>-86800</v>
      </c>
      <c r="V392" s="9" t="n">
        <v>-6628662.66</v>
      </c>
      <c r="X392" s="9" t="n">
        <v>76.36709999999999</v>
      </c>
      <c r="AK392" s="7" t="inlineStr">
        <is>
          <t>PYTHON_LIFECYCLE</t>
        </is>
      </c>
      <c r="AL392" s="8">
        <f>IF($J392="INR",1,IF($M392&lt;$A392,INDEX(Market_Daily!$F$6:$F$256,MATCH($M392,Market_Daily!$A$6:$A$256,1)),IF($M392=$A392,INDEX(Market_Daily!$F$6:$F$256,MATCH($A392,Market_Daily!$A$6:$A$256,0)),(INDEX(Market_Daily!$F$6:$F$256,MATCH($A392,Market_Daily!$A$6:$A$256,0))*(1+INDEX(Market_Daily!$I$6:$I$256,MATCH($A392,Market_Daily!$A$6:$A$256,0))*($M392-$A392)/day_count_inr)/(1+INDEX(Market_Daily!$J$6:$J$256,MATCH($A392,Market_Daily!$A$6:$A$256,0))*($M392-$A392)/day_count_usd)))))</f>
        <v/>
      </c>
      <c r="AM392" s="8">
        <f>IF(OR($J392="INR",$R392&gt;1),"",$AL392-$X392)</f>
        <v/>
      </c>
      <c r="AN392" s="8">
        <f>$U392</f>
        <v/>
      </c>
      <c r="AO392" s="8">
        <f>$AN392*IF($J392="INR",1,$AL392)</f>
        <v/>
      </c>
      <c r="AP392" s="18">
        <f>$AO392-$V392</f>
        <v/>
      </c>
      <c r="AQ392" s="8">
        <f>IF(ABS($AP392)&lt;=tol_trade_inr,"PASS","FAIL")</f>
        <v/>
      </c>
    </row>
    <row r="393">
      <c r="A393" s="11" t="n">
        <v>44672</v>
      </c>
      <c r="B393" s="7" t="inlineStr">
        <is>
          <t>T01</t>
        </is>
      </c>
      <c r="C393" s="7" t="inlineStr">
        <is>
          <t>FREIGHT:L3</t>
        </is>
      </c>
      <c r="D393" s="7" t="inlineStr">
        <is>
          <t>FREIGHT</t>
        </is>
      </c>
      <c r="E393" s="7" t="inlineStr">
        <is>
          <t>physical</t>
        </is>
      </c>
      <c r="F393" s="7" t="inlineStr">
        <is>
          <t>L3</t>
        </is>
      </c>
      <c r="G393" s="7" t="inlineStr">
        <is>
          <t>Meridian Box Lines NVOCC (SIM)</t>
        </is>
      </c>
      <c r="H393" s="7" t="inlineStr">
        <is>
          <t>zorba</t>
        </is>
      </c>
      <c r="I393" s="7" t="inlineStr">
        <is>
          <t>USEC_MUN</t>
        </is>
      </c>
      <c r="J393" s="7" t="inlineStr">
        <is>
          <t>USD</t>
        </is>
      </c>
      <c r="K393" s="7" t="inlineStr">
        <is>
          <t>fixed_unsettled</t>
        </is>
      </c>
      <c r="L393" s="7" t="inlineStr">
        <is>
          <t>PNL</t>
        </is>
      </c>
      <c r="M393" s="11" t="n">
        <v>44698</v>
      </c>
      <c r="N393" s="13" t="n">
        <v>840</v>
      </c>
      <c r="O393" s="6" t="n">
        <v>0</v>
      </c>
      <c r="P393" s="13" t="n">
        <v>0</v>
      </c>
      <c r="Q393" s="22" t="n">
        <v>30</v>
      </c>
      <c r="R393" s="6" t="n">
        <v>1</v>
      </c>
      <c r="U393" s="9" t="n">
        <v>-86800</v>
      </c>
      <c r="V393" s="9" t="n">
        <v>-6629222.99</v>
      </c>
      <c r="X393" s="9" t="n">
        <v>76.37350000000001</v>
      </c>
      <c r="AK393" s="7" t="inlineStr">
        <is>
          <t>PYTHON_LIFECYCLE</t>
        </is>
      </c>
      <c r="AL393" s="8">
        <f>IF($J393="INR",1,IF($M393&lt;$A393,INDEX(Market_Daily!$F$6:$F$256,MATCH($M393,Market_Daily!$A$6:$A$256,1)),IF($M393=$A393,INDEX(Market_Daily!$F$6:$F$256,MATCH($A393,Market_Daily!$A$6:$A$256,0)),(INDEX(Market_Daily!$F$6:$F$256,MATCH($A393,Market_Daily!$A$6:$A$256,0))*(1+INDEX(Market_Daily!$I$6:$I$256,MATCH($A393,Market_Daily!$A$6:$A$256,0))*($M393-$A393)/day_count_inr)/(1+INDEX(Market_Daily!$J$6:$J$256,MATCH($A393,Market_Daily!$A$6:$A$256,0))*($M393-$A393)/day_count_usd)))))</f>
        <v/>
      </c>
      <c r="AM393" s="8">
        <f>IF(OR($J393="INR",$R393&gt;1),"",$AL393-$X393)</f>
        <v/>
      </c>
      <c r="AN393" s="8">
        <f>$U393</f>
        <v/>
      </c>
      <c r="AO393" s="8">
        <f>$AN393*IF($J393="INR",1,$AL393)</f>
        <v/>
      </c>
      <c r="AP393" s="18">
        <f>$AO393-$V393</f>
        <v/>
      </c>
      <c r="AQ393" s="8">
        <f>IF(ABS($AP393)&lt;=tol_trade_inr,"PASS","FAIL")</f>
        <v/>
      </c>
    </row>
    <row r="394">
      <c r="A394" s="11" t="n">
        <v>44672</v>
      </c>
      <c r="B394" s="7" t="inlineStr">
        <is>
          <t>T01</t>
        </is>
      </c>
      <c r="C394" s="7" t="inlineStr">
        <is>
          <t>FX:T01-FX-4</t>
        </is>
      </c>
      <c r="D394" s="7" t="inlineStr">
        <is>
          <t>FX</t>
        </is>
      </c>
      <c r="E394" s="7" t="inlineStr">
        <is>
          <t>fx_forward</t>
        </is>
      </c>
      <c r="H394" s="7" t="inlineStr">
        <is>
          <t>zorba</t>
        </is>
      </c>
      <c r="I394" s="7" t="inlineStr">
        <is>
          <t>USEC_MUN</t>
        </is>
      </c>
      <c r="J394" s="7" t="inlineStr">
        <is>
          <t>INR</t>
        </is>
      </c>
      <c r="K394" s="7" t="inlineStr">
        <is>
          <t>floating</t>
        </is>
      </c>
      <c r="L394" s="7" t="inlineStr">
        <is>
          <t>PNL</t>
        </is>
      </c>
      <c r="M394" s="11" t="n">
        <v>44697</v>
      </c>
      <c r="N394" s="13" t="n">
        <v>0</v>
      </c>
      <c r="O394" s="6" t="n">
        <v>0</v>
      </c>
      <c r="P394" s="13" t="n">
        <v>260400</v>
      </c>
      <c r="Q394" s="22" t="n">
        <v>30</v>
      </c>
      <c r="R394" s="6" t="n">
        <v>1</v>
      </c>
      <c r="S394" s="12" t="n">
        <v>44697</v>
      </c>
      <c r="T394" s="21" t="n">
        <v>76.62367500000001</v>
      </c>
      <c r="U394" s="9" t="n">
        <v>-66817.03999999999</v>
      </c>
      <c r="V394" s="9" t="n">
        <v>-66817.03999999999</v>
      </c>
      <c r="X394" s="9" t="n">
        <v>76.2056</v>
      </c>
      <c r="AK394" s="7" t="inlineStr">
        <is>
          <t>DERIVED_IN_WORKBOOK</t>
        </is>
      </c>
      <c r="AL394" s="8">
        <f>IF($J394="INR",1,IF($M394&lt;$A394,INDEX(Market_Daily!$F$6:$F$256,MATCH($M394,Market_Daily!$A$6:$A$256,1)),IF($M394=$A394,INDEX(Market_Daily!$F$6:$F$256,MATCH($A394,Market_Daily!$A$6:$A$256,0)),(INDEX(Market_Daily!$F$6:$F$256,MATCH($A394,Market_Daily!$A$6:$A$256,0))*(1+INDEX(Market_Daily!$I$6:$I$256,MATCH($A394,Market_Daily!$A$6:$A$256,0))*($M394-$A394)/day_count_inr)/(1+INDEX(Market_Daily!$J$6:$J$256,MATCH($A394,Market_Daily!$A$6:$A$256,0))*($M394-$A394)/day_count_usd)))))</f>
        <v/>
      </c>
      <c r="AM394" s="8">
        <f>IF(OR($J394="INR",$R394&gt;1),"",$AL394-$X394)</f>
        <v/>
      </c>
      <c r="AN394" s="8">
        <f>$P394*(IF($S394&lt;$A394,INDEX(Market_Daily!$F$6:$F$256,MATCH($S394,Market_Daily!$A$6:$A$256,1)),IF($S394=$A394,INDEX(Market_Daily!$F$6:$F$256,MATCH($A394,Market_Daily!$A$6:$A$256,0)),(INDEX(Market_Daily!$F$6:$F$256,MATCH($A394,Market_Daily!$A$6:$A$256,0))*(1+INDEX(Market_Daily!$I$6:$I$256,MATCH($A394,Market_Daily!$A$6:$A$256,0))*($S394-$A394)/day_count_inr)/(1+INDEX(Market_Daily!$J$6:$J$256,MATCH($A394,Market_Daily!$A$6:$A$256,0))*($S394-$A394)/day_count_usd))))-$T394)</f>
        <v/>
      </c>
      <c r="AO394" s="8">
        <f>$AN394</f>
        <v/>
      </c>
      <c r="AP394" s="18">
        <f>$AO394-$V394</f>
        <v/>
      </c>
      <c r="AQ394" s="8">
        <f>IF(ABS($AP394)&lt;=tol_trade_inr,"PASS","FAIL")</f>
        <v/>
      </c>
    </row>
    <row r="395">
      <c r="A395" s="11" t="n">
        <v>44672</v>
      </c>
      <c r="B395" s="7" t="inlineStr">
        <is>
          <t>T01</t>
        </is>
      </c>
      <c r="C395" s="7" t="inlineStr">
        <is>
          <t>IGST:L1</t>
        </is>
      </c>
      <c r="D395" s="7" t="inlineStr">
        <is>
          <t>IGST</t>
        </is>
      </c>
      <c r="E395" s="7" t="inlineStr">
        <is>
          <t>physical</t>
        </is>
      </c>
      <c r="F395" s="7" t="inlineStr">
        <is>
          <t>L1</t>
        </is>
      </c>
      <c r="H395" s="7" t="inlineStr">
        <is>
          <t>zorba</t>
        </is>
      </c>
      <c r="I395" s="7" t="inlineStr">
        <is>
          <t>USEC_MUN</t>
        </is>
      </c>
      <c r="J395" s="7" t="inlineStr">
        <is>
          <t>INR</t>
        </is>
      </c>
      <c r="K395" s="7" t="inlineStr">
        <is>
          <t>floating</t>
        </is>
      </c>
      <c r="L395" s="7" t="inlineStr">
        <is>
          <t>BS</t>
        </is>
      </c>
      <c r="M395" s="11" t="n">
        <v>44735</v>
      </c>
      <c r="N395" s="13" t="n">
        <v>0</v>
      </c>
      <c r="O395" s="6" t="n">
        <v>0</v>
      </c>
      <c r="P395" s="13" t="n">
        <v>0</v>
      </c>
      <c r="Q395" s="22" t="n">
        <v>30</v>
      </c>
      <c r="R395" s="6" t="n">
        <v>2</v>
      </c>
      <c r="U395" s="9" t="n">
        <v>0</v>
      </c>
      <c r="V395" s="9" t="n">
        <v>0</v>
      </c>
      <c r="X395" s="9" t="n">
        <v>76.2056</v>
      </c>
      <c r="AK395" s="7" t="inlineStr">
        <is>
          <t>PYTHON_MULTI_FLOW_LEG</t>
        </is>
      </c>
      <c r="AL395" s="8">
        <f>IF($J395="INR",1,IF($M395&lt;$A395,INDEX(Market_Daily!$F$6:$F$256,MATCH($M395,Market_Daily!$A$6:$A$256,1)),IF($M395=$A395,INDEX(Market_Daily!$F$6:$F$256,MATCH($A395,Market_Daily!$A$6:$A$256,0)),(INDEX(Market_Daily!$F$6:$F$256,MATCH($A395,Market_Daily!$A$6:$A$256,0))*(1+INDEX(Market_Daily!$I$6:$I$256,MATCH($A395,Market_Daily!$A$6:$A$256,0))*($M395-$A395)/day_count_inr)/(1+INDEX(Market_Daily!$J$6:$J$256,MATCH($A395,Market_Daily!$A$6:$A$256,0))*($M395-$A395)/day_count_usd)))))</f>
        <v/>
      </c>
      <c r="AM395" s="8">
        <f>IF(OR($J395="INR",$R395&gt;1),"",$AL395-$X395)</f>
        <v/>
      </c>
      <c r="AN395" s="8">
        <f>$U395</f>
        <v/>
      </c>
      <c r="AO395" s="8">
        <f>$V395</f>
        <v/>
      </c>
      <c r="AP395" s="18">
        <f>$AO395-$V395</f>
        <v/>
      </c>
      <c r="AQ395" s="8">
        <f>IF(ABS($AP395)&lt;=tol_trade_inr,"PASS","FAIL")</f>
        <v/>
      </c>
    </row>
    <row r="396">
      <c r="A396" s="11" t="n">
        <v>44672</v>
      </c>
      <c r="B396" s="7" t="inlineStr">
        <is>
          <t>T01</t>
        </is>
      </c>
      <c r="C396" s="7" t="inlineStr">
        <is>
          <t>IGST:L2</t>
        </is>
      </c>
      <c r="D396" s="7" t="inlineStr">
        <is>
          <t>IGST</t>
        </is>
      </c>
      <c r="E396" s="7" t="inlineStr">
        <is>
          <t>physical</t>
        </is>
      </c>
      <c r="F396" s="7" t="inlineStr">
        <is>
          <t>L2</t>
        </is>
      </c>
      <c r="H396" s="7" t="inlineStr">
        <is>
          <t>zorba</t>
        </is>
      </c>
      <c r="I396" s="7" t="inlineStr">
        <is>
          <t>USEC_MUN</t>
        </is>
      </c>
      <c r="J396" s="7" t="inlineStr">
        <is>
          <t>INR</t>
        </is>
      </c>
      <c r="K396" s="7" t="inlineStr">
        <is>
          <t>floating</t>
        </is>
      </c>
      <c r="L396" s="7" t="inlineStr">
        <is>
          <t>BS</t>
        </is>
      </c>
      <c r="M396" s="11" t="n">
        <v>44741</v>
      </c>
      <c r="N396" s="13" t="n">
        <v>0</v>
      </c>
      <c r="O396" s="6" t="n">
        <v>0</v>
      </c>
      <c r="P396" s="13" t="n">
        <v>0</v>
      </c>
      <c r="Q396" s="22" t="n">
        <v>30</v>
      </c>
      <c r="R396" s="6" t="n">
        <v>2</v>
      </c>
      <c r="U396" s="9" t="n">
        <v>0</v>
      </c>
      <c r="V396" s="9" t="n">
        <v>0</v>
      </c>
      <c r="X396" s="9" t="n">
        <v>76.2056</v>
      </c>
      <c r="AK396" s="7" t="inlineStr">
        <is>
          <t>PYTHON_MULTI_FLOW_LEG</t>
        </is>
      </c>
      <c r="AL396" s="8">
        <f>IF($J396="INR",1,IF($M396&lt;$A396,INDEX(Market_Daily!$F$6:$F$256,MATCH($M396,Market_Daily!$A$6:$A$256,1)),IF($M396=$A396,INDEX(Market_Daily!$F$6:$F$256,MATCH($A396,Market_Daily!$A$6:$A$256,0)),(INDEX(Market_Daily!$F$6:$F$256,MATCH($A396,Market_Daily!$A$6:$A$256,0))*(1+INDEX(Market_Daily!$I$6:$I$256,MATCH($A396,Market_Daily!$A$6:$A$256,0))*($M396-$A396)/day_count_inr)/(1+INDEX(Market_Daily!$J$6:$J$256,MATCH($A396,Market_Daily!$A$6:$A$256,0))*($M396-$A396)/day_count_usd)))))</f>
        <v/>
      </c>
      <c r="AM396" s="8">
        <f>IF(OR($J396="INR",$R396&gt;1),"",$AL396-$X396)</f>
        <v/>
      </c>
      <c r="AN396" s="8">
        <f>$U396</f>
        <v/>
      </c>
      <c r="AO396" s="8">
        <f>$V396</f>
        <v/>
      </c>
      <c r="AP396" s="18">
        <f>$AO396-$V396</f>
        <v/>
      </c>
      <c r="AQ396" s="8">
        <f>IF(ABS($AP396)&lt;=tol_trade_inr,"PASS","FAIL")</f>
        <v/>
      </c>
    </row>
    <row r="397">
      <c r="A397" s="11" t="n">
        <v>44672</v>
      </c>
      <c r="B397" s="7" t="inlineStr">
        <is>
          <t>T01</t>
        </is>
      </c>
      <c r="C397" s="7" t="inlineStr">
        <is>
          <t>IGST:L3</t>
        </is>
      </c>
      <c r="D397" s="7" t="inlineStr">
        <is>
          <t>IGST</t>
        </is>
      </c>
      <c r="E397" s="7" t="inlineStr">
        <is>
          <t>physical</t>
        </is>
      </c>
      <c r="F397" s="7" t="inlineStr">
        <is>
          <t>L3</t>
        </is>
      </c>
      <c r="H397" s="7" t="inlineStr">
        <is>
          <t>zorba</t>
        </is>
      </c>
      <c r="I397" s="7" t="inlineStr">
        <is>
          <t>USEC_MUN</t>
        </is>
      </c>
      <c r="J397" s="7" t="inlineStr">
        <is>
          <t>INR</t>
        </is>
      </c>
      <c r="K397" s="7" t="inlineStr">
        <is>
          <t>floating</t>
        </is>
      </c>
      <c r="L397" s="7" t="inlineStr">
        <is>
          <t>BS</t>
        </is>
      </c>
      <c r="M397" s="11" t="n">
        <v>44746</v>
      </c>
      <c r="N397" s="13" t="n">
        <v>0</v>
      </c>
      <c r="O397" s="6" t="n">
        <v>0</v>
      </c>
      <c r="P397" s="13" t="n">
        <v>0</v>
      </c>
      <c r="Q397" s="22" t="n">
        <v>30</v>
      </c>
      <c r="R397" s="6" t="n">
        <v>2</v>
      </c>
      <c r="U397" s="9" t="n">
        <v>0</v>
      </c>
      <c r="V397" s="9" t="n">
        <v>0</v>
      </c>
      <c r="X397" s="9" t="n">
        <v>76.2056</v>
      </c>
      <c r="AK397" s="7" t="inlineStr">
        <is>
          <t>PYTHON_MULTI_FLOW_LEG</t>
        </is>
      </c>
      <c r="AL397" s="8">
        <f>IF($J397="INR",1,IF($M397&lt;$A397,INDEX(Market_Daily!$F$6:$F$256,MATCH($M397,Market_Daily!$A$6:$A$256,1)),IF($M397=$A397,INDEX(Market_Daily!$F$6:$F$256,MATCH($A397,Market_Daily!$A$6:$A$256,0)),(INDEX(Market_Daily!$F$6:$F$256,MATCH($A397,Market_Daily!$A$6:$A$256,0))*(1+INDEX(Market_Daily!$I$6:$I$256,MATCH($A397,Market_Daily!$A$6:$A$256,0))*($M397-$A397)/day_count_inr)/(1+INDEX(Market_Daily!$J$6:$J$256,MATCH($A397,Market_Daily!$A$6:$A$256,0))*($M397-$A397)/day_count_usd)))))</f>
        <v/>
      </c>
      <c r="AM397" s="8">
        <f>IF(OR($J397="INR",$R397&gt;1),"",$AL397-$X397)</f>
        <v/>
      </c>
      <c r="AN397" s="8">
        <f>$U397</f>
        <v/>
      </c>
      <c r="AO397" s="8">
        <f>$V397</f>
        <v/>
      </c>
      <c r="AP397" s="18">
        <f>$AO397-$V397</f>
        <v/>
      </c>
      <c r="AQ397" s="8">
        <f>IF(ABS($AP397)&lt;=tol_trade_inr,"PASS","FAIL")</f>
        <v/>
      </c>
    </row>
    <row r="398">
      <c r="A398" s="11" t="n">
        <v>44672</v>
      </c>
      <c r="B398" s="7" t="inlineStr">
        <is>
          <t>T01</t>
        </is>
      </c>
      <c r="C398" s="7" t="inlineStr">
        <is>
          <t>INVENTORY:L1</t>
        </is>
      </c>
      <c r="D398" s="7" t="inlineStr">
        <is>
          <t>INVENTORY</t>
        </is>
      </c>
      <c r="E398" s="7" t="inlineStr">
        <is>
          <t>physical</t>
        </is>
      </c>
      <c r="F398" s="7" t="inlineStr">
        <is>
          <t>L1</t>
        </is>
      </c>
      <c r="H398" s="7" t="inlineStr">
        <is>
          <t>zorba</t>
        </is>
      </c>
      <c r="I398" s="7" t="inlineStr">
        <is>
          <t>USEC_MUN</t>
        </is>
      </c>
      <c r="J398" s="7" t="inlineStr">
        <is>
          <t>INR</t>
        </is>
      </c>
      <c r="K398" s="7" t="inlineStr">
        <is>
          <t>fixed_unsettled</t>
        </is>
      </c>
      <c r="L398" s="7" t="inlineStr">
        <is>
          <t>PNL</t>
        </is>
      </c>
      <c r="N398" s="13" t="n">
        <v>840</v>
      </c>
      <c r="O398" s="6" t="n">
        <v>0</v>
      </c>
      <c r="P398" s="13" t="n">
        <v>0</v>
      </c>
      <c r="Q398" s="22" t="n">
        <v>30</v>
      </c>
      <c r="R398" s="6" t="n">
        <v>0</v>
      </c>
      <c r="U398" s="9" t="n">
        <v>165610215.43</v>
      </c>
      <c r="V398" s="9" t="n">
        <v>165610215.43</v>
      </c>
      <c r="W398" s="9" t="n">
        <v>197155.0184</v>
      </c>
      <c r="X398" s="9" t="n">
        <v>76.2056</v>
      </c>
      <c r="Y398" s="8">
        <f>IF($I398="JEA_NSA","20ft","40ft")</f>
        <v/>
      </c>
      <c r="Z398" s="8">
        <f>IF($I398="JEA_NSA","nsa","mun")</f>
        <v/>
      </c>
      <c r="AA398" s="8">
        <f>INDEX(param_values,MATCH("container_payload_mt_"&amp;$Y398,param_keys,0))/INDEX(param_values,MATCH("container_payload_mt_"&amp;$Y398&amp;"_"&amp;$H398,param_keys,0))</f>
        <v/>
      </c>
      <c r="AB398" s="16">
        <f>INDEX(Market_Daily!$C$6:$C$256,MATCH($A398,Market_Daily!$A$6:$A$256,0))*INDEX(Market_Daily!$X$6:$Z$256,MATCH($A398,Market_Daily!$A$6:$A$256,0),MATCH("grade_factor_"&amp;$H398,Market_Daily!$X$5:$Z$5,0))</f>
        <v/>
      </c>
      <c r="AC398" s="16">
        <f>$AB398*(1+insurance_rate*insured_value_uplift)</f>
        <v/>
      </c>
      <c r="AD398" s="8">
        <f>(INDEX(Market_Daily!$F$6:$F$256,MATCH($A398,Market_Daily!$A$6:$A$256,0))*(1+INDEX(Market_Daily!$I$6:$I$256,MATCH($A398,Market_Daily!$A$6:$A$256,0))*$Q398/day_count_inr)/(1+INDEX(Market_Daily!$J$6:$J$256,MATCH($A398,Market_Daily!$A$6:$A$256,0))*$Q398/day_count_usd))</f>
        <v/>
      </c>
      <c r="AE398" s="18">
        <f>$AC398*$AD398</f>
        <v/>
      </c>
      <c r="AF398" s="18">
        <f>$AC398*INDEX(Market_Daily!$V$6:$V$256,MATCH($A398,Market_Daily!$A$6:$A$256,0))</f>
        <v/>
      </c>
      <c r="AG398" s="18">
        <f>$AF398*bcd_scrap_hs7602*(1+sws_rate_on_bcd)</f>
        <v/>
      </c>
      <c r="AH398" s="18">
        <f>INDEX(param_values,MATCH("port_cf_charges_inr_t_"&amp;$Z398,param_keys,0))*$AA398+IF(INDEX(param_values,MATCH(IF($I398="JEA_NSA","psic_required_uae_origin","psic_required_safe_origin_designated_port"),param_keys,0)),psic_cost_usd_per_box*INDEX(Market_Daily!$F$6:$F$256,MATCH($A398,Market_Daily!$A$6:$A$256,0))/INDEX(param_values,MATCH("container_payload_mt_20ft_"&amp;$H398,param_keys,0)),0)</f>
        <v/>
      </c>
      <c r="AI398" s="18">
        <f>IF(igst_itc_available,0,($AF398+$AG398)*igst_rate_hs7602)</f>
        <v/>
      </c>
      <c r="AJ398" s="18">
        <f>$AE398+$AG398+$AH398+$AI398</f>
        <v/>
      </c>
      <c r="AK398" s="7" t="inlineStr">
        <is>
          <t>DERIVED_IN_WORKBOOK</t>
        </is>
      </c>
      <c r="AL398" s="8">
        <f>IF($J398="INR",1,IF($M398&lt;$A398,INDEX(Market_Daily!$F$6:$F$256,MATCH($M398,Market_Daily!$A$6:$A$256,1)),IF($M398=$A398,INDEX(Market_Daily!$F$6:$F$256,MATCH($A398,Market_Daily!$A$6:$A$256,0)),(INDEX(Market_Daily!$F$6:$F$256,MATCH($A398,Market_Daily!$A$6:$A$256,0))*(1+INDEX(Market_Daily!$I$6:$I$256,MATCH($A398,Market_Daily!$A$6:$A$256,0))*($M398-$A398)/day_count_inr)/(1+INDEX(Market_Daily!$J$6:$J$256,MATCH($A398,Market_Daily!$A$6:$A$256,0))*($M398-$A398)/day_count_usd)))))</f>
        <v/>
      </c>
      <c r="AM398" s="8">
        <f>IF(OR($J398="INR",$R398&gt;1),"",$AL398-$X398)</f>
        <v/>
      </c>
      <c r="AN398" s="8">
        <f>$N398*$AJ398</f>
        <v/>
      </c>
      <c r="AO398" s="8">
        <f>$AN398</f>
        <v/>
      </c>
      <c r="AP398" s="18">
        <f>$AO398-$V398</f>
        <v/>
      </c>
      <c r="AQ398" s="8">
        <f>IF(ABS($AP398)&lt;=tol_trade_inr,"PASS","FAIL")</f>
        <v/>
      </c>
    </row>
    <row r="399">
      <c r="A399" s="11" t="n">
        <v>44672</v>
      </c>
      <c r="B399" s="7" t="inlineStr">
        <is>
          <t>T01</t>
        </is>
      </c>
      <c r="C399" s="7" t="inlineStr">
        <is>
          <t>INVENTORY:L2</t>
        </is>
      </c>
      <c r="D399" s="7" t="inlineStr">
        <is>
          <t>INVENTORY</t>
        </is>
      </c>
      <c r="E399" s="7" t="inlineStr">
        <is>
          <t>physical</t>
        </is>
      </c>
      <c r="F399" s="7" t="inlineStr">
        <is>
          <t>L2</t>
        </is>
      </c>
      <c r="H399" s="7" t="inlineStr">
        <is>
          <t>zorba</t>
        </is>
      </c>
      <c r="I399" s="7" t="inlineStr">
        <is>
          <t>USEC_MUN</t>
        </is>
      </c>
      <c r="J399" s="7" t="inlineStr">
        <is>
          <t>INR</t>
        </is>
      </c>
      <c r="K399" s="7" t="inlineStr">
        <is>
          <t>fixed_unsettled</t>
        </is>
      </c>
      <c r="L399" s="7" t="inlineStr">
        <is>
          <t>PNL</t>
        </is>
      </c>
      <c r="N399" s="13" t="n">
        <v>840</v>
      </c>
      <c r="O399" s="6" t="n">
        <v>0</v>
      </c>
      <c r="P399" s="13" t="n">
        <v>0</v>
      </c>
      <c r="Q399" s="22" t="n">
        <v>30</v>
      </c>
      <c r="R399" s="6" t="n">
        <v>0</v>
      </c>
      <c r="U399" s="9" t="n">
        <v>165610215.43</v>
      </c>
      <c r="V399" s="9" t="n">
        <v>165610215.43</v>
      </c>
      <c r="W399" s="9" t="n">
        <v>197155.0184</v>
      </c>
      <c r="X399" s="9" t="n">
        <v>76.2056</v>
      </c>
      <c r="Y399" s="8">
        <f>IF($I399="JEA_NSA","20ft","40ft")</f>
        <v/>
      </c>
      <c r="Z399" s="8">
        <f>IF($I399="JEA_NSA","nsa","mun")</f>
        <v/>
      </c>
      <c r="AA399" s="8">
        <f>INDEX(param_values,MATCH("container_payload_mt_"&amp;$Y399,param_keys,0))/INDEX(param_values,MATCH("container_payload_mt_"&amp;$Y399&amp;"_"&amp;$H399,param_keys,0))</f>
        <v/>
      </c>
      <c r="AB399" s="16">
        <f>INDEX(Market_Daily!$C$6:$C$256,MATCH($A399,Market_Daily!$A$6:$A$256,0))*INDEX(Market_Daily!$X$6:$Z$256,MATCH($A399,Market_Daily!$A$6:$A$256,0),MATCH("grade_factor_"&amp;$H399,Market_Daily!$X$5:$Z$5,0))</f>
        <v/>
      </c>
      <c r="AC399" s="16">
        <f>$AB399*(1+insurance_rate*insured_value_uplift)</f>
        <v/>
      </c>
      <c r="AD399" s="8">
        <f>(INDEX(Market_Daily!$F$6:$F$256,MATCH($A399,Market_Daily!$A$6:$A$256,0))*(1+INDEX(Market_Daily!$I$6:$I$256,MATCH($A399,Market_Daily!$A$6:$A$256,0))*$Q399/day_count_inr)/(1+INDEX(Market_Daily!$J$6:$J$256,MATCH($A399,Market_Daily!$A$6:$A$256,0))*$Q399/day_count_usd))</f>
        <v/>
      </c>
      <c r="AE399" s="18">
        <f>$AC399*$AD399</f>
        <v/>
      </c>
      <c r="AF399" s="18">
        <f>$AC399*INDEX(Market_Daily!$V$6:$V$256,MATCH($A399,Market_Daily!$A$6:$A$256,0))</f>
        <v/>
      </c>
      <c r="AG399" s="18">
        <f>$AF399*bcd_scrap_hs7602*(1+sws_rate_on_bcd)</f>
        <v/>
      </c>
      <c r="AH399" s="18">
        <f>INDEX(param_values,MATCH("port_cf_charges_inr_t_"&amp;$Z399,param_keys,0))*$AA399+IF(INDEX(param_values,MATCH(IF($I399="JEA_NSA","psic_required_uae_origin","psic_required_safe_origin_designated_port"),param_keys,0)),psic_cost_usd_per_box*INDEX(Market_Daily!$F$6:$F$256,MATCH($A399,Market_Daily!$A$6:$A$256,0))/INDEX(param_values,MATCH("container_payload_mt_20ft_"&amp;$H399,param_keys,0)),0)</f>
        <v/>
      </c>
      <c r="AI399" s="18">
        <f>IF(igst_itc_available,0,($AF399+$AG399)*igst_rate_hs7602)</f>
        <v/>
      </c>
      <c r="AJ399" s="18">
        <f>$AE399+$AG399+$AH399+$AI399</f>
        <v/>
      </c>
      <c r="AK399" s="7" t="inlineStr">
        <is>
          <t>DERIVED_IN_WORKBOOK</t>
        </is>
      </c>
      <c r="AL399" s="8">
        <f>IF($J399="INR",1,IF($M399&lt;$A399,INDEX(Market_Daily!$F$6:$F$256,MATCH($M399,Market_Daily!$A$6:$A$256,1)),IF($M399=$A399,INDEX(Market_Daily!$F$6:$F$256,MATCH($A399,Market_Daily!$A$6:$A$256,0)),(INDEX(Market_Daily!$F$6:$F$256,MATCH($A399,Market_Daily!$A$6:$A$256,0))*(1+INDEX(Market_Daily!$I$6:$I$256,MATCH($A399,Market_Daily!$A$6:$A$256,0))*($M399-$A399)/day_count_inr)/(1+INDEX(Market_Daily!$J$6:$J$256,MATCH($A399,Market_Daily!$A$6:$A$256,0))*($M399-$A399)/day_count_usd)))))</f>
        <v/>
      </c>
      <c r="AM399" s="8">
        <f>IF(OR($J399="INR",$R399&gt;1),"",$AL399-$X399)</f>
        <v/>
      </c>
      <c r="AN399" s="8">
        <f>$N399*$AJ399</f>
        <v/>
      </c>
      <c r="AO399" s="8">
        <f>$AN399</f>
        <v/>
      </c>
      <c r="AP399" s="18">
        <f>$AO399-$V399</f>
        <v/>
      </c>
      <c r="AQ399" s="8">
        <f>IF(ABS($AP399)&lt;=tol_trade_inr,"PASS","FAIL")</f>
        <v/>
      </c>
    </row>
    <row r="400">
      <c r="A400" s="11" t="n">
        <v>44672</v>
      </c>
      <c r="B400" s="7" t="inlineStr">
        <is>
          <t>T01</t>
        </is>
      </c>
      <c r="C400" s="7" t="inlineStr">
        <is>
          <t>INVENTORY:L3</t>
        </is>
      </c>
      <c r="D400" s="7" t="inlineStr">
        <is>
          <t>INVENTORY</t>
        </is>
      </c>
      <c r="E400" s="7" t="inlineStr">
        <is>
          <t>physical</t>
        </is>
      </c>
      <c r="F400" s="7" t="inlineStr">
        <is>
          <t>L3</t>
        </is>
      </c>
      <c r="H400" s="7" t="inlineStr">
        <is>
          <t>zorba</t>
        </is>
      </c>
      <c r="I400" s="7" t="inlineStr">
        <is>
          <t>USEC_MUN</t>
        </is>
      </c>
      <c r="J400" s="7" t="inlineStr">
        <is>
          <t>INR</t>
        </is>
      </c>
      <c r="K400" s="7" t="inlineStr">
        <is>
          <t>fixed_unsettled</t>
        </is>
      </c>
      <c r="L400" s="7" t="inlineStr">
        <is>
          <t>PNL</t>
        </is>
      </c>
      <c r="N400" s="13" t="n">
        <v>840</v>
      </c>
      <c r="O400" s="6" t="n">
        <v>0</v>
      </c>
      <c r="P400" s="13" t="n">
        <v>0</v>
      </c>
      <c r="Q400" s="22" t="n">
        <v>30</v>
      </c>
      <c r="R400" s="6" t="n">
        <v>0</v>
      </c>
      <c r="U400" s="9" t="n">
        <v>165610215.43</v>
      </c>
      <c r="V400" s="9" t="n">
        <v>165610215.43</v>
      </c>
      <c r="W400" s="9" t="n">
        <v>197155.0184</v>
      </c>
      <c r="X400" s="9" t="n">
        <v>76.2056</v>
      </c>
      <c r="Y400" s="8">
        <f>IF($I400="JEA_NSA","20ft","40ft")</f>
        <v/>
      </c>
      <c r="Z400" s="8">
        <f>IF($I400="JEA_NSA","nsa","mun")</f>
        <v/>
      </c>
      <c r="AA400" s="8">
        <f>INDEX(param_values,MATCH("container_payload_mt_"&amp;$Y400,param_keys,0))/INDEX(param_values,MATCH("container_payload_mt_"&amp;$Y400&amp;"_"&amp;$H400,param_keys,0))</f>
        <v/>
      </c>
      <c r="AB400" s="16">
        <f>INDEX(Market_Daily!$C$6:$C$256,MATCH($A400,Market_Daily!$A$6:$A$256,0))*INDEX(Market_Daily!$X$6:$Z$256,MATCH($A400,Market_Daily!$A$6:$A$256,0),MATCH("grade_factor_"&amp;$H400,Market_Daily!$X$5:$Z$5,0))</f>
        <v/>
      </c>
      <c r="AC400" s="16">
        <f>$AB400*(1+insurance_rate*insured_value_uplift)</f>
        <v/>
      </c>
      <c r="AD400" s="8">
        <f>(INDEX(Market_Daily!$F$6:$F$256,MATCH($A400,Market_Daily!$A$6:$A$256,0))*(1+INDEX(Market_Daily!$I$6:$I$256,MATCH($A400,Market_Daily!$A$6:$A$256,0))*$Q400/day_count_inr)/(1+INDEX(Market_Daily!$J$6:$J$256,MATCH($A400,Market_Daily!$A$6:$A$256,0))*$Q400/day_count_usd))</f>
        <v/>
      </c>
      <c r="AE400" s="18">
        <f>$AC400*$AD400</f>
        <v/>
      </c>
      <c r="AF400" s="18">
        <f>$AC400*INDEX(Market_Daily!$V$6:$V$256,MATCH($A400,Market_Daily!$A$6:$A$256,0))</f>
        <v/>
      </c>
      <c r="AG400" s="18">
        <f>$AF400*bcd_scrap_hs7602*(1+sws_rate_on_bcd)</f>
        <v/>
      </c>
      <c r="AH400" s="18">
        <f>INDEX(param_values,MATCH("port_cf_charges_inr_t_"&amp;$Z400,param_keys,0))*$AA400+IF(INDEX(param_values,MATCH(IF($I400="JEA_NSA","psic_required_uae_origin","psic_required_safe_origin_designated_port"),param_keys,0)),psic_cost_usd_per_box*INDEX(Market_Daily!$F$6:$F$256,MATCH($A400,Market_Daily!$A$6:$A$256,0))/INDEX(param_values,MATCH("container_payload_mt_20ft_"&amp;$H400,param_keys,0)),0)</f>
        <v/>
      </c>
      <c r="AI400" s="18">
        <f>IF(igst_itc_available,0,($AF400+$AG400)*igst_rate_hs7602)</f>
        <v/>
      </c>
      <c r="AJ400" s="18">
        <f>$AE400+$AG400+$AH400+$AI400</f>
        <v/>
      </c>
      <c r="AK400" s="7" t="inlineStr">
        <is>
          <t>DERIVED_IN_WORKBOOK</t>
        </is>
      </c>
      <c r="AL400" s="8">
        <f>IF($J400="INR",1,IF($M400&lt;$A400,INDEX(Market_Daily!$F$6:$F$256,MATCH($M400,Market_Daily!$A$6:$A$256,1)),IF($M400=$A400,INDEX(Market_Daily!$F$6:$F$256,MATCH($A400,Market_Daily!$A$6:$A$256,0)),(INDEX(Market_Daily!$F$6:$F$256,MATCH($A400,Market_Daily!$A$6:$A$256,0))*(1+INDEX(Market_Daily!$I$6:$I$256,MATCH($A400,Market_Daily!$A$6:$A$256,0))*($M400-$A400)/day_count_inr)/(1+INDEX(Market_Daily!$J$6:$J$256,MATCH($A400,Market_Daily!$A$6:$A$256,0))*($M400-$A400)/day_count_usd)))))</f>
        <v/>
      </c>
      <c r="AM400" s="8">
        <f>IF(OR($J400="INR",$R400&gt;1),"",$AL400-$X400)</f>
        <v/>
      </c>
      <c r="AN400" s="8">
        <f>$N400*$AJ400</f>
        <v/>
      </c>
      <c r="AO400" s="8">
        <f>$AN400</f>
        <v/>
      </c>
      <c r="AP400" s="18">
        <f>$AO400-$V400</f>
        <v/>
      </c>
      <c r="AQ400" s="8">
        <f>IF(ABS($AP400)&lt;=tol_trade_inr,"PASS","FAIL")</f>
        <v/>
      </c>
    </row>
    <row r="401">
      <c r="A401" s="11" t="n">
        <v>44672</v>
      </c>
      <c r="B401" s="7" t="inlineStr">
        <is>
          <t>T01</t>
        </is>
      </c>
      <c r="C401" s="7" t="inlineStr">
        <is>
          <t>MCX:T01-MCX-3</t>
        </is>
      </c>
      <c r="D401" s="7" t="inlineStr">
        <is>
          <t>MCX</t>
        </is>
      </c>
      <c r="E401" s="7" t="inlineStr">
        <is>
          <t>mcx</t>
        </is>
      </c>
      <c r="H401" s="7" t="inlineStr">
        <is>
          <t>zorba</t>
        </is>
      </c>
      <c r="I401" s="7" t="inlineStr">
        <is>
          <t>USEC_MUN</t>
        </is>
      </c>
      <c r="J401" s="7" t="inlineStr">
        <is>
          <t>INR</t>
        </is>
      </c>
      <c r="K401" s="7" t="inlineStr">
        <is>
          <t>partially_fixed</t>
        </is>
      </c>
      <c r="L401" s="7" t="inlineStr">
        <is>
          <t>PNL</t>
        </is>
      </c>
      <c r="M401" s="11" t="n">
        <v>44676</v>
      </c>
      <c r="N401" s="13" t="n">
        <v>0</v>
      </c>
      <c r="O401" s="6" t="n">
        <v>-200</v>
      </c>
      <c r="P401" s="13" t="n">
        <v>0</v>
      </c>
      <c r="Q401" s="22" t="n">
        <v>30</v>
      </c>
      <c r="R401" s="6" t="n">
        <v>4</v>
      </c>
      <c r="U401" s="9" t="n">
        <v>0</v>
      </c>
      <c r="V401" s="9" t="n">
        <v>0</v>
      </c>
      <c r="X401" s="9" t="n">
        <v>76.2056</v>
      </c>
      <c r="AK401" s="7" t="inlineStr">
        <is>
          <t>PYTHON_MULTI_FLOW_LEG</t>
        </is>
      </c>
      <c r="AL401" s="8">
        <f>IF($J401="INR",1,IF($M401&lt;$A401,INDEX(Market_Daily!$F$6:$F$256,MATCH($M401,Market_Daily!$A$6:$A$256,1)),IF($M401=$A401,INDEX(Market_Daily!$F$6:$F$256,MATCH($A401,Market_Daily!$A$6:$A$256,0)),(INDEX(Market_Daily!$F$6:$F$256,MATCH($A401,Market_Daily!$A$6:$A$256,0))*(1+INDEX(Market_Daily!$I$6:$I$256,MATCH($A401,Market_Daily!$A$6:$A$256,0))*($M401-$A401)/day_count_inr)/(1+INDEX(Market_Daily!$J$6:$J$256,MATCH($A401,Market_Daily!$A$6:$A$256,0))*($M401-$A401)/day_count_usd)))))</f>
        <v/>
      </c>
      <c r="AM401" s="8">
        <f>IF(OR($J401="INR",$R401&gt;1),"",$AL401-$X401)</f>
        <v/>
      </c>
      <c r="AN401" s="8">
        <f>$U401</f>
        <v/>
      </c>
      <c r="AO401" s="8">
        <f>$V401</f>
        <v/>
      </c>
      <c r="AP401" s="18">
        <f>$AO401-$V401</f>
        <v/>
      </c>
      <c r="AQ401" s="8">
        <f>IF(ABS($AP401)&lt;=tol_trade_inr,"PASS","FAIL")</f>
        <v/>
      </c>
    </row>
    <row r="402">
      <c r="A402" s="11" t="n">
        <v>44672</v>
      </c>
      <c r="B402" s="7" t="inlineStr">
        <is>
          <t>T01</t>
        </is>
      </c>
      <c r="C402" s="7" t="inlineStr">
        <is>
          <t>MCX:T01-MCX-4</t>
        </is>
      </c>
      <c r="D402" s="7" t="inlineStr">
        <is>
          <t>MCX</t>
        </is>
      </c>
      <c r="E402" s="7" t="inlineStr">
        <is>
          <t>mcx</t>
        </is>
      </c>
      <c r="H402" s="7" t="inlineStr">
        <is>
          <t>zorba</t>
        </is>
      </c>
      <c r="I402" s="7" t="inlineStr">
        <is>
          <t>USEC_MUN</t>
        </is>
      </c>
      <c r="J402" s="7" t="inlineStr">
        <is>
          <t>INR</t>
        </is>
      </c>
      <c r="K402" s="7" t="inlineStr">
        <is>
          <t>partially_fixed</t>
        </is>
      </c>
      <c r="L402" s="7" t="inlineStr">
        <is>
          <t>PNL</t>
        </is>
      </c>
      <c r="M402" s="11" t="n">
        <v>44690</v>
      </c>
      <c r="N402" s="13" t="n">
        <v>0</v>
      </c>
      <c r="O402" s="6" t="n">
        <v>-100</v>
      </c>
      <c r="P402" s="13" t="n">
        <v>0</v>
      </c>
      <c r="Q402" s="22" t="n">
        <v>30</v>
      </c>
      <c r="R402" s="6" t="n">
        <v>13</v>
      </c>
      <c r="U402" s="9" t="n">
        <v>0</v>
      </c>
      <c r="V402" s="9" t="n">
        <v>0</v>
      </c>
      <c r="X402" s="9" t="n">
        <v>76.2056</v>
      </c>
      <c r="AK402" s="7" t="inlineStr">
        <is>
          <t>PYTHON_MULTI_FLOW_LEG</t>
        </is>
      </c>
      <c r="AL402" s="8">
        <f>IF($J402="INR",1,IF($M402&lt;$A402,INDEX(Market_Daily!$F$6:$F$256,MATCH($M402,Market_Daily!$A$6:$A$256,1)),IF($M402=$A402,INDEX(Market_Daily!$F$6:$F$256,MATCH($A402,Market_Daily!$A$6:$A$256,0)),(INDEX(Market_Daily!$F$6:$F$256,MATCH($A402,Market_Daily!$A$6:$A$256,0))*(1+INDEX(Market_Daily!$I$6:$I$256,MATCH($A402,Market_Daily!$A$6:$A$256,0))*($M402-$A402)/day_count_inr)/(1+INDEX(Market_Daily!$J$6:$J$256,MATCH($A402,Market_Daily!$A$6:$A$256,0))*($M402-$A402)/day_count_usd)))))</f>
        <v/>
      </c>
      <c r="AM402" s="8">
        <f>IF(OR($J402="INR",$R402&gt;1),"",$AL402-$X402)</f>
        <v/>
      </c>
      <c r="AN402" s="8">
        <f>$U402</f>
        <v/>
      </c>
      <c r="AO402" s="8">
        <f>$V402</f>
        <v/>
      </c>
      <c r="AP402" s="18">
        <f>$AO402-$V402</f>
        <v/>
      </c>
      <c r="AQ402" s="8">
        <f>IF(ABS($AP402)&lt;=tol_trade_inr,"PASS","FAIL")</f>
        <v/>
      </c>
    </row>
    <row r="403">
      <c r="A403" s="11" t="n">
        <v>44672</v>
      </c>
      <c r="B403" s="7" t="inlineStr">
        <is>
          <t>T01</t>
        </is>
      </c>
      <c r="C403" s="7" t="inlineStr">
        <is>
          <t>PORT:L1</t>
        </is>
      </c>
      <c r="D403" s="7" t="inlineStr">
        <is>
          <t>PORT</t>
        </is>
      </c>
      <c r="E403" s="7" t="inlineStr">
        <is>
          <t>physical</t>
        </is>
      </c>
      <c r="F403" s="7" t="inlineStr">
        <is>
          <t>L1</t>
        </is>
      </c>
      <c r="H403" s="7" t="inlineStr">
        <is>
          <t>zorba</t>
        </is>
      </c>
      <c r="I403" s="7" t="inlineStr">
        <is>
          <t>USEC_MUN</t>
        </is>
      </c>
      <c r="J403" s="7" t="inlineStr">
        <is>
          <t>INR</t>
        </is>
      </c>
      <c r="K403" s="7" t="inlineStr">
        <is>
          <t>fixed_unsettled</t>
        </is>
      </c>
      <c r="L403" s="7" t="inlineStr">
        <is>
          <t>PNL</t>
        </is>
      </c>
      <c r="M403" s="11" t="n">
        <v>44699</v>
      </c>
      <c r="N403" s="13" t="n">
        <v>0</v>
      </c>
      <c r="O403" s="6" t="n">
        <v>0</v>
      </c>
      <c r="P403" s="13" t="n">
        <v>0</v>
      </c>
      <c r="Q403" s="22" t="n">
        <v>30</v>
      </c>
      <c r="R403" s="6" t="n">
        <v>1</v>
      </c>
      <c r="U403" s="9" t="n">
        <v>-2226000</v>
      </c>
      <c r="V403" s="9" t="n">
        <v>-2226000</v>
      </c>
      <c r="X403" s="9" t="n">
        <v>76.2056</v>
      </c>
      <c r="AK403" s="7" t="inlineStr">
        <is>
          <t>PYTHON_LIFECYCLE</t>
        </is>
      </c>
      <c r="AL403" s="8">
        <f>IF($J403="INR",1,IF($M403&lt;$A403,INDEX(Market_Daily!$F$6:$F$256,MATCH($M403,Market_Daily!$A$6:$A$256,1)),IF($M403=$A403,INDEX(Market_Daily!$F$6:$F$256,MATCH($A403,Market_Daily!$A$6:$A$256,0)),(INDEX(Market_Daily!$F$6:$F$256,MATCH($A403,Market_Daily!$A$6:$A$256,0))*(1+INDEX(Market_Daily!$I$6:$I$256,MATCH($A403,Market_Daily!$A$6:$A$256,0))*($M403-$A403)/day_count_inr)/(1+INDEX(Market_Daily!$J$6:$J$256,MATCH($A403,Market_Daily!$A$6:$A$256,0))*($M403-$A403)/day_count_usd)))))</f>
        <v/>
      </c>
      <c r="AM403" s="8">
        <f>IF(OR($J403="INR",$R403&gt;1),"",$AL403-$X403)</f>
        <v/>
      </c>
      <c r="AN403" s="8">
        <f>$U403</f>
        <v/>
      </c>
      <c r="AO403" s="8">
        <f>$AN403*IF($J403="INR",1,$AL403)</f>
        <v/>
      </c>
      <c r="AP403" s="18">
        <f>$AO403-$V403</f>
        <v/>
      </c>
      <c r="AQ403" s="8">
        <f>IF(ABS($AP403)&lt;=tol_trade_inr,"PASS","FAIL")</f>
        <v/>
      </c>
    </row>
    <row r="404">
      <c r="A404" s="11" t="n">
        <v>44672</v>
      </c>
      <c r="B404" s="7" t="inlineStr">
        <is>
          <t>T01</t>
        </is>
      </c>
      <c r="C404" s="7" t="inlineStr">
        <is>
          <t>PORT:L2</t>
        </is>
      </c>
      <c r="D404" s="7" t="inlineStr">
        <is>
          <t>PORT</t>
        </is>
      </c>
      <c r="E404" s="7" t="inlineStr">
        <is>
          <t>physical</t>
        </is>
      </c>
      <c r="F404" s="7" t="inlineStr">
        <is>
          <t>L2</t>
        </is>
      </c>
      <c r="H404" s="7" t="inlineStr">
        <is>
          <t>zorba</t>
        </is>
      </c>
      <c r="I404" s="7" t="inlineStr">
        <is>
          <t>USEC_MUN</t>
        </is>
      </c>
      <c r="J404" s="7" t="inlineStr">
        <is>
          <t>INR</t>
        </is>
      </c>
      <c r="K404" s="7" t="inlineStr">
        <is>
          <t>fixed_unsettled</t>
        </is>
      </c>
      <c r="L404" s="7" t="inlineStr">
        <is>
          <t>PNL</t>
        </is>
      </c>
      <c r="M404" s="11" t="n">
        <v>44705</v>
      </c>
      <c r="N404" s="13" t="n">
        <v>0</v>
      </c>
      <c r="O404" s="6" t="n">
        <v>0</v>
      </c>
      <c r="P404" s="13" t="n">
        <v>0</v>
      </c>
      <c r="Q404" s="22" t="n">
        <v>30</v>
      </c>
      <c r="R404" s="6" t="n">
        <v>1</v>
      </c>
      <c r="U404" s="9" t="n">
        <v>-2226000</v>
      </c>
      <c r="V404" s="9" t="n">
        <v>-2226000</v>
      </c>
      <c r="X404" s="9" t="n">
        <v>76.2056</v>
      </c>
      <c r="AK404" s="7" t="inlineStr">
        <is>
          <t>PYTHON_LIFECYCLE</t>
        </is>
      </c>
      <c r="AL404" s="8">
        <f>IF($J404="INR",1,IF($M404&lt;$A404,INDEX(Market_Daily!$F$6:$F$256,MATCH($M404,Market_Daily!$A$6:$A$256,1)),IF($M404=$A404,INDEX(Market_Daily!$F$6:$F$256,MATCH($A404,Market_Daily!$A$6:$A$256,0)),(INDEX(Market_Daily!$F$6:$F$256,MATCH($A404,Market_Daily!$A$6:$A$256,0))*(1+INDEX(Market_Daily!$I$6:$I$256,MATCH($A404,Market_Daily!$A$6:$A$256,0))*($M404-$A404)/day_count_inr)/(1+INDEX(Market_Daily!$J$6:$J$256,MATCH($A404,Market_Daily!$A$6:$A$256,0))*($M404-$A404)/day_count_usd)))))</f>
        <v/>
      </c>
      <c r="AM404" s="8">
        <f>IF(OR($J404="INR",$R404&gt;1),"",$AL404-$X404)</f>
        <v/>
      </c>
      <c r="AN404" s="8">
        <f>$U404</f>
        <v/>
      </c>
      <c r="AO404" s="8">
        <f>$AN404*IF($J404="INR",1,$AL404)</f>
        <v/>
      </c>
      <c r="AP404" s="18">
        <f>$AO404-$V404</f>
        <v/>
      </c>
      <c r="AQ404" s="8">
        <f>IF(ABS($AP404)&lt;=tol_trade_inr,"PASS","FAIL")</f>
        <v/>
      </c>
    </row>
    <row r="405">
      <c r="A405" s="11" t="n">
        <v>44672</v>
      </c>
      <c r="B405" s="7" t="inlineStr">
        <is>
          <t>T01</t>
        </is>
      </c>
      <c r="C405" s="7" t="inlineStr">
        <is>
          <t>PORT:L3</t>
        </is>
      </c>
      <c r="D405" s="7" t="inlineStr">
        <is>
          <t>PORT</t>
        </is>
      </c>
      <c r="E405" s="7" t="inlineStr">
        <is>
          <t>physical</t>
        </is>
      </c>
      <c r="F405" s="7" t="inlineStr">
        <is>
          <t>L3</t>
        </is>
      </c>
      <c r="H405" s="7" t="inlineStr">
        <is>
          <t>zorba</t>
        </is>
      </c>
      <c r="I405" s="7" t="inlineStr">
        <is>
          <t>USEC_MUN</t>
        </is>
      </c>
      <c r="J405" s="7" t="inlineStr">
        <is>
          <t>INR</t>
        </is>
      </c>
      <c r="K405" s="7" t="inlineStr">
        <is>
          <t>fixed_unsettled</t>
        </is>
      </c>
      <c r="L405" s="7" t="inlineStr">
        <is>
          <t>PNL</t>
        </is>
      </c>
      <c r="M405" s="11" t="n">
        <v>44708</v>
      </c>
      <c r="N405" s="13" t="n">
        <v>0</v>
      </c>
      <c r="O405" s="6" t="n">
        <v>0</v>
      </c>
      <c r="P405" s="13" t="n">
        <v>0</v>
      </c>
      <c r="Q405" s="22" t="n">
        <v>30</v>
      </c>
      <c r="R405" s="6" t="n">
        <v>1</v>
      </c>
      <c r="U405" s="9" t="n">
        <v>-2226000</v>
      </c>
      <c r="V405" s="9" t="n">
        <v>-2226000</v>
      </c>
      <c r="X405" s="9" t="n">
        <v>76.2056</v>
      </c>
      <c r="AK405" s="7" t="inlineStr">
        <is>
          <t>PYTHON_LIFECYCLE</t>
        </is>
      </c>
      <c r="AL405" s="8">
        <f>IF($J405="INR",1,IF($M405&lt;$A405,INDEX(Market_Daily!$F$6:$F$256,MATCH($M405,Market_Daily!$A$6:$A$256,1)),IF($M405=$A405,INDEX(Market_Daily!$F$6:$F$256,MATCH($A405,Market_Daily!$A$6:$A$256,0)),(INDEX(Market_Daily!$F$6:$F$256,MATCH($A405,Market_Daily!$A$6:$A$256,0))*(1+INDEX(Market_Daily!$I$6:$I$256,MATCH($A405,Market_Daily!$A$6:$A$256,0))*($M405-$A405)/day_count_inr)/(1+INDEX(Market_Daily!$J$6:$J$256,MATCH($A405,Market_Daily!$A$6:$A$256,0))*($M405-$A405)/day_count_usd)))))</f>
        <v/>
      </c>
      <c r="AM405" s="8">
        <f>IF(OR($J405="INR",$R405&gt;1),"",$AL405-$X405)</f>
        <v/>
      </c>
      <c r="AN405" s="8">
        <f>$U405</f>
        <v/>
      </c>
      <c r="AO405" s="8">
        <f>$AN405*IF($J405="INR",1,$AL405)</f>
        <v/>
      </c>
      <c r="AP405" s="18">
        <f>$AO405-$V405</f>
        <v/>
      </c>
      <c r="AQ405" s="8">
        <f>IF(ABS($AP405)&lt;=tol_trade_inr,"PASS","FAIL")</f>
        <v/>
      </c>
    </row>
    <row r="406">
      <c r="A406" s="11" t="n">
        <v>44672</v>
      </c>
      <c r="B406" s="7" t="inlineStr">
        <is>
          <t>T02</t>
        </is>
      </c>
      <c r="C406" s="7" t="inlineStr">
        <is>
          <t>BILL_COMMISSION:L1</t>
        </is>
      </c>
      <c r="D406" s="7" t="inlineStr">
        <is>
          <t>BILL_COMMISSION</t>
        </is>
      </c>
      <c r="E406" s="7" t="inlineStr">
        <is>
          <t>physical</t>
        </is>
      </c>
      <c r="F406" s="7" t="inlineStr">
        <is>
          <t>L1</t>
        </is>
      </c>
      <c r="H406" s="7" t="inlineStr">
        <is>
          <t>tense</t>
        </is>
      </c>
      <c r="I406" s="7" t="inlineStr">
        <is>
          <t>JEA_NSA</t>
        </is>
      </c>
      <c r="J406" s="7" t="inlineStr">
        <is>
          <t>USD</t>
        </is>
      </c>
      <c r="K406" s="7" t="inlineStr">
        <is>
          <t>floating</t>
        </is>
      </c>
      <c r="L406" s="7" t="inlineStr">
        <is>
          <t>PNL</t>
        </is>
      </c>
      <c r="M406" s="11" t="n">
        <v>44746</v>
      </c>
      <c r="N406" s="13" t="n">
        <v>0</v>
      </c>
      <c r="O406" s="6" t="n">
        <v>0</v>
      </c>
      <c r="P406" s="13" t="n">
        <v>0</v>
      </c>
      <c r="Q406" s="22" t="n">
        <v>30</v>
      </c>
      <c r="R406" s="6" t="n">
        <v>1</v>
      </c>
      <c r="U406" s="9" t="n">
        <v>-1490.28</v>
      </c>
      <c r="V406" s="9" t="n">
        <v>-114279.12</v>
      </c>
      <c r="X406" s="9" t="n">
        <v>76.6831</v>
      </c>
      <c r="AK406" s="7" t="inlineStr">
        <is>
          <t>PYTHON_LIFECYCLE</t>
        </is>
      </c>
      <c r="AL406" s="8">
        <f>IF($J406="INR",1,IF($M406&lt;$A406,INDEX(Market_Daily!$F$6:$F$256,MATCH($M406,Market_Daily!$A$6:$A$256,1)),IF($M406=$A406,INDEX(Market_Daily!$F$6:$F$256,MATCH($A406,Market_Daily!$A$6:$A$256,0)),(INDEX(Market_Daily!$F$6:$F$256,MATCH($A406,Market_Daily!$A$6:$A$256,0))*(1+INDEX(Market_Daily!$I$6:$I$256,MATCH($A406,Market_Daily!$A$6:$A$256,0))*($M406-$A406)/day_count_inr)/(1+INDEX(Market_Daily!$J$6:$J$256,MATCH($A406,Market_Daily!$A$6:$A$256,0))*($M406-$A406)/day_count_usd)))))</f>
        <v/>
      </c>
      <c r="AM406" s="8">
        <f>IF(OR($J406="INR",$R406&gt;1),"",$AL406-$X406)</f>
        <v/>
      </c>
      <c r="AN406" s="8">
        <f>$U406</f>
        <v/>
      </c>
      <c r="AO406" s="8">
        <f>$AN406*IF($J406="INR",1,$AL406)</f>
        <v/>
      </c>
      <c r="AP406" s="18">
        <f>$AO406-$V406</f>
        <v/>
      </c>
      <c r="AQ406" s="8">
        <f>IF(ABS($AP406)&lt;=tol_trade_inr,"PASS","FAIL")</f>
        <v/>
      </c>
    </row>
    <row r="407">
      <c r="A407" s="11" t="n">
        <v>44672</v>
      </c>
      <c r="B407" s="7" t="inlineStr">
        <is>
          <t>T02</t>
        </is>
      </c>
      <c r="C407" s="7" t="inlineStr">
        <is>
          <t>BILL_COMMISSION:L2</t>
        </is>
      </c>
      <c r="D407" s="7" t="inlineStr">
        <is>
          <t>BILL_COMMISSION</t>
        </is>
      </c>
      <c r="E407" s="7" t="inlineStr">
        <is>
          <t>physical</t>
        </is>
      </c>
      <c r="F407" s="7" t="inlineStr">
        <is>
          <t>L2</t>
        </is>
      </c>
      <c r="H407" s="7" t="inlineStr">
        <is>
          <t>tense</t>
        </is>
      </c>
      <c r="I407" s="7" t="inlineStr">
        <is>
          <t>JEA_NSA</t>
        </is>
      </c>
      <c r="J407" s="7" t="inlineStr">
        <is>
          <t>USD</t>
        </is>
      </c>
      <c r="K407" s="7" t="inlineStr">
        <is>
          <t>floating</t>
        </is>
      </c>
      <c r="L407" s="7" t="inlineStr">
        <is>
          <t>PNL</t>
        </is>
      </c>
      <c r="M407" s="11" t="n">
        <v>44754</v>
      </c>
      <c r="N407" s="13" t="n">
        <v>0</v>
      </c>
      <c r="O407" s="6" t="n">
        <v>0</v>
      </c>
      <c r="P407" s="13" t="n">
        <v>0</v>
      </c>
      <c r="Q407" s="22" t="n">
        <v>30</v>
      </c>
      <c r="R407" s="6" t="n">
        <v>1</v>
      </c>
      <c r="U407" s="9" t="n">
        <v>-1399.51</v>
      </c>
      <c r="V407" s="9" t="n">
        <v>-107390.74</v>
      </c>
      <c r="X407" s="9" t="n">
        <v>76.7346</v>
      </c>
      <c r="AK407" s="7" t="inlineStr">
        <is>
          <t>PYTHON_LIFECYCLE</t>
        </is>
      </c>
      <c r="AL407" s="8">
        <f>IF($J407="INR",1,IF($M407&lt;$A407,INDEX(Market_Daily!$F$6:$F$256,MATCH($M407,Market_Daily!$A$6:$A$256,1)),IF($M407=$A407,INDEX(Market_Daily!$F$6:$F$256,MATCH($A407,Market_Daily!$A$6:$A$256,0)),(INDEX(Market_Daily!$F$6:$F$256,MATCH($A407,Market_Daily!$A$6:$A$256,0))*(1+INDEX(Market_Daily!$I$6:$I$256,MATCH($A407,Market_Daily!$A$6:$A$256,0))*($M407-$A407)/day_count_inr)/(1+INDEX(Market_Daily!$J$6:$J$256,MATCH($A407,Market_Daily!$A$6:$A$256,0))*($M407-$A407)/day_count_usd)))))</f>
        <v/>
      </c>
      <c r="AM407" s="8">
        <f>IF(OR($J407="INR",$R407&gt;1),"",$AL407-$X407)</f>
        <v/>
      </c>
      <c r="AN407" s="8">
        <f>$U407</f>
        <v/>
      </c>
      <c r="AO407" s="8">
        <f>$AN407*IF($J407="INR",1,$AL407)</f>
        <v/>
      </c>
      <c r="AP407" s="18">
        <f>$AO407-$V407</f>
        <v/>
      </c>
      <c r="AQ407" s="8">
        <f>IF(ABS($AP407)&lt;=tol_trade_inr,"PASS","FAIL")</f>
        <v/>
      </c>
    </row>
    <row r="408">
      <c r="A408" s="11" t="n">
        <v>44672</v>
      </c>
      <c r="B408" s="7" t="inlineStr">
        <is>
          <t>T02</t>
        </is>
      </c>
      <c r="C408" s="7" t="inlineStr">
        <is>
          <t>DUTY:L1</t>
        </is>
      </c>
      <c r="D408" s="7" t="inlineStr">
        <is>
          <t>DUTY</t>
        </is>
      </c>
      <c r="E408" s="7" t="inlineStr">
        <is>
          <t>physical</t>
        </is>
      </c>
      <c r="F408" s="7" t="inlineStr">
        <is>
          <t>L1</t>
        </is>
      </c>
      <c r="H408" s="7" t="inlineStr">
        <is>
          <t>tense</t>
        </is>
      </c>
      <c r="I408" s="7" t="inlineStr">
        <is>
          <t>JEA_NSA</t>
        </is>
      </c>
      <c r="J408" s="7" t="inlineStr">
        <is>
          <t>INR</t>
        </is>
      </c>
      <c r="K408" s="7" t="inlineStr">
        <is>
          <t>partially_fixed</t>
        </is>
      </c>
      <c r="L408" s="7" t="inlineStr">
        <is>
          <t>PNL</t>
        </is>
      </c>
      <c r="M408" s="11" t="n">
        <v>44721</v>
      </c>
      <c r="N408" s="13" t="n">
        <v>600</v>
      </c>
      <c r="O408" s="6" t="n">
        <v>0</v>
      </c>
      <c r="P408" s="13" t="n">
        <v>0</v>
      </c>
      <c r="Q408" s="22" t="n">
        <v>30</v>
      </c>
      <c r="R408" s="6" t="n">
        <v>2</v>
      </c>
      <c r="U408" s="9" t="n">
        <v>120642.51</v>
      </c>
      <c r="V408" s="9" t="n">
        <v>120642.51</v>
      </c>
      <c r="X408" s="9" t="n">
        <v>76.2056</v>
      </c>
      <c r="AK408" s="7" t="inlineStr">
        <is>
          <t>PYTHON_MULTI_FLOW_LEG</t>
        </is>
      </c>
      <c r="AL408" s="8">
        <f>IF($J408="INR",1,IF($M408&lt;$A408,INDEX(Market_Daily!$F$6:$F$256,MATCH($M408,Market_Daily!$A$6:$A$256,1)),IF($M408=$A408,INDEX(Market_Daily!$F$6:$F$256,MATCH($A408,Market_Daily!$A$6:$A$256,0)),(INDEX(Market_Daily!$F$6:$F$256,MATCH($A408,Market_Daily!$A$6:$A$256,0))*(1+INDEX(Market_Daily!$I$6:$I$256,MATCH($A408,Market_Daily!$A$6:$A$256,0))*($M408-$A408)/day_count_inr)/(1+INDEX(Market_Daily!$J$6:$J$256,MATCH($A408,Market_Daily!$A$6:$A$256,0))*($M408-$A408)/day_count_usd)))))</f>
        <v/>
      </c>
      <c r="AM408" s="8">
        <f>IF(OR($J408="INR",$R408&gt;1),"",$AL408-$X408)</f>
        <v/>
      </c>
      <c r="AN408" s="8">
        <f>$U408</f>
        <v/>
      </c>
      <c r="AO408" s="8">
        <f>$V408</f>
        <v/>
      </c>
      <c r="AP408" s="18">
        <f>$AO408-$V408</f>
        <v/>
      </c>
      <c r="AQ408" s="8">
        <f>IF(ABS($AP408)&lt;=tol_trade_inr,"PASS","FAIL")</f>
        <v/>
      </c>
    </row>
    <row r="409">
      <c r="A409" s="11" t="n">
        <v>44672</v>
      </c>
      <c r="B409" s="7" t="inlineStr">
        <is>
          <t>T02</t>
        </is>
      </c>
      <c r="C409" s="7" t="inlineStr">
        <is>
          <t>DUTY:L2</t>
        </is>
      </c>
      <c r="D409" s="7" t="inlineStr">
        <is>
          <t>DUTY</t>
        </is>
      </c>
      <c r="E409" s="7" t="inlineStr">
        <is>
          <t>physical</t>
        </is>
      </c>
      <c r="F409" s="7" t="inlineStr">
        <is>
          <t>L2</t>
        </is>
      </c>
      <c r="H409" s="7" t="inlineStr">
        <is>
          <t>tense</t>
        </is>
      </c>
      <c r="I409" s="7" t="inlineStr">
        <is>
          <t>JEA_NSA</t>
        </is>
      </c>
      <c r="J409" s="7" t="inlineStr">
        <is>
          <t>INR</t>
        </is>
      </c>
      <c r="K409" s="7" t="inlineStr">
        <is>
          <t>partially_fixed</t>
        </is>
      </c>
      <c r="L409" s="7" t="inlineStr">
        <is>
          <t>PNL</t>
        </is>
      </c>
      <c r="M409" s="11" t="n">
        <v>44721</v>
      </c>
      <c r="N409" s="13" t="n">
        <v>600</v>
      </c>
      <c r="O409" s="6" t="n">
        <v>0</v>
      </c>
      <c r="P409" s="13" t="n">
        <v>0</v>
      </c>
      <c r="Q409" s="22" t="n">
        <v>30</v>
      </c>
      <c r="R409" s="6" t="n">
        <v>2</v>
      </c>
      <c r="U409" s="9" t="n">
        <v>-47704.98</v>
      </c>
      <c r="V409" s="9" t="n">
        <v>-47704.98</v>
      </c>
      <c r="X409" s="9" t="n">
        <v>76.2056</v>
      </c>
      <c r="AK409" s="7" t="inlineStr">
        <is>
          <t>PYTHON_MULTI_FLOW_LEG</t>
        </is>
      </c>
      <c r="AL409" s="8">
        <f>IF($J409="INR",1,IF($M409&lt;$A409,INDEX(Market_Daily!$F$6:$F$256,MATCH($M409,Market_Daily!$A$6:$A$256,1)),IF($M409=$A409,INDEX(Market_Daily!$F$6:$F$256,MATCH($A409,Market_Daily!$A$6:$A$256,0)),(INDEX(Market_Daily!$F$6:$F$256,MATCH($A409,Market_Daily!$A$6:$A$256,0))*(1+INDEX(Market_Daily!$I$6:$I$256,MATCH($A409,Market_Daily!$A$6:$A$256,0))*($M409-$A409)/day_count_inr)/(1+INDEX(Market_Daily!$J$6:$J$256,MATCH($A409,Market_Daily!$A$6:$A$256,0))*($M409-$A409)/day_count_usd)))))</f>
        <v/>
      </c>
      <c r="AM409" s="8">
        <f>IF(OR($J409="INR",$R409&gt;1),"",$AL409-$X409)</f>
        <v/>
      </c>
      <c r="AN409" s="8">
        <f>$U409</f>
        <v/>
      </c>
      <c r="AO409" s="8">
        <f>$V409</f>
        <v/>
      </c>
      <c r="AP409" s="18">
        <f>$AO409-$V409</f>
        <v/>
      </c>
      <c r="AQ409" s="8">
        <f>IF(ABS($AP409)&lt;=tol_trade_inr,"PASS","FAIL")</f>
        <v/>
      </c>
    </row>
    <row r="410">
      <c r="A410" s="11" t="n">
        <v>44672</v>
      </c>
      <c r="B410" s="7" t="inlineStr">
        <is>
          <t>T02</t>
        </is>
      </c>
      <c r="C410" s="7" t="inlineStr">
        <is>
          <t>FX:T02-FX-1</t>
        </is>
      </c>
      <c r="D410" s="7" t="inlineStr">
        <is>
          <t>FX</t>
        </is>
      </c>
      <c r="E410" s="7" t="inlineStr">
        <is>
          <t>fx_forward</t>
        </is>
      </c>
      <c r="H410" s="7" t="inlineStr">
        <is>
          <t>tense</t>
        </is>
      </c>
      <c r="I410" s="7" t="inlineStr">
        <is>
          <t>JEA_NSA</t>
        </is>
      </c>
      <c r="J410" s="7" t="inlineStr">
        <is>
          <t>INR</t>
        </is>
      </c>
      <c r="K410" s="7" t="inlineStr">
        <is>
          <t>floating</t>
        </is>
      </c>
      <c r="L410" s="7" t="inlineStr">
        <is>
          <t>PNL</t>
        </is>
      </c>
      <c r="M410" s="11" t="n">
        <v>44746</v>
      </c>
      <c r="N410" s="13" t="n">
        <v>0</v>
      </c>
      <c r="O410" s="6" t="n">
        <v>0</v>
      </c>
      <c r="P410" s="13" t="n">
        <v>1241900</v>
      </c>
      <c r="Q410" s="22" t="n">
        <v>30</v>
      </c>
      <c r="R410" s="6" t="n">
        <v>1</v>
      </c>
      <c r="S410" s="12" t="n">
        <v>44746</v>
      </c>
      <c r="T410" s="21" t="n">
        <v>76.040598</v>
      </c>
      <c r="U410" s="9" t="n">
        <v>797865.08</v>
      </c>
      <c r="V410" s="9" t="n">
        <v>797865.08</v>
      </c>
      <c r="X410" s="9" t="n">
        <v>76.2056</v>
      </c>
      <c r="AK410" s="7" t="inlineStr">
        <is>
          <t>DERIVED_IN_WORKBOOK</t>
        </is>
      </c>
      <c r="AL410" s="8">
        <f>IF($J410="INR",1,IF($M410&lt;$A410,INDEX(Market_Daily!$F$6:$F$256,MATCH($M410,Market_Daily!$A$6:$A$256,1)),IF($M410=$A410,INDEX(Market_Daily!$F$6:$F$256,MATCH($A410,Market_Daily!$A$6:$A$256,0)),(INDEX(Market_Daily!$F$6:$F$256,MATCH($A410,Market_Daily!$A$6:$A$256,0))*(1+INDEX(Market_Daily!$I$6:$I$256,MATCH($A410,Market_Daily!$A$6:$A$256,0))*($M410-$A410)/day_count_inr)/(1+INDEX(Market_Daily!$J$6:$J$256,MATCH($A410,Market_Daily!$A$6:$A$256,0))*($M410-$A410)/day_count_usd)))))</f>
        <v/>
      </c>
      <c r="AM410" s="8">
        <f>IF(OR($J410="INR",$R410&gt;1),"",$AL410-$X410)</f>
        <v/>
      </c>
      <c r="AN410" s="8">
        <f>$P410*(IF($S410&lt;$A410,INDEX(Market_Daily!$F$6:$F$256,MATCH($S410,Market_Daily!$A$6:$A$256,1)),IF($S410=$A410,INDEX(Market_Daily!$F$6:$F$256,MATCH($A410,Market_Daily!$A$6:$A$256,0)),(INDEX(Market_Daily!$F$6:$F$256,MATCH($A410,Market_Daily!$A$6:$A$256,0))*(1+INDEX(Market_Daily!$I$6:$I$256,MATCH($A410,Market_Daily!$A$6:$A$256,0))*($S410-$A410)/day_count_inr)/(1+INDEX(Market_Daily!$J$6:$J$256,MATCH($A410,Market_Daily!$A$6:$A$256,0))*($S410-$A410)/day_count_usd))))-$T410)</f>
        <v/>
      </c>
      <c r="AO410" s="8">
        <f>$AN410</f>
        <v/>
      </c>
      <c r="AP410" s="18">
        <f>$AO410-$V410</f>
        <v/>
      </c>
      <c r="AQ410" s="8">
        <f>IF(ABS($AP410)&lt;=tol_trade_inr,"PASS","FAIL")</f>
        <v/>
      </c>
    </row>
    <row r="411">
      <c r="A411" s="11" t="n">
        <v>44672</v>
      </c>
      <c r="B411" s="7" t="inlineStr">
        <is>
          <t>T02</t>
        </is>
      </c>
      <c r="C411" s="7" t="inlineStr">
        <is>
          <t>FX:T02-FX-2</t>
        </is>
      </c>
      <c r="D411" s="7" t="inlineStr">
        <is>
          <t>FX</t>
        </is>
      </c>
      <c r="E411" s="7" t="inlineStr">
        <is>
          <t>fx_forward</t>
        </is>
      </c>
      <c r="H411" s="7" t="inlineStr">
        <is>
          <t>tense</t>
        </is>
      </c>
      <c r="I411" s="7" t="inlineStr">
        <is>
          <t>JEA_NSA</t>
        </is>
      </c>
      <c r="J411" s="7" t="inlineStr">
        <is>
          <t>INR</t>
        </is>
      </c>
      <c r="K411" s="7" t="inlineStr">
        <is>
          <t>floating</t>
        </is>
      </c>
      <c r="L411" s="7" t="inlineStr">
        <is>
          <t>PNL</t>
        </is>
      </c>
      <c r="M411" s="11" t="n">
        <v>44754</v>
      </c>
      <c r="N411" s="13" t="n">
        <v>0</v>
      </c>
      <c r="O411" s="6" t="n">
        <v>0</v>
      </c>
      <c r="P411" s="13" t="n">
        <v>1166000</v>
      </c>
      <c r="Q411" s="22" t="n">
        <v>30</v>
      </c>
      <c r="R411" s="6" t="n">
        <v>1</v>
      </c>
      <c r="S411" s="12" t="n">
        <v>44754</v>
      </c>
      <c r="T411" s="21" t="n">
        <v>76.878636</v>
      </c>
      <c r="U411" s="9" t="n">
        <v>-167977.33</v>
      </c>
      <c r="V411" s="9" t="n">
        <v>-167977.33</v>
      </c>
      <c r="X411" s="9" t="n">
        <v>76.2056</v>
      </c>
      <c r="AK411" s="7" t="inlineStr">
        <is>
          <t>DERIVED_IN_WORKBOOK</t>
        </is>
      </c>
      <c r="AL411" s="8">
        <f>IF($J411="INR",1,IF($M411&lt;$A411,INDEX(Market_Daily!$F$6:$F$256,MATCH($M411,Market_Daily!$A$6:$A$256,1)),IF($M411=$A411,INDEX(Market_Daily!$F$6:$F$256,MATCH($A411,Market_Daily!$A$6:$A$256,0)),(INDEX(Market_Daily!$F$6:$F$256,MATCH($A411,Market_Daily!$A$6:$A$256,0))*(1+INDEX(Market_Daily!$I$6:$I$256,MATCH($A411,Market_Daily!$A$6:$A$256,0))*($M411-$A411)/day_count_inr)/(1+INDEX(Market_Daily!$J$6:$J$256,MATCH($A411,Market_Daily!$A$6:$A$256,0))*($M411-$A411)/day_count_usd)))))</f>
        <v/>
      </c>
      <c r="AM411" s="8">
        <f>IF(OR($J411="INR",$R411&gt;1),"",$AL411-$X411)</f>
        <v/>
      </c>
      <c r="AN411" s="8">
        <f>$P411*(IF($S411&lt;$A411,INDEX(Market_Daily!$F$6:$F$256,MATCH($S411,Market_Daily!$A$6:$A$256,1)),IF($S411=$A411,INDEX(Market_Daily!$F$6:$F$256,MATCH($A411,Market_Daily!$A$6:$A$256,0)),(INDEX(Market_Daily!$F$6:$F$256,MATCH($A411,Market_Daily!$A$6:$A$256,0))*(1+INDEX(Market_Daily!$I$6:$I$256,MATCH($A411,Market_Daily!$A$6:$A$256,0))*($S411-$A411)/day_count_inr)/(1+INDEX(Market_Daily!$J$6:$J$256,MATCH($A411,Market_Daily!$A$6:$A$256,0))*($S411-$A411)/day_count_usd))))-$T411)</f>
        <v/>
      </c>
      <c r="AO411" s="8">
        <f>$AN411</f>
        <v/>
      </c>
      <c r="AP411" s="18">
        <f>$AO411-$V411</f>
        <v/>
      </c>
      <c r="AQ411" s="8">
        <f>IF(ABS($AP411)&lt;=tol_trade_inr,"PASS","FAIL")</f>
        <v/>
      </c>
    </row>
    <row r="412">
      <c r="A412" s="11" t="n">
        <v>44672</v>
      </c>
      <c r="B412" s="7" t="inlineStr">
        <is>
          <t>T02</t>
        </is>
      </c>
      <c r="C412" s="7" t="inlineStr">
        <is>
          <t>IGST:L1</t>
        </is>
      </c>
      <c r="D412" s="7" t="inlineStr">
        <is>
          <t>IGST</t>
        </is>
      </c>
      <c r="E412" s="7" t="inlineStr">
        <is>
          <t>physical</t>
        </is>
      </c>
      <c r="F412" s="7" t="inlineStr">
        <is>
          <t>L1</t>
        </is>
      </c>
      <c r="H412" s="7" t="inlineStr">
        <is>
          <t>tense</t>
        </is>
      </c>
      <c r="I412" s="7" t="inlineStr">
        <is>
          <t>JEA_NSA</t>
        </is>
      </c>
      <c r="J412" s="7" t="inlineStr">
        <is>
          <t>INR</t>
        </is>
      </c>
      <c r="K412" s="7" t="inlineStr">
        <is>
          <t>fixed_unsettled</t>
        </is>
      </c>
      <c r="L412" s="7" t="inlineStr">
        <is>
          <t>BS</t>
        </is>
      </c>
      <c r="M412" s="11" t="n">
        <v>44707</v>
      </c>
      <c r="N412" s="13" t="n">
        <v>0</v>
      </c>
      <c r="O412" s="6" t="n">
        <v>0</v>
      </c>
      <c r="P412" s="13" t="n">
        <v>0</v>
      </c>
      <c r="Q412" s="22" t="n">
        <v>30</v>
      </c>
      <c r="R412" s="6" t="n">
        <v>2</v>
      </c>
      <c r="U412" s="9" t="n">
        <v>0</v>
      </c>
      <c r="V412" s="9" t="n">
        <v>0</v>
      </c>
      <c r="X412" s="9" t="n">
        <v>76.2056</v>
      </c>
      <c r="AK412" s="7" t="inlineStr">
        <is>
          <t>PYTHON_MULTI_FLOW_LEG</t>
        </is>
      </c>
      <c r="AL412" s="8">
        <f>IF($J412="INR",1,IF($M412&lt;$A412,INDEX(Market_Daily!$F$6:$F$256,MATCH($M412,Market_Daily!$A$6:$A$256,1)),IF($M412=$A412,INDEX(Market_Daily!$F$6:$F$256,MATCH($A412,Market_Daily!$A$6:$A$256,0)),(INDEX(Market_Daily!$F$6:$F$256,MATCH($A412,Market_Daily!$A$6:$A$256,0))*(1+INDEX(Market_Daily!$I$6:$I$256,MATCH($A412,Market_Daily!$A$6:$A$256,0))*($M412-$A412)/day_count_inr)/(1+INDEX(Market_Daily!$J$6:$J$256,MATCH($A412,Market_Daily!$A$6:$A$256,0))*($M412-$A412)/day_count_usd)))))</f>
        <v/>
      </c>
      <c r="AM412" s="8">
        <f>IF(OR($J412="INR",$R412&gt;1),"",$AL412-$X412)</f>
        <v/>
      </c>
      <c r="AN412" s="8">
        <f>$U412</f>
        <v/>
      </c>
      <c r="AO412" s="8">
        <f>$V412</f>
        <v/>
      </c>
      <c r="AP412" s="18">
        <f>$AO412-$V412</f>
        <v/>
      </c>
      <c r="AQ412" s="8">
        <f>IF(ABS($AP412)&lt;=tol_trade_inr,"PASS","FAIL")</f>
        <v/>
      </c>
    </row>
    <row r="413">
      <c r="A413" s="11" t="n">
        <v>44672</v>
      </c>
      <c r="B413" s="7" t="inlineStr">
        <is>
          <t>T02</t>
        </is>
      </c>
      <c r="C413" s="7" t="inlineStr">
        <is>
          <t>IGST:L2</t>
        </is>
      </c>
      <c r="D413" s="7" t="inlineStr">
        <is>
          <t>IGST</t>
        </is>
      </c>
      <c r="E413" s="7" t="inlineStr">
        <is>
          <t>physical</t>
        </is>
      </c>
      <c r="F413" s="7" t="inlineStr">
        <is>
          <t>L2</t>
        </is>
      </c>
      <c r="H413" s="7" t="inlineStr">
        <is>
          <t>tense</t>
        </is>
      </c>
      <c r="I413" s="7" t="inlineStr">
        <is>
          <t>JEA_NSA</t>
        </is>
      </c>
      <c r="J413" s="7" t="inlineStr">
        <is>
          <t>INR</t>
        </is>
      </c>
      <c r="K413" s="7" t="inlineStr">
        <is>
          <t>fixed_unsettled</t>
        </is>
      </c>
      <c r="L413" s="7" t="inlineStr">
        <is>
          <t>BS</t>
        </is>
      </c>
      <c r="M413" s="11" t="n">
        <v>44718</v>
      </c>
      <c r="N413" s="13" t="n">
        <v>0</v>
      </c>
      <c r="O413" s="6" t="n">
        <v>0</v>
      </c>
      <c r="P413" s="13" t="n">
        <v>0</v>
      </c>
      <c r="Q413" s="22" t="n">
        <v>30</v>
      </c>
      <c r="R413" s="6" t="n">
        <v>2</v>
      </c>
      <c r="U413" s="9" t="n">
        <v>0</v>
      </c>
      <c r="V413" s="9" t="n">
        <v>0</v>
      </c>
      <c r="X413" s="9" t="n">
        <v>76.2056</v>
      </c>
      <c r="AK413" s="7" t="inlineStr">
        <is>
          <t>PYTHON_MULTI_FLOW_LEG</t>
        </is>
      </c>
      <c r="AL413" s="8">
        <f>IF($J413="INR",1,IF($M413&lt;$A413,INDEX(Market_Daily!$F$6:$F$256,MATCH($M413,Market_Daily!$A$6:$A$256,1)),IF($M413=$A413,INDEX(Market_Daily!$F$6:$F$256,MATCH($A413,Market_Daily!$A$6:$A$256,0)),(INDEX(Market_Daily!$F$6:$F$256,MATCH($A413,Market_Daily!$A$6:$A$256,0))*(1+INDEX(Market_Daily!$I$6:$I$256,MATCH($A413,Market_Daily!$A$6:$A$256,0))*($M413-$A413)/day_count_inr)/(1+INDEX(Market_Daily!$J$6:$J$256,MATCH($A413,Market_Daily!$A$6:$A$256,0))*($M413-$A413)/day_count_usd)))))</f>
        <v/>
      </c>
      <c r="AM413" s="8">
        <f>IF(OR($J413="INR",$R413&gt;1),"",$AL413-$X413)</f>
        <v/>
      </c>
      <c r="AN413" s="8">
        <f>$U413</f>
        <v/>
      </c>
      <c r="AO413" s="8">
        <f>$V413</f>
        <v/>
      </c>
      <c r="AP413" s="18">
        <f>$AO413-$V413</f>
        <v/>
      </c>
      <c r="AQ413" s="8">
        <f>IF(ABS($AP413)&lt;=tol_trade_inr,"PASS","FAIL")</f>
        <v/>
      </c>
    </row>
    <row r="414">
      <c r="A414" s="11" t="n">
        <v>44672</v>
      </c>
      <c r="B414" s="7" t="inlineStr">
        <is>
          <t>T02</t>
        </is>
      </c>
      <c r="C414" s="7" t="inlineStr">
        <is>
          <t>MCX:T02-MCX-3</t>
        </is>
      </c>
      <c r="D414" s="7" t="inlineStr">
        <is>
          <t>MCX</t>
        </is>
      </c>
      <c r="E414" s="7" t="inlineStr">
        <is>
          <t>mcx</t>
        </is>
      </c>
      <c r="H414" s="7" t="inlineStr">
        <is>
          <t>tense</t>
        </is>
      </c>
      <c r="I414" s="7" t="inlineStr">
        <is>
          <t>JEA_NSA</t>
        </is>
      </c>
      <c r="J414" s="7" t="inlineStr">
        <is>
          <t>INR</t>
        </is>
      </c>
      <c r="K414" s="7" t="inlineStr">
        <is>
          <t>partially_fixed</t>
        </is>
      </c>
      <c r="L414" s="7" t="inlineStr">
        <is>
          <t>PNL</t>
        </is>
      </c>
      <c r="M414" s="11" t="n">
        <v>44676</v>
      </c>
      <c r="N414" s="13" t="n">
        <v>0</v>
      </c>
      <c r="O414" s="6" t="n">
        <v>-74</v>
      </c>
      <c r="P414" s="13" t="n">
        <v>0</v>
      </c>
      <c r="Q414" s="22" t="n">
        <v>30</v>
      </c>
      <c r="R414" s="6" t="n">
        <v>4</v>
      </c>
      <c r="U414" s="9" t="n">
        <v>0</v>
      </c>
      <c r="V414" s="9" t="n">
        <v>0</v>
      </c>
      <c r="X414" s="9" t="n">
        <v>76.2056</v>
      </c>
      <c r="AK414" s="7" t="inlineStr">
        <is>
          <t>PYTHON_MULTI_FLOW_LEG</t>
        </is>
      </c>
      <c r="AL414" s="8">
        <f>IF($J414="INR",1,IF($M414&lt;$A414,INDEX(Market_Daily!$F$6:$F$256,MATCH($M414,Market_Daily!$A$6:$A$256,1)),IF($M414=$A414,INDEX(Market_Daily!$F$6:$F$256,MATCH($A414,Market_Daily!$A$6:$A$256,0)),(INDEX(Market_Daily!$F$6:$F$256,MATCH($A414,Market_Daily!$A$6:$A$256,0))*(1+INDEX(Market_Daily!$I$6:$I$256,MATCH($A414,Market_Daily!$A$6:$A$256,0))*($M414-$A414)/day_count_inr)/(1+INDEX(Market_Daily!$J$6:$J$256,MATCH($A414,Market_Daily!$A$6:$A$256,0))*($M414-$A414)/day_count_usd)))))</f>
        <v/>
      </c>
      <c r="AM414" s="8">
        <f>IF(OR($J414="INR",$R414&gt;1),"",$AL414-$X414)</f>
        <v/>
      </c>
      <c r="AN414" s="8">
        <f>$U414</f>
        <v/>
      </c>
      <c r="AO414" s="8">
        <f>$V414</f>
        <v/>
      </c>
      <c r="AP414" s="18">
        <f>$AO414-$V414</f>
        <v/>
      </c>
      <c r="AQ414" s="8">
        <f>IF(ABS($AP414)&lt;=tol_trade_inr,"PASS","FAIL")</f>
        <v/>
      </c>
    </row>
    <row r="415">
      <c r="A415" s="11" t="n">
        <v>44672</v>
      </c>
      <c r="B415" s="7" t="inlineStr">
        <is>
          <t>T02</t>
        </is>
      </c>
      <c r="C415" s="7" t="inlineStr">
        <is>
          <t>PORT:L2</t>
        </is>
      </c>
      <c r="D415" s="7" t="inlineStr">
        <is>
          <t>PORT</t>
        </is>
      </c>
      <c r="E415" s="7" t="inlineStr">
        <is>
          <t>physical</t>
        </is>
      </c>
      <c r="F415" s="7" t="inlineStr">
        <is>
          <t>L2</t>
        </is>
      </c>
      <c r="H415" s="7" t="inlineStr">
        <is>
          <t>tense</t>
        </is>
      </c>
      <c r="I415" s="7" t="inlineStr">
        <is>
          <t>JEA_NSA</t>
        </is>
      </c>
      <c r="J415" s="7" t="inlineStr">
        <is>
          <t>INR</t>
        </is>
      </c>
      <c r="K415" s="7" t="inlineStr">
        <is>
          <t>fixed_unsettled</t>
        </is>
      </c>
      <c r="L415" s="7" t="inlineStr">
        <is>
          <t>PNL</t>
        </is>
      </c>
      <c r="M415" s="11" t="n">
        <v>44679</v>
      </c>
      <c r="N415" s="13" t="n">
        <v>0</v>
      </c>
      <c r="O415" s="6" t="n">
        <v>0</v>
      </c>
      <c r="P415" s="13" t="n">
        <v>0</v>
      </c>
      <c r="Q415" s="22" t="n">
        <v>30</v>
      </c>
      <c r="R415" s="6" t="n">
        <v>1</v>
      </c>
      <c r="U415" s="9" t="n">
        <v>-960000</v>
      </c>
      <c r="V415" s="9" t="n">
        <v>-960000</v>
      </c>
      <c r="X415" s="9" t="n">
        <v>76.2056</v>
      </c>
      <c r="AK415" s="7" t="inlineStr">
        <is>
          <t>PYTHON_LIFECYCLE</t>
        </is>
      </c>
      <c r="AL415" s="8">
        <f>IF($J415="INR",1,IF($M415&lt;$A415,INDEX(Market_Daily!$F$6:$F$256,MATCH($M415,Market_Daily!$A$6:$A$256,1)),IF($M415=$A415,INDEX(Market_Daily!$F$6:$F$256,MATCH($A415,Market_Daily!$A$6:$A$256,0)),(INDEX(Market_Daily!$F$6:$F$256,MATCH($A415,Market_Daily!$A$6:$A$256,0))*(1+INDEX(Market_Daily!$I$6:$I$256,MATCH($A415,Market_Daily!$A$6:$A$256,0))*($M415-$A415)/day_count_inr)/(1+INDEX(Market_Daily!$J$6:$J$256,MATCH($A415,Market_Daily!$A$6:$A$256,0))*($M415-$A415)/day_count_usd)))))</f>
        <v/>
      </c>
      <c r="AM415" s="8">
        <f>IF(OR($J415="INR",$R415&gt;1),"",$AL415-$X415)</f>
        <v/>
      </c>
      <c r="AN415" s="8">
        <f>$U415</f>
        <v/>
      </c>
      <c r="AO415" s="8">
        <f>$AN415*IF($J415="INR",1,$AL415)</f>
        <v/>
      </c>
      <c r="AP415" s="18">
        <f>$AO415-$V415</f>
        <v/>
      </c>
      <c r="AQ415" s="8">
        <f>IF(ABS($AP415)&lt;=tol_trade_inr,"PASS","FAIL")</f>
        <v/>
      </c>
    </row>
    <row r="416">
      <c r="A416" s="11" t="n">
        <v>44672</v>
      </c>
      <c r="B416" s="7" t="inlineStr">
        <is>
          <t>T02</t>
        </is>
      </c>
      <c r="C416" s="7" t="inlineStr">
        <is>
          <t>PURCHASE:L1</t>
        </is>
      </c>
      <c r="D416" s="7" t="inlineStr">
        <is>
          <t>PURCHASE</t>
        </is>
      </c>
      <c r="E416" s="7" t="inlineStr">
        <is>
          <t>physical</t>
        </is>
      </c>
      <c r="F416" s="7" t="inlineStr">
        <is>
          <t>L1</t>
        </is>
      </c>
      <c r="G416" s="7" t="inlineStr">
        <is>
          <t>SUP_JEA_01</t>
        </is>
      </c>
      <c r="H416" s="7" t="inlineStr">
        <is>
          <t>tense</t>
        </is>
      </c>
      <c r="I416" s="7" t="inlineStr">
        <is>
          <t>JEA_NSA</t>
        </is>
      </c>
      <c r="J416" s="7" t="inlineStr">
        <is>
          <t>USD</t>
        </is>
      </c>
      <c r="K416" s="7" t="inlineStr">
        <is>
          <t>partially_fixed</t>
        </is>
      </c>
      <c r="L416" s="7" t="inlineStr">
        <is>
          <t>PNL</t>
        </is>
      </c>
      <c r="M416" s="11" t="n">
        <v>44746</v>
      </c>
      <c r="N416" s="13" t="n">
        <v>1200</v>
      </c>
      <c r="O416" s="6" t="n">
        <v>0</v>
      </c>
      <c r="P416" s="13" t="n">
        <v>0</v>
      </c>
      <c r="Q416" s="22" t="n">
        <v>30</v>
      </c>
      <c r="R416" s="6" t="n">
        <v>2</v>
      </c>
      <c r="U416" s="9" t="n">
        <v>-1250202.36</v>
      </c>
      <c r="V416" s="9" t="n">
        <v>-95867996.40000001</v>
      </c>
      <c r="X416" s="9" t="n">
        <v>76.6831</v>
      </c>
      <c r="AK416" s="7" t="inlineStr">
        <is>
          <t>PYTHON_MULTI_FLOW_LEG</t>
        </is>
      </c>
      <c r="AL416" s="8">
        <f>IF($J416="INR",1,IF($M416&lt;$A416,INDEX(Market_Daily!$F$6:$F$256,MATCH($M416,Market_Daily!$A$6:$A$256,1)),IF($M416=$A416,INDEX(Market_Daily!$F$6:$F$256,MATCH($A416,Market_Daily!$A$6:$A$256,0)),(INDEX(Market_Daily!$F$6:$F$256,MATCH($A416,Market_Daily!$A$6:$A$256,0))*(1+INDEX(Market_Daily!$I$6:$I$256,MATCH($A416,Market_Daily!$A$6:$A$256,0))*($M416-$A416)/day_count_inr)/(1+INDEX(Market_Daily!$J$6:$J$256,MATCH($A416,Market_Daily!$A$6:$A$256,0))*($M416-$A416)/day_count_usd)))))</f>
        <v/>
      </c>
      <c r="AM416" s="8">
        <f>IF(OR($J416="INR",$R416&gt;1),"",$AL416-$X416)</f>
        <v/>
      </c>
      <c r="AN416" s="8">
        <f>$U416</f>
        <v/>
      </c>
      <c r="AO416" s="8">
        <f>$V416</f>
        <v/>
      </c>
      <c r="AP416" s="18">
        <f>$AO416-$V416</f>
        <v/>
      </c>
      <c r="AQ416" s="8">
        <f>IF(ABS($AP416)&lt;=tol_trade_inr,"PASS","FAIL")</f>
        <v/>
      </c>
    </row>
    <row r="417">
      <c r="A417" s="11" t="n">
        <v>44672</v>
      </c>
      <c r="B417" s="7" t="inlineStr">
        <is>
          <t>T02</t>
        </is>
      </c>
      <c r="C417" s="7" t="inlineStr">
        <is>
          <t>PURCHASE:L2</t>
        </is>
      </c>
      <c r="D417" s="7" t="inlineStr">
        <is>
          <t>PURCHASE</t>
        </is>
      </c>
      <c r="E417" s="7" t="inlineStr">
        <is>
          <t>physical</t>
        </is>
      </c>
      <c r="F417" s="7" t="inlineStr">
        <is>
          <t>L2</t>
        </is>
      </c>
      <c r="G417" s="7" t="inlineStr">
        <is>
          <t>SUP_JEA_01</t>
        </is>
      </c>
      <c r="H417" s="7" t="inlineStr">
        <is>
          <t>tense</t>
        </is>
      </c>
      <c r="I417" s="7" t="inlineStr">
        <is>
          <t>JEA_NSA</t>
        </is>
      </c>
      <c r="J417" s="7" t="inlineStr">
        <is>
          <t>USD</t>
        </is>
      </c>
      <c r="K417" s="7" t="inlineStr">
        <is>
          <t>partially_fixed</t>
        </is>
      </c>
      <c r="L417" s="7" t="inlineStr">
        <is>
          <t>PNL</t>
        </is>
      </c>
      <c r="M417" s="11" t="n">
        <v>44754</v>
      </c>
      <c r="N417" s="13" t="n">
        <v>1200</v>
      </c>
      <c r="O417" s="6" t="n">
        <v>0</v>
      </c>
      <c r="P417" s="13" t="n">
        <v>0</v>
      </c>
      <c r="Q417" s="22" t="n">
        <v>30</v>
      </c>
      <c r="R417" s="6" t="n">
        <v>2</v>
      </c>
      <c r="U417" s="9" t="n">
        <v>-1250202.36</v>
      </c>
      <c r="V417" s="9" t="n">
        <v>-95915895.06</v>
      </c>
      <c r="X417" s="9" t="n">
        <v>76.7346</v>
      </c>
      <c r="AK417" s="7" t="inlineStr">
        <is>
          <t>PYTHON_MULTI_FLOW_LEG</t>
        </is>
      </c>
      <c r="AL417" s="8">
        <f>IF($J417="INR",1,IF($M417&lt;$A417,INDEX(Market_Daily!$F$6:$F$256,MATCH($M417,Market_Daily!$A$6:$A$256,1)),IF($M417=$A417,INDEX(Market_Daily!$F$6:$F$256,MATCH($A417,Market_Daily!$A$6:$A$256,0)),(INDEX(Market_Daily!$F$6:$F$256,MATCH($A417,Market_Daily!$A$6:$A$256,0))*(1+INDEX(Market_Daily!$I$6:$I$256,MATCH($A417,Market_Daily!$A$6:$A$256,0))*($M417-$A417)/day_count_inr)/(1+INDEX(Market_Daily!$J$6:$J$256,MATCH($A417,Market_Daily!$A$6:$A$256,0))*($M417-$A417)/day_count_usd)))))</f>
        <v/>
      </c>
      <c r="AM417" s="8">
        <f>IF(OR($J417="INR",$R417&gt;1),"",$AL417-$X417)</f>
        <v/>
      </c>
      <c r="AN417" s="8">
        <f>$U417</f>
        <v/>
      </c>
      <c r="AO417" s="8">
        <f>$V417</f>
        <v/>
      </c>
      <c r="AP417" s="18">
        <f>$AO417-$V417</f>
        <v/>
      </c>
      <c r="AQ417" s="8">
        <f>IF(ABS($AP417)&lt;=tol_trade_inr,"PASS","FAIL")</f>
        <v/>
      </c>
    </row>
    <row r="418">
      <c r="A418" s="11" t="n">
        <v>44672</v>
      </c>
      <c r="B418" s="7" t="inlineStr">
        <is>
          <t>T02</t>
        </is>
      </c>
      <c r="C418" s="7" t="inlineStr">
        <is>
          <t>SALE:S1</t>
        </is>
      </c>
      <c r="D418" s="7" t="inlineStr">
        <is>
          <t>SALE</t>
        </is>
      </c>
      <c r="E418" s="7" t="inlineStr">
        <is>
          <t>physical</t>
        </is>
      </c>
      <c r="G418" s="7" t="inlineStr">
        <is>
          <t>BUY_JNPT_01</t>
        </is>
      </c>
      <c r="H418" s="7" t="inlineStr">
        <is>
          <t>tense</t>
        </is>
      </c>
      <c r="I418" s="7" t="inlineStr">
        <is>
          <t>JEA_NSA</t>
        </is>
      </c>
      <c r="J418" s="7" t="inlineStr">
        <is>
          <t>INR</t>
        </is>
      </c>
      <c r="K418" s="7" t="inlineStr">
        <is>
          <t>floating</t>
        </is>
      </c>
      <c r="L418" s="7" t="inlineStr">
        <is>
          <t>PNL</t>
        </is>
      </c>
      <c r="M418" s="11" t="n">
        <v>44711</v>
      </c>
      <c r="N418" s="13" t="n">
        <v>1200</v>
      </c>
      <c r="O418" s="6" t="n">
        <v>0</v>
      </c>
      <c r="P418" s="13" t="n">
        <v>0</v>
      </c>
      <c r="Q418" s="22" t="n">
        <v>30</v>
      </c>
      <c r="R418" s="6" t="n">
        <v>1</v>
      </c>
      <c r="U418" s="9" t="n">
        <v>234206489.47</v>
      </c>
      <c r="V418" s="9" t="n">
        <v>234206489.47</v>
      </c>
      <c r="W418" s="9" t="n">
        <v>195172.0746</v>
      </c>
      <c r="X418" s="9" t="n">
        <v>76.2056</v>
      </c>
      <c r="AK418" s="7" t="inlineStr">
        <is>
          <t>PYTHON_LIFECYCLE</t>
        </is>
      </c>
      <c r="AL418" s="8">
        <f>IF($J418="INR",1,IF($M418&lt;$A418,INDEX(Market_Daily!$F$6:$F$256,MATCH($M418,Market_Daily!$A$6:$A$256,1)),IF($M418=$A418,INDEX(Market_Daily!$F$6:$F$256,MATCH($A418,Market_Daily!$A$6:$A$256,0)),(INDEX(Market_Daily!$F$6:$F$256,MATCH($A418,Market_Daily!$A$6:$A$256,0))*(1+INDEX(Market_Daily!$I$6:$I$256,MATCH($A418,Market_Daily!$A$6:$A$256,0))*($M418-$A418)/day_count_inr)/(1+INDEX(Market_Daily!$J$6:$J$256,MATCH($A418,Market_Daily!$A$6:$A$256,0))*($M418-$A418)/day_count_usd)))))</f>
        <v/>
      </c>
      <c r="AM418" s="8">
        <f>IF(OR($J418="INR",$R418&gt;1),"",$AL418-$X418)</f>
        <v/>
      </c>
      <c r="AN418" s="8">
        <f>$U418</f>
        <v/>
      </c>
      <c r="AO418" s="8">
        <f>$AN418*IF($J418="INR",1,$AL418)</f>
        <v/>
      </c>
      <c r="AP418" s="18">
        <f>$AO418-$V418</f>
        <v/>
      </c>
      <c r="AQ418" s="8">
        <f>IF(ABS($AP418)&lt;=tol_trade_inr,"PASS","FAIL")</f>
        <v/>
      </c>
    </row>
    <row r="419">
      <c r="A419" s="11" t="n">
        <v>44672</v>
      </c>
      <c r="B419" s="7" t="inlineStr">
        <is>
          <t>T02</t>
        </is>
      </c>
      <c r="C419" s="7" t="inlineStr">
        <is>
          <t>USANCE_INTEREST:L1</t>
        </is>
      </c>
      <c r="D419" s="7" t="inlineStr">
        <is>
          <t>USANCE_INTEREST</t>
        </is>
      </c>
      <c r="E419" s="7" t="inlineStr">
        <is>
          <t>physical</t>
        </is>
      </c>
      <c r="F419" s="7" t="inlineStr">
        <is>
          <t>L1</t>
        </is>
      </c>
      <c r="H419" s="7" t="inlineStr">
        <is>
          <t>tense</t>
        </is>
      </c>
      <c r="I419" s="7" t="inlineStr">
        <is>
          <t>JEA_NSA</t>
        </is>
      </c>
      <c r="J419" s="7" t="inlineStr">
        <is>
          <t>USD</t>
        </is>
      </c>
      <c r="K419" s="7" t="inlineStr">
        <is>
          <t>fixed_unsettled</t>
        </is>
      </c>
      <c r="L419" s="7" t="inlineStr">
        <is>
          <t>PNL</t>
        </is>
      </c>
      <c r="M419" s="11" t="n">
        <v>44746</v>
      </c>
      <c r="N419" s="13" t="n">
        <v>0</v>
      </c>
      <c r="O419" s="6" t="n">
        <v>0</v>
      </c>
      <c r="P419" s="13" t="n">
        <v>0</v>
      </c>
      <c r="Q419" s="22" t="n">
        <v>30</v>
      </c>
      <c r="R419" s="6" t="n">
        <v>1</v>
      </c>
      <c r="U419" s="9" t="n">
        <v>-6953.7</v>
      </c>
      <c r="V419" s="9" t="n">
        <v>-533231.13</v>
      </c>
      <c r="X419" s="9" t="n">
        <v>76.6831</v>
      </c>
      <c r="AK419" s="7" t="inlineStr">
        <is>
          <t>PYTHON_LIFECYCLE</t>
        </is>
      </c>
      <c r="AL419" s="8">
        <f>IF($J419="INR",1,IF($M419&lt;$A419,INDEX(Market_Daily!$F$6:$F$256,MATCH($M419,Market_Daily!$A$6:$A$256,1)),IF($M419=$A419,INDEX(Market_Daily!$F$6:$F$256,MATCH($A419,Market_Daily!$A$6:$A$256,0)),(INDEX(Market_Daily!$F$6:$F$256,MATCH($A419,Market_Daily!$A$6:$A$256,0))*(1+INDEX(Market_Daily!$I$6:$I$256,MATCH($A419,Market_Daily!$A$6:$A$256,0))*($M419-$A419)/day_count_inr)/(1+INDEX(Market_Daily!$J$6:$J$256,MATCH($A419,Market_Daily!$A$6:$A$256,0))*($M419-$A419)/day_count_usd)))))</f>
        <v/>
      </c>
      <c r="AM419" s="8">
        <f>IF(OR($J419="INR",$R419&gt;1),"",$AL419-$X419)</f>
        <v/>
      </c>
      <c r="AN419" s="8">
        <f>$U419</f>
        <v/>
      </c>
      <c r="AO419" s="8">
        <f>$AN419*IF($J419="INR",1,$AL419)</f>
        <v/>
      </c>
      <c r="AP419" s="18">
        <f>$AO419-$V419</f>
        <v/>
      </c>
      <c r="AQ419" s="8">
        <f>IF(ABS($AP419)&lt;=tol_trade_inr,"PASS","FAIL")</f>
        <v/>
      </c>
    </row>
    <row r="420">
      <c r="A420" s="11" t="n">
        <v>44672</v>
      </c>
      <c r="B420" s="7" t="inlineStr">
        <is>
          <t>T02</t>
        </is>
      </c>
      <c r="C420" s="7" t="inlineStr">
        <is>
          <t>USANCE_INTEREST:L2</t>
        </is>
      </c>
      <c r="D420" s="7" t="inlineStr">
        <is>
          <t>USANCE_INTEREST</t>
        </is>
      </c>
      <c r="E420" s="7" t="inlineStr">
        <is>
          <t>physical</t>
        </is>
      </c>
      <c r="F420" s="7" t="inlineStr">
        <is>
          <t>L2</t>
        </is>
      </c>
      <c r="H420" s="7" t="inlineStr">
        <is>
          <t>tense</t>
        </is>
      </c>
      <c r="I420" s="7" t="inlineStr">
        <is>
          <t>JEA_NSA</t>
        </is>
      </c>
      <c r="J420" s="7" t="inlineStr">
        <is>
          <t>USD</t>
        </is>
      </c>
      <c r="K420" s="7" t="inlineStr">
        <is>
          <t>fixed_unsettled</t>
        </is>
      </c>
      <c r="L420" s="7" t="inlineStr">
        <is>
          <t>PNL</t>
        </is>
      </c>
      <c r="M420" s="11" t="n">
        <v>44754</v>
      </c>
      <c r="N420" s="13" t="n">
        <v>0</v>
      </c>
      <c r="O420" s="6" t="n">
        <v>0</v>
      </c>
      <c r="P420" s="13" t="n">
        <v>0</v>
      </c>
      <c r="Q420" s="22" t="n">
        <v>30</v>
      </c>
      <c r="R420" s="6" t="n">
        <v>1</v>
      </c>
      <c r="U420" s="9" t="n">
        <v>-6760.21</v>
      </c>
      <c r="V420" s="9" t="n">
        <v>-518742.01</v>
      </c>
      <c r="X420" s="9" t="n">
        <v>76.7346</v>
      </c>
      <c r="AK420" s="7" t="inlineStr">
        <is>
          <t>PYTHON_LIFECYCLE</t>
        </is>
      </c>
      <c r="AL420" s="8">
        <f>IF($J420="INR",1,IF($M420&lt;$A420,INDEX(Market_Daily!$F$6:$F$256,MATCH($M420,Market_Daily!$A$6:$A$256,1)),IF($M420=$A420,INDEX(Market_Daily!$F$6:$F$256,MATCH($A420,Market_Daily!$A$6:$A$256,0)),(INDEX(Market_Daily!$F$6:$F$256,MATCH($A420,Market_Daily!$A$6:$A$256,0))*(1+INDEX(Market_Daily!$I$6:$I$256,MATCH($A420,Market_Daily!$A$6:$A$256,0))*($M420-$A420)/day_count_inr)/(1+INDEX(Market_Daily!$J$6:$J$256,MATCH($A420,Market_Daily!$A$6:$A$256,0))*($M420-$A420)/day_count_usd)))))</f>
        <v/>
      </c>
      <c r="AM420" s="8">
        <f>IF(OR($J420="INR",$R420&gt;1),"",$AL420-$X420)</f>
        <v/>
      </c>
      <c r="AN420" s="8">
        <f>$U420</f>
        <v/>
      </c>
      <c r="AO420" s="8">
        <f>$AN420*IF($J420="INR",1,$AL420)</f>
        <v/>
      </c>
      <c r="AP420" s="18">
        <f>$AO420-$V420</f>
        <v/>
      </c>
      <c r="AQ420" s="8">
        <f>IF(ABS($AP420)&lt;=tol_trade_inr,"PASS","FAIL")</f>
        <v/>
      </c>
    </row>
    <row r="421">
      <c r="A421" s="11" t="n">
        <v>44672</v>
      </c>
      <c r="B421" s="7" t="inlineStr">
        <is>
          <t>T03</t>
        </is>
      </c>
      <c r="C421" s="7" t="inlineStr">
        <is>
          <t>BILL_COMMISSION:L2</t>
        </is>
      </c>
      <c r="D421" s="7" t="inlineStr">
        <is>
          <t>BILL_COMMISSION</t>
        </is>
      </c>
      <c r="E421" s="7" t="inlineStr">
        <is>
          <t>physical</t>
        </is>
      </c>
      <c r="F421" s="7" t="inlineStr">
        <is>
          <t>L2</t>
        </is>
      </c>
      <c r="H421" s="7" t="inlineStr">
        <is>
          <t>taint_tabor</t>
        </is>
      </c>
      <c r="I421" s="7" t="inlineStr">
        <is>
          <t>JEA_NSA</t>
        </is>
      </c>
      <c r="J421" s="7" t="inlineStr">
        <is>
          <t>USD</t>
        </is>
      </c>
      <c r="K421" s="7" t="inlineStr">
        <is>
          <t>floating</t>
        </is>
      </c>
      <c r="L421" s="7" t="inlineStr">
        <is>
          <t>PNL</t>
        </is>
      </c>
      <c r="M421" s="11" t="n">
        <v>44680</v>
      </c>
      <c r="N421" s="13" t="n">
        <v>0</v>
      </c>
      <c r="O421" s="6" t="n">
        <v>0</v>
      </c>
      <c r="P421" s="13" t="n">
        <v>0</v>
      </c>
      <c r="Q421" s="22" t="n">
        <v>30</v>
      </c>
      <c r="R421" s="6" t="n">
        <v>1</v>
      </c>
      <c r="U421" s="9" t="n">
        <v>-1778.4</v>
      </c>
      <c r="V421" s="9" t="n">
        <v>-135615.97</v>
      </c>
      <c r="X421" s="9" t="n">
        <v>76.2573</v>
      </c>
      <c r="AK421" s="7" t="inlineStr">
        <is>
          <t>PYTHON_LIFECYCLE</t>
        </is>
      </c>
      <c r="AL421" s="8">
        <f>IF($J421="INR",1,IF($M421&lt;$A421,INDEX(Market_Daily!$F$6:$F$256,MATCH($M421,Market_Daily!$A$6:$A$256,1)),IF($M421=$A421,INDEX(Market_Daily!$F$6:$F$256,MATCH($A421,Market_Daily!$A$6:$A$256,0)),(INDEX(Market_Daily!$F$6:$F$256,MATCH($A421,Market_Daily!$A$6:$A$256,0))*(1+INDEX(Market_Daily!$I$6:$I$256,MATCH($A421,Market_Daily!$A$6:$A$256,0))*($M421-$A421)/day_count_inr)/(1+INDEX(Market_Daily!$J$6:$J$256,MATCH($A421,Market_Daily!$A$6:$A$256,0))*($M421-$A421)/day_count_usd)))))</f>
        <v/>
      </c>
      <c r="AM421" s="8">
        <f>IF(OR($J421="INR",$R421&gt;1),"",$AL421-$X421)</f>
        <v/>
      </c>
      <c r="AN421" s="8">
        <f>$U421</f>
        <v/>
      </c>
      <c r="AO421" s="8">
        <f>$AN421*IF($J421="INR",1,$AL421)</f>
        <v/>
      </c>
      <c r="AP421" s="18">
        <f>$AO421-$V421</f>
        <v/>
      </c>
      <c r="AQ421" s="8">
        <f>IF(ABS($AP421)&lt;=tol_trade_inr,"PASS","FAIL")</f>
        <v/>
      </c>
    </row>
    <row r="422">
      <c r="A422" s="11" t="n">
        <v>44672</v>
      </c>
      <c r="B422" s="7" t="inlineStr">
        <is>
          <t>T03</t>
        </is>
      </c>
      <c r="C422" s="7" t="inlineStr">
        <is>
          <t>DUTY:L2</t>
        </is>
      </c>
      <c r="D422" s="7" t="inlineStr">
        <is>
          <t>DUTY</t>
        </is>
      </c>
      <c r="E422" s="7" t="inlineStr">
        <is>
          <t>physical</t>
        </is>
      </c>
      <c r="F422" s="7" t="inlineStr">
        <is>
          <t>L2</t>
        </is>
      </c>
      <c r="H422" s="7" t="inlineStr">
        <is>
          <t>taint_tabor</t>
        </is>
      </c>
      <c r="I422" s="7" t="inlineStr">
        <is>
          <t>JEA_NSA</t>
        </is>
      </c>
      <c r="J422" s="7" t="inlineStr">
        <is>
          <t>INR</t>
        </is>
      </c>
      <c r="K422" s="7" t="inlineStr">
        <is>
          <t>floating</t>
        </is>
      </c>
      <c r="L422" s="7" t="inlineStr">
        <is>
          <t>PNL</t>
        </is>
      </c>
      <c r="M422" s="11" t="n">
        <v>44679</v>
      </c>
      <c r="N422" s="13" t="n">
        <v>600</v>
      </c>
      <c r="O422" s="6" t="n">
        <v>0</v>
      </c>
      <c r="P422" s="13" t="n">
        <v>0</v>
      </c>
      <c r="Q422" s="22" t="n">
        <v>30</v>
      </c>
      <c r="R422" s="6" t="n">
        <v>1</v>
      </c>
      <c r="U422" s="9" t="n">
        <v>-3133426.98</v>
      </c>
      <c r="V422" s="9" t="n">
        <v>-3133426.98</v>
      </c>
      <c r="X422" s="9" t="n">
        <v>76.2056</v>
      </c>
      <c r="AK422" s="7" t="inlineStr">
        <is>
          <t>PYTHON_LIFECYCLE</t>
        </is>
      </c>
      <c r="AL422" s="8">
        <f>IF($J422="INR",1,IF($M422&lt;$A422,INDEX(Market_Daily!$F$6:$F$256,MATCH($M422,Market_Daily!$A$6:$A$256,1)),IF($M422=$A422,INDEX(Market_Daily!$F$6:$F$256,MATCH($A422,Market_Daily!$A$6:$A$256,0)),(INDEX(Market_Daily!$F$6:$F$256,MATCH($A422,Market_Daily!$A$6:$A$256,0))*(1+INDEX(Market_Daily!$I$6:$I$256,MATCH($A422,Market_Daily!$A$6:$A$256,0))*($M422-$A422)/day_count_inr)/(1+INDEX(Market_Daily!$J$6:$J$256,MATCH($A422,Market_Daily!$A$6:$A$256,0))*($M422-$A422)/day_count_usd)))))</f>
        <v/>
      </c>
      <c r="AM422" s="8">
        <f>IF(OR($J422="INR",$R422&gt;1),"",$AL422-$X422)</f>
        <v/>
      </c>
      <c r="AN422" s="8">
        <f>$U422</f>
        <v/>
      </c>
      <c r="AO422" s="8">
        <f>$AN422*IF($J422="INR",1,$AL422)</f>
        <v/>
      </c>
      <c r="AP422" s="18">
        <f>$AO422-$V422</f>
        <v/>
      </c>
      <c r="AQ422" s="8">
        <f>IF(ABS($AP422)&lt;=tol_trade_inr,"PASS","FAIL")</f>
        <v/>
      </c>
    </row>
    <row r="423">
      <c r="A423" s="11" t="n">
        <v>44672</v>
      </c>
      <c r="B423" s="7" t="inlineStr">
        <is>
          <t>T03</t>
        </is>
      </c>
      <c r="C423" s="7" t="inlineStr">
        <is>
          <t>IGST:L1</t>
        </is>
      </c>
      <c r="D423" s="7" t="inlineStr">
        <is>
          <t>IGST</t>
        </is>
      </c>
      <c r="E423" s="7" t="inlineStr">
        <is>
          <t>physical</t>
        </is>
      </c>
      <c r="F423" s="7" t="inlineStr">
        <is>
          <t>L1</t>
        </is>
      </c>
      <c r="H423" s="7" t="inlineStr">
        <is>
          <t>taint_tabor</t>
        </is>
      </c>
      <c r="I423" s="7" t="inlineStr">
        <is>
          <t>JEA_NSA</t>
        </is>
      </c>
      <c r="J423" s="7" t="inlineStr">
        <is>
          <t>INR</t>
        </is>
      </c>
      <c r="K423" s="7" t="inlineStr">
        <is>
          <t>fixed_unsettled</t>
        </is>
      </c>
      <c r="L423" s="7" t="inlineStr">
        <is>
          <t>BS</t>
        </is>
      </c>
      <c r="M423" s="11" t="n">
        <v>44718</v>
      </c>
      <c r="N423" s="13" t="n">
        <v>0</v>
      </c>
      <c r="O423" s="6" t="n">
        <v>0</v>
      </c>
      <c r="P423" s="13" t="n">
        <v>0</v>
      </c>
      <c r="Q423" s="22" t="n">
        <v>30</v>
      </c>
      <c r="R423" s="6" t="n">
        <v>2</v>
      </c>
      <c r="U423" s="9" t="n">
        <v>0</v>
      </c>
      <c r="V423" s="9" t="n">
        <v>0</v>
      </c>
      <c r="X423" s="9" t="n">
        <v>76.2056</v>
      </c>
      <c r="AK423" s="7" t="inlineStr">
        <is>
          <t>PYTHON_MULTI_FLOW_LEG</t>
        </is>
      </c>
      <c r="AL423" s="8">
        <f>IF($J423="INR",1,IF($M423&lt;$A423,INDEX(Market_Daily!$F$6:$F$256,MATCH($M423,Market_Daily!$A$6:$A$256,1)),IF($M423=$A423,INDEX(Market_Daily!$F$6:$F$256,MATCH($A423,Market_Daily!$A$6:$A$256,0)),(INDEX(Market_Daily!$F$6:$F$256,MATCH($A423,Market_Daily!$A$6:$A$256,0))*(1+INDEX(Market_Daily!$I$6:$I$256,MATCH($A423,Market_Daily!$A$6:$A$256,0))*($M423-$A423)/day_count_inr)/(1+INDEX(Market_Daily!$J$6:$J$256,MATCH($A423,Market_Daily!$A$6:$A$256,0))*($M423-$A423)/day_count_usd)))))</f>
        <v/>
      </c>
      <c r="AM423" s="8">
        <f>IF(OR($J423="INR",$R423&gt;1),"",$AL423-$X423)</f>
        <v/>
      </c>
      <c r="AN423" s="8">
        <f>$U423</f>
        <v/>
      </c>
      <c r="AO423" s="8">
        <f>$V423</f>
        <v/>
      </c>
      <c r="AP423" s="18">
        <f>$AO423-$V423</f>
        <v/>
      </c>
      <c r="AQ423" s="8">
        <f>IF(ABS($AP423)&lt;=tol_trade_inr,"PASS","FAIL")</f>
        <v/>
      </c>
    </row>
    <row r="424">
      <c r="A424" s="11" t="n">
        <v>44672</v>
      </c>
      <c r="B424" s="7" t="inlineStr">
        <is>
          <t>T03</t>
        </is>
      </c>
      <c r="C424" s="7" t="inlineStr">
        <is>
          <t>IGST:L2</t>
        </is>
      </c>
      <c r="D424" s="7" t="inlineStr">
        <is>
          <t>IGST</t>
        </is>
      </c>
      <c r="E424" s="7" t="inlineStr">
        <is>
          <t>physical</t>
        </is>
      </c>
      <c r="F424" s="7" t="inlineStr">
        <is>
          <t>L2</t>
        </is>
      </c>
      <c r="H424" s="7" t="inlineStr">
        <is>
          <t>taint_tabor</t>
        </is>
      </c>
      <c r="I424" s="7" t="inlineStr">
        <is>
          <t>JEA_NSA</t>
        </is>
      </c>
      <c r="J424" s="7" t="inlineStr">
        <is>
          <t>INR</t>
        </is>
      </c>
      <c r="K424" s="7" t="inlineStr">
        <is>
          <t>floating</t>
        </is>
      </c>
      <c r="L424" s="7" t="inlineStr">
        <is>
          <t>BS</t>
        </is>
      </c>
      <c r="M424" s="11" t="n">
        <v>44725</v>
      </c>
      <c r="N424" s="13" t="n">
        <v>0</v>
      </c>
      <c r="O424" s="6" t="n">
        <v>0</v>
      </c>
      <c r="P424" s="13" t="n">
        <v>0</v>
      </c>
      <c r="Q424" s="22" t="n">
        <v>30</v>
      </c>
      <c r="R424" s="6" t="n">
        <v>2</v>
      </c>
      <c r="U424" s="9" t="n">
        <v>0</v>
      </c>
      <c r="V424" s="9" t="n">
        <v>0</v>
      </c>
      <c r="X424" s="9" t="n">
        <v>76.2056</v>
      </c>
      <c r="AK424" s="7" t="inlineStr">
        <is>
          <t>PYTHON_MULTI_FLOW_LEG</t>
        </is>
      </c>
      <c r="AL424" s="8">
        <f>IF($J424="INR",1,IF($M424&lt;$A424,INDEX(Market_Daily!$F$6:$F$256,MATCH($M424,Market_Daily!$A$6:$A$256,1)),IF($M424=$A424,INDEX(Market_Daily!$F$6:$F$256,MATCH($A424,Market_Daily!$A$6:$A$256,0)),(INDEX(Market_Daily!$F$6:$F$256,MATCH($A424,Market_Daily!$A$6:$A$256,0))*(1+INDEX(Market_Daily!$I$6:$I$256,MATCH($A424,Market_Daily!$A$6:$A$256,0))*($M424-$A424)/day_count_inr)/(1+INDEX(Market_Daily!$J$6:$J$256,MATCH($A424,Market_Daily!$A$6:$A$256,0))*($M424-$A424)/day_count_usd)))))</f>
        <v/>
      </c>
      <c r="AM424" s="8">
        <f>IF(OR($J424="INR",$R424&gt;1),"",$AL424-$X424)</f>
        <v/>
      </c>
      <c r="AN424" s="8">
        <f>$U424</f>
        <v/>
      </c>
      <c r="AO424" s="8">
        <f>$V424</f>
        <v/>
      </c>
      <c r="AP424" s="18">
        <f>$AO424-$V424</f>
        <v/>
      </c>
      <c r="AQ424" s="8">
        <f>IF(ABS($AP424)&lt;=tol_trade_inr,"PASS","FAIL")</f>
        <v/>
      </c>
    </row>
    <row r="425">
      <c r="A425" s="11" t="n">
        <v>44672</v>
      </c>
      <c r="B425" s="7" t="inlineStr">
        <is>
          <t>T03</t>
        </is>
      </c>
      <c r="C425" s="7" t="inlineStr">
        <is>
          <t>INSURANCE:L2</t>
        </is>
      </c>
      <c r="D425" s="7" t="inlineStr">
        <is>
          <t>INSURANCE</t>
        </is>
      </c>
      <c r="E425" s="7" t="inlineStr">
        <is>
          <t>physical</t>
        </is>
      </c>
      <c r="F425" s="7" t="inlineStr">
        <is>
          <t>L2</t>
        </is>
      </c>
      <c r="H425" s="7" t="inlineStr">
        <is>
          <t>taint_tabor</t>
        </is>
      </c>
      <c r="I425" s="7" t="inlineStr">
        <is>
          <t>JEA_NSA</t>
        </is>
      </c>
      <c r="J425" s="7" t="inlineStr">
        <is>
          <t>USD</t>
        </is>
      </c>
      <c r="K425" s="7" t="inlineStr">
        <is>
          <t>floating</t>
        </is>
      </c>
      <c r="L425" s="7" t="inlineStr">
        <is>
          <t>PNL</t>
        </is>
      </c>
      <c r="M425" s="11" t="n">
        <v>44673</v>
      </c>
      <c r="N425" s="13" t="n">
        <v>600</v>
      </c>
      <c r="O425" s="6" t="n">
        <v>0</v>
      </c>
      <c r="P425" s="13" t="n">
        <v>0</v>
      </c>
      <c r="Q425" s="22" t="n">
        <v>30</v>
      </c>
      <c r="R425" s="6" t="n">
        <v>1</v>
      </c>
      <c r="U425" s="9" t="n">
        <v>-1630.2</v>
      </c>
      <c r="V425" s="9" t="n">
        <v>-124240.9</v>
      </c>
      <c r="X425" s="9" t="n">
        <v>76.21210000000001</v>
      </c>
      <c r="AK425" s="7" t="inlineStr">
        <is>
          <t>PYTHON_LIFECYCLE</t>
        </is>
      </c>
      <c r="AL425" s="8">
        <f>IF($J425="INR",1,IF($M425&lt;$A425,INDEX(Market_Daily!$F$6:$F$256,MATCH($M425,Market_Daily!$A$6:$A$256,1)),IF($M425=$A425,INDEX(Market_Daily!$F$6:$F$256,MATCH($A425,Market_Daily!$A$6:$A$256,0)),(INDEX(Market_Daily!$F$6:$F$256,MATCH($A425,Market_Daily!$A$6:$A$256,0))*(1+INDEX(Market_Daily!$I$6:$I$256,MATCH($A425,Market_Daily!$A$6:$A$256,0))*($M425-$A425)/day_count_inr)/(1+INDEX(Market_Daily!$J$6:$J$256,MATCH($A425,Market_Daily!$A$6:$A$256,0))*($M425-$A425)/day_count_usd)))))</f>
        <v/>
      </c>
      <c r="AM425" s="8">
        <f>IF(OR($J425="INR",$R425&gt;1),"",$AL425-$X425)</f>
        <v/>
      </c>
      <c r="AN425" s="8">
        <f>$U425</f>
        <v/>
      </c>
      <c r="AO425" s="8">
        <f>$AN425*IF($J425="INR",1,$AL425)</f>
        <v/>
      </c>
      <c r="AP425" s="18">
        <f>$AO425-$V425</f>
        <v/>
      </c>
      <c r="AQ425" s="8">
        <f>IF(ABS($AP425)&lt;=tol_trade_inr,"PASS","FAIL")</f>
        <v/>
      </c>
    </row>
    <row r="426">
      <c r="A426" s="11" t="n">
        <v>44672</v>
      </c>
      <c r="B426" s="7" t="inlineStr">
        <is>
          <t>T03</t>
        </is>
      </c>
      <c r="C426" s="7" t="inlineStr">
        <is>
          <t>INVENTORY:L1</t>
        </is>
      </c>
      <c r="D426" s="7" t="inlineStr">
        <is>
          <t>INVENTORY</t>
        </is>
      </c>
      <c r="E426" s="7" t="inlineStr">
        <is>
          <t>physical</t>
        </is>
      </c>
      <c r="F426" s="7" t="inlineStr">
        <is>
          <t>L1</t>
        </is>
      </c>
      <c r="H426" s="7" t="inlineStr">
        <is>
          <t>taint_tabor</t>
        </is>
      </c>
      <c r="I426" s="7" t="inlineStr">
        <is>
          <t>JEA_NSA</t>
        </is>
      </c>
      <c r="J426" s="7" t="inlineStr">
        <is>
          <t>INR</t>
        </is>
      </c>
      <c r="K426" s="7" t="inlineStr">
        <is>
          <t>fixed_unsettled</t>
        </is>
      </c>
      <c r="L426" s="7" t="inlineStr">
        <is>
          <t>PNL</t>
        </is>
      </c>
      <c r="N426" s="13" t="n">
        <v>600</v>
      </c>
      <c r="O426" s="6" t="n">
        <v>0</v>
      </c>
      <c r="P426" s="13" t="n">
        <v>0</v>
      </c>
      <c r="Q426" s="22" t="n">
        <v>30</v>
      </c>
      <c r="R426" s="6" t="n">
        <v>0</v>
      </c>
      <c r="U426" s="9" t="n">
        <v>117994457.74</v>
      </c>
      <c r="V426" s="9" t="n">
        <v>117994457.74</v>
      </c>
      <c r="W426" s="9" t="n">
        <v>196657.4296</v>
      </c>
      <c r="X426" s="9" t="n">
        <v>76.2056</v>
      </c>
      <c r="Y426" s="8">
        <f>IF($I426="JEA_NSA","20ft","40ft")</f>
        <v/>
      </c>
      <c r="Z426" s="8">
        <f>IF($I426="JEA_NSA","nsa","mun")</f>
        <v/>
      </c>
      <c r="AA426" s="8">
        <f>INDEX(param_values,MATCH("container_payload_mt_"&amp;$Y426,param_keys,0))/INDEX(param_values,MATCH("container_payload_mt_"&amp;$Y426&amp;"_"&amp;$H426,param_keys,0))</f>
        <v/>
      </c>
      <c r="AB426" s="16">
        <f>INDEX(Market_Daily!$C$6:$C$256,MATCH($A426,Market_Daily!$A$6:$A$256,0))*INDEX(Market_Daily!$X$6:$Z$256,MATCH($A426,Market_Daily!$A$6:$A$256,0),MATCH("grade_factor_"&amp;$H426,Market_Daily!$X$5:$Z$5,0))</f>
        <v/>
      </c>
      <c r="AC426" s="16">
        <f>$AB426*(1+insurance_rate*insured_value_uplift)</f>
        <v/>
      </c>
      <c r="AD426" s="8">
        <f>(INDEX(Market_Daily!$F$6:$F$256,MATCH($A426,Market_Daily!$A$6:$A$256,0))*(1+INDEX(Market_Daily!$I$6:$I$256,MATCH($A426,Market_Daily!$A$6:$A$256,0))*$Q426/day_count_inr)/(1+INDEX(Market_Daily!$J$6:$J$256,MATCH($A426,Market_Daily!$A$6:$A$256,0))*$Q426/day_count_usd))</f>
        <v/>
      </c>
      <c r="AE426" s="18">
        <f>$AC426*$AD426</f>
        <v/>
      </c>
      <c r="AF426" s="18">
        <f>$AC426*INDEX(Market_Daily!$V$6:$V$256,MATCH($A426,Market_Daily!$A$6:$A$256,0))</f>
        <v/>
      </c>
      <c r="AG426" s="18">
        <f>$AF426*bcd_scrap_hs7602*(1+sws_rate_on_bcd)</f>
        <v/>
      </c>
      <c r="AH426" s="18">
        <f>INDEX(param_values,MATCH("port_cf_charges_inr_t_"&amp;$Z426,param_keys,0))*$AA426+IF(INDEX(param_values,MATCH(IF($I426="JEA_NSA","psic_required_uae_origin","psic_required_safe_origin_designated_port"),param_keys,0)),psic_cost_usd_per_box*INDEX(Market_Daily!$F$6:$F$256,MATCH($A426,Market_Daily!$A$6:$A$256,0))/INDEX(param_values,MATCH("container_payload_mt_20ft_"&amp;$H426,param_keys,0)),0)</f>
        <v/>
      </c>
      <c r="AI426" s="18">
        <f>IF(igst_itc_available,0,($AF426+$AG426)*igst_rate_hs7602)</f>
        <v/>
      </c>
      <c r="AJ426" s="18">
        <f>$AE426+$AG426+$AH426+$AI426</f>
        <v/>
      </c>
      <c r="AK426" s="7" t="inlineStr">
        <is>
          <t>DERIVED_IN_WORKBOOK</t>
        </is>
      </c>
      <c r="AL426" s="8">
        <f>IF($J426="INR",1,IF($M426&lt;$A426,INDEX(Market_Daily!$F$6:$F$256,MATCH($M426,Market_Daily!$A$6:$A$256,1)),IF($M426=$A426,INDEX(Market_Daily!$F$6:$F$256,MATCH($A426,Market_Daily!$A$6:$A$256,0)),(INDEX(Market_Daily!$F$6:$F$256,MATCH($A426,Market_Daily!$A$6:$A$256,0))*(1+INDEX(Market_Daily!$I$6:$I$256,MATCH($A426,Market_Daily!$A$6:$A$256,0))*($M426-$A426)/day_count_inr)/(1+INDEX(Market_Daily!$J$6:$J$256,MATCH($A426,Market_Daily!$A$6:$A$256,0))*($M426-$A426)/day_count_usd)))))</f>
        <v/>
      </c>
      <c r="AM426" s="8">
        <f>IF(OR($J426="INR",$R426&gt;1),"",$AL426-$X426)</f>
        <v/>
      </c>
      <c r="AN426" s="8">
        <f>$N426*$AJ426</f>
        <v/>
      </c>
      <c r="AO426" s="8">
        <f>$AN426</f>
        <v/>
      </c>
      <c r="AP426" s="18">
        <f>$AO426-$V426</f>
        <v/>
      </c>
      <c r="AQ426" s="8">
        <f>IF(ABS($AP426)&lt;=tol_trade_inr,"PASS","FAIL")</f>
        <v/>
      </c>
    </row>
    <row r="427">
      <c r="A427" s="11" t="n">
        <v>44672</v>
      </c>
      <c r="B427" s="7" t="inlineStr">
        <is>
          <t>T03</t>
        </is>
      </c>
      <c r="C427" s="7" t="inlineStr">
        <is>
          <t>INVENTORY:L2</t>
        </is>
      </c>
      <c r="D427" s="7" t="inlineStr">
        <is>
          <t>INVENTORY</t>
        </is>
      </c>
      <c r="E427" s="7" t="inlineStr">
        <is>
          <t>physical</t>
        </is>
      </c>
      <c r="F427" s="7" t="inlineStr">
        <is>
          <t>L2</t>
        </is>
      </c>
      <c r="H427" s="7" t="inlineStr">
        <is>
          <t>taint_tabor</t>
        </is>
      </c>
      <c r="I427" s="7" t="inlineStr">
        <is>
          <t>JEA_NSA</t>
        </is>
      </c>
      <c r="J427" s="7" t="inlineStr">
        <is>
          <t>INR</t>
        </is>
      </c>
      <c r="K427" s="7" t="inlineStr">
        <is>
          <t>fixed_unsettled</t>
        </is>
      </c>
      <c r="L427" s="7" t="inlineStr">
        <is>
          <t>PNL</t>
        </is>
      </c>
      <c r="N427" s="13" t="n">
        <v>600</v>
      </c>
      <c r="O427" s="6" t="n">
        <v>0</v>
      </c>
      <c r="P427" s="13" t="n">
        <v>0</v>
      </c>
      <c r="Q427" s="22" t="n">
        <v>30</v>
      </c>
      <c r="R427" s="6" t="n">
        <v>0</v>
      </c>
      <c r="U427" s="9" t="n">
        <v>117994457.74</v>
      </c>
      <c r="V427" s="9" t="n">
        <v>117994457.74</v>
      </c>
      <c r="W427" s="9" t="n">
        <v>196657.4296</v>
      </c>
      <c r="X427" s="9" t="n">
        <v>76.2056</v>
      </c>
      <c r="Y427" s="8">
        <f>IF($I427="JEA_NSA","20ft","40ft")</f>
        <v/>
      </c>
      <c r="Z427" s="8">
        <f>IF($I427="JEA_NSA","nsa","mun")</f>
        <v/>
      </c>
      <c r="AA427" s="8">
        <f>INDEX(param_values,MATCH("container_payload_mt_"&amp;$Y427,param_keys,0))/INDEX(param_values,MATCH("container_payload_mt_"&amp;$Y427&amp;"_"&amp;$H427,param_keys,0))</f>
        <v/>
      </c>
      <c r="AB427" s="16">
        <f>INDEX(Market_Daily!$C$6:$C$256,MATCH($A427,Market_Daily!$A$6:$A$256,0))*INDEX(Market_Daily!$X$6:$Z$256,MATCH($A427,Market_Daily!$A$6:$A$256,0),MATCH("grade_factor_"&amp;$H427,Market_Daily!$X$5:$Z$5,0))</f>
        <v/>
      </c>
      <c r="AC427" s="16">
        <f>$AB427*(1+insurance_rate*insured_value_uplift)</f>
        <v/>
      </c>
      <c r="AD427" s="8">
        <f>(INDEX(Market_Daily!$F$6:$F$256,MATCH($A427,Market_Daily!$A$6:$A$256,0))*(1+INDEX(Market_Daily!$I$6:$I$256,MATCH($A427,Market_Daily!$A$6:$A$256,0))*$Q427/day_count_inr)/(1+INDEX(Market_Daily!$J$6:$J$256,MATCH($A427,Market_Daily!$A$6:$A$256,0))*$Q427/day_count_usd))</f>
        <v/>
      </c>
      <c r="AE427" s="18">
        <f>$AC427*$AD427</f>
        <v/>
      </c>
      <c r="AF427" s="18">
        <f>$AC427*INDEX(Market_Daily!$V$6:$V$256,MATCH($A427,Market_Daily!$A$6:$A$256,0))</f>
        <v/>
      </c>
      <c r="AG427" s="18">
        <f>$AF427*bcd_scrap_hs7602*(1+sws_rate_on_bcd)</f>
        <v/>
      </c>
      <c r="AH427" s="18">
        <f>INDEX(param_values,MATCH("port_cf_charges_inr_t_"&amp;$Z427,param_keys,0))*$AA427+IF(INDEX(param_values,MATCH(IF($I427="JEA_NSA","psic_required_uae_origin","psic_required_safe_origin_designated_port"),param_keys,0)),psic_cost_usd_per_box*INDEX(Market_Daily!$F$6:$F$256,MATCH($A427,Market_Daily!$A$6:$A$256,0))/INDEX(param_values,MATCH("container_payload_mt_20ft_"&amp;$H427,param_keys,0)),0)</f>
        <v/>
      </c>
      <c r="AI427" s="18">
        <f>IF(igst_itc_available,0,($AF427+$AG427)*igst_rate_hs7602)</f>
        <v/>
      </c>
      <c r="AJ427" s="18">
        <f>$AE427+$AG427+$AH427+$AI427</f>
        <v/>
      </c>
      <c r="AK427" s="7" t="inlineStr">
        <is>
          <t>DERIVED_IN_WORKBOOK</t>
        </is>
      </c>
      <c r="AL427" s="8">
        <f>IF($J427="INR",1,IF($M427&lt;$A427,INDEX(Market_Daily!$F$6:$F$256,MATCH($M427,Market_Daily!$A$6:$A$256,1)),IF($M427=$A427,INDEX(Market_Daily!$F$6:$F$256,MATCH($A427,Market_Daily!$A$6:$A$256,0)),(INDEX(Market_Daily!$F$6:$F$256,MATCH($A427,Market_Daily!$A$6:$A$256,0))*(1+INDEX(Market_Daily!$I$6:$I$256,MATCH($A427,Market_Daily!$A$6:$A$256,0))*($M427-$A427)/day_count_inr)/(1+INDEX(Market_Daily!$J$6:$J$256,MATCH($A427,Market_Daily!$A$6:$A$256,0))*($M427-$A427)/day_count_usd)))))</f>
        <v/>
      </c>
      <c r="AM427" s="8">
        <f>IF(OR($J427="INR",$R427&gt;1),"",$AL427-$X427)</f>
        <v/>
      </c>
      <c r="AN427" s="8">
        <f>$N427*$AJ427</f>
        <v/>
      </c>
      <c r="AO427" s="8">
        <f>$AN427</f>
        <v/>
      </c>
      <c r="AP427" s="18">
        <f>$AO427-$V427</f>
        <v/>
      </c>
      <c r="AQ427" s="8">
        <f>IF(ABS($AP427)&lt;=tol_trade_inr,"PASS","FAIL")</f>
        <v/>
      </c>
    </row>
    <row r="428">
      <c r="A428" s="11" t="n">
        <v>44672</v>
      </c>
      <c r="B428" s="7" t="inlineStr">
        <is>
          <t>T03</t>
        </is>
      </c>
      <c r="C428" s="7" t="inlineStr">
        <is>
          <t>MCX:T03-MCX-2</t>
        </is>
      </c>
      <c r="D428" s="7" t="inlineStr">
        <is>
          <t>MCX</t>
        </is>
      </c>
      <c r="E428" s="7" t="inlineStr">
        <is>
          <t>mcx</t>
        </is>
      </c>
      <c r="H428" s="7" t="inlineStr">
        <is>
          <t>taint_tabor</t>
        </is>
      </c>
      <c r="I428" s="7" t="inlineStr">
        <is>
          <t>JEA_NSA</t>
        </is>
      </c>
      <c r="J428" s="7" t="inlineStr">
        <is>
          <t>INR</t>
        </is>
      </c>
      <c r="K428" s="7" t="inlineStr">
        <is>
          <t>partially_fixed</t>
        </is>
      </c>
      <c r="L428" s="7" t="inlineStr">
        <is>
          <t>PNL</t>
        </is>
      </c>
      <c r="M428" s="11" t="n">
        <v>44677</v>
      </c>
      <c r="N428" s="13" t="n">
        <v>0</v>
      </c>
      <c r="O428" s="6" t="n">
        <v>-143</v>
      </c>
      <c r="P428" s="13" t="n">
        <v>0</v>
      </c>
      <c r="Q428" s="22" t="n">
        <v>30</v>
      </c>
      <c r="R428" s="6" t="n">
        <v>5</v>
      </c>
      <c r="U428" s="9" t="n">
        <v>0</v>
      </c>
      <c r="V428" s="9" t="n">
        <v>0</v>
      </c>
      <c r="X428" s="9" t="n">
        <v>76.2056</v>
      </c>
      <c r="AK428" s="7" t="inlineStr">
        <is>
          <t>PYTHON_MULTI_FLOW_LEG</t>
        </is>
      </c>
      <c r="AL428" s="8">
        <f>IF($J428="INR",1,IF($M428&lt;$A428,INDEX(Market_Daily!$F$6:$F$256,MATCH($M428,Market_Daily!$A$6:$A$256,1)),IF($M428=$A428,INDEX(Market_Daily!$F$6:$F$256,MATCH($A428,Market_Daily!$A$6:$A$256,0)),(INDEX(Market_Daily!$F$6:$F$256,MATCH($A428,Market_Daily!$A$6:$A$256,0))*(1+INDEX(Market_Daily!$I$6:$I$256,MATCH($A428,Market_Daily!$A$6:$A$256,0))*($M428-$A428)/day_count_inr)/(1+INDEX(Market_Daily!$J$6:$J$256,MATCH($A428,Market_Daily!$A$6:$A$256,0))*($M428-$A428)/day_count_usd)))))</f>
        <v/>
      </c>
      <c r="AM428" s="8">
        <f>IF(OR($J428="INR",$R428&gt;1),"",$AL428-$X428)</f>
        <v/>
      </c>
      <c r="AN428" s="8">
        <f>$U428</f>
        <v/>
      </c>
      <c r="AO428" s="8">
        <f>$V428</f>
        <v/>
      </c>
      <c r="AP428" s="18">
        <f>$AO428-$V428</f>
        <v/>
      </c>
      <c r="AQ428" s="8">
        <f>IF(ABS($AP428)&lt;=tol_trade_inr,"PASS","FAIL")</f>
        <v/>
      </c>
    </row>
    <row r="429">
      <c r="A429" s="11" t="n">
        <v>44672</v>
      </c>
      <c r="B429" s="7" t="inlineStr">
        <is>
          <t>T03</t>
        </is>
      </c>
      <c r="C429" s="7" t="inlineStr">
        <is>
          <t>PORT:L1</t>
        </is>
      </c>
      <c r="D429" s="7" t="inlineStr">
        <is>
          <t>PORT</t>
        </is>
      </c>
      <c r="E429" s="7" t="inlineStr">
        <is>
          <t>physical</t>
        </is>
      </c>
      <c r="F429" s="7" t="inlineStr">
        <is>
          <t>L1</t>
        </is>
      </c>
      <c r="H429" s="7" t="inlineStr">
        <is>
          <t>taint_tabor</t>
        </is>
      </c>
      <c r="I429" s="7" t="inlineStr">
        <is>
          <t>JEA_NSA</t>
        </is>
      </c>
      <c r="J429" s="7" t="inlineStr">
        <is>
          <t>INR</t>
        </is>
      </c>
      <c r="K429" s="7" t="inlineStr">
        <is>
          <t>fixed_unsettled</t>
        </is>
      </c>
      <c r="L429" s="7" t="inlineStr">
        <is>
          <t>PNL</t>
        </is>
      </c>
      <c r="M429" s="11" t="n">
        <v>44679</v>
      </c>
      <c r="N429" s="13" t="n">
        <v>0</v>
      </c>
      <c r="O429" s="6" t="n">
        <v>0</v>
      </c>
      <c r="P429" s="13" t="n">
        <v>0</v>
      </c>
      <c r="Q429" s="22" t="n">
        <v>30</v>
      </c>
      <c r="R429" s="6" t="n">
        <v>1</v>
      </c>
      <c r="U429" s="9" t="n">
        <v>-1200000</v>
      </c>
      <c r="V429" s="9" t="n">
        <v>-1200000</v>
      </c>
      <c r="X429" s="9" t="n">
        <v>76.2056</v>
      </c>
      <c r="AK429" s="7" t="inlineStr">
        <is>
          <t>PYTHON_LIFECYCLE</t>
        </is>
      </c>
      <c r="AL429" s="8">
        <f>IF($J429="INR",1,IF($M429&lt;$A429,INDEX(Market_Daily!$F$6:$F$256,MATCH($M429,Market_Daily!$A$6:$A$256,1)),IF($M429=$A429,INDEX(Market_Daily!$F$6:$F$256,MATCH($A429,Market_Daily!$A$6:$A$256,0)),(INDEX(Market_Daily!$F$6:$F$256,MATCH($A429,Market_Daily!$A$6:$A$256,0))*(1+INDEX(Market_Daily!$I$6:$I$256,MATCH($A429,Market_Daily!$A$6:$A$256,0))*($M429-$A429)/day_count_inr)/(1+INDEX(Market_Daily!$J$6:$J$256,MATCH($A429,Market_Daily!$A$6:$A$256,0))*($M429-$A429)/day_count_usd)))))</f>
        <v/>
      </c>
      <c r="AM429" s="8">
        <f>IF(OR($J429="INR",$R429&gt;1),"",$AL429-$X429)</f>
        <v/>
      </c>
      <c r="AN429" s="8">
        <f>$U429</f>
        <v/>
      </c>
      <c r="AO429" s="8">
        <f>$AN429*IF($J429="INR",1,$AL429)</f>
        <v/>
      </c>
      <c r="AP429" s="18">
        <f>$AO429-$V429</f>
        <v/>
      </c>
      <c r="AQ429" s="8">
        <f>IF(ABS($AP429)&lt;=tol_trade_inr,"PASS","FAIL")</f>
        <v/>
      </c>
    </row>
    <row r="430">
      <c r="A430" s="11" t="n">
        <v>44672</v>
      </c>
      <c r="B430" s="7" t="inlineStr">
        <is>
          <t>T03</t>
        </is>
      </c>
      <c r="C430" s="7" t="inlineStr">
        <is>
          <t>PORT:L2</t>
        </is>
      </c>
      <c r="D430" s="7" t="inlineStr">
        <is>
          <t>PORT</t>
        </is>
      </c>
      <c r="E430" s="7" t="inlineStr">
        <is>
          <t>physical</t>
        </is>
      </c>
      <c r="F430" s="7" t="inlineStr">
        <is>
          <t>L2</t>
        </is>
      </c>
      <c r="H430" s="7" t="inlineStr">
        <is>
          <t>taint_tabor</t>
        </is>
      </c>
      <c r="I430" s="7" t="inlineStr">
        <is>
          <t>JEA_NSA</t>
        </is>
      </c>
      <c r="J430" s="7" t="inlineStr">
        <is>
          <t>INR</t>
        </is>
      </c>
      <c r="K430" s="7" t="inlineStr">
        <is>
          <t>fixed_unsettled</t>
        </is>
      </c>
      <c r="L430" s="7" t="inlineStr">
        <is>
          <t>PNL</t>
        </is>
      </c>
      <c r="M430" s="11" t="n">
        <v>44690</v>
      </c>
      <c r="N430" s="13" t="n">
        <v>0</v>
      </c>
      <c r="O430" s="6" t="n">
        <v>0</v>
      </c>
      <c r="P430" s="13" t="n">
        <v>0</v>
      </c>
      <c r="Q430" s="22" t="n">
        <v>30</v>
      </c>
      <c r="R430" s="6" t="n">
        <v>1</v>
      </c>
      <c r="U430" s="9" t="n">
        <v>-1200000</v>
      </c>
      <c r="V430" s="9" t="n">
        <v>-1200000</v>
      </c>
      <c r="X430" s="9" t="n">
        <v>76.2056</v>
      </c>
      <c r="AK430" s="7" t="inlineStr">
        <is>
          <t>PYTHON_LIFECYCLE</t>
        </is>
      </c>
      <c r="AL430" s="8">
        <f>IF($J430="INR",1,IF($M430&lt;$A430,INDEX(Market_Daily!$F$6:$F$256,MATCH($M430,Market_Daily!$A$6:$A$256,1)),IF($M430=$A430,INDEX(Market_Daily!$F$6:$F$256,MATCH($A430,Market_Daily!$A$6:$A$256,0)),(INDEX(Market_Daily!$F$6:$F$256,MATCH($A430,Market_Daily!$A$6:$A$256,0))*(1+INDEX(Market_Daily!$I$6:$I$256,MATCH($A430,Market_Daily!$A$6:$A$256,0))*($M430-$A430)/day_count_inr)/(1+INDEX(Market_Daily!$J$6:$J$256,MATCH($A430,Market_Daily!$A$6:$A$256,0))*($M430-$A430)/day_count_usd)))))</f>
        <v/>
      </c>
      <c r="AM430" s="8">
        <f>IF(OR($J430="INR",$R430&gt;1),"",$AL430-$X430)</f>
        <v/>
      </c>
      <c r="AN430" s="8">
        <f>$U430</f>
        <v/>
      </c>
      <c r="AO430" s="8">
        <f>$AN430*IF($J430="INR",1,$AL430)</f>
        <v/>
      </c>
      <c r="AP430" s="18">
        <f>$AO430-$V430</f>
        <v/>
      </c>
      <c r="AQ430" s="8">
        <f>IF(ABS($AP430)&lt;=tol_trade_inr,"PASS","FAIL")</f>
        <v/>
      </c>
    </row>
    <row r="431">
      <c r="A431" s="11" t="n">
        <v>44672</v>
      </c>
      <c r="B431" s="7" t="inlineStr">
        <is>
          <t>T03</t>
        </is>
      </c>
      <c r="C431" s="7" t="inlineStr">
        <is>
          <t>PSIC:L2</t>
        </is>
      </c>
      <c r="D431" s="7" t="inlineStr">
        <is>
          <t>PSIC</t>
        </is>
      </c>
      <c r="E431" s="7" t="inlineStr">
        <is>
          <t>physical</t>
        </is>
      </c>
      <c r="F431" s="7" t="inlineStr">
        <is>
          <t>L2</t>
        </is>
      </c>
      <c r="H431" s="7" t="inlineStr">
        <is>
          <t>taint_tabor</t>
        </is>
      </c>
      <c r="I431" s="7" t="inlineStr">
        <is>
          <t>JEA_NSA</t>
        </is>
      </c>
      <c r="J431" s="7" t="inlineStr">
        <is>
          <t>USD</t>
        </is>
      </c>
      <c r="K431" s="7" t="inlineStr">
        <is>
          <t>floating</t>
        </is>
      </c>
      <c r="L431" s="7" t="inlineStr">
        <is>
          <t>PNL</t>
        </is>
      </c>
      <c r="M431" s="11" t="n">
        <v>44673</v>
      </c>
      <c r="N431" s="13" t="n">
        <v>0</v>
      </c>
      <c r="O431" s="6" t="n">
        <v>0</v>
      </c>
      <c r="P431" s="13" t="n">
        <v>0</v>
      </c>
      <c r="Q431" s="22" t="n">
        <v>30</v>
      </c>
      <c r="R431" s="6" t="n">
        <v>1</v>
      </c>
      <c r="U431" s="9" t="n">
        <v>-1200</v>
      </c>
      <c r="V431" s="9" t="n">
        <v>-91454.48</v>
      </c>
      <c r="X431" s="9" t="n">
        <v>76.21210000000001</v>
      </c>
      <c r="AK431" s="7" t="inlineStr">
        <is>
          <t>PYTHON_LIFECYCLE</t>
        </is>
      </c>
      <c r="AL431" s="8">
        <f>IF($J431="INR",1,IF($M431&lt;$A431,INDEX(Market_Daily!$F$6:$F$256,MATCH($M431,Market_Daily!$A$6:$A$256,1)),IF($M431=$A431,INDEX(Market_Daily!$F$6:$F$256,MATCH($A431,Market_Daily!$A$6:$A$256,0)),(INDEX(Market_Daily!$F$6:$F$256,MATCH($A431,Market_Daily!$A$6:$A$256,0))*(1+INDEX(Market_Daily!$I$6:$I$256,MATCH($A431,Market_Daily!$A$6:$A$256,0))*($M431-$A431)/day_count_inr)/(1+INDEX(Market_Daily!$J$6:$J$256,MATCH($A431,Market_Daily!$A$6:$A$256,0))*($M431-$A431)/day_count_usd)))))</f>
        <v/>
      </c>
      <c r="AM431" s="8">
        <f>IF(OR($J431="INR",$R431&gt;1),"",$AL431-$X431)</f>
        <v/>
      </c>
      <c r="AN431" s="8">
        <f>$U431</f>
        <v/>
      </c>
      <c r="AO431" s="8">
        <f>$AN431*IF($J431="INR",1,$AL431)</f>
        <v/>
      </c>
      <c r="AP431" s="18">
        <f>$AO431-$V431</f>
        <v/>
      </c>
      <c r="AQ431" s="8">
        <f>IF(ABS($AP431)&lt;=tol_trade_inr,"PASS","FAIL")</f>
        <v/>
      </c>
    </row>
    <row r="432">
      <c r="A432" s="11" t="n">
        <v>44672</v>
      </c>
      <c r="B432" s="7" t="inlineStr">
        <is>
          <t>T03</t>
        </is>
      </c>
      <c r="C432" s="7" t="inlineStr">
        <is>
          <t>PURCHASE:L2</t>
        </is>
      </c>
      <c r="D432" s="7" t="inlineStr">
        <is>
          <t>PURCHASE</t>
        </is>
      </c>
      <c r="E432" s="7" t="inlineStr">
        <is>
          <t>physical</t>
        </is>
      </c>
      <c r="F432" s="7" t="inlineStr">
        <is>
          <t>L2</t>
        </is>
      </c>
      <c r="G432" s="7" t="inlineStr">
        <is>
          <t>SUP_JEA_01</t>
        </is>
      </c>
      <c r="H432" s="7" t="inlineStr">
        <is>
          <t>taint_tabor</t>
        </is>
      </c>
      <c r="I432" s="7" t="inlineStr">
        <is>
          <t>JEA_NSA</t>
        </is>
      </c>
      <c r="J432" s="7" t="inlineStr">
        <is>
          <t>USD</t>
        </is>
      </c>
      <c r="K432" s="7" t="inlineStr">
        <is>
          <t>fixed_unsettled</t>
        </is>
      </c>
      <c r="L432" s="7" t="inlineStr">
        <is>
          <t>PNL</t>
        </is>
      </c>
      <c r="M432" s="11" t="n">
        <v>44680</v>
      </c>
      <c r="N432" s="13" t="n">
        <v>600</v>
      </c>
      <c r="O432" s="6" t="n">
        <v>0</v>
      </c>
      <c r="P432" s="13" t="n">
        <v>0</v>
      </c>
      <c r="Q432" s="22" t="n">
        <v>30</v>
      </c>
      <c r="R432" s="6" t="n">
        <v>1</v>
      </c>
      <c r="U432" s="9" t="n">
        <v>-1482000</v>
      </c>
      <c r="V432" s="9" t="n">
        <v>-113013309.7</v>
      </c>
      <c r="X432" s="9" t="n">
        <v>76.2573</v>
      </c>
      <c r="AK432" s="7" t="inlineStr">
        <is>
          <t>PYTHON_LIFECYCLE</t>
        </is>
      </c>
      <c r="AL432" s="8">
        <f>IF($J432="INR",1,IF($M432&lt;$A432,INDEX(Market_Daily!$F$6:$F$256,MATCH($M432,Market_Daily!$A$6:$A$256,1)),IF($M432=$A432,INDEX(Market_Daily!$F$6:$F$256,MATCH($A432,Market_Daily!$A$6:$A$256,0)),(INDEX(Market_Daily!$F$6:$F$256,MATCH($A432,Market_Daily!$A$6:$A$256,0))*(1+INDEX(Market_Daily!$I$6:$I$256,MATCH($A432,Market_Daily!$A$6:$A$256,0))*($M432-$A432)/day_count_inr)/(1+INDEX(Market_Daily!$J$6:$J$256,MATCH($A432,Market_Daily!$A$6:$A$256,0))*($M432-$A432)/day_count_usd)))))</f>
        <v/>
      </c>
      <c r="AM432" s="8">
        <f>IF(OR($J432="INR",$R432&gt;1),"",$AL432-$X432)</f>
        <v/>
      </c>
      <c r="AN432" s="8">
        <f>$U432</f>
        <v/>
      </c>
      <c r="AO432" s="8">
        <f>$AN432*IF($J432="INR",1,$AL432)</f>
        <v/>
      </c>
      <c r="AP432" s="18">
        <f>$AO432-$V432</f>
        <v/>
      </c>
      <c r="AQ432" s="8">
        <f>IF(ABS($AP432)&lt;=tol_trade_inr,"PASS","FAIL")</f>
        <v/>
      </c>
    </row>
    <row r="433">
      <c r="A433" s="11" t="n">
        <v>44672</v>
      </c>
      <c r="B433" s="7" t="inlineStr">
        <is>
          <t>T04</t>
        </is>
      </c>
      <c r="C433" s="7" t="inlineStr">
        <is>
          <t>BILL_COMMISSION:L1</t>
        </is>
      </c>
      <c r="D433" s="7" t="inlineStr">
        <is>
          <t>BILL_COMMISSION</t>
        </is>
      </c>
      <c r="E433" s="7" t="inlineStr">
        <is>
          <t>physical</t>
        </is>
      </c>
      <c r="F433" s="7" t="inlineStr">
        <is>
          <t>L1</t>
        </is>
      </c>
      <c r="H433" s="7" t="inlineStr">
        <is>
          <t>taint_tabor</t>
        </is>
      </c>
      <c r="I433" s="7" t="inlineStr">
        <is>
          <t>USEC_MUN</t>
        </is>
      </c>
      <c r="J433" s="7" t="inlineStr">
        <is>
          <t>USD</t>
        </is>
      </c>
      <c r="K433" s="7" t="inlineStr">
        <is>
          <t>floating</t>
        </is>
      </c>
      <c r="L433" s="7" t="inlineStr">
        <is>
          <t>PNL</t>
        </is>
      </c>
      <c r="M433" s="11" t="n">
        <v>44685</v>
      </c>
      <c r="N433" s="13" t="n">
        <v>0</v>
      </c>
      <c r="O433" s="6" t="n">
        <v>0</v>
      </c>
      <c r="P433" s="13" t="n">
        <v>0</v>
      </c>
      <c r="Q433" s="22" t="n">
        <v>30</v>
      </c>
      <c r="R433" s="6" t="n">
        <v>1</v>
      </c>
      <c r="U433" s="9" t="n">
        <v>-1821.96</v>
      </c>
      <c r="V433" s="9" t="n">
        <v>-138996.59</v>
      </c>
      <c r="X433" s="9" t="n">
        <v>76.28959999999999</v>
      </c>
      <c r="AK433" s="7" t="inlineStr">
        <is>
          <t>PYTHON_LIFECYCLE</t>
        </is>
      </c>
      <c r="AL433" s="8">
        <f>IF($J433="INR",1,IF($M433&lt;$A433,INDEX(Market_Daily!$F$6:$F$256,MATCH($M433,Market_Daily!$A$6:$A$256,1)),IF($M433=$A433,INDEX(Market_Daily!$F$6:$F$256,MATCH($A433,Market_Daily!$A$6:$A$256,0)),(INDEX(Market_Daily!$F$6:$F$256,MATCH($A433,Market_Daily!$A$6:$A$256,0))*(1+INDEX(Market_Daily!$I$6:$I$256,MATCH($A433,Market_Daily!$A$6:$A$256,0))*($M433-$A433)/day_count_inr)/(1+INDEX(Market_Daily!$J$6:$J$256,MATCH($A433,Market_Daily!$A$6:$A$256,0))*($M433-$A433)/day_count_usd)))))</f>
        <v/>
      </c>
      <c r="AM433" s="8">
        <f>IF(OR($J433="INR",$R433&gt;1),"",$AL433-$X433)</f>
        <v/>
      </c>
      <c r="AN433" s="8">
        <f>$U433</f>
        <v/>
      </c>
      <c r="AO433" s="8">
        <f>$AN433*IF($J433="INR",1,$AL433)</f>
        <v/>
      </c>
      <c r="AP433" s="18">
        <f>$AO433-$V433</f>
        <v/>
      </c>
      <c r="AQ433" s="8">
        <f>IF(ABS($AP433)&lt;=tol_trade_inr,"PASS","FAIL")</f>
        <v/>
      </c>
    </row>
    <row r="434">
      <c r="A434" s="11" t="n">
        <v>44672</v>
      </c>
      <c r="B434" s="7" t="inlineStr">
        <is>
          <t>T04</t>
        </is>
      </c>
      <c r="C434" s="7" t="inlineStr">
        <is>
          <t>BILL_COMMISSION:L2</t>
        </is>
      </c>
      <c r="D434" s="7" t="inlineStr">
        <is>
          <t>BILL_COMMISSION</t>
        </is>
      </c>
      <c r="E434" s="7" t="inlineStr">
        <is>
          <t>physical</t>
        </is>
      </c>
      <c r="F434" s="7" t="inlineStr">
        <is>
          <t>L2</t>
        </is>
      </c>
      <c r="H434" s="7" t="inlineStr">
        <is>
          <t>taint_tabor</t>
        </is>
      </c>
      <c r="I434" s="7" t="inlineStr">
        <is>
          <t>USEC_MUN</t>
        </is>
      </c>
      <c r="J434" s="7" t="inlineStr">
        <is>
          <t>USD</t>
        </is>
      </c>
      <c r="K434" s="7" t="inlineStr">
        <is>
          <t>floating</t>
        </is>
      </c>
      <c r="L434" s="7" t="inlineStr">
        <is>
          <t>PNL</t>
        </is>
      </c>
      <c r="M434" s="11" t="n">
        <v>44692</v>
      </c>
      <c r="N434" s="13" t="n">
        <v>0</v>
      </c>
      <c r="O434" s="6" t="n">
        <v>0</v>
      </c>
      <c r="P434" s="13" t="n">
        <v>0</v>
      </c>
      <c r="Q434" s="22" t="n">
        <v>30</v>
      </c>
      <c r="R434" s="6" t="n">
        <v>1</v>
      </c>
      <c r="U434" s="9" t="n">
        <v>-1821.96</v>
      </c>
      <c r="V434" s="9" t="n">
        <v>-139078.95</v>
      </c>
      <c r="X434" s="9" t="n">
        <v>76.3348</v>
      </c>
      <c r="AK434" s="7" t="inlineStr">
        <is>
          <t>PYTHON_LIFECYCLE</t>
        </is>
      </c>
      <c r="AL434" s="8">
        <f>IF($J434="INR",1,IF($M434&lt;$A434,INDEX(Market_Daily!$F$6:$F$256,MATCH($M434,Market_Daily!$A$6:$A$256,1)),IF($M434=$A434,INDEX(Market_Daily!$F$6:$F$256,MATCH($A434,Market_Daily!$A$6:$A$256,0)),(INDEX(Market_Daily!$F$6:$F$256,MATCH($A434,Market_Daily!$A$6:$A$256,0))*(1+INDEX(Market_Daily!$I$6:$I$256,MATCH($A434,Market_Daily!$A$6:$A$256,0))*($M434-$A434)/day_count_inr)/(1+INDEX(Market_Daily!$J$6:$J$256,MATCH($A434,Market_Daily!$A$6:$A$256,0))*($M434-$A434)/day_count_usd)))))</f>
        <v/>
      </c>
      <c r="AM434" s="8">
        <f>IF(OR($J434="INR",$R434&gt;1),"",$AL434-$X434)</f>
        <v/>
      </c>
      <c r="AN434" s="8">
        <f>$U434</f>
        <v/>
      </c>
      <c r="AO434" s="8">
        <f>$AN434*IF($J434="INR",1,$AL434)</f>
        <v/>
      </c>
      <c r="AP434" s="18">
        <f>$AO434-$V434</f>
        <v/>
      </c>
      <c r="AQ434" s="8">
        <f>IF(ABS($AP434)&lt;=tol_trade_inr,"PASS","FAIL")</f>
        <v/>
      </c>
    </row>
    <row r="435">
      <c r="A435" s="11" t="n">
        <v>44672</v>
      </c>
      <c r="B435" s="7" t="inlineStr">
        <is>
          <t>T04</t>
        </is>
      </c>
      <c r="C435" s="7" t="inlineStr">
        <is>
          <t>DUTY:L1</t>
        </is>
      </c>
      <c r="D435" s="7" t="inlineStr">
        <is>
          <t>DUTY</t>
        </is>
      </c>
      <c r="E435" s="7" t="inlineStr">
        <is>
          <t>physical</t>
        </is>
      </c>
      <c r="F435" s="7" t="inlineStr">
        <is>
          <t>L1</t>
        </is>
      </c>
      <c r="H435" s="7" t="inlineStr">
        <is>
          <t>taint_tabor</t>
        </is>
      </c>
      <c r="I435" s="7" t="inlineStr">
        <is>
          <t>USEC_MUN</t>
        </is>
      </c>
      <c r="J435" s="7" t="inlineStr">
        <is>
          <t>INR</t>
        </is>
      </c>
      <c r="K435" s="7" t="inlineStr">
        <is>
          <t>floating</t>
        </is>
      </c>
      <c r="L435" s="7" t="inlineStr">
        <is>
          <t>PNL</t>
        </is>
      </c>
      <c r="M435" s="11" t="n">
        <v>44719</v>
      </c>
      <c r="N435" s="13" t="n">
        <v>630</v>
      </c>
      <c r="O435" s="6" t="n">
        <v>0</v>
      </c>
      <c r="P435" s="13" t="n">
        <v>0</v>
      </c>
      <c r="Q435" s="22" t="n">
        <v>30</v>
      </c>
      <c r="R435" s="6" t="n">
        <v>1</v>
      </c>
      <c r="U435" s="9" t="n">
        <v>-3337353.46</v>
      </c>
      <c r="V435" s="9" t="n">
        <v>-3337353.46</v>
      </c>
      <c r="X435" s="9" t="n">
        <v>76.2056</v>
      </c>
      <c r="AK435" s="7" t="inlineStr">
        <is>
          <t>PYTHON_LIFECYCLE</t>
        </is>
      </c>
      <c r="AL435" s="8">
        <f>IF($J435="INR",1,IF($M435&lt;$A435,INDEX(Market_Daily!$F$6:$F$256,MATCH($M435,Market_Daily!$A$6:$A$256,1)),IF($M435=$A435,INDEX(Market_Daily!$F$6:$F$256,MATCH($A435,Market_Daily!$A$6:$A$256,0)),(INDEX(Market_Daily!$F$6:$F$256,MATCH($A435,Market_Daily!$A$6:$A$256,0))*(1+INDEX(Market_Daily!$I$6:$I$256,MATCH($A435,Market_Daily!$A$6:$A$256,0))*($M435-$A435)/day_count_inr)/(1+INDEX(Market_Daily!$J$6:$J$256,MATCH($A435,Market_Daily!$A$6:$A$256,0))*($M435-$A435)/day_count_usd)))))</f>
        <v/>
      </c>
      <c r="AM435" s="8">
        <f>IF(OR($J435="INR",$R435&gt;1),"",$AL435-$X435)</f>
        <v/>
      </c>
      <c r="AN435" s="8">
        <f>$U435</f>
        <v/>
      </c>
      <c r="AO435" s="8">
        <f>$AN435*IF($J435="INR",1,$AL435)</f>
        <v/>
      </c>
      <c r="AP435" s="18">
        <f>$AO435-$V435</f>
        <v/>
      </c>
      <c r="AQ435" s="8">
        <f>IF(ABS($AP435)&lt;=tol_trade_inr,"PASS","FAIL")</f>
        <v/>
      </c>
    </row>
    <row r="436">
      <c r="A436" s="11" t="n">
        <v>44672</v>
      </c>
      <c r="B436" s="7" t="inlineStr">
        <is>
          <t>T04</t>
        </is>
      </c>
      <c r="C436" s="7" t="inlineStr">
        <is>
          <t>DUTY:L2</t>
        </is>
      </c>
      <c r="D436" s="7" t="inlineStr">
        <is>
          <t>DUTY</t>
        </is>
      </c>
      <c r="E436" s="7" t="inlineStr">
        <is>
          <t>physical</t>
        </is>
      </c>
      <c r="F436" s="7" t="inlineStr">
        <is>
          <t>L2</t>
        </is>
      </c>
      <c r="H436" s="7" t="inlineStr">
        <is>
          <t>taint_tabor</t>
        </is>
      </c>
      <c r="I436" s="7" t="inlineStr">
        <is>
          <t>USEC_MUN</t>
        </is>
      </c>
      <c r="J436" s="7" t="inlineStr">
        <is>
          <t>INR</t>
        </is>
      </c>
      <c r="K436" s="7" t="inlineStr">
        <is>
          <t>floating</t>
        </is>
      </c>
      <c r="L436" s="7" t="inlineStr">
        <is>
          <t>PNL</t>
        </is>
      </c>
      <c r="M436" s="11" t="n">
        <v>44726</v>
      </c>
      <c r="N436" s="13" t="n">
        <v>630</v>
      </c>
      <c r="O436" s="6" t="n">
        <v>0</v>
      </c>
      <c r="P436" s="13" t="n">
        <v>0</v>
      </c>
      <c r="Q436" s="22" t="n">
        <v>30</v>
      </c>
      <c r="R436" s="6" t="n">
        <v>1</v>
      </c>
      <c r="U436" s="9" t="n">
        <v>-3337353.46</v>
      </c>
      <c r="V436" s="9" t="n">
        <v>-3337353.46</v>
      </c>
      <c r="X436" s="9" t="n">
        <v>76.2056</v>
      </c>
      <c r="AK436" s="7" t="inlineStr">
        <is>
          <t>PYTHON_LIFECYCLE</t>
        </is>
      </c>
      <c r="AL436" s="8">
        <f>IF($J436="INR",1,IF($M436&lt;$A436,INDEX(Market_Daily!$F$6:$F$256,MATCH($M436,Market_Daily!$A$6:$A$256,1)),IF($M436=$A436,INDEX(Market_Daily!$F$6:$F$256,MATCH($A436,Market_Daily!$A$6:$A$256,0)),(INDEX(Market_Daily!$F$6:$F$256,MATCH($A436,Market_Daily!$A$6:$A$256,0))*(1+INDEX(Market_Daily!$I$6:$I$256,MATCH($A436,Market_Daily!$A$6:$A$256,0))*($M436-$A436)/day_count_inr)/(1+INDEX(Market_Daily!$J$6:$J$256,MATCH($A436,Market_Daily!$A$6:$A$256,0))*($M436-$A436)/day_count_usd)))))</f>
        <v/>
      </c>
      <c r="AM436" s="8">
        <f>IF(OR($J436="INR",$R436&gt;1),"",$AL436-$X436)</f>
        <v/>
      </c>
      <c r="AN436" s="8">
        <f>$U436</f>
        <v/>
      </c>
      <c r="AO436" s="8">
        <f>$AN436*IF($J436="INR",1,$AL436)</f>
        <v/>
      </c>
      <c r="AP436" s="18">
        <f>$AO436-$V436</f>
        <v/>
      </c>
      <c r="AQ436" s="8">
        <f>IF(ABS($AP436)&lt;=tol_trade_inr,"PASS","FAIL")</f>
        <v/>
      </c>
    </row>
    <row r="437">
      <c r="A437" s="11" t="n">
        <v>44672</v>
      </c>
      <c r="B437" s="7" t="inlineStr">
        <is>
          <t>T04</t>
        </is>
      </c>
      <c r="C437" s="7" t="inlineStr">
        <is>
          <t>FREIGHT:L1</t>
        </is>
      </c>
      <c r="D437" s="7" t="inlineStr">
        <is>
          <t>FREIGHT</t>
        </is>
      </c>
      <c r="E437" s="7" t="inlineStr">
        <is>
          <t>physical</t>
        </is>
      </c>
      <c r="F437" s="7" t="inlineStr">
        <is>
          <t>L1</t>
        </is>
      </c>
      <c r="G437" s="7" t="inlineStr">
        <is>
          <t>Konkan Freight Services (SIM)</t>
        </is>
      </c>
      <c r="H437" s="7" t="inlineStr">
        <is>
          <t>taint_tabor</t>
        </is>
      </c>
      <c r="I437" s="7" t="inlineStr">
        <is>
          <t>USEC_MUN</t>
        </is>
      </c>
      <c r="J437" s="7" t="inlineStr">
        <is>
          <t>USD</t>
        </is>
      </c>
      <c r="K437" s="7" t="inlineStr">
        <is>
          <t>fixed_unsettled</t>
        </is>
      </c>
      <c r="L437" s="7" t="inlineStr">
        <is>
          <t>PNL</t>
        </is>
      </c>
      <c r="M437" s="11" t="n">
        <v>44678</v>
      </c>
      <c r="N437" s="13" t="n">
        <v>630</v>
      </c>
      <c r="O437" s="6" t="n">
        <v>0</v>
      </c>
      <c r="P437" s="13" t="n">
        <v>0</v>
      </c>
      <c r="Q437" s="22" t="n">
        <v>30</v>
      </c>
      <c r="R437" s="6" t="n">
        <v>1</v>
      </c>
      <c r="U437" s="9" t="n">
        <v>-60150</v>
      </c>
      <c r="V437" s="9" t="n">
        <v>-4586098.99</v>
      </c>
      <c r="X437" s="9" t="n">
        <v>76.2444</v>
      </c>
      <c r="AK437" s="7" t="inlineStr">
        <is>
          <t>PYTHON_LIFECYCLE</t>
        </is>
      </c>
      <c r="AL437" s="8">
        <f>IF($J437="INR",1,IF($M437&lt;$A437,INDEX(Market_Daily!$F$6:$F$256,MATCH($M437,Market_Daily!$A$6:$A$256,1)),IF($M437=$A437,INDEX(Market_Daily!$F$6:$F$256,MATCH($A437,Market_Daily!$A$6:$A$256,0)),(INDEX(Market_Daily!$F$6:$F$256,MATCH($A437,Market_Daily!$A$6:$A$256,0))*(1+INDEX(Market_Daily!$I$6:$I$256,MATCH($A437,Market_Daily!$A$6:$A$256,0))*($M437-$A437)/day_count_inr)/(1+INDEX(Market_Daily!$J$6:$J$256,MATCH($A437,Market_Daily!$A$6:$A$256,0))*($M437-$A437)/day_count_usd)))))</f>
        <v/>
      </c>
      <c r="AM437" s="8">
        <f>IF(OR($J437="INR",$R437&gt;1),"",$AL437-$X437)</f>
        <v/>
      </c>
      <c r="AN437" s="8">
        <f>$U437</f>
        <v/>
      </c>
      <c r="AO437" s="8">
        <f>$AN437*IF($J437="INR",1,$AL437)</f>
        <v/>
      </c>
      <c r="AP437" s="18">
        <f>$AO437-$V437</f>
        <v/>
      </c>
      <c r="AQ437" s="8">
        <f>IF(ABS($AP437)&lt;=tol_trade_inr,"PASS","FAIL")</f>
        <v/>
      </c>
    </row>
    <row r="438">
      <c r="A438" s="11" t="n">
        <v>44672</v>
      </c>
      <c r="B438" s="7" t="inlineStr">
        <is>
          <t>T04</t>
        </is>
      </c>
      <c r="C438" s="7" t="inlineStr">
        <is>
          <t>FREIGHT:L2</t>
        </is>
      </c>
      <c r="D438" s="7" t="inlineStr">
        <is>
          <t>FREIGHT</t>
        </is>
      </c>
      <c r="E438" s="7" t="inlineStr">
        <is>
          <t>physical</t>
        </is>
      </c>
      <c r="F438" s="7" t="inlineStr">
        <is>
          <t>L2</t>
        </is>
      </c>
      <c r="G438" s="7" t="inlineStr">
        <is>
          <t>Konkan Freight Services (SIM)</t>
        </is>
      </c>
      <c r="H438" s="7" t="inlineStr">
        <is>
          <t>taint_tabor</t>
        </is>
      </c>
      <c r="I438" s="7" t="inlineStr">
        <is>
          <t>USEC_MUN</t>
        </is>
      </c>
      <c r="J438" s="7" t="inlineStr">
        <is>
          <t>USD</t>
        </is>
      </c>
      <c r="K438" s="7" t="inlineStr">
        <is>
          <t>fixed_unsettled</t>
        </is>
      </c>
      <c r="L438" s="7" t="inlineStr">
        <is>
          <t>PNL</t>
        </is>
      </c>
      <c r="M438" s="11" t="n">
        <v>44685</v>
      </c>
      <c r="N438" s="13" t="n">
        <v>630</v>
      </c>
      <c r="O438" s="6" t="n">
        <v>0</v>
      </c>
      <c r="P438" s="13" t="n">
        <v>0</v>
      </c>
      <c r="Q438" s="22" t="n">
        <v>30</v>
      </c>
      <c r="R438" s="6" t="n">
        <v>1</v>
      </c>
      <c r="U438" s="9" t="n">
        <v>-60150</v>
      </c>
      <c r="V438" s="9" t="n">
        <v>-4588819.03</v>
      </c>
      <c r="X438" s="9" t="n">
        <v>76.28959999999999</v>
      </c>
      <c r="AK438" s="7" t="inlineStr">
        <is>
          <t>PYTHON_LIFECYCLE</t>
        </is>
      </c>
      <c r="AL438" s="8">
        <f>IF($J438="INR",1,IF($M438&lt;$A438,INDEX(Market_Daily!$F$6:$F$256,MATCH($M438,Market_Daily!$A$6:$A$256,1)),IF($M438=$A438,INDEX(Market_Daily!$F$6:$F$256,MATCH($A438,Market_Daily!$A$6:$A$256,0)),(INDEX(Market_Daily!$F$6:$F$256,MATCH($A438,Market_Daily!$A$6:$A$256,0))*(1+INDEX(Market_Daily!$I$6:$I$256,MATCH($A438,Market_Daily!$A$6:$A$256,0))*($M438-$A438)/day_count_inr)/(1+INDEX(Market_Daily!$J$6:$J$256,MATCH($A438,Market_Daily!$A$6:$A$256,0))*($M438-$A438)/day_count_usd)))))</f>
        <v/>
      </c>
      <c r="AM438" s="8">
        <f>IF(OR($J438="INR",$R438&gt;1),"",$AL438-$X438)</f>
        <v/>
      </c>
      <c r="AN438" s="8">
        <f>$U438</f>
        <v/>
      </c>
      <c r="AO438" s="8">
        <f>$AN438*IF($J438="INR",1,$AL438)</f>
        <v/>
      </c>
      <c r="AP438" s="18">
        <f>$AO438-$V438</f>
        <v/>
      </c>
      <c r="AQ438" s="8">
        <f>IF(ABS($AP438)&lt;=tol_trade_inr,"PASS","FAIL")</f>
        <v/>
      </c>
    </row>
    <row r="439">
      <c r="A439" s="11" t="n">
        <v>44672</v>
      </c>
      <c r="B439" s="7" t="inlineStr">
        <is>
          <t>T04</t>
        </is>
      </c>
      <c r="C439" s="7" t="inlineStr">
        <is>
          <t>FX:T04-FX-3</t>
        </is>
      </c>
      <c r="D439" s="7" t="inlineStr">
        <is>
          <t>FX</t>
        </is>
      </c>
      <c r="E439" s="7" t="inlineStr">
        <is>
          <t>fx_forward</t>
        </is>
      </c>
      <c r="H439" s="7" t="inlineStr">
        <is>
          <t>taint_tabor</t>
        </is>
      </c>
      <c r="I439" s="7" t="inlineStr">
        <is>
          <t>USEC_MUN</t>
        </is>
      </c>
      <c r="J439" s="7" t="inlineStr">
        <is>
          <t>INR</t>
        </is>
      </c>
      <c r="K439" s="7" t="inlineStr">
        <is>
          <t>floating</t>
        </is>
      </c>
      <c r="L439" s="7" t="inlineStr">
        <is>
          <t>PNL</t>
        </is>
      </c>
      <c r="M439" s="11" t="n">
        <v>44685</v>
      </c>
      <c r="N439" s="13" t="n">
        <v>0</v>
      </c>
      <c r="O439" s="6" t="n">
        <v>0</v>
      </c>
      <c r="P439" s="13" t="n">
        <v>120300</v>
      </c>
      <c r="Q439" s="22" t="n">
        <v>30</v>
      </c>
      <c r="R439" s="6" t="n">
        <v>1</v>
      </c>
      <c r="S439" s="12" t="n">
        <v>44685</v>
      </c>
      <c r="T439" s="21" t="n">
        <v>76.36054</v>
      </c>
      <c r="U439" s="9" t="n">
        <v>-8534.870000000001</v>
      </c>
      <c r="V439" s="9" t="n">
        <v>-8534.870000000001</v>
      </c>
      <c r="X439" s="9" t="n">
        <v>76.2056</v>
      </c>
      <c r="AK439" s="7" t="inlineStr">
        <is>
          <t>DERIVED_IN_WORKBOOK</t>
        </is>
      </c>
      <c r="AL439" s="8">
        <f>IF($J439="INR",1,IF($M439&lt;$A439,INDEX(Market_Daily!$F$6:$F$256,MATCH($M439,Market_Daily!$A$6:$A$256,1)),IF($M439=$A439,INDEX(Market_Daily!$F$6:$F$256,MATCH($A439,Market_Daily!$A$6:$A$256,0)),(INDEX(Market_Daily!$F$6:$F$256,MATCH($A439,Market_Daily!$A$6:$A$256,0))*(1+INDEX(Market_Daily!$I$6:$I$256,MATCH($A439,Market_Daily!$A$6:$A$256,0))*($M439-$A439)/day_count_inr)/(1+INDEX(Market_Daily!$J$6:$J$256,MATCH($A439,Market_Daily!$A$6:$A$256,0))*($M439-$A439)/day_count_usd)))))</f>
        <v/>
      </c>
      <c r="AM439" s="8">
        <f>IF(OR($J439="INR",$R439&gt;1),"",$AL439-$X439)</f>
        <v/>
      </c>
      <c r="AN439" s="8">
        <f>$P439*(IF($S439&lt;$A439,INDEX(Market_Daily!$F$6:$F$256,MATCH($S439,Market_Daily!$A$6:$A$256,1)),IF($S439=$A439,INDEX(Market_Daily!$F$6:$F$256,MATCH($A439,Market_Daily!$A$6:$A$256,0)),(INDEX(Market_Daily!$F$6:$F$256,MATCH($A439,Market_Daily!$A$6:$A$256,0))*(1+INDEX(Market_Daily!$I$6:$I$256,MATCH($A439,Market_Daily!$A$6:$A$256,0))*($S439-$A439)/day_count_inr)/(1+INDEX(Market_Daily!$J$6:$J$256,MATCH($A439,Market_Daily!$A$6:$A$256,0))*($S439-$A439)/day_count_usd))))-$T439)</f>
        <v/>
      </c>
      <c r="AO439" s="8">
        <f>$AN439</f>
        <v/>
      </c>
      <c r="AP439" s="18">
        <f>$AO439-$V439</f>
        <v/>
      </c>
      <c r="AQ439" s="8">
        <f>IF(ABS($AP439)&lt;=tol_trade_inr,"PASS","FAIL")</f>
        <v/>
      </c>
    </row>
    <row r="440">
      <c r="A440" s="11" t="n">
        <v>44672</v>
      </c>
      <c r="B440" s="7" t="inlineStr">
        <is>
          <t>T04</t>
        </is>
      </c>
      <c r="C440" s="7" t="inlineStr">
        <is>
          <t>IGST:L1</t>
        </is>
      </c>
      <c r="D440" s="7" t="inlineStr">
        <is>
          <t>IGST</t>
        </is>
      </c>
      <c r="E440" s="7" t="inlineStr">
        <is>
          <t>physical</t>
        </is>
      </c>
      <c r="F440" s="7" t="inlineStr">
        <is>
          <t>L1</t>
        </is>
      </c>
      <c r="H440" s="7" t="inlineStr">
        <is>
          <t>taint_tabor</t>
        </is>
      </c>
      <c r="I440" s="7" t="inlineStr">
        <is>
          <t>USEC_MUN</t>
        </is>
      </c>
      <c r="J440" s="7" t="inlineStr">
        <is>
          <t>INR</t>
        </is>
      </c>
      <c r="K440" s="7" t="inlineStr">
        <is>
          <t>floating</t>
        </is>
      </c>
      <c r="L440" s="7" t="inlineStr">
        <is>
          <t>BS</t>
        </is>
      </c>
      <c r="M440" s="11" t="n">
        <v>44764</v>
      </c>
      <c r="N440" s="13" t="n">
        <v>0</v>
      </c>
      <c r="O440" s="6" t="n">
        <v>0</v>
      </c>
      <c r="P440" s="13" t="n">
        <v>0</v>
      </c>
      <c r="Q440" s="22" t="n">
        <v>30</v>
      </c>
      <c r="R440" s="6" t="n">
        <v>2</v>
      </c>
      <c r="U440" s="9" t="n">
        <v>0</v>
      </c>
      <c r="V440" s="9" t="n">
        <v>0</v>
      </c>
      <c r="X440" s="9" t="n">
        <v>76.2056</v>
      </c>
      <c r="AK440" s="7" t="inlineStr">
        <is>
          <t>PYTHON_MULTI_FLOW_LEG</t>
        </is>
      </c>
      <c r="AL440" s="8">
        <f>IF($J440="INR",1,IF($M440&lt;$A440,INDEX(Market_Daily!$F$6:$F$256,MATCH($M440,Market_Daily!$A$6:$A$256,1)),IF($M440=$A440,INDEX(Market_Daily!$F$6:$F$256,MATCH($A440,Market_Daily!$A$6:$A$256,0)),(INDEX(Market_Daily!$F$6:$F$256,MATCH($A440,Market_Daily!$A$6:$A$256,0))*(1+INDEX(Market_Daily!$I$6:$I$256,MATCH($A440,Market_Daily!$A$6:$A$256,0))*($M440-$A440)/day_count_inr)/(1+INDEX(Market_Daily!$J$6:$J$256,MATCH($A440,Market_Daily!$A$6:$A$256,0))*($M440-$A440)/day_count_usd)))))</f>
        <v/>
      </c>
      <c r="AM440" s="8">
        <f>IF(OR($J440="INR",$R440&gt;1),"",$AL440-$X440)</f>
        <v/>
      </c>
      <c r="AN440" s="8">
        <f>$U440</f>
        <v/>
      </c>
      <c r="AO440" s="8">
        <f>$V440</f>
        <v/>
      </c>
      <c r="AP440" s="18">
        <f>$AO440-$V440</f>
        <v/>
      </c>
      <c r="AQ440" s="8">
        <f>IF(ABS($AP440)&lt;=tol_trade_inr,"PASS","FAIL")</f>
        <v/>
      </c>
    </row>
    <row r="441">
      <c r="A441" s="11" t="n">
        <v>44672</v>
      </c>
      <c r="B441" s="7" t="inlineStr">
        <is>
          <t>T04</t>
        </is>
      </c>
      <c r="C441" s="7" t="inlineStr">
        <is>
          <t>IGST:L2</t>
        </is>
      </c>
      <c r="D441" s="7" t="inlineStr">
        <is>
          <t>IGST</t>
        </is>
      </c>
      <c r="E441" s="7" t="inlineStr">
        <is>
          <t>physical</t>
        </is>
      </c>
      <c r="F441" s="7" t="inlineStr">
        <is>
          <t>L2</t>
        </is>
      </c>
      <c r="H441" s="7" t="inlineStr">
        <is>
          <t>taint_tabor</t>
        </is>
      </c>
      <c r="I441" s="7" t="inlineStr">
        <is>
          <t>USEC_MUN</t>
        </is>
      </c>
      <c r="J441" s="7" t="inlineStr">
        <is>
          <t>INR</t>
        </is>
      </c>
      <c r="K441" s="7" t="inlineStr">
        <is>
          <t>floating</t>
        </is>
      </c>
      <c r="L441" s="7" t="inlineStr">
        <is>
          <t>BS</t>
        </is>
      </c>
      <c r="M441" s="11" t="n">
        <v>44771</v>
      </c>
      <c r="N441" s="13" t="n">
        <v>0</v>
      </c>
      <c r="O441" s="6" t="n">
        <v>0</v>
      </c>
      <c r="P441" s="13" t="n">
        <v>0</v>
      </c>
      <c r="Q441" s="22" t="n">
        <v>30</v>
      </c>
      <c r="R441" s="6" t="n">
        <v>2</v>
      </c>
      <c r="U441" s="9" t="n">
        <v>0</v>
      </c>
      <c r="V441" s="9" t="n">
        <v>0</v>
      </c>
      <c r="X441" s="9" t="n">
        <v>76.2056</v>
      </c>
      <c r="AK441" s="7" t="inlineStr">
        <is>
          <t>PYTHON_MULTI_FLOW_LEG</t>
        </is>
      </c>
      <c r="AL441" s="8">
        <f>IF($J441="INR",1,IF($M441&lt;$A441,INDEX(Market_Daily!$F$6:$F$256,MATCH($M441,Market_Daily!$A$6:$A$256,1)),IF($M441=$A441,INDEX(Market_Daily!$F$6:$F$256,MATCH($A441,Market_Daily!$A$6:$A$256,0)),(INDEX(Market_Daily!$F$6:$F$256,MATCH($A441,Market_Daily!$A$6:$A$256,0))*(1+INDEX(Market_Daily!$I$6:$I$256,MATCH($A441,Market_Daily!$A$6:$A$256,0))*($M441-$A441)/day_count_inr)/(1+INDEX(Market_Daily!$J$6:$J$256,MATCH($A441,Market_Daily!$A$6:$A$256,0))*($M441-$A441)/day_count_usd)))))</f>
        <v/>
      </c>
      <c r="AM441" s="8">
        <f>IF(OR($J441="INR",$R441&gt;1),"",$AL441-$X441)</f>
        <v/>
      </c>
      <c r="AN441" s="8">
        <f>$U441</f>
        <v/>
      </c>
      <c r="AO441" s="8">
        <f>$V441</f>
        <v/>
      </c>
      <c r="AP441" s="18">
        <f>$AO441-$V441</f>
        <v/>
      </c>
      <c r="AQ441" s="8">
        <f>IF(ABS($AP441)&lt;=tol_trade_inr,"PASS","FAIL")</f>
        <v/>
      </c>
    </row>
    <row r="442">
      <c r="A442" s="11" t="n">
        <v>44672</v>
      </c>
      <c r="B442" s="7" t="inlineStr">
        <is>
          <t>T04</t>
        </is>
      </c>
      <c r="C442" s="7" t="inlineStr">
        <is>
          <t>INSURANCE:L1</t>
        </is>
      </c>
      <c r="D442" s="7" t="inlineStr">
        <is>
          <t>INSURANCE</t>
        </is>
      </c>
      <c r="E442" s="7" t="inlineStr">
        <is>
          <t>physical</t>
        </is>
      </c>
      <c r="F442" s="7" t="inlineStr">
        <is>
          <t>L1</t>
        </is>
      </c>
      <c r="H442" s="7" t="inlineStr">
        <is>
          <t>taint_tabor</t>
        </is>
      </c>
      <c r="I442" s="7" t="inlineStr">
        <is>
          <t>USEC_MUN</t>
        </is>
      </c>
      <c r="J442" s="7" t="inlineStr">
        <is>
          <t>USD</t>
        </is>
      </c>
      <c r="K442" s="7" t="inlineStr">
        <is>
          <t>floating</t>
        </is>
      </c>
      <c r="L442" s="7" t="inlineStr">
        <is>
          <t>PNL</t>
        </is>
      </c>
      <c r="M442" s="11" t="n">
        <v>44678</v>
      </c>
      <c r="N442" s="13" t="n">
        <v>630</v>
      </c>
      <c r="O442" s="6" t="n">
        <v>0</v>
      </c>
      <c r="P442" s="13" t="n">
        <v>0</v>
      </c>
      <c r="Q442" s="22" t="n">
        <v>30</v>
      </c>
      <c r="R442" s="6" t="n">
        <v>1</v>
      </c>
      <c r="U442" s="9" t="n">
        <v>-1736.3</v>
      </c>
      <c r="V442" s="9" t="n">
        <v>-132382.72</v>
      </c>
      <c r="X442" s="9" t="n">
        <v>76.2444</v>
      </c>
      <c r="AK442" s="7" t="inlineStr">
        <is>
          <t>PYTHON_LIFECYCLE</t>
        </is>
      </c>
      <c r="AL442" s="8">
        <f>IF($J442="INR",1,IF($M442&lt;$A442,INDEX(Market_Daily!$F$6:$F$256,MATCH($M442,Market_Daily!$A$6:$A$256,1)),IF($M442=$A442,INDEX(Market_Daily!$F$6:$F$256,MATCH($A442,Market_Daily!$A$6:$A$256,0)),(INDEX(Market_Daily!$F$6:$F$256,MATCH($A442,Market_Daily!$A$6:$A$256,0))*(1+INDEX(Market_Daily!$I$6:$I$256,MATCH($A442,Market_Daily!$A$6:$A$256,0))*($M442-$A442)/day_count_inr)/(1+INDEX(Market_Daily!$J$6:$J$256,MATCH($A442,Market_Daily!$A$6:$A$256,0))*($M442-$A442)/day_count_usd)))))</f>
        <v/>
      </c>
      <c r="AM442" s="8">
        <f>IF(OR($J442="INR",$R442&gt;1),"",$AL442-$X442)</f>
        <v/>
      </c>
      <c r="AN442" s="8">
        <f>$U442</f>
        <v/>
      </c>
      <c r="AO442" s="8">
        <f>$AN442*IF($J442="INR",1,$AL442)</f>
        <v/>
      </c>
      <c r="AP442" s="18">
        <f>$AO442-$V442</f>
        <v/>
      </c>
      <c r="AQ442" s="8">
        <f>IF(ABS($AP442)&lt;=tol_trade_inr,"PASS","FAIL")</f>
        <v/>
      </c>
    </row>
    <row r="443">
      <c r="A443" s="11" t="n">
        <v>44672</v>
      </c>
      <c r="B443" s="7" t="inlineStr">
        <is>
          <t>T04</t>
        </is>
      </c>
      <c r="C443" s="7" t="inlineStr">
        <is>
          <t>INSURANCE:L2</t>
        </is>
      </c>
      <c r="D443" s="7" t="inlineStr">
        <is>
          <t>INSURANCE</t>
        </is>
      </c>
      <c r="E443" s="7" t="inlineStr">
        <is>
          <t>physical</t>
        </is>
      </c>
      <c r="F443" s="7" t="inlineStr">
        <is>
          <t>L2</t>
        </is>
      </c>
      <c r="H443" s="7" t="inlineStr">
        <is>
          <t>taint_tabor</t>
        </is>
      </c>
      <c r="I443" s="7" t="inlineStr">
        <is>
          <t>USEC_MUN</t>
        </is>
      </c>
      <c r="J443" s="7" t="inlineStr">
        <is>
          <t>USD</t>
        </is>
      </c>
      <c r="K443" s="7" t="inlineStr">
        <is>
          <t>floating</t>
        </is>
      </c>
      <c r="L443" s="7" t="inlineStr">
        <is>
          <t>PNL</t>
        </is>
      </c>
      <c r="M443" s="11" t="n">
        <v>44685</v>
      </c>
      <c r="N443" s="13" t="n">
        <v>630</v>
      </c>
      <c r="O443" s="6" t="n">
        <v>0</v>
      </c>
      <c r="P443" s="13" t="n">
        <v>0</v>
      </c>
      <c r="Q443" s="22" t="n">
        <v>30</v>
      </c>
      <c r="R443" s="6" t="n">
        <v>1</v>
      </c>
      <c r="U443" s="9" t="n">
        <v>-1736.3</v>
      </c>
      <c r="V443" s="9" t="n">
        <v>-132461.24</v>
      </c>
      <c r="X443" s="9" t="n">
        <v>76.28959999999999</v>
      </c>
      <c r="AK443" s="7" t="inlineStr">
        <is>
          <t>PYTHON_LIFECYCLE</t>
        </is>
      </c>
      <c r="AL443" s="8">
        <f>IF($J443="INR",1,IF($M443&lt;$A443,INDEX(Market_Daily!$F$6:$F$256,MATCH($M443,Market_Daily!$A$6:$A$256,1)),IF($M443=$A443,INDEX(Market_Daily!$F$6:$F$256,MATCH($A443,Market_Daily!$A$6:$A$256,0)),(INDEX(Market_Daily!$F$6:$F$256,MATCH($A443,Market_Daily!$A$6:$A$256,0))*(1+INDEX(Market_Daily!$I$6:$I$256,MATCH($A443,Market_Daily!$A$6:$A$256,0))*($M443-$A443)/day_count_inr)/(1+INDEX(Market_Daily!$J$6:$J$256,MATCH($A443,Market_Daily!$A$6:$A$256,0))*($M443-$A443)/day_count_usd)))))</f>
        <v/>
      </c>
      <c r="AM443" s="8">
        <f>IF(OR($J443="INR",$R443&gt;1),"",$AL443-$X443)</f>
        <v/>
      </c>
      <c r="AN443" s="8">
        <f>$U443</f>
        <v/>
      </c>
      <c r="AO443" s="8">
        <f>$AN443*IF($J443="INR",1,$AL443)</f>
        <v/>
      </c>
      <c r="AP443" s="18">
        <f>$AO443-$V443</f>
        <v/>
      </c>
      <c r="AQ443" s="8">
        <f>IF(ABS($AP443)&lt;=tol_trade_inr,"PASS","FAIL")</f>
        <v/>
      </c>
    </row>
    <row r="444">
      <c r="A444" s="11" t="n">
        <v>44672</v>
      </c>
      <c r="B444" s="7" t="inlineStr">
        <is>
          <t>T04</t>
        </is>
      </c>
      <c r="C444" s="7" t="inlineStr">
        <is>
          <t>INVENTORY:L1</t>
        </is>
      </c>
      <c r="D444" s="7" t="inlineStr">
        <is>
          <t>INVENTORY</t>
        </is>
      </c>
      <c r="E444" s="7" t="inlineStr">
        <is>
          <t>physical</t>
        </is>
      </c>
      <c r="F444" s="7" t="inlineStr">
        <is>
          <t>L1</t>
        </is>
      </c>
      <c r="H444" s="7" t="inlineStr">
        <is>
          <t>taint_tabor</t>
        </is>
      </c>
      <c r="I444" s="7" t="inlineStr">
        <is>
          <t>USEC_MUN</t>
        </is>
      </c>
      <c r="J444" s="7" t="inlineStr">
        <is>
          <t>INR</t>
        </is>
      </c>
      <c r="K444" s="7" t="inlineStr">
        <is>
          <t>fixed_unsettled</t>
        </is>
      </c>
      <c r="L444" s="7" t="inlineStr">
        <is>
          <t>PNL</t>
        </is>
      </c>
      <c r="N444" s="13" t="n">
        <v>630</v>
      </c>
      <c r="O444" s="6" t="n">
        <v>0</v>
      </c>
      <c r="P444" s="13" t="n">
        <v>0</v>
      </c>
      <c r="Q444" s="22" t="n">
        <v>30</v>
      </c>
      <c r="R444" s="6" t="n">
        <v>0</v>
      </c>
      <c r="U444" s="9" t="n">
        <v>124207661.57</v>
      </c>
      <c r="V444" s="9" t="n">
        <v>124207661.57</v>
      </c>
      <c r="W444" s="9" t="n">
        <v>197155.0184</v>
      </c>
      <c r="X444" s="9" t="n">
        <v>76.2056</v>
      </c>
      <c r="Y444" s="8">
        <f>IF($I444="JEA_NSA","20ft","40ft")</f>
        <v/>
      </c>
      <c r="Z444" s="8">
        <f>IF($I444="JEA_NSA","nsa","mun")</f>
        <v/>
      </c>
      <c r="AA444" s="8">
        <f>INDEX(param_values,MATCH("container_payload_mt_"&amp;$Y444,param_keys,0))/INDEX(param_values,MATCH("container_payload_mt_"&amp;$Y444&amp;"_"&amp;$H444,param_keys,0))</f>
        <v/>
      </c>
      <c r="AB444" s="16">
        <f>INDEX(Market_Daily!$C$6:$C$256,MATCH($A444,Market_Daily!$A$6:$A$256,0))*INDEX(Market_Daily!$X$6:$Z$256,MATCH($A444,Market_Daily!$A$6:$A$256,0),MATCH("grade_factor_"&amp;$H444,Market_Daily!$X$5:$Z$5,0))</f>
        <v/>
      </c>
      <c r="AC444" s="16">
        <f>$AB444*(1+insurance_rate*insured_value_uplift)</f>
        <v/>
      </c>
      <c r="AD444" s="8">
        <f>(INDEX(Market_Daily!$F$6:$F$256,MATCH($A444,Market_Daily!$A$6:$A$256,0))*(1+INDEX(Market_Daily!$I$6:$I$256,MATCH($A444,Market_Daily!$A$6:$A$256,0))*$Q444/day_count_inr)/(1+INDEX(Market_Daily!$J$6:$J$256,MATCH($A444,Market_Daily!$A$6:$A$256,0))*$Q444/day_count_usd))</f>
        <v/>
      </c>
      <c r="AE444" s="18">
        <f>$AC444*$AD444</f>
        <v/>
      </c>
      <c r="AF444" s="18">
        <f>$AC444*INDEX(Market_Daily!$V$6:$V$256,MATCH($A444,Market_Daily!$A$6:$A$256,0))</f>
        <v/>
      </c>
      <c r="AG444" s="18">
        <f>$AF444*bcd_scrap_hs7602*(1+sws_rate_on_bcd)</f>
        <v/>
      </c>
      <c r="AH444" s="18">
        <f>INDEX(param_values,MATCH("port_cf_charges_inr_t_"&amp;$Z444,param_keys,0))*$AA444+IF(INDEX(param_values,MATCH(IF($I444="JEA_NSA","psic_required_uae_origin","psic_required_safe_origin_designated_port"),param_keys,0)),psic_cost_usd_per_box*INDEX(Market_Daily!$F$6:$F$256,MATCH($A444,Market_Daily!$A$6:$A$256,0))/INDEX(param_values,MATCH("container_payload_mt_20ft_"&amp;$H444,param_keys,0)),0)</f>
        <v/>
      </c>
      <c r="AI444" s="18">
        <f>IF(igst_itc_available,0,($AF444+$AG444)*igst_rate_hs7602)</f>
        <v/>
      </c>
      <c r="AJ444" s="18">
        <f>$AE444+$AG444+$AH444+$AI444</f>
        <v/>
      </c>
      <c r="AK444" s="7" t="inlineStr">
        <is>
          <t>DERIVED_IN_WORKBOOK</t>
        </is>
      </c>
      <c r="AL444" s="8">
        <f>IF($J444="INR",1,IF($M444&lt;$A444,INDEX(Market_Daily!$F$6:$F$256,MATCH($M444,Market_Daily!$A$6:$A$256,1)),IF($M444=$A444,INDEX(Market_Daily!$F$6:$F$256,MATCH($A444,Market_Daily!$A$6:$A$256,0)),(INDEX(Market_Daily!$F$6:$F$256,MATCH($A444,Market_Daily!$A$6:$A$256,0))*(1+INDEX(Market_Daily!$I$6:$I$256,MATCH($A444,Market_Daily!$A$6:$A$256,0))*($M444-$A444)/day_count_inr)/(1+INDEX(Market_Daily!$J$6:$J$256,MATCH($A444,Market_Daily!$A$6:$A$256,0))*($M444-$A444)/day_count_usd)))))</f>
        <v/>
      </c>
      <c r="AM444" s="8">
        <f>IF(OR($J444="INR",$R444&gt;1),"",$AL444-$X444)</f>
        <v/>
      </c>
      <c r="AN444" s="8">
        <f>$N444*$AJ444</f>
        <v/>
      </c>
      <c r="AO444" s="8">
        <f>$AN444</f>
        <v/>
      </c>
      <c r="AP444" s="18">
        <f>$AO444-$V444</f>
        <v/>
      </c>
      <c r="AQ444" s="8">
        <f>IF(ABS($AP444)&lt;=tol_trade_inr,"PASS","FAIL")</f>
        <v/>
      </c>
    </row>
    <row r="445">
      <c r="A445" s="11" t="n">
        <v>44672</v>
      </c>
      <c r="B445" s="7" t="inlineStr">
        <is>
          <t>T04</t>
        </is>
      </c>
      <c r="C445" s="7" t="inlineStr">
        <is>
          <t>INVENTORY:L2</t>
        </is>
      </c>
      <c r="D445" s="7" t="inlineStr">
        <is>
          <t>INVENTORY</t>
        </is>
      </c>
      <c r="E445" s="7" t="inlineStr">
        <is>
          <t>physical</t>
        </is>
      </c>
      <c r="F445" s="7" t="inlineStr">
        <is>
          <t>L2</t>
        </is>
      </c>
      <c r="H445" s="7" t="inlineStr">
        <is>
          <t>taint_tabor</t>
        </is>
      </c>
      <c r="I445" s="7" t="inlineStr">
        <is>
          <t>USEC_MUN</t>
        </is>
      </c>
      <c r="J445" s="7" t="inlineStr">
        <is>
          <t>INR</t>
        </is>
      </c>
      <c r="K445" s="7" t="inlineStr">
        <is>
          <t>fixed_unsettled</t>
        </is>
      </c>
      <c r="L445" s="7" t="inlineStr">
        <is>
          <t>PNL</t>
        </is>
      </c>
      <c r="N445" s="13" t="n">
        <v>630</v>
      </c>
      <c r="O445" s="6" t="n">
        <v>0</v>
      </c>
      <c r="P445" s="13" t="n">
        <v>0</v>
      </c>
      <c r="Q445" s="22" t="n">
        <v>30</v>
      </c>
      <c r="R445" s="6" t="n">
        <v>0</v>
      </c>
      <c r="U445" s="9" t="n">
        <v>124207661.57</v>
      </c>
      <c r="V445" s="9" t="n">
        <v>124207661.57</v>
      </c>
      <c r="W445" s="9" t="n">
        <v>197155.0184</v>
      </c>
      <c r="X445" s="9" t="n">
        <v>76.2056</v>
      </c>
      <c r="Y445" s="8">
        <f>IF($I445="JEA_NSA","20ft","40ft")</f>
        <v/>
      </c>
      <c r="Z445" s="8">
        <f>IF($I445="JEA_NSA","nsa","mun")</f>
        <v/>
      </c>
      <c r="AA445" s="8">
        <f>INDEX(param_values,MATCH("container_payload_mt_"&amp;$Y445,param_keys,0))/INDEX(param_values,MATCH("container_payload_mt_"&amp;$Y445&amp;"_"&amp;$H445,param_keys,0))</f>
        <v/>
      </c>
      <c r="AB445" s="16">
        <f>INDEX(Market_Daily!$C$6:$C$256,MATCH($A445,Market_Daily!$A$6:$A$256,0))*INDEX(Market_Daily!$X$6:$Z$256,MATCH($A445,Market_Daily!$A$6:$A$256,0),MATCH("grade_factor_"&amp;$H445,Market_Daily!$X$5:$Z$5,0))</f>
        <v/>
      </c>
      <c r="AC445" s="16">
        <f>$AB445*(1+insurance_rate*insured_value_uplift)</f>
        <v/>
      </c>
      <c r="AD445" s="8">
        <f>(INDEX(Market_Daily!$F$6:$F$256,MATCH($A445,Market_Daily!$A$6:$A$256,0))*(1+INDEX(Market_Daily!$I$6:$I$256,MATCH($A445,Market_Daily!$A$6:$A$256,0))*$Q445/day_count_inr)/(1+INDEX(Market_Daily!$J$6:$J$256,MATCH($A445,Market_Daily!$A$6:$A$256,0))*$Q445/day_count_usd))</f>
        <v/>
      </c>
      <c r="AE445" s="18">
        <f>$AC445*$AD445</f>
        <v/>
      </c>
      <c r="AF445" s="18">
        <f>$AC445*INDEX(Market_Daily!$V$6:$V$256,MATCH($A445,Market_Daily!$A$6:$A$256,0))</f>
        <v/>
      </c>
      <c r="AG445" s="18">
        <f>$AF445*bcd_scrap_hs7602*(1+sws_rate_on_bcd)</f>
        <v/>
      </c>
      <c r="AH445" s="18">
        <f>INDEX(param_values,MATCH("port_cf_charges_inr_t_"&amp;$Z445,param_keys,0))*$AA445+IF(INDEX(param_values,MATCH(IF($I445="JEA_NSA","psic_required_uae_origin","psic_required_safe_origin_designated_port"),param_keys,0)),psic_cost_usd_per_box*INDEX(Market_Daily!$F$6:$F$256,MATCH($A445,Market_Daily!$A$6:$A$256,0))/INDEX(param_values,MATCH("container_payload_mt_20ft_"&amp;$H445,param_keys,0)),0)</f>
        <v/>
      </c>
      <c r="AI445" s="18">
        <f>IF(igst_itc_available,0,($AF445+$AG445)*igst_rate_hs7602)</f>
        <v/>
      </c>
      <c r="AJ445" s="18">
        <f>$AE445+$AG445+$AH445+$AI445</f>
        <v/>
      </c>
      <c r="AK445" s="7" t="inlineStr">
        <is>
          <t>DERIVED_IN_WORKBOOK</t>
        </is>
      </c>
      <c r="AL445" s="8">
        <f>IF($J445="INR",1,IF($M445&lt;$A445,INDEX(Market_Daily!$F$6:$F$256,MATCH($M445,Market_Daily!$A$6:$A$256,1)),IF($M445=$A445,INDEX(Market_Daily!$F$6:$F$256,MATCH($A445,Market_Daily!$A$6:$A$256,0)),(INDEX(Market_Daily!$F$6:$F$256,MATCH($A445,Market_Daily!$A$6:$A$256,0))*(1+INDEX(Market_Daily!$I$6:$I$256,MATCH($A445,Market_Daily!$A$6:$A$256,0))*($M445-$A445)/day_count_inr)/(1+INDEX(Market_Daily!$J$6:$J$256,MATCH($A445,Market_Daily!$A$6:$A$256,0))*($M445-$A445)/day_count_usd)))))</f>
        <v/>
      </c>
      <c r="AM445" s="8">
        <f>IF(OR($J445="INR",$R445&gt;1),"",$AL445-$X445)</f>
        <v/>
      </c>
      <c r="AN445" s="8">
        <f>$N445*$AJ445</f>
        <v/>
      </c>
      <c r="AO445" s="8">
        <f>$AN445</f>
        <v/>
      </c>
      <c r="AP445" s="18">
        <f>$AO445-$V445</f>
        <v/>
      </c>
      <c r="AQ445" s="8">
        <f>IF(ABS($AP445)&lt;=tol_trade_inr,"PASS","FAIL")</f>
        <v/>
      </c>
    </row>
    <row r="446">
      <c r="A446" s="11" t="n">
        <v>44672</v>
      </c>
      <c r="B446" s="7" t="inlineStr">
        <is>
          <t>T04</t>
        </is>
      </c>
      <c r="C446" s="7" t="inlineStr">
        <is>
          <t>MCX:T04-MCX-2</t>
        </is>
      </c>
      <c r="D446" s="7" t="inlineStr">
        <is>
          <t>MCX</t>
        </is>
      </c>
      <c r="E446" s="7" t="inlineStr">
        <is>
          <t>mcx</t>
        </is>
      </c>
      <c r="H446" s="7" t="inlineStr">
        <is>
          <t>taint_tabor</t>
        </is>
      </c>
      <c r="I446" s="7" t="inlineStr">
        <is>
          <t>USEC_MUN</t>
        </is>
      </c>
      <c r="J446" s="7" t="inlineStr">
        <is>
          <t>INR</t>
        </is>
      </c>
      <c r="K446" s="7" t="inlineStr">
        <is>
          <t>partially_fixed</t>
        </is>
      </c>
      <c r="L446" s="7" t="inlineStr">
        <is>
          <t>PNL</t>
        </is>
      </c>
      <c r="M446" s="11" t="n">
        <v>44701</v>
      </c>
      <c r="N446" s="13" t="n">
        <v>0</v>
      </c>
      <c r="O446" s="6" t="n">
        <v>-87</v>
      </c>
      <c r="P446" s="13" t="n">
        <v>0</v>
      </c>
      <c r="Q446" s="22" t="n">
        <v>30</v>
      </c>
      <c r="R446" s="6" t="n">
        <v>22</v>
      </c>
      <c r="U446" s="9" t="n">
        <v>0</v>
      </c>
      <c r="V446" s="9" t="n">
        <v>0</v>
      </c>
      <c r="X446" s="9" t="n">
        <v>76.2056</v>
      </c>
      <c r="AK446" s="7" t="inlineStr">
        <is>
          <t>PYTHON_MULTI_FLOW_LEG</t>
        </is>
      </c>
      <c r="AL446" s="8">
        <f>IF($J446="INR",1,IF($M446&lt;$A446,INDEX(Market_Daily!$F$6:$F$256,MATCH($M446,Market_Daily!$A$6:$A$256,1)),IF($M446=$A446,INDEX(Market_Daily!$F$6:$F$256,MATCH($A446,Market_Daily!$A$6:$A$256,0)),(INDEX(Market_Daily!$F$6:$F$256,MATCH($A446,Market_Daily!$A$6:$A$256,0))*(1+INDEX(Market_Daily!$I$6:$I$256,MATCH($A446,Market_Daily!$A$6:$A$256,0))*($M446-$A446)/day_count_inr)/(1+INDEX(Market_Daily!$J$6:$J$256,MATCH($A446,Market_Daily!$A$6:$A$256,0))*($M446-$A446)/day_count_usd)))))</f>
        <v/>
      </c>
      <c r="AM446" s="8">
        <f>IF(OR($J446="INR",$R446&gt;1),"",$AL446-$X446)</f>
        <v/>
      </c>
      <c r="AN446" s="8">
        <f>$U446</f>
        <v/>
      </c>
      <c r="AO446" s="8">
        <f>$V446</f>
        <v/>
      </c>
      <c r="AP446" s="18">
        <f>$AO446-$V446</f>
        <v/>
      </c>
      <c r="AQ446" s="8">
        <f>IF(ABS($AP446)&lt;=tol_trade_inr,"PASS","FAIL")</f>
        <v/>
      </c>
    </row>
    <row r="447">
      <c r="A447" s="11" t="n">
        <v>44672</v>
      </c>
      <c r="B447" s="7" t="inlineStr">
        <is>
          <t>T04</t>
        </is>
      </c>
      <c r="C447" s="7" t="inlineStr">
        <is>
          <t>PORT:L1</t>
        </is>
      </c>
      <c r="D447" s="7" t="inlineStr">
        <is>
          <t>PORT</t>
        </is>
      </c>
      <c r="E447" s="7" t="inlineStr">
        <is>
          <t>physical</t>
        </is>
      </c>
      <c r="F447" s="7" t="inlineStr">
        <is>
          <t>L1</t>
        </is>
      </c>
      <c r="H447" s="7" t="inlineStr">
        <is>
          <t>taint_tabor</t>
        </is>
      </c>
      <c r="I447" s="7" t="inlineStr">
        <is>
          <t>USEC_MUN</t>
        </is>
      </c>
      <c r="J447" s="7" t="inlineStr">
        <is>
          <t>INR</t>
        </is>
      </c>
      <c r="K447" s="7" t="inlineStr">
        <is>
          <t>fixed_unsettled</t>
        </is>
      </c>
      <c r="L447" s="7" t="inlineStr">
        <is>
          <t>PNL</t>
        </is>
      </c>
      <c r="M447" s="11" t="n">
        <v>44728</v>
      </c>
      <c r="N447" s="13" t="n">
        <v>0</v>
      </c>
      <c r="O447" s="6" t="n">
        <v>0</v>
      </c>
      <c r="P447" s="13" t="n">
        <v>0</v>
      </c>
      <c r="Q447" s="22" t="n">
        <v>30</v>
      </c>
      <c r="R447" s="6" t="n">
        <v>1</v>
      </c>
      <c r="U447" s="9" t="n">
        <v>-1669500</v>
      </c>
      <c r="V447" s="9" t="n">
        <v>-1669500</v>
      </c>
      <c r="X447" s="9" t="n">
        <v>76.2056</v>
      </c>
      <c r="AK447" s="7" t="inlineStr">
        <is>
          <t>PYTHON_LIFECYCLE</t>
        </is>
      </c>
      <c r="AL447" s="8">
        <f>IF($J447="INR",1,IF($M447&lt;$A447,INDEX(Market_Daily!$F$6:$F$256,MATCH($M447,Market_Daily!$A$6:$A$256,1)),IF($M447=$A447,INDEX(Market_Daily!$F$6:$F$256,MATCH($A447,Market_Daily!$A$6:$A$256,0)),(INDEX(Market_Daily!$F$6:$F$256,MATCH($A447,Market_Daily!$A$6:$A$256,0))*(1+INDEX(Market_Daily!$I$6:$I$256,MATCH($A447,Market_Daily!$A$6:$A$256,0))*($M447-$A447)/day_count_inr)/(1+INDEX(Market_Daily!$J$6:$J$256,MATCH($A447,Market_Daily!$A$6:$A$256,0))*($M447-$A447)/day_count_usd)))))</f>
        <v/>
      </c>
      <c r="AM447" s="8">
        <f>IF(OR($J447="INR",$R447&gt;1),"",$AL447-$X447)</f>
        <v/>
      </c>
      <c r="AN447" s="8">
        <f>$U447</f>
        <v/>
      </c>
      <c r="AO447" s="8">
        <f>$AN447*IF($J447="INR",1,$AL447)</f>
        <v/>
      </c>
      <c r="AP447" s="18">
        <f>$AO447-$V447</f>
        <v/>
      </c>
      <c r="AQ447" s="8">
        <f>IF(ABS($AP447)&lt;=tol_trade_inr,"PASS","FAIL")</f>
        <v/>
      </c>
    </row>
    <row r="448">
      <c r="A448" s="11" t="n">
        <v>44672</v>
      </c>
      <c r="B448" s="7" t="inlineStr">
        <is>
          <t>T04</t>
        </is>
      </c>
      <c r="C448" s="7" t="inlineStr">
        <is>
          <t>PORT:L2</t>
        </is>
      </c>
      <c r="D448" s="7" t="inlineStr">
        <is>
          <t>PORT</t>
        </is>
      </c>
      <c r="E448" s="7" t="inlineStr">
        <is>
          <t>physical</t>
        </is>
      </c>
      <c r="F448" s="7" t="inlineStr">
        <is>
          <t>L2</t>
        </is>
      </c>
      <c r="H448" s="7" t="inlineStr">
        <is>
          <t>taint_tabor</t>
        </is>
      </c>
      <c r="I448" s="7" t="inlineStr">
        <is>
          <t>USEC_MUN</t>
        </is>
      </c>
      <c r="J448" s="7" t="inlineStr">
        <is>
          <t>INR</t>
        </is>
      </c>
      <c r="K448" s="7" t="inlineStr">
        <is>
          <t>fixed_unsettled</t>
        </is>
      </c>
      <c r="L448" s="7" t="inlineStr">
        <is>
          <t>PNL</t>
        </is>
      </c>
      <c r="M448" s="11" t="n">
        <v>44735</v>
      </c>
      <c r="N448" s="13" t="n">
        <v>0</v>
      </c>
      <c r="O448" s="6" t="n">
        <v>0</v>
      </c>
      <c r="P448" s="13" t="n">
        <v>0</v>
      </c>
      <c r="Q448" s="22" t="n">
        <v>30</v>
      </c>
      <c r="R448" s="6" t="n">
        <v>1</v>
      </c>
      <c r="U448" s="9" t="n">
        <v>-1669500</v>
      </c>
      <c r="V448" s="9" t="n">
        <v>-1669500</v>
      </c>
      <c r="X448" s="9" t="n">
        <v>76.2056</v>
      </c>
      <c r="AK448" s="7" t="inlineStr">
        <is>
          <t>PYTHON_LIFECYCLE</t>
        </is>
      </c>
      <c r="AL448" s="8">
        <f>IF($J448="INR",1,IF($M448&lt;$A448,INDEX(Market_Daily!$F$6:$F$256,MATCH($M448,Market_Daily!$A$6:$A$256,1)),IF($M448=$A448,INDEX(Market_Daily!$F$6:$F$256,MATCH($A448,Market_Daily!$A$6:$A$256,0)),(INDEX(Market_Daily!$F$6:$F$256,MATCH($A448,Market_Daily!$A$6:$A$256,0))*(1+INDEX(Market_Daily!$I$6:$I$256,MATCH($A448,Market_Daily!$A$6:$A$256,0))*($M448-$A448)/day_count_inr)/(1+INDEX(Market_Daily!$J$6:$J$256,MATCH($A448,Market_Daily!$A$6:$A$256,0))*($M448-$A448)/day_count_usd)))))</f>
        <v/>
      </c>
      <c r="AM448" s="8">
        <f>IF(OR($J448="INR",$R448&gt;1),"",$AL448-$X448)</f>
        <v/>
      </c>
      <c r="AN448" s="8">
        <f>$U448</f>
        <v/>
      </c>
      <c r="AO448" s="8">
        <f>$AN448*IF($J448="INR",1,$AL448)</f>
        <v/>
      </c>
      <c r="AP448" s="18">
        <f>$AO448-$V448</f>
        <v/>
      </c>
      <c r="AQ448" s="8">
        <f>IF(ABS($AP448)&lt;=tol_trade_inr,"PASS","FAIL")</f>
        <v/>
      </c>
    </row>
    <row r="449">
      <c r="A449" s="11" t="n">
        <v>44672</v>
      </c>
      <c r="B449" s="7" t="inlineStr">
        <is>
          <t>T04</t>
        </is>
      </c>
      <c r="C449" s="7" t="inlineStr">
        <is>
          <t>PURCHASE:L1</t>
        </is>
      </c>
      <c r="D449" s="7" t="inlineStr">
        <is>
          <t>PURCHASE</t>
        </is>
      </c>
      <c r="E449" s="7" t="inlineStr">
        <is>
          <t>physical</t>
        </is>
      </c>
      <c r="F449" s="7" t="inlineStr">
        <is>
          <t>L1</t>
        </is>
      </c>
      <c r="G449" s="7" t="inlineStr">
        <is>
          <t>SUP_USEC_02</t>
        </is>
      </c>
      <c r="H449" s="7" t="inlineStr">
        <is>
          <t>taint_tabor</t>
        </is>
      </c>
      <c r="I449" s="7" t="inlineStr">
        <is>
          <t>USEC_MUN</t>
        </is>
      </c>
      <c r="J449" s="7" t="inlineStr">
        <is>
          <t>USD</t>
        </is>
      </c>
      <c r="K449" s="7" t="inlineStr">
        <is>
          <t>fixed_unsettled</t>
        </is>
      </c>
      <c r="L449" s="7" t="inlineStr">
        <is>
          <t>PNL</t>
        </is>
      </c>
      <c r="M449" s="11" t="n">
        <v>44685</v>
      </c>
      <c r="N449" s="13" t="n">
        <v>630</v>
      </c>
      <c r="O449" s="6" t="n">
        <v>0</v>
      </c>
      <c r="P449" s="13" t="n">
        <v>0</v>
      </c>
      <c r="Q449" s="22" t="n">
        <v>30</v>
      </c>
      <c r="R449" s="6" t="n">
        <v>1</v>
      </c>
      <c r="U449" s="9" t="n">
        <v>-1518300</v>
      </c>
      <c r="V449" s="9" t="n">
        <v>-115830489.35</v>
      </c>
      <c r="X449" s="9" t="n">
        <v>76.28959999999999</v>
      </c>
      <c r="AK449" s="7" t="inlineStr">
        <is>
          <t>PYTHON_LIFECYCLE</t>
        </is>
      </c>
      <c r="AL449" s="8">
        <f>IF($J449="INR",1,IF($M449&lt;$A449,INDEX(Market_Daily!$F$6:$F$256,MATCH($M449,Market_Daily!$A$6:$A$256,1)),IF($M449=$A449,INDEX(Market_Daily!$F$6:$F$256,MATCH($A449,Market_Daily!$A$6:$A$256,0)),(INDEX(Market_Daily!$F$6:$F$256,MATCH($A449,Market_Daily!$A$6:$A$256,0))*(1+INDEX(Market_Daily!$I$6:$I$256,MATCH($A449,Market_Daily!$A$6:$A$256,0))*($M449-$A449)/day_count_inr)/(1+INDEX(Market_Daily!$J$6:$J$256,MATCH($A449,Market_Daily!$A$6:$A$256,0))*($M449-$A449)/day_count_usd)))))</f>
        <v/>
      </c>
      <c r="AM449" s="8">
        <f>IF(OR($J449="INR",$R449&gt;1),"",$AL449-$X449)</f>
        <v/>
      </c>
      <c r="AN449" s="8">
        <f>$U449</f>
        <v/>
      </c>
      <c r="AO449" s="8">
        <f>$AN449*IF($J449="INR",1,$AL449)</f>
        <v/>
      </c>
      <c r="AP449" s="18">
        <f>$AO449-$V449</f>
        <v/>
      </c>
      <c r="AQ449" s="8">
        <f>IF(ABS($AP449)&lt;=tol_trade_inr,"PASS","FAIL")</f>
        <v/>
      </c>
    </row>
    <row r="450">
      <c r="A450" s="11" t="n">
        <v>44672</v>
      </c>
      <c r="B450" s="7" t="inlineStr">
        <is>
          <t>T04</t>
        </is>
      </c>
      <c r="C450" s="7" t="inlineStr">
        <is>
          <t>PURCHASE:L2</t>
        </is>
      </c>
      <c r="D450" s="7" t="inlineStr">
        <is>
          <t>PURCHASE</t>
        </is>
      </c>
      <c r="E450" s="7" t="inlineStr">
        <is>
          <t>physical</t>
        </is>
      </c>
      <c r="F450" s="7" t="inlineStr">
        <is>
          <t>L2</t>
        </is>
      </c>
      <c r="G450" s="7" t="inlineStr">
        <is>
          <t>SUP_USEC_02</t>
        </is>
      </c>
      <c r="H450" s="7" t="inlineStr">
        <is>
          <t>taint_tabor</t>
        </is>
      </c>
      <c r="I450" s="7" t="inlineStr">
        <is>
          <t>USEC_MUN</t>
        </is>
      </c>
      <c r="J450" s="7" t="inlineStr">
        <is>
          <t>USD</t>
        </is>
      </c>
      <c r="K450" s="7" t="inlineStr">
        <is>
          <t>fixed_unsettled</t>
        </is>
      </c>
      <c r="L450" s="7" t="inlineStr">
        <is>
          <t>PNL</t>
        </is>
      </c>
      <c r="M450" s="11" t="n">
        <v>44692</v>
      </c>
      <c r="N450" s="13" t="n">
        <v>630</v>
      </c>
      <c r="O450" s="6" t="n">
        <v>0</v>
      </c>
      <c r="P450" s="13" t="n">
        <v>0</v>
      </c>
      <c r="Q450" s="22" t="n">
        <v>30</v>
      </c>
      <c r="R450" s="6" t="n">
        <v>1</v>
      </c>
      <c r="U450" s="9" t="n">
        <v>-1518300</v>
      </c>
      <c r="V450" s="9" t="n">
        <v>-115899126.45</v>
      </c>
      <c r="X450" s="9" t="n">
        <v>76.3348</v>
      </c>
      <c r="AK450" s="7" t="inlineStr">
        <is>
          <t>PYTHON_LIFECYCLE</t>
        </is>
      </c>
      <c r="AL450" s="8">
        <f>IF($J450="INR",1,IF($M450&lt;$A450,INDEX(Market_Daily!$F$6:$F$256,MATCH($M450,Market_Daily!$A$6:$A$256,1)),IF($M450=$A450,INDEX(Market_Daily!$F$6:$F$256,MATCH($A450,Market_Daily!$A$6:$A$256,0)),(INDEX(Market_Daily!$F$6:$F$256,MATCH($A450,Market_Daily!$A$6:$A$256,0))*(1+INDEX(Market_Daily!$I$6:$I$256,MATCH($A450,Market_Daily!$A$6:$A$256,0))*($M450-$A450)/day_count_inr)/(1+INDEX(Market_Daily!$J$6:$J$256,MATCH($A450,Market_Daily!$A$6:$A$256,0))*($M450-$A450)/day_count_usd)))))</f>
        <v/>
      </c>
      <c r="AM450" s="8">
        <f>IF(OR($J450="INR",$R450&gt;1),"",$AL450-$X450)</f>
        <v/>
      </c>
      <c r="AN450" s="8">
        <f>$U450</f>
        <v/>
      </c>
      <c r="AO450" s="8">
        <f>$AN450*IF($J450="INR",1,$AL450)</f>
        <v/>
      </c>
      <c r="AP450" s="18">
        <f>$AO450-$V450</f>
        <v/>
      </c>
      <c r="AQ450" s="8">
        <f>IF(ABS($AP450)&lt;=tol_trade_inr,"PASS","FAIL")</f>
        <v/>
      </c>
    </row>
    <row r="451">
      <c r="A451" s="11" t="n">
        <v>44672</v>
      </c>
      <c r="B451" s="7" t="inlineStr">
        <is>
          <t>T05</t>
        </is>
      </c>
      <c r="C451" s="7" t="inlineStr">
        <is>
          <t>BILL_COMMISSION:L1</t>
        </is>
      </c>
      <c r="D451" s="7" t="inlineStr">
        <is>
          <t>BILL_COMMISSION</t>
        </is>
      </c>
      <c r="E451" s="7" t="inlineStr">
        <is>
          <t>physical</t>
        </is>
      </c>
      <c r="F451" s="7" t="inlineStr">
        <is>
          <t>L1</t>
        </is>
      </c>
      <c r="H451" s="7" t="inlineStr">
        <is>
          <t>tense</t>
        </is>
      </c>
      <c r="I451" s="7" t="inlineStr">
        <is>
          <t>USEC_MUN</t>
        </is>
      </c>
      <c r="J451" s="7" t="inlineStr">
        <is>
          <t>USD</t>
        </is>
      </c>
      <c r="K451" s="7" t="inlineStr">
        <is>
          <t>floating</t>
        </is>
      </c>
      <c r="L451" s="7" t="inlineStr">
        <is>
          <t>PNL</t>
        </is>
      </c>
      <c r="M451" s="11" t="n">
        <v>44753</v>
      </c>
      <c r="N451" s="13" t="n">
        <v>0</v>
      </c>
      <c r="O451" s="6" t="n">
        <v>0</v>
      </c>
      <c r="P451" s="13" t="n">
        <v>0</v>
      </c>
      <c r="Q451" s="22" t="n">
        <v>30</v>
      </c>
      <c r="R451" s="6" t="n">
        <v>1</v>
      </c>
      <c r="U451" s="9" t="n">
        <v>-2743.5</v>
      </c>
      <c r="V451" s="9" t="n">
        <v>-210503.27</v>
      </c>
      <c r="X451" s="9" t="n">
        <v>76.7281</v>
      </c>
      <c r="AK451" s="7" t="inlineStr">
        <is>
          <t>PYTHON_LIFECYCLE</t>
        </is>
      </c>
      <c r="AL451" s="8">
        <f>IF($J451="INR",1,IF($M451&lt;$A451,INDEX(Market_Daily!$F$6:$F$256,MATCH($M451,Market_Daily!$A$6:$A$256,1)),IF($M451=$A451,INDEX(Market_Daily!$F$6:$F$256,MATCH($A451,Market_Daily!$A$6:$A$256,0)),(INDEX(Market_Daily!$F$6:$F$256,MATCH($A451,Market_Daily!$A$6:$A$256,0))*(1+INDEX(Market_Daily!$I$6:$I$256,MATCH($A451,Market_Daily!$A$6:$A$256,0))*($M451-$A451)/day_count_inr)/(1+INDEX(Market_Daily!$J$6:$J$256,MATCH($A451,Market_Daily!$A$6:$A$256,0))*($M451-$A451)/day_count_usd)))))</f>
        <v/>
      </c>
      <c r="AM451" s="8">
        <f>IF(OR($J451="INR",$R451&gt;1),"",$AL451-$X451)</f>
        <v/>
      </c>
      <c r="AN451" s="8">
        <f>$U451</f>
        <v/>
      </c>
      <c r="AO451" s="8">
        <f>$AN451*IF($J451="INR",1,$AL451)</f>
        <v/>
      </c>
      <c r="AP451" s="18">
        <f>$AO451-$V451</f>
        <v/>
      </c>
      <c r="AQ451" s="8">
        <f>IF(ABS($AP451)&lt;=tol_trade_inr,"PASS","FAIL")</f>
        <v/>
      </c>
    </row>
    <row r="452">
      <c r="A452" s="11" t="n">
        <v>44672</v>
      </c>
      <c r="B452" s="7" t="inlineStr">
        <is>
          <t>T05</t>
        </is>
      </c>
      <c r="C452" s="7" t="inlineStr">
        <is>
          <t>BILL_COMMISSION:L2</t>
        </is>
      </c>
      <c r="D452" s="7" t="inlineStr">
        <is>
          <t>BILL_COMMISSION</t>
        </is>
      </c>
      <c r="E452" s="7" t="inlineStr">
        <is>
          <t>physical</t>
        </is>
      </c>
      <c r="F452" s="7" t="inlineStr">
        <is>
          <t>L2</t>
        </is>
      </c>
      <c r="H452" s="7" t="inlineStr">
        <is>
          <t>tense</t>
        </is>
      </c>
      <c r="I452" s="7" t="inlineStr">
        <is>
          <t>USEC_MUN</t>
        </is>
      </c>
      <c r="J452" s="7" t="inlineStr">
        <is>
          <t>USD</t>
        </is>
      </c>
      <c r="K452" s="7" t="inlineStr">
        <is>
          <t>floating</t>
        </is>
      </c>
      <c r="L452" s="7" t="inlineStr">
        <is>
          <t>PNL</t>
        </is>
      </c>
      <c r="M452" s="11" t="n">
        <v>44760</v>
      </c>
      <c r="N452" s="13" t="n">
        <v>0</v>
      </c>
      <c r="O452" s="6" t="n">
        <v>0</v>
      </c>
      <c r="P452" s="13" t="n">
        <v>0</v>
      </c>
      <c r="Q452" s="22" t="n">
        <v>30</v>
      </c>
      <c r="R452" s="6" t="n">
        <v>1</v>
      </c>
      <c r="U452" s="9" t="n">
        <v>-2744.53</v>
      </c>
      <c r="V452" s="9" t="n">
        <v>-210706.32</v>
      </c>
      <c r="X452" s="9" t="n">
        <v>76.7732</v>
      </c>
      <c r="AK452" s="7" t="inlineStr">
        <is>
          <t>PYTHON_LIFECYCLE</t>
        </is>
      </c>
      <c r="AL452" s="8">
        <f>IF($J452="INR",1,IF($M452&lt;$A452,INDEX(Market_Daily!$F$6:$F$256,MATCH($M452,Market_Daily!$A$6:$A$256,1)),IF($M452=$A452,INDEX(Market_Daily!$F$6:$F$256,MATCH($A452,Market_Daily!$A$6:$A$256,0)),(INDEX(Market_Daily!$F$6:$F$256,MATCH($A452,Market_Daily!$A$6:$A$256,0))*(1+INDEX(Market_Daily!$I$6:$I$256,MATCH($A452,Market_Daily!$A$6:$A$256,0))*($M452-$A452)/day_count_inr)/(1+INDEX(Market_Daily!$J$6:$J$256,MATCH($A452,Market_Daily!$A$6:$A$256,0))*($M452-$A452)/day_count_usd)))))</f>
        <v/>
      </c>
      <c r="AM452" s="8">
        <f>IF(OR($J452="INR",$R452&gt;1),"",$AL452-$X452)</f>
        <v/>
      </c>
      <c r="AN452" s="8">
        <f>$U452</f>
        <v/>
      </c>
      <c r="AO452" s="8">
        <f>$AN452*IF($J452="INR",1,$AL452)</f>
        <v/>
      </c>
      <c r="AP452" s="18">
        <f>$AO452-$V452</f>
        <v/>
      </c>
      <c r="AQ452" s="8">
        <f>IF(ABS($AP452)&lt;=tol_trade_inr,"PASS","FAIL")</f>
        <v/>
      </c>
    </row>
    <row r="453">
      <c r="A453" s="11" t="n">
        <v>44672</v>
      </c>
      <c r="B453" s="7" t="inlineStr">
        <is>
          <t>T05</t>
        </is>
      </c>
      <c r="C453" s="7" t="inlineStr">
        <is>
          <t>DUTY:L1</t>
        </is>
      </c>
      <c r="D453" s="7" t="inlineStr">
        <is>
          <t>DUTY</t>
        </is>
      </c>
      <c r="E453" s="7" t="inlineStr">
        <is>
          <t>physical</t>
        </is>
      </c>
      <c r="F453" s="7" t="inlineStr">
        <is>
          <t>L1</t>
        </is>
      </c>
      <c r="H453" s="7" t="inlineStr">
        <is>
          <t>tense</t>
        </is>
      </c>
      <c r="I453" s="7" t="inlineStr">
        <is>
          <t>USEC_MUN</t>
        </is>
      </c>
      <c r="J453" s="7" t="inlineStr">
        <is>
          <t>INR</t>
        </is>
      </c>
      <c r="K453" s="7" t="inlineStr">
        <is>
          <t>floating</t>
        </is>
      </c>
      <c r="L453" s="7" t="inlineStr">
        <is>
          <t>PNL</t>
        </is>
      </c>
      <c r="M453" s="11" t="n">
        <v>44749</v>
      </c>
      <c r="N453" s="13" t="n">
        <v>1050</v>
      </c>
      <c r="O453" s="6" t="n">
        <v>0</v>
      </c>
      <c r="P453" s="13" t="n">
        <v>0</v>
      </c>
      <c r="Q453" s="22" t="n">
        <v>30</v>
      </c>
      <c r="R453" s="6" t="n">
        <v>2</v>
      </c>
      <c r="U453" s="9" t="n">
        <v>-5097387.97</v>
      </c>
      <c r="V453" s="9" t="n">
        <v>-5097387.97</v>
      </c>
      <c r="X453" s="9" t="n">
        <v>76.2056</v>
      </c>
      <c r="AK453" s="7" t="inlineStr">
        <is>
          <t>PYTHON_MULTI_FLOW_LEG</t>
        </is>
      </c>
      <c r="AL453" s="8">
        <f>IF($J453="INR",1,IF($M453&lt;$A453,INDEX(Market_Daily!$F$6:$F$256,MATCH($M453,Market_Daily!$A$6:$A$256,1)),IF($M453=$A453,INDEX(Market_Daily!$F$6:$F$256,MATCH($A453,Market_Daily!$A$6:$A$256,0)),(INDEX(Market_Daily!$F$6:$F$256,MATCH($A453,Market_Daily!$A$6:$A$256,0))*(1+INDEX(Market_Daily!$I$6:$I$256,MATCH($A453,Market_Daily!$A$6:$A$256,0))*($M453-$A453)/day_count_inr)/(1+INDEX(Market_Daily!$J$6:$J$256,MATCH($A453,Market_Daily!$A$6:$A$256,0))*($M453-$A453)/day_count_usd)))))</f>
        <v/>
      </c>
      <c r="AM453" s="8">
        <f>IF(OR($J453="INR",$R453&gt;1),"",$AL453-$X453)</f>
        <v/>
      </c>
      <c r="AN453" s="8">
        <f>$U453</f>
        <v/>
      </c>
      <c r="AO453" s="8">
        <f>$V453</f>
        <v/>
      </c>
      <c r="AP453" s="18">
        <f>$AO453-$V453</f>
        <v/>
      </c>
      <c r="AQ453" s="8">
        <f>IF(ABS($AP453)&lt;=tol_trade_inr,"PASS","FAIL")</f>
        <v/>
      </c>
    </row>
    <row r="454">
      <c r="A454" s="11" t="n">
        <v>44672</v>
      </c>
      <c r="B454" s="7" t="inlineStr">
        <is>
          <t>T05</t>
        </is>
      </c>
      <c r="C454" s="7" t="inlineStr">
        <is>
          <t>DUTY:L2</t>
        </is>
      </c>
      <c r="D454" s="7" t="inlineStr">
        <is>
          <t>DUTY</t>
        </is>
      </c>
      <c r="E454" s="7" t="inlineStr">
        <is>
          <t>physical</t>
        </is>
      </c>
      <c r="F454" s="7" t="inlineStr">
        <is>
          <t>L2</t>
        </is>
      </c>
      <c r="H454" s="7" t="inlineStr">
        <is>
          <t>tense</t>
        </is>
      </c>
      <c r="I454" s="7" t="inlineStr">
        <is>
          <t>USEC_MUN</t>
        </is>
      </c>
      <c r="J454" s="7" t="inlineStr">
        <is>
          <t>INR</t>
        </is>
      </c>
      <c r="K454" s="7" t="inlineStr">
        <is>
          <t>floating</t>
        </is>
      </c>
      <c r="L454" s="7" t="inlineStr">
        <is>
          <t>PNL</t>
        </is>
      </c>
      <c r="M454" s="11" t="n">
        <v>44749</v>
      </c>
      <c r="N454" s="13" t="n">
        <v>1050</v>
      </c>
      <c r="O454" s="6" t="n">
        <v>0</v>
      </c>
      <c r="P454" s="13" t="n">
        <v>0</v>
      </c>
      <c r="Q454" s="22" t="n">
        <v>30</v>
      </c>
      <c r="R454" s="6" t="n">
        <v>2</v>
      </c>
      <c r="U454" s="9" t="n">
        <v>-5097387.97</v>
      </c>
      <c r="V454" s="9" t="n">
        <v>-5097387.97</v>
      </c>
      <c r="X454" s="9" t="n">
        <v>76.2056</v>
      </c>
      <c r="AK454" s="7" t="inlineStr">
        <is>
          <t>PYTHON_MULTI_FLOW_LEG</t>
        </is>
      </c>
      <c r="AL454" s="8">
        <f>IF($J454="INR",1,IF($M454&lt;$A454,INDEX(Market_Daily!$F$6:$F$256,MATCH($M454,Market_Daily!$A$6:$A$256,1)),IF($M454=$A454,INDEX(Market_Daily!$F$6:$F$256,MATCH($A454,Market_Daily!$A$6:$A$256,0)),(INDEX(Market_Daily!$F$6:$F$256,MATCH($A454,Market_Daily!$A$6:$A$256,0))*(1+INDEX(Market_Daily!$I$6:$I$256,MATCH($A454,Market_Daily!$A$6:$A$256,0))*($M454-$A454)/day_count_inr)/(1+INDEX(Market_Daily!$J$6:$J$256,MATCH($A454,Market_Daily!$A$6:$A$256,0))*($M454-$A454)/day_count_usd)))))</f>
        <v/>
      </c>
      <c r="AM454" s="8">
        <f>IF(OR($J454="INR",$R454&gt;1),"",$AL454-$X454)</f>
        <v/>
      </c>
      <c r="AN454" s="8">
        <f>$U454</f>
        <v/>
      </c>
      <c r="AO454" s="8">
        <f>$V454</f>
        <v/>
      </c>
      <c r="AP454" s="18">
        <f>$AO454-$V454</f>
        <v/>
      </c>
      <c r="AQ454" s="8">
        <f>IF(ABS($AP454)&lt;=tol_trade_inr,"PASS","FAIL")</f>
        <v/>
      </c>
    </row>
    <row r="455">
      <c r="A455" s="11" t="n">
        <v>44672</v>
      </c>
      <c r="B455" s="7" t="inlineStr">
        <is>
          <t>T05</t>
        </is>
      </c>
      <c r="C455" s="7" t="inlineStr">
        <is>
          <t>IGST:L1</t>
        </is>
      </c>
      <c r="D455" s="7" t="inlineStr">
        <is>
          <t>IGST</t>
        </is>
      </c>
      <c r="E455" s="7" t="inlineStr">
        <is>
          <t>physical</t>
        </is>
      </c>
      <c r="F455" s="7" t="inlineStr">
        <is>
          <t>L1</t>
        </is>
      </c>
      <c r="H455" s="7" t="inlineStr">
        <is>
          <t>tense</t>
        </is>
      </c>
      <c r="I455" s="7" t="inlineStr">
        <is>
          <t>USEC_MUN</t>
        </is>
      </c>
      <c r="J455" s="7" t="inlineStr">
        <is>
          <t>INR</t>
        </is>
      </c>
      <c r="K455" s="7" t="inlineStr">
        <is>
          <t>floating</t>
        </is>
      </c>
      <c r="L455" s="7" t="inlineStr">
        <is>
          <t>BS</t>
        </is>
      </c>
      <c r="M455" s="11" t="n">
        <v>44777</v>
      </c>
      <c r="N455" s="13" t="n">
        <v>0</v>
      </c>
      <c r="O455" s="6" t="n">
        <v>0</v>
      </c>
      <c r="P455" s="13" t="n">
        <v>0</v>
      </c>
      <c r="Q455" s="22" t="n">
        <v>30</v>
      </c>
      <c r="R455" s="6" t="n">
        <v>2</v>
      </c>
      <c r="U455" s="9" t="n">
        <v>0</v>
      </c>
      <c r="V455" s="9" t="n">
        <v>0</v>
      </c>
      <c r="X455" s="9" t="n">
        <v>76.2056</v>
      </c>
      <c r="AK455" s="7" t="inlineStr">
        <is>
          <t>PYTHON_MULTI_FLOW_LEG</t>
        </is>
      </c>
      <c r="AL455" s="8">
        <f>IF($J455="INR",1,IF($M455&lt;$A455,INDEX(Market_Daily!$F$6:$F$256,MATCH($M455,Market_Daily!$A$6:$A$256,1)),IF($M455=$A455,INDEX(Market_Daily!$F$6:$F$256,MATCH($A455,Market_Daily!$A$6:$A$256,0)),(INDEX(Market_Daily!$F$6:$F$256,MATCH($A455,Market_Daily!$A$6:$A$256,0))*(1+INDEX(Market_Daily!$I$6:$I$256,MATCH($A455,Market_Daily!$A$6:$A$256,0))*($M455-$A455)/day_count_inr)/(1+INDEX(Market_Daily!$J$6:$J$256,MATCH($A455,Market_Daily!$A$6:$A$256,0))*($M455-$A455)/day_count_usd)))))</f>
        <v/>
      </c>
      <c r="AM455" s="8">
        <f>IF(OR($J455="INR",$R455&gt;1),"",$AL455-$X455)</f>
        <v/>
      </c>
      <c r="AN455" s="8">
        <f>$U455</f>
        <v/>
      </c>
      <c r="AO455" s="8">
        <f>$V455</f>
        <v/>
      </c>
      <c r="AP455" s="18">
        <f>$AO455-$V455</f>
        <v/>
      </c>
      <c r="AQ455" s="8">
        <f>IF(ABS($AP455)&lt;=tol_trade_inr,"PASS","FAIL")</f>
        <v/>
      </c>
    </row>
    <row r="456">
      <c r="A456" s="11" t="n">
        <v>44672</v>
      </c>
      <c r="B456" s="7" t="inlineStr">
        <is>
          <t>T05</t>
        </is>
      </c>
      <c r="C456" s="7" t="inlineStr">
        <is>
          <t>IGST:L2</t>
        </is>
      </c>
      <c r="D456" s="7" t="inlineStr">
        <is>
          <t>IGST</t>
        </is>
      </c>
      <c r="E456" s="7" t="inlineStr">
        <is>
          <t>physical</t>
        </is>
      </c>
      <c r="F456" s="7" t="inlineStr">
        <is>
          <t>L2</t>
        </is>
      </c>
      <c r="H456" s="7" t="inlineStr">
        <is>
          <t>tense</t>
        </is>
      </c>
      <c r="I456" s="7" t="inlineStr">
        <is>
          <t>USEC_MUN</t>
        </is>
      </c>
      <c r="J456" s="7" t="inlineStr">
        <is>
          <t>INR</t>
        </is>
      </c>
      <c r="K456" s="7" t="inlineStr">
        <is>
          <t>floating</t>
        </is>
      </c>
      <c r="L456" s="7" t="inlineStr">
        <is>
          <t>BS</t>
        </is>
      </c>
      <c r="M456" s="11" t="n">
        <v>44785</v>
      </c>
      <c r="N456" s="13" t="n">
        <v>0</v>
      </c>
      <c r="O456" s="6" t="n">
        <v>0</v>
      </c>
      <c r="P456" s="13" t="n">
        <v>0</v>
      </c>
      <c r="Q456" s="22" t="n">
        <v>30</v>
      </c>
      <c r="R456" s="6" t="n">
        <v>2</v>
      </c>
      <c r="U456" s="9" t="n">
        <v>0</v>
      </c>
      <c r="V456" s="9" t="n">
        <v>0</v>
      </c>
      <c r="X456" s="9" t="n">
        <v>76.2056</v>
      </c>
      <c r="AK456" s="7" t="inlineStr">
        <is>
          <t>PYTHON_MULTI_FLOW_LEG</t>
        </is>
      </c>
      <c r="AL456" s="8">
        <f>IF($J456="INR",1,IF($M456&lt;$A456,INDEX(Market_Daily!$F$6:$F$256,MATCH($M456,Market_Daily!$A$6:$A$256,1)),IF($M456=$A456,INDEX(Market_Daily!$F$6:$F$256,MATCH($A456,Market_Daily!$A$6:$A$256,0)),(INDEX(Market_Daily!$F$6:$F$256,MATCH($A456,Market_Daily!$A$6:$A$256,0))*(1+INDEX(Market_Daily!$I$6:$I$256,MATCH($A456,Market_Daily!$A$6:$A$256,0))*($M456-$A456)/day_count_inr)/(1+INDEX(Market_Daily!$J$6:$J$256,MATCH($A456,Market_Daily!$A$6:$A$256,0))*($M456-$A456)/day_count_usd)))))</f>
        <v/>
      </c>
      <c r="AM456" s="8">
        <f>IF(OR($J456="INR",$R456&gt;1),"",$AL456-$X456)</f>
        <v/>
      </c>
      <c r="AN456" s="8">
        <f>$U456</f>
        <v/>
      </c>
      <c r="AO456" s="8">
        <f>$V456</f>
        <v/>
      </c>
      <c r="AP456" s="18">
        <f>$AO456-$V456</f>
        <v/>
      </c>
      <c r="AQ456" s="8">
        <f>IF(ABS($AP456)&lt;=tol_trade_inr,"PASS","FAIL")</f>
        <v/>
      </c>
    </row>
    <row r="457">
      <c r="A457" s="11" t="n">
        <v>44672</v>
      </c>
      <c r="B457" s="7" t="inlineStr">
        <is>
          <t>T05</t>
        </is>
      </c>
      <c r="C457" s="7" t="inlineStr">
        <is>
          <t>INSURANCE:L1</t>
        </is>
      </c>
      <c r="D457" s="7" t="inlineStr">
        <is>
          <t>INSURANCE</t>
        </is>
      </c>
      <c r="E457" s="7" t="inlineStr">
        <is>
          <t>physical</t>
        </is>
      </c>
      <c r="F457" s="7" t="inlineStr">
        <is>
          <t>L1</t>
        </is>
      </c>
      <c r="H457" s="7" t="inlineStr">
        <is>
          <t>tense</t>
        </is>
      </c>
      <c r="I457" s="7" t="inlineStr">
        <is>
          <t>USEC_MUN</t>
        </is>
      </c>
      <c r="J457" s="7" t="inlineStr">
        <is>
          <t>USD</t>
        </is>
      </c>
      <c r="K457" s="7" t="inlineStr">
        <is>
          <t>floating</t>
        </is>
      </c>
      <c r="L457" s="7" t="inlineStr">
        <is>
          <t>PNL</t>
        </is>
      </c>
      <c r="M457" s="11" t="n">
        <v>44691</v>
      </c>
      <c r="N457" s="13" t="n">
        <v>1050</v>
      </c>
      <c r="O457" s="6" t="n">
        <v>0</v>
      </c>
      <c r="P457" s="13" t="n">
        <v>0</v>
      </c>
      <c r="Q457" s="22" t="n">
        <v>30</v>
      </c>
      <c r="R457" s="6" t="n">
        <v>1</v>
      </c>
      <c r="U457" s="9" t="n">
        <v>-2647.23</v>
      </c>
      <c r="V457" s="9" t="n">
        <v>-202058.85</v>
      </c>
      <c r="X457" s="9" t="n">
        <v>76.3283</v>
      </c>
      <c r="AK457" s="7" t="inlineStr">
        <is>
          <t>PYTHON_LIFECYCLE</t>
        </is>
      </c>
      <c r="AL457" s="8">
        <f>IF($J457="INR",1,IF($M457&lt;$A457,INDEX(Market_Daily!$F$6:$F$256,MATCH($M457,Market_Daily!$A$6:$A$256,1)),IF($M457=$A457,INDEX(Market_Daily!$F$6:$F$256,MATCH($A457,Market_Daily!$A$6:$A$256,0)),(INDEX(Market_Daily!$F$6:$F$256,MATCH($A457,Market_Daily!$A$6:$A$256,0))*(1+INDEX(Market_Daily!$I$6:$I$256,MATCH($A457,Market_Daily!$A$6:$A$256,0))*($M457-$A457)/day_count_inr)/(1+INDEX(Market_Daily!$J$6:$J$256,MATCH($A457,Market_Daily!$A$6:$A$256,0))*($M457-$A457)/day_count_usd)))))</f>
        <v/>
      </c>
      <c r="AM457" s="8">
        <f>IF(OR($J457="INR",$R457&gt;1),"",$AL457-$X457)</f>
        <v/>
      </c>
      <c r="AN457" s="8">
        <f>$U457</f>
        <v/>
      </c>
      <c r="AO457" s="8">
        <f>$AN457*IF($J457="INR",1,$AL457)</f>
        <v/>
      </c>
      <c r="AP457" s="18">
        <f>$AO457-$V457</f>
        <v/>
      </c>
      <c r="AQ457" s="8">
        <f>IF(ABS($AP457)&lt;=tol_trade_inr,"PASS","FAIL")</f>
        <v/>
      </c>
    </row>
    <row r="458">
      <c r="A458" s="11" t="n">
        <v>44672</v>
      </c>
      <c r="B458" s="7" t="inlineStr">
        <is>
          <t>T05</t>
        </is>
      </c>
      <c r="C458" s="7" t="inlineStr">
        <is>
          <t>INSURANCE:L2</t>
        </is>
      </c>
      <c r="D458" s="7" t="inlineStr">
        <is>
          <t>INSURANCE</t>
        </is>
      </c>
      <c r="E458" s="7" t="inlineStr">
        <is>
          <t>physical</t>
        </is>
      </c>
      <c r="F458" s="7" t="inlineStr">
        <is>
          <t>L2</t>
        </is>
      </c>
      <c r="H458" s="7" t="inlineStr">
        <is>
          <t>tense</t>
        </is>
      </c>
      <c r="I458" s="7" t="inlineStr">
        <is>
          <t>USEC_MUN</t>
        </is>
      </c>
      <c r="J458" s="7" t="inlineStr">
        <is>
          <t>USD</t>
        </is>
      </c>
      <c r="K458" s="7" t="inlineStr">
        <is>
          <t>floating</t>
        </is>
      </c>
      <c r="L458" s="7" t="inlineStr">
        <is>
          <t>PNL</t>
        </is>
      </c>
      <c r="M458" s="11" t="n">
        <v>44699</v>
      </c>
      <c r="N458" s="13" t="n">
        <v>1050</v>
      </c>
      <c r="O458" s="6" t="n">
        <v>0</v>
      </c>
      <c r="P458" s="13" t="n">
        <v>0</v>
      </c>
      <c r="Q458" s="22" t="n">
        <v>30</v>
      </c>
      <c r="R458" s="6" t="n">
        <v>1</v>
      </c>
      <c r="U458" s="9" t="n">
        <v>-2648.23</v>
      </c>
      <c r="V458" s="9" t="n">
        <v>-202271.8</v>
      </c>
      <c r="X458" s="9" t="n">
        <v>76.38</v>
      </c>
      <c r="AK458" s="7" t="inlineStr">
        <is>
          <t>PYTHON_LIFECYCLE</t>
        </is>
      </c>
      <c r="AL458" s="8">
        <f>IF($J458="INR",1,IF($M458&lt;$A458,INDEX(Market_Daily!$F$6:$F$256,MATCH($M458,Market_Daily!$A$6:$A$256,1)),IF($M458=$A458,INDEX(Market_Daily!$F$6:$F$256,MATCH($A458,Market_Daily!$A$6:$A$256,0)),(INDEX(Market_Daily!$F$6:$F$256,MATCH($A458,Market_Daily!$A$6:$A$256,0))*(1+INDEX(Market_Daily!$I$6:$I$256,MATCH($A458,Market_Daily!$A$6:$A$256,0))*($M458-$A458)/day_count_inr)/(1+INDEX(Market_Daily!$J$6:$J$256,MATCH($A458,Market_Daily!$A$6:$A$256,0))*($M458-$A458)/day_count_usd)))))</f>
        <v/>
      </c>
      <c r="AM458" s="8">
        <f>IF(OR($J458="INR",$R458&gt;1),"",$AL458-$X458)</f>
        <v/>
      </c>
      <c r="AN458" s="8">
        <f>$U458</f>
        <v/>
      </c>
      <c r="AO458" s="8">
        <f>$AN458*IF($J458="INR",1,$AL458)</f>
        <v/>
      </c>
      <c r="AP458" s="18">
        <f>$AO458-$V458</f>
        <v/>
      </c>
      <c r="AQ458" s="8">
        <f>IF(ABS($AP458)&lt;=tol_trade_inr,"PASS","FAIL")</f>
        <v/>
      </c>
    </row>
    <row r="459">
      <c r="A459" s="11" t="n">
        <v>44672</v>
      </c>
      <c r="B459" s="7" t="inlineStr">
        <is>
          <t>T05</t>
        </is>
      </c>
      <c r="C459" s="7" t="inlineStr">
        <is>
          <t>LC_USANCE_FEE:L1</t>
        </is>
      </c>
      <c r="D459" s="7" t="inlineStr">
        <is>
          <t>LC_USANCE_FEE</t>
        </is>
      </c>
      <c r="E459" s="7" t="inlineStr">
        <is>
          <t>physical</t>
        </is>
      </c>
      <c r="F459" s="7" t="inlineStr">
        <is>
          <t>L1</t>
        </is>
      </c>
      <c r="H459" s="7" t="inlineStr">
        <is>
          <t>tense</t>
        </is>
      </c>
      <c r="I459" s="7" t="inlineStr">
        <is>
          <t>USEC_MUN</t>
        </is>
      </c>
      <c r="J459" s="7" t="inlineStr">
        <is>
          <t>USD</t>
        </is>
      </c>
      <c r="K459" s="7" t="inlineStr">
        <is>
          <t>floating</t>
        </is>
      </c>
      <c r="L459" s="7" t="inlineStr">
        <is>
          <t>PNL</t>
        </is>
      </c>
      <c r="M459" s="11" t="n">
        <v>44698</v>
      </c>
      <c r="N459" s="13" t="n">
        <v>0</v>
      </c>
      <c r="O459" s="6" t="n">
        <v>0</v>
      </c>
      <c r="P459" s="13" t="n">
        <v>0</v>
      </c>
      <c r="Q459" s="22" t="n">
        <v>30</v>
      </c>
      <c r="R459" s="6" t="n">
        <v>1</v>
      </c>
      <c r="U459" s="9" t="n">
        <v>-3200.74</v>
      </c>
      <c r="V459" s="9" t="n">
        <v>-244452.18</v>
      </c>
      <c r="X459" s="9" t="n">
        <v>76.37350000000001</v>
      </c>
      <c r="AK459" s="7" t="inlineStr">
        <is>
          <t>PYTHON_LIFECYCLE</t>
        </is>
      </c>
      <c r="AL459" s="8">
        <f>IF($J459="INR",1,IF($M459&lt;$A459,INDEX(Market_Daily!$F$6:$F$256,MATCH($M459,Market_Daily!$A$6:$A$256,1)),IF($M459=$A459,INDEX(Market_Daily!$F$6:$F$256,MATCH($A459,Market_Daily!$A$6:$A$256,0)),(INDEX(Market_Daily!$F$6:$F$256,MATCH($A459,Market_Daily!$A$6:$A$256,0))*(1+INDEX(Market_Daily!$I$6:$I$256,MATCH($A459,Market_Daily!$A$6:$A$256,0))*($M459-$A459)/day_count_inr)/(1+INDEX(Market_Daily!$J$6:$J$256,MATCH($A459,Market_Daily!$A$6:$A$256,0))*($M459-$A459)/day_count_usd)))))</f>
        <v/>
      </c>
      <c r="AM459" s="8">
        <f>IF(OR($J459="INR",$R459&gt;1),"",$AL459-$X459)</f>
        <v/>
      </c>
      <c r="AN459" s="8">
        <f>$U459</f>
        <v/>
      </c>
      <c r="AO459" s="8">
        <f>$AN459*IF($J459="INR",1,$AL459)</f>
        <v/>
      </c>
      <c r="AP459" s="18">
        <f>$AO459-$V459</f>
        <v/>
      </c>
      <c r="AQ459" s="8">
        <f>IF(ABS($AP459)&lt;=tol_trade_inr,"PASS","FAIL")</f>
        <v/>
      </c>
    </row>
    <row r="460">
      <c r="A460" s="11" t="n">
        <v>44672</v>
      </c>
      <c r="B460" s="7" t="inlineStr">
        <is>
          <t>T05</t>
        </is>
      </c>
      <c r="C460" s="7" t="inlineStr">
        <is>
          <t>LC_USANCE_FEE:L2</t>
        </is>
      </c>
      <c r="D460" s="7" t="inlineStr">
        <is>
          <t>LC_USANCE_FEE</t>
        </is>
      </c>
      <c r="E460" s="7" t="inlineStr">
        <is>
          <t>physical</t>
        </is>
      </c>
      <c r="F460" s="7" t="inlineStr">
        <is>
          <t>L2</t>
        </is>
      </c>
      <c r="H460" s="7" t="inlineStr">
        <is>
          <t>tense</t>
        </is>
      </c>
      <c r="I460" s="7" t="inlineStr">
        <is>
          <t>USEC_MUN</t>
        </is>
      </c>
      <c r="J460" s="7" t="inlineStr">
        <is>
          <t>USD</t>
        </is>
      </c>
      <c r="K460" s="7" t="inlineStr">
        <is>
          <t>floating</t>
        </is>
      </c>
      <c r="L460" s="7" t="inlineStr">
        <is>
          <t>PNL</t>
        </is>
      </c>
      <c r="M460" s="11" t="n">
        <v>44706</v>
      </c>
      <c r="N460" s="13" t="n">
        <v>0</v>
      </c>
      <c r="O460" s="6" t="n">
        <v>0</v>
      </c>
      <c r="P460" s="13" t="n">
        <v>0</v>
      </c>
      <c r="Q460" s="22" t="n">
        <v>30</v>
      </c>
      <c r="R460" s="6" t="n">
        <v>1</v>
      </c>
      <c r="U460" s="9" t="n">
        <v>-3201.95</v>
      </c>
      <c r="V460" s="9" t="n">
        <v>-244709.65</v>
      </c>
      <c r="X460" s="9" t="n">
        <v>76.4252</v>
      </c>
      <c r="AK460" s="7" t="inlineStr">
        <is>
          <t>PYTHON_LIFECYCLE</t>
        </is>
      </c>
      <c r="AL460" s="8">
        <f>IF($J460="INR",1,IF($M460&lt;$A460,INDEX(Market_Daily!$F$6:$F$256,MATCH($M460,Market_Daily!$A$6:$A$256,1)),IF($M460=$A460,INDEX(Market_Daily!$F$6:$F$256,MATCH($A460,Market_Daily!$A$6:$A$256,0)),(INDEX(Market_Daily!$F$6:$F$256,MATCH($A460,Market_Daily!$A$6:$A$256,0))*(1+INDEX(Market_Daily!$I$6:$I$256,MATCH($A460,Market_Daily!$A$6:$A$256,0))*($M460-$A460)/day_count_inr)/(1+INDEX(Market_Daily!$J$6:$J$256,MATCH($A460,Market_Daily!$A$6:$A$256,0))*($M460-$A460)/day_count_usd)))))</f>
        <v/>
      </c>
      <c r="AM460" s="8">
        <f>IF(OR($J460="INR",$R460&gt;1),"",$AL460-$X460)</f>
        <v/>
      </c>
      <c r="AN460" s="8">
        <f>$U460</f>
        <v/>
      </c>
      <c r="AO460" s="8">
        <f>$AN460*IF($J460="INR",1,$AL460)</f>
        <v/>
      </c>
      <c r="AP460" s="18">
        <f>$AO460-$V460</f>
        <v/>
      </c>
      <c r="AQ460" s="8">
        <f>IF(ABS($AP460)&lt;=tol_trade_inr,"PASS","FAIL")</f>
        <v/>
      </c>
    </row>
    <row r="461">
      <c r="A461" s="11" t="n">
        <v>44672</v>
      </c>
      <c r="B461" s="7" t="inlineStr">
        <is>
          <t>T05</t>
        </is>
      </c>
      <c r="C461" s="7" t="inlineStr">
        <is>
          <t>MCX:T05-MCX-1</t>
        </is>
      </c>
      <c r="D461" s="7" t="inlineStr">
        <is>
          <t>MCX</t>
        </is>
      </c>
      <c r="E461" s="7" t="inlineStr">
        <is>
          <t>mcx</t>
        </is>
      </c>
      <c r="H461" s="7" t="inlineStr">
        <is>
          <t>tense</t>
        </is>
      </c>
      <c r="I461" s="7" t="inlineStr">
        <is>
          <t>USEC_MUN</t>
        </is>
      </c>
      <c r="J461" s="7" t="inlineStr">
        <is>
          <t>INR</t>
        </is>
      </c>
      <c r="K461" s="7" t="inlineStr">
        <is>
          <t>partially_fixed</t>
        </is>
      </c>
      <c r="L461" s="7" t="inlineStr">
        <is>
          <t>PNL</t>
        </is>
      </c>
      <c r="M461" s="11" t="n">
        <v>44701</v>
      </c>
      <c r="N461" s="13" t="n">
        <v>0</v>
      </c>
      <c r="O461" s="6" t="n">
        <v>-105</v>
      </c>
      <c r="P461" s="13" t="n">
        <v>0</v>
      </c>
      <c r="Q461" s="22" t="n">
        <v>30</v>
      </c>
      <c r="R461" s="6" t="n">
        <v>21</v>
      </c>
      <c r="U461" s="9" t="n">
        <v>0</v>
      </c>
      <c r="V461" s="9" t="n">
        <v>0</v>
      </c>
      <c r="X461" s="9" t="n">
        <v>76.2056</v>
      </c>
      <c r="AK461" s="7" t="inlineStr">
        <is>
          <t>PYTHON_MULTI_FLOW_LEG</t>
        </is>
      </c>
      <c r="AL461" s="8">
        <f>IF($J461="INR",1,IF($M461&lt;$A461,INDEX(Market_Daily!$F$6:$F$256,MATCH($M461,Market_Daily!$A$6:$A$256,1)),IF($M461=$A461,INDEX(Market_Daily!$F$6:$F$256,MATCH($A461,Market_Daily!$A$6:$A$256,0)),(INDEX(Market_Daily!$F$6:$F$256,MATCH($A461,Market_Daily!$A$6:$A$256,0))*(1+INDEX(Market_Daily!$I$6:$I$256,MATCH($A461,Market_Daily!$A$6:$A$256,0))*($M461-$A461)/day_count_inr)/(1+INDEX(Market_Daily!$J$6:$J$256,MATCH($A461,Market_Daily!$A$6:$A$256,0))*($M461-$A461)/day_count_usd)))))</f>
        <v/>
      </c>
      <c r="AM461" s="8">
        <f>IF(OR($J461="INR",$R461&gt;1),"",$AL461-$X461)</f>
        <v/>
      </c>
      <c r="AN461" s="8">
        <f>$U461</f>
        <v/>
      </c>
      <c r="AO461" s="8">
        <f>$V461</f>
        <v/>
      </c>
      <c r="AP461" s="18">
        <f>$AO461-$V461</f>
        <v/>
      </c>
      <c r="AQ461" s="8">
        <f>IF(ABS($AP461)&lt;=tol_trade_inr,"PASS","FAIL")</f>
        <v/>
      </c>
    </row>
    <row r="462">
      <c r="A462" s="11" t="n">
        <v>44672</v>
      </c>
      <c r="B462" s="7" t="inlineStr">
        <is>
          <t>T05</t>
        </is>
      </c>
      <c r="C462" s="7" t="inlineStr">
        <is>
          <t>PORT:L1</t>
        </is>
      </c>
      <c r="D462" s="7" t="inlineStr">
        <is>
          <t>PORT</t>
        </is>
      </c>
      <c r="E462" s="7" t="inlineStr">
        <is>
          <t>physical</t>
        </is>
      </c>
      <c r="F462" s="7" t="inlineStr">
        <is>
          <t>L1</t>
        </is>
      </c>
      <c r="H462" s="7" t="inlineStr">
        <is>
          <t>tense</t>
        </is>
      </c>
      <c r="I462" s="7" t="inlineStr">
        <is>
          <t>USEC_MUN</t>
        </is>
      </c>
      <c r="J462" s="7" t="inlineStr">
        <is>
          <t>INR</t>
        </is>
      </c>
      <c r="K462" s="7" t="inlineStr">
        <is>
          <t>fixed_unsettled</t>
        </is>
      </c>
      <c r="L462" s="7" t="inlineStr">
        <is>
          <t>PNL</t>
        </is>
      </c>
      <c r="M462" s="11" t="n">
        <v>44741</v>
      </c>
      <c r="N462" s="13" t="n">
        <v>0</v>
      </c>
      <c r="O462" s="6" t="n">
        <v>0</v>
      </c>
      <c r="P462" s="13" t="n">
        <v>0</v>
      </c>
      <c r="Q462" s="22" t="n">
        <v>30</v>
      </c>
      <c r="R462" s="6" t="n">
        <v>1</v>
      </c>
      <c r="U462" s="9" t="n">
        <v>-2782500</v>
      </c>
      <c r="V462" s="9" t="n">
        <v>-2782500</v>
      </c>
      <c r="X462" s="9" t="n">
        <v>76.2056</v>
      </c>
      <c r="AK462" s="7" t="inlineStr">
        <is>
          <t>PYTHON_LIFECYCLE</t>
        </is>
      </c>
      <c r="AL462" s="8">
        <f>IF($J462="INR",1,IF($M462&lt;$A462,INDEX(Market_Daily!$F$6:$F$256,MATCH($M462,Market_Daily!$A$6:$A$256,1)),IF($M462=$A462,INDEX(Market_Daily!$F$6:$F$256,MATCH($A462,Market_Daily!$A$6:$A$256,0)),(INDEX(Market_Daily!$F$6:$F$256,MATCH($A462,Market_Daily!$A$6:$A$256,0))*(1+INDEX(Market_Daily!$I$6:$I$256,MATCH($A462,Market_Daily!$A$6:$A$256,0))*($M462-$A462)/day_count_inr)/(1+INDEX(Market_Daily!$J$6:$J$256,MATCH($A462,Market_Daily!$A$6:$A$256,0))*($M462-$A462)/day_count_usd)))))</f>
        <v/>
      </c>
      <c r="AM462" s="8">
        <f>IF(OR($J462="INR",$R462&gt;1),"",$AL462-$X462)</f>
        <v/>
      </c>
      <c r="AN462" s="8">
        <f>$U462</f>
        <v/>
      </c>
      <c r="AO462" s="8">
        <f>$AN462*IF($J462="INR",1,$AL462)</f>
        <v/>
      </c>
      <c r="AP462" s="18">
        <f>$AO462-$V462</f>
        <v/>
      </c>
      <c r="AQ462" s="8">
        <f>IF(ABS($AP462)&lt;=tol_trade_inr,"PASS","FAIL")</f>
        <v/>
      </c>
    </row>
    <row r="463">
      <c r="A463" s="11" t="n">
        <v>44672</v>
      </c>
      <c r="B463" s="7" t="inlineStr">
        <is>
          <t>T05</t>
        </is>
      </c>
      <c r="C463" s="7" t="inlineStr">
        <is>
          <t>PORT:L2</t>
        </is>
      </c>
      <c r="D463" s="7" t="inlineStr">
        <is>
          <t>PORT</t>
        </is>
      </c>
      <c r="E463" s="7" t="inlineStr">
        <is>
          <t>physical</t>
        </is>
      </c>
      <c r="F463" s="7" t="inlineStr">
        <is>
          <t>L2</t>
        </is>
      </c>
      <c r="H463" s="7" t="inlineStr">
        <is>
          <t>tense</t>
        </is>
      </c>
      <c r="I463" s="7" t="inlineStr">
        <is>
          <t>USEC_MUN</t>
        </is>
      </c>
      <c r="J463" s="7" t="inlineStr">
        <is>
          <t>INR</t>
        </is>
      </c>
      <c r="K463" s="7" t="inlineStr">
        <is>
          <t>fixed_unsettled</t>
        </is>
      </c>
      <c r="L463" s="7" t="inlineStr">
        <is>
          <t>PNL</t>
        </is>
      </c>
      <c r="M463" s="11" t="n">
        <v>44749</v>
      </c>
      <c r="N463" s="13" t="n">
        <v>0</v>
      </c>
      <c r="O463" s="6" t="n">
        <v>0</v>
      </c>
      <c r="P463" s="13" t="n">
        <v>0</v>
      </c>
      <c r="Q463" s="22" t="n">
        <v>30</v>
      </c>
      <c r="R463" s="6" t="n">
        <v>1</v>
      </c>
      <c r="U463" s="9" t="n">
        <v>-2782500</v>
      </c>
      <c r="V463" s="9" t="n">
        <v>-2782500</v>
      </c>
      <c r="X463" s="9" t="n">
        <v>76.2056</v>
      </c>
      <c r="AK463" s="7" t="inlineStr">
        <is>
          <t>PYTHON_LIFECYCLE</t>
        </is>
      </c>
      <c r="AL463" s="8">
        <f>IF($J463="INR",1,IF($M463&lt;$A463,INDEX(Market_Daily!$F$6:$F$256,MATCH($M463,Market_Daily!$A$6:$A$256,1)),IF($M463=$A463,INDEX(Market_Daily!$F$6:$F$256,MATCH($A463,Market_Daily!$A$6:$A$256,0)),(INDEX(Market_Daily!$F$6:$F$256,MATCH($A463,Market_Daily!$A$6:$A$256,0))*(1+INDEX(Market_Daily!$I$6:$I$256,MATCH($A463,Market_Daily!$A$6:$A$256,0))*($M463-$A463)/day_count_inr)/(1+INDEX(Market_Daily!$J$6:$J$256,MATCH($A463,Market_Daily!$A$6:$A$256,0))*($M463-$A463)/day_count_usd)))))</f>
        <v/>
      </c>
      <c r="AM463" s="8">
        <f>IF(OR($J463="INR",$R463&gt;1),"",$AL463-$X463)</f>
        <v/>
      </c>
      <c r="AN463" s="8">
        <f>$U463</f>
        <v/>
      </c>
      <c r="AO463" s="8">
        <f>$AN463*IF($J463="INR",1,$AL463)</f>
        <v/>
      </c>
      <c r="AP463" s="18">
        <f>$AO463-$V463</f>
        <v/>
      </c>
      <c r="AQ463" s="8">
        <f>IF(ABS($AP463)&lt;=tol_trade_inr,"PASS","FAIL")</f>
        <v/>
      </c>
    </row>
    <row r="464">
      <c r="A464" s="11" t="n">
        <v>44672</v>
      </c>
      <c r="B464" s="7" t="inlineStr">
        <is>
          <t>T05</t>
        </is>
      </c>
      <c r="C464" s="7" t="inlineStr">
        <is>
          <t>PURCHASE:L1</t>
        </is>
      </c>
      <c r="D464" s="7" t="inlineStr">
        <is>
          <t>PURCHASE</t>
        </is>
      </c>
      <c r="E464" s="7" t="inlineStr">
        <is>
          <t>physical</t>
        </is>
      </c>
      <c r="F464" s="7" t="inlineStr">
        <is>
          <t>L1</t>
        </is>
      </c>
      <c r="G464" s="7" t="inlineStr">
        <is>
          <t>SUP_USEC_01</t>
        </is>
      </c>
      <c r="H464" s="7" t="inlineStr">
        <is>
          <t>tense</t>
        </is>
      </c>
      <c r="I464" s="7" t="inlineStr">
        <is>
          <t>USEC_MUN</t>
        </is>
      </c>
      <c r="J464" s="7" t="inlineStr">
        <is>
          <t>USD</t>
        </is>
      </c>
      <c r="K464" s="7" t="inlineStr">
        <is>
          <t>floating</t>
        </is>
      </c>
      <c r="L464" s="7" t="inlineStr">
        <is>
          <t>PNL</t>
        </is>
      </c>
      <c r="M464" s="11" t="n">
        <v>44753</v>
      </c>
      <c r="N464" s="13" t="n">
        <v>2100</v>
      </c>
      <c r="O464" s="6" t="n">
        <v>0</v>
      </c>
      <c r="P464" s="13" t="n">
        <v>0</v>
      </c>
      <c r="Q464" s="22" t="n">
        <v>30</v>
      </c>
      <c r="R464" s="6" t="n">
        <v>2</v>
      </c>
      <c r="U464" s="9" t="n">
        <v>-2410884</v>
      </c>
      <c r="V464" s="9" t="n">
        <v>-184979421.25</v>
      </c>
      <c r="X464" s="9" t="n">
        <v>76.7281</v>
      </c>
      <c r="AK464" s="7" t="inlineStr">
        <is>
          <t>PYTHON_MULTI_FLOW_LEG</t>
        </is>
      </c>
      <c r="AL464" s="8">
        <f>IF($J464="INR",1,IF($M464&lt;$A464,INDEX(Market_Daily!$F$6:$F$256,MATCH($M464,Market_Daily!$A$6:$A$256,1)),IF($M464=$A464,INDEX(Market_Daily!$F$6:$F$256,MATCH($A464,Market_Daily!$A$6:$A$256,0)),(INDEX(Market_Daily!$F$6:$F$256,MATCH($A464,Market_Daily!$A$6:$A$256,0))*(1+INDEX(Market_Daily!$I$6:$I$256,MATCH($A464,Market_Daily!$A$6:$A$256,0))*($M464-$A464)/day_count_inr)/(1+INDEX(Market_Daily!$J$6:$J$256,MATCH($A464,Market_Daily!$A$6:$A$256,0))*($M464-$A464)/day_count_usd)))))</f>
        <v/>
      </c>
      <c r="AM464" s="8">
        <f>IF(OR($J464="INR",$R464&gt;1),"",$AL464-$X464)</f>
        <v/>
      </c>
      <c r="AN464" s="8">
        <f>$U464</f>
        <v/>
      </c>
      <c r="AO464" s="8">
        <f>$V464</f>
        <v/>
      </c>
      <c r="AP464" s="18">
        <f>$AO464-$V464</f>
        <v/>
      </c>
      <c r="AQ464" s="8">
        <f>IF(ABS($AP464)&lt;=tol_trade_inr,"PASS","FAIL")</f>
        <v/>
      </c>
    </row>
    <row r="465">
      <c r="A465" s="11" t="n">
        <v>44672</v>
      </c>
      <c r="B465" s="7" t="inlineStr">
        <is>
          <t>T05</t>
        </is>
      </c>
      <c r="C465" s="7" t="inlineStr">
        <is>
          <t>PURCHASE:L2</t>
        </is>
      </c>
      <c r="D465" s="7" t="inlineStr">
        <is>
          <t>PURCHASE</t>
        </is>
      </c>
      <c r="E465" s="7" t="inlineStr">
        <is>
          <t>physical</t>
        </is>
      </c>
      <c r="F465" s="7" t="inlineStr">
        <is>
          <t>L2</t>
        </is>
      </c>
      <c r="G465" s="7" t="inlineStr">
        <is>
          <t>SUP_USEC_01</t>
        </is>
      </c>
      <c r="H465" s="7" t="inlineStr">
        <is>
          <t>tense</t>
        </is>
      </c>
      <c r="I465" s="7" t="inlineStr">
        <is>
          <t>USEC_MUN</t>
        </is>
      </c>
      <c r="J465" s="7" t="inlineStr">
        <is>
          <t>USD</t>
        </is>
      </c>
      <c r="K465" s="7" t="inlineStr">
        <is>
          <t>floating</t>
        </is>
      </c>
      <c r="L465" s="7" t="inlineStr">
        <is>
          <t>PNL</t>
        </is>
      </c>
      <c r="M465" s="11" t="n">
        <v>44760</v>
      </c>
      <c r="N465" s="13" t="n">
        <v>2100</v>
      </c>
      <c r="O465" s="6" t="n">
        <v>0</v>
      </c>
      <c r="P465" s="13" t="n">
        <v>0</v>
      </c>
      <c r="Q465" s="22" t="n">
        <v>30</v>
      </c>
      <c r="R465" s="6" t="n">
        <v>2</v>
      </c>
      <c r="U465" s="9" t="n">
        <v>-2410884</v>
      </c>
      <c r="V465" s="9" t="n">
        <v>-185082516.82</v>
      </c>
      <c r="X465" s="9" t="n">
        <v>76.7732</v>
      </c>
      <c r="AK465" s="7" t="inlineStr">
        <is>
          <t>PYTHON_MULTI_FLOW_LEG</t>
        </is>
      </c>
      <c r="AL465" s="8">
        <f>IF($J465="INR",1,IF($M465&lt;$A465,INDEX(Market_Daily!$F$6:$F$256,MATCH($M465,Market_Daily!$A$6:$A$256,1)),IF($M465=$A465,INDEX(Market_Daily!$F$6:$F$256,MATCH($A465,Market_Daily!$A$6:$A$256,0)),(INDEX(Market_Daily!$F$6:$F$256,MATCH($A465,Market_Daily!$A$6:$A$256,0))*(1+INDEX(Market_Daily!$I$6:$I$256,MATCH($A465,Market_Daily!$A$6:$A$256,0))*($M465-$A465)/day_count_inr)/(1+INDEX(Market_Daily!$J$6:$J$256,MATCH($A465,Market_Daily!$A$6:$A$256,0))*($M465-$A465)/day_count_usd)))))</f>
        <v/>
      </c>
      <c r="AM465" s="8">
        <f>IF(OR($J465="INR",$R465&gt;1),"",$AL465-$X465)</f>
        <v/>
      </c>
      <c r="AN465" s="8">
        <f>$U465</f>
        <v/>
      </c>
      <c r="AO465" s="8">
        <f>$V465</f>
        <v/>
      </c>
      <c r="AP465" s="18">
        <f>$AO465-$V465</f>
        <v/>
      </c>
      <c r="AQ465" s="8">
        <f>IF(ABS($AP465)&lt;=tol_trade_inr,"PASS","FAIL")</f>
        <v/>
      </c>
    </row>
    <row r="466">
      <c r="A466" s="11" t="n">
        <v>44672</v>
      </c>
      <c r="B466" s="7" t="inlineStr">
        <is>
          <t>T05</t>
        </is>
      </c>
      <c r="C466" s="7" t="inlineStr">
        <is>
          <t>SALE:S1</t>
        </is>
      </c>
      <c r="D466" s="7" t="inlineStr">
        <is>
          <t>SALE</t>
        </is>
      </c>
      <c r="E466" s="7" t="inlineStr">
        <is>
          <t>physical</t>
        </is>
      </c>
      <c r="G466" s="7" t="inlineStr">
        <is>
          <t>BUY_MUN_01</t>
        </is>
      </c>
      <c r="H466" s="7" t="inlineStr">
        <is>
          <t>tense</t>
        </is>
      </c>
      <c r="I466" s="7" t="inlineStr">
        <is>
          <t>USEC_MUN</t>
        </is>
      </c>
      <c r="J466" s="7" t="inlineStr">
        <is>
          <t>INR</t>
        </is>
      </c>
      <c r="K466" s="7" t="inlineStr">
        <is>
          <t>floating</t>
        </is>
      </c>
      <c r="L466" s="7" t="inlineStr">
        <is>
          <t>PNL</t>
        </is>
      </c>
      <c r="M466" s="11" t="n">
        <v>44781</v>
      </c>
      <c r="N466" s="13" t="n">
        <v>2100</v>
      </c>
      <c r="O466" s="6" t="n">
        <v>0</v>
      </c>
      <c r="P466" s="13" t="n">
        <v>0</v>
      </c>
      <c r="Q466" s="22" t="n">
        <v>30</v>
      </c>
      <c r="R466" s="6" t="n">
        <v>1</v>
      </c>
      <c r="U466" s="9" t="n">
        <v>436210598.95</v>
      </c>
      <c r="V466" s="9" t="n">
        <v>436210598.95</v>
      </c>
      <c r="W466" s="9" t="n">
        <v>207719.3328</v>
      </c>
      <c r="X466" s="9" t="n">
        <v>76.2056</v>
      </c>
      <c r="AK466" s="7" t="inlineStr">
        <is>
          <t>PYTHON_LIFECYCLE</t>
        </is>
      </c>
      <c r="AL466" s="8">
        <f>IF($J466="INR",1,IF($M466&lt;$A466,INDEX(Market_Daily!$F$6:$F$256,MATCH($M466,Market_Daily!$A$6:$A$256,1)),IF($M466=$A466,INDEX(Market_Daily!$F$6:$F$256,MATCH($A466,Market_Daily!$A$6:$A$256,0)),(INDEX(Market_Daily!$F$6:$F$256,MATCH($A466,Market_Daily!$A$6:$A$256,0))*(1+INDEX(Market_Daily!$I$6:$I$256,MATCH($A466,Market_Daily!$A$6:$A$256,0))*($M466-$A466)/day_count_inr)/(1+INDEX(Market_Daily!$J$6:$J$256,MATCH($A466,Market_Daily!$A$6:$A$256,0))*($M466-$A466)/day_count_usd)))))</f>
        <v/>
      </c>
      <c r="AM466" s="8">
        <f>IF(OR($J466="INR",$R466&gt;1),"",$AL466-$X466)</f>
        <v/>
      </c>
      <c r="AN466" s="8">
        <f>$U466</f>
        <v/>
      </c>
      <c r="AO466" s="8">
        <f>$AN466*IF($J466="INR",1,$AL466)</f>
        <v/>
      </c>
      <c r="AP466" s="18">
        <f>$AO466-$V466</f>
        <v/>
      </c>
      <c r="AQ466" s="8">
        <f>IF(ABS($AP466)&lt;=tol_trade_inr,"PASS","FAIL")</f>
        <v/>
      </c>
    </row>
    <row r="467">
      <c r="A467" s="11" t="n">
        <v>44672</v>
      </c>
      <c r="B467" s="7" t="inlineStr">
        <is>
          <t>T05</t>
        </is>
      </c>
      <c r="C467" s="7" t="inlineStr">
        <is>
          <t>USANCE_INTEREST:L1</t>
        </is>
      </c>
      <c r="D467" s="7" t="inlineStr">
        <is>
          <t>USANCE_INTEREST</t>
        </is>
      </c>
      <c r="E467" s="7" t="inlineStr">
        <is>
          <t>physical</t>
        </is>
      </c>
      <c r="F467" s="7" t="inlineStr">
        <is>
          <t>L1</t>
        </is>
      </c>
      <c r="H467" s="7" t="inlineStr">
        <is>
          <t>tense</t>
        </is>
      </c>
      <c r="I467" s="7" t="inlineStr">
        <is>
          <t>USEC_MUN</t>
        </is>
      </c>
      <c r="J467" s="7" t="inlineStr">
        <is>
          <t>USD</t>
        </is>
      </c>
      <c r="K467" s="7" t="inlineStr">
        <is>
          <t>floating</t>
        </is>
      </c>
      <c r="L467" s="7" t="inlineStr">
        <is>
          <t>PNL</t>
        </is>
      </c>
      <c r="M467" s="11" t="n">
        <v>44753</v>
      </c>
      <c r="N467" s="13" t="n">
        <v>0</v>
      </c>
      <c r="O467" s="6" t="n">
        <v>0</v>
      </c>
      <c r="P467" s="13" t="n">
        <v>0</v>
      </c>
      <c r="Q467" s="22" t="n">
        <v>30</v>
      </c>
      <c r="R467" s="6" t="n">
        <v>1</v>
      </c>
      <c r="U467" s="9" t="n">
        <v>-8834.82</v>
      </c>
      <c r="V467" s="9" t="n">
        <v>-677879.02</v>
      </c>
      <c r="X467" s="9" t="n">
        <v>76.7281</v>
      </c>
      <c r="AK467" s="7" t="inlineStr">
        <is>
          <t>PYTHON_LIFECYCLE</t>
        </is>
      </c>
      <c r="AL467" s="8">
        <f>IF($J467="INR",1,IF($M467&lt;$A467,INDEX(Market_Daily!$F$6:$F$256,MATCH($M467,Market_Daily!$A$6:$A$256,1)),IF($M467=$A467,INDEX(Market_Daily!$F$6:$F$256,MATCH($A467,Market_Daily!$A$6:$A$256,0)),(INDEX(Market_Daily!$F$6:$F$256,MATCH($A467,Market_Daily!$A$6:$A$256,0))*(1+INDEX(Market_Daily!$I$6:$I$256,MATCH($A467,Market_Daily!$A$6:$A$256,0))*($M467-$A467)/day_count_inr)/(1+INDEX(Market_Daily!$J$6:$J$256,MATCH($A467,Market_Daily!$A$6:$A$256,0))*($M467-$A467)/day_count_usd)))))</f>
        <v/>
      </c>
      <c r="AM467" s="8">
        <f>IF(OR($J467="INR",$R467&gt;1),"",$AL467-$X467)</f>
        <v/>
      </c>
      <c r="AN467" s="8">
        <f>$U467</f>
        <v/>
      </c>
      <c r="AO467" s="8">
        <f>$AN467*IF($J467="INR",1,$AL467)</f>
        <v/>
      </c>
      <c r="AP467" s="18">
        <f>$AO467-$V467</f>
        <v/>
      </c>
      <c r="AQ467" s="8">
        <f>IF(ABS($AP467)&lt;=tol_trade_inr,"PASS","FAIL")</f>
        <v/>
      </c>
    </row>
    <row r="468">
      <c r="A468" s="11" t="n">
        <v>44672</v>
      </c>
      <c r="B468" s="7" t="inlineStr">
        <is>
          <t>T05</t>
        </is>
      </c>
      <c r="C468" s="7" t="inlineStr">
        <is>
          <t>USANCE_INTEREST:L2</t>
        </is>
      </c>
      <c r="D468" s="7" t="inlineStr">
        <is>
          <t>USANCE_INTEREST</t>
        </is>
      </c>
      <c r="E468" s="7" t="inlineStr">
        <is>
          <t>physical</t>
        </is>
      </c>
      <c r="F468" s="7" t="inlineStr">
        <is>
          <t>L2</t>
        </is>
      </c>
      <c r="H468" s="7" t="inlineStr">
        <is>
          <t>tense</t>
        </is>
      </c>
      <c r="I468" s="7" t="inlineStr">
        <is>
          <t>USEC_MUN</t>
        </is>
      </c>
      <c r="J468" s="7" t="inlineStr">
        <is>
          <t>USD</t>
        </is>
      </c>
      <c r="K468" s="7" t="inlineStr">
        <is>
          <t>floating</t>
        </is>
      </c>
      <c r="L468" s="7" t="inlineStr">
        <is>
          <t>PNL</t>
        </is>
      </c>
      <c r="M468" s="11" t="n">
        <v>44760</v>
      </c>
      <c r="N468" s="13" t="n">
        <v>0</v>
      </c>
      <c r="O468" s="6" t="n">
        <v>0</v>
      </c>
      <c r="P468" s="13" t="n">
        <v>0</v>
      </c>
      <c r="Q468" s="22" t="n">
        <v>30</v>
      </c>
      <c r="R468" s="6" t="n">
        <v>1</v>
      </c>
      <c r="U468" s="9" t="n">
        <v>-8838.15</v>
      </c>
      <c r="V468" s="9" t="n">
        <v>-678532.86</v>
      </c>
      <c r="X468" s="9" t="n">
        <v>76.7732</v>
      </c>
      <c r="AK468" s="7" t="inlineStr">
        <is>
          <t>PYTHON_LIFECYCLE</t>
        </is>
      </c>
      <c r="AL468" s="8">
        <f>IF($J468="INR",1,IF($M468&lt;$A468,INDEX(Market_Daily!$F$6:$F$256,MATCH($M468,Market_Daily!$A$6:$A$256,1)),IF($M468=$A468,INDEX(Market_Daily!$F$6:$F$256,MATCH($A468,Market_Daily!$A$6:$A$256,0)),(INDEX(Market_Daily!$F$6:$F$256,MATCH($A468,Market_Daily!$A$6:$A$256,0))*(1+INDEX(Market_Daily!$I$6:$I$256,MATCH($A468,Market_Daily!$A$6:$A$256,0))*($M468-$A468)/day_count_inr)/(1+INDEX(Market_Daily!$J$6:$J$256,MATCH($A468,Market_Daily!$A$6:$A$256,0))*($M468-$A468)/day_count_usd)))))</f>
        <v/>
      </c>
      <c r="AM468" s="8">
        <f>IF(OR($J468="INR",$R468&gt;1),"",$AL468-$X468)</f>
        <v/>
      </c>
      <c r="AN468" s="8">
        <f>$U468</f>
        <v/>
      </c>
      <c r="AO468" s="8">
        <f>$AN468*IF($J468="INR",1,$AL468)</f>
        <v/>
      </c>
      <c r="AP468" s="18">
        <f>$AO468-$V468</f>
        <v/>
      </c>
      <c r="AQ468" s="8">
        <f>IF(ABS($AP468)&lt;=tol_trade_inr,"PASS","FAIL")</f>
        <v/>
      </c>
    </row>
    <row r="469">
      <c r="A469" s="11" t="n">
        <v>44673</v>
      </c>
      <c r="B469" s="7" t="inlineStr">
        <is>
          <t>T01</t>
        </is>
      </c>
      <c r="C469" s="7" t="inlineStr">
        <is>
          <t>DUTY:L1</t>
        </is>
      </c>
      <c r="D469" s="7" t="inlineStr">
        <is>
          <t>DUTY</t>
        </is>
      </c>
      <c r="E469" s="7" t="inlineStr">
        <is>
          <t>physical</t>
        </is>
      </c>
      <c r="F469" s="7" t="inlineStr">
        <is>
          <t>L1</t>
        </is>
      </c>
      <c r="H469" s="7" t="inlineStr">
        <is>
          <t>zorba</t>
        </is>
      </c>
      <c r="I469" s="7" t="inlineStr">
        <is>
          <t>USEC_MUN</t>
        </is>
      </c>
      <c r="J469" s="7" t="inlineStr">
        <is>
          <t>INR</t>
        </is>
      </c>
      <c r="K469" s="7" t="inlineStr">
        <is>
          <t>floating</t>
        </is>
      </c>
      <c r="L469" s="7" t="inlineStr">
        <is>
          <t>PNL</t>
        </is>
      </c>
      <c r="M469" s="11" t="n">
        <v>44690</v>
      </c>
      <c r="N469" s="13" t="n">
        <v>840</v>
      </c>
      <c r="O469" s="6" t="n">
        <v>0</v>
      </c>
      <c r="P469" s="13" t="n">
        <v>0</v>
      </c>
      <c r="Q469" s="22" t="n">
        <v>30</v>
      </c>
      <c r="R469" s="6" t="n">
        <v>1</v>
      </c>
      <c r="U469" s="9" t="n">
        <v>-4359213.02</v>
      </c>
      <c r="V469" s="9" t="n">
        <v>-4359213.02</v>
      </c>
      <c r="X469" s="9" t="n">
        <v>76.4485</v>
      </c>
      <c r="AK469" s="7" t="inlineStr">
        <is>
          <t>PYTHON_LIFECYCLE</t>
        </is>
      </c>
      <c r="AL469" s="8">
        <f>IF($J469="INR",1,IF($M469&lt;$A469,INDEX(Market_Daily!$F$6:$F$256,MATCH($M469,Market_Daily!$A$6:$A$256,1)),IF($M469=$A469,INDEX(Market_Daily!$F$6:$F$256,MATCH($A469,Market_Daily!$A$6:$A$256,0)),(INDEX(Market_Daily!$F$6:$F$256,MATCH($A469,Market_Daily!$A$6:$A$256,0))*(1+INDEX(Market_Daily!$I$6:$I$256,MATCH($A469,Market_Daily!$A$6:$A$256,0))*($M469-$A469)/day_count_inr)/(1+INDEX(Market_Daily!$J$6:$J$256,MATCH($A469,Market_Daily!$A$6:$A$256,0))*($M469-$A469)/day_count_usd)))))</f>
        <v/>
      </c>
      <c r="AM469" s="8">
        <f>IF(OR($J469="INR",$R469&gt;1),"",$AL469-$X469)</f>
        <v/>
      </c>
      <c r="AN469" s="8">
        <f>$U469</f>
        <v/>
      </c>
      <c r="AO469" s="8">
        <f>$AN469*IF($J469="INR",1,$AL469)</f>
        <v/>
      </c>
      <c r="AP469" s="18">
        <f>$AO469-$V469</f>
        <v/>
      </c>
      <c r="AQ469" s="8">
        <f>IF(ABS($AP469)&lt;=tol_trade_inr,"PASS","FAIL")</f>
        <v/>
      </c>
    </row>
    <row r="470">
      <c r="A470" s="11" t="n">
        <v>44673</v>
      </c>
      <c r="B470" s="7" t="inlineStr">
        <is>
          <t>T01</t>
        </is>
      </c>
      <c r="C470" s="7" t="inlineStr">
        <is>
          <t>DUTY:L2</t>
        </is>
      </c>
      <c r="D470" s="7" t="inlineStr">
        <is>
          <t>DUTY</t>
        </is>
      </c>
      <c r="E470" s="7" t="inlineStr">
        <is>
          <t>physical</t>
        </is>
      </c>
      <c r="F470" s="7" t="inlineStr">
        <is>
          <t>L2</t>
        </is>
      </c>
      <c r="H470" s="7" t="inlineStr">
        <is>
          <t>zorba</t>
        </is>
      </c>
      <c r="I470" s="7" t="inlineStr">
        <is>
          <t>USEC_MUN</t>
        </is>
      </c>
      <c r="J470" s="7" t="inlineStr">
        <is>
          <t>INR</t>
        </is>
      </c>
      <c r="K470" s="7" t="inlineStr">
        <is>
          <t>floating</t>
        </is>
      </c>
      <c r="L470" s="7" t="inlineStr">
        <is>
          <t>PNL</t>
        </is>
      </c>
      <c r="M470" s="11" t="n">
        <v>44697</v>
      </c>
      <c r="N470" s="13" t="n">
        <v>840</v>
      </c>
      <c r="O470" s="6" t="n">
        <v>0</v>
      </c>
      <c r="P470" s="13" t="n">
        <v>0</v>
      </c>
      <c r="Q470" s="22" t="n">
        <v>30</v>
      </c>
      <c r="R470" s="6" t="n">
        <v>1</v>
      </c>
      <c r="U470" s="9" t="n">
        <v>-4359213.02</v>
      </c>
      <c r="V470" s="9" t="n">
        <v>-4359213.02</v>
      </c>
      <c r="X470" s="9" t="n">
        <v>76.4485</v>
      </c>
      <c r="AK470" s="7" t="inlineStr">
        <is>
          <t>PYTHON_LIFECYCLE</t>
        </is>
      </c>
      <c r="AL470" s="8">
        <f>IF($J470="INR",1,IF($M470&lt;$A470,INDEX(Market_Daily!$F$6:$F$256,MATCH($M470,Market_Daily!$A$6:$A$256,1)),IF($M470=$A470,INDEX(Market_Daily!$F$6:$F$256,MATCH($A470,Market_Daily!$A$6:$A$256,0)),(INDEX(Market_Daily!$F$6:$F$256,MATCH($A470,Market_Daily!$A$6:$A$256,0))*(1+INDEX(Market_Daily!$I$6:$I$256,MATCH($A470,Market_Daily!$A$6:$A$256,0))*($M470-$A470)/day_count_inr)/(1+INDEX(Market_Daily!$J$6:$J$256,MATCH($A470,Market_Daily!$A$6:$A$256,0))*($M470-$A470)/day_count_usd)))))</f>
        <v/>
      </c>
      <c r="AM470" s="8">
        <f>IF(OR($J470="INR",$R470&gt;1),"",$AL470-$X470)</f>
        <v/>
      </c>
      <c r="AN470" s="8">
        <f>$U470</f>
        <v/>
      </c>
      <c r="AO470" s="8">
        <f>$AN470*IF($J470="INR",1,$AL470)</f>
        <v/>
      </c>
      <c r="AP470" s="18">
        <f>$AO470-$V470</f>
        <v/>
      </c>
      <c r="AQ470" s="8">
        <f>IF(ABS($AP470)&lt;=tol_trade_inr,"PASS","FAIL")</f>
        <v/>
      </c>
    </row>
    <row r="471">
      <c r="A471" s="11" t="n">
        <v>44673</v>
      </c>
      <c r="B471" s="7" t="inlineStr">
        <is>
          <t>T01</t>
        </is>
      </c>
      <c r="C471" s="7" t="inlineStr">
        <is>
          <t>DUTY:L3</t>
        </is>
      </c>
      <c r="D471" s="7" t="inlineStr">
        <is>
          <t>DUTY</t>
        </is>
      </c>
      <c r="E471" s="7" t="inlineStr">
        <is>
          <t>physical</t>
        </is>
      </c>
      <c r="F471" s="7" t="inlineStr">
        <is>
          <t>L3</t>
        </is>
      </c>
      <c r="H471" s="7" t="inlineStr">
        <is>
          <t>zorba</t>
        </is>
      </c>
      <c r="I471" s="7" t="inlineStr">
        <is>
          <t>USEC_MUN</t>
        </is>
      </c>
      <c r="J471" s="7" t="inlineStr">
        <is>
          <t>INR</t>
        </is>
      </c>
      <c r="K471" s="7" t="inlineStr">
        <is>
          <t>floating</t>
        </is>
      </c>
      <c r="L471" s="7" t="inlineStr">
        <is>
          <t>PNL</t>
        </is>
      </c>
      <c r="M471" s="11" t="n">
        <v>44699</v>
      </c>
      <c r="N471" s="13" t="n">
        <v>840</v>
      </c>
      <c r="O471" s="6" t="n">
        <v>0</v>
      </c>
      <c r="P471" s="13" t="n">
        <v>0</v>
      </c>
      <c r="Q471" s="22" t="n">
        <v>30</v>
      </c>
      <c r="R471" s="6" t="n">
        <v>1</v>
      </c>
      <c r="U471" s="9" t="n">
        <v>-4359213.02</v>
      </c>
      <c r="V471" s="9" t="n">
        <v>-4359213.02</v>
      </c>
      <c r="X471" s="9" t="n">
        <v>76.4485</v>
      </c>
      <c r="AK471" s="7" t="inlineStr">
        <is>
          <t>PYTHON_LIFECYCLE</t>
        </is>
      </c>
      <c r="AL471" s="8">
        <f>IF($J471="INR",1,IF($M471&lt;$A471,INDEX(Market_Daily!$F$6:$F$256,MATCH($M471,Market_Daily!$A$6:$A$256,1)),IF($M471=$A471,INDEX(Market_Daily!$F$6:$F$256,MATCH($A471,Market_Daily!$A$6:$A$256,0)),(INDEX(Market_Daily!$F$6:$F$256,MATCH($A471,Market_Daily!$A$6:$A$256,0))*(1+INDEX(Market_Daily!$I$6:$I$256,MATCH($A471,Market_Daily!$A$6:$A$256,0))*($M471-$A471)/day_count_inr)/(1+INDEX(Market_Daily!$J$6:$J$256,MATCH($A471,Market_Daily!$A$6:$A$256,0))*($M471-$A471)/day_count_usd)))))</f>
        <v/>
      </c>
      <c r="AM471" s="8">
        <f>IF(OR($J471="INR",$R471&gt;1),"",$AL471-$X471)</f>
        <v/>
      </c>
      <c r="AN471" s="8">
        <f>$U471</f>
        <v/>
      </c>
      <c r="AO471" s="8">
        <f>$AN471*IF($J471="INR",1,$AL471)</f>
        <v/>
      </c>
      <c r="AP471" s="18">
        <f>$AO471-$V471</f>
        <v/>
      </c>
      <c r="AQ471" s="8">
        <f>IF(ABS($AP471)&lt;=tol_trade_inr,"PASS","FAIL")</f>
        <v/>
      </c>
    </row>
    <row r="472">
      <c r="A472" s="11" t="n">
        <v>44673</v>
      </c>
      <c r="B472" s="7" t="inlineStr">
        <is>
          <t>T01</t>
        </is>
      </c>
      <c r="C472" s="7" t="inlineStr">
        <is>
          <t>FREIGHT:L1</t>
        </is>
      </c>
      <c r="D472" s="7" t="inlineStr">
        <is>
          <t>FREIGHT</t>
        </is>
      </c>
      <c r="E472" s="7" t="inlineStr">
        <is>
          <t>physical</t>
        </is>
      </c>
      <c r="F472" s="7" t="inlineStr">
        <is>
          <t>L1</t>
        </is>
      </c>
      <c r="G472" s="7" t="inlineStr">
        <is>
          <t>Meridian Box Lines NVOCC (SIM)</t>
        </is>
      </c>
      <c r="H472" s="7" t="inlineStr">
        <is>
          <t>zorba</t>
        </is>
      </c>
      <c r="I472" s="7" t="inlineStr">
        <is>
          <t>USEC_MUN</t>
        </is>
      </c>
      <c r="J472" s="7" t="inlineStr">
        <is>
          <t>USD</t>
        </is>
      </c>
      <c r="K472" s="7" t="inlineStr">
        <is>
          <t>fixed_unsettled</t>
        </is>
      </c>
      <c r="L472" s="7" t="inlineStr">
        <is>
          <t>PNL</t>
        </is>
      </c>
      <c r="M472" s="11" t="n">
        <v>44690</v>
      </c>
      <c r="N472" s="13" t="n">
        <v>840</v>
      </c>
      <c r="O472" s="6" t="n">
        <v>0</v>
      </c>
      <c r="P472" s="13" t="n">
        <v>0</v>
      </c>
      <c r="Q472" s="22" t="n">
        <v>30</v>
      </c>
      <c r="R472" s="6" t="n">
        <v>1</v>
      </c>
      <c r="U472" s="9" t="n">
        <v>-86800</v>
      </c>
      <c r="V472" s="9" t="n">
        <v>-6645293.19</v>
      </c>
      <c r="X472" s="9" t="n">
        <v>76.5587</v>
      </c>
      <c r="AK472" s="7" t="inlineStr">
        <is>
          <t>PYTHON_LIFECYCLE</t>
        </is>
      </c>
      <c r="AL472" s="8">
        <f>IF($J472="INR",1,IF($M472&lt;$A472,INDEX(Market_Daily!$F$6:$F$256,MATCH($M472,Market_Daily!$A$6:$A$256,1)),IF($M472=$A472,INDEX(Market_Daily!$F$6:$F$256,MATCH($A472,Market_Daily!$A$6:$A$256,0)),(INDEX(Market_Daily!$F$6:$F$256,MATCH($A472,Market_Daily!$A$6:$A$256,0))*(1+INDEX(Market_Daily!$I$6:$I$256,MATCH($A472,Market_Daily!$A$6:$A$256,0))*($M472-$A472)/day_count_inr)/(1+INDEX(Market_Daily!$J$6:$J$256,MATCH($A472,Market_Daily!$A$6:$A$256,0))*($M472-$A472)/day_count_usd)))))</f>
        <v/>
      </c>
      <c r="AM472" s="8">
        <f>IF(OR($J472="INR",$R472&gt;1),"",$AL472-$X472)</f>
        <v/>
      </c>
      <c r="AN472" s="8">
        <f>$U472</f>
        <v/>
      </c>
      <c r="AO472" s="8">
        <f>$AN472*IF($J472="INR",1,$AL472)</f>
        <v/>
      </c>
      <c r="AP472" s="18">
        <f>$AO472-$V472</f>
        <v/>
      </c>
      <c r="AQ472" s="8">
        <f>IF(ABS($AP472)&lt;=tol_trade_inr,"PASS","FAIL")</f>
        <v/>
      </c>
    </row>
    <row r="473">
      <c r="A473" s="11" t="n">
        <v>44673</v>
      </c>
      <c r="B473" s="7" t="inlineStr">
        <is>
          <t>T01</t>
        </is>
      </c>
      <c r="C473" s="7" t="inlineStr">
        <is>
          <t>FREIGHT:L2</t>
        </is>
      </c>
      <c r="D473" s="7" t="inlineStr">
        <is>
          <t>FREIGHT</t>
        </is>
      </c>
      <c r="E473" s="7" t="inlineStr">
        <is>
          <t>physical</t>
        </is>
      </c>
      <c r="F473" s="7" t="inlineStr">
        <is>
          <t>L2</t>
        </is>
      </c>
      <c r="G473" s="7" t="inlineStr">
        <is>
          <t>Meridian Box Lines NVOCC (SIM)</t>
        </is>
      </c>
      <c r="H473" s="7" t="inlineStr">
        <is>
          <t>zorba</t>
        </is>
      </c>
      <c r="I473" s="7" t="inlineStr">
        <is>
          <t>USEC_MUN</t>
        </is>
      </c>
      <c r="J473" s="7" t="inlineStr">
        <is>
          <t>USD</t>
        </is>
      </c>
      <c r="K473" s="7" t="inlineStr">
        <is>
          <t>fixed_unsettled</t>
        </is>
      </c>
      <c r="L473" s="7" t="inlineStr">
        <is>
          <t>PNL</t>
        </is>
      </c>
      <c r="M473" s="11" t="n">
        <v>44697</v>
      </c>
      <c r="N473" s="13" t="n">
        <v>840</v>
      </c>
      <c r="O473" s="6" t="n">
        <v>0</v>
      </c>
      <c r="P473" s="13" t="n">
        <v>0</v>
      </c>
      <c r="Q473" s="22" t="n">
        <v>30</v>
      </c>
      <c r="R473" s="6" t="n">
        <v>1</v>
      </c>
      <c r="U473" s="9" t="n">
        <v>-86800</v>
      </c>
      <c r="V473" s="9" t="n">
        <v>-6649228.91</v>
      </c>
      <c r="X473" s="9" t="n">
        <v>76.604</v>
      </c>
      <c r="AK473" s="7" t="inlineStr">
        <is>
          <t>PYTHON_LIFECYCLE</t>
        </is>
      </c>
      <c r="AL473" s="8">
        <f>IF($J473="INR",1,IF($M473&lt;$A473,INDEX(Market_Daily!$F$6:$F$256,MATCH($M473,Market_Daily!$A$6:$A$256,1)),IF($M473=$A473,INDEX(Market_Daily!$F$6:$F$256,MATCH($A473,Market_Daily!$A$6:$A$256,0)),(INDEX(Market_Daily!$F$6:$F$256,MATCH($A473,Market_Daily!$A$6:$A$256,0))*(1+INDEX(Market_Daily!$I$6:$I$256,MATCH($A473,Market_Daily!$A$6:$A$256,0))*($M473-$A473)/day_count_inr)/(1+INDEX(Market_Daily!$J$6:$J$256,MATCH($A473,Market_Daily!$A$6:$A$256,0))*($M473-$A473)/day_count_usd)))))</f>
        <v/>
      </c>
      <c r="AM473" s="8">
        <f>IF(OR($J473="INR",$R473&gt;1),"",$AL473-$X473)</f>
        <v/>
      </c>
      <c r="AN473" s="8">
        <f>$U473</f>
        <v/>
      </c>
      <c r="AO473" s="8">
        <f>$AN473*IF($J473="INR",1,$AL473)</f>
        <v/>
      </c>
      <c r="AP473" s="18">
        <f>$AO473-$V473</f>
        <v/>
      </c>
      <c r="AQ473" s="8">
        <f>IF(ABS($AP473)&lt;=tol_trade_inr,"PASS","FAIL")</f>
        <v/>
      </c>
    </row>
    <row r="474">
      <c r="A474" s="11" t="n">
        <v>44673</v>
      </c>
      <c r="B474" s="7" t="inlineStr">
        <is>
          <t>T01</t>
        </is>
      </c>
      <c r="C474" s="7" t="inlineStr">
        <is>
          <t>FREIGHT:L3</t>
        </is>
      </c>
      <c r="D474" s="7" t="inlineStr">
        <is>
          <t>FREIGHT</t>
        </is>
      </c>
      <c r="E474" s="7" t="inlineStr">
        <is>
          <t>physical</t>
        </is>
      </c>
      <c r="F474" s="7" t="inlineStr">
        <is>
          <t>L3</t>
        </is>
      </c>
      <c r="G474" s="7" t="inlineStr">
        <is>
          <t>Meridian Box Lines NVOCC (SIM)</t>
        </is>
      </c>
      <c r="H474" s="7" t="inlineStr">
        <is>
          <t>zorba</t>
        </is>
      </c>
      <c r="I474" s="7" t="inlineStr">
        <is>
          <t>USEC_MUN</t>
        </is>
      </c>
      <c r="J474" s="7" t="inlineStr">
        <is>
          <t>USD</t>
        </is>
      </c>
      <c r="K474" s="7" t="inlineStr">
        <is>
          <t>fixed_unsettled</t>
        </is>
      </c>
      <c r="L474" s="7" t="inlineStr">
        <is>
          <t>PNL</t>
        </is>
      </c>
      <c r="M474" s="11" t="n">
        <v>44698</v>
      </c>
      <c r="N474" s="13" t="n">
        <v>840</v>
      </c>
      <c r="O474" s="6" t="n">
        <v>0</v>
      </c>
      <c r="P474" s="13" t="n">
        <v>0</v>
      </c>
      <c r="Q474" s="22" t="n">
        <v>30</v>
      </c>
      <c r="R474" s="6" t="n">
        <v>1</v>
      </c>
      <c r="U474" s="9" t="n">
        <v>-86800</v>
      </c>
      <c r="V474" s="9" t="n">
        <v>-6649791.06</v>
      </c>
      <c r="X474" s="9" t="n">
        <v>76.6105</v>
      </c>
      <c r="AK474" s="7" t="inlineStr">
        <is>
          <t>PYTHON_LIFECYCLE</t>
        </is>
      </c>
      <c r="AL474" s="8">
        <f>IF($J474="INR",1,IF($M474&lt;$A474,INDEX(Market_Daily!$F$6:$F$256,MATCH($M474,Market_Daily!$A$6:$A$256,1)),IF($M474=$A474,INDEX(Market_Daily!$F$6:$F$256,MATCH($A474,Market_Daily!$A$6:$A$256,0)),(INDEX(Market_Daily!$F$6:$F$256,MATCH($A474,Market_Daily!$A$6:$A$256,0))*(1+INDEX(Market_Daily!$I$6:$I$256,MATCH($A474,Market_Daily!$A$6:$A$256,0))*($M474-$A474)/day_count_inr)/(1+INDEX(Market_Daily!$J$6:$J$256,MATCH($A474,Market_Daily!$A$6:$A$256,0))*($M474-$A474)/day_count_usd)))))</f>
        <v/>
      </c>
      <c r="AM474" s="8">
        <f>IF(OR($J474="INR",$R474&gt;1),"",$AL474-$X474)</f>
        <v/>
      </c>
      <c r="AN474" s="8">
        <f>$U474</f>
        <v/>
      </c>
      <c r="AO474" s="8">
        <f>$AN474*IF($J474="INR",1,$AL474)</f>
        <v/>
      </c>
      <c r="AP474" s="18">
        <f>$AO474-$V474</f>
        <v/>
      </c>
      <c r="AQ474" s="8">
        <f>IF(ABS($AP474)&lt;=tol_trade_inr,"PASS","FAIL")</f>
        <v/>
      </c>
    </row>
    <row r="475">
      <c r="A475" s="11" t="n">
        <v>44673</v>
      </c>
      <c r="B475" s="7" t="inlineStr">
        <is>
          <t>T01</t>
        </is>
      </c>
      <c r="C475" s="7" t="inlineStr">
        <is>
          <t>FX:T01-FX-4</t>
        </is>
      </c>
      <c r="D475" s="7" t="inlineStr">
        <is>
          <t>FX</t>
        </is>
      </c>
      <c r="E475" s="7" t="inlineStr">
        <is>
          <t>fx_forward</t>
        </is>
      </c>
      <c r="H475" s="7" t="inlineStr">
        <is>
          <t>zorba</t>
        </is>
      </c>
      <c r="I475" s="7" t="inlineStr">
        <is>
          <t>USEC_MUN</t>
        </is>
      </c>
      <c r="J475" s="7" t="inlineStr">
        <is>
          <t>INR</t>
        </is>
      </c>
      <c r="K475" s="7" t="inlineStr">
        <is>
          <t>floating</t>
        </is>
      </c>
      <c r="L475" s="7" t="inlineStr">
        <is>
          <t>PNL</t>
        </is>
      </c>
      <c r="M475" s="11" t="n">
        <v>44697</v>
      </c>
      <c r="N475" s="13" t="n">
        <v>0</v>
      </c>
      <c r="O475" s="6" t="n">
        <v>0</v>
      </c>
      <c r="P475" s="13" t="n">
        <v>260400</v>
      </c>
      <c r="Q475" s="22" t="n">
        <v>30</v>
      </c>
      <c r="R475" s="6" t="n">
        <v>1</v>
      </c>
      <c r="S475" s="12" t="n">
        <v>44697</v>
      </c>
      <c r="T475" s="21" t="n">
        <v>76.62367500000001</v>
      </c>
      <c r="U475" s="9" t="n">
        <v>-5118.28</v>
      </c>
      <c r="V475" s="9" t="n">
        <v>-5118.28</v>
      </c>
      <c r="X475" s="9" t="n">
        <v>76.4485</v>
      </c>
      <c r="AK475" s="7" t="inlineStr">
        <is>
          <t>DERIVED_IN_WORKBOOK</t>
        </is>
      </c>
      <c r="AL475" s="8">
        <f>IF($J475="INR",1,IF($M475&lt;$A475,INDEX(Market_Daily!$F$6:$F$256,MATCH($M475,Market_Daily!$A$6:$A$256,1)),IF($M475=$A475,INDEX(Market_Daily!$F$6:$F$256,MATCH($A475,Market_Daily!$A$6:$A$256,0)),(INDEX(Market_Daily!$F$6:$F$256,MATCH($A475,Market_Daily!$A$6:$A$256,0))*(1+INDEX(Market_Daily!$I$6:$I$256,MATCH($A475,Market_Daily!$A$6:$A$256,0))*($M475-$A475)/day_count_inr)/(1+INDEX(Market_Daily!$J$6:$J$256,MATCH($A475,Market_Daily!$A$6:$A$256,0))*($M475-$A475)/day_count_usd)))))</f>
        <v/>
      </c>
      <c r="AM475" s="8">
        <f>IF(OR($J475="INR",$R475&gt;1),"",$AL475-$X475)</f>
        <v/>
      </c>
      <c r="AN475" s="8">
        <f>$P475*(IF($S475&lt;$A475,INDEX(Market_Daily!$F$6:$F$256,MATCH($S475,Market_Daily!$A$6:$A$256,1)),IF($S475=$A475,INDEX(Market_Daily!$F$6:$F$256,MATCH($A475,Market_Daily!$A$6:$A$256,0)),(INDEX(Market_Daily!$F$6:$F$256,MATCH($A475,Market_Daily!$A$6:$A$256,0))*(1+INDEX(Market_Daily!$I$6:$I$256,MATCH($A475,Market_Daily!$A$6:$A$256,0))*($S475-$A475)/day_count_inr)/(1+INDEX(Market_Daily!$J$6:$J$256,MATCH($A475,Market_Daily!$A$6:$A$256,0))*($S475-$A475)/day_count_usd))))-$T475)</f>
        <v/>
      </c>
      <c r="AO475" s="8">
        <f>$AN475</f>
        <v/>
      </c>
      <c r="AP475" s="18">
        <f>$AO475-$V475</f>
        <v/>
      </c>
      <c r="AQ475" s="8">
        <f>IF(ABS($AP475)&lt;=tol_trade_inr,"PASS","FAIL")</f>
        <v/>
      </c>
    </row>
    <row r="476">
      <c r="A476" s="11" t="n">
        <v>44673</v>
      </c>
      <c r="B476" s="7" t="inlineStr">
        <is>
          <t>T01</t>
        </is>
      </c>
      <c r="C476" s="7" t="inlineStr">
        <is>
          <t>IGST:L1</t>
        </is>
      </c>
      <c r="D476" s="7" t="inlineStr">
        <is>
          <t>IGST</t>
        </is>
      </c>
      <c r="E476" s="7" t="inlineStr">
        <is>
          <t>physical</t>
        </is>
      </c>
      <c r="F476" s="7" t="inlineStr">
        <is>
          <t>L1</t>
        </is>
      </c>
      <c r="H476" s="7" t="inlineStr">
        <is>
          <t>zorba</t>
        </is>
      </c>
      <c r="I476" s="7" t="inlineStr">
        <is>
          <t>USEC_MUN</t>
        </is>
      </c>
      <c r="J476" s="7" t="inlineStr">
        <is>
          <t>INR</t>
        </is>
      </c>
      <c r="K476" s="7" t="inlineStr">
        <is>
          <t>floating</t>
        </is>
      </c>
      <c r="L476" s="7" t="inlineStr">
        <is>
          <t>BS</t>
        </is>
      </c>
      <c r="M476" s="11" t="n">
        <v>44735</v>
      </c>
      <c r="N476" s="13" t="n">
        <v>0</v>
      </c>
      <c r="O476" s="6" t="n">
        <v>0</v>
      </c>
      <c r="P476" s="13" t="n">
        <v>0</v>
      </c>
      <c r="Q476" s="22" t="n">
        <v>30</v>
      </c>
      <c r="R476" s="6" t="n">
        <v>2</v>
      </c>
      <c r="U476" s="9" t="n">
        <v>0</v>
      </c>
      <c r="V476" s="9" t="n">
        <v>0</v>
      </c>
      <c r="X476" s="9" t="n">
        <v>76.4485</v>
      </c>
      <c r="AK476" s="7" t="inlineStr">
        <is>
          <t>PYTHON_MULTI_FLOW_LEG</t>
        </is>
      </c>
      <c r="AL476" s="8">
        <f>IF($J476="INR",1,IF($M476&lt;$A476,INDEX(Market_Daily!$F$6:$F$256,MATCH($M476,Market_Daily!$A$6:$A$256,1)),IF($M476=$A476,INDEX(Market_Daily!$F$6:$F$256,MATCH($A476,Market_Daily!$A$6:$A$256,0)),(INDEX(Market_Daily!$F$6:$F$256,MATCH($A476,Market_Daily!$A$6:$A$256,0))*(1+INDEX(Market_Daily!$I$6:$I$256,MATCH($A476,Market_Daily!$A$6:$A$256,0))*($M476-$A476)/day_count_inr)/(1+INDEX(Market_Daily!$J$6:$J$256,MATCH($A476,Market_Daily!$A$6:$A$256,0))*($M476-$A476)/day_count_usd)))))</f>
        <v/>
      </c>
      <c r="AM476" s="8">
        <f>IF(OR($J476="INR",$R476&gt;1),"",$AL476-$X476)</f>
        <v/>
      </c>
      <c r="AN476" s="8">
        <f>$U476</f>
        <v/>
      </c>
      <c r="AO476" s="8">
        <f>$V476</f>
        <v/>
      </c>
      <c r="AP476" s="18">
        <f>$AO476-$V476</f>
        <v/>
      </c>
      <c r="AQ476" s="8">
        <f>IF(ABS($AP476)&lt;=tol_trade_inr,"PASS","FAIL")</f>
        <v/>
      </c>
    </row>
    <row r="477">
      <c r="A477" s="11" t="n">
        <v>44673</v>
      </c>
      <c r="B477" s="7" t="inlineStr">
        <is>
          <t>T01</t>
        </is>
      </c>
      <c r="C477" s="7" t="inlineStr">
        <is>
          <t>IGST:L2</t>
        </is>
      </c>
      <c r="D477" s="7" t="inlineStr">
        <is>
          <t>IGST</t>
        </is>
      </c>
      <c r="E477" s="7" t="inlineStr">
        <is>
          <t>physical</t>
        </is>
      </c>
      <c r="F477" s="7" t="inlineStr">
        <is>
          <t>L2</t>
        </is>
      </c>
      <c r="H477" s="7" t="inlineStr">
        <is>
          <t>zorba</t>
        </is>
      </c>
      <c r="I477" s="7" t="inlineStr">
        <is>
          <t>USEC_MUN</t>
        </is>
      </c>
      <c r="J477" s="7" t="inlineStr">
        <is>
          <t>INR</t>
        </is>
      </c>
      <c r="K477" s="7" t="inlineStr">
        <is>
          <t>floating</t>
        </is>
      </c>
      <c r="L477" s="7" t="inlineStr">
        <is>
          <t>BS</t>
        </is>
      </c>
      <c r="M477" s="11" t="n">
        <v>44741</v>
      </c>
      <c r="N477" s="13" t="n">
        <v>0</v>
      </c>
      <c r="O477" s="6" t="n">
        <v>0</v>
      </c>
      <c r="P477" s="13" t="n">
        <v>0</v>
      </c>
      <c r="Q477" s="22" t="n">
        <v>30</v>
      </c>
      <c r="R477" s="6" t="n">
        <v>2</v>
      </c>
      <c r="U477" s="9" t="n">
        <v>0</v>
      </c>
      <c r="V477" s="9" t="n">
        <v>0</v>
      </c>
      <c r="X477" s="9" t="n">
        <v>76.4485</v>
      </c>
      <c r="AK477" s="7" t="inlineStr">
        <is>
          <t>PYTHON_MULTI_FLOW_LEG</t>
        </is>
      </c>
      <c r="AL477" s="8">
        <f>IF($J477="INR",1,IF($M477&lt;$A477,INDEX(Market_Daily!$F$6:$F$256,MATCH($M477,Market_Daily!$A$6:$A$256,1)),IF($M477=$A477,INDEX(Market_Daily!$F$6:$F$256,MATCH($A477,Market_Daily!$A$6:$A$256,0)),(INDEX(Market_Daily!$F$6:$F$256,MATCH($A477,Market_Daily!$A$6:$A$256,0))*(1+INDEX(Market_Daily!$I$6:$I$256,MATCH($A477,Market_Daily!$A$6:$A$256,0))*($M477-$A477)/day_count_inr)/(1+INDEX(Market_Daily!$J$6:$J$256,MATCH($A477,Market_Daily!$A$6:$A$256,0))*($M477-$A477)/day_count_usd)))))</f>
        <v/>
      </c>
      <c r="AM477" s="8">
        <f>IF(OR($J477="INR",$R477&gt;1),"",$AL477-$X477)</f>
        <v/>
      </c>
      <c r="AN477" s="8">
        <f>$U477</f>
        <v/>
      </c>
      <c r="AO477" s="8">
        <f>$V477</f>
        <v/>
      </c>
      <c r="AP477" s="18">
        <f>$AO477-$V477</f>
        <v/>
      </c>
      <c r="AQ477" s="8">
        <f>IF(ABS($AP477)&lt;=tol_trade_inr,"PASS","FAIL")</f>
        <v/>
      </c>
    </row>
    <row r="478">
      <c r="A478" s="11" t="n">
        <v>44673</v>
      </c>
      <c r="B478" s="7" t="inlineStr">
        <is>
          <t>T01</t>
        </is>
      </c>
      <c r="C478" s="7" t="inlineStr">
        <is>
          <t>IGST:L3</t>
        </is>
      </c>
      <c r="D478" s="7" t="inlineStr">
        <is>
          <t>IGST</t>
        </is>
      </c>
      <c r="E478" s="7" t="inlineStr">
        <is>
          <t>physical</t>
        </is>
      </c>
      <c r="F478" s="7" t="inlineStr">
        <is>
          <t>L3</t>
        </is>
      </c>
      <c r="H478" s="7" t="inlineStr">
        <is>
          <t>zorba</t>
        </is>
      </c>
      <c r="I478" s="7" t="inlineStr">
        <is>
          <t>USEC_MUN</t>
        </is>
      </c>
      <c r="J478" s="7" t="inlineStr">
        <is>
          <t>INR</t>
        </is>
      </c>
      <c r="K478" s="7" t="inlineStr">
        <is>
          <t>floating</t>
        </is>
      </c>
      <c r="L478" s="7" t="inlineStr">
        <is>
          <t>BS</t>
        </is>
      </c>
      <c r="M478" s="11" t="n">
        <v>44746</v>
      </c>
      <c r="N478" s="13" t="n">
        <v>0</v>
      </c>
      <c r="O478" s="6" t="n">
        <v>0</v>
      </c>
      <c r="P478" s="13" t="n">
        <v>0</v>
      </c>
      <c r="Q478" s="22" t="n">
        <v>30</v>
      </c>
      <c r="R478" s="6" t="n">
        <v>2</v>
      </c>
      <c r="U478" s="9" t="n">
        <v>0</v>
      </c>
      <c r="V478" s="9" t="n">
        <v>0</v>
      </c>
      <c r="X478" s="9" t="n">
        <v>76.4485</v>
      </c>
      <c r="AK478" s="7" t="inlineStr">
        <is>
          <t>PYTHON_MULTI_FLOW_LEG</t>
        </is>
      </c>
      <c r="AL478" s="8">
        <f>IF($J478="INR",1,IF($M478&lt;$A478,INDEX(Market_Daily!$F$6:$F$256,MATCH($M478,Market_Daily!$A$6:$A$256,1)),IF($M478=$A478,INDEX(Market_Daily!$F$6:$F$256,MATCH($A478,Market_Daily!$A$6:$A$256,0)),(INDEX(Market_Daily!$F$6:$F$256,MATCH($A478,Market_Daily!$A$6:$A$256,0))*(1+INDEX(Market_Daily!$I$6:$I$256,MATCH($A478,Market_Daily!$A$6:$A$256,0))*($M478-$A478)/day_count_inr)/(1+INDEX(Market_Daily!$J$6:$J$256,MATCH($A478,Market_Daily!$A$6:$A$256,0))*($M478-$A478)/day_count_usd)))))</f>
        <v/>
      </c>
      <c r="AM478" s="8">
        <f>IF(OR($J478="INR",$R478&gt;1),"",$AL478-$X478)</f>
        <v/>
      </c>
      <c r="AN478" s="8">
        <f>$U478</f>
        <v/>
      </c>
      <c r="AO478" s="8">
        <f>$V478</f>
        <v/>
      </c>
      <c r="AP478" s="18">
        <f>$AO478-$V478</f>
        <v/>
      </c>
      <c r="AQ478" s="8">
        <f>IF(ABS($AP478)&lt;=tol_trade_inr,"PASS","FAIL")</f>
        <v/>
      </c>
    </row>
    <row r="479">
      <c r="A479" s="11" t="n">
        <v>44673</v>
      </c>
      <c r="B479" s="7" t="inlineStr">
        <is>
          <t>T01</t>
        </is>
      </c>
      <c r="C479" s="7" t="inlineStr">
        <is>
          <t>INVENTORY:L1</t>
        </is>
      </c>
      <c r="D479" s="7" t="inlineStr">
        <is>
          <t>INVENTORY</t>
        </is>
      </c>
      <c r="E479" s="7" t="inlineStr">
        <is>
          <t>physical</t>
        </is>
      </c>
      <c r="F479" s="7" t="inlineStr">
        <is>
          <t>L1</t>
        </is>
      </c>
      <c r="H479" s="7" t="inlineStr">
        <is>
          <t>zorba</t>
        </is>
      </c>
      <c r="I479" s="7" t="inlineStr">
        <is>
          <t>USEC_MUN</t>
        </is>
      </c>
      <c r="J479" s="7" t="inlineStr">
        <is>
          <t>INR</t>
        </is>
      </c>
      <c r="K479" s="7" t="inlineStr">
        <is>
          <t>fixed_unsettled</t>
        </is>
      </c>
      <c r="L479" s="7" t="inlineStr">
        <is>
          <t>PNL</t>
        </is>
      </c>
      <c r="N479" s="13" t="n">
        <v>840</v>
      </c>
      <c r="O479" s="6" t="n">
        <v>0</v>
      </c>
      <c r="P479" s="13" t="n">
        <v>0</v>
      </c>
      <c r="Q479" s="22" t="n">
        <v>30</v>
      </c>
      <c r="R479" s="6" t="n">
        <v>0</v>
      </c>
      <c r="U479" s="9" t="n">
        <v>165796888.73</v>
      </c>
      <c r="V479" s="9" t="n">
        <v>165796888.73</v>
      </c>
      <c r="W479" s="9" t="n">
        <v>197377.2485</v>
      </c>
      <c r="X479" s="9" t="n">
        <v>76.4485</v>
      </c>
      <c r="Y479" s="8">
        <f>IF($I479="JEA_NSA","20ft","40ft")</f>
        <v/>
      </c>
      <c r="Z479" s="8">
        <f>IF($I479="JEA_NSA","nsa","mun")</f>
        <v/>
      </c>
      <c r="AA479" s="8">
        <f>INDEX(param_values,MATCH("container_payload_mt_"&amp;$Y479,param_keys,0))/INDEX(param_values,MATCH("container_payload_mt_"&amp;$Y479&amp;"_"&amp;$H479,param_keys,0))</f>
        <v/>
      </c>
      <c r="AB479" s="16">
        <f>INDEX(Market_Daily!$C$6:$C$256,MATCH($A479,Market_Daily!$A$6:$A$256,0))*INDEX(Market_Daily!$X$6:$Z$256,MATCH($A479,Market_Daily!$A$6:$A$256,0),MATCH("grade_factor_"&amp;$H479,Market_Daily!$X$5:$Z$5,0))</f>
        <v/>
      </c>
      <c r="AC479" s="16">
        <f>$AB479*(1+insurance_rate*insured_value_uplift)</f>
        <v/>
      </c>
      <c r="AD479" s="8">
        <f>(INDEX(Market_Daily!$F$6:$F$256,MATCH($A479,Market_Daily!$A$6:$A$256,0))*(1+INDEX(Market_Daily!$I$6:$I$256,MATCH($A479,Market_Daily!$A$6:$A$256,0))*$Q479/day_count_inr)/(1+INDEX(Market_Daily!$J$6:$J$256,MATCH($A479,Market_Daily!$A$6:$A$256,0))*$Q479/day_count_usd))</f>
        <v/>
      </c>
      <c r="AE479" s="18">
        <f>$AC479*$AD479</f>
        <v/>
      </c>
      <c r="AF479" s="18">
        <f>$AC479*INDEX(Market_Daily!$V$6:$V$256,MATCH($A479,Market_Daily!$A$6:$A$256,0))</f>
        <v/>
      </c>
      <c r="AG479" s="18">
        <f>$AF479*bcd_scrap_hs7602*(1+sws_rate_on_bcd)</f>
        <v/>
      </c>
      <c r="AH479" s="18">
        <f>INDEX(param_values,MATCH("port_cf_charges_inr_t_"&amp;$Z479,param_keys,0))*$AA479+IF(INDEX(param_values,MATCH(IF($I479="JEA_NSA","psic_required_uae_origin","psic_required_safe_origin_designated_port"),param_keys,0)),psic_cost_usd_per_box*INDEX(Market_Daily!$F$6:$F$256,MATCH($A479,Market_Daily!$A$6:$A$256,0))/INDEX(param_values,MATCH("container_payload_mt_20ft_"&amp;$H479,param_keys,0)),0)</f>
        <v/>
      </c>
      <c r="AI479" s="18">
        <f>IF(igst_itc_available,0,($AF479+$AG479)*igst_rate_hs7602)</f>
        <v/>
      </c>
      <c r="AJ479" s="18">
        <f>$AE479+$AG479+$AH479+$AI479</f>
        <v/>
      </c>
      <c r="AK479" s="7" t="inlineStr">
        <is>
          <t>DERIVED_IN_WORKBOOK</t>
        </is>
      </c>
      <c r="AL479" s="8">
        <f>IF($J479="INR",1,IF($M479&lt;$A479,INDEX(Market_Daily!$F$6:$F$256,MATCH($M479,Market_Daily!$A$6:$A$256,1)),IF($M479=$A479,INDEX(Market_Daily!$F$6:$F$256,MATCH($A479,Market_Daily!$A$6:$A$256,0)),(INDEX(Market_Daily!$F$6:$F$256,MATCH($A479,Market_Daily!$A$6:$A$256,0))*(1+INDEX(Market_Daily!$I$6:$I$256,MATCH($A479,Market_Daily!$A$6:$A$256,0))*($M479-$A479)/day_count_inr)/(1+INDEX(Market_Daily!$J$6:$J$256,MATCH($A479,Market_Daily!$A$6:$A$256,0))*($M479-$A479)/day_count_usd)))))</f>
        <v/>
      </c>
      <c r="AM479" s="8">
        <f>IF(OR($J479="INR",$R479&gt;1),"",$AL479-$X479)</f>
        <v/>
      </c>
      <c r="AN479" s="8">
        <f>$N479*$AJ479</f>
        <v/>
      </c>
      <c r="AO479" s="8">
        <f>$AN479</f>
        <v/>
      </c>
      <c r="AP479" s="18">
        <f>$AO479-$V479</f>
        <v/>
      </c>
      <c r="AQ479" s="8">
        <f>IF(ABS($AP479)&lt;=tol_trade_inr,"PASS","FAIL")</f>
        <v/>
      </c>
    </row>
    <row r="480">
      <c r="A480" s="11" t="n">
        <v>44673</v>
      </c>
      <c r="B480" s="7" t="inlineStr">
        <is>
          <t>T01</t>
        </is>
      </c>
      <c r="C480" s="7" t="inlineStr">
        <is>
          <t>INVENTORY:L2</t>
        </is>
      </c>
      <c r="D480" s="7" t="inlineStr">
        <is>
          <t>INVENTORY</t>
        </is>
      </c>
      <c r="E480" s="7" t="inlineStr">
        <is>
          <t>physical</t>
        </is>
      </c>
      <c r="F480" s="7" t="inlineStr">
        <is>
          <t>L2</t>
        </is>
      </c>
      <c r="H480" s="7" t="inlineStr">
        <is>
          <t>zorba</t>
        </is>
      </c>
      <c r="I480" s="7" t="inlineStr">
        <is>
          <t>USEC_MUN</t>
        </is>
      </c>
      <c r="J480" s="7" t="inlineStr">
        <is>
          <t>INR</t>
        </is>
      </c>
      <c r="K480" s="7" t="inlineStr">
        <is>
          <t>fixed_unsettled</t>
        </is>
      </c>
      <c r="L480" s="7" t="inlineStr">
        <is>
          <t>PNL</t>
        </is>
      </c>
      <c r="N480" s="13" t="n">
        <v>840</v>
      </c>
      <c r="O480" s="6" t="n">
        <v>0</v>
      </c>
      <c r="P480" s="13" t="n">
        <v>0</v>
      </c>
      <c r="Q480" s="22" t="n">
        <v>30</v>
      </c>
      <c r="R480" s="6" t="n">
        <v>0</v>
      </c>
      <c r="U480" s="9" t="n">
        <v>165796888.73</v>
      </c>
      <c r="V480" s="9" t="n">
        <v>165796888.73</v>
      </c>
      <c r="W480" s="9" t="n">
        <v>197377.2485</v>
      </c>
      <c r="X480" s="9" t="n">
        <v>76.4485</v>
      </c>
      <c r="Y480" s="8">
        <f>IF($I480="JEA_NSA","20ft","40ft")</f>
        <v/>
      </c>
      <c r="Z480" s="8">
        <f>IF($I480="JEA_NSA","nsa","mun")</f>
        <v/>
      </c>
      <c r="AA480" s="8">
        <f>INDEX(param_values,MATCH("container_payload_mt_"&amp;$Y480,param_keys,0))/INDEX(param_values,MATCH("container_payload_mt_"&amp;$Y480&amp;"_"&amp;$H480,param_keys,0))</f>
        <v/>
      </c>
      <c r="AB480" s="16">
        <f>INDEX(Market_Daily!$C$6:$C$256,MATCH($A480,Market_Daily!$A$6:$A$256,0))*INDEX(Market_Daily!$X$6:$Z$256,MATCH($A480,Market_Daily!$A$6:$A$256,0),MATCH("grade_factor_"&amp;$H480,Market_Daily!$X$5:$Z$5,0))</f>
        <v/>
      </c>
      <c r="AC480" s="16">
        <f>$AB480*(1+insurance_rate*insured_value_uplift)</f>
        <v/>
      </c>
      <c r="AD480" s="8">
        <f>(INDEX(Market_Daily!$F$6:$F$256,MATCH($A480,Market_Daily!$A$6:$A$256,0))*(1+INDEX(Market_Daily!$I$6:$I$256,MATCH($A480,Market_Daily!$A$6:$A$256,0))*$Q480/day_count_inr)/(1+INDEX(Market_Daily!$J$6:$J$256,MATCH($A480,Market_Daily!$A$6:$A$256,0))*$Q480/day_count_usd))</f>
        <v/>
      </c>
      <c r="AE480" s="18">
        <f>$AC480*$AD480</f>
        <v/>
      </c>
      <c r="AF480" s="18">
        <f>$AC480*INDEX(Market_Daily!$V$6:$V$256,MATCH($A480,Market_Daily!$A$6:$A$256,0))</f>
        <v/>
      </c>
      <c r="AG480" s="18">
        <f>$AF480*bcd_scrap_hs7602*(1+sws_rate_on_bcd)</f>
        <v/>
      </c>
      <c r="AH480" s="18">
        <f>INDEX(param_values,MATCH("port_cf_charges_inr_t_"&amp;$Z480,param_keys,0))*$AA480+IF(INDEX(param_values,MATCH(IF($I480="JEA_NSA","psic_required_uae_origin","psic_required_safe_origin_designated_port"),param_keys,0)),psic_cost_usd_per_box*INDEX(Market_Daily!$F$6:$F$256,MATCH($A480,Market_Daily!$A$6:$A$256,0))/INDEX(param_values,MATCH("container_payload_mt_20ft_"&amp;$H480,param_keys,0)),0)</f>
        <v/>
      </c>
      <c r="AI480" s="18">
        <f>IF(igst_itc_available,0,($AF480+$AG480)*igst_rate_hs7602)</f>
        <v/>
      </c>
      <c r="AJ480" s="18">
        <f>$AE480+$AG480+$AH480+$AI480</f>
        <v/>
      </c>
      <c r="AK480" s="7" t="inlineStr">
        <is>
          <t>DERIVED_IN_WORKBOOK</t>
        </is>
      </c>
      <c r="AL480" s="8">
        <f>IF($J480="INR",1,IF($M480&lt;$A480,INDEX(Market_Daily!$F$6:$F$256,MATCH($M480,Market_Daily!$A$6:$A$256,1)),IF($M480=$A480,INDEX(Market_Daily!$F$6:$F$256,MATCH($A480,Market_Daily!$A$6:$A$256,0)),(INDEX(Market_Daily!$F$6:$F$256,MATCH($A480,Market_Daily!$A$6:$A$256,0))*(1+INDEX(Market_Daily!$I$6:$I$256,MATCH($A480,Market_Daily!$A$6:$A$256,0))*($M480-$A480)/day_count_inr)/(1+INDEX(Market_Daily!$J$6:$J$256,MATCH($A480,Market_Daily!$A$6:$A$256,0))*($M480-$A480)/day_count_usd)))))</f>
        <v/>
      </c>
      <c r="AM480" s="8">
        <f>IF(OR($J480="INR",$R480&gt;1),"",$AL480-$X480)</f>
        <v/>
      </c>
      <c r="AN480" s="8">
        <f>$N480*$AJ480</f>
        <v/>
      </c>
      <c r="AO480" s="8">
        <f>$AN480</f>
        <v/>
      </c>
      <c r="AP480" s="18">
        <f>$AO480-$V480</f>
        <v/>
      </c>
      <c r="AQ480" s="8">
        <f>IF(ABS($AP480)&lt;=tol_trade_inr,"PASS","FAIL")</f>
        <v/>
      </c>
    </row>
    <row r="481">
      <c r="A481" s="11" t="n">
        <v>44673</v>
      </c>
      <c r="B481" s="7" t="inlineStr">
        <is>
          <t>T01</t>
        </is>
      </c>
      <c r="C481" s="7" t="inlineStr">
        <is>
          <t>INVENTORY:L3</t>
        </is>
      </c>
      <c r="D481" s="7" t="inlineStr">
        <is>
          <t>INVENTORY</t>
        </is>
      </c>
      <c r="E481" s="7" t="inlineStr">
        <is>
          <t>physical</t>
        </is>
      </c>
      <c r="F481" s="7" t="inlineStr">
        <is>
          <t>L3</t>
        </is>
      </c>
      <c r="H481" s="7" t="inlineStr">
        <is>
          <t>zorba</t>
        </is>
      </c>
      <c r="I481" s="7" t="inlineStr">
        <is>
          <t>USEC_MUN</t>
        </is>
      </c>
      <c r="J481" s="7" t="inlineStr">
        <is>
          <t>INR</t>
        </is>
      </c>
      <c r="K481" s="7" t="inlineStr">
        <is>
          <t>fixed_unsettled</t>
        </is>
      </c>
      <c r="L481" s="7" t="inlineStr">
        <is>
          <t>PNL</t>
        </is>
      </c>
      <c r="N481" s="13" t="n">
        <v>840</v>
      </c>
      <c r="O481" s="6" t="n">
        <v>0</v>
      </c>
      <c r="P481" s="13" t="n">
        <v>0</v>
      </c>
      <c r="Q481" s="22" t="n">
        <v>30</v>
      </c>
      <c r="R481" s="6" t="n">
        <v>0</v>
      </c>
      <c r="U481" s="9" t="n">
        <v>165796888.73</v>
      </c>
      <c r="V481" s="9" t="n">
        <v>165796888.73</v>
      </c>
      <c r="W481" s="9" t="n">
        <v>197377.2485</v>
      </c>
      <c r="X481" s="9" t="n">
        <v>76.4485</v>
      </c>
      <c r="Y481" s="8">
        <f>IF($I481="JEA_NSA","20ft","40ft")</f>
        <v/>
      </c>
      <c r="Z481" s="8">
        <f>IF($I481="JEA_NSA","nsa","mun")</f>
        <v/>
      </c>
      <c r="AA481" s="8">
        <f>INDEX(param_values,MATCH("container_payload_mt_"&amp;$Y481,param_keys,0))/INDEX(param_values,MATCH("container_payload_mt_"&amp;$Y481&amp;"_"&amp;$H481,param_keys,0))</f>
        <v/>
      </c>
      <c r="AB481" s="16">
        <f>INDEX(Market_Daily!$C$6:$C$256,MATCH($A481,Market_Daily!$A$6:$A$256,0))*INDEX(Market_Daily!$X$6:$Z$256,MATCH($A481,Market_Daily!$A$6:$A$256,0),MATCH("grade_factor_"&amp;$H481,Market_Daily!$X$5:$Z$5,0))</f>
        <v/>
      </c>
      <c r="AC481" s="16">
        <f>$AB481*(1+insurance_rate*insured_value_uplift)</f>
        <v/>
      </c>
      <c r="AD481" s="8">
        <f>(INDEX(Market_Daily!$F$6:$F$256,MATCH($A481,Market_Daily!$A$6:$A$256,0))*(1+INDEX(Market_Daily!$I$6:$I$256,MATCH($A481,Market_Daily!$A$6:$A$256,0))*$Q481/day_count_inr)/(1+INDEX(Market_Daily!$J$6:$J$256,MATCH($A481,Market_Daily!$A$6:$A$256,0))*$Q481/day_count_usd))</f>
        <v/>
      </c>
      <c r="AE481" s="18">
        <f>$AC481*$AD481</f>
        <v/>
      </c>
      <c r="AF481" s="18">
        <f>$AC481*INDEX(Market_Daily!$V$6:$V$256,MATCH($A481,Market_Daily!$A$6:$A$256,0))</f>
        <v/>
      </c>
      <c r="AG481" s="18">
        <f>$AF481*bcd_scrap_hs7602*(1+sws_rate_on_bcd)</f>
        <v/>
      </c>
      <c r="AH481" s="18">
        <f>INDEX(param_values,MATCH("port_cf_charges_inr_t_"&amp;$Z481,param_keys,0))*$AA481+IF(INDEX(param_values,MATCH(IF($I481="JEA_NSA","psic_required_uae_origin","psic_required_safe_origin_designated_port"),param_keys,0)),psic_cost_usd_per_box*INDEX(Market_Daily!$F$6:$F$256,MATCH($A481,Market_Daily!$A$6:$A$256,0))/INDEX(param_values,MATCH("container_payload_mt_20ft_"&amp;$H481,param_keys,0)),0)</f>
        <v/>
      </c>
      <c r="AI481" s="18">
        <f>IF(igst_itc_available,0,($AF481+$AG481)*igst_rate_hs7602)</f>
        <v/>
      </c>
      <c r="AJ481" s="18">
        <f>$AE481+$AG481+$AH481+$AI481</f>
        <v/>
      </c>
      <c r="AK481" s="7" t="inlineStr">
        <is>
          <t>DERIVED_IN_WORKBOOK</t>
        </is>
      </c>
      <c r="AL481" s="8">
        <f>IF($J481="INR",1,IF($M481&lt;$A481,INDEX(Market_Daily!$F$6:$F$256,MATCH($M481,Market_Daily!$A$6:$A$256,1)),IF($M481=$A481,INDEX(Market_Daily!$F$6:$F$256,MATCH($A481,Market_Daily!$A$6:$A$256,0)),(INDEX(Market_Daily!$F$6:$F$256,MATCH($A481,Market_Daily!$A$6:$A$256,0))*(1+INDEX(Market_Daily!$I$6:$I$256,MATCH($A481,Market_Daily!$A$6:$A$256,0))*($M481-$A481)/day_count_inr)/(1+INDEX(Market_Daily!$J$6:$J$256,MATCH($A481,Market_Daily!$A$6:$A$256,0))*($M481-$A481)/day_count_usd)))))</f>
        <v/>
      </c>
      <c r="AM481" s="8">
        <f>IF(OR($J481="INR",$R481&gt;1),"",$AL481-$X481)</f>
        <v/>
      </c>
      <c r="AN481" s="8">
        <f>$N481*$AJ481</f>
        <v/>
      </c>
      <c r="AO481" s="8">
        <f>$AN481</f>
        <v/>
      </c>
      <c r="AP481" s="18">
        <f>$AO481-$V481</f>
        <v/>
      </c>
      <c r="AQ481" s="8">
        <f>IF(ABS($AP481)&lt;=tol_trade_inr,"PASS","FAIL")</f>
        <v/>
      </c>
    </row>
    <row r="482">
      <c r="A482" s="11" t="n">
        <v>44673</v>
      </c>
      <c r="B482" s="7" t="inlineStr">
        <is>
          <t>T01</t>
        </is>
      </c>
      <c r="C482" s="7" t="inlineStr">
        <is>
          <t>MCX:T01-MCX-3</t>
        </is>
      </c>
      <c r="D482" s="7" t="inlineStr">
        <is>
          <t>MCX</t>
        </is>
      </c>
      <c r="E482" s="7" t="inlineStr">
        <is>
          <t>mcx</t>
        </is>
      </c>
      <c r="H482" s="7" t="inlineStr">
        <is>
          <t>zorba</t>
        </is>
      </c>
      <c r="I482" s="7" t="inlineStr">
        <is>
          <t>USEC_MUN</t>
        </is>
      </c>
      <c r="J482" s="7" t="inlineStr">
        <is>
          <t>INR</t>
        </is>
      </c>
      <c r="K482" s="7" t="inlineStr">
        <is>
          <t>partially_fixed</t>
        </is>
      </c>
      <c r="L482" s="7" t="inlineStr">
        <is>
          <t>PNL</t>
        </is>
      </c>
      <c r="M482" s="11" t="n">
        <v>44676</v>
      </c>
      <c r="N482" s="13" t="n">
        <v>0</v>
      </c>
      <c r="O482" s="6" t="n">
        <v>-200</v>
      </c>
      <c r="P482" s="13" t="n">
        <v>0</v>
      </c>
      <c r="Q482" s="22" t="n">
        <v>30</v>
      </c>
      <c r="R482" s="6" t="n">
        <v>4</v>
      </c>
      <c r="U482" s="9" t="n">
        <v>0</v>
      </c>
      <c r="V482" s="9" t="n">
        <v>0</v>
      </c>
      <c r="X482" s="9" t="n">
        <v>76.4485</v>
      </c>
      <c r="AK482" s="7" t="inlineStr">
        <is>
          <t>PYTHON_MULTI_FLOW_LEG</t>
        </is>
      </c>
      <c r="AL482" s="8">
        <f>IF($J482="INR",1,IF($M482&lt;$A482,INDEX(Market_Daily!$F$6:$F$256,MATCH($M482,Market_Daily!$A$6:$A$256,1)),IF($M482=$A482,INDEX(Market_Daily!$F$6:$F$256,MATCH($A482,Market_Daily!$A$6:$A$256,0)),(INDEX(Market_Daily!$F$6:$F$256,MATCH($A482,Market_Daily!$A$6:$A$256,0))*(1+INDEX(Market_Daily!$I$6:$I$256,MATCH($A482,Market_Daily!$A$6:$A$256,0))*($M482-$A482)/day_count_inr)/(1+INDEX(Market_Daily!$J$6:$J$256,MATCH($A482,Market_Daily!$A$6:$A$256,0))*($M482-$A482)/day_count_usd)))))</f>
        <v/>
      </c>
      <c r="AM482" s="8">
        <f>IF(OR($J482="INR",$R482&gt;1),"",$AL482-$X482)</f>
        <v/>
      </c>
      <c r="AN482" s="8">
        <f>$U482</f>
        <v/>
      </c>
      <c r="AO482" s="8">
        <f>$V482</f>
        <v/>
      </c>
      <c r="AP482" s="18">
        <f>$AO482-$V482</f>
        <v/>
      </c>
      <c r="AQ482" s="8">
        <f>IF(ABS($AP482)&lt;=tol_trade_inr,"PASS","FAIL")</f>
        <v/>
      </c>
    </row>
    <row r="483">
      <c r="A483" s="11" t="n">
        <v>44673</v>
      </c>
      <c r="B483" s="7" t="inlineStr">
        <is>
          <t>T01</t>
        </is>
      </c>
      <c r="C483" s="7" t="inlineStr">
        <is>
          <t>MCX:T01-MCX-4</t>
        </is>
      </c>
      <c r="D483" s="7" t="inlineStr">
        <is>
          <t>MCX</t>
        </is>
      </c>
      <c r="E483" s="7" t="inlineStr">
        <is>
          <t>mcx</t>
        </is>
      </c>
      <c r="H483" s="7" t="inlineStr">
        <is>
          <t>zorba</t>
        </is>
      </c>
      <c r="I483" s="7" t="inlineStr">
        <is>
          <t>USEC_MUN</t>
        </is>
      </c>
      <c r="J483" s="7" t="inlineStr">
        <is>
          <t>INR</t>
        </is>
      </c>
      <c r="K483" s="7" t="inlineStr">
        <is>
          <t>partially_fixed</t>
        </is>
      </c>
      <c r="L483" s="7" t="inlineStr">
        <is>
          <t>PNL</t>
        </is>
      </c>
      <c r="M483" s="11" t="n">
        <v>44690</v>
      </c>
      <c r="N483" s="13" t="n">
        <v>0</v>
      </c>
      <c r="O483" s="6" t="n">
        <v>-100</v>
      </c>
      <c r="P483" s="13" t="n">
        <v>0</v>
      </c>
      <c r="Q483" s="22" t="n">
        <v>30</v>
      </c>
      <c r="R483" s="6" t="n">
        <v>13</v>
      </c>
      <c r="U483" s="9" t="n">
        <v>0</v>
      </c>
      <c r="V483" s="9" t="n">
        <v>0</v>
      </c>
      <c r="X483" s="9" t="n">
        <v>76.4485</v>
      </c>
      <c r="AK483" s="7" t="inlineStr">
        <is>
          <t>PYTHON_MULTI_FLOW_LEG</t>
        </is>
      </c>
      <c r="AL483" s="8">
        <f>IF($J483="INR",1,IF($M483&lt;$A483,INDEX(Market_Daily!$F$6:$F$256,MATCH($M483,Market_Daily!$A$6:$A$256,1)),IF($M483=$A483,INDEX(Market_Daily!$F$6:$F$256,MATCH($A483,Market_Daily!$A$6:$A$256,0)),(INDEX(Market_Daily!$F$6:$F$256,MATCH($A483,Market_Daily!$A$6:$A$256,0))*(1+INDEX(Market_Daily!$I$6:$I$256,MATCH($A483,Market_Daily!$A$6:$A$256,0))*($M483-$A483)/day_count_inr)/(1+INDEX(Market_Daily!$J$6:$J$256,MATCH($A483,Market_Daily!$A$6:$A$256,0))*($M483-$A483)/day_count_usd)))))</f>
        <v/>
      </c>
      <c r="AM483" s="8">
        <f>IF(OR($J483="INR",$R483&gt;1),"",$AL483-$X483)</f>
        <v/>
      </c>
      <c r="AN483" s="8">
        <f>$U483</f>
        <v/>
      </c>
      <c r="AO483" s="8">
        <f>$V483</f>
        <v/>
      </c>
      <c r="AP483" s="18">
        <f>$AO483-$V483</f>
        <v/>
      </c>
      <c r="AQ483" s="8">
        <f>IF(ABS($AP483)&lt;=tol_trade_inr,"PASS","FAIL")</f>
        <v/>
      </c>
    </row>
    <row r="484">
      <c r="A484" s="11" t="n">
        <v>44673</v>
      </c>
      <c r="B484" s="7" t="inlineStr">
        <is>
          <t>T01</t>
        </is>
      </c>
      <c r="C484" s="7" t="inlineStr">
        <is>
          <t>PORT:L1</t>
        </is>
      </c>
      <c r="D484" s="7" t="inlineStr">
        <is>
          <t>PORT</t>
        </is>
      </c>
      <c r="E484" s="7" t="inlineStr">
        <is>
          <t>physical</t>
        </is>
      </c>
      <c r="F484" s="7" t="inlineStr">
        <is>
          <t>L1</t>
        </is>
      </c>
      <c r="H484" s="7" t="inlineStr">
        <is>
          <t>zorba</t>
        </is>
      </c>
      <c r="I484" s="7" t="inlineStr">
        <is>
          <t>USEC_MUN</t>
        </is>
      </c>
      <c r="J484" s="7" t="inlineStr">
        <is>
          <t>INR</t>
        </is>
      </c>
      <c r="K484" s="7" t="inlineStr">
        <is>
          <t>fixed_unsettled</t>
        </is>
      </c>
      <c r="L484" s="7" t="inlineStr">
        <is>
          <t>PNL</t>
        </is>
      </c>
      <c r="M484" s="11" t="n">
        <v>44699</v>
      </c>
      <c r="N484" s="13" t="n">
        <v>0</v>
      </c>
      <c r="O484" s="6" t="n">
        <v>0</v>
      </c>
      <c r="P484" s="13" t="n">
        <v>0</v>
      </c>
      <c r="Q484" s="22" t="n">
        <v>30</v>
      </c>
      <c r="R484" s="6" t="n">
        <v>1</v>
      </c>
      <c r="U484" s="9" t="n">
        <v>-2226000</v>
      </c>
      <c r="V484" s="9" t="n">
        <v>-2226000</v>
      </c>
      <c r="X484" s="9" t="n">
        <v>76.4485</v>
      </c>
      <c r="AK484" s="7" t="inlineStr">
        <is>
          <t>PYTHON_LIFECYCLE</t>
        </is>
      </c>
      <c r="AL484" s="8">
        <f>IF($J484="INR",1,IF($M484&lt;$A484,INDEX(Market_Daily!$F$6:$F$256,MATCH($M484,Market_Daily!$A$6:$A$256,1)),IF($M484=$A484,INDEX(Market_Daily!$F$6:$F$256,MATCH($A484,Market_Daily!$A$6:$A$256,0)),(INDEX(Market_Daily!$F$6:$F$256,MATCH($A484,Market_Daily!$A$6:$A$256,0))*(1+INDEX(Market_Daily!$I$6:$I$256,MATCH($A484,Market_Daily!$A$6:$A$256,0))*($M484-$A484)/day_count_inr)/(1+INDEX(Market_Daily!$J$6:$J$256,MATCH($A484,Market_Daily!$A$6:$A$256,0))*($M484-$A484)/day_count_usd)))))</f>
        <v/>
      </c>
      <c r="AM484" s="8">
        <f>IF(OR($J484="INR",$R484&gt;1),"",$AL484-$X484)</f>
        <v/>
      </c>
      <c r="AN484" s="8">
        <f>$U484</f>
        <v/>
      </c>
      <c r="AO484" s="8">
        <f>$AN484*IF($J484="INR",1,$AL484)</f>
        <v/>
      </c>
      <c r="AP484" s="18">
        <f>$AO484-$V484</f>
        <v/>
      </c>
      <c r="AQ484" s="8">
        <f>IF(ABS($AP484)&lt;=tol_trade_inr,"PASS","FAIL")</f>
        <v/>
      </c>
    </row>
    <row r="485">
      <c r="A485" s="11" t="n">
        <v>44673</v>
      </c>
      <c r="B485" s="7" t="inlineStr">
        <is>
          <t>T01</t>
        </is>
      </c>
      <c r="C485" s="7" t="inlineStr">
        <is>
          <t>PORT:L2</t>
        </is>
      </c>
      <c r="D485" s="7" t="inlineStr">
        <is>
          <t>PORT</t>
        </is>
      </c>
      <c r="E485" s="7" t="inlineStr">
        <is>
          <t>physical</t>
        </is>
      </c>
      <c r="F485" s="7" t="inlineStr">
        <is>
          <t>L2</t>
        </is>
      </c>
      <c r="H485" s="7" t="inlineStr">
        <is>
          <t>zorba</t>
        </is>
      </c>
      <c r="I485" s="7" t="inlineStr">
        <is>
          <t>USEC_MUN</t>
        </is>
      </c>
      <c r="J485" s="7" t="inlineStr">
        <is>
          <t>INR</t>
        </is>
      </c>
      <c r="K485" s="7" t="inlineStr">
        <is>
          <t>fixed_unsettled</t>
        </is>
      </c>
      <c r="L485" s="7" t="inlineStr">
        <is>
          <t>PNL</t>
        </is>
      </c>
      <c r="M485" s="11" t="n">
        <v>44705</v>
      </c>
      <c r="N485" s="13" t="n">
        <v>0</v>
      </c>
      <c r="O485" s="6" t="n">
        <v>0</v>
      </c>
      <c r="P485" s="13" t="n">
        <v>0</v>
      </c>
      <c r="Q485" s="22" t="n">
        <v>30</v>
      </c>
      <c r="R485" s="6" t="n">
        <v>1</v>
      </c>
      <c r="U485" s="9" t="n">
        <v>-2226000</v>
      </c>
      <c r="V485" s="9" t="n">
        <v>-2226000</v>
      </c>
      <c r="X485" s="9" t="n">
        <v>76.4485</v>
      </c>
      <c r="AK485" s="7" t="inlineStr">
        <is>
          <t>PYTHON_LIFECYCLE</t>
        </is>
      </c>
      <c r="AL485" s="8">
        <f>IF($J485="INR",1,IF($M485&lt;$A485,INDEX(Market_Daily!$F$6:$F$256,MATCH($M485,Market_Daily!$A$6:$A$256,1)),IF($M485=$A485,INDEX(Market_Daily!$F$6:$F$256,MATCH($A485,Market_Daily!$A$6:$A$256,0)),(INDEX(Market_Daily!$F$6:$F$256,MATCH($A485,Market_Daily!$A$6:$A$256,0))*(1+INDEX(Market_Daily!$I$6:$I$256,MATCH($A485,Market_Daily!$A$6:$A$256,0))*($M485-$A485)/day_count_inr)/(1+INDEX(Market_Daily!$J$6:$J$256,MATCH($A485,Market_Daily!$A$6:$A$256,0))*($M485-$A485)/day_count_usd)))))</f>
        <v/>
      </c>
      <c r="AM485" s="8">
        <f>IF(OR($J485="INR",$R485&gt;1),"",$AL485-$X485)</f>
        <v/>
      </c>
      <c r="AN485" s="8">
        <f>$U485</f>
        <v/>
      </c>
      <c r="AO485" s="8">
        <f>$AN485*IF($J485="INR",1,$AL485)</f>
        <v/>
      </c>
      <c r="AP485" s="18">
        <f>$AO485-$V485</f>
        <v/>
      </c>
      <c r="AQ485" s="8">
        <f>IF(ABS($AP485)&lt;=tol_trade_inr,"PASS","FAIL")</f>
        <v/>
      </c>
    </row>
    <row r="486">
      <c r="A486" s="11" t="n">
        <v>44673</v>
      </c>
      <c r="B486" s="7" t="inlineStr">
        <is>
          <t>T01</t>
        </is>
      </c>
      <c r="C486" s="7" t="inlineStr">
        <is>
          <t>PORT:L3</t>
        </is>
      </c>
      <c r="D486" s="7" t="inlineStr">
        <is>
          <t>PORT</t>
        </is>
      </c>
      <c r="E486" s="7" t="inlineStr">
        <is>
          <t>physical</t>
        </is>
      </c>
      <c r="F486" s="7" t="inlineStr">
        <is>
          <t>L3</t>
        </is>
      </c>
      <c r="H486" s="7" t="inlineStr">
        <is>
          <t>zorba</t>
        </is>
      </c>
      <c r="I486" s="7" t="inlineStr">
        <is>
          <t>USEC_MUN</t>
        </is>
      </c>
      <c r="J486" s="7" t="inlineStr">
        <is>
          <t>INR</t>
        </is>
      </c>
      <c r="K486" s="7" t="inlineStr">
        <is>
          <t>fixed_unsettled</t>
        </is>
      </c>
      <c r="L486" s="7" t="inlineStr">
        <is>
          <t>PNL</t>
        </is>
      </c>
      <c r="M486" s="11" t="n">
        <v>44708</v>
      </c>
      <c r="N486" s="13" t="n">
        <v>0</v>
      </c>
      <c r="O486" s="6" t="n">
        <v>0</v>
      </c>
      <c r="P486" s="13" t="n">
        <v>0</v>
      </c>
      <c r="Q486" s="22" t="n">
        <v>30</v>
      </c>
      <c r="R486" s="6" t="n">
        <v>1</v>
      </c>
      <c r="U486" s="9" t="n">
        <v>-2226000</v>
      </c>
      <c r="V486" s="9" t="n">
        <v>-2226000</v>
      </c>
      <c r="X486" s="9" t="n">
        <v>76.4485</v>
      </c>
      <c r="AK486" s="7" t="inlineStr">
        <is>
          <t>PYTHON_LIFECYCLE</t>
        </is>
      </c>
      <c r="AL486" s="8">
        <f>IF($J486="INR",1,IF($M486&lt;$A486,INDEX(Market_Daily!$F$6:$F$256,MATCH($M486,Market_Daily!$A$6:$A$256,1)),IF($M486=$A486,INDEX(Market_Daily!$F$6:$F$256,MATCH($A486,Market_Daily!$A$6:$A$256,0)),(INDEX(Market_Daily!$F$6:$F$256,MATCH($A486,Market_Daily!$A$6:$A$256,0))*(1+INDEX(Market_Daily!$I$6:$I$256,MATCH($A486,Market_Daily!$A$6:$A$256,0))*($M486-$A486)/day_count_inr)/(1+INDEX(Market_Daily!$J$6:$J$256,MATCH($A486,Market_Daily!$A$6:$A$256,0))*($M486-$A486)/day_count_usd)))))</f>
        <v/>
      </c>
      <c r="AM486" s="8">
        <f>IF(OR($J486="INR",$R486&gt;1),"",$AL486-$X486)</f>
        <v/>
      </c>
      <c r="AN486" s="8">
        <f>$U486</f>
        <v/>
      </c>
      <c r="AO486" s="8">
        <f>$AN486*IF($J486="INR",1,$AL486)</f>
        <v/>
      </c>
      <c r="AP486" s="18">
        <f>$AO486-$V486</f>
        <v/>
      </c>
      <c r="AQ486" s="8">
        <f>IF(ABS($AP486)&lt;=tol_trade_inr,"PASS","FAIL")</f>
        <v/>
      </c>
    </row>
    <row r="487">
      <c r="A487" s="11" t="n">
        <v>44673</v>
      </c>
      <c r="B487" s="7" t="inlineStr">
        <is>
          <t>T02</t>
        </is>
      </c>
      <c r="C487" s="7" t="inlineStr">
        <is>
          <t>BILL_COMMISSION:L1</t>
        </is>
      </c>
      <c r="D487" s="7" t="inlineStr">
        <is>
          <t>BILL_COMMISSION</t>
        </is>
      </c>
      <c r="E487" s="7" t="inlineStr">
        <is>
          <t>physical</t>
        </is>
      </c>
      <c r="F487" s="7" t="inlineStr">
        <is>
          <t>L1</t>
        </is>
      </c>
      <c r="H487" s="7" t="inlineStr">
        <is>
          <t>tense</t>
        </is>
      </c>
      <c r="I487" s="7" t="inlineStr">
        <is>
          <t>JEA_NSA</t>
        </is>
      </c>
      <c r="J487" s="7" t="inlineStr">
        <is>
          <t>USD</t>
        </is>
      </c>
      <c r="K487" s="7" t="inlineStr">
        <is>
          <t>floating</t>
        </is>
      </c>
      <c r="L487" s="7" t="inlineStr">
        <is>
          <t>PNL</t>
        </is>
      </c>
      <c r="M487" s="11" t="n">
        <v>44746</v>
      </c>
      <c r="N487" s="13" t="n">
        <v>0</v>
      </c>
      <c r="O487" s="6" t="n">
        <v>0</v>
      </c>
      <c r="P487" s="13" t="n">
        <v>0</v>
      </c>
      <c r="Q487" s="22" t="n">
        <v>30</v>
      </c>
      <c r="R487" s="6" t="n">
        <v>1</v>
      </c>
      <c r="U487" s="9" t="n">
        <v>-1490.28</v>
      </c>
      <c r="V487" s="9" t="n">
        <v>-114633.75</v>
      </c>
      <c r="X487" s="9" t="n">
        <v>76.92100000000001</v>
      </c>
      <c r="AK487" s="7" t="inlineStr">
        <is>
          <t>PYTHON_LIFECYCLE</t>
        </is>
      </c>
      <c r="AL487" s="8">
        <f>IF($J487="INR",1,IF($M487&lt;$A487,INDEX(Market_Daily!$F$6:$F$256,MATCH($M487,Market_Daily!$A$6:$A$256,1)),IF($M487=$A487,INDEX(Market_Daily!$F$6:$F$256,MATCH($A487,Market_Daily!$A$6:$A$256,0)),(INDEX(Market_Daily!$F$6:$F$256,MATCH($A487,Market_Daily!$A$6:$A$256,0))*(1+INDEX(Market_Daily!$I$6:$I$256,MATCH($A487,Market_Daily!$A$6:$A$256,0))*($M487-$A487)/day_count_inr)/(1+INDEX(Market_Daily!$J$6:$J$256,MATCH($A487,Market_Daily!$A$6:$A$256,0))*($M487-$A487)/day_count_usd)))))</f>
        <v/>
      </c>
      <c r="AM487" s="8">
        <f>IF(OR($J487="INR",$R487&gt;1),"",$AL487-$X487)</f>
        <v/>
      </c>
      <c r="AN487" s="8">
        <f>$U487</f>
        <v/>
      </c>
      <c r="AO487" s="8">
        <f>$AN487*IF($J487="INR",1,$AL487)</f>
        <v/>
      </c>
      <c r="AP487" s="18">
        <f>$AO487-$V487</f>
        <v/>
      </c>
      <c r="AQ487" s="8">
        <f>IF(ABS($AP487)&lt;=tol_trade_inr,"PASS","FAIL")</f>
        <v/>
      </c>
    </row>
    <row r="488">
      <c r="A488" s="11" t="n">
        <v>44673</v>
      </c>
      <c r="B488" s="7" t="inlineStr">
        <is>
          <t>T02</t>
        </is>
      </c>
      <c r="C488" s="7" t="inlineStr">
        <is>
          <t>BILL_COMMISSION:L2</t>
        </is>
      </c>
      <c r="D488" s="7" t="inlineStr">
        <is>
          <t>BILL_COMMISSION</t>
        </is>
      </c>
      <c r="E488" s="7" t="inlineStr">
        <is>
          <t>physical</t>
        </is>
      </c>
      <c r="F488" s="7" t="inlineStr">
        <is>
          <t>L2</t>
        </is>
      </c>
      <c r="H488" s="7" t="inlineStr">
        <is>
          <t>tense</t>
        </is>
      </c>
      <c r="I488" s="7" t="inlineStr">
        <is>
          <t>JEA_NSA</t>
        </is>
      </c>
      <c r="J488" s="7" t="inlineStr">
        <is>
          <t>USD</t>
        </is>
      </c>
      <c r="K488" s="7" t="inlineStr">
        <is>
          <t>floating</t>
        </is>
      </c>
      <c r="L488" s="7" t="inlineStr">
        <is>
          <t>PNL</t>
        </is>
      </c>
      <c r="M488" s="11" t="n">
        <v>44754</v>
      </c>
      <c r="N488" s="13" t="n">
        <v>0</v>
      </c>
      <c r="O488" s="6" t="n">
        <v>0</v>
      </c>
      <c r="P488" s="13" t="n">
        <v>0</v>
      </c>
      <c r="Q488" s="22" t="n">
        <v>30</v>
      </c>
      <c r="R488" s="6" t="n">
        <v>1</v>
      </c>
      <c r="U488" s="9" t="n">
        <v>-1399.51</v>
      </c>
      <c r="V488" s="9" t="n">
        <v>-107724</v>
      </c>
      <c r="X488" s="9" t="n">
        <v>76.9727</v>
      </c>
      <c r="AK488" s="7" t="inlineStr">
        <is>
          <t>PYTHON_LIFECYCLE</t>
        </is>
      </c>
      <c r="AL488" s="8">
        <f>IF($J488="INR",1,IF($M488&lt;$A488,INDEX(Market_Daily!$F$6:$F$256,MATCH($M488,Market_Daily!$A$6:$A$256,1)),IF($M488=$A488,INDEX(Market_Daily!$F$6:$F$256,MATCH($A488,Market_Daily!$A$6:$A$256,0)),(INDEX(Market_Daily!$F$6:$F$256,MATCH($A488,Market_Daily!$A$6:$A$256,0))*(1+INDEX(Market_Daily!$I$6:$I$256,MATCH($A488,Market_Daily!$A$6:$A$256,0))*($M488-$A488)/day_count_inr)/(1+INDEX(Market_Daily!$J$6:$J$256,MATCH($A488,Market_Daily!$A$6:$A$256,0))*($M488-$A488)/day_count_usd)))))</f>
        <v/>
      </c>
      <c r="AM488" s="8">
        <f>IF(OR($J488="INR",$R488&gt;1),"",$AL488-$X488)</f>
        <v/>
      </c>
      <c r="AN488" s="8">
        <f>$U488</f>
        <v/>
      </c>
      <c r="AO488" s="8">
        <f>$AN488*IF($J488="INR",1,$AL488)</f>
        <v/>
      </c>
      <c r="AP488" s="18">
        <f>$AO488-$V488</f>
        <v/>
      </c>
      <c r="AQ488" s="8">
        <f>IF(ABS($AP488)&lt;=tol_trade_inr,"PASS","FAIL")</f>
        <v/>
      </c>
    </row>
    <row r="489">
      <c r="A489" s="11" t="n">
        <v>44673</v>
      </c>
      <c r="B489" s="7" t="inlineStr">
        <is>
          <t>T02</t>
        </is>
      </c>
      <c r="C489" s="7" t="inlineStr">
        <is>
          <t>DUTY:L1</t>
        </is>
      </c>
      <c r="D489" s="7" t="inlineStr">
        <is>
          <t>DUTY</t>
        </is>
      </c>
      <c r="E489" s="7" t="inlineStr">
        <is>
          <t>physical</t>
        </is>
      </c>
      <c r="F489" s="7" t="inlineStr">
        <is>
          <t>L1</t>
        </is>
      </c>
      <c r="H489" s="7" t="inlineStr">
        <is>
          <t>tense</t>
        </is>
      </c>
      <c r="I489" s="7" t="inlineStr">
        <is>
          <t>JEA_NSA</t>
        </is>
      </c>
      <c r="J489" s="7" t="inlineStr">
        <is>
          <t>INR</t>
        </is>
      </c>
      <c r="K489" s="7" t="inlineStr">
        <is>
          <t>partially_fixed</t>
        </is>
      </c>
      <c r="L489" s="7" t="inlineStr">
        <is>
          <t>PNL</t>
        </is>
      </c>
      <c r="M489" s="11" t="n">
        <v>44721</v>
      </c>
      <c r="N489" s="13" t="n">
        <v>600</v>
      </c>
      <c r="O489" s="6" t="n">
        <v>0</v>
      </c>
      <c r="P489" s="13" t="n">
        <v>0</v>
      </c>
      <c r="Q489" s="22" t="n">
        <v>30</v>
      </c>
      <c r="R489" s="6" t="n">
        <v>2</v>
      </c>
      <c r="U489" s="9" t="n">
        <v>134678.67</v>
      </c>
      <c r="V489" s="9" t="n">
        <v>134678.67</v>
      </c>
      <c r="X489" s="9" t="n">
        <v>76.4485</v>
      </c>
      <c r="AK489" s="7" t="inlineStr">
        <is>
          <t>PYTHON_MULTI_FLOW_LEG</t>
        </is>
      </c>
      <c r="AL489" s="8">
        <f>IF($J489="INR",1,IF($M489&lt;$A489,INDEX(Market_Daily!$F$6:$F$256,MATCH($M489,Market_Daily!$A$6:$A$256,1)),IF($M489=$A489,INDEX(Market_Daily!$F$6:$F$256,MATCH($A489,Market_Daily!$A$6:$A$256,0)),(INDEX(Market_Daily!$F$6:$F$256,MATCH($A489,Market_Daily!$A$6:$A$256,0))*(1+INDEX(Market_Daily!$I$6:$I$256,MATCH($A489,Market_Daily!$A$6:$A$256,0))*($M489-$A489)/day_count_inr)/(1+INDEX(Market_Daily!$J$6:$J$256,MATCH($A489,Market_Daily!$A$6:$A$256,0))*($M489-$A489)/day_count_usd)))))</f>
        <v/>
      </c>
      <c r="AM489" s="8">
        <f>IF(OR($J489="INR",$R489&gt;1),"",$AL489-$X489)</f>
        <v/>
      </c>
      <c r="AN489" s="8">
        <f>$U489</f>
        <v/>
      </c>
      <c r="AO489" s="8">
        <f>$V489</f>
        <v/>
      </c>
      <c r="AP489" s="18">
        <f>$AO489-$V489</f>
        <v/>
      </c>
      <c r="AQ489" s="8">
        <f>IF(ABS($AP489)&lt;=tol_trade_inr,"PASS","FAIL")</f>
        <v/>
      </c>
    </row>
    <row r="490">
      <c r="A490" s="11" t="n">
        <v>44673</v>
      </c>
      <c r="B490" s="7" t="inlineStr">
        <is>
          <t>T02</t>
        </is>
      </c>
      <c r="C490" s="7" t="inlineStr">
        <is>
          <t>DUTY:L2</t>
        </is>
      </c>
      <c r="D490" s="7" t="inlineStr">
        <is>
          <t>DUTY</t>
        </is>
      </c>
      <c r="E490" s="7" t="inlineStr">
        <is>
          <t>physical</t>
        </is>
      </c>
      <c r="F490" s="7" t="inlineStr">
        <is>
          <t>L2</t>
        </is>
      </c>
      <c r="H490" s="7" t="inlineStr">
        <is>
          <t>tense</t>
        </is>
      </c>
      <c r="I490" s="7" t="inlineStr">
        <is>
          <t>JEA_NSA</t>
        </is>
      </c>
      <c r="J490" s="7" t="inlineStr">
        <is>
          <t>INR</t>
        </is>
      </c>
      <c r="K490" s="7" t="inlineStr">
        <is>
          <t>partially_fixed</t>
        </is>
      </c>
      <c r="L490" s="7" t="inlineStr">
        <is>
          <t>PNL</t>
        </is>
      </c>
      <c r="M490" s="11" t="n">
        <v>44721</v>
      </c>
      <c r="N490" s="13" t="n">
        <v>600</v>
      </c>
      <c r="O490" s="6" t="n">
        <v>0</v>
      </c>
      <c r="P490" s="13" t="n">
        <v>0</v>
      </c>
      <c r="Q490" s="22" t="n">
        <v>30</v>
      </c>
      <c r="R490" s="6" t="n">
        <v>2</v>
      </c>
      <c r="U490" s="9" t="n">
        <v>-33668.82</v>
      </c>
      <c r="V490" s="9" t="n">
        <v>-33668.82</v>
      </c>
      <c r="X490" s="9" t="n">
        <v>76.4485</v>
      </c>
      <c r="AK490" s="7" t="inlineStr">
        <is>
          <t>PYTHON_MULTI_FLOW_LEG</t>
        </is>
      </c>
      <c r="AL490" s="8">
        <f>IF($J490="INR",1,IF($M490&lt;$A490,INDEX(Market_Daily!$F$6:$F$256,MATCH($M490,Market_Daily!$A$6:$A$256,1)),IF($M490=$A490,INDEX(Market_Daily!$F$6:$F$256,MATCH($A490,Market_Daily!$A$6:$A$256,0)),(INDEX(Market_Daily!$F$6:$F$256,MATCH($A490,Market_Daily!$A$6:$A$256,0))*(1+INDEX(Market_Daily!$I$6:$I$256,MATCH($A490,Market_Daily!$A$6:$A$256,0))*($M490-$A490)/day_count_inr)/(1+INDEX(Market_Daily!$J$6:$J$256,MATCH($A490,Market_Daily!$A$6:$A$256,0))*($M490-$A490)/day_count_usd)))))</f>
        <v/>
      </c>
      <c r="AM490" s="8">
        <f>IF(OR($J490="INR",$R490&gt;1),"",$AL490-$X490)</f>
        <v/>
      </c>
      <c r="AN490" s="8">
        <f>$U490</f>
        <v/>
      </c>
      <c r="AO490" s="8">
        <f>$V490</f>
        <v/>
      </c>
      <c r="AP490" s="18">
        <f>$AO490-$V490</f>
        <v/>
      </c>
      <c r="AQ490" s="8">
        <f>IF(ABS($AP490)&lt;=tol_trade_inr,"PASS","FAIL")</f>
        <v/>
      </c>
    </row>
    <row r="491">
      <c r="A491" s="11" t="n">
        <v>44673</v>
      </c>
      <c r="B491" s="7" t="inlineStr">
        <is>
          <t>T02</t>
        </is>
      </c>
      <c r="C491" s="7" t="inlineStr">
        <is>
          <t>FX:T02-FX-1</t>
        </is>
      </c>
      <c r="D491" s="7" t="inlineStr">
        <is>
          <t>FX</t>
        </is>
      </c>
      <c r="E491" s="7" t="inlineStr">
        <is>
          <t>fx_forward</t>
        </is>
      </c>
      <c r="H491" s="7" t="inlineStr">
        <is>
          <t>tense</t>
        </is>
      </c>
      <c r="I491" s="7" t="inlineStr">
        <is>
          <t>JEA_NSA</t>
        </is>
      </c>
      <c r="J491" s="7" t="inlineStr">
        <is>
          <t>INR</t>
        </is>
      </c>
      <c r="K491" s="7" t="inlineStr">
        <is>
          <t>floating</t>
        </is>
      </c>
      <c r="L491" s="7" t="inlineStr">
        <is>
          <t>PNL</t>
        </is>
      </c>
      <c r="M491" s="11" t="n">
        <v>44746</v>
      </c>
      <c r="N491" s="13" t="n">
        <v>0</v>
      </c>
      <c r="O491" s="6" t="n">
        <v>0</v>
      </c>
      <c r="P491" s="13" t="n">
        <v>1241900</v>
      </c>
      <c r="Q491" s="22" t="n">
        <v>30</v>
      </c>
      <c r="R491" s="6" t="n">
        <v>1</v>
      </c>
      <c r="S491" s="12" t="n">
        <v>44746</v>
      </c>
      <c r="T491" s="21" t="n">
        <v>76.040598</v>
      </c>
      <c r="U491" s="9" t="n">
        <v>1093387.53</v>
      </c>
      <c r="V491" s="9" t="n">
        <v>1093387.53</v>
      </c>
      <c r="X491" s="9" t="n">
        <v>76.4485</v>
      </c>
      <c r="AK491" s="7" t="inlineStr">
        <is>
          <t>DERIVED_IN_WORKBOOK</t>
        </is>
      </c>
      <c r="AL491" s="8">
        <f>IF($J491="INR",1,IF($M491&lt;$A491,INDEX(Market_Daily!$F$6:$F$256,MATCH($M491,Market_Daily!$A$6:$A$256,1)),IF($M491=$A491,INDEX(Market_Daily!$F$6:$F$256,MATCH($A491,Market_Daily!$A$6:$A$256,0)),(INDEX(Market_Daily!$F$6:$F$256,MATCH($A491,Market_Daily!$A$6:$A$256,0))*(1+INDEX(Market_Daily!$I$6:$I$256,MATCH($A491,Market_Daily!$A$6:$A$256,0))*($M491-$A491)/day_count_inr)/(1+INDEX(Market_Daily!$J$6:$J$256,MATCH($A491,Market_Daily!$A$6:$A$256,0))*($M491-$A491)/day_count_usd)))))</f>
        <v/>
      </c>
      <c r="AM491" s="8">
        <f>IF(OR($J491="INR",$R491&gt;1),"",$AL491-$X491)</f>
        <v/>
      </c>
      <c r="AN491" s="8">
        <f>$P491*(IF($S491&lt;$A491,INDEX(Market_Daily!$F$6:$F$256,MATCH($S491,Market_Daily!$A$6:$A$256,1)),IF($S491=$A491,INDEX(Market_Daily!$F$6:$F$256,MATCH($A491,Market_Daily!$A$6:$A$256,0)),(INDEX(Market_Daily!$F$6:$F$256,MATCH($A491,Market_Daily!$A$6:$A$256,0))*(1+INDEX(Market_Daily!$I$6:$I$256,MATCH($A491,Market_Daily!$A$6:$A$256,0))*($S491-$A491)/day_count_inr)/(1+INDEX(Market_Daily!$J$6:$J$256,MATCH($A491,Market_Daily!$A$6:$A$256,0))*($S491-$A491)/day_count_usd))))-$T491)</f>
        <v/>
      </c>
      <c r="AO491" s="8">
        <f>$AN491</f>
        <v/>
      </c>
      <c r="AP491" s="18">
        <f>$AO491-$V491</f>
        <v/>
      </c>
      <c r="AQ491" s="8">
        <f>IF(ABS($AP491)&lt;=tol_trade_inr,"PASS","FAIL")</f>
        <v/>
      </c>
    </row>
    <row r="492">
      <c r="A492" s="11" t="n">
        <v>44673</v>
      </c>
      <c r="B492" s="7" t="inlineStr">
        <is>
          <t>T02</t>
        </is>
      </c>
      <c r="C492" s="7" t="inlineStr">
        <is>
          <t>FX:T02-FX-2</t>
        </is>
      </c>
      <c r="D492" s="7" t="inlineStr">
        <is>
          <t>FX</t>
        </is>
      </c>
      <c r="E492" s="7" t="inlineStr">
        <is>
          <t>fx_forward</t>
        </is>
      </c>
      <c r="H492" s="7" t="inlineStr">
        <is>
          <t>tense</t>
        </is>
      </c>
      <c r="I492" s="7" t="inlineStr">
        <is>
          <t>JEA_NSA</t>
        </is>
      </c>
      <c r="J492" s="7" t="inlineStr">
        <is>
          <t>INR</t>
        </is>
      </c>
      <c r="K492" s="7" t="inlineStr">
        <is>
          <t>floating</t>
        </is>
      </c>
      <c r="L492" s="7" t="inlineStr">
        <is>
          <t>PNL</t>
        </is>
      </c>
      <c r="M492" s="11" t="n">
        <v>44754</v>
      </c>
      <c r="N492" s="13" t="n">
        <v>0</v>
      </c>
      <c r="O492" s="6" t="n">
        <v>0</v>
      </c>
      <c r="P492" s="13" t="n">
        <v>1166000</v>
      </c>
      <c r="Q492" s="22" t="n">
        <v>30</v>
      </c>
      <c r="R492" s="6" t="n">
        <v>1</v>
      </c>
      <c r="S492" s="12" t="n">
        <v>44754</v>
      </c>
      <c r="T492" s="21" t="n">
        <v>76.878636</v>
      </c>
      <c r="U492" s="9" t="n">
        <v>109678.18</v>
      </c>
      <c r="V492" s="9" t="n">
        <v>109678.18</v>
      </c>
      <c r="X492" s="9" t="n">
        <v>76.4485</v>
      </c>
      <c r="AK492" s="7" t="inlineStr">
        <is>
          <t>DERIVED_IN_WORKBOOK</t>
        </is>
      </c>
      <c r="AL492" s="8">
        <f>IF($J492="INR",1,IF($M492&lt;$A492,INDEX(Market_Daily!$F$6:$F$256,MATCH($M492,Market_Daily!$A$6:$A$256,1)),IF($M492=$A492,INDEX(Market_Daily!$F$6:$F$256,MATCH($A492,Market_Daily!$A$6:$A$256,0)),(INDEX(Market_Daily!$F$6:$F$256,MATCH($A492,Market_Daily!$A$6:$A$256,0))*(1+INDEX(Market_Daily!$I$6:$I$256,MATCH($A492,Market_Daily!$A$6:$A$256,0))*($M492-$A492)/day_count_inr)/(1+INDEX(Market_Daily!$J$6:$J$256,MATCH($A492,Market_Daily!$A$6:$A$256,0))*($M492-$A492)/day_count_usd)))))</f>
        <v/>
      </c>
      <c r="AM492" s="8">
        <f>IF(OR($J492="INR",$R492&gt;1),"",$AL492-$X492)</f>
        <v/>
      </c>
      <c r="AN492" s="8">
        <f>$P492*(IF($S492&lt;$A492,INDEX(Market_Daily!$F$6:$F$256,MATCH($S492,Market_Daily!$A$6:$A$256,1)),IF($S492=$A492,INDEX(Market_Daily!$F$6:$F$256,MATCH($A492,Market_Daily!$A$6:$A$256,0)),(INDEX(Market_Daily!$F$6:$F$256,MATCH($A492,Market_Daily!$A$6:$A$256,0))*(1+INDEX(Market_Daily!$I$6:$I$256,MATCH($A492,Market_Daily!$A$6:$A$256,0))*($S492-$A492)/day_count_inr)/(1+INDEX(Market_Daily!$J$6:$J$256,MATCH($A492,Market_Daily!$A$6:$A$256,0))*($S492-$A492)/day_count_usd))))-$T492)</f>
        <v/>
      </c>
      <c r="AO492" s="8">
        <f>$AN492</f>
        <v/>
      </c>
      <c r="AP492" s="18">
        <f>$AO492-$V492</f>
        <v/>
      </c>
      <c r="AQ492" s="8">
        <f>IF(ABS($AP492)&lt;=tol_trade_inr,"PASS","FAIL")</f>
        <v/>
      </c>
    </row>
    <row r="493">
      <c r="A493" s="11" t="n">
        <v>44673</v>
      </c>
      <c r="B493" s="7" t="inlineStr">
        <is>
          <t>T02</t>
        </is>
      </c>
      <c r="C493" s="7" t="inlineStr">
        <is>
          <t>IGST:L1</t>
        </is>
      </c>
      <c r="D493" s="7" t="inlineStr">
        <is>
          <t>IGST</t>
        </is>
      </c>
      <c r="E493" s="7" t="inlineStr">
        <is>
          <t>physical</t>
        </is>
      </c>
      <c r="F493" s="7" t="inlineStr">
        <is>
          <t>L1</t>
        </is>
      </c>
      <c r="H493" s="7" t="inlineStr">
        <is>
          <t>tense</t>
        </is>
      </c>
      <c r="I493" s="7" t="inlineStr">
        <is>
          <t>JEA_NSA</t>
        </is>
      </c>
      <c r="J493" s="7" t="inlineStr">
        <is>
          <t>INR</t>
        </is>
      </c>
      <c r="K493" s="7" t="inlineStr">
        <is>
          <t>fixed_unsettled</t>
        </is>
      </c>
      <c r="L493" s="7" t="inlineStr">
        <is>
          <t>BS</t>
        </is>
      </c>
      <c r="M493" s="11" t="n">
        <v>44707</v>
      </c>
      <c r="N493" s="13" t="n">
        <v>0</v>
      </c>
      <c r="O493" s="6" t="n">
        <v>0</v>
      </c>
      <c r="P493" s="13" t="n">
        <v>0</v>
      </c>
      <c r="Q493" s="22" t="n">
        <v>30</v>
      </c>
      <c r="R493" s="6" t="n">
        <v>2</v>
      </c>
      <c r="U493" s="9" t="n">
        <v>0</v>
      </c>
      <c r="V493" s="9" t="n">
        <v>0</v>
      </c>
      <c r="X493" s="9" t="n">
        <v>76.4485</v>
      </c>
      <c r="AK493" s="7" t="inlineStr">
        <is>
          <t>PYTHON_MULTI_FLOW_LEG</t>
        </is>
      </c>
      <c r="AL493" s="8">
        <f>IF($J493="INR",1,IF($M493&lt;$A493,INDEX(Market_Daily!$F$6:$F$256,MATCH($M493,Market_Daily!$A$6:$A$256,1)),IF($M493=$A493,INDEX(Market_Daily!$F$6:$F$256,MATCH($A493,Market_Daily!$A$6:$A$256,0)),(INDEX(Market_Daily!$F$6:$F$256,MATCH($A493,Market_Daily!$A$6:$A$256,0))*(1+INDEX(Market_Daily!$I$6:$I$256,MATCH($A493,Market_Daily!$A$6:$A$256,0))*($M493-$A493)/day_count_inr)/(1+INDEX(Market_Daily!$J$6:$J$256,MATCH($A493,Market_Daily!$A$6:$A$256,0))*($M493-$A493)/day_count_usd)))))</f>
        <v/>
      </c>
      <c r="AM493" s="8">
        <f>IF(OR($J493="INR",$R493&gt;1),"",$AL493-$X493)</f>
        <v/>
      </c>
      <c r="AN493" s="8">
        <f>$U493</f>
        <v/>
      </c>
      <c r="AO493" s="8">
        <f>$V493</f>
        <v/>
      </c>
      <c r="AP493" s="18">
        <f>$AO493-$V493</f>
        <v/>
      </c>
      <c r="AQ493" s="8">
        <f>IF(ABS($AP493)&lt;=tol_trade_inr,"PASS","FAIL")</f>
        <v/>
      </c>
    </row>
    <row r="494">
      <c r="A494" s="11" t="n">
        <v>44673</v>
      </c>
      <c r="B494" s="7" t="inlineStr">
        <is>
          <t>T02</t>
        </is>
      </c>
      <c r="C494" s="7" t="inlineStr">
        <is>
          <t>IGST:L2</t>
        </is>
      </c>
      <c r="D494" s="7" t="inlineStr">
        <is>
          <t>IGST</t>
        </is>
      </c>
      <c r="E494" s="7" t="inlineStr">
        <is>
          <t>physical</t>
        </is>
      </c>
      <c r="F494" s="7" t="inlineStr">
        <is>
          <t>L2</t>
        </is>
      </c>
      <c r="H494" s="7" t="inlineStr">
        <is>
          <t>tense</t>
        </is>
      </c>
      <c r="I494" s="7" t="inlineStr">
        <is>
          <t>JEA_NSA</t>
        </is>
      </c>
      <c r="J494" s="7" t="inlineStr">
        <is>
          <t>INR</t>
        </is>
      </c>
      <c r="K494" s="7" t="inlineStr">
        <is>
          <t>fixed_unsettled</t>
        </is>
      </c>
      <c r="L494" s="7" t="inlineStr">
        <is>
          <t>BS</t>
        </is>
      </c>
      <c r="M494" s="11" t="n">
        <v>44718</v>
      </c>
      <c r="N494" s="13" t="n">
        <v>0</v>
      </c>
      <c r="O494" s="6" t="n">
        <v>0</v>
      </c>
      <c r="P494" s="13" t="n">
        <v>0</v>
      </c>
      <c r="Q494" s="22" t="n">
        <v>30</v>
      </c>
      <c r="R494" s="6" t="n">
        <v>2</v>
      </c>
      <c r="U494" s="9" t="n">
        <v>0</v>
      </c>
      <c r="V494" s="9" t="n">
        <v>0</v>
      </c>
      <c r="X494" s="9" t="n">
        <v>76.4485</v>
      </c>
      <c r="AK494" s="7" t="inlineStr">
        <is>
          <t>PYTHON_MULTI_FLOW_LEG</t>
        </is>
      </c>
      <c r="AL494" s="8">
        <f>IF($J494="INR",1,IF($M494&lt;$A494,INDEX(Market_Daily!$F$6:$F$256,MATCH($M494,Market_Daily!$A$6:$A$256,1)),IF($M494=$A494,INDEX(Market_Daily!$F$6:$F$256,MATCH($A494,Market_Daily!$A$6:$A$256,0)),(INDEX(Market_Daily!$F$6:$F$256,MATCH($A494,Market_Daily!$A$6:$A$256,0))*(1+INDEX(Market_Daily!$I$6:$I$256,MATCH($A494,Market_Daily!$A$6:$A$256,0))*($M494-$A494)/day_count_inr)/(1+INDEX(Market_Daily!$J$6:$J$256,MATCH($A494,Market_Daily!$A$6:$A$256,0))*($M494-$A494)/day_count_usd)))))</f>
        <v/>
      </c>
      <c r="AM494" s="8">
        <f>IF(OR($J494="INR",$R494&gt;1),"",$AL494-$X494)</f>
        <v/>
      </c>
      <c r="AN494" s="8">
        <f>$U494</f>
        <v/>
      </c>
      <c r="AO494" s="8">
        <f>$V494</f>
        <v/>
      </c>
      <c r="AP494" s="18">
        <f>$AO494-$V494</f>
        <v/>
      </c>
      <c r="AQ494" s="8">
        <f>IF(ABS($AP494)&lt;=tol_trade_inr,"PASS","FAIL")</f>
        <v/>
      </c>
    </row>
    <row r="495">
      <c r="A495" s="11" t="n">
        <v>44673</v>
      </c>
      <c r="B495" s="7" t="inlineStr">
        <is>
          <t>T02</t>
        </is>
      </c>
      <c r="C495" s="7" t="inlineStr">
        <is>
          <t>MCX:T02-MCX-3</t>
        </is>
      </c>
      <c r="D495" s="7" t="inlineStr">
        <is>
          <t>MCX</t>
        </is>
      </c>
      <c r="E495" s="7" t="inlineStr">
        <is>
          <t>mcx</t>
        </is>
      </c>
      <c r="H495" s="7" t="inlineStr">
        <is>
          <t>tense</t>
        </is>
      </c>
      <c r="I495" s="7" t="inlineStr">
        <is>
          <t>JEA_NSA</t>
        </is>
      </c>
      <c r="J495" s="7" t="inlineStr">
        <is>
          <t>INR</t>
        </is>
      </c>
      <c r="K495" s="7" t="inlineStr">
        <is>
          <t>partially_fixed</t>
        </is>
      </c>
      <c r="L495" s="7" t="inlineStr">
        <is>
          <t>PNL</t>
        </is>
      </c>
      <c r="M495" s="11" t="n">
        <v>44676</v>
      </c>
      <c r="N495" s="13" t="n">
        <v>0</v>
      </c>
      <c r="O495" s="6" t="n">
        <v>-74</v>
      </c>
      <c r="P495" s="13" t="n">
        <v>0</v>
      </c>
      <c r="Q495" s="22" t="n">
        <v>30</v>
      </c>
      <c r="R495" s="6" t="n">
        <v>4</v>
      </c>
      <c r="U495" s="9" t="n">
        <v>0</v>
      </c>
      <c r="V495" s="9" t="n">
        <v>0</v>
      </c>
      <c r="X495" s="9" t="n">
        <v>76.4485</v>
      </c>
      <c r="AK495" s="7" t="inlineStr">
        <is>
          <t>PYTHON_MULTI_FLOW_LEG</t>
        </is>
      </c>
      <c r="AL495" s="8">
        <f>IF($J495="INR",1,IF($M495&lt;$A495,INDEX(Market_Daily!$F$6:$F$256,MATCH($M495,Market_Daily!$A$6:$A$256,1)),IF($M495=$A495,INDEX(Market_Daily!$F$6:$F$256,MATCH($A495,Market_Daily!$A$6:$A$256,0)),(INDEX(Market_Daily!$F$6:$F$256,MATCH($A495,Market_Daily!$A$6:$A$256,0))*(1+INDEX(Market_Daily!$I$6:$I$256,MATCH($A495,Market_Daily!$A$6:$A$256,0))*($M495-$A495)/day_count_inr)/(1+INDEX(Market_Daily!$J$6:$J$256,MATCH($A495,Market_Daily!$A$6:$A$256,0))*($M495-$A495)/day_count_usd)))))</f>
        <v/>
      </c>
      <c r="AM495" s="8">
        <f>IF(OR($J495="INR",$R495&gt;1),"",$AL495-$X495)</f>
        <v/>
      </c>
      <c r="AN495" s="8">
        <f>$U495</f>
        <v/>
      </c>
      <c r="AO495" s="8">
        <f>$V495</f>
        <v/>
      </c>
      <c r="AP495" s="18">
        <f>$AO495-$V495</f>
        <v/>
      </c>
      <c r="AQ495" s="8">
        <f>IF(ABS($AP495)&lt;=tol_trade_inr,"PASS","FAIL")</f>
        <v/>
      </c>
    </row>
    <row r="496">
      <c r="A496" s="11" t="n">
        <v>44673</v>
      </c>
      <c r="B496" s="7" t="inlineStr">
        <is>
          <t>T02</t>
        </is>
      </c>
      <c r="C496" s="7" t="inlineStr">
        <is>
          <t>PORT:L2</t>
        </is>
      </c>
      <c r="D496" s="7" t="inlineStr">
        <is>
          <t>PORT</t>
        </is>
      </c>
      <c r="E496" s="7" t="inlineStr">
        <is>
          <t>physical</t>
        </is>
      </c>
      <c r="F496" s="7" t="inlineStr">
        <is>
          <t>L2</t>
        </is>
      </c>
      <c r="H496" s="7" t="inlineStr">
        <is>
          <t>tense</t>
        </is>
      </c>
      <c r="I496" s="7" t="inlineStr">
        <is>
          <t>JEA_NSA</t>
        </is>
      </c>
      <c r="J496" s="7" t="inlineStr">
        <is>
          <t>INR</t>
        </is>
      </c>
      <c r="K496" s="7" t="inlineStr">
        <is>
          <t>fixed_unsettled</t>
        </is>
      </c>
      <c r="L496" s="7" t="inlineStr">
        <is>
          <t>PNL</t>
        </is>
      </c>
      <c r="M496" s="11" t="n">
        <v>44679</v>
      </c>
      <c r="N496" s="13" t="n">
        <v>0</v>
      </c>
      <c r="O496" s="6" t="n">
        <v>0</v>
      </c>
      <c r="P496" s="13" t="n">
        <v>0</v>
      </c>
      <c r="Q496" s="22" t="n">
        <v>30</v>
      </c>
      <c r="R496" s="6" t="n">
        <v>1</v>
      </c>
      <c r="U496" s="9" t="n">
        <v>-960000</v>
      </c>
      <c r="V496" s="9" t="n">
        <v>-960000</v>
      </c>
      <c r="X496" s="9" t="n">
        <v>76.4485</v>
      </c>
      <c r="AK496" s="7" t="inlineStr">
        <is>
          <t>PYTHON_LIFECYCLE</t>
        </is>
      </c>
      <c r="AL496" s="8">
        <f>IF($J496="INR",1,IF($M496&lt;$A496,INDEX(Market_Daily!$F$6:$F$256,MATCH($M496,Market_Daily!$A$6:$A$256,1)),IF($M496=$A496,INDEX(Market_Daily!$F$6:$F$256,MATCH($A496,Market_Daily!$A$6:$A$256,0)),(INDEX(Market_Daily!$F$6:$F$256,MATCH($A496,Market_Daily!$A$6:$A$256,0))*(1+INDEX(Market_Daily!$I$6:$I$256,MATCH($A496,Market_Daily!$A$6:$A$256,0))*($M496-$A496)/day_count_inr)/(1+INDEX(Market_Daily!$J$6:$J$256,MATCH($A496,Market_Daily!$A$6:$A$256,0))*($M496-$A496)/day_count_usd)))))</f>
        <v/>
      </c>
      <c r="AM496" s="8">
        <f>IF(OR($J496="INR",$R496&gt;1),"",$AL496-$X496)</f>
        <v/>
      </c>
      <c r="AN496" s="8">
        <f>$U496</f>
        <v/>
      </c>
      <c r="AO496" s="8">
        <f>$AN496*IF($J496="INR",1,$AL496)</f>
        <v/>
      </c>
      <c r="AP496" s="18">
        <f>$AO496-$V496</f>
        <v/>
      </c>
      <c r="AQ496" s="8">
        <f>IF(ABS($AP496)&lt;=tol_trade_inr,"PASS","FAIL")</f>
        <v/>
      </c>
    </row>
    <row r="497">
      <c r="A497" s="11" t="n">
        <v>44673</v>
      </c>
      <c r="B497" s="7" t="inlineStr">
        <is>
          <t>T02</t>
        </is>
      </c>
      <c r="C497" s="7" t="inlineStr">
        <is>
          <t>PURCHASE:L1</t>
        </is>
      </c>
      <c r="D497" s="7" t="inlineStr">
        <is>
          <t>PURCHASE</t>
        </is>
      </c>
      <c r="E497" s="7" t="inlineStr">
        <is>
          <t>physical</t>
        </is>
      </c>
      <c r="F497" s="7" t="inlineStr">
        <is>
          <t>L1</t>
        </is>
      </c>
      <c r="G497" s="7" t="inlineStr">
        <is>
          <t>SUP_JEA_01</t>
        </is>
      </c>
      <c r="H497" s="7" t="inlineStr">
        <is>
          <t>tense</t>
        </is>
      </c>
      <c r="I497" s="7" t="inlineStr">
        <is>
          <t>JEA_NSA</t>
        </is>
      </c>
      <c r="J497" s="7" t="inlineStr">
        <is>
          <t>USD</t>
        </is>
      </c>
      <c r="K497" s="7" t="inlineStr">
        <is>
          <t>partially_fixed</t>
        </is>
      </c>
      <c r="L497" s="7" t="inlineStr">
        <is>
          <t>PNL</t>
        </is>
      </c>
      <c r="M497" s="11" t="n">
        <v>44746</v>
      </c>
      <c r="N497" s="13" t="n">
        <v>1200</v>
      </c>
      <c r="O497" s="6" t="n">
        <v>0</v>
      </c>
      <c r="P497" s="13" t="n">
        <v>0</v>
      </c>
      <c r="Q497" s="22" t="n">
        <v>30</v>
      </c>
      <c r="R497" s="6" t="n">
        <v>2</v>
      </c>
      <c r="U497" s="9" t="n">
        <v>-1243563.76</v>
      </c>
      <c r="V497" s="9" t="n">
        <v>-95655914.98999999</v>
      </c>
      <c r="X497" s="9" t="n">
        <v>76.92100000000001</v>
      </c>
      <c r="AK497" s="7" t="inlineStr">
        <is>
          <t>PYTHON_MULTI_FLOW_LEG</t>
        </is>
      </c>
      <c r="AL497" s="8">
        <f>IF($J497="INR",1,IF($M497&lt;$A497,INDEX(Market_Daily!$F$6:$F$256,MATCH($M497,Market_Daily!$A$6:$A$256,1)),IF($M497=$A497,INDEX(Market_Daily!$F$6:$F$256,MATCH($A497,Market_Daily!$A$6:$A$256,0)),(INDEX(Market_Daily!$F$6:$F$256,MATCH($A497,Market_Daily!$A$6:$A$256,0))*(1+INDEX(Market_Daily!$I$6:$I$256,MATCH($A497,Market_Daily!$A$6:$A$256,0))*($M497-$A497)/day_count_inr)/(1+INDEX(Market_Daily!$J$6:$J$256,MATCH($A497,Market_Daily!$A$6:$A$256,0))*($M497-$A497)/day_count_usd)))))</f>
        <v/>
      </c>
      <c r="AM497" s="8">
        <f>IF(OR($J497="INR",$R497&gt;1),"",$AL497-$X497)</f>
        <v/>
      </c>
      <c r="AN497" s="8">
        <f>$U497</f>
        <v/>
      </c>
      <c r="AO497" s="8">
        <f>$V497</f>
        <v/>
      </c>
      <c r="AP497" s="18">
        <f>$AO497-$V497</f>
        <v/>
      </c>
      <c r="AQ497" s="8">
        <f>IF(ABS($AP497)&lt;=tol_trade_inr,"PASS","FAIL")</f>
        <v/>
      </c>
    </row>
    <row r="498">
      <c r="A498" s="11" t="n">
        <v>44673</v>
      </c>
      <c r="B498" s="7" t="inlineStr">
        <is>
          <t>T02</t>
        </is>
      </c>
      <c r="C498" s="7" t="inlineStr">
        <is>
          <t>PURCHASE:L2</t>
        </is>
      </c>
      <c r="D498" s="7" t="inlineStr">
        <is>
          <t>PURCHASE</t>
        </is>
      </c>
      <c r="E498" s="7" t="inlineStr">
        <is>
          <t>physical</t>
        </is>
      </c>
      <c r="F498" s="7" t="inlineStr">
        <is>
          <t>L2</t>
        </is>
      </c>
      <c r="G498" s="7" t="inlineStr">
        <is>
          <t>SUP_JEA_01</t>
        </is>
      </c>
      <c r="H498" s="7" t="inlineStr">
        <is>
          <t>tense</t>
        </is>
      </c>
      <c r="I498" s="7" t="inlineStr">
        <is>
          <t>JEA_NSA</t>
        </is>
      </c>
      <c r="J498" s="7" t="inlineStr">
        <is>
          <t>USD</t>
        </is>
      </c>
      <c r="K498" s="7" t="inlineStr">
        <is>
          <t>partially_fixed</t>
        </is>
      </c>
      <c r="L498" s="7" t="inlineStr">
        <is>
          <t>PNL</t>
        </is>
      </c>
      <c r="M498" s="11" t="n">
        <v>44754</v>
      </c>
      <c r="N498" s="13" t="n">
        <v>1200</v>
      </c>
      <c r="O498" s="6" t="n">
        <v>0</v>
      </c>
      <c r="P498" s="13" t="n">
        <v>0</v>
      </c>
      <c r="Q498" s="22" t="n">
        <v>30</v>
      </c>
      <c r="R498" s="6" t="n">
        <v>2</v>
      </c>
      <c r="U498" s="9" t="n">
        <v>-1243563.76</v>
      </c>
      <c r="V498" s="9" t="n">
        <v>-95703968.51000001</v>
      </c>
      <c r="X498" s="9" t="n">
        <v>76.9727</v>
      </c>
      <c r="AK498" s="7" t="inlineStr">
        <is>
          <t>PYTHON_MULTI_FLOW_LEG</t>
        </is>
      </c>
      <c r="AL498" s="8">
        <f>IF($J498="INR",1,IF($M498&lt;$A498,INDEX(Market_Daily!$F$6:$F$256,MATCH($M498,Market_Daily!$A$6:$A$256,1)),IF($M498=$A498,INDEX(Market_Daily!$F$6:$F$256,MATCH($A498,Market_Daily!$A$6:$A$256,0)),(INDEX(Market_Daily!$F$6:$F$256,MATCH($A498,Market_Daily!$A$6:$A$256,0))*(1+INDEX(Market_Daily!$I$6:$I$256,MATCH($A498,Market_Daily!$A$6:$A$256,0))*($M498-$A498)/day_count_inr)/(1+INDEX(Market_Daily!$J$6:$J$256,MATCH($A498,Market_Daily!$A$6:$A$256,0))*($M498-$A498)/day_count_usd)))))</f>
        <v/>
      </c>
      <c r="AM498" s="8">
        <f>IF(OR($J498="INR",$R498&gt;1),"",$AL498-$X498)</f>
        <v/>
      </c>
      <c r="AN498" s="8">
        <f>$U498</f>
        <v/>
      </c>
      <c r="AO498" s="8">
        <f>$V498</f>
        <v/>
      </c>
      <c r="AP498" s="18">
        <f>$AO498-$V498</f>
        <v/>
      </c>
      <c r="AQ498" s="8">
        <f>IF(ABS($AP498)&lt;=tol_trade_inr,"PASS","FAIL")</f>
        <v/>
      </c>
    </row>
    <row r="499">
      <c r="A499" s="11" t="n">
        <v>44673</v>
      </c>
      <c r="B499" s="7" t="inlineStr">
        <is>
          <t>T02</t>
        </is>
      </c>
      <c r="C499" s="7" t="inlineStr">
        <is>
          <t>SALE:S1</t>
        </is>
      </c>
      <c r="D499" s="7" t="inlineStr">
        <is>
          <t>SALE</t>
        </is>
      </c>
      <c r="E499" s="7" t="inlineStr">
        <is>
          <t>physical</t>
        </is>
      </c>
      <c r="G499" s="7" t="inlineStr">
        <is>
          <t>BUY_JNPT_01</t>
        </is>
      </c>
      <c r="H499" s="7" t="inlineStr">
        <is>
          <t>tense</t>
        </is>
      </c>
      <c r="I499" s="7" t="inlineStr">
        <is>
          <t>JEA_NSA</t>
        </is>
      </c>
      <c r="J499" s="7" t="inlineStr">
        <is>
          <t>INR</t>
        </is>
      </c>
      <c r="K499" s="7" t="inlineStr">
        <is>
          <t>floating</t>
        </is>
      </c>
      <c r="L499" s="7" t="inlineStr">
        <is>
          <t>PNL</t>
        </is>
      </c>
      <c r="M499" s="11" t="n">
        <v>44711</v>
      </c>
      <c r="N499" s="13" t="n">
        <v>1200</v>
      </c>
      <c r="O499" s="6" t="n">
        <v>0</v>
      </c>
      <c r="P499" s="13" t="n">
        <v>0</v>
      </c>
      <c r="Q499" s="22" t="n">
        <v>30</v>
      </c>
      <c r="R499" s="6" t="n">
        <v>1</v>
      </c>
      <c r="U499" s="9" t="n">
        <v>233721883.66</v>
      </c>
      <c r="V499" s="9" t="n">
        <v>233721883.66</v>
      </c>
      <c r="W499" s="9" t="n">
        <v>194768.2364</v>
      </c>
      <c r="X499" s="9" t="n">
        <v>76.4485</v>
      </c>
      <c r="AK499" s="7" t="inlineStr">
        <is>
          <t>PYTHON_LIFECYCLE</t>
        </is>
      </c>
      <c r="AL499" s="8">
        <f>IF($J499="INR",1,IF($M499&lt;$A499,INDEX(Market_Daily!$F$6:$F$256,MATCH($M499,Market_Daily!$A$6:$A$256,1)),IF($M499=$A499,INDEX(Market_Daily!$F$6:$F$256,MATCH($A499,Market_Daily!$A$6:$A$256,0)),(INDEX(Market_Daily!$F$6:$F$256,MATCH($A499,Market_Daily!$A$6:$A$256,0))*(1+INDEX(Market_Daily!$I$6:$I$256,MATCH($A499,Market_Daily!$A$6:$A$256,0))*($M499-$A499)/day_count_inr)/(1+INDEX(Market_Daily!$J$6:$J$256,MATCH($A499,Market_Daily!$A$6:$A$256,0))*($M499-$A499)/day_count_usd)))))</f>
        <v/>
      </c>
      <c r="AM499" s="8">
        <f>IF(OR($J499="INR",$R499&gt;1),"",$AL499-$X499)</f>
        <v/>
      </c>
      <c r="AN499" s="8">
        <f>$U499</f>
        <v/>
      </c>
      <c r="AO499" s="8">
        <f>$AN499*IF($J499="INR",1,$AL499)</f>
        <v/>
      </c>
      <c r="AP499" s="18">
        <f>$AO499-$V499</f>
        <v/>
      </c>
      <c r="AQ499" s="8">
        <f>IF(ABS($AP499)&lt;=tol_trade_inr,"PASS","FAIL")</f>
        <v/>
      </c>
    </row>
    <row r="500">
      <c r="A500" s="11" t="n">
        <v>44673</v>
      </c>
      <c r="B500" s="7" t="inlineStr">
        <is>
          <t>T02</t>
        </is>
      </c>
      <c r="C500" s="7" t="inlineStr">
        <is>
          <t>USANCE_INTEREST:L1</t>
        </is>
      </c>
      <c r="D500" s="7" t="inlineStr">
        <is>
          <t>USANCE_INTEREST</t>
        </is>
      </c>
      <c r="E500" s="7" t="inlineStr">
        <is>
          <t>physical</t>
        </is>
      </c>
      <c r="F500" s="7" t="inlineStr">
        <is>
          <t>L1</t>
        </is>
      </c>
      <c r="H500" s="7" t="inlineStr">
        <is>
          <t>tense</t>
        </is>
      </c>
      <c r="I500" s="7" t="inlineStr">
        <is>
          <t>JEA_NSA</t>
        </is>
      </c>
      <c r="J500" s="7" t="inlineStr">
        <is>
          <t>USD</t>
        </is>
      </c>
      <c r="K500" s="7" t="inlineStr">
        <is>
          <t>fixed_unsettled</t>
        </is>
      </c>
      <c r="L500" s="7" t="inlineStr">
        <is>
          <t>PNL</t>
        </is>
      </c>
      <c r="M500" s="11" t="n">
        <v>44746</v>
      </c>
      <c r="N500" s="13" t="n">
        <v>0</v>
      </c>
      <c r="O500" s="6" t="n">
        <v>0</v>
      </c>
      <c r="P500" s="13" t="n">
        <v>0</v>
      </c>
      <c r="Q500" s="22" t="n">
        <v>30</v>
      </c>
      <c r="R500" s="6" t="n">
        <v>1</v>
      </c>
      <c r="U500" s="9" t="n">
        <v>-6953.7</v>
      </c>
      <c r="V500" s="9" t="n">
        <v>-534885.83</v>
      </c>
      <c r="X500" s="9" t="n">
        <v>76.92100000000001</v>
      </c>
      <c r="AK500" s="7" t="inlineStr">
        <is>
          <t>PYTHON_LIFECYCLE</t>
        </is>
      </c>
      <c r="AL500" s="8">
        <f>IF($J500="INR",1,IF($M500&lt;$A500,INDEX(Market_Daily!$F$6:$F$256,MATCH($M500,Market_Daily!$A$6:$A$256,1)),IF($M500=$A500,INDEX(Market_Daily!$F$6:$F$256,MATCH($A500,Market_Daily!$A$6:$A$256,0)),(INDEX(Market_Daily!$F$6:$F$256,MATCH($A500,Market_Daily!$A$6:$A$256,0))*(1+INDEX(Market_Daily!$I$6:$I$256,MATCH($A500,Market_Daily!$A$6:$A$256,0))*($M500-$A500)/day_count_inr)/(1+INDEX(Market_Daily!$J$6:$J$256,MATCH($A500,Market_Daily!$A$6:$A$256,0))*($M500-$A500)/day_count_usd)))))</f>
        <v/>
      </c>
      <c r="AM500" s="8">
        <f>IF(OR($J500="INR",$R500&gt;1),"",$AL500-$X500)</f>
        <v/>
      </c>
      <c r="AN500" s="8">
        <f>$U500</f>
        <v/>
      </c>
      <c r="AO500" s="8">
        <f>$AN500*IF($J500="INR",1,$AL500)</f>
        <v/>
      </c>
      <c r="AP500" s="18">
        <f>$AO500-$V500</f>
        <v/>
      </c>
      <c r="AQ500" s="8">
        <f>IF(ABS($AP500)&lt;=tol_trade_inr,"PASS","FAIL")</f>
        <v/>
      </c>
    </row>
    <row r="501">
      <c r="A501" s="11" t="n">
        <v>44673</v>
      </c>
      <c r="B501" s="7" t="inlineStr">
        <is>
          <t>T02</t>
        </is>
      </c>
      <c r="C501" s="7" t="inlineStr">
        <is>
          <t>USANCE_INTEREST:L2</t>
        </is>
      </c>
      <c r="D501" s="7" t="inlineStr">
        <is>
          <t>USANCE_INTEREST</t>
        </is>
      </c>
      <c r="E501" s="7" t="inlineStr">
        <is>
          <t>physical</t>
        </is>
      </c>
      <c r="F501" s="7" t="inlineStr">
        <is>
          <t>L2</t>
        </is>
      </c>
      <c r="H501" s="7" t="inlineStr">
        <is>
          <t>tense</t>
        </is>
      </c>
      <c r="I501" s="7" t="inlineStr">
        <is>
          <t>JEA_NSA</t>
        </is>
      </c>
      <c r="J501" s="7" t="inlineStr">
        <is>
          <t>USD</t>
        </is>
      </c>
      <c r="K501" s="7" t="inlineStr">
        <is>
          <t>fixed_unsettled</t>
        </is>
      </c>
      <c r="L501" s="7" t="inlineStr">
        <is>
          <t>PNL</t>
        </is>
      </c>
      <c r="M501" s="11" t="n">
        <v>44754</v>
      </c>
      <c r="N501" s="13" t="n">
        <v>0</v>
      </c>
      <c r="O501" s="6" t="n">
        <v>0</v>
      </c>
      <c r="P501" s="13" t="n">
        <v>0</v>
      </c>
      <c r="Q501" s="22" t="n">
        <v>30</v>
      </c>
      <c r="R501" s="6" t="n">
        <v>1</v>
      </c>
      <c r="U501" s="9" t="n">
        <v>-6760.21</v>
      </c>
      <c r="V501" s="9" t="n">
        <v>-520351.79</v>
      </c>
      <c r="X501" s="9" t="n">
        <v>76.9727</v>
      </c>
      <c r="AK501" s="7" t="inlineStr">
        <is>
          <t>PYTHON_LIFECYCLE</t>
        </is>
      </c>
      <c r="AL501" s="8">
        <f>IF($J501="INR",1,IF($M501&lt;$A501,INDEX(Market_Daily!$F$6:$F$256,MATCH($M501,Market_Daily!$A$6:$A$256,1)),IF($M501=$A501,INDEX(Market_Daily!$F$6:$F$256,MATCH($A501,Market_Daily!$A$6:$A$256,0)),(INDEX(Market_Daily!$F$6:$F$256,MATCH($A501,Market_Daily!$A$6:$A$256,0))*(1+INDEX(Market_Daily!$I$6:$I$256,MATCH($A501,Market_Daily!$A$6:$A$256,0))*($M501-$A501)/day_count_inr)/(1+INDEX(Market_Daily!$J$6:$J$256,MATCH($A501,Market_Daily!$A$6:$A$256,0))*($M501-$A501)/day_count_usd)))))</f>
        <v/>
      </c>
      <c r="AM501" s="8">
        <f>IF(OR($J501="INR",$R501&gt;1),"",$AL501-$X501)</f>
        <v/>
      </c>
      <c r="AN501" s="8">
        <f>$U501</f>
        <v/>
      </c>
      <c r="AO501" s="8">
        <f>$AN501*IF($J501="INR",1,$AL501)</f>
        <v/>
      </c>
      <c r="AP501" s="18">
        <f>$AO501-$V501</f>
        <v/>
      </c>
      <c r="AQ501" s="8">
        <f>IF(ABS($AP501)&lt;=tol_trade_inr,"PASS","FAIL")</f>
        <v/>
      </c>
    </row>
    <row r="502">
      <c r="A502" s="11" t="n">
        <v>44673</v>
      </c>
      <c r="B502" s="7" t="inlineStr">
        <is>
          <t>T03</t>
        </is>
      </c>
      <c r="C502" s="7" t="inlineStr">
        <is>
          <t>BILL_COMMISSION:L2</t>
        </is>
      </c>
      <c r="D502" s="7" t="inlineStr">
        <is>
          <t>BILL_COMMISSION</t>
        </is>
      </c>
      <c r="E502" s="7" t="inlineStr">
        <is>
          <t>physical</t>
        </is>
      </c>
      <c r="F502" s="7" t="inlineStr">
        <is>
          <t>L2</t>
        </is>
      </c>
      <c r="H502" s="7" t="inlineStr">
        <is>
          <t>taint_tabor</t>
        </is>
      </c>
      <c r="I502" s="7" t="inlineStr">
        <is>
          <t>JEA_NSA</t>
        </is>
      </c>
      <c r="J502" s="7" t="inlineStr">
        <is>
          <t>USD</t>
        </is>
      </c>
      <c r="K502" s="7" t="inlineStr">
        <is>
          <t>floating</t>
        </is>
      </c>
      <c r="L502" s="7" t="inlineStr">
        <is>
          <t>PNL</t>
        </is>
      </c>
      <c r="M502" s="11" t="n">
        <v>44680</v>
      </c>
      <c r="N502" s="13" t="n">
        <v>0</v>
      </c>
      <c r="O502" s="6" t="n">
        <v>0</v>
      </c>
      <c r="P502" s="13" t="n">
        <v>0</v>
      </c>
      <c r="Q502" s="22" t="n">
        <v>30</v>
      </c>
      <c r="R502" s="6" t="n">
        <v>1</v>
      </c>
      <c r="U502" s="9" t="n">
        <v>-1778.4</v>
      </c>
      <c r="V502" s="9" t="n">
        <v>-136036.71</v>
      </c>
      <c r="X502" s="9" t="n">
        <v>76.4939</v>
      </c>
      <c r="AK502" s="7" t="inlineStr">
        <is>
          <t>PYTHON_LIFECYCLE</t>
        </is>
      </c>
      <c r="AL502" s="8">
        <f>IF($J502="INR",1,IF($M502&lt;$A502,INDEX(Market_Daily!$F$6:$F$256,MATCH($M502,Market_Daily!$A$6:$A$256,1)),IF($M502=$A502,INDEX(Market_Daily!$F$6:$F$256,MATCH($A502,Market_Daily!$A$6:$A$256,0)),(INDEX(Market_Daily!$F$6:$F$256,MATCH($A502,Market_Daily!$A$6:$A$256,0))*(1+INDEX(Market_Daily!$I$6:$I$256,MATCH($A502,Market_Daily!$A$6:$A$256,0))*($M502-$A502)/day_count_inr)/(1+INDEX(Market_Daily!$J$6:$J$256,MATCH($A502,Market_Daily!$A$6:$A$256,0))*($M502-$A502)/day_count_usd)))))</f>
        <v/>
      </c>
      <c r="AM502" s="8">
        <f>IF(OR($J502="INR",$R502&gt;1),"",$AL502-$X502)</f>
        <v/>
      </c>
      <c r="AN502" s="8">
        <f>$U502</f>
        <v/>
      </c>
      <c r="AO502" s="8">
        <f>$AN502*IF($J502="INR",1,$AL502)</f>
        <v/>
      </c>
      <c r="AP502" s="18">
        <f>$AO502-$V502</f>
        <v/>
      </c>
      <c r="AQ502" s="8">
        <f>IF(ABS($AP502)&lt;=tol_trade_inr,"PASS","FAIL")</f>
        <v/>
      </c>
    </row>
    <row r="503">
      <c r="A503" s="11" t="n">
        <v>44673</v>
      </c>
      <c r="B503" s="7" t="inlineStr">
        <is>
          <t>T03</t>
        </is>
      </c>
      <c r="C503" s="7" t="inlineStr">
        <is>
          <t>DUTY:L2</t>
        </is>
      </c>
      <c r="D503" s="7" t="inlineStr">
        <is>
          <t>DUTY</t>
        </is>
      </c>
      <c r="E503" s="7" t="inlineStr">
        <is>
          <t>physical</t>
        </is>
      </c>
      <c r="F503" s="7" t="inlineStr">
        <is>
          <t>L2</t>
        </is>
      </c>
      <c r="H503" s="7" t="inlineStr">
        <is>
          <t>taint_tabor</t>
        </is>
      </c>
      <c r="I503" s="7" t="inlineStr">
        <is>
          <t>JEA_NSA</t>
        </is>
      </c>
      <c r="J503" s="7" t="inlineStr">
        <is>
          <t>INR</t>
        </is>
      </c>
      <c r="K503" s="7" t="inlineStr">
        <is>
          <t>floating</t>
        </is>
      </c>
      <c r="L503" s="7" t="inlineStr">
        <is>
          <t>PNL</t>
        </is>
      </c>
      <c r="M503" s="11" t="n">
        <v>44679</v>
      </c>
      <c r="N503" s="13" t="n">
        <v>600</v>
      </c>
      <c r="O503" s="6" t="n">
        <v>0</v>
      </c>
      <c r="P503" s="13" t="n">
        <v>0</v>
      </c>
      <c r="Q503" s="22" t="n">
        <v>30</v>
      </c>
      <c r="R503" s="6" t="n">
        <v>1</v>
      </c>
      <c r="U503" s="9" t="n">
        <v>-3147706.92</v>
      </c>
      <c r="V503" s="9" t="n">
        <v>-3147706.92</v>
      </c>
      <c r="X503" s="9" t="n">
        <v>76.4485</v>
      </c>
      <c r="AK503" s="7" t="inlineStr">
        <is>
          <t>PYTHON_LIFECYCLE</t>
        </is>
      </c>
      <c r="AL503" s="8">
        <f>IF($J503="INR",1,IF($M503&lt;$A503,INDEX(Market_Daily!$F$6:$F$256,MATCH($M503,Market_Daily!$A$6:$A$256,1)),IF($M503=$A503,INDEX(Market_Daily!$F$6:$F$256,MATCH($A503,Market_Daily!$A$6:$A$256,0)),(INDEX(Market_Daily!$F$6:$F$256,MATCH($A503,Market_Daily!$A$6:$A$256,0))*(1+INDEX(Market_Daily!$I$6:$I$256,MATCH($A503,Market_Daily!$A$6:$A$256,0))*($M503-$A503)/day_count_inr)/(1+INDEX(Market_Daily!$J$6:$J$256,MATCH($A503,Market_Daily!$A$6:$A$256,0))*($M503-$A503)/day_count_usd)))))</f>
        <v/>
      </c>
      <c r="AM503" s="8">
        <f>IF(OR($J503="INR",$R503&gt;1),"",$AL503-$X503)</f>
        <v/>
      </c>
      <c r="AN503" s="8">
        <f>$U503</f>
        <v/>
      </c>
      <c r="AO503" s="8">
        <f>$AN503*IF($J503="INR",1,$AL503)</f>
        <v/>
      </c>
      <c r="AP503" s="18">
        <f>$AO503-$V503</f>
        <v/>
      </c>
      <c r="AQ503" s="8">
        <f>IF(ABS($AP503)&lt;=tol_trade_inr,"PASS","FAIL")</f>
        <v/>
      </c>
    </row>
    <row r="504">
      <c r="A504" s="11" t="n">
        <v>44673</v>
      </c>
      <c r="B504" s="7" t="inlineStr">
        <is>
          <t>T03</t>
        </is>
      </c>
      <c r="C504" s="7" t="inlineStr">
        <is>
          <t>FX:T03-FX-2</t>
        </is>
      </c>
      <c r="D504" s="7" t="inlineStr">
        <is>
          <t>FX</t>
        </is>
      </c>
      <c r="E504" s="7" t="inlineStr">
        <is>
          <t>fx_forward</t>
        </is>
      </c>
      <c r="H504" s="7" t="inlineStr">
        <is>
          <t>taint_tabor</t>
        </is>
      </c>
      <c r="I504" s="7" t="inlineStr">
        <is>
          <t>JEA_NSA</t>
        </is>
      </c>
      <c r="J504" s="7" t="inlineStr">
        <is>
          <t>INR</t>
        </is>
      </c>
      <c r="K504" s="7" t="inlineStr">
        <is>
          <t>floating</t>
        </is>
      </c>
      <c r="L504" s="7" t="inlineStr">
        <is>
          <t>PNL</t>
        </is>
      </c>
      <c r="M504" s="11" t="n">
        <v>44680</v>
      </c>
      <c r="N504" s="13" t="n">
        <v>0</v>
      </c>
      <c r="O504" s="6" t="n">
        <v>0</v>
      </c>
      <c r="P504" s="13" t="n">
        <v>1482000</v>
      </c>
      <c r="Q504" s="22" t="n">
        <v>30</v>
      </c>
      <c r="R504" s="6" t="n">
        <v>1</v>
      </c>
      <c r="S504" s="12" t="n">
        <v>44680</v>
      </c>
      <c r="T504" s="21" t="n">
        <v>76.59387700000001</v>
      </c>
      <c r="U504" s="9" t="n">
        <v>-148200</v>
      </c>
      <c r="V504" s="9" t="n">
        <v>-148200</v>
      </c>
      <c r="X504" s="9" t="n">
        <v>76.4485</v>
      </c>
      <c r="AK504" s="7" t="inlineStr">
        <is>
          <t>DERIVED_IN_WORKBOOK</t>
        </is>
      </c>
      <c r="AL504" s="8">
        <f>IF($J504="INR",1,IF($M504&lt;$A504,INDEX(Market_Daily!$F$6:$F$256,MATCH($M504,Market_Daily!$A$6:$A$256,1)),IF($M504=$A504,INDEX(Market_Daily!$F$6:$F$256,MATCH($A504,Market_Daily!$A$6:$A$256,0)),(INDEX(Market_Daily!$F$6:$F$256,MATCH($A504,Market_Daily!$A$6:$A$256,0))*(1+INDEX(Market_Daily!$I$6:$I$256,MATCH($A504,Market_Daily!$A$6:$A$256,0))*($M504-$A504)/day_count_inr)/(1+INDEX(Market_Daily!$J$6:$J$256,MATCH($A504,Market_Daily!$A$6:$A$256,0))*($M504-$A504)/day_count_usd)))))</f>
        <v/>
      </c>
      <c r="AM504" s="8">
        <f>IF(OR($J504="INR",$R504&gt;1),"",$AL504-$X504)</f>
        <v/>
      </c>
      <c r="AN504" s="8">
        <f>$P504*(IF($S504&lt;$A504,INDEX(Market_Daily!$F$6:$F$256,MATCH($S504,Market_Daily!$A$6:$A$256,1)),IF($S504=$A504,INDEX(Market_Daily!$F$6:$F$256,MATCH($A504,Market_Daily!$A$6:$A$256,0)),(INDEX(Market_Daily!$F$6:$F$256,MATCH($A504,Market_Daily!$A$6:$A$256,0))*(1+INDEX(Market_Daily!$I$6:$I$256,MATCH($A504,Market_Daily!$A$6:$A$256,0))*($S504-$A504)/day_count_inr)/(1+INDEX(Market_Daily!$J$6:$J$256,MATCH($A504,Market_Daily!$A$6:$A$256,0))*($S504-$A504)/day_count_usd))))-$T504)</f>
        <v/>
      </c>
      <c r="AO504" s="8">
        <f>$AN504</f>
        <v/>
      </c>
      <c r="AP504" s="18">
        <f>$AO504-$V504</f>
        <v/>
      </c>
      <c r="AQ504" s="8">
        <f>IF(ABS($AP504)&lt;=tol_trade_inr,"PASS","FAIL")</f>
        <v/>
      </c>
    </row>
    <row r="505">
      <c r="A505" s="11" t="n">
        <v>44673</v>
      </c>
      <c r="B505" s="7" t="inlineStr">
        <is>
          <t>T03</t>
        </is>
      </c>
      <c r="C505" s="7" t="inlineStr">
        <is>
          <t>IGST:L1</t>
        </is>
      </c>
      <c r="D505" s="7" t="inlineStr">
        <is>
          <t>IGST</t>
        </is>
      </c>
      <c r="E505" s="7" t="inlineStr">
        <is>
          <t>physical</t>
        </is>
      </c>
      <c r="F505" s="7" t="inlineStr">
        <is>
          <t>L1</t>
        </is>
      </c>
      <c r="H505" s="7" t="inlineStr">
        <is>
          <t>taint_tabor</t>
        </is>
      </c>
      <c r="I505" s="7" t="inlineStr">
        <is>
          <t>JEA_NSA</t>
        </is>
      </c>
      <c r="J505" s="7" t="inlineStr">
        <is>
          <t>INR</t>
        </is>
      </c>
      <c r="K505" s="7" t="inlineStr">
        <is>
          <t>fixed_unsettled</t>
        </is>
      </c>
      <c r="L505" s="7" t="inlineStr">
        <is>
          <t>BS</t>
        </is>
      </c>
      <c r="M505" s="11" t="n">
        <v>44718</v>
      </c>
      <c r="N505" s="13" t="n">
        <v>0</v>
      </c>
      <c r="O505" s="6" t="n">
        <v>0</v>
      </c>
      <c r="P505" s="13" t="n">
        <v>0</v>
      </c>
      <c r="Q505" s="22" t="n">
        <v>30</v>
      </c>
      <c r="R505" s="6" t="n">
        <v>2</v>
      </c>
      <c r="U505" s="9" t="n">
        <v>0</v>
      </c>
      <c r="V505" s="9" t="n">
        <v>0</v>
      </c>
      <c r="X505" s="9" t="n">
        <v>76.4485</v>
      </c>
      <c r="AK505" s="7" t="inlineStr">
        <is>
          <t>PYTHON_MULTI_FLOW_LEG</t>
        </is>
      </c>
      <c r="AL505" s="8">
        <f>IF($J505="INR",1,IF($M505&lt;$A505,INDEX(Market_Daily!$F$6:$F$256,MATCH($M505,Market_Daily!$A$6:$A$256,1)),IF($M505=$A505,INDEX(Market_Daily!$F$6:$F$256,MATCH($A505,Market_Daily!$A$6:$A$256,0)),(INDEX(Market_Daily!$F$6:$F$256,MATCH($A505,Market_Daily!$A$6:$A$256,0))*(1+INDEX(Market_Daily!$I$6:$I$256,MATCH($A505,Market_Daily!$A$6:$A$256,0))*($M505-$A505)/day_count_inr)/(1+INDEX(Market_Daily!$J$6:$J$256,MATCH($A505,Market_Daily!$A$6:$A$256,0))*($M505-$A505)/day_count_usd)))))</f>
        <v/>
      </c>
      <c r="AM505" s="8">
        <f>IF(OR($J505="INR",$R505&gt;1),"",$AL505-$X505)</f>
        <v/>
      </c>
      <c r="AN505" s="8">
        <f>$U505</f>
        <v/>
      </c>
      <c r="AO505" s="8">
        <f>$V505</f>
        <v/>
      </c>
      <c r="AP505" s="18">
        <f>$AO505-$V505</f>
        <v/>
      </c>
      <c r="AQ505" s="8">
        <f>IF(ABS($AP505)&lt;=tol_trade_inr,"PASS","FAIL")</f>
        <v/>
      </c>
    </row>
    <row r="506">
      <c r="A506" s="11" t="n">
        <v>44673</v>
      </c>
      <c r="B506" s="7" t="inlineStr">
        <is>
          <t>T03</t>
        </is>
      </c>
      <c r="C506" s="7" t="inlineStr">
        <is>
          <t>IGST:L2</t>
        </is>
      </c>
      <c r="D506" s="7" t="inlineStr">
        <is>
          <t>IGST</t>
        </is>
      </c>
      <c r="E506" s="7" t="inlineStr">
        <is>
          <t>physical</t>
        </is>
      </c>
      <c r="F506" s="7" t="inlineStr">
        <is>
          <t>L2</t>
        </is>
      </c>
      <c r="H506" s="7" t="inlineStr">
        <is>
          <t>taint_tabor</t>
        </is>
      </c>
      <c r="I506" s="7" t="inlineStr">
        <is>
          <t>JEA_NSA</t>
        </is>
      </c>
      <c r="J506" s="7" t="inlineStr">
        <is>
          <t>INR</t>
        </is>
      </c>
      <c r="K506" s="7" t="inlineStr">
        <is>
          <t>floating</t>
        </is>
      </c>
      <c r="L506" s="7" t="inlineStr">
        <is>
          <t>BS</t>
        </is>
      </c>
      <c r="M506" s="11" t="n">
        <v>44725</v>
      </c>
      <c r="N506" s="13" t="n">
        <v>0</v>
      </c>
      <c r="O506" s="6" t="n">
        <v>0</v>
      </c>
      <c r="P506" s="13" t="n">
        <v>0</v>
      </c>
      <c r="Q506" s="22" t="n">
        <v>30</v>
      </c>
      <c r="R506" s="6" t="n">
        <v>2</v>
      </c>
      <c r="U506" s="9" t="n">
        <v>0</v>
      </c>
      <c r="V506" s="9" t="n">
        <v>0</v>
      </c>
      <c r="X506" s="9" t="n">
        <v>76.4485</v>
      </c>
      <c r="AK506" s="7" t="inlineStr">
        <is>
          <t>PYTHON_MULTI_FLOW_LEG</t>
        </is>
      </c>
      <c r="AL506" s="8">
        <f>IF($J506="INR",1,IF($M506&lt;$A506,INDEX(Market_Daily!$F$6:$F$256,MATCH($M506,Market_Daily!$A$6:$A$256,1)),IF($M506=$A506,INDEX(Market_Daily!$F$6:$F$256,MATCH($A506,Market_Daily!$A$6:$A$256,0)),(INDEX(Market_Daily!$F$6:$F$256,MATCH($A506,Market_Daily!$A$6:$A$256,0))*(1+INDEX(Market_Daily!$I$6:$I$256,MATCH($A506,Market_Daily!$A$6:$A$256,0))*($M506-$A506)/day_count_inr)/(1+INDEX(Market_Daily!$J$6:$J$256,MATCH($A506,Market_Daily!$A$6:$A$256,0))*($M506-$A506)/day_count_usd)))))</f>
        <v/>
      </c>
      <c r="AM506" s="8">
        <f>IF(OR($J506="INR",$R506&gt;1),"",$AL506-$X506)</f>
        <v/>
      </c>
      <c r="AN506" s="8">
        <f>$U506</f>
        <v/>
      </c>
      <c r="AO506" s="8">
        <f>$V506</f>
        <v/>
      </c>
      <c r="AP506" s="18">
        <f>$AO506-$V506</f>
        <v/>
      </c>
      <c r="AQ506" s="8">
        <f>IF(ABS($AP506)&lt;=tol_trade_inr,"PASS","FAIL")</f>
        <v/>
      </c>
    </row>
    <row r="507">
      <c r="A507" s="11" t="n">
        <v>44673</v>
      </c>
      <c r="B507" s="7" t="inlineStr">
        <is>
          <t>T03</t>
        </is>
      </c>
      <c r="C507" s="7" t="inlineStr">
        <is>
          <t>INVENTORY:L1</t>
        </is>
      </c>
      <c r="D507" s="7" t="inlineStr">
        <is>
          <t>INVENTORY</t>
        </is>
      </c>
      <c r="E507" s="7" t="inlineStr">
        <is>
          <t>physical</t>
        </is>
      </c>
      <c r="F507" s="7" t="inlineStr">
        <is>
          <t>L1</t>
        </is>
      </c>
      <c r="H507" s="7" t="inlineStr">
        <is>
          <t>taint_tabor</t>
        </is>
      </c>
      <c r="I507" s="7" t="inlineStr">
        <is>
          <t>JEA_NSA</t>
        </is>
      </c>
      <c r="J507" s="7" t="inlineStr">
        <is>
          <t>INR</t>
        </is>
      </c>
      <c r="K507" s="7" t="inlineStr">
        <is>
          <t>fixed_unsettled</t>
        </is>
      </c>
      <c r="L507" s="7" t="inlineStr">
        <is>
          <t>PNL</t>
        </is>
      </c>
      <c r="N507" s="13" t="n">
        <v>600</v>
      </c>
      <c r="O507" s="6" t="n">
        <v>0</v>
      </c>
      <c r="P507" s="13" t="n">
        <v>0</v>
      </c>
      <c r="Q507" s="22" t="n">
        <v>30</v>
      </c>
      <c r="R507" s="6" t="n">
        <v>0</v>
      </c>
      <c r="U507" s="9" t="n">
        <v>118128087.3</v>
      </c>
      <c r="V507" s="9" t="n">
        <v>118128087.3</v>
      </c>
      <c r="W507" s="9" t="n">
        <v>196880.1455</v>
      </c>
      <c r="X507" s="9" t="n">
        <v>76.4485</v>
      </c>
      <c r="Y507" s="8">
        <f>IF($I507="JEA_NSA","20ft","40ft")</f>
        <v/>
      </c>
      <c r="Z507" s="8">
        <f>IF($I507="JEA_NSA","nsa","mun")</f>
        <v/>
      </c>
      <c r="AA507" s="8">
        <f>INDEX(param_values,MATCH("container_payload_mt_"&amp;$Y507,param_keys,0))/INDEX(param_values,MATCH("container_payload_mt_"&amp;$Y507&amp;"_"&amp;$H507,param_keys,0))</f>
        <v/>
      </c>
      <c r="AB507" s="16">
        <f>INDEX(Market_Daily!$C$6:$C$256,MATCH($A507,Market_Daily!$A$6:$A$256,0))*INDEX(Market_Daily!$X$6:$Z$256,MATCH($A507,Market_Daily!$A$6:$A$256,0),MATCH("grade_factor_"&amp;$H507,Market_Daily!$X$5:$Z$5,0))</f>
        <v/>
      </c>
      <c r="AC507" s="16">
        <f>$AB507*(1+insurance_rate*insured_value_uplift)</f>
        <v/>
      </c>
      <c r="AD507" s="8">
        <f>(INDEX(Market_Daily!$F$6:$F$256,MATCH($A507,Market_Daily!$A$6:$A$256,0))*(1+INDEX(Market_Daily!$I$6:$I$256,MATCH($A507,Market_Daily!$A$6:$A$256,0))*$Q507/day_count_inr)/(1+INDEX(Market_Daily!$J$6:$J$256,MATCH($A507,Market_Daily!$A$6:$A$256,0))*$Q507/day_count_usd))</f>
        <v/>
      </c>
      <c r="AE507" s="18">
        <f>$AC507*$AD507</f>
        <v/>
      </c>
      <c r="AF507" s="18">
        <f>$AC507*INDEX(Market_Daily!$V$6:$V$256,MATCH($A507,Market_Daily!$A$6:$A$256,0))</f>
        <v/>
      </c>
      <c r="AG507" s="18">
        <f>$AF507*bcd_scrap_hs7602*(1+sws_rate_on_bcd)</f>
        <v/>
      </c>
      <c r="AH507" s="18">
        <f>INDEX(param_values,MATCH("port_cf_charges_inr_t_"&amp;$Z507,param_keys,0))*$AA507+IF(INDEX(param_values,MATCH(IF($I507="JEA_NSA","psic_required_uae_origin","psic_required_safe_origin_designated_port"),param_keys,0)),psic_cost_usd_per_box*INDEX(Market_Daily!$F$6:$F$256,MATCH($A507,Market_Daily!$A$6:$A$256,0))/INDEX(param_values,MATCH("container_payload_mt_20ft_"&amp;$H507,param_keys,0)),0)</f>
        <v/>
      </c>
      <c r="AI507" s="18">
        <f>IF(igst_itc_available,0,($AF507+$AG507)*igst_rate_hs7602)</f>
        <v/>
      </c>
      <c r="AJ507" s="18">
        <f>$AE507+$AG507+$AH507+$AI507</f>
        <v/>
      </c>
      <c r="AK507" s="7" t="inlineStr">
        <is>
          <t>DERIVED_IN_WORKBOOK</t>
        </is>
      </c>
      <c r="AL507" s="8">
        <f>IF($J507="INR",1,IF($M507&lt;$A507,INDEX(Market_Daily!$F$6:$F$256,MATCH($M507,Market_Daily!$A$6:$A$256,1)),IF($M507=$A507,INDEX(Market_Daily!$F$6:$F$256,MATCH($A507,Market_Daily!$A$6:$A$256,0)),(INDEX(Market_Daily!$F$6:$F$256,MATCH($A507,Market_Daily!$A$6:$A$256,0))*(1+INDEX(Market_Daily!$I$6:$I$256,MATCH($A507,Market_Daily!$A$6:$A$256,0))*($M507-$A507)/day_count_inr)/(1+INDEX(Market_Daily!$J$6:$J$256,MATCH($A507,Market_Daily!$A$6:$A$256,0))*($M507-$A507)/day_count_usd)))))</f>
        <v/>
      </c>
      <c r="AM507" s="8">
        <f>IF(OR($J507="INR",$R507&gt;1),"",$AL507-$X507)</f>
        <v/>
      </c>
      <c r="AN507" s="8">
        <f>$N507*$AJ507</f>
        <v/>
      </c>
      <c r="AO507" s="8">
        <f>$AN507</f>
        <v/>
      </c>
      <c r="AP507" s="18">
        <f>$AO507-$V507</f>
        <v/>
      </c>
      <c r="AQ507" s="8">
        <f>IF(ABS($AP507)&lt;=tol_trade_inr,"PASS","FAIL")</f>
        <v/>
      </c>
    </row>
    <row r="508">
      <c r="A508" s="11" t="n">
        <v>44673</v>
      </c>
      <c r="B508" s="7" t="inlineStr">
        <is>
          <t>T03</t>
        </is>
      </c>
      <c r="C508" s="7" t="inlineStr">
        <is>
          <t>INVENTORY:L2</t>
        </is>
      </c>
      <c r="D508" s="7" t="inlineStr">
        <is>
          <t>INVENTORY</t>
        </is>
      </c>
      <c r="E508" s="7" t="inlineStr">
        <is>
          <t>physical</t>
        </is>
      </c>
      <c r="F508" s="7" t="inlineStr">
        <is>
          <t>L2</t>
        </is>
      </c>
      <c r="H508" s="7" t="inlineStr">
        <is>
          <t>taint_tabor</t>
        </is>
      </c>
      <c r="I508" s="7" t="inlineStr">
        <is>
          <t>JEA_NSA</t>
        </is>
      </c>
      <c r="J508" s="7" t="inlineStr">
        <is>
          <t>INR</t>
        </is>
      </c>
      <c r="K508" s="7" t="inlineStr">
        <is>
          <t>fixed_unsettled</t>
        </is>
      </c>
      <c r="L508" s="7" t="inlineStr">
        <is>
          <t>PNL</t>
        </is>
      </c>
      <c r="N508" s="13" t="n">
        <v>600</v>
      </c>
      <c r="O508" s="6" t="n">
        <v>0</v>
      </c>
      <c r="P508" s="13" t="n">
        <v>0</v>
      </c>
      <c r="Q508" s="22" t="n">
        <v>30</v>
      </c>
      <c r="R508" s="6" t="n">
        <v>0</v>
      </c>
      <c r="U508" s="9" t="n">
        <v>118128087.3</v>
      </c>
      <c r="V508" s="9" t="n">
        <v>118128087.3</v>
      </c>
      <c r="W508" s="9" t="n">
        <v>196880.1455</v>
      </c>
      <c r="X508" s="9" t="n">
        <v>76.4485</v>
      </c>
      <c r="Y508" s="8">
        <f>IF($I508="JEA_NSA","20ft","40ft")</f>
        <v/>
      </c>
      <c r="Z508" s="8">
        <f>IF($I508="JEA_NSA","nsa","mun")</f>
        <v/>
      </c>
      <c r="AA508" s="8">
        <f>INDEX(param_values,MATCH("container_payload_mt_"&amp;$Y508,param_keys,0))/INDEX(param_values,MATCH("container_payload_mt_"&amp;$Y508&amp;"_"&amp;$H508,param_keys,0))</f>
        <v/>
      </c>
      <c r="AB508" s="16">
        <f>INDEX(Market_Daily!$C$6:$C$256,MATCH($A508,Market_Daily!$A$6:$A$256,0))*INDEX(Market_Daily!$X$6:$Z$256,MATCH($A508,Market_Daily!$A$6:$A$256,0),MATCH("grade_factor_"&amp;$H508,Market_Daily!$X$5:$Z$5,0))</f>
        <v/>
      </c>
      <c r="AC508" s="16">
        <f>$AB508*(1+insurance_rate*insured_value_uplift)</f>
        <v/>
      </c>
      <c r="AD508" s="8">
        <f>(INDEX(Market_Daily!$F$6:$F$256,MATCH($A508,Market_Daily!$A$6:$A$256,0))*(1+INDEX(Market_Daily!$I$6:$I$256,MATCH($A508,Market_Daily!$A$6:$A$256,0))*$Q508/day_count_inr)/(1+INDEX(Market_Daily!$J$6:$J$256,MATCH($A508,Market_Daily!$A$6:$A$256,0))*$Q508/day_count_usd))</f>
        <v/>
      </c>
      <c r="AE508" s="18">
        <f>$AC508*$AD508</f>
        <v/>
      </c>
      <c r="AF508" s="18">
        <f>$AC508*INDEX(Market_Daily!$V$6:$V$256,MATCH($A508,Market_Daily!$A$6:$A$256,0))</f>
        <v/>
      </c>
      <c r="AG508" s="18">
        <f>$AF508*bcd_scrap_hs7602*(1+sws_rate_on_bcd)</f>
        <v/>
      </c>
      <c r="AH508" s="18">
        <f>INDEX(param_values,MATCH("port_cf_charges_inr_t_"&amp;$Z508,param_keys,0))*$AA508+IF(INDEX(param_values,MATCH(IF($I508="JEA_NSA","psic_required_uae_origin","psic_required_safe_origin_designated_port"),param_keys,0)),psic_cost_usd_per_box*INDEX(Market_Daily!$F$6:$F$256,MATCH($A508,Market_Daily!$A$6:$A$256,0))/INDEX(param_values,MATCH("container_payload_mt_20ft_"&amp;$H508,param_keys,0)),0)</f>
        <v/>
      </c>
      <c r="AI508" s="18">
        <f>IF(igst_itc_available,0,($AF508+$AG508)*igst_rate_hs7602)</f>
        <v/>
      </c>
      <c r="AJ508" s="18">
        <f>$AE508+$AG508+$AH508+$AI508</f>
        <v/>
      </c>
      <c r="AK508" s="7" t="inlineStr">
        <is>
          <t>DERIVED_IN_WORKBOOK</t>
        </is>
      </c>
      <c r="AL508" s="8">
        <f>IF($J508="INR",1,IF($M508&lt;$A508,INDEX(Market_Daily!$F$6:$F$256,MATCH($M508,Market_Daily!$A$6:$A$256,1)),IF($M508=$A508,INDEX(Market_Daily!$F$6:$F$256,MATCH($A508,Market_Daily!$A$6:$A$256,0)),(INDEX(Market_Daily!$F$6:$F$256,MATCH($A508,Market_Daily!$A$6:$A$256,0))*(1+INDEX(Market_Daily!$I$6:$I$256,MATCH($A508,Market_Daily!$A$6:$A$256,0))*($M508-$A508)/day_count_inr)/(1+INDEX(Market_Daily!$J$6:$J$256,MATCH($A508,Market_Daily!$A$6:$A$256,0))*($M508-$A508)/day_count_usd)))))</f>
        <v/>
      </c>
      <c r="AM508" s="8">
        <f>IF(OR($J508="INR",$R508&gt;1),"",$AL508-$X508)</f>
        <v/>
      </c>
      <c r="AN508" s="8">
        <f>$N508*$AJ508</f>
        <v/>
      </c>
      <c r="AO508" s="8">
        <f>$AN508</f>
        <v/>
      </c>
      <c r="AP508" s="18">
        <f>$AO508-$V508</f>
        <v/>
      </c>
      <c r="AQ508" s="8">
        <f>IF(ABS($AP508)&lt;=tol_trade_inr,"PASS","FAIL")</f>
        <v/>
      </c>
    </row>
    <row r="509">
      <c r="A509" s="11" t="n">
        <v>44673</v>
      </c>
      <c r="B509" s="7" t="inlineStr">
        <is>
          <t>T03</t>
        </is>
      </c>
      <c r="C509" s="7" t="inlineStr">
        <is>
          <t>MCX:T03-MCX-2</t>
        </is>
      </c>
      <c r="D509" s="7" t="inlineStr">
        <is>
          <t>MCX</t>
        </is>
      </c>
      <c r="E509" s="7" t="inlineStr">
        <is>
          <t>mcx</t>
        </is>
      </c>
      <c r="H509" s="7" t="inlineStr">
        <is>
          <t>taint_tabor</t>
        </is>
      </c>
      <c r="I509" s="7" t="inlineStr">
        <is>
          <t>JEA_NSA</t>
        </is>
      </c>
      <c r="J509" s="7" t="inlineStr">
        <is>
          <t>INR</t>
        </is>
      </c>
      <c r="K509" s="7" t="inlineStr">
        <is>
          <t>partially_fixed</t>
        </is>
      </c>
      <c r="L509" s="7" t="inlineStr">
        <is>
          <t>PNL</t>
        </is>
      </c>
      <c r="M509" s="11" t="n">
        <v>44677</v>
      </c>
      <c r="N509" s="13" t="n">
        <v>0</v>
      </c>
      <c r="O509" s="6" t="n">
        <v>-143</v>
      </c>
      <c r="P509" s="13" t="n">
        <v>0</v>
      </c>
      <c r="Q509" s="22" t="n">
        <v>30</v>
      </c>
      <c r="R509" s="6" t="n">
        <v>5</v>
      </c>
      <c r="U509" s="9" t="n">
        <v>0</v>
      </c>
      <c r="V509" s="9" t="n">
        <v>0</v>
      </c>
      <c r="X509" s="9" t="n">
        <v>76.4485</v>
      </c>
      <c r="AK509" s="7" t="inlineStr">
        <is>
          <t>PYTHON_MULTI_FLOW_LEG</t>
        </is>
      </c>
      <c r="AL509" s="8">
        <f>IF($J509="INR",1,IF($M509&lt;$A509,INDEX(Market_Daily!$F$6:$F$256,MATCH($M509,Market_Daily!$A$6:$A$256,1)),IF($M509=$A509,INDEX(Market_Daily!$F$6:$F$256,MATCH($A509,Market_Daily!$A$6:$A$256,0)),(INDEX(Market_Daily!$F$6:$F$256,MATCH($A509,Market_Daily!$A$6:$A$256,0))*(1+INDEX(Market_Daily!$I$6:$I$256,MATCH($A509,Market_Daily!$A$6:$A$256,0))*($M509-$A509)/day_count_inr)/(1+INDEX(Market_Daily!$J$6:$J$256,MATCH($A509,Market_Daily!$A$6:$A$256,0))*($M509-$A509)/day_count_usd)))))</f>
        <v/>
      </c>
      <c r="AM509" s="8">
        <f>IF(OR($J509="INR",$R509&gt;1),"",$AL509-$X509)</f>
        <v/>
      </c>
      <c r="AN509" s="8">
        <f>$U509</f>
        <v/>
      </c>
      <c r="AO509" s="8">
        <f>$V509</f>
        <v/>
      </c>
      <c r="AP509" s="18">
        <f>$AO509-$V509</f>
        <v/>
      </c>
      <c r="AQ509" s="8">
        <f>IF(ABS($AP509)&lt;=tol_trade_inr,"PASS","FAIL")</f>
        <v/>
      </c>
    </row>
    <row r="510">
      <c r="A510" s="11" t="n">
        <v>44673</v>
      </c>
      <c r="B510" s="7" t="inlineStr">
        <is>
          <t>T03</t>
        </is>
      </c>
      <c r="C510" s="7" t="inlineStr">
        <is>
          <t>PORT:L1</t>
        </is>
      </c>
      <c r="D510" s="7" t="inlineStr">
        <is>
          <t>PORT</t>
        </is>
      </c>
      <c r="E510" s="7" t="inlineStr">
        <is>
          <t>physical</t>
        </is>
      </c>
      <c r="F510" s="7" t="inlineStr">
        <is>
          <t>L1</t>
        </is>
      </c>
      <c r="H510" s="7" t="inlineStr">
        <is>
          <t>taint_tabor</t>
        </is>
      </c>
      <c r="I510" s="7" t="inlineStr">
        <is>
          <t>JEA_NSA</t>
        </is>
      </c>
      <c r="J510" s="7" t="inlineStr">
        <is>
          <t>INR</t>
        </is>
      </c>
      <c r="K510" s="7" t="inlineStr">
        <is>
          <t>fixed_unsettled</t>
        </is>
      </c>
      <c r="L510" s="7" t="inlineStr">
        <is>
          <t>PNL</t>
        </is>
      </c>
      <c r="M510" s="11" t="n">
        <v>44679</v>
      </c>
      <c r="N510" s="13" t="n">
        <v>0</v>
      </c>
      <c r="O510" s="6" t="n">
        <v>0</v>
      </c>
      <c r="P510" s="13" t="n">
        <v>0</v>
      </c>
      <c r="Q510" s="22" t="n">
        <v>30</v>
      </c>
      <c r="R510" s="6" t="n">
        <v>1</v>
      </c>
      <c r="U510" s="9" t="n">
        <v>-1200000</v>
      </c>
      <c r="V510" s="9" t="n">
        <v>-1200000</v>
      </c>
      <c r="X510" s="9" t="n">
        <v>76.4485</v>
      </c>
      <c r="AK510" s="7" t="inlineStr">
        <is>
          <t>PYTHON_LIFECYCLE</t>
        </is>
      </c>
      <c r="AL510" s="8">
        <f>IF($J510="INR",1,IF($M510&lt;$A510,INDEX(Market_Daily!$F$6:$F$256,MATCH($M510,Market_Daily!$A$6:$A$256,1)),IF($M510=$A510,INDEX(Market_Daily!$F$6:$F$256,MATCH($A510,Market_Daily!$A$6:$A$256,0)),(INDEX(Market_Daily!$F$6:$F$256,MATCH($A510,Market_Daily!$A$6:$A$256,0))*(1+INDEX(Market_Daily!$I$6:$I$256,MATCH($A510,Market_Daily!$A$6:$A$256,0))*($M510-$A510)/day_count_inr)/(1+INDEX(Market_Daily!$J$6:$J$256,MATCH($A510,Market_Daily!$A$6:$A$256,0))*($M510-$A510)/day_count_usd)))))</f>
        <v/>
      </c>
      <c r="AM510" s="8">
        <f>IF(OR($J510="INR",$R510&gt;1),"",$AL510-$X510)</f>
        <v/>
      </c>
      <c r="AN510" s="8">
        <f>$U510</f>
        <v/>
      </c>
      <c r="AO510" s="8">
        <f>$AN510*IF($J510="INR",1,$AL510)</f>
        <v/>
      </c>
      <c r="AP510" s="18">
        <f>$AO510-$V510</f>
        <v/>
      </c>
      <c r="AQ510" s="8">
        <f>IF(ABS($AP510)&lt;=tol_trade_inr,"PASS","FAIL")</f>
        <v/>
      </c>
    </row>
    <row r="511">
      <c r="A511" s="11" t="n">
        <v>44673</v>
      </c>
      <c r="B511" s="7" t="inlineStr">
        <is>
          <t>T03</t>
        </is>
      </c>
      <c r="C511" s="7" t="inlineStr">
        <is>
          <t>PORT:L2</t>
        </is>
      </c>
      <c r="D511" s="7" t="inlineStr">
        <is>
          <t>PORT</t>
        </is>
      </c>
      <c r="E511" s="7" t="inlineStr">
        <is>
          <t>physical</t>
        </is>
      </c>
      <c r="F511" s="7" t="inlineStr">
        <is>
          <t>L2</t>
        </is>
      </c>
      <c r="H511" s="7" t="inlineStr">
        <is>
          <t>taint_tabor</t>
        </is>
      </c>
      <c r="I511" s="7" t="inlineStr">
        <is>
          <t>JEA_NSA</t>
        </is>
      </c>
      <c r="J511" s="7" t="inlineStr">
        <is>
          <t>INR</t>
        </is>
      </c>
      <c r="K511" s="7" t="inlineStr">
        <is>
          <t>fixed_unsettled</t>
        </is>
      </c>
      <c r="L511" s="7" t="inlineStr">
        <is>
          <t>PNL</t>
        </is>
      </c>
      <c r="M511" s="11" t="n">
        <v>44690</v>
      </c>
      <c r="N511" s="13" t="n">
        <v>0</v>
      </c>
      <c r="O511" s="6" t="n">
        <v>0</v>
      </c>
      <c r="P511" s="13" t="n">
        <v>0</v>
      </c>
      <c r="Q511" s="22" t="n">
        <v>30</v>
      </c>
      <c r="R511" s="6" t="n">
        <v>1</v>
      </c>
      <c r="U511" s="9" t="n">
        <v>-1200000</v>
      </c>
      <c r="V511" s="9" t="n">
        <v>-1200000</v>
      </c>
      <c r="X511" s="9" t="n">
        <v>76.4485</v>
      </c>
      <c r="AK511" s="7" t="inlineStr">
        <is>
          <t>PYTHON_LIFECYCLE</t>
        </is>
      </c>
      <c r="AL511" s="8">
        <f>IF($J511="INR",1,IF($M511&lt;$A511,INDEX(Market_Daily!$F$6:$F$256,MATCH($M511,Market_Daily!$A$6:$A$256,1)),IF($M511=$A511,INDEX(Market_Daily!$F$6:$F$256,MATCH($A511,Market_Daily!$A$6:$A$256,0)),(INDEX(Market_Daily!$F$6:$F$256,MATCH($A511,Market_Daily!$A$6:$A$256,0))*(1+INDEX(Market_Daily!$I$6:$I$256,MATCH($A511,Market_Daily!$A$6:$A$256,0))*($M511-$A511)/day_count_inr)/(1+INDEX(Market_Daily!$J$6:$J$256,MATCH($A511,Market_Daily!$A$6:$A$256,0))*($M511-$A511)/day_count_usd)))))</f>
        <v/>
      </c>
      <c r="AM511" s="8">
        <f>IF(OR($J511="INR",$R511&gt;1),"",$AL511-$X511)</f>
        <v/>
      </c>
      <c r="AN511" s="8">
        <f>$U511</f>
        <v/>
      </c>
      <c r="AO511" s="8">
        <f>$AN511*IF($J511="INR",1,$AL511)</f>
        <v/>
      </c>
      <c r="AP511" s="18">
        <f>$AO511-$V511</f>
        <v/>
      </c>
      <c r="AQ511" s="8">
        <f>IF(ABS($AP511)&lt;=tol_trade_inr,"PASS","FAIL")</f>
        <v/>
      </c>
    </row>
    <row r="512">
      <c r="A512" s="11" t="n">
        <v>44673</v>
      </c>
      <c r="B512" s="7" t="inlineStr">
        <is>
          <t>T03</t>
        </is>
      </c>
      <c r="C512" s="7" t="inlineStr">
        <is>
          <t>PURCHASE:L2</t>
        </is>
      </c>
      <c r="D512" s="7" t="inlineStr">
        <is>
          <t>PURCHASE</t>
        </is>
      </c>
      <c r="E512" s="7" t="inlineStr">
        <is>
          <t>physical</t>
        </is>
      </c>
      <c r="F512" s="7" t="inlineStr">
        <is>
          <t>L2</t>
        </is>
      </c>
      <c r="G512" s="7" t="inlineStr">
        <is>
          <t>SUP_JEA_01</t>
        </is>
      </c>
      <c r="H512" s="7" t="inlineStr">
        <is>
          <t>taint_tabor</t>
        </is>
      </c>
      <c r="I512" s="7" t="inlineStr">
        <is>
          <t>JEA_NSA</t>
        </is>
      </c>
      <c r="J512" s="7" t="inlineStr">
        <is>
          <t>USD</t>
        </is>
      </c>
      <c r="K512" s="7" t="inlineStr">
        <is>
          <t>fixed_unsettled</t>
        </is>
      </c>
      <c r="L512" s="7" t="inlineStr">
        <is>
          <t>PNL</t>
        </is>
      </c>
      <c r="M512" s="11" t="n">
        <v>44680</v>
      </c>
      <c r="N512" s="13" t="n">
        <v>600</v>
      </c>
      <c r="O512" s="6" t="n">
        <v>0</v>
      </c>
      <c r="P512" s="13" t="n">
        <v>0</v>
      </c>
      <c r="Q512" s="22" t="n">
        <v>30</v>
      </c>
      <c r="R512" s="6" t="n">
        <v>1</v>
      </c>
      <c r="U512" s="9" t="n">
        <v>-1482000</v>
      </c>
      <c r="V512" s="9" t="n">
        <v>-113363926.39</v>
      </c>
      <c r="X512" s="9" t="n">
        <v>76.4939</v>
      </c>
      <c r="AK512" s="7" t="inlineStr">
        <is>
          <t>PYTHON_LIFECYCLE</t>
        </is>
      </c>
      <c r="AL512" s="8">
        <f>IF($J512="INR",1,IF($M512&lt;$A512,INDEX(Market_Daily!$F$6:$F$256,MATCH($M512,Market_Daily!$A$6:$A$256,1)),IF($M512=$A512,INDEX(Market_Daily!$F$6:$F$256,MATCH($A512,Market_Daily!$A$6:$A$256,0)),(INDEX(Market_Daily!$F$6:$F$256,MATCH($A512,Market_Daily!$A$6:$A$256,0))*(1+INDEX(Market_Daily!$I$6:$I$256,MATCH($A512,Market_Daily!$A$6:$A$256,0))*($M512-$A512)/day_count_inr)/(1+INDEX(Market_Daily!$J$6:$J$256,MATCH($A512,Market_Daily!$A$6:$A$256,0))*($M512-$A512)/day_count_usd)))))</f>
        <v/>
      </c>
      <c r="AM512" s="8">
        <f>IF(OR($J512="INR",$R512&gt;1),"",$AL512-$X512)</f>
        <v/>
      </c>
      <c r="AN512" s="8">
        <f>$U512</f>
        <v/>
      </c>
      <c r="AO512" s="8">
        <f>$AN512*IF($J512="INR",1,$AL512)</f>
        <v/>
      </c>
      <c r="AP512" s="18">
        <f>$AO512-$V512</f>
        <v/>
      </c>
      <c r="AQ512" s="8">
        <f>IF(ABS($AP512)&lt;=tol_trade_inr,"PASS","FAIL")</f>
        <v/>
      </c>
    </row>
    <row r="513">
      <c r="A513" s="11" t="n">
        <v>44673</v>
      </c>
      <c r="B513" s="7" t="inlineStr">
        <is>
          <t>T04</t>
        </is>
      </c>
      <c r="C513" s="7" t="inlineStr">
        <is>
          <t>BILL_COMMISSION:L1</t>
        </is>
      </c>
      <c r="D513" s="7" t="inlineStr">
        <is>
          <t>BILL_COMMISSION</t>
        </is>
      </c>
      <c r="E513" s="7" t="inlineStr">
        <is>
          <t>physical</t>
        </is>
      </c>
      <c r="F513" s="7" t="inlineStr">
        <is>
          <t>L1</t>
        </is>
      </c>
      <c r="H513" s="7" t="inlineStr">
        <is>
          <t>taint_tabor</t>
        </is>
      </c>
      <c r="I513" s="7" t="inlineStr">
        <is>
          <t>USEC_MUN</t>
        </is>
      </c>
      <c r="J513" s="7" t="inlineStr">
        <is>
          <t>USD</t>
        </is>
      </c>
      <c r="K513" s="7" t="inlineStr">
        <is>
          <t>floating</t>
        </is>
      </c>
      <c r="L513" s="7" t="inlineStr">
        <is>
          <t>PNL</t>
        </is>
      </c>
      <c r="M513" s="11" t="n">
        <v>44685</v>
      </c>
      <c r="N513" s="13" t="n">
        <v>0</v>
      </c>
      <c r="O513" s="6" t="n">
        <v>0</v>
      </c>
      <c r="P513" s="13" t="n">
        <v>0</v>
      </c>
      <c r="Q513" s="22" t="n">
        <v>30</v>
      </c>
      <c r="R513" s="6" t="n">
        <v>1</v>
      </c>
      <c r="U513" s="9" t="n">
        <v>-1821.96</v>
      </c>
      <c r="V513" s="9" t="n">
        <v>-139427.82</v>
      </c>
      <c r="X513" s="9" t="n">
        <v>76.52630000000001</v>
      </c>
      <c r="AK513" s="7" t="inlineStr">
        <is>
          <t>PYTHON_LIFECYCLE</t>
        </is>
      </c>
      <c r="AL513" s="8">
        <f>IF($J513="INR",1,IF($M513&lt;$A513,INDEX(Market_Daily!$F$6:$F$256,MATCH($M513,Market_Daily!$A$6:$A$256,1)),IF($M513=$A513,INDEX(Market_Daily!$F$6:$F$256,MATCH($A513,Market_Daily!$A$6:$A$256,0)),(INDEX(Market_Daily!$F$6:$F$256,MATCH($A513,Market_Daily!$A$6:$A$256,0))*(1+INDEX(Market_Daily!$I$6:$I$256,MATCH($A513,Market_Daily!$A$6:$A$256,0))*($M513-$A513)/day_count_inr)/(1+INDEX(Market_Daily!$J$6:$J$256,MATCH($A513,Market_Daily!$A$6:$A$256,0))*($M513-$A513)/day_count_usd)))))</f>
        <v/>
      </c>
      <c r="AM513" s="8">
        <f>IF(OR($J513="INR",$R513&gt;1),"",$AL513-$X513)</f>
        <v/>
      </c>
      <c r="AN513" s="8">
        <f>$U513</f>
        <v/>
      </c>
      <c r="AO513" s="8">
        <f>$AN513*IF($J513="INR",1,$AL513)</f>
        <v/>
      </c>
      <c r="AP513" s="18">
        <f>$AO513-$V513</f>
        <v/>
      </c>
      <c r="AQ513" s="8">
        <f>IF(ABS($AP513)&lt;=tol_trade_inr,"PASS","FAIL")</f>
        <v/>
      </c>
    </row>
    <row r="514">
      <c r="A514" s="11" t="n">
        <v>44673</v>
      </c>
      <c r="B514" s="7" t="inlineStr">
        <is>
          <t>T04</t>
        </is>
      </c>
      <c r="C514" s="7" t="inlineStr">
        <is>
          <t>BILL_COMMISSION:L2</t>
        </is>
      </c>
      <c r="D514" s="7" t="inlineStr">
        <is>
          <t>BILL_COMMISSION</t>
        </is>
      </c>
      <c r="E514" s="7" t="inlineStr">
        <is>
          <t>physical</t>
        </is>
      </c>
      <c r="F514" s="7" t="inlineStr">
        <is>
          <t>L2</t>
        </is>
      </c>
      <c r="H514" s="7" t="inlineStr">
        <is>
          <t>taint_tabor</t>
        </is>
      </c>
      <c r="I514" s="7" t="inlineStr">
        <is>
          <t>USEC_MUN</t>
        </is>
      </c>
      <c r="J514" s="7" t="inlineStr">
        <is>
          <t>USD</t>
        </is>
      </c>
      <c r="K514" s="7" t="inlineStr">
        <is>
          <t>floating</t>
        </is>
      </c>
      <c r="L514" s="7" t="inlineStr">
        <is>
          <t>PNL</t>
        </is>
      </c>
      <c r="M514" s="11" t="n">
        <v>44692</v>
      </c>
      <c r="N514" s="13" t="n">
        <v>0</v>
      </c>
      <c r="O514" s="6" t="n">
        <v>0</v>
      </c>
      <c r="P514" s="13" t="n">
        <v>0</v>
      </c>
      <c r="Q514" s="22" t="n">
        <v>30</v>
      </c>
      <c r="R514" s="6" t="n">
        <v>1</v>
      </c>
      <c r="U514" s="9" t="n">
        <v>-1821.96</v>
      </c>
      <c r="V514" s="9" t="n">
        <v>-139510.45</v>
      </c>
      <c r="X514" s="9" t="n">
        <v>76.5716</v>
      </c>
      <c r="AK514" s="7" t="inlineStr">
        <is>
          <t>PYTHON_LIFECYCLE</t>
        </is>
      </c>
      <c r="AL514" s="8">
        <f>IF($J514="INR",1,IF($M514&lt;$A514,INDEX(Market_Daily!$F$6:$F$256,MATCH($M514,Market_Daily!$A$6:$A$256,1)),IF($M514=$A514,INDEX(Market_Daily!$F$6:$F$256,MATCH($A514,Market_Daily!$A$6:$A$256,0)),(INDEX(Market_Daily!$F$6:$F$256,MATCH($A514,Market_Daily!$A$6:$A$256,0))*(1+INDEX(Market_Daily!$I$6:$I$256,MATCH($A514,Market_Daily!$A$6:$A$256,0))*($M514-$A514)/day_count_inr)/(1+INDEX(Market_Daily!$J$6:$J$256,MATCH($A514,Market_Daily!$A$6:$A$256,0))*($M514-$A514)/day_count_usd)))))</f>
        <v/>
      </c>
      <c r="AM514" s="8">
        <f>IF(OR($J514="INR",$R514&gt;1),"",$AL514-$X514)</f>
        <v/>
      </c>
      <c r="AN514" s="8">
        <f>$U514</f>
        <v/>
      </c>
      <c r="AO514" s="8">
        <f>$AN514*IF($J514="INR",1,$AL514)</f>
        <v/>
      </c>
      <c r="AP514" s="18">
        <f>$AO514-$V514</f>
        <v/>
      </c>
      <c r="AQ514" s="8">
        <f>IF(ABS($AP514)&lt;=tol_trade_inr,"PASS","FAIL")</f>
        <v/>
      </c>
    </row>
    <row r="515">
      <c r="A515" s="11" t="n">
        <v>44673</v>
      </c>
      <c r="B515" s="7" t="inlineStr">
        <is>
          <t>T04</t>
        </is>
      </c>
      <c r="C515" s="7" t="inlineStr">
        <is>
          <t>DUTY:L1</t>
        </is>
      </c>
      <c r="D515" s="7" t="inlineStr">
        <is>
          <t>DUTY</t>
        </is>
      </c>
      <c r="E515" s="7" t="inlineStr">
        <is>
          <t>physical</t>
        </is>
      </c>
      <c r="F515" s="7" t="inlineStr">
        <is>
          <t>L1</t>
        </is>
      </c>
      <c r="H515" s="7" t="inlineStr">
        <is>
          <t>taint_tabor</t>
        </is>
      </c>
      <c r="I515" s="7" t="inlineStr">
        <is>
          <t>USEC_MUN</t>
        </is>
      </c>
      <c r="J515" s="7" t="inlineStr">
        <is>
          <t>INR</t>
        </is>
      </c>
      <c r="K515" s="7" t="inlineStr">
        <is>
          <t>floating</t>
        </is>
      </c>
      <c r="L515" s="7" t="inlineStr">
        <is>
          <t>PNL</t>
        </is>
      </c>
      <c r="M515" s="11" t="n">
        <v>44719</v>
      </c>
      <c r="N515" s="13" t="n">
        <v>630</v>
      </c>
      <c r="O515" s="6" t="n">
        <v>0</v>
      </c>
      <c r="P515" s="13" t="n">
        <v>0</v>
      </c>
      <c r="Q515" s="22" t="n">
        <v>30</v>
      </c>
      <c r="R515" s="6" t="n">
        <v>1</v>
      </c>
      <c r="U515" s="9" t="n">
        <v>-3352562.75</v>
      </c>
      <c r="V515" s="9" t="n">
        <v>-3352562.75</v>
      </c>
      <c r="X515" s="9" t="n">
        <v>76.4485</v>
      </c>
      <c r="AK515" s="7" t="inlineStr">
        <is>
          <t>PYTHON_LIFECYCLE</t>
        </is>
      </c>
      <c r="AL515" s="8">
        <f>IF($J515="INR",1,IF($M515&lt;$A515,INDEX(Market_Daily!$F$6:$F$256,MATCH($M515,Market_Daily!$A$6:$A$256,1)),IF($M515=$A515,INDEX(Market_Daily!$F$6:$F$256,MATCH($A515,Market_Daily!$A$6:$A$256,0)),(INDEX(Market_Daily!$F$6:$F$256,MATCH($A515,Market_Daily!$A$6:$A$256,0))*(1+INDEX(Market_Daily!$I$6:$I$256,MATCH($A515,Market_Daily!$A$6:$A$256,0))*($M515-$A515)/day_count_inr)/(1+INDEX(Market_Daily!$J$6:$J$256,MATCH($A515,Market_Daily!$A$6:$A$256,0))*($M515-$A515)/day_count_usd)))))</f>
        <v/>
      </c>
      <c r="AM515" s="8">
        <f>IF(OR($J515="INR",$R515&gt;1),"",$AL515-$X515)</f>
        <v/>
      </c>
      <c r="AN515" s="8">
        <f>$U515</f>
        <v/>
      </c>
      <c r="AO515" s="8">
        <f>$AN515*IF($J515="INR",1,$AL515)</f>
        <v/>
      </c>
      <c r="AP515" s="18">
        <f>$AO515-$V515</f>
        <v/>
      </c>
      <c r="AQ515" s="8">
        <f>IF(ABS($AP515)&lt;=tol_trade_inr,"PASS","FAIL")</f>
        <v/>
      </c>
    </row>
    <row r="516">
      <c r="A516" s="11" t="n">
        <v>44673</v>
      </c>
      <c r="B516" s="7" t="inlineStr">
        <is>
          <t>T04</t>
        </is>
      </c>
      <c r="C516" s="7" t="inlineStr">
        <is>
          <t>DUTY:L2</t>
        </is>
      </c>
      <c r="D516" s="7" t="inlineStr">
        <is>
          <t>DUTY</t>
        </is>
      </c>
      <c r="E516" s="7" t="inlineStr">
        <is>
          <t>physical</t>
        </is>
      </c>
      <c r="F516" s="7" t="inlineStr">
        <is>
          <t>L2</t>
        </is>
      </c>
      <c r="H516" s="7" t="inlineStr">
        <is>
          <t>taint_tabor</t>
        </is>
      </c>
      <c r="I516" s="7" t="inlineStr">
        <is>
          <t>USEC_MUN</t>
        </is>
      </c>
      <c r="J516" s="7" t="inlineStr">
        <is>
          <t>INR</t>
        </is>
      </c>
      <c r="K516" s="7" t="inlineStr">
        <is>
          <t>floating</t>
        </is>
      </c>
      <c r="L516" s="7" t="inlineStr">
        <is>
          <t>PNL</t>
        </is>
      </c>
      <c r="M516" s="11" t="n">
        <v>44726</v>
      </c>
      <c r="N516" s="13" t="n">
        <v>630</v>
      </c>
      <c r="O516" s="6" t="n">
        <v>0</v>
      </c>
      <c r="P516" s="13" t="n">
        <v>0</v>
      </c>
      <c r="Q516" s="22" t="n">
        <v>30</v>
      </c>
      <c r="R516" s="6" t="n">
        <v>1</v>
      </c>
      <c r="U516" s="9" t="n">
        <v>-3352562.75</v>
      </c>
      <c r="V516" s="9" t="n">
        <v>-3352562.75</v>
      </c>
      <c r="X516" s="9" t="n">
        <v>76.4485</v>
      </c>
      <c r="AK516" s="7" t="inlineStr">
        <is>
          <t>PYTHON_LIFECYCLE</t>
        </is>
      </c>
      <c r="AL516" s="8">
        <f>IF($J516="INR",1,IF($M516&lt;$A516,INDEX(Market_Daily!$F$6:$F$256,MATCH($M516,Market_Daily!$A$6:$A$256,1)),IF($M516=$A516,INDEX(Market_Daily!$F$6:$F$256,MATCH($A516,Market_Daily!$A$6:$A$256,0)),(INDEX(Market_Daily!$F$6:$F$256,MATCH($A516,Market_Daily!$A$6:$A$256,0))*(1+INDEX(Market_Daily!$I$6:$I$256,MATCH($A516,Market_Daily!$A$6:$A$256,0))*($M516-$A516)/day_count_inr)/(1+INDEX(Market_Daily!$J$6:$J$256,MATCH($A516,Market_Daily!$A$6:$A$256,0))*($M516-$A516)/day_count_usd)))))</f>
        <v/>
      </c>
      <c r="AM516" s="8">
        <f>IF(OR($J516="INR",$R516&gt;1),"",$AL516-$X516)</f>
        <v/>
      </c>
      <c r="AN516" s="8">
        <f>$U516</f>
        <v/>
      </c>
      <c r="AO516" s="8">
        <f>$AN516*IF($J516="INR",1,$AL516)</f>
        <v/>
      </c>
      <c r="AP516" s="18">
        <f>$AO516-$V516</f>
        <v/>
      </c>
      <c r="AQ516" s="8">
        <f>IF(ABS($AP516)&lt;=tol_trade_inr,"PASS","FAIL")</f>
        <v/>
      </c>
    </row>
    <row r="517">
      <c r="A517" s="11" t="n">
        <v>44673</v>
      </c>
      <c r="B517" s="7" t="inlineStr">
        <is>
          <t>T04</t>
        </is>
      </c>
      <c r="C517" s="7" t="inlineStr">
        <is>
          <t>FREIGHT:L1</t>
        </is>
      </c>
      <c r="D517" s="7" t="inlineStr">
        <is>
          <t>FREIGHT</t>
        </is>
      </c>
      <c r="E517" s="7" t="inlineStr">
        <is>
          <t>physical</t>
        </is>
      </c>
      <c r="F517" s="7" t="inlineStr">
        <is>
          <t>L1</t>
        </is>
      </c>
      <c r="G517" s="7" t="inlineStr">
        <is>
          <t>Konkan Freight Services (SIM)</t>
        </is>
      </c>
      <c r="H517" s="7" t="inlineStr">
        <is>
          <t>taint_tabor</t>
        </is>
      </c>
      <c r="I517" s="7" t="inlineStr">
        <is>
          <t>USEC_MUN</t>
        </is>
      </c>
      <c r="J517" s="7" t="inlineStr">
        <is>
          <t>USD</t>
        </is>
      </c>
      <c r="K517" s="7" t="inlineStr">
        <is>
          <t>fixed_unsettled</t>
        </is>
      </c>
      <c r="L517" s="7" t="inlineStr">
        <is>
          <t>PNL</t>
        </is>
      </c>
      <c r="M517" s="11" t="n">
        <v>44678</v>
      </c>
      <c r="N517" s="13" t="n">
        <v>630</v>
      </c>
      <c r="O517" s="6" t="n">
        <v>0</v>
      </c>
      <c r="P517" s="13" t="n">
        <v>0</v>
      </c>
      <c r="Q517" s="22" t="n">
        <v>30</v>
      </c>
      <c r="R517" s="6" t="n">
        <v>1</v>
      </c>
      <c r="U517" s="9" t="n">
        <v>-60150</v>
      </c>
      <c r="V517" s="9" t="n">
        <v>-4600326.97</v>
      </c>
      <c r="X517" s="9" t="n">
        <v>76.48090000000001</v>
      </c>
      <c r="AK517" s="7" t="inlineStr">
        <is>
          <t>PYTHON_LIFECYCLE</t>
        </is>
      </c>
      <c r="AL517" s="8">
        <f>IF($J517="INR",1,IF($M517&lt;$A517,INDEX(Market_Daily!$F$6:$F$256,MATCH($M517,Market_Daily!$A$6:$A$256,1)),IF($M517=$A517,INDEX(Market_Daily!$F$6:$F$256,MATCH($A517,Market_Daily!$A$6:$A$256,0)),(INDEX(Market_Daily!$F$6:$F$256,MATCH($A517,Market_Daily!$A$6:$A$256,0))*(1+INDEX(Market_Daily!$I$6:$I$256,MATCH($A517,Market_Daily!$A$6:$A$256,0))*($M517-$A517)/day_count_inr)/(1+INDEX(Market_Daily!$J$6:$J$256,MATCH($A517,Market_Daily!$A$6:$A$256,0))*($M517-$A517)/day_count_usd)))))</f>
        <v/>
      </c>
      <c r="AM517" s="8">
        <f>IF(OR($J517="INR",$R517&gt;1),"",$AL517-$X517)</f>
        <v/>
      </c>
      <c r="AN517" s="8">
        <f>$U517</f>
        <v/>
      </c>
      <c r="AO517" s="8">
        <f>$AN517*IF($J517="INR",1,$AL517)</f>
        <v/>
      </c>
      <c r="AP517" s="18">
        <f>$AO517-$V517</f>
        <v/>
      </c>
      <c r="AQ517" s="8">
        <f>IF(ABS($AP517)&lt;=tol_trade_inr,"PASS","FAIL")</f>
        <v/>
      </c>
    </row>
    <row r="518">
      <c r="A518" s="11" t="n">
        <v>44673</v>
      </c>
      <c r="B518" s="7" t="inlineStr">
        <is>
          <t>T04</t>
        </is>
      </c>
      <c r="C518" s="7" t="inlineStr">
        <is>
          <t>FREIGHT:L2</t>
        </is>
      </c>
      <c r="D518" s="7" t="inlineStr">
        <is>
          <t>FREIGHT</t>
        </is>
      </c>
      <c r="E518" s="7" t="inlineStr">
        <is>
          <t>physical</t>
        </is>
      </c>
      <c r="F518" s="7" t="inlineStr">
        <is>
          <t>L2</t>
        </is>
      </c>
      <c r="G518" s="7" t="inlineStr">
        <is>
          <t>Konkan Freight Services (SIM)</t>
        </is>
      </c>
      <c r="H518" s="7" t="inlineStr">
        <is>
          <t>taint_tabor</t>
        </is>
      </c>
      <c r="I518" s="7" t="inlineStr">
        <is>
          <t>USEC_MUN</t>
        </is>
      </c>
      <c r="J518" s="7" t="inlineStr">
        <is>
          <t>USD</t>
        </is>
      </c>
      <c r="K518" s="7" t="inlineStr">
        <is>
          <t>fixed_unsettled</t>
        </is>
      </c>
      <c r="L518" s="7" t="inlineStr">
        <is>
          <t>PNL</t>
        </is>
      </c>
      <c r="M518" s="11" t="n">
        <v>44685</v>
      </c>
      <c r="N518" s="13" t="n">
        <v>630</v>
      </c>
      <c r="O518" s="6" t="n">
        <v>0</v>
      </c>
      <c r="P518" s="13" t="n">
        <v>0</v>
      </c>
      <c r="Q518" s="22" t="n">
        <v>30</v>
      </c>
      <c r="R518" s="6" t="n">
        <v>1</v>
      </c>
      <c r="U518" s="9" t="n">
        <v>-60150</v>
      </c>
      <c r="V518" s="9" t="n">
        <v>-4603055.81</v>
      </c>
      <c r="X518" s="9" t="n">
        <v>76.52630000000001</v>
      </c>
      <c r="AK518" s="7" t="inlineStr">
        <is>
          <t>PYTHON_LIFECYCLE</t>
        </is>
      </c>
      <c r="AL518" s="8">
        <f>IF($J518="INR",1,IF($M518&lt;$A518,INDEX(Market_Daily!$F$6:$F$256,MATCH($M518,Market_Daily!$A$6:$A$256,1)),IF($M518=$A518,INDEX(Market_Daily!$F$6:$F$256,MATCH($A518,Market_Daily!$A$6:$A$256,0)),(INDEX(Market_Daily!$F$6:$F$256,MATCH($A518,Market_Daily!$A$6:$A$256,0))*(1+INDEX(Market_Daily!$I$6:$I$256,MATCH($A518,Market_Daily!$A$6:$A$256,0))*($M518-$A518)/day_count_inr)/(1+INDEX(Market_Daily!$J$6:$J$256,MATCH($A518,Market_Daily!$A$6:$A$256,0))*($M518-$A518)/day_count_usd)))))</f>
        <v/>
      </c>
      <c r="AM518" s="8">
        <f>IF(OR($J518="INR",$R518&gt;1),"",$AL518-$X518)</f>
        <v/>
      </c>
      <c r="AN518" s="8">
        <f>$U518</f>
        <v/>
      </c>
      <c r="AO518" s="8">
        <f>$AN518*IF($J518="INR",1,$AL518)</f>
        <v/>
      </c>
      <c r="AP518" s="18">
        <f>$AO518-$V518</f>
        <v/>
      </c>
      <c r="AQ518" s="8">
        <f>IF(ABS($AP518)&lt;=tol_trade_inr,"PASS","FAIL")</f>
        <v/>
      </c>
    </row>
    <row r="519">
      <c r="A519" s="11" t="n">
        <v>44673</v>
      </c>
      <c r="B519" s="7" t="inlineStr">
        <is>
          <t>T04</t>
        </is>
      </c>
      <c r="C519" s="7" t="inlineStr">
        <is>
          <t>FX:T04-FX-3</t>
        </is>
      </c>
      <c r="D519" s="7" t="inlineStr">
        <is>
          <t>FX</t>
        </is>
      </c>
      <c r="E519" s="7" t="inlineStr">
        <is>
          <t>fx_forward</t>
        </is>
      </c>
      <c r="H519" s="7" t="inlineStr">
        <is>
          <t>taint_tabor</t>
        </is>
      </c>
      <c r="I519" s="7" t="inlineStr">
        <is>
          <t>USEC_MUN</t>
        </is>
      </c>
      <c r="J519" s="7" t="inlineStr">
        <is>
          <t>INR</t>
        </is>
      </c>
      <c r="K519" s="7" t="inlineStr">
        <is>
          <t>floating</t>
        </is>
      </c>
      <c r="L519" s="7" t="inlineStr">
        <is>
          <t>PNL</t>
        </is>
      </c>
      <c r="M519" s="11" t="n">
        <v>44685</v>
      </c>
      <c r="N519" s="13" t="n">
        <v>0</v>
      </c>
      <c r="O519" s="6" t="n">
        <v>0</v>
      </c>
      <c r="P519" s="13" t="n">
        <v>120300</v>
      </c>
      <c r="Q519" s="22" t="n">
        <v>30</v>
      </c>
      <c r="R519" s="6" t="n">
        <v>1</v>
      </c>
      <c r="S519" s="12" t="n">
        <v>44685</v>
      </c>
      <c r="T519" s="21" t="n">
        <v>76.36054</v>
      </c>
      <c r="U519" s="9" t="n">
        <v>19938.68</v>
      </c>
      <c r="V519" s="9" t="n">
        <v>19938.68</v>
      </c>
      <c r="X519" s="9" t="n">
        <v>76.4485</v>
      </c>
      <c r="AK519" s="7" t="inlineStr">
        <is>
          <t>DERIVED_IN_WORKBOOK</t>
        </is>
      </c>
      <c r="AL519" s="8">
        <f>IF($J519="INR",1,IF($M519&lt;$A519,INDEX(Market_Daily!$F$6:$F$256,MATCH($M519,Market_Daily!$A$6:$A$256,1)),IF($M519=$A519,INDEX(Market_Daily!$F$6:$F$256,MATCH($A519,Market_Daily!$A$6:$A$256,0)),(INDEX(Market_Daily!$F$6:$F$256,MATCH($A519,Market_Daily!$A$6:$A$256,0))*(1+INDEX(Market_Daily!$I$6:$I$256,MATCH($A519,Market_Daily!$A$6:$A$256,0))*($M519-$A519)/day_count_inr)/(1+INDEX(Market_Daily!$J$6:$J$256,MATCH($A519,Market_Daily!$A$6:$A$256,0))*($M519-$A519)/day_count_usd)))))</f>
        <v/>
      </c>
      <c r="AM519" s="8">
        <f>IF(OR($J519="INR",$R519&gt;1),"",$AL519-$X519)</f>
        <v/>
      </c>
      <c r="AN519" s="8">
        <f>$P519*(IF($S519&lt;$A519,INDEX(Market_Daily!$F$6:$F$256,MATCH($S519,Market_Daily!$A$6:$A$256,1)),IF($S519=$A519,INDEX(Market_Daily!$F$6:$F$256,MATCH($A519,Market_Daily!$A$6:$A$256,0)),(INDEX(Market_Daily!$F$6:$F$256,MATCH($A519,Market_Daily!$A$6:$A$256,0))*(1+INDEX(Market_Daily!$I$6:$I$256,MATCH($A519,Market_Daily!$A$6:$A$256,0))*($S519-$A519)/day_count_inr)/(1+INDEX(Market_Daily!$J$6:$J$256,MATCH($A519,Market_Daily!$A$6:$A$256,0))*($S519-$A519)/day_count_usd))))-$T519)</f>
        <v/>
      </c>
      <c r="AO519" s="8">
        <f>$AN519</f>
        <v/>
      </c>
      <c r="AP519" s="18">
        <f>$AO519-$V519</f>
        <v/>
      </c>
      <c r="AQ519" s="8">
        <f>IF(ABS($AP519)&lt;=tol_trade_inr,"PASS","FAIL")</f>
        <v/>
      </c>
    </row>
    <row r="520">
      <c r="A520" s="11" t="n">
        <v>44673</v>
      </c>
      <c r="B520" s="7" t="inlineStr">
        <is>
          <t>T04</t>
        </is>
      </c>
      <c r="C520" s="7" t="inlineStr">
        <is>
          <t>IGST:L1</t>
        </is>
      </c>
      <c r="D520" s="7" t="inlineStr">
        <is>
          <t>IGST</t>
        </is>
      </c>
      <c r="E520" s="7" t="inlineStr">
        <is>
          <t>physical</t>
        </is>
      </c>
      <c r="F520" s="7" t="inlineStr">
        <is>
          <t>L1</t>
        </is>
      </c>
      <c r="H520" s="7" t="inlineStr">
        <is>
          <t>taint_tabor</t>
        </is>
      </c>
      <c r="I520" s="7" t="inlineStr">
        <is>
          <t>USEC_MUN</t>
        </is>
      </c>
      <c r="J520" s="7" t="inlineStr">
        <is>
          <t>INR</t>
        </is>
      </c>
      <c r="K520" s="7" t="inlineStr">
        <is>
          <t>floating</t>
        </is>
      </c>
      <c r="L520" s="7" t="inlineStr">
        <is>
          <t>BS</t>
        </is>
      </c>
      <c r="M520" s="11" t="n">
        <v>44764</v>
      </c>
      <c r="N520" s="13" t="n">
        <v>0</v>
      </c>
      <c r="O520" s="6" t="n">
        <v>0</v>
      </c>
      <c r="P520" s="13" t="n">
        <v>0</v>
      </c>
      <c r="Q520" s="22" t="n">
        <v>30</v>
      </c>
      <c r="R520" s="6" t="n">
        <v>2</v>
      </c>
      <c r="U520" s="9" t="n">
        <v>0</v>
      </c>
      <c r="V520" s="9" t="n">
        <v>0</v>
      </c>
      <c r="X520" s="9" t="n">
        <v>76.4485</v>
      </c>
      <c r="AK520" s="7" t="inlineStr">
        <is>
          <t>PYTHON_MULTI_FLOW_LEG</t>
        </is>
      </c>
      <c r="AL520" s="8">
        <f>IF($J520="INR",1,IF($M520&lt;$A520,INDEX(Market_Daily!$F$6:$F$256,MATCH($M520,Market_Daily!$A$6:$A$256,1)),IF($M520=$A520,INDEX(Market_Daily!$F$6:$F$256,MATCH($A520,Market_Daily!$A$6:$A$256,0)),(INDEX(Market_Daily!$F$6:$F$256,MATCH($A520,Market_Daily!$A$6:$A$256,0))*(1+INDEX(Market_Daily!$I$6:$I$256,MATCH($A520,Market_Daily!$A$6:$A$256,0))*($M520-$A520)/day_count_inr)/(1+INDEX(Market_Daily!$J$6:$J$256,MATCH($A520,Market_Daily!$A$6:$A$256,0))*($M520-$A520)/day_count_usd)))))</f>
        <v/>
      </c>
      <c r="AM520" s="8">
        <f>IF(OR($J520="INR",$R520&gt;1),"",$AL520-$X520)</f>
        <v/>
      </c>
      <c r="AN520" s="8">
        <f>$U520</f>
        <v/>
      </c>
      <c r="AO520" s="8">
        <f>$V520</f>
        <v/>
      </c>
      <c r="AP520" s="18">
        <f>$AO520-$V520</f>
        <v/>
      </c>
      <c r="AQ520" s="8">
        <f>IF(ABS($AP520)&lt;=tol_trade_inr,"PASS","FAIL")</f>
        <v/>
      </c>
    </row>
    <row r="521">
      <c r="A521" s="11" t="n">
        <v>44673</v>
      </c>
      <c r="B521" s="7" t="inlineStr">
        <is>
          <t>T04</t>
        </is>
      </c>
      <c r="C521" s="7" t="inlineStr">
        <is>
          <t>IGST:L2</t>
        </is>
      </c>
      <c r="D521" s="7" t="inlineStr">
        <is>
          <t>IGST</t>
        </is>
      </c>
      <c r="E521" s="7" t="inlineStr">
        <is>
          <t>physical</t>
        </is>
      </c>
      <c r="F521" s="7" t="inlineStr">
        <is>
          <t>L2</t>
        </is>
      </c>
      <c r="H521" s="7" t="inlineStr">
        <is>
          <t>taint_tabor</t>
        </is>
      </c>
      <c r="I521" s="7" t="inlineStr">
        <is>
          <t>USEC_MUN</t>
        </is>
      </c>
      <c r="J521" s="7" t="inlineStr">
        <is>
          <t>INR</t>
        </is>
      </c>
      <c r="K521" s="7" t="inlineStr">
        <is>
          <t>floating</t>
        </is>
      </c>
      <c r="L521" s="7" t="inlineStr">
        <is>
          <t>BS</t>
        </is>
      </c>
      <c r="M521" s="11" t="n">
        <v>44771</v>
      </c>
      <c r="N521" s="13" t="n">
        <v>0</v>
      </c>
      <c r="O521" s="6" t="n">
        <v>0</v>
      </c>
      <c r="P521" s="13" t="n">
        <v>0</v>
      </c>
      <c r="Q521" s="22" t="n">
        <v>30</v>
      </c>
      <c r="R521" s="6" t="n">
        <v>2</v>
      </c>
      <c r="U521" s="9" t="n">
        <v>0</v>
      </c>
      <c r="V521" s="9" t="n">
        <v>0</v>
      </c>
      <c r="X521" s="9" t="n">
        <v>76.4485</v>
      </c>
      <c r="AK521" s="7" t="inlineStr">
        <is>
          <t>PYTHON_MULTI_FLOW_LEG</t>
        </is>
      </c>
      <c r="AL521" s="8">
        <f>IF($J521="INR",1,IF($M521&lt;$A521,INDEX(Market_Daily!$F$6:$F$256,MATCH($M521,Market_Daily!$A$6:$A$256,1)),IF($M521=$A521,INDEX(Market_Daily!$F$6:$F$256,MATCH($A521,Market_Daily!$A$6:$A$256,0)),(INDEX(Market_Daily!$F$6:$F$256,MATCH($A521,Market_Daily!$A$6:$A$256,0))*(1+INDEX(Market_Daily!$I$6:$I$256,MATCH($A521,Market_Daily!$A$6:$A$256,0))*($M521-$A521)/day_count_inr)/(1+INDEX(Market_Daily!$J$6:$J$256,MATCH($A521,Market_Daily!$A$6:$A$256,0))*($M521-$A521)/day_count_usd)))))</f>
        <v/>
      </c>
      <c r="AM521" s="8">
        <f>IF(OR($J521="INR",$R521&gt;1),"",$AL521-$X521)</f>
        <v/>
      </c>
      <c r="AN521" s="8">
        <f>$U521</f>
        <v/>
      </c>
      <c r="AO521" s="8">
        <f>$V521</f>
        <v/>
      </c>
      <c r="AP521" s="18">
        <f>$AO521-$V521</f>
        <v/>
      </c>
      <c r="AQ521" s="8">
        <f>IF(ABS($AP521)&lt;=tol_trade_inr,"PASS","FAIL")</f>
        <v/>
      </c>
    </row>
    <row r="522">
      <c r="A522" s="11" t="n">
        <v>44673</v>
      </c>
      <c r="B522" s="7" t="inlineStr">
        <is>
          <t>T04</t>
        </is>
      </c>
      <c r="C522" s="7" t="inlineStr">
        <is>
          <t>INSURANCE:L1</t>
        </is>
      </c>
      <c r="D522" s="7" t="inlineStr">
        <is>
          <t>INSURANCE</t>
        </is>
      </c>
      <c r="E522" s="7" t="inlineStr">
        <is>
          <t>physical</t>
        </is>
      </c>
      <c r="F522" s="7" t="inlineStr">
        <is>
          <t>L1</t>
        </is>
      </c>
      <c r="H522" s="7" t="inlineStr">
        <is>
          <t>taint_tabor</t>
        </is>
      </c>
      <c r="I522" s="7" t="inlineStr">
        <is>
          <t>USEC_MUN</t>
        </is>
      </c>
      <c r="J522" s="7" t="inlineStr">
        <is>
          <t>USD</t>
        </is>
      </c>
      <c r="K522" s="7" t="inlineStr">
        <is>
          <t>floating</t>
        </is>
      </c>
      <c r="L522" s="7" t="inlineStr">
        <is>
          <t>PNL</t>
        </is>
      </c>
      <c r="M522" s="11" t="n">
        <v>44678</v>
      </c>
      <c r="N522" s="13" t="n">
        <v>630</v>
      </c>
      <c r="O522" s="6" t="n">
        <v>0</v>
      </c>
      <c r="P522" s="13" t="n">
        <v>0</v>
      </c>
      <c r="Q522" s="22" t="n">
        <v>30</v>
      </c>
      <c r="R522" s="6" t="n">
        <v>1</v>
      </c>
      <c r="U522" s="9" t="n">
        <v>-1736.3</v>
      </c>
      <c r="V522" s="9" t="n">
        <v>-132793.43</v>
      </c>
      <c r="X522" s="9" t="n">
        <v>76.48090000000001</v>
      </c>
      <c r="AK522" s="7" t="inlineStr">
        <is>
          <t>PYTHON_LIFECYCLE</t>
        </is>
      </c>
      <c r="AL522" s="8">
        <f>IF($J522="INR",1,IF($M522&lt;$A522,INDEX(Market_Daily!$F$6:$F$256,MATCH($M522,Market_Daily!$A$6:$A$256,1)),IF($M522=$A522,INDEX(Market_Daily!$F$6:$F$256,MATCH($A522,Market_Daily!$A$6:$A$256,0)),(INDEX(Market_Daily!$F$6:$F$256,MATCH($A522,Market_Daily!$A$6:$A$256,0))*(1+INDEX(Market_Daily!$I$6:$I$256,MATCH($A522,Market_Daily!$A$6:$A$256,0))*($M522-$A522)/day_count_inr)/(1+INDEX(Market_Daily!$J$6:$J$256,MATCH($A522,Market_Daily!$A$6:$A$256,0))*($M522-$A522)/day_count_usd)))))</f>
        <v/>
      </c>
      <c r="AM522" s="8">
        <f>IF(OR($J522="INR",$R522&gt;1),"",$AL522-$X522)</f>
        <v/>
      </c>
      <c r="AN522" s="8">
        <f>$U522</f>
        <v/>
      </c>
      <c r="AO522" s="8">
        <f>$AN522*IF($J522="INR",1,$AL522)</f>
        <v/>
      </c>
      <c r="AP522" s="18">
        <f>$AO522-$V522</f>
        <v/>
      </c>
      <c r="AQ522" s="8">
        <f>IF(ABS($AP522)&lt;=tol_trade_inr,"PASS","FAIL")</f>
        <v/>
      </c>
    </row>
    <row r="523">
      <c r="A523" s="11" t="n">
        <v>44673</v>
      </c>
      <c r="B523" s="7" t="inlineStr">
        <is>
          <t>T04</t>
        </is>
      </c>
      <c r="C523" s="7" t="inlineStr">
        <is>
          <t>INSURANCE:L2</t>
        </is>
      </c>
      <c r="D523" s="7" t="inlineStr">
        <is>
          <t>INSURANCE</t>
        </is>
      </c>
      <c r="E523" s="7" t="inlineStr">
        <is>
          <t>physical</t>
        </is>
      </c>
      <c r="F523" s="7" t="inlineStr">
        <is>
          <t>L2</t>
        </is>
      </c>
      <c r="H523" s="7" t="inlineStr">
        <is>
          <t>taint_tabor</t>
        </is>
      </c>
      <c r="I523" s="7" t="inlineStr">
        <is>
          <t>USEC_MUN</t>
        </is>
      </c>
      <c r="J523" s="7" t="inlineStr">
        <is>
          <t>USD</t>
        </is>
      </c>
      <c r="K523" s="7" t="inlineStr">
        <is>
          <t>floating</t>
        </is>
      </c>
      <c r="L523" s="7" t="inlineStr">
        <is>
          <t>PNL</t>
        </is>
      </c>
      <c r="M523" s="11" t="n">
        <v>44685</v>
      </c>
      <c r="N523" s="13" t="n">
        <v>630</v>
      </c>
      <c r="O523" s="6" t="n">
        <v>0</v>
      </c>
      <c r="P523" s="13" t="n">
        <v>0</v>
      </c>
      <c r="Q523" s="22" t="n">
        <v>30</v>
      </c>
      <c r="R523" s="6" t="n">
        <v>1</v>
      </c>
      <c r="U523" s="9" t="n">
        <v>-1736.29</v>
      </c>
      <c r="V523" s="9" t="n">
        <v>-132872.2</v>
      </c>
      <c r="X523" s="9" t="n">
        <v>76.52630000000001</v>
      </c>
      <c r="AK523" s="7" t="inlineStr">
        <is>
          <t>PYTHON_LIFECYCLE</t>
        </is>
      </c>
      <c r="AL523" s="8">
        <f>IF($J523="INR",1,IF($M523&lt;$A523,INDEX(Market_Daily!$F$6:$F$256,MATCH($M523,Market_Daily!$A$6:$A$256,1)),IF($M523=$A523,INDEX(Market_Daily!$F$6:$F$256,MATCH($A523,Market_Daily!$A$6:$A$256,0)),(INDEX(Market_Daily!$F$6:$F$256,MATCH($A523,Market_Daily!$A$6:$A$256,0))*(1+INDEX(Market_Daily!$I$6:$I$256,MATCH($A523,Market_Daily!$A$6:$A$256,0))*($M523-$A523)/day_count_inr)/(1+INDEX(Market_Daily!$J$6:$J$256,MATCH($A523,Market_Daily!$A$6:$A$256,0))*($M523-$A523)/day_count_usd)))))</f>
        <v/>
      </c>
      <c r="AM523" s="8">
        <f>IF(OR($J523="INR",$R523&gt;1),"",$AL523-$X523)</f>
        <v/>
      </c>
      <c r="AN523" s="8">
        <f>$U523</f>
        <v/>
      </c>
      <c r="AO523" s="8">
        <f>$AN523*IF($J523="INR",1,$AL523)</f>
        <v/>
      </c>
      <c r="AP523" s="18">
        <f>$AO523-$V523</f>
        <v/>
      </c>
      <c r="AQ523" s="8">
        <f>IF(ABS($AP523)&lt;=tol_trade_inr,"PASS","FAIL")</f>
        <v/>
      </c>
    </row>
    <row r="524">
      <c r="A524" s="11" t="n">
        <v>44673</v>
      </c>
      <c r="B524" s="7" t="inlineStr">
        <is>
          <t>T04</t>
        </is>
      </c>
      <c r="C524" s="7" t="inlineStr">
        <is>
          <t>INVENTORY:L1</t>
        </is>
      </c>
      <c r="D524" s="7" t="inlineStr">
        <is>
          <t>INVENTORY</t>
        </is>
      </c>
      <c r="E524" s="7" t="inlineStr">
        <is>
          <t>physical</t>
        </is>
      </c>
      <c r="F524" s="7" t="inlineStr">
        <is>
          <t>L1</t>
        </is>
      </c>
      <c r="H524" s="7" t="inlineStr">
        <is>
          <t>taint_tabor</t>
        </is>
      </c>
      <c r="I524" s="7" t="inlineStr">
        <is>
          <t>USEC_MUN</t>
        </is>
      </c>
      <c r="J524" s="7" t="inlineStr">
        <is>
          <t>INR</t>
        </is>
      </c>
      <c r="K524" s="7" t="inlineStr">
        <is>
          <t>fixed_unsettled</t>
        </is>
      </c>
      <c r="L524" s="7" t="inlineStr">
        <is>
          <t>PNL</t>
        </is>
      </c>
      <c r="N524" s="13" t="n">
        <v>630</v>
      </c>
      <c r="O524" s="6" t="n">
        <v>0</v>
      </c>
      <c r="P524" s="13" t="n">
        <v>0</v>
      </c>
      <c r="Q524" s="22" t="n">
        <v>30</v>
      </c>
      <c r="R524" s="6" t="n">
        <v>0</v>
      </c>
      <c r="U524" s="9" t="n">
        <v>124347666.55</v>
      </c>
      <c r="V524" s="9" t="n">
        <v>124347666.55</v>
      </c>
      <c r="W524" s="9" t="n">
        <v>197377.2485</v>
      </c>
      <c r="X524" s="9" t="n">
        <v>76.4485</v>
      </c>
      <c r="Y524" s="8">
        <f>IF($I524="JEA_NSA","20ft","40ft")</f>
        <v/>
      </c>
      <c r="Z524" s="8">
        <f>IF($I524="JEA_NSA","nsa","mun")</f>
        <v/>
      </c>
      <c r="AA524" s="8">
        <f>INDEX(param_values,MATCH("container_payload_mt_"&amp;$Y524,param_keys,0))/INDEX(param_values,MATCH("container_payload_mt_"&amp;$Y524&amp;"_"&amp;$H524,param_keys,0))</f>
        <v/>
      </c>
      <c r="AB524" s="16">
        <f>INDEX(Market_Daily!$C$6:$C$256,MATCH($A524,Market_Daily!$A$6:$A$256,0))*INDEX(Market_Daily!$X$6:$Z$256,MATCH($A524,Market_Daily!$A$6:$A$256,0),MATCH("grade_factor_"&amp;$H524,Market_Daily!$X$5:$Z$5,0))</f>
        <v/>
      </c>
      <c r="AC524" s="16">
        <f>$AB524*(1+insurance_rate*insured_value_uplift)</f>
        <v/>
      </c>
      <c r="AD524" s="8">
        <f>(INDEX(Market_Daily!$F$6:$F$256,MATCH($A524,Market_Daily!$A$6:$A$256,0))*(1+INDEX(Market_Daily!$I$6:$I$256,MATCH($A524,Market_Daily!$A$6:$A$256,0))*$Q524/day_count_inr)/(1+INDEX(Market_Daily!$J$6:$J$256,MATCH($A524,Market_Daily!$A$6:$A$256,0))*$Q524/day_count_usd))</f>
        <v/>
      </c>
      <c r="AE524" s="18">
        <f>$AC524*$AD524</f>
        <v/>
      </c>
      <c r="AF524" s="18">
        <f>$AC524*INDEX(Market_Daily!$V$6:$V$256,MATCH($A524,Market_Daily!$A$6:$A$256,0))</f>
        <v/>
      </c>
      <c r="AG524" s="18">
        <f>$AF524*bcd_scrap_hs7602*(1+sws_rate_on_bcd)</f>
        <v/>
      </c>
      <c r="AH524" s="18">
        <f>INDEX(param_values,MATCH("port_cf_charges_inr_t_"&amp;$Z524,param_keys,0))*$AA524+IF(INDEX(param_values,MATCH(IF($I524="JEA_NSA","psic_required_uae_origin","psic_required_safe_origin_designated_port"),param_keys,0)),psic_cost_usd_per_box*INDEX(Market_Daily!$F$6:$F$256,MATCH($A524,Market_Daily!$A$6:$A$256,0))/INDEX(param_values,MATCH("container_payload_mt_20ft_"&amp;$H524,param_keys,0)),0)</f>
        <v/>
      </c>
      <c r="AI524" s="18">
        <f>IF(igst_itc_available,0,($AF524+$AG524)*igst_rate_hs7602)</f>
        <v/>
      </c>
      <c r="AJ524" s="18">
        <f>$AE524+$AG524+$AH524+$AI524</f>
        <v/>
      </c>
      <c r="AK524" s="7" t="inlineStr">
        <is>
          <t>DERIVED_IN_WORKBOOK</t>
        </is>
      </c>
      <c r="AL524" s="8">
        <f>IF($J524="INR",1,IF($M524&lt;$A524,INDEX(Market_Daily!$F$6:$F$256,MATCH($M524,Market_Daily!$A$6:$A$256,1)),IF($M524=$A524,INDEX(Market_Daily!$F$6:$F$256,MATCH($A524,Market_Daily!$A$6:$A$256,0)),(INDEX(Market_Daily!$F$6:$F$256,MATCH($A524,Market_Daily!$A$6:$A$256,0))*(1+INDEX(Market_Daily!$I$6:$I$256,MATCH($A524,Market_Daily!$A$6:$A$256,0))*($M524-$A524)/day_count_inr)/(1+INDEX(Market_Daily!$J$6:$J$256,MATCH($A524,Market_Daily!$A$6:$A$256,0))*($M524-$A524)/day_count_usd)))))</f>
        <v/>
      </c>
      <c r="AM524" s="8">
        <f>IF(OR($J524="INR",$R524&gt;1),"",$AL524-$X524)</f>
        <v/>
      </c>
      <c r="AN524" s="8">
        <f>$N524*$AJ524</f>
        <v/>
      </c>
      <c r="AO524" s="8">
        <f>$AN524</f>
        <v/>
      </c>
      <c r="AP524" s="18">
        <f>$AO524-$V524</f>
        <v/>
      </c>
      <c r="AQ524" s="8">
        <f>IF(ABS($AP524)&lt;=tol_trade_inr,"PASS","FAIL")</f>
        <v/>
      </c>
    </row>
    <row r="525">
      <c r="A525" s="11" t="n">
        <v>44673</v>
      </c>
      <c r="B525" s="7" t="inlineStr">
        <is>
          <t>T04</t>
        </is>
      </c>
      <c r="C525" s="7" t="inlineStr">
        <is>
          <t>INVENTORY:L2</t>
        </is>
      </c>
      <c r="D525" s="7" t="inlineStr">
        <is>
          <t>INVENTORY</t>
        </is>
      </c>
      <c r="E525" s="7" t="inlineStr">
        <is>
          <t>physical</t>
        </is>
      </c>
      <c r="F525" s="7" t="inlineStr">
        <is>
          <t>L2</t>
        </is>
      </c>
      <c r="H525" s="7" t="inlineStr">
        <is>
          <t>taint_tabor</t>
        </is>
      </c>
      <c r="I525" s="7" t="inlineStr">
        <is>
          <t>USEC_MUN</t>
        </is>
      </c>
      <c r="J525" s="7" t="inlineStr">
        <is>
          <t>INR</t>
        </is>
      </c>
      <c r="K525" s="7" t="inlineStr">
        <is>
          <t>fixed_unsettled</t>
        </is>
      </c>
      <c r="L525" s="7" t="inlineStr">
        <is>
          <t>PNL</t>
        </is>
      </c>
      <c r="N525" s="13" t="n">
        <v>630</v>
      </c>
      <c r="O525" s="6" t="n">
        <v>0</v>
      </c>
      <c r="P525" s="13" t="n">
        <v>0</v>
      </c>
      <c r="Q525" s="22" t="n">
        <v>30</v>
      </c>
      <c r="R525" s="6" t="n">
        <v>0</v>
      </c>
      <c r="U525" s="9" t="n">
        <v>124347666.55</v>
      </c>
      <c r="V525" s="9" t="n">
        <v>124347666.55</v>
      </c>
      <c r="W525" s="9" t="n">
        <v>197377.2485</v>
      </c>
      <c r="X525" s="9" t="n">
        <v>76.4485</v>
      </c>
      <c r="Y525" s="8">
        <f>IF($I525="JEA_NSA","20ft","40ft")</f>
        <v/>
      </c>
      <c r="Z525" s="8">
        <f>IF($I525="JEA_NSA","nsa","mun")</f>
        <v/>
      </c>
      <c r="AA525" s="8">
        <f>INDEX(param_values,MATCH("container_payload_mt_"&amp;$Y525,param_keys,0))/INDEX(param_values,MATCH("container_payload_mt_"&amp;$Y525&amp;"_"&amp;$H525,param_keys,0))</f>
        <v/>
      </c>
      <c r="AB525" s="16">
        <f>INDEX(Market_Daily!$C$6:$C$256,MATCH($A525,Market_Daily!$A$6:$A$256,0))*INDEX(Market_Daily!$X$6:$Z$256,MATCH($A525,Market_Daily!$A$6:$A$256,0),MATCH("grade_factor_"&amp;$H525,Market_Daily!$X$5:$Z$5,0))</f>
        <v/>
      </c>
      <c r="AC525" s="16">
        <f>$AB525*(1+insurance_rate*insured_value_uplift)</f>
        <v/>
      </c>
      <c r="AD525" s="8">
        <f>(INDEX(Market_Daily!$F$6:$F$256,MATCH($A525,Market_Daily!$A$6:$A$256,0))*(1+INDEX(Market_Daily!$I$6:$I$256,MATCH($A525,Market_Daily!$A$6:$A$256,0))*$Q525/day_count_inr)/(1+INDEX(Market_Daily!$J$6:$J$256,MATCH($A525,Market_Daily!$A$6:$A$256,0))*$Q525/day_count_usd))</f>
        <v/>
      </c>
      <c r="AE525" s="18">
        <f>$AC525*$AD525</f>
        <v/>
      </c>
      <c r="AF525" s="18">
        <f>$AC525*INDEX(Market_Daily!$V$6:$V$256,MATCH($A525,Market_Daily!$A$6:$A$256,0))</f>
        <v/>
      </c>
      <c r="AG525" s="18">
        <f>$AF525*bcd_scrap_hs7602*(1+sws_rate_on_bcd)</f>
        <v/>
      </c>
      <c r="AH525" s="18">
        <f>INDEX(param_values,MATCH("port_cf_charges_inr_t_"&amp;$Z525,param_keys,0))*$AA525+IF(INDEX(param_values,MATCH(IF($I525="JEA_NSA","psic_required_uae_origin","psic_required_safe_origin_designated_port"),param_keys,0)),psic_cost_usd_per_box*INDEX(Market_Daily!$F$6:$F$256,MATCH($A525,Market_Daily!$A$6:$A$256,0))/INDEX(param_values,MATCH("container_payload_mt_20ft_"&amp;$H525,param_keys,0)),0)</f>
        <v/>
      </c>
      <c r="AI525" s="18">
        <f>IF(igst_itc_available,0,($AF525+$AG525)*igst_rate_hs7602)</f>
        <v/>
      </c>
      <c r="AJ525" s="18">
        <f>$AE525+$AG525+$AH525+$AI525</f>
        <v/>
      </c>
      <c r="AK525" s="7" t="inlineStr">
        <is>
          <t>DERIVED_IN_WORKBOOK</t>
        </is>
      </c>
      <c r="AL525" s="8">
        <f>IF($J525="INR",1,IF($M525&lt;$A525,INDEX(Market_Daily!$F$6:$F$256,MATCH($M525,Market_Daily!$A$6:$A$256,1)),IF($M525=$A525,INDEX(Market_Daily!$F$6:$F$256,MATCH($A525,Market_Daily!$A$6:$A$256,0)),(INDEX(Market_Daily!$F$6:$F$256,MATCH($A525,Market_Daily!$A$6:$A$256,0))*(1+INDEX(Market_Daily!$I$6:$I$256,MATCH($A525,Market_Daily!$A$6:$A$256,0))*($M525-$A525)/day_count_inr)/(1+INDEX(Market_Daily!$J$6:$J$256,MATCH($A525,Market_Daily!$A$6:$A$256,0))*($M525-$A525)/day_count_usd)))))</f>
        <v/>
      </c>
      <c r="AM525" s="8">
        <f>IF(OR($J525="INR",$R525&gt;1),"",$AL525-$X525)</f>
        <v/>
      </c>
      <c r="AN525" s="8">
        <f>$N525*$AJ525</f>
        <v/>
      </c>
      <c r="AO525" s="8">
        <f>$AN525</f>
        <v/>
      </c>
      <c r="AP525" s="18">
        <f>$AO525-$V525</f>
        <v/>
      </c>
      <c r="AQ525" s="8">
        <f>IF(ABS($AP525)&lt;=tol_trade_inr,"PASS","FAIL")</f>
        <v/>
      </c>
    </row>
    <row r="526">
      <c r="A526" s="11" t="n">
        <v>44673</v>
      </c>
      <c r="B526" s="7" t="inlineStr">
        <is>
          <t>T04</t>
        </is>
      </c>
      <c r="C526" s="7" t="inlineStr">
        <is>
          <t>MCX:T04-MCX-2</t>
        </is>
      </c>
      <c r="D526" s="7" t="inlineStr">
        <is>
          <t>MCX</t>
        </is>
      </c>
      <c r="E526" s="7" t="inlineStr">
        <is>
          <t>mcx</t>
        </is>
      </c>
      <c r="H526" s="7" t="inlineStr">
        <is>
          <t>taint_tabor</t>
        </is>
      </c>
      <c r="I526" s="7" t="inlineStr">
        <is>
          <t>USEC_MUN</t>
        </is>
      </c>
      <c r="J526" s="7" t="inlineStr">
        <is>
          <t>INR</t>
        </is>
      </c>
      <c r="K526" s="7" t="inlineStr">
        <is>
          <t>partially_fixed</t>
        </is>
      </c>
      <c r="L526" s="7" t="inlineStr">
        <is>
          <t>PNL</t>
        </is>
      </c>
      <c r="M526" s="11" t="n">
        <v>44701</v>
      </c>
      <c r="N526" s="13" t="n">
        <v>0</v>
      </c>
      <c r="O526" s="6" t="n">
        <v>-87</v>
      </c>
      <c r="P526" s="13" t="n">
        <v>0</v>
      </c>
      <c r="Q526" s="22" t="n">
        <v>30</v>
      </c>
      <c r="R526" s="6" t="n">
        <v>22</v>
      </c>
      <c r="U526" s="9" t="n">
        <v>0</v>
      </c>
      <c r="V526" s="9" t="n">
        <v>0</v>
      </c>
      <c r="X526" s="9" t="n">
        <v>76.4485</v>
      </c>
      <c r="AK526" s="7" t="inlineStr">
        <is>
          <t>PYTHON_MULTI_FLOW_LEG</t>
        </is>
      </c>
      <c r="AL526" s="8">
        <f>IF($J526="INR",1,IF($M526&lt;$A526,INDEX(Market_Daily!$F$6:$F$256,MATCH($M526,Market_Daily!$A$6:$A$256,1)),IF($M526=$A526,INDEX(Market_Daily!$F$6:$F$256,MATCH($A526,Market_Daily!$A$6:$A$256,0)),(INDEX(Market_Daily!$F$6:$F$256,MATCH($A526,Market_Daily!$A$6:$A$256,0))*(1+INDEX(Market_Daily!$I$6:$I$256,MATCH($A526,Market_Daily!$A$6:$A$256,0))*($M526-$A526)/day_count_inr)/(1+INDEX(Market_Daily!$J$6:$J$256,MATCH($A526,Market_Daily!$A$6:$A$256,0))*($M526-$A526)/day_count_usd)))))</f>
        <v/>
      </c>
      <c r="AM526" s="8">
        <f>IF(OR($J526="INR",$R526&gt;1),"",$AL526-$X526)</f>
        <v/>
      </c>
      <c r="AN526" s="8">
        <f>$U526</f>
        <v/>
      </c>
      <c r="AO526" s="8">
        <f>$V526</f>
        <v/>
      </c>
      <c r="AP526" s="18">
        <f>$AO526-$V526</f>
        <v/>
      </c>
      <c r="AQ526" s="8">
        <f>IF(ABS($AP526)&lt;=tol_trade_inr,"PASS","FAIL")</f>
        <v/>
      </c>
    </row>
    <row r="527">
      <c r="A527" s="11" t="n">
        <v>44673</v>
      </c>
      <c r="B527" s="7" t="inlineStr">
        <is>
          <t>T04</t>
        </is>
      </c>
      <c r="C527" s="7" t="inlineStr">
        <is>
          <t>PORT:L1</t>
        </is>
      </c>
      <c r="D527" s="7" t="inlineStr">
        <is>
          <t>PORT</t>
        </is>
      </c>
      <c r="E527" s="7" t="inlineStr">
        <is>
          <t>physical</t>
        </is>
      </c>
      <c r="F527" s="7" t="inlineStr">
        <is>
          <t>L1</t>
        </is>
      </c>
      <c r="H527" s="7" t="inlineStr">
        <is>
          <t>taint_tabor</t>
        </is>
      </c>
      <c r="I527" s="7" t="inlineStr">
        <is>
          <t>USEC_MUN</t>
        </is>
      </c>
      <c r="J527" s="7" t="inlineStr">
        <is>
          <t>INR</t>
        </is>
      </c>
      <c r="K527" s="7" t="inlineStr">
        <is>
          <t>fixed_unsettled</t>
        </is>
      </c>
      <c r="L527" s="7" t="inlineStr">
        <is>
          <t>PNL</t>
        </is>
      </c>
      <c r="M527" s="11" t="n">
        <v>44728</v>
      </c>
      <c r="N527" s="13" t="n">
        <v>0</v>
      </c>
      <c r="O527" s="6" t="n">
        <v>0</v>
      </c>
      <c r="P527" s="13" t="n">
        <v>0</v>
      </c>
      <c r="Q527" s="22" t="n">
        <v>30</v>
      </c>
      <c r="R527" s="6" t="n">
        <v>1</v>
      </c>
      <c r="U527" s="9" t="n">
        <v>-1669500</v>
      </c>
      <c r="V527" s="9" t="n">
        <v>-1669500</v>
      </c>
      <c r="X527" s="9" t="n">
        <v>76.4485</v>
      </c>
      <c r="AK527" s="7" t="inlineStr">
        <is>
          <t>PYTHON_LIFECYCLE</t>
        </is>
      </c>
      <c r="AL527" s="8">
        <f>IF($J527="INR",1,IF($M527&lt;$A527,INDEX(Market_Daily!$F$6:$F$256,MATCH($M527,Market_Daily!$A$6:$A$256,1)),IF($M527=$A527,INDEX(Market_Daily!$F$6:$F$256,MATCH($A527,Market_Daily!$A$6:$A$256,0)),(INDEX(Market_Daily!$F$6:$F$256,MATCH($A527,Market_Daily!$A$6:$A$256,0))*(1+INDEX(Market_Daily!$I$6:$I$256,MATCH($A527,Market_Daily!$A$6:$A$256,0))*($M527-$A527)/day_count_inr)/(1+INDEX(Market_Daily!$J$6:$J$256,MATCH($A527,Market_Daily!$A$6:$A$256,0))*($M527-$A527)/day_count_usd)))))</f>
        <v/>
      </c>
      <c r="AM527" s="8">
        <f>IF(OR($J527="INR",$R527&gt;1),"",$AL527-$X527)</f>
        <v/>
      </c>
      <c r="AN527" s="8">
        <f>$U527</f>
        <v/>
      </c>
      <c r="AO527" s="8">
        <f>$AN527*IF($J527="INR",1,$AL527)</f>
        <v/>
      </c>
      <c r="AP527" s="18">
        <f>$AO527-$V527</f>
        <v/>
      </c>
      <c r="AQ527" s="8">
        <f>IF(ABS($AP527)&lt;=tol_trade_inr,"PASS","FAIL")</f>
        <v/>
      </c>
    </row>
    <row r="528">
      <c r="A528" s="11" t="n">
        <v>44673</v>
      </c>
      <c r="B528" s="7" t="inlineStr">
        <is>
          <t>T04</t>
        </is>
      </c>
      <c r="C528" s="7" t="inlineStr">
        <is>
          <t>PORT:L2</t>
        </is>
      </c>
      <c r="D528" s="7" t="inlineStr">
        <is>
          <t>PORT</t>
        </is>
      </c>
      <c r="E528" s="7" t="inlineStr">
        <is>
          <t>physical</t>
        </is>
      </c>
      <c r="F528" s="7" t="inlineStr">
        <is>
          <t>L2</t>
        </is>
      </c>
      <c r="H528" s="7" t="inlineStr">
        <is>
          <t>taint_tabor</t>
        </is>
      </c>
      <c r="I528" s="7" t="inlineStr">
        <is>
          <t>USEC_MUN</t>
        </is>
      </c>
      <c r="J528" s="7" t="inlineStr">
        <is>
          <t>INR</t>
        </is>
      </c>
      <c r="K528" s="7" t="inlineStr">
        <is>
          <t>fixed_unsettled</t>
        </is>
      </c>
      <c r="L528" s="7" t="inlineStr">
        <is>
          <t>PNL</t>
        </is>
      </c>
      <c r="M528" s="11" t="n">
        <v>44735</v>
      </c>
      <c r="N528" s="13" t="n">
        <v>0</v>
      </c>
      <c r="O528" s="6" t="n">
        <v>0</v>
      </c>
      <c r="P528" s="13" t="n">
        <v>0</v>
      </c>
      <c r="Q528" s="22" t="n">
        <v>30</v>
      </c>
      <c r="R528" s="6" t="n">
        <v>1</v>
      </c>
      <c r="U528" s="9" t="n">
        <v>-1669500</v>
      </c>
      <c r="V528" s="9" t="n">
        <v>-1669500</v>
      </c>
      <c r="X528" s="9" t="n">
        <v>76.4485</v>
      </c>
      <c r="AK528" s="7" t="inlineStr">
        <is>
          <t>PYTHON_LIFECYCLE</t>
        </is>
      </c>
      <c r="AL528" s="8">
        <f>IF($J528="INR",1,IF($M528&lt;$A528,INDEX(Market_Daily!$F$6:$F$256,MATCH($M528,Market_Daily!$A$6:$A$256,1)),IF($M528=$A528,INDEX(Market_Daily!$F$6:$F$256,MATCH($A528,Market_Daily!$A$6:$A$256,0)),(INDEX(Market_Daily!$F$6:$F$256,MATCH($A528,Market_Daily!$A$6:$A$256,0))*(1+INDEX(Market_Daily!$I$6:$I$256,MATCH($A528,Market_Daily!$A$6:$A$256,0))*($M528-$A528)/day_count_inr)/(1+INDEX(Market_Daily!$J$6:$J$256,MATCH($A528,Market_Daily!$A$6:$A$256,0))*($M528-$A528)/day_count_usd)))))</f>
        <v/>
      </c>
      <c r="AM528" s="8">
        <f>IF(OR($J528="INR",$R528&gt;1),"",$AL528-$X528)</f>
        <v/>
      </c>
      <c r="AN528" s="8">
        <f>$U528</f>
        <v/>
      </c>
      <c r="AO528" s="8">
        <f>$AN528*IF($J528="INR",1,$AL528)</f>
        <v/>
      </c>
      <c r="AP528" s="18">
        <f>$AO528-$V528</f>
        <v/>
      </c>
      <c r="AQ528" s="8">
        <f>IF(ABS($AP528)&lt;=tol_trade_inr,"PASS","FAIL")</f>
        <v/>
      </c>
    </row>
    <row r="529">
      <c r="A529" s="11" t="n">
        <v>44673</v>
      </c>
      <c r="B529" s="7" t="inlineStr">
        <is>
          <t>T04</t>
        </is>
      </c>
      <c r="C529" s="7" t="inlineStr">
        <is>
          <t>PURCHASE:L1</t>
        </is>
      </c>
      <c r="D529" s="7" t="inlineStr">
        <is>
          <t>PURCHASE</t>
        </is>
      </c>
      <c r="E529" s="7" t="inlineStr">
        <is>
          <t>physical</t>
        </is>
      </c>
      <c r="F529" s="7" t="inlineStr">
        <is>
          <t>L1</t>
        </is>
      </c>
      <c r="G529" s="7" t="inlineStr">
        <is>
          <t>SUP_USEC_02</t>
        </is>
      </c>
      <c r="H529" s="7" t="inlineStr">
        <is>
          <t>taint_tabor</t>
        </is>
      </c>
      <c r="I529" s="7" t="inlineStr">
        <is>
          <t>USEC_MUN</t>
        </is>
      </c>
      <c r="J529" s="7" t="inlineStr">
        <is>
          <t>USD</t>
        </is>
      </c>
      <c r="K529" s="7" t="inlineStr">
        <is>
          <t>fixed_unsettled</t>
        </is>
      </c>
      <c r="L529" s="7" t="inlineStr">
        <is>
          <t>PNL</t>
        </is>
      </c>
      <c r="M529" s="11" t="n">
        <v>44685</v>
      </c>
      <c r="N529" s="13" t="n">
        <v>630</v>
      </c>
      <c r="O529" s="6" t="n">
        <v>0</v>
      </c>
      <c r="P529" s="13" t="n">
        <v>0</v>
      </c>
      <c r="Q529" s="22" t="n">
        <v>30</v>
      </c>
      <c r="R529" s="6" t="n">
        <v>1</v>
      </c>
      <c r="U529" s="9" t="n">
        <v>-1518300</v>
      </c>
      <c r="V529" s="9" t="n">
        <v>-116189852.56</v>
      </c>
      <c r="X529" s="9" t="n">
        <v>76.52630000000001</v>
      </c>
      <c r="AK529" s="7" t="inlineStr">
        <is>
          <t>PYTHON_LIFECYCLE</t>
        </is>
      </c>
      <c r="AL529" s="8">
        <f>IF($J529="INR",1,IF($M529&lt;$A529,INDEX(Market_Daily!$F$6:$F$256,MATCH($M529,Market_Daily!$A$6:$A$256,1)),IF($M529=$A529,INDEX(Market_Daily!$F$6:$F$256,MATCH($A529,Market_Daily!$A$6:$A$256,0)),(INDEX(Market_Daily!$F$6:$F$256,MATCH($A529,Market_Daily!$A$6:$A$256,0))*(1+INDEX(Market_Daily!$I$6:$I$256,MATCH($A529,Market_Daily!$A$6:$A$256,0))*($M529-$A529)/day_count_inr)/(1+INDEX(Market_Daily!$J$6:$J$256,MATCH($A529,Market_Daily!$A$6:$A$256,0))*($M529-$A529)/day_count_usd)))))</f>
        <v/>
      </c>
      <c r="AM529" s="8">
        <f>IF(OR($J529="INR",$R529&gt;1),"",$AL529-$X529)</f>
        <v/>
      </c>
      <c r="AN529" s="8">
        <f>$U529</f>
        <v/>
      </c>
      <c r="AO529" s="8">
        <f>$AN529*IF($J529="INR",1,$AL529)</f>
        <v/>
      </c>
      <c r="AP529" s="18">
        <f>$AO529-$V529</f>
        <v/>
      </c>
      <c r="AQ529" s="8">
        <f>IF(ABS($AP529)&lt;=tol_trade_inr,"PASS","FAIL")</f>
        <v/>
      </c>
    </row>
    <row r="530">
      <c r="A530" s="11" t="n">
        <v>44673</v>
      </c>
      <c r="B530" s="7" t="inlineStr">
        <is>
          <t>T04</t>
        </is>
      </c>
      <c r="C530" s="7" t="inlineStr">
        <is>
          <t>PURCHASE:L2</t>
        </is>
      </c>
      <c r="D530" s="7" t="inlineStr">
        <is>
          <t>PURCHASE</t>
        </is>
      </c>
      <c r="E530" s="7" t="inlineStr">
        <is>
          <t>physical</t>
        </is>
      </c>
      <c r="F530" s="7" t="inlineStr">
        <is>
          <t>L2</t>
        </is>
      </c>
      <c r="G530" s="7" t="inlineStr">
        <is>
          <t>SUP_USEC_02</t>
        </is>
      </c>
      <c r="H530" s="7" t="inlineStr">
        <is>
          <t>taint_tabor</t>
        </is>
      </c>
      <c r="I530" s="7" t="inlineStr">
        <is>
          <t>USEC_MUN</t>
        </is>
      </c>
      <c r="J530" s="7" t="inlineStr">
        <is>
          <t>USD</t>
        </is>
      </c>
      <c r="K530" s="7" t="inlineStr">
        <is>
          <t>fixed_unsettled</t>
        </is>
      </c>
      <c r="L530" s="7" t="inlineStr">
        <is>
          <t>PNL</t>
        </is>
      </c>
      <c r="M530" s="11" t="n">
        <v>44692</v>
      </c>
      <c r="N530" s="13" t="n">
        <v>630</v>
      </c>
      <c r="O530" s="6" t="n">
        <v>0</v>
      </c>
      <c r="P530" s="13" t="n">
        <v>0</v>
      </c>
      <c r="Q530" s="22" t="n">
        <v>30</v>
      </c>
      <c r="R530" s="6" t="n">
        <v>1</v>
      </c>
      <c r="U530" s="9" t="n">
        <v>-1518300</v>
      </c>
      <c r="V530" s="9" t="n">
        <v>-116258711.57</v>
      </c>
      <c r="X530" s="9" t="n">
        <v>76.5716</v>
      </c>
      <c r="AK530" s="7" t="inlineStr">
        <is>
          <t>PYTHON_LIFECYCLE</t>
        </is>
      </c>
      <c r="AL530" s="8">
        <f>IF($J530="INR",1,IF($M530&lt;$A530,INDEX(Market_Daily!$F$6:$F$256,MATCH($M530,Market_Daily!$A$6:$A$256,1)),IF($M530=$A530,INDEX(Market_Daily!$F$6:$F$256,MATCH($A530,Market_Daily!$A$6:$A$256,0)),(INDEX(Market_Daily!$F$6:$F$256,MATCH($A530,Market_Daily!$A$6:$A$256,0))*(1+INDEX(Market_Daily!$I$6:$I$256,MATCH($A530,Market_Daily!$A$6:$A$256,0))*($M530-$A530)/day_count_inr)/(1+INDEX(Market_Daily!$J$6:$J$256,MATCH($A530,Market_Daily!$A$6:$A$256,0))*($M530-$A530)/day_count_usd)))))</f>
        <v/>
      </c>
      <c r="AM530" s="8">
        <f>IF(OR($J530="INR",$R530&gt;1),"",$AL530-$X530)</f>
        <v/>
      </c>
      <c r="AN530" s="8">
        <f>$U530</f>
        <v/>
      </c>
      <c r="AO530" s="8">
        <f>$AN530*IF($J530="INR",1,$AL530)</f>
        <v/>
      </c>
      <c r="AP530" s="18">
        <f>$AO530-$V530</f>
        <v/>
      </c>
      <c r="AQ530" s="8">
        <f>IF(ABS($AP530)&lt;=tol_trade_inr,"PASS","FAIL")</f>
        <v/>
      </c>
    </row>
    <row r="531">
      <c r="A531" s="11" t="n">
        <v>44673</v>
      </c>
      <c r="B531" s="7" t="inlineStr">
        <is>
          <t>T05</t>
        </is>
      </c>
      <c r="C531" s="7" t="inlineStr">
        <is>
          <t>BILL_COMMISSION:L1</t>
        </is>
      </c>
      <c r="D531" s="7" t="inlineStr">
        <is>
          <t>BILL_COMMISSION</t>
        </is>
      </c>
      <c r="E531" s="7" t="inlineStr">
        <is>
          <t>physical</t>
        </is>
      </c>
      <c r="F531" s="7" t="inlineStr">
        <is>
          <t>L1</t>
        </is>
      </c>
      <c r="H531" s="7" t="inlineStr">
        <is>
          <t>tense</t>
        </is>
      </c>
      <c r="I531" s="7" t="inlineStr">
        <is>
          <t>USEC_MUN</t>
        </is>
      </c>
      <c r="J531" s="7" t="inlineStr">
        <is>
          <t>USD</t>
        </is>
      </c>
      <c r="K531" s="7" t="inlineStr">
        <is>
          <t>floating</t>
        </is>
      </c>
      <c r="L531" s="7" t="inlineStr">
        <is>
          <t>PNL</t>
        </is>
      </c>
      <c r="M531" s="11" t="n">
        <v>44753</v>
      </c>
      <c r="N531" s="13" t="n">
        <v>0</v>
      </c>
      <c r="O531" s="6" t="n">
        <v>0</v>
      </c>
      <c r="P531" s="13" t="n">
        <v>0</v>
      </c>
      <c r="Q531" s="22" t="n">
        <v>30</v>
      </c>
      <c r="R531" s="6" t="n">
        <v>1</v>
      </c>
      <c r="U531" s="9" t="n">
        <v>-2728.74</v>
      </c>
      <c r="V531" s="9" t="n">
        <v>-210020.81</v>
      </c>
      <c r="X531" s="9" t="n">
        <v>76.9662</v>
      </c>
      <c r="AK531" s="7" t="inlineStr">
        <is>
          <t>PYTHON_LIFECYCLE</t>
        </is>
      </c>
      <c r="AL531" s="8">
        <f>IF($J531="INR",1,IF($M531&lt;$A531,INDEX(Market_Daily!$F$6:$F$256,MATCH($M531,Market_Daily!$A$6:$A$256,1)),IF($M531=$A531,INDEX(Market_Daily!$F$6:$F$256,MATCH($A531,Market_Daily!$A$6:$A$256,0)),(INDEX(Market_Daily!$F$6:$F$256,MATCH($A531,Market_Daily!$A$6:$A$256,0))*(1+INDEX(Market_Daily!$I$6:$I$256,MATCH($A531,Market_Daily!$A$6:$A$256,0))*($M531-$A531)/day_count_inr)/(1+INDEX(Market_Daily!$J$6:$J$256,MATCH($A531,Market_Daily!$A$6:$A$256,0))*($M531-$A531)/day_count_usd)))))</f>
        <v/>
      </c>
      <c r="AM531" s="8">
        <f>IF(OR($J531="INR",$R531&gt;1),"",$AL531-$X531)</f>
        <v/>
      </c>
      <c r="AN531" s="8">
        <f>$U531</f>
        <v/>
      </c>
      <c r="AO531" s="8">
        <f>$AN531*IF($J531="INR",1,$AL531)</f>
        <v/>
      </c>
      <c r="AP531" s="18">
        <f>$AO531-$V531</f>
        <v/>
      </c>
      <c r="AQ531" s="8">
        <f>IF(ABS($AP531)&lt;=tol_trade_inr,"PASS","FAIL")</f>
        <v/>
      </c>
    </row>
    <row r="532">
      <c r="A532" s="11" t="n">
        <v>44673</v>
      </c>
      <c r="B532" s="7" t="inlineStr">
        <is>
          <t>T05</t>
        </is>
      </c>
      <c r="C532" s="7" t="inlineStr">
        <is>
          <t>BILL_COMMISSION:L2</t>
        </is>
      </c>
      <c r="D532" s="7" t="inlineStr">
        <is>
          <t>BILL_COMMISSION</t>
        </is>
      </c>
      <c r="E532" s="7" t="inlineStr">
        <is>
          <t>physical</t>
        </is>
      </c>
      <c r="F532" s="7" t="inlineStr">
        <is>
          <t>L2</t>
        </is>
      </c>
      <c r="H532" s="7" t="inlineStr">
        <is>
          <t>tense</t>
        </is>
      </c>
      <c r="I532" s="7" t="inlineStr">
        <is>
          <t>USEC_MUN</t>
        </is>
      </c>
      <c r="J532" s="7" t="inlineStr">
        <is>
          <t>USD</t>
        </is>
      </c>
      <c r="K532" s="7" t="inlineStr">
        <is>
          <t>floating</t>
        </is>
      </c>
      <c r="L532" s="7" t="inlineStr">
        <is>
          <t>PNL</t>
        </is>
      </c>
      <c r="M532" s="11" t="n">
        <v>44760</v>
      </c>
      <c r="N532" s="13" t="n">
        <v>0</v>
      </c>
      <c r="O532" s="6" t="n">
        <v>0</v>
      </c>
      <c r="P532" s="13" t="n">
        <v>0</v>
      </c>
      <c r="Q532" s="22" t="n">
        <v>30</v>
      </c>
      <c r="R532" s="6" t="n">
        <v>1</v>
      </c>
      <c r="U532" s="9" t="n">
        <v>-2730</v>
      </c>
      <c r="V532" s="9" t="n">
        <v>-210240.89</v>
      </c>
      <c r="X532" s="9" t="n">
        <v>77.0115</v>
      </c>
      <c r="AK532" s="7" t="inlineStr">
        <is>
          <t>PYTHON_LIFECYCLE</t>
        </is>
      </c>
      <c r="AL532" s="8">
        <f>IF($J532="INR",1,IF($M532&lt;$A532,INDEX(Market_Daily!$F$6:$F$256,MATCH($M532,Market_Daily!$A$6:$A$256,1)),IF($M532=$A532,INDEX(Market_Daily!$F$6:$F$256,MATCH($A532,Market_Daily!$A$6:$A$256,0)),(INDEX(Market_Daily!$F$6:$F$256,MATCH($A532,Market_Daily!$A$6:$A$256,0))*(1+INDEX(Market_Daily!$I$6:$I$256,MATCH($A532,Market_Daily!$A$6:$A$256,0))*($M532-$A532)/day_count_inr)/(1+INDEX(Market_Daily!$J$6:$J$256,MATCH($A532,Market_Daily!$A$6:$A$256,0))*($M532-$A532)/day_count_usd)))))</f>
        <v/>
      </c>
      <c r="AM532" s="8">
        <f>IF(OR($J532="INR",$R532&gt;1),"",$AL532-$X532)</f>
        <v/>
      </c>
      <c r="AN532" s="8">
        <f>$U532</f>
        <v/>
      </c>
      <c r="AO532" s="8">
        <f>$AN532*IF($J532="INR",1,$AL532)</f>
        <v/>
      </c>
      <c r="AP532" s="18">
        <f>$AO532-$V532</f>
        <v/>
      </c>
      <c r="AQ532" s="8">
        <f>IF(ABS($AP532)&lt;=tol_trade_inr,"PASS","FAIL")</f>
        <v/>
      </c>
    </row>
    <row r="533">
      <c r="A533" s="11" t="n">
        <v>44673</v>
      </c>
      <c r="B533" s="7" t="inlineStr">
        <is>
          <t>T05</t>
        </is>
      </c>
      <c r="C533" s="7" t="inlineStr">
        <is>
          <t>DUTY:L1</t>
        </is>
      </c>
      <c r="D533" s="7" t="inlineStr">
        <is>
          <t>DUTY</t>
        </is>
      </c>
      <c r="E533" s="7" t="inlineStr">
        <is>
          <t>physical</t>
        </is>
      </c>
      <c r="F533" s="7" t="inlineStr">
        <is>
          <t>L1</t>
        </is>
      </c>
      <c r="H533" s="7" t="inlineStr">
        <is>
          <t>tense</t>
        </is>
      </c>
      <c r="I533" s="7" t="inlineStr">
        <is>
          <t>USEC_MUN</t>
        </is>
      </c>
      <c r="J533" s="7" t="inlineStr">
        <is>
          <t>INR</t>
        </is>
      </c>
      <c r="K533" s="7" t="inlineStr">
        <is>
          <t>floating</t>
        </is>
      </c>
      <c r="L533" s="7" t="inlineStr">
        <is>
          <t>PNL</t>
        </is>
      </c>
      <c r="M533" s="11" t="n">
        <v>44749</v>
      </c>
      <c r="N533" s="13" t="n">
        <v>1050</v>
      </c>
      <c r="O533" s="6" t="n">
        <v>0</v>
      </c>
      <c r="P533" s="13" t="n">
        <v>0</v>
      </c>
      <c r="Q533" s="22" t="n">
        <v>30</v>
      </c>
      <c r="R533" s="6" t="n">
        <v>2</v>
      </c>
      <c r="U533" s="9" t="n">
        <v>-5095087.42</v>
      </c>
      <c r="V533" s="9" t="n">
        <v>-5095087.42</v>
      </c>
      <c r="X533" s="9" t="n">
        <v>76.4485</v>
      </c>
      <c r="AK533" s="7" t="inlineStr">
        <is>
          <t>PYTHON_MULTI_FLOW_LEG</t>
        </is>
      </c>
      <c r="AL533" s="8">
        <f>IF($J533="INR",1,IF($M533&lt;$A533,INDEX(Market_Daily!$F$6:$F$256,MATCH($M533,Market_Daily!$A$6:$A$256,1)),IF($M533=$A533,INDEX(Market_Daily!$F$6:$F$256,MATCH($A533,Market_Daily!$A$6:$A$256,0)),(INDEX(Market_Daily!$F$6:$F$256,MATCH($A533,Market_Daily!$A$6:$A$256,0))*(1+INDEX(Market_Daily!$I$6:$I$256,MATCH($A533,Market_Daily!$A$6:$A$256,0))*($M533-$A533)/day_count_inr)/(1+INDEX(Market_Daily!$J$6:$J$256,MATCH($A533,Market_Daily!$A$6:$A$256,0))*($M533-$A533)/day_count_usd)))))</f>
        <v/>
      </c>
      <c r="AM533" s="8">
        <f>IF(OR($J533="INR",$R533&gt;1),"",$AL533-$X533)</f>
        <v/>
      </c>
      <c r="AN533" s="8">
        <f>$U533</f>
        <v/>
      </c>
      <c r="AO533" s="8">
        <f>$V533</f>
        <v/>
      </c>
      <c r="AP533" s="18">
        <f>$AO533-$V533</f>
        <v/>
      </c>
      <c r="AQ533" s="8">
        <f>IF(ABS($AP533)&lt;=tol_trade_inr,"PASS","FAIL")</f>
        <v/>
      </c>
    </row>
    <row r="534">
      <c r="A534" s="11" t="n">
        <v>44673</v>
      </c>
      <c r="B534" s="7" t="inlineStr">
        <is>
          <t>T05</t>
        </is>
      </c>
      <c r="C534" s="7" t="inlineStr">
        <is>
          <t>DUTY:L2</t>
        </is>
      </c>
      <c r="D534" s="7" t="inlineStr">
        <is>
          <t>DUTY</t>
        </is>
      </c>
      <c r="E534" s="7" t="inlineStr">
        <is>
          <t>physical</t>
        </is>
      </c>
      <c r="F534" s="7" t="inlineStr">
        <is>
          <t>L2</t>
        </is>
      </c>
      <c r="H534" s="7" t="inlineStr">
        <is>
          <t>tense</t>
        </is>
      </c>
      <c r="I534" s="7" t="inlineStr">
        <is>
          <t>USEC_MUN</t>
        </is>
      </c>
      <c r="J534" s="7" t="inlineStr">
        <is>
          <t>INR</t>
        </is>
      </c>
      <c r="K534" s="7" t="inlineStr">
        <is>
          <t>floating</t>
        </is>
      </c>
      <c r="L534" s="7" t="inlineStr">
        <is>
          <t>PNL</t>
        </is>
      </c>
      <c r="M534" s="11" t="n">
        <v>44749</v>
      </c>
      <c r="N534" s="13" t="n">
        <v>1050</v>
      </c>
      <c r="O534" s="6" t="n">
        <v>0</v>
      </c>
      <c r="P534" s="13" t="n">
        <v>0</v>
      </c>
      <c r="Q534" s="22" t="n">
        <v>30</v>
      </c>
      <c r="R534" s="6" t="n">
        <v>2</v>
      </c>
      <c r="U534" s="9" t="n">
        <v>-5095087.42</v>
      </c>
      <c r="V534" s="9" t="n">
        <v>-5095087.42</v>
      </c>
      <c r="X534" s="9" t="n">
        <v>76.4485</v>
      </c>
      <c r="AK534" s="7" t="inlineStr">
        <is>
          <t>PYTHON_MULTI_FLOW_LEG</t>
        </is>
      </c>
      <c r="AL534" s="8">
        <f>IF($J534="INR",1,IF($M534&lt;$A534,INDEX(Market_Daily!$F$6:$F$256,MATCH($M534,Market_Daily!$A$6:$A$256,1)),IF($M534=$A534,INDEX(Market_Daily!$F$6:$F$256,MATCH($A534,Market_Daily!$A$6:$A$256,0)),(INDEX(Market_Daily!$F$6:$F$256,MATCH($A534,Market_Daily!$A$6:$A$256,0))*(1+INDEX(Market_Daily!$I$6:$I$256,MATCH($A534,Market_Daily!$A$6:$A$256,0))*($M534-$A534)/day_count_inr)/(1+INDEX(Market_Daily!$J$6:$J$256,MATCH($A534,Market_Daily!$A$6:$A$256,0))*($M534-$A534)/day_count_usd)))))</f>
        <v/>
      </c>
      <c r="AM534" s="8">
        <f>IF(OR($J534="INR",$R534&gt;1),"",$AL534-$X534)</f>
        <v/>
      </c>
      <c r="AN534" s="8">
        <f>$U534</f>
        <v/>
      </c>
      <c r="AO534" s="8">
        <f>$V534</f>
        <v/>
      </c>
      <c r="AP534" s="18">
        <f>$AO534-$V534</f>
        <v/>
      </c>
      <c r="AQ534" s="8">
        <f>IF(ABS($AP534)&lt;=tol_trade_inr,"PASS","FAIL")</f>
        <v/>
      </c>
    </row>
    <row r="535">
      <c r="A535" s="11" t="n">
        <v>44673</v>
      </c>
      <c r="B535" s="7" t="inlineStr">
        <is>
          <t>T05</t>
        </is>
      </c>
      <c r="C535" s="7" t="inlineStr">
        <is>
          <t>IGST:L1</t>
        </is>
      </c>
      <c r="D535" s="7" t="inlineStr">
        <is>
          <t>IGST</t>
        </is>
      </c>
      <c r="E535" s="7" t="inlineStr">
        <is>
          <t>physical</t>
        </is>
      </c>
      <c r="F535" s="7" t="inlineStr">
        <is>
          <t>L1</t>
        </is>
      </c>
      <c r="H535" s="7" t="inlineStr">
        <is>
          <t>tense</t>
        </is>
      </c>
      <c r="I535" s="7" t="inlineStr">
        <is>
          <t>USEC_MUN</t>
        </is>
      </c>
      <c r="J535" s="7" t="inlineStr">
        <is>
          <t>INR</t>
        </is>
      </c>
      <c r="K535" s="7" t="inlineStr">
        <is>
          <t>floating</t>
        </is>
      </c>
      <c r="L535" s="7" t="inlineStr">
        <is>
          <t>BS</t>
        </is>
      </c>
      <c r="M535" s="11" t="n">
        <v>44777</v>
      </c>
      <c r="N535" s="13" t="n">
        <v>0</v>
      </c>
      <c r="O535" s="6" t="n">
        <v>0</v>
      </c>
      <c r="P535" s="13" t="n">
        <v>0</v>
      </c>
      <c r="Q535" s="22" t="n">
        <v>30</v>
      </c>
      <c r="R535" s="6" t="n">
        <v>2</v>
      </c>
      <c r="U535" s="9" t="n">
        <v>0</v>
      </c>
      <c r="V535" s="9" t="n">
        <v>0</v>
      </c>
      <c r="X535" s="9" t="n">
        <v>76.4485</v>
      </c>
      <c r="AK535" s="7" t="inlineStr">
        <is>
          <t>PYTHON_MULTI_FLOW_LEG</t>
        </is>
      </c>
      <c r="AL535" s="8">
        <f>IF($J535="INR",1,IF($M535&lt;$A535,INDEX(Market_Daily!$F$6:$F$256,MATCH($M535,Market_Daily!$A$6:$A$256,1)),IF($M535=$A535,INDEX(Market_Daily!$F$6:$F$256,MATCH($A535,Market_Daily!$A$6:$A$256,0)),(INDEX(Market_Daily!$F$6:$F$256,MATCH($A535,Market_Daily!$A$6:$A$256,0))*(1+INDEX(Market_Daily!$I$6:$I$256,MATCH($A535,Market_Daily!$A$6:$A$256,0))*($M535-$A535)/day_count_inr)/(1+INDEX(Market_Daily!$J$6:$J$256,MATCH($A535,Market_Daily!$A$6:$A$256,0))*($M535-$A535)/day_count_usd)))))</f>
        <v/>
      </c>
      <c r="AM535" s="8">
        <f>IF(OR($J535="INR",$R535&gt;1),"",$AL535-$X535)</f>
        <v/>
      </c>
      <c r="AN535" s="8">
        <f>$U535</f>
        <v/>
      </c>
      <c r="AO535" s="8">
        <f>$V535</f>
        <v/>
      </c>
      <c r="AP535" s="18">
        <f>$AO535-$V535</f>
        <v/>
      </c>
      <c r="AQ535" s="8">
        <f>IF(ABS($AP535)&lt;=tol_trade_inr,"PASS","FAIL")</f>
        <v/>
      </c>
    </row>
    <row r="536">
      <c r="A536" s="11" t="n">
        <v>44673</v>
      </c>
      <c r="B536" s="7" t="inlineStr">
        <is>
          <t>T05</t>
        </is>
      </c>
      <c r="C536" s="7" t="inlineStr">
        <is>
          <t>IGST:L2</t>
        </is>
      </c>
      <c r="D536" s="7" t="inlineStr">
        <is>
          <t>IGST</t>
        </is>
      </c>
      <c r="E536" s="7" t="inlineStr">
        <is>
          <t>physical</t>
        </is>
      </c>
      <c r="F536" s="7" t="inlineStr">
        <is>
          <t>L2</t>
        </is>
      </c>
      <c r="H536" s="7" t="inlineStr">
        <is>
          <t>tense</t>
        </is>
      </c>
      <c r="I536" s="7" t="inlineStr">
        <is>
          <t>USEC_MUN</t>
        </is>
      </c>
      <c r="J536" s="7" t="inlineStr">
        <is>
          <t>INR</t>
        </is>
      </c>
      <c r="K536" s="7" t="inlineStr">
        <is>
          <t>floating</t>
        </is>
      </c>
      <c r="L536" s="7" t="inlineStr">
        <is>
          <t>BS</t>
        </is>
      </c>
      <c r="M536" s="11" t="n">
        <v>44785</v>
      </c>
      <c r="N536" s="13" t="n">
        <v>0</v>
      </c>
      <c r="O536" s="6" t="n">
        <v>0</v>
      </c>
      <c r="P536" s="13" t="n">
        <v>0</v>
      </c>
      <c r="Q536" s="22" t="n">
        <v>30</v>
      </c>
      <c r="R536" s="6" t="n">
        <v>2</v>
      </c>
      <c r="U536" s="9" t="n">
        <v>0</v>
      </c>
      <c r="V536" s="9" t="n">
        <v>0</v>
      </c>
      <c r="X536" s="9" t="n">
        <v>76.4485</v>
      </c>
      <c r="AK536" s="7" t="inlineStr">
        <is>
          <t>PYTHON_MULTI_FLOW_LEG</t>
        </is>
      </c>
      <c r="AL536" s="8">
        <f>IF($J536="INR",1,IF($M536&lt;$A536,INDEX(Market_Daily!$F$6:$F$256,MATCH($M536,Market_Daily!$A$6:$A$256,1)),IF($M536=$A536,INDEX(Market_Daily!$F$6:$F$256,MATCH($A536,Market_Daily!$A$6:$A$256,0)),(INDEX(Market_Daily!$F$6:$F$256,MATCH($A536,Market_Daily!$A$6:$A$256,0))*(1+INDEX(Market_Daily!$I$6:$I$256,MATCH($A536,Market_Daily!$A$6:$A$256,0))*($M536-$A536)/day_count_inr)/(1+INDEX(Market_Daily!$J$6:$J$256,MATCH($A536,Market_Daily!$A$6:$A$256,0))*($M536-$A536)/day_count_usd)))))</f>
        <v/>
      </c>
      <c r="AM536" s="8">
        <f>IF(OR($J536="INR",$R536&gt;1),"",$AL536-$X536)</f>
        <v/>
      </c>
      <c r="AN536" s="8">
        <f>$U536</f>
        <v/>
      </c>
      <c r="AO536" s="8">
        <f>$V536</f>
        <v/>
      </c>
      <c r="AP536" s="18">
        <f>$AO536-$V536</f>
        <v/>
      </c>
      <c r="AQ536" s="8">
        <f>IF(ABS($AP536)&lt;=tol_trade_inr,"PASS","FAIL")</f>
        <v/>
      </c>
    </row>
    <row r="537">
      <c r="A537" s="11" t="n">
        <v>44673</v>
      </c>
      <c r="B537" s="7" t="inlineStr">
        <is>
          <t>T05</t>
        </is>
      </c>
      <c r="C537" s="7" t="inlineStr">
        <is>
          <t>INSURANCE:L1</t>
        </is>
      </c>
      <c r="D537" s="7" t="inlineStr">
        <is>
          <t>INSURANCE</t>
        </is>
      </c>
      <c r="E537" s="7" t="inlineStr">
        <is>
          <t>physical</t>
        </is>
      </c>
      <c r="F537" s="7" t="inlineStr">
        <is>
          <t>L1</t>
        </is>
      </c>
      <c r="H537" s="7" t="inlineStr">
        <is>
          <t>tense</t>
        </is>
      </c>
      <c r="I537" s="7" t="inlineStr">
        <is>
          <t>USEC_MUN</t>
        </is>
      </c>
      <c r="J537" s="7" t="inlineStr">
        <is>
          <t>USD</t>
        </is>
      </c>
      <c r="K537" s="7" t="inlineStr">
        <is>
          <t>floating</t>
        </is>
      </c>
      <c r="L537" s="7" t="inlineStr">
        <is>
          <t>PNL</t>
        </is>
      </c>
      <c r="M537" s="11" t="n">
        <v>44691</v>
      </c>
      <c r="N537" s="13" t="n">
        <v>1050</v>
      </c>
      <c r="O537" s="6" t="n">
        <v>0</v>
      </c>
      <c r="P537" s="13" t="n">
        <v>0</v>
      </c>
      <c r="Q537" s="22" t="n">
        <v>30</v>
      </c>
      <c r="R537" s="6" t="n">
        <v>1</v>
      </c>
      <c r="U537" s="9" t="n">
        <v>-2632.99</v>
      </c>
      <c r="V537" s="9" t="n">
        <v>-201595.6</v>
      </c>
      <c r="X537" s="9" t="n">
        <v>76.5652</v>
      </c>
      <c r="AK537" s="7" t="inlineStr">
        <is>
          <t>PYTHON_LIFECYCLE</t>
        </is>
      </c>
      <c r="AL537" s="8">
        <f>IF($J537="INR",1,IF($M537&lt;$A537,INDEX(Market_Daily!$F$6:$F$256,MATCH($M537,Market_Daily!$A$6:$A$256,1)),IF($M537=$A537,INDEX(Market_Daily!$F$6:$F$256,MATCH($A537,Market_Daily!$A$6:$A$256,0)),(INDEX(Market_Daily!$F$6:$F$256,MATCH($A537,Market_Daily!$A$6:$A$256,0))*(1+INDEX(Market_Daily!$I$6:$I$256,MATCH($A537,Market_Daily!$A$6:$A$256,0))*($M537-$A537)/day_count_inr)/(1+INDEX(Market_Daily!$J$6:$J$256,MATCH($A537,Market_Daily!$A$6:$A$256,0))*($M537-$A537)/day_count_usd)))))</f>
        <v/>
      </c>
      <c r="AM537" s="8">
        <f>IF(OR($J537="INR",$R537&gt;1),"",$AL537-$X537)</f>
        <v/>
      </c>
      <c r="AN537" s="8">
        <f>$U537</f>
        <v/>
      </c>
      <c r="AO537" s="8">
        <f>$AN537*IF($J537="INR",1,$AL537)</f>
        <v/>
      </c>
      <c r="AP537" s="18">
        <f>$AO537-$V537</f>
        <v/>
      </c>
      <c r="AQ537" s="8">
        <f>IF(ABS($AP537)&lt;=tol_trade_inr,"PASS","FAIL")</f>
        <v/>
      </c>
    </row>
    <row r="538">
      <c r="A538" s="11" t="n">
        <v>44673</v>
      </c>
      <c r="B538" s="7" t="inlineStr">
        <is>
          <t>T05</t>
        </is>
      </c>
      <c r="C538" s="7" t="inlineStr">
        <is>
          <t>INSURANCE:L2</t>
        </is>
      </c>
      <c r="D538" s="7" t="inlineStr">
        <is>
          <t>INSURANCE</t>
        </is>
      </c>
      <c r="E538" s="7" t="inlineStr">
        <is>
          <t>physical</t>
        </is>
      </c>
      <c r="F538" s="7" t="inlineStr">
        <is>
          <t>L2</t>
        </is>
      </c>
      <c r="H538" s="7" t="inlineStr">
        <is>
          <t>tense</t>
        </is>
      </c>
      <c r="I538" s="7" t="inlineStr">
        <is>
          <t>USEC_MUN</t>
        </is>
      </c>
      <c r="J538" s="7" t="inlineStr">
        <is>
          <t>USD</t>
        </is>
      </c>
      <c r="K538" s="7" t="inlineStr">
        <is>
          <t>floating</t>
        </is>
      </c>
      <c r="L538" s="7" t="inlineStr">
        <is>
          <t>PNL</t>
        </is>
      </c>
      <c r="M538" s="11" t="n">
        <v>44699</v>
      </c>
      <c r="N538" s="13" t="n">
        <v>1050</v>
      </c>
      <c r="O538" s="6" t="n">
        <v>0</v>
      </c>
      <c r="P538" s="13" t="n">
        <v>0</v>
      </c>
      <c r="Q538" s="22" t="n">
        <v>30</v>
      </c>
      <c r="R538" s="6" t="n">
        <v>1</v>
      </c>
      <c r="U538" s="9" t="n">
        <v>-2634.21</v>
      </c>
      <c r="V538" s="9" t="n">
        <v>-201824.88</v>
      </c>
      <c r="X538" s="9" t="n">
        <v>76.617</v>
      </c>
      <c r="AK538" s="7" t="inlineStr">
        <is>
          <t>PYTHON_LIFECYCLE</t>
        </is>
      </c>
      <c r="AL538" s="8">
        <f>IF($J538="INR",1,IF($M538&lt;$A538,INDEX(Market_Daily!$F$6:$F$256,MATCH($M538,Market_Daily!$A$6:$A$256,1)),IF($M538=$A538,INDEX(Market_Daily!$F$6:$F$256,MATCH($A538,Market_Daily!$A$6:$A$256,0)),(INDEX(Market_Daily!$F$6:$F$256,MATCH($A538,Market_Daily!$A$6:$A$256,0))*(1+INDEX(Market_Daily!$I$6:$I$256,MATCH($A538,Market_Daily!$A$6:$A$256,0))*($M538-$A538)/day_count_inr)/(1+INDEX(Market_Daily!$J$6:$J$256,MATCH($A538,Market_Daily!$A$6:$A$256,0))*($M538-$A538)/day_count_usd)))))</f>
        <v/>
      </c>
      <c r="AM538" s="8">
        <f>IF(OR($J538="INR",$R538&gt;1),"",$AL538-$X538)</f>
        <v/>
      </c>
      <c r="AN538" s="8">
        <f>$U538</f>
        <v/>
      </c>
      <c r="AO538" s="8">
        <f>$AN538*IF($J538="INR",1,$AL538)</f>
        <v/>
      </c>
      <c r="AP538" s="18">
        <f>$AO538-$V538</f>
        <v/>
      </c>
      <c r="AQ538" s="8">
        <f>IF(ABS($AP538)&lt;=tol_trade_inr,"PASS","FAIL")</f>
        <v/>
      </c>
    </row>
    <row r="539">
      <c r="A539" s="11" t="n">
        <v>44673</v>
      </c>
      <c r="B539" s="7" t="inlineStr">
        <is>
          <t>T05</t>
        </is>
      </c>
      <c r="C539" s="7" t="inlineStr">
        <is>
          <t>LC_USANCE_FEE:L1</t>
        </is>
      </c>
      <c r="D539" s="7" t="inlineStr">
        <is>
          <t>LC_USANCE_FEE</t>
        </is>
      </c>
      <c r="E539" s="7" t="inlineStr">
        <is>
          <t>physical</t>
        </is>
      </c>
      <c r="F539" s="7" t="inlineStr">
        <is>
          <t>L1</t>
        </is>
      </c>
      <c r="H539" s="7" t="inlineStr">
        <is>
          <t>tense</t>
        </is>
      </c>
      <c r="I539" s="7" t="inlineStr">
        <is>
          <t>USEC_MUN</t>
        </is>
      </c>
      <c r="J539" s="7" t="inlineStr">
        <is>
          <t>USD</t>
        </is>
      </c>
      <c r="K539" s="7" t="inlineStr">
        <is>
          <t>floating</t>
        </is>
      </c>
      <c r="L539" s="7" t="inlineStr">
        <is>
          <t>PNL</t>
        </is>
      </c>
      <c r="M539" s="11" t="n">
        <v>44698</v>
      </c>
      <c r="N539" s="13" t="n">
        <v>0</v>
      </c>
      <c r="O539" s="6" t="n">
        <v>0</v>
      </c>
      <c r="P539" s="13" t="n">
        <v>0</v>
      </c>
      <c r="Q539" s="22" t="n">
        <v>30</v>
      </c>
      <c r="R539" s="6" t="n">
        <v>1</v>
      </c>
      <c r="U539" s="9" t="n">
        <v>-3183.53</v>
      </c>
      <c r="V539" s="9" t="n">
        <v>-243891.75</v>
      </c>
      <c r="X539" s="9" t="n">
        <v>76.6105</v>
      </c>
      <c r="AK539" s="7" t="inlineStr">
        <is>
          <t>PYTHON_LIFECYCLE</t>
        </is>
      </c>
      <c r="AL539" s="8">
        <f>IF($J539="INR",1,IF($M539&lt;$A539,INDEX(Market_Daily!$F$6:$F$256,MATCH($M539,Market_Daily!$A$6:$A$256,1)),IF($M539=$A539,INDEX(Market_Daily!$F$6:$F$256,MATCH($A539,Market_Daily!$A$6:$A$256,0)),(INDEX(Market_Daily!$F$6:$F$256,MATCH($A539,Market_Daily!$A$6:$A$256,0))*(1+INDEX(Market_Daily!$I$6:$I$256,MATCH($A539,Market_Daily!$A$6:$A$256,0))*($M539-$A539)/day_count_inr)/(1+INDEX(Market_Daily!$J$6:$J$256,MATCH($A539,Market_Daily!$A$6:$A$256,0))*($M539-$A539)/day_count_usd)))))</f>
        <v/>
      </c>
      <c r="AM539" s="8">
        <f>IF(OR($J539="INR",$R539&gt;1),"",$AL539-$X539)</f>
        <v/>
      </c>
      <c r="AN539" s="8">
        <f>$U539</f>
        <v/>
      </c>
      <c r="AO539" s="8">
        <f>$AN539*IF($J539="INR",1,$AL539)</f>
        <v/>
      </c>
      <c r="AP539" s="18">
        <f>$AO539-$V539</f>
        <v/>
      </c>
      <c r="AQ539" s="8">
        <f>IF(ABS($AP539)&lt;=tol_trade_inr,"PASS","FAIL")</f>
        <v/>
      </c>
    </row>
    <row r="540">
      <c r="A540" s="11" t="n">
        <v>44673</v>
      </c>
      <c r="B540" s="7" t="inlineStr">
        <is>
          <t>T05</t>
        </is>
      </c>
      <c r="C540" s="7" t="inlineStr">
        <is>
          <t>LC_USANCE_FEE:L2</t>
        </is>
      </c>
      <c r="D540" s="7" t="inlineStr">
        <is>
          <t>LC_USANCE_FEE</t>
        </is>
      </c>
      <c r="E540" s="7" t="inlineStr">
        <is>
          <t>physical</t>
        </is>
      </c>
      <c r="F540" s="7" t="inlineStr">
        <is>
          <t>L2</t>
        </is>
      </c>
      <c r="H540" s="7" t="inlineStr">
        <is>
          <t>tense</t>
        </is>
      </c>
      <c r="I540" s="7" t="inlineStr">
        <is>
          <t>USEC_MUN</t>
        </is>
      </c>
      <c r="J540" s="7" t="inlineStr">
        <is>
          <t>USD</t>
        </is>
      </c>
      <c r="K540" s="7" t="inlineStr">
        <is>
          <t>floating</t>
        </is>
      </c>
      <c r="L540" s="7" t="inlineStr">
        <is>
          <t>PNL</t>
        </is>
      </c>
      <c r="M540" s="11" t="n">
        <v>44706</v>
      </c>
      <c r="N540" s="13" t="n">
        <v>0</v>
      </c>
      <c r="O540" s="6" t="n">
        <v>0</v>
      </c>
      <c r="P540" s="13" t="n">
        <v>0</v>
      </c>
      <c r="Q540" s="22" t="n">
        <v>30</v>
      </c>
      <c r="R540" s="6" t="n">
        <v>1</v>
      </c>
      <c r="U540" s="9" t="n">
        <v>-3184.99</v>
      </c>
      <c r="V540" s="9" t="n">
        <v>-244168.98</v>
      </c>
      <c r="X540" s="9" t="n">
        <v>76.6623</v>
      </c>
      <c r="AK540" s="7" t="inlineStr">
        <is>
          <t>PYTHON_LIFECYCLE</t>
        </is>
      </c>
      <c r="AL540" s="8">
        <f>IF($J540="INR",1,IF($M540&lt;$A540,INDEX(Market_Daily!$F$6:$F$256,MATCH($M540,Market_Daily!$A$6:$A$256,1)),IF($M540=$A540,INDEX(Market_Daily!$F$6:$F$256,MATCH($A540,Market_Daily!$A$6:$A$256,0)),(INDEX(Market_Daily!$F$6:$F$256,MATCH($A540,Market_Daily!$A$6:$A$256,0))*(1+INDEX(Market_Daily!$I$6:$I$256,MATCH($A540,Market_Daily!$A$6:$A$256,0))*($M540-$A540)/day_count_inr)/(1+INDEX(Market_Daily!$J$6:$J$256,MATCH($A540,Market_Daily!$A$6:$A$256,0))*($M540-$A540)/day_count_usd)))))</f>
        <v/>
      </c>
      <c r="AM540" s="8">
        <f>IF(OR($J540="INR",$R540&gt;1),"",$AL540-$X540)</f>
        <v/>
      </c>
      <c r="AN540" s="8">
        <f>$U540</f>
        <v/>
      </c>
      <c r="AO540" s="8">
        <f>$AN540*IF($J540="INR",1,$AL540)</f>
        <v/>
      </c>
      <c r="AP540" s="18">
        <f>$AO540-$V540</f>
        <v/>
      </c>
      <c r="AQ540" s="8">
        <f>IF(ABS($AP540)&lt;=tol_trade_inr,"PASS","FAIL")</f>
        <v/>
      </c>
    </row>
    <row r="541">
      <c r="A541" s="11" t="n">
        <v>44673</v>
      </c>
      <c r="B541" s="7" t="inlineStr">
        <is>
          <t>T05</t>
        </is>
      </c>
      <c r="C541" s="7" t="inlineStr">
        <is>
          <t>MCX:T05-MCX-1</t>
        </is>
      </c>
      <c r="D541" s="7" t="inlineStr">
        <is>
          <t>MCX</t>
        </is>
      </c>
      <c r="E541" s="7" t="inlineStr">
        <is>
          <t>mcx</t>
        </is>
      </c>
      <c r="H541" s="7" t="inlineStr">
        <is>
          <t>tense</t>
        </is>
      </c>
      <c r="I541" s="7" t="inlineStr">
        <is>
          <t>USEC_MUN</t>
        </is>
      </c>
      <c r="J541" s="7" t="inlineStr">
        <is>
          <t>INR</t>
        </is>
      </c>
      <c r="K541" s="7" t="inlineStr">
        <is>
          <t>partially_fixed</t>
        </is>
      </c>
      <c r="L541" s="7" t="inlineStr">
        <is>
          <t>PNL</t>
        </is>
      </c>
      <c r="M541" s="11" t="n">
        <v>44701</v>
      </c>
      <c r="N541" s="13" t="n">
        <v>0</v>
      </c>
      <c r="O541" s="6" t="n">
        <v>-105</v>
      </c>
      <c r="P541" s="13" t="n">
        <v>0</v>
      </c>
      <c r="Q541" s="22" t="n">
        <v>30</v>
      </c>
      <c r="R541" s="6" t="n">
        <v>21</v>
      </c>
      <c r="U541" s="9" t="n">
        <v>0</v>
      </c>
      <c r="V541" s="9" t="n">
        <v>0</v>
      </c>
      <c r="X541" s="9" t="n">
        <v>76.4485</v>
      </c>
      <c r="AK541" s="7" t="inlineStr">
        <is>
          <t>PYTHON_MULTI_FLOW_LEG</t>
        </is>
      </c>
      <c r="AL541" s="8">
        <f>IF($J541="INR",1,IF($M541&lt;$A541,INDEX(Market_Daily!$F$6:$F$256,MATCH($M541,Market_Daily!$A$6:$A$256,1)),IF($M541=$A541,INDEX(Market_Daily!$F$6:$F$256,MATCH($A541,Market_Daily!$A$6:$A$256,0)),(INDEX(Market_Daily!$F$6:$F$256,MATCH($A541,Market_Daily!$A$6:$A$256,0))*(1+INDEX(Market_Daily!$I$6:$I$256,MATCH($A541,Market_Daily!$A$6:$A$256,0))*($M541-$A541)/day_count_inr)/(1+INDEX(Market_Daily!$J$6:$J$256,MATCH($A541,Market_Daily!$A$6:$A$256,0))*($M541-$A541)/day_count_usd)))))</f>
        <v/>
      </c>
      <c r="AM541" s="8">
        <f>IF(OR($J541="INR",$R541&gt;1),"",$AL541-$X541)</f>
        <v/>
      </c>
      <c r="AN541" s="8">
        <f>$U541</f>
        <v/>
      </c>
      <c r="AO541" s="8">
        <f>$V541</f>
        <v/>
      </c>
      <c r="AP541" s="18">
        <f>$AO541-$V541</f>
        <v/>
      </c>
      <c r="AQ541" s="8">
        <f>IF(ABS($AP541)&lt;=tol_trade_inr,"PASS","FAIL")</f>
        <v/>
      </c>
    </row>
    <row r="542">
      <c r="A542" s="11" t="n">
        <v>44673</v>
      </c>
      <c r="B542" s="7" t="inlineStr">
        <is>
          <t>T05</t>
        </is>
      </c>
      <c r="C542" s="7" t="inlineStr">
        <is>
          <t>PORT:L1</t>
        </is>
      </c>
      <c r="D542" s="7" t="inlineStr">
        <is>
          <t>PORT</t>
        </is>
      </c>
      <c r="E542" s="7" t="inlineStr">
        <is>
          <t>physical</t>
        </is>
      </c>
      <c r="F542" s="7" t="inlineStr">
        <is>
          <t>L1</t>
        </is>
      </c>
      <c r="H542" s="7" t="inlineStr">
        <is>
          <t>tense</t>
        </is>
      </c>
      <c r="I542" s="7" t="inlineStr">
        <is>
          <t>USEC_MUN</t>
        </is>
      </c>
      <c r="J542" s="7" t="inlineStr">
        <is>
          <t>INR</t>
        </is>
      </c>
      <c r="K542" s="7" t="inlineStr">
        <is>
          <t>fixed_unsettled</t>
        </is>
      </c>
      <c r="L542" s="7" t="inlineStr">
        <is>
          <t>PNL</t>
        </is>
      </c>
      <c r="M542" s="11" t="n">
        <v>44741</v>
      </c>
      <c r="N542" s="13" t="n">
        <v>0</v>
      </c>
      <c r="O542" s="6" t="n">
        <v>0</v>
      </c>
      <c r="P542" s="13" t="n">
        <v>0</v>
      </c>
      <c r="Q542" s="22" t="n">
        <v>30</v>
      </c>
      <c r="R542" s="6" t="n">
        <v>1</v>
      </c>
      <c r="U542" s="9" t="n">
        <v>-2782500</v>
      </c>
      <c r="V542" s="9" t="n">
        <v>-2782500</v>
      </c>
      <c r="X542" s="9" t="n">
        <v>76.4485</v>
      </c>
      <c r="AK542" s="7" t="inlineStr">
        <is>
          <t>PYTHON_LIFECYCLE</t>
        </is>
      </c>
      <c r="AL542" s="8">
        <f>IF($J542="INR",1,IF($M542&lt;$A542,INDEX(Market_Daily!$F$6:$F$256,MATCH($M542,Market_Daily!$A$6:$A$256,1)),IF($M542=$A542,INDEX(Market_Daily!$F$6:$F$256,MATCH($A542,Market_Daily!$A$6:$A$256,0)),(INDEX(Market_Daily!$F$6:$F$256,MATCH($A542,Market_Daily!$A$6:$A$256,0))*(1+INDEX(Market_Daily!$I$6:$I$256,MATCH($A542,Market_Daily!$A$6:$A$256,0))*($M542-$A542)/day_count_inr)/(1+INDEX(Market_Daily!$J$6:$J$256,MATCH($A542,Market_Daily!$A$6:$A$256,0))*($M542-$A542)/day_count_usd)))))</f>
        <v/>
      </c>
      <c r="AM542" s="8">
        <f>IF(OR($J542="INR",$R542&gt;1),"",$AL542-$X542)</f>
        <v/>
      </c>
      <c r="AN542" s="8">
        <f>$U542</f>
        <v/>
      </c>
      <c r="AO542" s="8">
        <f>$AN542*IF($J542="INR",1,$AL542)</f>
        <v/>
      </c>
      <c r="AP542" s="18">
        <f>$AO542-$V542</f>
        <v/>
      </c>
      <c r="AQ542" s="8">
        <f>IF(ABS($AP542)&lt;=tol_trade_inr,"PASS","FAIL")</f>
        <v/>
      </c>
    </row>
    <row r="543">
      <c r="A543" s="11" t="n">
        <v>44673</v>
      </c>
      <c r="B543" s="7" t="inlineStr">
        <is>
          <t>T05</t>
        </is>
      </c>
      <c r="C543" s="7" t="inlineStr">
        <is>
          <t>PORT:L2</t>
        </is>
      </c>
      <c r="D543" s="7" t="inlineStr">
        <is>
          <t>PORT</t>
        </is>
      </c>
      <c r="E543" s="7" t="inlineStr">
        <is>
          <t>physical</t>
        </is>
      </c>
      <c r="F543" s="7" t="inlineStr">
        <is>
          <t>L2</t>
        </is>
      </c>
      <c r="H543" s="7" t="inlineStr">
        <is>
          <t>tense</t>
        </is>
      </c>
      <c r="I543" s="7" t="inlineStr">
        <is>
          <t>USEC_MUN</t>
        </is>
      </c>
      <c r="J543" s="7" t="inlineStr">
        <is>
          <t>INR</t>
        </is>
      </c>
      <c r="K543" s="7" t="inlineStr">
        <is>
          <t>fixed_unsettled</t>
        </is>
      </c>
      <c r="L543" s="7" t="inlineStr">
        <is>
          <t>PNL</t>
        </is>
      </c>
      <c r="M543" s="11" t="n">
        <v>44749</v>
      </c>
      <c r="N543" s="13" t="n">
        <v>0</v>
      </c>
      <c r="O543" s="6" t="n">
        <v>0</v>
      </c>
      <c r="P543" s="13" t="n">
        <v>0</v>
      </c>
      <c r="Q543" s="22" t="n">
        <v>30</v>
      </c>
      <c r="R543" s="6" t="n">
        <v>1</v>
      </c>
      <c r="U543" s="9" t="n">
        <v>-2782500</v>
      </c>
      <c r="V543" s="9" t="n">
        <v>-2782500</v>
      </c>
      <c r="X543" s="9" t="n">
        <v>76.4485</v>
      </c>
      <c r="AK543" s="7" t="inlineStr">
        <is>
          <t>PYTHON_LIFECYCLE</t>
        </is>
      </c>
      <c r="AL543" s="8">
        <f>IF($J543="INR",1,IF($M543&lt;$A543,INDEX(Market_Daily!$F$6:$F$256,MATCH($M543,Market_Daily!$A$6:$A$256,1)),IF($M543=$A543,INDEX(Market_Daily!$F$6:$F$256,MATCH($A543,Market_Daily!$A$6:$A$256,0)),(INDEX(Market_Daily!$F$6:$F$256,MATCH($A543,Market_Daily!$A$6:$A$256,0))*(1+INDEX(Market_Daily!$I$6:$I$256,MATCH($A543,Market_Daily!$A$6:$A$256,0))*($M543-$A543)/day_count_inr)/(1+INDEX(Market_Daily!$J$6:$J$256,MATCH($A543,Market_Daily!$A$6:$A$256,0))*($M543-$A543)/day_count_usd)))))</f>
        <v/>
      </c>
      <c r="AM543" s="8">
        <f>IF(OR($J543="INR",$R543&gt;1),"",$AL543-$X543)</f>
        <v/>
      </c>
      <c r="AN543" s="8">
        <f>$U543</f>
        <v/>
      </c>
      <c r="AO543" s="8">
        <f>$AN543*IF($J543="INR",1,$AL543)</f>
        <v/>
      </c>
      <c r="AP543" s="18">
        <f>$AO543-$V543</f>
        <v/>
      </c>
      <c r="AQ543" s="8">
        <f>IF(ABS($AP543)&lt;=tol_trade_inr,"PASS","FAIL")</f>
        <v/>
      </c>
    </row>
    <row r="544">
      <c r="A544" s="11" t="n">
        <v>44673</v>
      </c>
      <c r="B544" s="7" t="inlineStr">
        <is>
          <t>T05</t>
        </is>
      </c>
      <c r="C544" s="7" t="inlineStr">
        <is>
          <t>PURCHASE:L1</t>
        </is>
      </c>
      <c r="D544" s="7" t="inlineStr">
        <is>
          <t>PURCHASE</t>
        </is>
      </c>
      <c r="E544" s="7" t="inlineStr">
        <is>
          <t>physical</t>
        </is>
      </c>
      <c r="F544" s="7" t="inlineStr">
        <is>
          <t>L1</t>
        </is>
      </c>
      <c r="G544" s="7" t="inlineStr">
        <is>
          <t>SUP_USEC_01</t>
        </is>
      </c>
      <c r="H544" s="7" t="inlineStr">
        <is>
          <t>tense</t>
        </is>
      </c>
      <c r="I544" s="7" t="inlineStr">
        <is>
          <t>USEC_MUN</t>
        </is>
      </c>
      <c r="J544" s="7" t="inlineStr">
        <is>
          <t>USD</t>
        </is>
      </c>
      <c r="K544" s="7" t="inlineStr">
        <is>
          <t>floating</t>
        </is>
      </c>
      <c r="L544" s="7" t="inlineStr">
        <is>
          <t>PNL</t>
        </is>
      </c>
      <c r="M544" s="11" t="n">
        <v>44753</v>
      </c>
      <c r="N544" s="13" t="n">
        <v>2100</v>
      </c>
      <c r="O544" s="6" t="n">
        <v>0</v>
      </c>
      <c r="P544" s="13" t="n">
        <v>0</v>
      </c>
      <c r="Q544" s="22" t="n">
        <v>30</v>
      </c>
      <c r="R544" s="6" t="n">
        <v>2</v>
      </c>
      <c r="U544" s="9" t="n">
        <v>-2398863.6</v>
      </c>
      <c r="V544" s="9" t="n">
        <v>-184628283.93</v>
      </c>
      <c r="X544" s="9" t="n">
        <v>76.9662</v>
      </c>
      <c r="AK544" s="7" t="inlineStr">
        <is>
          <t>PYTHON_MULTI_FLOW_LEG</t>
        </is>
      </c>
      <c r="AL544" s="8">
        <f>IF($J544="INR",1,IF($M544&lt;$A544,INDEX(Market_Daily!$F$6:$F$256,MATCH($M544,Market_Daily!$A$6:$A$256,1)),IF($M544=$A544,INDEX(Market_Daily!$F$6:$F$256,MATCH($A544,Market_Daily!$A$6:$A$256,0)),(INDEX(Market_Daily!$F$6:$F$256,MATCH($A544,Market_Daily!$A$6:$A$256,0))*(1+INDEX(Market_Daily!$I$6:$I$256,MATCH($A544,Market_Daily!$A$6:$A$256,0))*($M544-$A544)/day_count_inr)/(1+INDEX(Market_Daily!$J$6:$J$256,MATCH($A544,Market_Daily!$A$6:$A$256,0))*($M544-$A544)/day_count_usd)))))</f>
        <v/>
      </c>
      <c r="AM544" s="8">
        <f>IF(OR($J544="INR",$R544&gt;1),"",$AL544-$X544)</f>
        <v/>
      </c>
      <c r="AN544" s="8">
        <f>$U544</f>
        <v/>
      </c>
      <c r="AO544" s="8">
        <f>$V544</f>
        <v/>
      </c>
      <c r="AP544" s="18">
        <f>$AO544-$V544</f>
        <v/>
      </c>
      <c r="AQ544" s="8">
        <f>IF(ABS($AP544)&lt;=tol_trade_inr,"PASS","FAIL")</f>
        <v/>
      </c>
    </row>
    <row r="545">
      <c r="A545" s="11" t="n">
        <v>44673</v>
      </c>
      <c r="B545" s="7" t="inlineStr">
        <is>
          <t>T05</t>
        </is>
      </c>
      <c r="C545" s="7" t="inlineStr">
        <is>
          <t>PURCHASE:L2</t>
        </is>
      </c>
      <c r="D545" s="7" t="inlineStr">
        <is>
          <t>PURCHASE</t>
        </is>
      </c>
      <c r="E545" s="7" t="inlineStr">
        <is>
          <t>physical</t>
        </is>
      </c>
      <c r="F545" s="7" t="inlineStr">
        <is>
          <t>L2</t>
        </is>
      </c>
      <c r="G545" s="7" t="inlineStr">
        <is>
          <t>SUP_USEC_01</t>
        </is>
      </c>
      <c r="H545" s="7" t="inlineStr">
        <is>
          <t>tense</t>
        </is>
      </c>
      <c r="I545" s="7" t="inlineStr">
        <is>
          <t>USEC_MUN</t>
        </is>
      </c>
      <c r="J545" s="7" t="inlineStr">
        <is>
          <t>USD</t>
        </is>
      </c>
      <c r="K545" s="7" t="inlineStr">
        <is>
          <t>floating</t>
        </is>
      </c>
      <c r="L545" s="7" t="inlineStr">
        <is>
          <t>PNL</t>
        </is>
      </c>
      <c r="M545" s="11" t="n">
        <v>44760</v>
      </c>
      <c r="N545" s="13" t="n">
        <v>2100</v>
      </c>
      <c r="O545" s="6" t="n">
        <v>0</v>
      </c>
      <c r="P545" s="13" t="n">
        <v>0</v>
      </c>
      <c r="Q545" s="22" t="n">
        <v>30</v>
      </c>
      <c r="R545" s="6" t="n">
        <v>2</v>
      </c>
      <c r="U545" s="9" t="n">
        <v>-2398863.6</v>
      </c>
      <c r="V545" s="9" t="n">
        <v>-184731169.97</v>
      </c>
      <c r="X545" s="9" t="n">
        <v>77.0115</v>
      </c>
      <c r="AK545" s="7" t="inlineStr">
        <is>
          <t>PYTHON_MULTI_FLOW_LEG</t>
        </is>
      </c>
      <c r="AL545" s="8">
        <f>IF($J545="INR",1,IF($M545&lt;$A545,INDEX(Market_Daily!$F$6:$F$256,MATCH($M545,Market_Daily!$A$6:$A$256,1)),IF($M545=$A545,INDEX(Market_Daily!$F$6:$F$256,MATCH($A545,Market_Daily!$A$6:$A$256,0)),(INDEX(Market_Daily!$F$6:$F$256,MATCH($A545,Market_Daily!$A$6:$A$256,0))*(1+INDEX(Market_Daily!$I$6:$I$256,MATCH($A545,Market_Daily!$A$6:$A$256,0))*($M545-$A545)/day_count_inr)/(1+INDEX(Market_Daily!$J$6:$J$256,MATCH($A545,Market_Daily!$A$6:$A$256,0))*($M545-$A545)/day_count_usd)))))</f>
        <v/>
      </c>
      <c r="AM545" s="8">
        <f>IF(OR($J545="INR",$R545&gt;1),"",$AL545-$X545)</f>
        <v/>
      </c>
      <c r="AN545" s="8">
        <f>$U545</f>
        <v/>
      </c>
      <c r="AO545" s="8">
        <f>$V545</f>
        <v/>
      </c>
      <c r="AP545" s="18">
        <f>$AO545-$V545</f>
        <v/>
      </c>
      <c r="AQ545" s="8">
        <f>IF(ABS($AP545)&lt;=tol_trade_inr,"PASS","FAIL")</f>
        <v/>
      </c>
    </row>
    <row r="546">
      <c r="A546" s="11" t="n">
        <v>44673</v>
      </c>
      <c r="B546" s="7" t="inlineStr">
        <is>
          <t>T05</t>
        </is>
      </c>
      <c r="C546" s="7" t="inlineStr">
        <is>
          <t>SALE:S1</t>
        </is>
      </c>
      <c r="D546" s="7" t="inlineStr">
        <is>
          <t>SALE</t>
        </is>
      </c>
      <c r="E546" s="7" t="inlineStr">
        <is>
          <t>physical</t>
        </is>
      </c>
      <c r="G546" s="7" t="inlineStr">
        <is>
          <t>BUY_MUN_01</t>
        </is>
      </c>
      <c r="H546" s="7" t="inlineStr">
        <is>
          <t>tense</t>
        </is>
      </c>
      <c r="I546" s="7" t="inlineStr">
        <is>
          <t>USEC_MUN</t>
        </is>
      </c>
      <c r="J546" s="7" t="inlineStr">
        <is>
          <t>INR</t>
        </is>
      </c>
      <c r="K546" s="7" t="inlineStr">
        <is>
          <t>floating</t>
        </is>
      </c>
      <c r="L546" s="7" t="inlineStr">
        <is>
          <t>PNL</t>
        </is>
      </c>
      <c r="M546" s="11" t="n">
        <v>44781</v>
      </c>
      <c r="N546" s="13" t="n">
        <v>2100</v>
      </c>
      <c r="O546" s="6" t="n">
        <v>0</v>
      </c>
      <c r="P546" s="13" t="n">
        <v>0</v>
      </c>
      <c r="Q546" s="22" t="n">
        <v>30</v>
      </c>
      <c r="R546" s="6" t="n">
        <v>1</v>
      </c>
      <c r="U546" s="9" t="n">
        <v>434927560.47</v>
      </c>
      <c r="V546" s="9" t="n">
        <v>434927560.47</v>
      </c>
      <c r="W546" s="9" t="n">
        <v>207108.3621</v>
      </c>
      <c r="X546" s="9" t="n">
        <v>76.4485</v>
      </c>
      <c r="AK546" s="7" t="inlineStr">
        <is>
          <t>PYTHON_LIFECYCLE</t>
        </is>
      </c>
      <c r="AL546" s="8">
        <f>IF($J546="INR",1,IF($M546&lt;$A546,INDEX(Market_Daily!$F$6:$F$256,MATCH($M546,Market_Daily!$A$6:$A$256,1)),IF($M546=$A546,INDEX(Market_Daily!$F$6:$F$256,MATCH($A546,Market_Daily!$A$6:$A$256,0)),(INDEX(Market_Daily!$F$6:$F$256,MATCH($A546,Market_Daily!$A$6:$A$256,0))*(1+INDEX(Market_Daily!$I$6:$I$256,MATCH($A546,Market_Daily!$A$6:$A$256,0))*($M546-$A546)/day_count_inr)/(1+INDEX(Market_Daily!$J$6:$J$256,MATCH($A546,Market_Daily!$A$6:$A$256,0))*($M546-$A546)/day_count_usd)))))</f>
        <v/>
      </c>
      <c r="AM546" s="8">
        <f>IF(OR($J546="INR",$R546&gt;1),"",$AL546-$X546)</f>
        <v/>
      </c>
      <c r="AN546" s="8">
        <f>$U546</f>
        <v/>
      </c>
      <c r="AO546" s="8">
        <f>$AN546*IF($J546="INR",1,$AL546)</f>
        <v/>
      </c>
      <c r="AP546" s="18">
        <f>$AO546-$V546</f>
        <v/>
      </c>
      <c r="AQ546" s="8">
        <f>IF(ABS($AP546)&lt;=tol_trade_inr,"PASS","FAIL")</f>
        <v/>
      </c>
    </row>
    <row r="547">
      <c r="A547" s="11" t="n">
        <v>44673</v>
      </c>
      <c r="B547" s="7" t="inlineStr">
        <is>
          <t>T05</t>
        </is>
      </c>
      <c r="C547" s="7" t="inlineStr">
        <is>
          <t>USANCE_INTEREST:L1</t>
        </is>
      </c>
      <c r="D547" s="7" t="inlineStr">
        <is>
          <t>USANCE_INTEREST</t>
        </is>
      </c>
      <c r="E547" s="7" t="inlineStr">
        <is>
          <t>physical</t>
        </is>
      </c>
      <c r="F547" s="7" t="inlineStr">
        <is>
          <t>L1</t>
        </is>
      </c>
      <c r="H547" s="7" t="inlineStr">
        <is>
          <t>tense</t>
        </is>
      </c>
      <c r="I547" s="7" t="inlineStr">
        <is>
          <t>USEC_MUN</t>
        </is>
      </c>
      <c r="J547" s="7" t="inlineStr">
        <is>
          <t>USD</t>
        </is>
      </c>
      <c r="K547" s="7" t="inlineStr">
        <is>
          <t>floating</t>
        </is>
      </c>
      <c r="L547" s="7" t="inlineStr">
        <is>
          <t>PNL</t>
        </is>
      </c>
      <c r="M547" s="11" t="n">
        <v>44753</v>
      </c>
      <c r="N547" s="13" t="n">
        <v>0</v>
      </c>
      <c r="O547" s="6" t="n">
        <v>0</v>
      </c>
      <c r="P547" s="13" t="n">
        <v>0</v>
      </c>
      <c r="Q547" s="22" t="n">
        <v>30</v>
      </c>
      <c r="R547" s="6" t="n">
        <v>1</v>
      </c>
      <c r="U547" s="9" t="n">
        <v>-8787.299999999999</v>
      </c>
      <c r="V547" s="9" t="n">
        <v>-676325.34</v>
      </c>
      <c r="X547" s="9" t="n">
        <v>76.9662</v>
      </c>
      <c r="AK547" s="7" t="inlineStr">
        <is>
          <t>PYTHON_LIFECYCLE</t>
        </is>
      </c>
      <c r="AL547" s="8">
        <f>IF($J547="INR",1,IF($M547&lt;$A547,INDEX(Market_Daily!$F$6:$F$256,MATCH($M547,Market_Daily!$A$6:$A$256,1)),IF($M547=$A547,INDEX(Market_Daily!$F$6:$F$256,MATCH($A547,Market_Daily!$A$6:$A$256,0)),(INDEX(Market_Daily!$F$6:$F$256,MATCH($A547,Market_Daily!$A$6:$A$256,0))*(1+INDEX(Market_Daily!$I$6:$I$256,MATCH($A547,Market_Daily!$A$6:$A$256,0))*($M547-$A547)/day_count_inr)/(1+INDEX(Market_Daily!$J$6:$J$256,MATCH($A547,Market_Daily!$A$6:$A$256,0))*($M547-$A547)/day_count_usd)))))</f>
        <v/>
      </c>
      <c r="AM547" s="8">
        <f>IF(OR($J547="INR",$R547&gt;1),"",$AL547-$X547)</f>
        <v/>
      </c>
      <c r="AN547" s="8">
        <f>$U547</f>
        <v/>
      </c>
      <c r="AO547" s="8">
        <f>$AN547*IF($J547="INR",1,$AL547)</f>
        <v/>
      </c>
      <c r="AP547" s="18">
        <f>$AO547-$V547</f>
        <v/>
      </c>
      <c r="AQ547" s="8">
        <f>IF(ABS($AP547)&lt;=tol_trade_inr,"PASS","FAIL")</f>
        <v/>
      </c>
    </row>
    <row r="548">
      <c r="A548" s="11" t="n">
        <v>44673</v>
      </c>
      <c r="B548" s="7" t="inlineStr">
        <is>
          <t>T05</t>
        </is>
      </c>
      <c r="C548" s="7" t="inlineStr">
        <is>
          <t>USANCE_INTEREST:L2</t>
        </is>
      </c>
      <c r="D548" s="7" t="inlineStr">
        <is>
          <t>USANCE_INTEREST</t>
        </is>
      </c>
      <c r="E548" s="7" t="inlineStr">
        <is>
          <t>physical</t>
        </is>
      </c>
      <c r="F548" s="7" t="inlineStr">
        <is>
          <t>L2</t>
        </is>
      </c>
      <c r="H548" s="7" t="inlineStr">
        <is>
          <t>tense</t>
        </is>
      </c>
      <c r="I548" s="7" t="inlineStr">
        <is>
          <t>USEC_MUN</t>
        </is>
      </c>
      <c r="J548" s="7" t="inlineStr">
        <is>
          <t>USD</t>
        </is>
      </c>
      <c r="K548" s="7" t="inlineStr">
        <is>
          <t>floating</t>
        </is>
      </c>
      <c r="L548" s="7" t="inlineStr">
        <is>
          <t>PNL</t>
        </is>
      </c>
      <c r="M548" s="11" t="n">
        <v>44760</v>
      </c>
      <c r="N548" s="13" t="n">
        <v>0</v>
      </c>
      <c r="O548" s="6" t="n">
        <v>0</v>
      </c>
      <c r="P548" s="13" t="n">
        <v>0</v>
      </c>
      <c r="Q548" s="22" t="n">
        <v>30</v>
      </c>
      <c r="R548" s="6" t="n">
        <v>1</v>
      </c>
      <c r="U548" s="9" t="n">
        <v>-8791.34</v>
      </c>
      <c r="V548" s="9" t="n">
        <v>-677034.08</v>
      </c>
      <c r="X548" s="9" t="n">
        <v>77.0115</v>
      </c>
      <c r="AK548" s="7" t="inlineStr">
        <is>
          <t>PYTHON_LIFECYCLE</t>
        </is>
      </c>
      <c r="AL548" s="8">
        <f>IF($J548="INR",1,IF($M548&lt;$A548,INDEX(Market_Daily!$F$6:$F$256,MATCH($M548,Market_Daily!$A$6:$A$256,1)),IF($M548=$A548,INDEX(Market_Daily!$F$6:$F$256,MATCH($A548,Market_Daily!$A$6:$A$256,0)),(INDEX(Market_Daily!$F$6:$F$256,MATCH($A548,Market_Daily!$A$6:$A$256,0))*(1+INDEX(Market_Daily!$I$6:$I$256,MATCH($A548,Market_Daily!$A$6:$A$256,0))*($M548-$A548)/day_count_inr)/(1+INDEX(Market_Daily!$J$6:$J$256,MATCH($A548,Market_Daily!$A$6:$A$256,0))*($M548-$A548)/day_count_usd)))))</f>
        <v/>
      </c>
      <c r="AM548" s="8">
        <f>IF(OR($J548="INR",$R548&gt;1),"",$AL548-$X548)</f>
        <v/>
      </c>
      <c r="AN548" s="8">
        <f>$U548</f>
        <v/>
      </c>
      <c r="AO548" s="8">
        <f>$AN548*IF($J548="INR",1,$AL548)</f>
        <v/>
      </c>
      <c r="AP548" s="18">
        <f>$AO548-$V548</f>
        <v/>
      </c>
      <c r="AQ548" s="8">
        <f>IF(ABS($AP548)&lt;=tol_trade_inr,"PASS","FAIL")</f>
        <v/>
      </c>
    </row>
    <row r="549">
      <c r="A549" s="11" t="n">
        <v>44680</v>
      </c>
      <c r="B549" s="7" t="inlineStr">
        <is>
          <t>T01</t>
        </is>
      </c>
      <c r="C549" s="7" t="inlineStr">
        <is>
          <t>DUTY:L1</t>
        </is>
      </c>
      <c r="D549" s="7" t="inlineStr">
        <is>
          <t>DUTY</t>
        </is>
      </c>
      <c r="E549" s="7" t="inlineStr">
        <is>
          <t>physical</t>
        </is>
      </c>
      <c r="F549" s="7" t="inlineStr">
        <is>
          <t>L1</t>
        </is>
      </c>
      <c r="H549" s="7" t="inlineStr">
        <is>
          <t>zorba</t>
        </is>
      </c>
      <c r="I549" s="7" t="inlineStr">
        <is>
          <t>USEC_MUN</t>
        </is>
      </c>
      <c r="J549" s="7" t="inlineStr">
        <is>
          <t>INR</t>
        </is>
      </c>
      <c r="K549" s="7" t="inlineStr">
        <is>
          <t>floating</t>
        </is>
      </c>
      <c r="L549" s="7" t="inlineStr">
        <is>
          <t>PNL</t>
        </is>
      </c>
      <c r="M549" s="11" t="n">
        <v>44690</v>
      </c>
      <c r="N549" s="13" t="n">
        <v>840</v>
      </c>
      <c r="O549" s="6" t="n">
        <v>0</v>
      </c>
      <c r="P549" s="13" t="n">
        <v>0</v>
      </c>
      <c r="Q549" s="22" t="n">
        <v>30</v>
      </c>
      <c r="R549" s="6" t="n">
        <v>1</v>
      </c>
      <c r="U549" s="9" t="n">
        <v>-4359213.02</v>
      </c>
      <c r="V549" s="9" t="n">
        <v>-4359213.02</v>
      </c>
      <c r="X549" s="9" t="n">
        <v>76.50660000000001</v>
      </c>
      <c r="AK549" s="7" t="inlineStr">
        <is>
          <t>PYTHON_LIFECYCLE</t>
        </is>
      </c>
      <c r="AL549" s="8">
        <f>IF($J549="INR",1,IF($M549&lt;$A549,INDEX(Market_Daily!$F$6:$F$256,MATCH($M549,Market_Daily!$A$6:$A$256,1)),IF($M549=$A549,INDEX(Market_Daily!$F$6:$F$256,MATCH($A549,Market_Daily!$A$6:$A$256,0)),(INDEX(Market_Daily!$F$6:$F$256,MATCH($A549,Market_Daily!$A$6:$A$256,0))*(1+INDEX(Market_Daily!$I$6:$I$256,MATCH($A549,Market_Daily!$A$6:$A$256,0))*($M549-$A549)/day_count_inr)/(1+INDEX(Market_Daily!$J$6:$J$256,MATCH($A549,Market_Daily!$A$6:$A$256,0))*($M549-$A549)/day_count_usd)))))</f>
        <v/>
      </c>
      <c r="AM549" s="8">
        <f>IF(OR($J549="INR",$R549&gt;1),"",$AL549-$X549)</f>
        <v/>
      </c>
      <c r="AN549" s="8">
        <f>$U549</f>
        <v/>
      </c>
      <c r="AO549" s="8">
        <f>$AN549*IF($J549="INR",1,$AL549)</f>
        <v/>
      </c>
      <c r="AP549" s="18">
        <f>$AO549-$V549</f>
        <v/>
      </c>
      <c r="AQ549" s="8">
        <f>IF(ABS($AP549)&lt;=tol_trade_inr,"PASS","FAIL")</f>
        <v/>
      </c>
    </row>
    <row r="550">
      <c r="A550" s="11" t="n">
        <v>44680</v>
      </c>
      <c r="B550" s="7" t="inlineStr">
        <is>
          <t>T01</t>
        </is>
      </c>
      <c r="C550" s="7" t="inlineStr">
        <is>
          <t>DUTY:L2</t>
        </is>
      </c>
      <c r="D550" s="7" t="inlineStr">
        <is>
          <t>DUTY</t>
        </is>
      </c>
      <c r="E550" s="7" t="inlineStr">
        <is>
          <t>physical</t>
        </is>
      </c>
      <c r="F550" s="7" t="inlineStr">
        <is>
          <t>L2</t>
        </is>
      </c>
      <c r="H550" s="7" t="inlineStr">
        <is>
          <t>zorba</t>
        </is>
      </c>
      <c r="I550" s="7" t="inlineStr">
        <is>
          <t>USEC_MUN</t>
        </is>
      </c>
      <c r="J550" s="7" t="inlineStr">
        <is>
          <t>INR</t>
        </is>
      </c>
      <c r="K550" s="7" t="inlineStr">
        <is>
          <t>floating</t>
        </is>
      </c>
      <c r="L550" s="7" t="inlineStr">
        <is>
          <t>PNL</t>
        </is>
      </c>
      <c r="M550" s="11" t="n">
        <v>44697</v>
      </c>
      <c r="N550" s="13" t="n">
        <v>840</v>
      </c>
      <c r="O550" s="6" t="n">
        <v>0</v>
      </c>
      <c r="P550" s="13" t="n">
        <v>0</v>
      </c>
      <c r="Q550" s="22" t="n">
        <v>30</v>
      </c>
      <c r="R550" s="6" t="n">
        <v>1</v>
      </c>
      <c r="U550" s="9" t="n">
        <v>-4359213.02</v>
      </c>
      <c r="V550" s="9" t="n">
        <v>-4359213.02</v>
      </c>
      <c r="X550" s="9" t="n">
        <v>76.50660000000001</v>
      </c>
      <c r="AK550" s="7" t="inlineStr">
        <is>
          <t>PYTHON_LIFECYCLE</t>
        </is>
      </c>
      <c r="AL550" s="8">
        <f>IF($J550="INR",1,IF($M550&lt;$A550,INDEX(Market_Daily!$F$6:$F$256,MATCH($M550,Market_Daily!$A$6:$A$256,1)),IF($M550=$A550,INDEX(Market_Daily!$F$6:$F$256,MATCH($A550,Market_Daily!$A$6:$A$256,0)),(INDEX(Market_Daily!$F$6:$F$256,MATCH($A550,Market_Daily!$A$6:$A$256,0))*(1+INDEX(Market_Daily!$I$6:$I$256,MATCH($A550,Market_Daily!$A$6:$A$256,0))*($M550-$A550)/day_count_inr)/(1+INDEX(Market_Daily!$J$6:$J$256,MATCH($A550,Market_Daily!$A$6:$A$256,0))*($M550-$A550)/day_count_usd)))))</f>
        <v/>
      </c>
      <c r="AM550" s="8">
        <f>IF(OR($J550="INR",$R550&gt;1),"",$AL550-$X550)</f>
        <v/>
      </c>
      <c r="AN550" s="8">
        <f>$U550</f>
        <v/>
      </c>
      <c r="AO550" s="8">
        <f>$AN550*IF($J550="INR",1,$AL550)</f>
        <v/>
      </c>
      <c r="AP550" s="18">
        <f>$AO550-$V550</f>
        <v/>
      </c>
      <c r="AQ550" s="8">
        <f>IF(ABS($AP550)&lt;=tol_trade_inr,"PASS","FAIL")</f>
        <v/>
      </c>
    </row>
    <row r="551">
      <c r="A551" s="11" t="n">
        <v>44680</v>
      </c>
      <c r="B551" s="7" t="inlineStr">
        <is>
          <t>T01</t>
        </is>
      </c>
      <c r="C551" s="7" t="inlineStr">
        <is>
          <t>DUTY:L3</t>
        </is>
      </c>
      <c r="D551" s="7" t="inlineStr">
        <is>
          <t>DUTY</t>
        </is>
      </c>
      <c r="E551" s="7" t="inlineStr">
        <is>
          <t>physical</t>
        </is>
      </c>
      <c r="F551" s="7" t="inlineStr">
        <is>
          <t>L3</t>
        </is>
      </c>
      <c r="H551" s="7" t="inlineStr">
        <is>
          <t>zorba</t>
        </is>
      </c>
      <c r="I551" s="7" t="inlineStr">
        <is>
          <t>USEC_MUN</t>
        </is>
      </c>
      <c r="J551" s="7" t="inlineStr">
        <is>
          <t>INR</t>
        </is>
      </c>
      <c r="K551" s="7" t="inlineStr">
        <is>
          <t>floating</t>
        </is>
      </c>
      <c r="L551" s="7" t="inlineStr">
        <is>
          <t>PNL</t>
        </is>
      </c>
      <c r="M551" s="11" t="n">
        <v>44699</v>
      </c>
      <c r="N551" s="13" t="n">
        <v>840</v>
      </c>
      <c r="O551" s="6" t="n">
        <v>0</v>
      </c>
      <c r="P551" s="13" t="n">
        <v>0</v>
      </c>
      <c r="Q551" s="22" t="n">
        <v>30</v>
      </c>
      <c r="R551" s="6" t="n">
        <v>1</v>
      </c>
      <c r="U551" s="9" t="n">
        <v>-4359213.02</v>
      </c>
      <c r="V551" s="9" t="n">
        <v>-4359213.02</v>
      </c>
      <c r="X551" s="9" t="n">
        <v>76.50660000000001</v>
      </c>
      <c r="AK551" s="7" t="inlineStr">
        <is>
          <t>PYTHON_LIFECYCLE</t>
        </is>
      </c>
      <c r="AL551" s="8">
        <f>IF($J551="INR",1,IF($M551&lt;$A551,INDEX(Market_Daily!$F$6:$F$256,MATCH($M551,Market_Daily!$A$6:$A$256,1)),IF($M551=$A551,INDEX(Market_Daily!$F$6:$F$256,MATCH($A551,Market_Daily!$A$6:$A$256,0)),(INDEX(Market_Daily!$F$6:$F$256,MATCH($A551,Market_Daily!$A$6:$A$256,0))*(1+INDEX(Market_Daily!$I$6:$I$256,MATCH($A551,Market_Daily!$A$6:$A$256,0))*($M551-$A551)/day_count_inr)/(1+INDEX(Market_Daily!$J$6:$J$256,MATCH($A551,Market_Daily!$A$6:$A$256,0))*($M551-$A551)/day_count_usd)))))</f>
        <v/>
      </c>
      <c r="AM551" s="8">
        <f>IF(OR($J551="INR",$R551&gt;1),"",$AL551-$X551)</f>
        <v/>
      </c>
      <c r="AN551" s="8">
        <f>$U551</f>
        <v/>
      </c>
      <c r="AO551" s="8">
        <f>$AN551*IF($J551="INR",1,$AL551)</f>
        <v/>
      </c>
      <c r="AP551" s="18">
        <f>$AO551-$V551</f>
        <v/>
      </c>
      <c r="AQ551" s="8">
        <f>IF(ABS($AP551)&lt;=tol_trade_inr,"PASS","FAIL")</f>
        <v/>
      </c>
    </row>
    <row r="552">
      <c r="A552" s="11" t="n">
        <v>44680</v>
      </c>
      <c r="B552" s="7" t="inlineStr">
        <is>
          <t>T01</t>
        </is>
      </c>
      <c r="C552" s="7" t="inlineStr">
        <is>
          <t>FREIGHT:L1</t>
        </is>
      </c>
      <c r="D552" s="7" t="inlineStr">
        <is>
          <t>FREIGHT</t>
        </is>
      </c>
      <c r="E552" s="7" t="inlineStr">
        <is>
          <t>physical</t>
        </is>
      </c>
      <c r="F552" s="7" t="inlineStr">
        <is>
          <t>L1</t>
        </is>
      </c>
      <c r="G552" s="7" t="inlineStr">
        <is>
          <t>Meridian Box Lines NVOCC (SIM)</t>
        </is>
      </c>
      <c r="H552" s="7" t="inlineStr">
        <is>
          <t>zorba</t>
        </is>
      </c>
      <c r="I552" s="7" t="inlineStr">
        <is>
          <t>USEC_MUN</t>
        </is>
      </c>
      <c r="J552" s="7" t="inlineStr">
        <is>
          <t>USD</t>
        </is>
      </c>
      <c r="K552" s="7" t="inlineStr">
        <is>
          <t>fixed_unsettled</t>
        </is>
      </c>
      <c r="L552" s="7" t="inlineStr">
        <is>
          <t>PNL</t>
        </is>
      </c>
      <c r="M552" s="11" t="n">
        <v>44690</v>
      </c>
      <c r="N552" s="13" t="n">
        <v>840</v>
      </c>
      <c r="O552" s="6" t="n">
        <v>0</v>
      </c>
      <c r="P552" s="13" t="n">
        <v>0</v>
      </c>
      <c r="Q552" s="22" t="n">
        <v>30</v>
      </c>
      <c r="R552" s="6" t="n">
        <v>1</v>
      </c>
      <c r="U552" s="9" t="n">
        <v>-86800</v>
      </c>
      <c r="V552" s="9" t="n">
        <v>-6646385.3</v>
      </c>
      <c r="X552" s="9" t="n">
        <v>76.57129999999999</v>
      </c>
      <c r="AK552" s="7" t="inlineStr">
        <is>
          <t>PYTHON_LIFECYCLE</t>
        </is>
      </c>
      <c r="AL552" s="8">
        <f>IF($J552="INR",1,IF($M552&lt;$A552,INDEX(Market_Daily!$F$6:$F$256,MATCH($M552,Market_Daily!$A$6:$A$256,1)),IF($M552=$A552,INDEX(Market_Daily!$F$6:$F$256,MATCH($A552,Market_Daily!$A$6:$A$256,0)),(INDEX(Market_Daily!$F$6:$F$256,MATCH($A552,Market_Daily!$A$6:$A$256,0))*(1+INDEX(Market_Daily!$I$6:$I$256,MATCH($A552,Market_Daily!$A$6:$A$256,0))*($M552-$A552)/day_count_inr)/(1+INDEX(Market_Daily!$J$6:$J$256,MATCH($A552,Market_Daily!$A$6:$A$256,0))*($M552-$A552)/day_count_usd)))))</f>
        <v/>
      </c>
      <c r="AM552" s="8">
        <f>IF(OR($J552="INR",$R552&gt;1),"",$AL552-$X552)</f>
        <v/>
      </c>
      <c r="AN552" s="8">
        <f>$U552</f>
        <v/>
      </c>
      <c r="AO552" s="8">
        <f>$AN552*IF($J552="INR",1,$AL552)</f>
        <v/>
      </c>
      <c r="AP552" s="18">
        <f>$AO552-$V552</f>
        <v/>
      </c>
      <c r="AQ552" s="8">
        <f>IF(ABS($AP552)&lt;=tol_trade_inr,"PASS","FAIL")</f>
        <v/>
      </c>
    </row>
    <row r="553">
      <c r="A553" s="11" t="n">
        <v>44680</v>
      </c>
      <c r="B553" s="7" t="inlineStr">
        <is>
          <t>T01</t>
        </is>
      </c>
      <c r="C553" s="7" t="inlineStr">
        <is>
          <t>FREIGHT:L2</t>
        </is>
      </c>
      <c r="D553" s="7" t="inlineStr">
        <is>
          <t>FREIGHT</t>
        </is>
      </c>
      <c r="E553" s="7" t="inlineStr">
        <is>
          <t>physical</t>
        </is>
      </c>
      <c r="F553" s="7" t="inlineStr">
        <is>
          <t>L2</t>
        </is>
      </c>
      <c r="G553" s="7" t="inlineStr">
        <is>
          <t>Meridian Box Lines NVOCC (SIM)</t>
        </is>
      </c>
      <c r="H553" s="7" t="inlineStr">
        <is>
          <t>zorba</t>
        </is>
      </c>
      <c r="I553" s="7" t="inlineStr">
        <is>
          <t>USEC_MUN</t>
        </is>
      </c>
      <c r="J553" s="7" t="inlineStr">
        <is>
          <t>USD</t>
        </is>
      </c>
      <c r="K553" s="7" t="inlineStr">
        <is>
          <t>fixed_unsettled</t>
        </is>
      </c>
      <c r="L553" s="7" t="inlineStr">
        <is>
          <t>PNL</t>
        </is>
      </c>
      <c r="M553" s="11" t="n">
        <v>44697</v>
      </c>
      <c r="N553" s="13" t="n">
        <v>840</v>
      </c>
      <c r="O553" s="6" t="n">
        <v>0</v>
      </c>
      <c r="P553" s="13" t="n">
        <v>0</v>
      </c>
      <c r="Q553" s="22" t="n">
        <v>30</v>
      </c>
      <c r="R553" s="6" t="n">
        <v>1</v>
      </c>
      <c r="U553" s="9" t="n">
        <v>-86800</v>
      </c>
      <c r="V553" s="9" t="n">
        <v>-6650312.46</v>
      </c>
      <c r="X553" s="9" t="n">
        <v>76.6165</v>
      </c>
      <c r="AK553" s="7" t="inlineStr">
        <is>
          <t>PYTHON_LIFECYCLE</t>
        </is>
      </c>
      <c r="AL553" s="8">
        <f>IF($J553="INR",1,IF($M553&lt;$A553,INDEX(Market_Daily!$F$6:$F$256,MATCH($M553,Market_Daily!$A$6:$A$256,1)),IF($M553=$A553,INDEX(Market_Daily!$F$6:$F$256,MATCH($A553,Market_Daily!$A$6:$A$256,0)),(INDEX(Market_Daily!$F$6:$F$256,MATCH($A553,Market_Daily!$A$6:$A$256,0))*(1+INDEX(Market_Daily!$I$6:$I$256,MATCH($A553,Market_Daily!$A$6:$A$256,0))*($M553-$A553)/day_count_inr)/(1+INDEX(Market_Daily!$J$6:$J$256,MATCH($A553,Market_Daily!$A$6:$A$256,0))*($M553-$A553)/day_count_usd)))))</f>
        <v/>
      </c>
      <c r="AM553" s="8">
        <f>IF(OR($J553="INR",$R553&gt;1),"",$AL553-$X553)</f>
        <v/>
      </c>
      <c r="AN553" s="8">
        <f>$U553</f>
        <v/>
      </c>
      <c r="AO553" s="8">
        <f>$AN553*IF($J553="INR",1,$AL553)</f>
        <v/>
      </c>
      <c r="AP553" s="18">
        <f>$AO553-$V553</f>
        <v/>
      </c>
      <c r="AQ553" s="8">
        <f>IF(ABS($AP553)&lt;=tol_trade_inr,"PASS","FAIL")</f>
        <v/>
      </c>
    </row>
    <row r="554">
      <c r="A554" s="11" t="n">
        <v>44680</v>
      </c>
      <c r="B554" s="7" t="inlineStr">
        <is>
          <t>T01</t>
        </is>
      </c>
      <c r="C554" s="7" t="inlineStr">
        <is>
          <t>FREIGHT:L3</t>
        </is>
      </c>
      <c r="D554" s="7" t="inlineStr">
        <is>
          <t>FREIGHT</t>
        </is>
      </c>
      <c r="E554" s="7" t="inlineStr">
        <is>
          <t>physical</t>
        </is>
      </c>
      <c r="F554" s="7" t="inlineStr">
        <is>
          <t>L3</t>
        </is>
      </c>
      <c r="G554" s="7" t="inlineStr">
        <is>
          <t>Meridian Box Lines NVOCC (SIM)</t>
        </is>
      </c>
      <c r="H554" s="7" t="inlineStr">
        <is>
          <t>zorba</t>
        </is>
      </c>
      <c r="I554" s="7" t="inlineStr">
        <is>
          <t>USEC_MUN</t>
        </is>
      </c>
      <c r="J554" s="7" t="inlineStr">
        <is>
          <t>USD</t>
        </is>
      </c>
      <c r="K554" s="7" t="inlineStr">
        <is>
          <t>fixed_unsettled</t>
        </is>
      </c>
      <c r="L554" s="7" t="inlineStr">
        <is>
          <t>PNL</t>
        </is>
      </c>
      <c r="M554" s="11" t="n">
        <v>44698</v>
      </c>
      <c r="N554" s="13" t="n">
        <v>840</v>
      </c>
      <c r="O554" s="6" t="n">
        <v>0</v>
      </c>
      <c r="P554" s="13" t="n">
        <v>0</v>
      </c>
      <c r="Q554" s="22" t="n">
        <v>30</v>
      </c>
      <c r="R554" s="6" t="n">
        <v>1</v>
      </c>
      <c r="U554" s="9" t="n">
        <v>-86800</v>
      </c>
      <c r="V554" s="9" t="n">
        <v>-6650873.38</v>
      </c>
      <c r="X554" s="9" t="n">
        <v>76.623</v>
      </c>
      <c r="AK554" s="7" t="inlineStr">
        <is>
          <t>PYTHON_LIFECYCLE</t>
        </is>
      </c>
      <c r="AL554" s="8">
        <f>IF($J554="INR",1,IF($M554&lt;$A554,INDEX(Market_Daily!$F$6:$F$256,MATCH($M554,Market_Daily!$A$6:$A$256,1)),IF($M554=$A554,INDEX(Market_Daily!$F$6:$F$256,MATCH($A554,Market_Daily!$A$6:$A$256,0)),(INDEX(Market_Daily!$F$6:$F$256,MATCH($A554,Market_Daily!$A$6:$A$256,0))*(1+INDEX(Market_Daily!$I$6:$I$256,MATCH($A554,Market_Daily!$A$6:$A$256,0))*($M554-$A554)/day_count_inr)/(1+INDEX(Market_Daily!$J$6:$J$256,MATCH($A554,Market_Daily!$A$6:$A$256,0))*($M554-$A554)/day_count_usd)))))</f>
        <v/>
      </c>
      <c r="AM554" s="8">
        <f>IF(OR($J554="INR",$R554&gt;1),"",$AL554-$X554)</f>
        <v/>
      </c>
      <c r="AN554" s="8">
        <f>$U554</f>
        <v/>
      </c>
      <c r="AO554" s="8">
        <f>$AN554*IF($J554="INR",1,$AL554)</f>
        <v/>
      </c>
      <c r="AP554" s="18">
        <f>$AO554-$V554</f>
        <v/>
      </c>
      <c r="AQ554" s="8">
        <f>IF(ABS($AP554)&lt;=tol_trade_inr,"PASS","FAIL")</f>
        <v/>
      </c>
    </row>
    <row r="555">
      <c r="A555" s="11" t="n">
        <v>44680</v>
      </c>
      <c r="B555" s="7" t="inlineStr">
        <is>
          <t>T01</t>
        </is>
      </c>
      <c r="C555" s="7" t="inlineStr">
        <is>
          <t>FX:T01-FX-4</t>
        </is>
      </c>
      <c r="D555" s="7" t="inlineStr">
        <is>
          <t>FX</t>
        </is>
      </c>
      <c r="E555" s="7" t="inlineStr">
        <is>
          <t>fx_forward</t>
        </is>
      </c>
      <c r="H555" s="7" t="inlineStr">
        <is>
          <t>zorba</t>
        </is>
      </c>
      <c r="I555" s="7" t="inlineStr">
        <is>
          <t>USEC_MUN</t>
        </is>
      </c>
      <c r="J555" s="7" t="inlineStr">
        <is>
          <t>INR</t>
        </is>
      </c>
      <c r="K555" s="7" t="inlineStr">
        <is>
          <t>floating</t>
        </is>
      </c>
      <c r="L555" s="7" t="inlineStr">
        <is>
          <t>PNL</t>
        </is>
      </c>
      <c r="M555" s="11" t="n">
        <v>44697</v>
      </c>
      <c r="N555" s="13" t="n">
        <v>0</v>
      </c>
      <c r="O555" s="6" t="n">
        <v>0</v>
      </c>
      <c r="P555" s="13" t="n">
        <v>260400</v>
      </c>
      <c r="Q555" s="22" t="n">
        <v>30</v>
      </c>
      <c r="R555" s="6" t="n">
        <v>1</v>
      </c>
      <c r="S555" s="12" t="n">
        <v>44697</v>
      </c>
      <c r="T555" s="21" t="n">
        <v>76.62367500000001</v>
      </c>
      <c r="U555" s="9" t="n">
        <v>-1867.63</v>
      </c>
      <c r="V555" s="9" t="n">
        <v>-1867.63</v>
      </c>
      <c r="X555" s="9" t="n">
        <v>76.50660000000001</v>
      </c>
      <c r="AK555" s="7" t="inlineStr">
        <is>
          <t>DERIVED_IN_WORKBOOK</t>
        </is>
      </c>
      <c r="AL555" s="8">
        <f>IF($J555="INR",1,IF($M555&lt;$A555,INDEX(Market_Daily!$F$6:$F$256,MATCH($M555,Market_Daily!$A$6:$A$256,1)),IF($M555=$A555,INDEX(Market_Daily!$F$6:$F$256,MATCH($A555,Market_Daily!$A$6:$A$256,0)),(INDEX(Market_Daily!$F$6:$F$256,MATCH($A555,Market_Daily!$A$6:$A$256,0))*(1+INDEX(Market_Daily!$I$6:$I$256,MATCH($A555,Market_Daily!$A$6:$A$256,0))*($M555-$A555)/day_count_inr)/(1+INDEX(Market_Daily!$J$6:$J$256,MATCH($A555,Market_Daily!$A$6:$A$256,0))*($M555-$A555)/day_count_usd)))))</f>
        <v/>
      </c>
      <c r="AM555" s="8">
        <f>IF(OR($J555="INR",$R555&gt;1),"",$AL555-$X555)</f>
        <v/>
      </c>
      <c r="AN555" s="8">
        <f>$P555*(IF($S555&lt;$A555,INDEX(Market_Daily!$F$6:$F$256,MATCH($S555,Market_Daily!$A$6:$A$256,1)),IF($S555=$A555,INDEX(Market_Daily!$F$6:$F$256,MATCH($A555,Market_Daily!$A$6:$A$256,0)),(INDEX(Market_Daily!$F$6:$F$256,MATCH($A555,Market_Daily!$A$6:$A$256,0))*(1+INDEX(Market_Daily!$I$6:$I$256,MATCH($A555,Market_Daily!$A$6:$A$256,0))*($S555-$A555)/day_count_inr)/(1+INDEX(Market_Daily!$J$6:$J$256,MATCH($A555,Market_Daily!$A$6:$A$256,0))*($S555-$A555)/day_count_usd))))-$T555)</f>
        <v/>
      </c>
      <c r="AO555" s="8">
        <f>$AN555</f>
        <v/>
      </c>
      <c r="AP555" s="18">
        <f>$AO555-$V555</f>
        <v/>
      </c>
      <c r="AQ555" s="8">
        <f>IF(ABS($AP555)&lt;=tol_trade_inr,"PASS","FAIL")</f>
        <v/>
      </c>
    </row>
    <row r="556">
      <c r="A556" s="11" t="n">
        <v>44680</v>
      </c>
      <c r="B556" s="7" t="inlineStr">
        <is>
          <t>T01</t>
        </is>
      </c>
      <c r="C556" s="7" t="inlineStr">
        <is>
          <t>IGST:L1</t>
        </is>
      </c>
      <c r="D556" s="7" t="inlineStr">
        <is>
          <t>IGST</t>
        </is>
      </c>
      <c r="E556" s="7" t="inlineStr">
        <is>
          <t>physical</t>
        </is>
      </c>
      <c r="F556" s="7" t="inlineStr">
        <is>
          <t>L1</t>
        </is>
      </c>
      <c r="H556" s="7" t="inlineStr">
        <is>
          <t>zorba</t>
        </is>
      </c>
      <c r="I556" s="7" t="inlineStr">
        <is>
          <t>USEC_MUN</t>
        </is>
      </c>
      <c r="J556" s="7" t="inlineStr">
        <is>
          <t>INR</t>
        </is>
      </c>
      <c r="K556" s="7" t="inlineStr">
        <is>
          <t>floating</t>
        </is>
      </c>
      <c r="L556" s="7" t="inlineStr">
        <is>
          <t>BS</t>
        </is>
      </c>
      <c r="M556" s="11" t="n">
        <v>44735</v>
      </c>
      <c r="N556" s="13" t="n">
        <v>0</v>
      </c>
      <c r="O556" s="6" t="n">
        <v>0</v>
      </c>
      <c r="P556" s="13" t="n">
        <v>0</v>
      </c>
      <c r="Q556" s="22" t="n">
        <v>30</v>
      </c>
      <c r="R556" s="6" t="n">
        <v>2</v>
      </c>
      <c r="U556" s="9" t="n">
        <v>0</v>
      </c>
      <c r="V556" s="9" t="n">
        <v>0</v>
      </c>
      <c r="X556" s="9" t="n">
        <v>76.50660000000001</v>
      </c>
      <c r="AK556" s="7" t="inlineStr">
        <is>
          <t>PYTHON_MULTI_FLOW_LEG</t>
        </is>
      </c>
      <c r="AL556" s="8">
        <f>IF($J556="INR",1,IF($M556&lt;$A556,INDEX(Market_Daily!$F$6:$F$256,MATCH($M556,Market_Daily!$A$6:$A$256,1)),IF($M556=$A556,INDEX(Market_Daily!$F$6:$F$256,MATCH($A556,Market_Daily!$A$6:$A$256,0)),(INDEX(Market_Daily!$F$6:$F$256,MATCH($A556,Market_Daily!$A$6:$A$256,0))*(1+INDEX(Market_Daily!$I$6:$I$256,MATCH($A556,Market_Daily!$A$6:$A$256,0))*($M556-$A556)/day_count_inr)/(1+INDEX(Market_Daily!$J$6:$J$256,MATCH($A556,Market_Daily!$A$6:$A$256,0))*($M556-$A556)/day_count_usd)))))</f>
        <v/>
      </c>
      <c r="AM556" s="8">
        <f>IF(OR($J556="INR",$R556&gt;1),"",$AL556-$X556)</f>
        <v/>
      </c>
      <c r="AN556" s="8">
        <f>$U556</f>
        <v/>
      </c>
      <c r="AO556" s="8">
        <f>$V556</f>
        <v/>
      </c>
      <c r="AP556" s="18">
        <f>$AO556-$V556</f>
        <v/>
      </c>
      <c r="AQ556" s="8">
        <f>IF(ABS($AP556)&lt;=tol_trade_inr,"PASS","FAIL")</f>
        <v/>
      </c>
    </row>
    <row r="557">
      <c r="A557" s="11" t="n">
        <v>44680</v>
      </c>
      <c r="B557" s="7" t="inlineStr">
        <is>
          <t>T01</t>
        </is>
      </c>
      <c r="C557" s="7" t="inlineStr">
        <is>
          <t>IGST:L2</t>
        </is>
      </c>
      <c r="D557" s="7" t="inlineStr">
        <is>
          <t>IGST</t>
        </is>
      </c>
      <c r="E557" s="7" t="inlineStr">
        <is>
          <t>physical</t>
        </is>
      </c>
      <c r="F557" s="7" t="inlineStr">
        <is>
          <t>L2</t>
        </is>
      </c>
      <c r="H557" s="7" t="inlineStr">
        <is>
          <t>zorba</t>
        </is>
      </c>
      <c r="I557" s="7" t="inlineStr">
        <is>
          <t>USEC_MUN</t>
        </is>
      </c>
      <c r="J557" s="7" t="inlineStr">
        <is>
          <t>INR</t>
        </is>
      </c>
      <c r="K557" s="7" t="inlineStr">
        <is>
          <t>floating</t>
        </is>
      </c>
      <c r="L557" s="7" t="inlineStr">
        <is>
          <t>BS</t>
        </is>
      </c>
      <c r="M557" s="11" t="n">
        <v>44741</v>
      </c>
      <c r="N557" s="13" t="n">
        <v>0</v>
      </c>
      <c r="O557" s="6" t="n">
        <v>0</v>
      </c>
      <c r="P557" s="13" t="n">
        <v>0</v>
      </c>
      <c r="Q557" s="22" t="n">
        <v>30</v>
      </c>
      <c r="R557" s="6" t="n">
        <v>2</v>
      </c>
      <c r="U557" s="9" t="n">
        <v>0</v>
      </c>
      <c r="V557" s="9" t="n">
        <v>0</v>
      </c>
      <c r="X557" s="9" t="n">
        <v>76.50660000000001</v>
      </c>
      <c r="AK557" s="7" t="inlineStr">
        <is>
          <t>PYTHON_MULTI_FLOW_LEG</t>
        </is>
      </c>
      <c r="AL557" s="8">
        <f>IF($J557="INR",1,IF($M557&lt;$A557,INDEX(Market_Daily!$F$6:$F$256,MATCH($M557,Market_Daily!$A$6:$A$256,1)),IF($M557=$A557,INDEX(Market_Daily!$F$6:$F$256,MATCH($A557,Market_Daily!$A$6:$A$256,0)),(INDEX(Market_Daily!$F$6:$F$256,MATCH($A557,Market_Daily!$A$6:$A$256,0))*(1+INDEX(Market_Daily!$I$6:$I$256,MATCH($A557,Market_Daily!$A$6:$A$256,0))*($M557-$A557)/day_count_inr)/(1+INDEX(Market_Daily!$J$6:$J$256,MATCH($A557,Market_Daily!$A$6:$A$256,0))*($M557-$A557)/day_count_usd)))))</f>
        <v/>
      </c>
      <c r="AM557" s="8">
        <f>IF(OR($J557="INR",$R557&gt;1),"",$AL557-$X557)</f>
        <v/>
      </c>
      <c r="AN557" s="8">
        <f>$U557</f>
        <v/>
      </c>
      <c r="AO557" s="8">
        <f>$V557</f>
        <v/>
      </c>
      <c r="AP557" s="18">
        <f>$AO557-$V557</f>
        <v/>
      </c>
      <c r="AQ557" s="8">
        <f>IF(ABS($AP557)&lt;=tol_trade_inr,"PASS","FAIL")</f>
        <v/>
      </c>
    </row>
    <row r="558">
      <c r="A558" s="11" t="n">
        <v>44680</v>
      </c>
      <c r="B558" s="7" t="inlineStr">
        <is>
          <t>T01</t>
        </is>
      </c>
      <c r="C558" s="7" t="inlineStr">
        <is>
          <t>IGST:L3</t>
        </is>
      </c>
      <c r="D558" s="7" t="inlineStr">
        <is>
          <t>IGST</t>
        </is>
      </c>
      <c r="E558" s="7" t="inlineStr">
        <is>
          <t>physical</t>
        </is>
      </c>
      <c r="F558" s="7" t="inlineStr">
        <is>
          <t>L3</t>
        </is>
      </c>
      <c r="H558" s="7" t="inlineStr">
        <is>
          <t>zorba</t>
        </is>
      </c>
      <c r="I558" s="7" t="inlineStr">
        <is>
          <t>USEC_MUN</t>
        </is>
      </c>
      <c r="J558" s="7" t="inlineStr">
        <is>
          <t>INR</t>
        </is>
      </c>
      <c r="K558" s="7" t="inlineStr">
        <is>
          <t>floating</t>
        </is>
      </c>
      <c r="L558" s="7" t="inlineStr">
        <is>
          <t>BS</t>
        </is>
      </c>
      <c r="M558" s="11" t="n">
        <v>44746</v>
      </c>
      <c r="N558" s="13" t="n">
        <v>0</v>
      </c>
      <c r="O558" s="6" t="n">
        <v>0</v>
      </c>
      <c r="P558" s="13" t="n">
        <v>0</v>
      </c>
      <c r="Q558" s="22" t="n">
        <v>30</v>
      </c>
      <c r="R558" s="6" t="n">
        <v>2</v>
      </c>
      <c r="U558" s="9" t="n">
        <v>0</v>
      </c>
      <c r="V558" s="9" t="n">
        <v>0</v>
      </c>
      <c r="X558" s="9" t="n">
        <v>76.50660000000001</v>
      </c>
      <c r="AK558" s="7" t="inlineStr">
        <is>
          <t>PYTHON_MULTI_FLOW_LEG</t>
        </is>
      </c>
      <c r="AL558" s="8">
        <f>IF($J558="INR",1,IF($M558&lt;$A558,INDEX(Market_Daily!$F$6:$F$256,MATCH($M558,Market_Daily!$A$6:$A$256,1)),IF($M558=$A558,INDEX(Market_Daily!$F$6:$F$256,MATCH($A558,Market_Daily!$A$6:$A$256,0)),(INDEX(Market_Daily!$F$6:$F$256,MATCH($A558,Market_Daily!$A$6:$A$256,0))*(1+INDEX(Market_Daily!$I$6:$I$256,MATCH($A558,Market_Daily!$A$6:$A$256,0))*($M558-$A558)/day_count_inr)/(1+INDEX(Market_Daily!$J$6:$J$256,MATCH($A558,Market_Daily!$A$6:$A$256,0))*($M558-$A558)/day_count_usd)))))</f>
        <v/>
      </c>
      <c r="AM558" s="8">
        <f>IF(OR($J558="INR",$R558&gt;1),"",$AL558-$X558)</f>
        <v/>
      </c>
      <c r="AN558" s="8">
        <f>$U558</f>
        <v/>
      </c>
      <c r="AO558" s="8">
        <f>$V558</f>
        <v/>
      </c>
      <c r="AP558" s="18">
        <f>$AO558-$V558</f>
        <v/>
      </c>
      <c r="AQ558" s="8">
        <f>IF(ABS($AP558)&lt;=tol_trade_inr,"PASS","FAIL")</f>
        <v/>
      </c>
    </row>
    <row r="559">
      <c r="A559" s="11" t="n">
        <v>44680</v>
      </c>
      <c r="B559" s="7" t="inlineStr">
        <is>
          <t>T01</t>
        </is>
      </c>
      <c r="C559" s="7" t="inlineStr">
        <is>
          <t>INVENTORY:L3</t>
        </is>
      </c>
      <c r="D559" s="7" t="inlineStr">
        <is>
          <t>INVENTORY</t>
        </is>
      </c>
      <c r="E559" s="7" t="inlineStr">
        <is>
          <t>physical</t>
        </is>
      </c>
      <c r="F559" s="7" t="inlineStr">
        <is>
          <t>L3</t>
        </is>
      </c>
      <c r="H559" s="7" t="inlineStr">
        <is>
          <t>zorba</t>
        </is>
      </c>
      <c r="I559" s="7" t="inlineStr">
        <is>
          <t>USEC_MUN</t>
        </is>
      </c>
      <c r="J559" s="7" t="inlineStr">
        <is>
          <t>INR</t>
        </is>
      </c>
      <c r="K559" s="7" t="inlineStr">
        <is>
          <t>fixed_unsettled</t>
        </is>
      </c>
      <c r="L559" s="7" t="inlineStr">
        <is>
          <t>PNL</t>
        </is>
      </c>
      <c r="N559" s="13" t="n">
        <v>840</v>
      </c>
      <c r="O559" s="6" t="n">
        <v>0</v>
      </c>
      <c r="P559" s="13" t="n">
        <v>0</v>
      </c>
      <c r="Q559" s="22" t="n">
        <v>30</v>
      </c>
      <c r="R559" s="6" t="n">
        <v>0</v>
      </c>
      <c r="U559" s="9" t="n">
        <v>157707412.02</v>
      </c>
      <c r="V559" s="9" t="n">
        <v>157707412.02</v>
      </c>
      <c r="W559" s="9" t="n">
        <v>187746.9191</v>
      </c>
      <c r="X559" s="9" t="n">
        <v>76.50660000000001</v>
      </c>
      <c r="Y559" s="8">
        <f>IF($I559="JEA_NSA","20ft","40ft")</f>
        <v/>
      </c>
      <c r="Z559" s="8">
        <f>IF($I559="JEA_NSA","nsa","mun")</f>
        <v/>
      </c>
      <c r="AA559" s="8">
        <f>INDEX(param_values,MATCH("container_payload_mt_"&amp;$Y559,param_keys,0))/INDEX(param_values,MATCH("container_payload_mt_"&amp;$Y559&amp;"_"&amp;$H559,param_keys,0))</f>
        <v/>
      </c>
      <c r="AB559" s="16">
        <f>INDEX(Market_Daily!$C$6:$C$256,MATCH($A559,Market_Daily!$A$6:$A$256,0))*INDEX(Market_Daily!$X$6:$Z$256,MATCH($A559,Market_Daily!$A$6:$A$256,0),MATCH("grade_factor_"&amp;$H559,Market_Daily!$X$5:$Z$5,0))</f>
        <v/>
      </c>
      <c r="AC559" s="16">
        <f>$AB559*(1+insurance_rate*insured_value_uplift)</f>
        <v/>
      </c>
      <c r="AD559" s="8">
        <f>(INDEX(Market_Daily!$F$6:$F$256,MATCH($A559,Market_Daily!$A$6:$A$256,0))*(1+INDEX(Market_Daily!$I$6:$I$256,MATCH($A559,Market_Daily!$A$6:$A$256,0))*$Q559/day_count_inr)/(1+INDEX(Market_Daily!$J$6:$J$256,MATCH($A559,Market_Daily!$A$6:$A$256,0))*$Q559/day_count_usd))</f>
        <v/>
      </c>
      <c r="AE559" s="18">
        <f>$AC559*$AD559</f>
        <v/>
      </c>
      <c r="AF559" s="18">
        <f>$AC559*INDEX(Market_Daily!$V$6:$V$256,MATCH($A559,Market_Daily!$A$6:$A$256,0))</f>
        <v/>
      </c>
      <c r="AG559" s="18">
        <f>$AF559*bcd_scrap_hs7602*(1+sws_rate_on_bcd)</f>
        <v/>
      </c>
      <c r="AH559" s="18">
        <f>INDEX(param_values,MATCH("port_cf_charges_inr_t_"&amp;$Z559,param_keys,0))*$AA559+IF(INDEX(param_values,MATCH(IF($I559="JEA_NSA","psic_required_uae_origin","psic_required_safe_origin_designated_port"),param_keys,0)),psic_cost_usd_per_box*INDEX(Market_Daily!$F$6:$F$256,MATCH($A559,Market_Daily!$A$6:$A$256,0))/INDEX(param_values,MATCH("container_payload_mt_20ft_"&amp;$H559,param_keys,0)),0)</f>
        <v/>
      </c>
      <c r="AI559" s="18">
        <f>IF(igst_itc_available,0,($AF559+$AG559)*igst_rate_hs7602)</f>
        <v/>
      </c>
      <c r="AJ559" s="18">
        <f>$AE559+$AG559+$AH559+$AI559</f>
        <v/>
      </c>
      <c r="AK559" s="7" t="inlineStr">
        <is>
          <t>DERIVED_IN_WORKBOOK</t>
        </is>
      </c>
      <c r="AL559" s="8">
        <f>IF($J559="INR",1,IF($M559&lt;$A559,INDEX(Market_Daily!$F$6:$F$256,MATCH($M559,Market_Daily!$A$6:$A$256,1)),IF($M559=$A559,INDEX(Market_Daily!$F$6:$F$256,MATCH($A559,Market_Daily!$A$6:$A$256,0)),(INDEX(Market_Daily!$F$6:$F$256,MATCH($A559,Market_Daily!$A$6:$A$256,0))*(1+INDEX(Market_Daily!$I$6:$I$256,MATCH($A559,Market_Daily!$A$6:$A$256,0))*($M559-$A559)/day_count_inr)/(1+INDEX(Market_Daily!$J$6:$J$256,MATCH($A559,Market_Daily!$A$6:$A$256,0))*($M559-$A559)/day_count_usd)))))</f>
        <v/>
      </c>
      <c r="AM559" s="8">
        <f>IF(OR($J559="INR",$R559&gt;1),"",$AL559-$X559)</f>
        <v/>
      </c>
      <c r="AN559" s="8">
        <f>$N559*$AJ559</f>
        <v/>
      </c>
      <c r="AO559" s="8">
        <f>$AN559</f>
        <v/>
      </c>
      <c r="AP559" s="18">
        <f>$AO559-$V559</f>
        <v/>
      </c>
      <c r="AQ559" s="8">
        <f>IF(ABS($AP559)&lt;=tol_trade_inr,"PASS","FAIL")</f>
        <v/>
      </c>
    </row>
    <row r="560">
      <c r="A560" s="11" t="n">
        <v>44680</v>
      </c>
      <c r="B560" s="7" t="inlineStr">
        <is>
          <t>T01</t>
        </is>
      </c>
      <c r="C560" s="7" t="inlineStr">
        <is>
          <t>MCX:T01-MCX-4</t>
        </is>
      </c>
      <c r="D560" s="7" t="inlineStr">
        <is>
          <t>MCX</t>
        </is>
      </c>
      <c r="E560" s="7" t="inlineStr">
        <is>
          <t>mcx</t>
        </is>
      </c>
      <c r="H560" s="7" t="inlineStr">
        <is>
          <t>zorba</t>
        </is>
      </c>
      <c r="I560" s="7" t="inlineStr">
        <is>
          <t>USEC_MUN</t>
        </is>
      </c>
      <c r="J560" s="7" t="inlineStr">
        <is>
          <t>INR</t>
        </is>
      </c>
      <c r="K560" s="7" t="inlineStr">
        <is>
          <t>partially_fixed</t>
        </is>
      </c>
      <c r="L560" s="7" t="inlineStr">
        <is>
          <t>PNL</t>
        </is>
      </c>
      <c r="M560" s="11" t="n">
        <v>44690</v>
      </c>
      <c r="N560" s="13" t="n">
        <v>0</v>
      </c>
      <c r="O560" s="6" t="n">
        <v>-100</v>
      </c>
      <c r="P560" s="13" t="n">
        <v>0</v>
      </c>
      <c r="Q560" s="22" t="n">
        <v>30</v>
      </c>
      <c r="R560" s="6" t="n">
        <v>13</v>
      </c>
      <c r="U560" s="9" t="n">
        <v>0</v>
      </c>
      <c r="V560" s="9" t="n">
        <v>0</v>
      </c>
      <c r="X560" s="9" t="n">
        <v>76.50660000000001</v>
      </c>
      <c r="AK560" s="7" t="inlineStr">
        <is>
          <t>PYTHON_MULTI_FLOW_LEG</t>
        </is>
      </c>
      <c r="AL560" s="8">
        <f>IF($J560="INR",1,IF($M560&lt;$A560,INDEX(Market_Daily!$F$6:$F$256,MATCH($M560,Market_Daily!$A$6:$A$256,1)),IF($M560=$A560,INDEX(Market_Daily!$F$6:$F$256,MATCH($A560,Market_Daily!$A$6:$A$256,0)),(INDEX(Market_Daily!$F$6:$F$256,MATCH($A560,Market_Daily!$A$6:$A$256,0))*(1+INDEX(Market_Daily!$I$6:$I$256,MATCH($A560,Market_Daily!$A$6:$A$256,0))*($M560-$A560)/day_count_inr)/(1+INDEX(Market_Daily!$J$6:$J$256,MATCH($A560,Market_Daily!$A$6:$A$256,0))*($M560-$A560)/day_count_usd)))))</f>
        <v/>
      </c>
      <c r="AM560" s="8">
        <f>IF(OR($J560="INR",$R560&gt;1),"",$AL560-$X560)</f>
        <v/>
      </c>
      <c r="AN560" s="8">
        <f>$U560</f>
        <v/>
      </c>
      <c r="AO560" s="8">
        <f>$V560</f>
        <v/>
      </c>
      <c r="AP560" s="18">
        <f>$AO560-$V560</f>
        <v/>
      </c>
      <c r="AQ560" s="8">
        <f>IF(ABS($AP560)&lt;=tol_trade_inr,"PASS","FAIL")</f>
        <v/>
      </c>
    </row>
    <row r="561">
      <c r="A561" s="11" t="n">
        <v>44680</v>
      </c>
      <c r="B561" s="7" t="inlineStr">
        <is>
          <t>T01</t>
        </is>
      </c>
      <c r="C561" s="7" t="inlineStr">
        <is>
          <t>PORT:L1</t>
        </is>
      </c>
      <c r="D561" s="7" t="inlineStr">
        <is>
          <t>PORT</t>
        </is>
      </c>
      <c r="E561" s="7" t="inlineStr">
        <is>
          <t>physical</t>
        </is>
      </c>
      <c r="F561" s="7" t="inlineStr">
        <is>
          <t>L1</t>
        </is>
      </c>
      <c r="H561" s="7" t="inlineStr">
        <is>
          <t>zorba</t>
        </is>
      </c>
      <c r="I561" s="7" t="inlineStr">
        <is>
          <t>USEC_MUN</t>
        </is>
      </c>
      <c r="J561" s="7" t="inlineStr">
        <is>
          <t>INR</t>
        </is>
      </c>
      <c r="K561" s="7" t="inlineStr">
        <is>
          <t>fixed_unsettled</t>
        </is>
      </c>
      <c r="L561" s="7" t="inlineStr">
        <is>
          <t>PNL</t>
        </is>
      </c>
      <c r="M561" s="11" t="n">
        <v>44699</v>
      </c>
      <c r="N561" s="13" t="n">
        <v>0</v>
      </c>
      <c r="O561" s="6" t="n">
        <v>0</v>
      </c>
      <c r="P561" s="13" t="n">
        <v>0</v>
      </c>
      <c r="Q561" s="22" t="n">
        <v>30</v>
      </c>
      <c r="R561" s="6" t="n">
        <v>1</v>
      </c>
      <c r="U561" s="9" t="n">
        <v>-2226000</v>
      </c>
      <c r="V561" s="9" t="n">
        <v>-2226000</v>
      </c>
      <c r="X561" s="9" t="n">
        <v>76.50660000000001</v>
      </c>
      <c r="AK561" s="7" t="inlineStr">
        <is>
          <t>PYTHON_LIFECYCLE</t>
        </is>
      </c>
      <c r="AL561" s="8">
        <f>IF($J561="INR",1,IF($M561&lt;$A561,INDEX(Market_Daily!$F$6:$F$256,MATCH($M561,Market_Daily!$A$6:$A$256,1)),IF($M561=$A561,INDEX(Market_Daily!$F$6:$F$256,MATCH($A561,Market_Daily!$A$6:$A$256,0)),(INDEX(Market_Daily!$F$6:$F$256,MATCH($A561,Market_Daily!$A$6:$A$256,0))*(1+INDEX(Market_Daily!$I$6:$I$256,MATCH($A561,Market_Daily!$A$6:$A$256,0))*($M561-$A561)/day_count_inr)/(1+INDEX(Market_Daily!$J$6:$J$256,MATCH($A561,Market_Daily!$A$6:$A$256,0))*($M561-$A561)/day_count_usd)))))</f>
        <v/>
      </c>
      <c r="AM561" s="8">
        <f>IF(OR($J561="INR",$R561&gt;1),"",$AL561-$X561)</f>
        <v/>
      </c>
      <c r="AN561" s="8">
        <f>$U561</f>
        <v/>
      </c>
      <c r="AO561" s="8">
        <f>$AN561*IF($J561="INR",1,$AL561)</f>
        <v/>
      </c>
      <c r="AP561" s="18">
        <f>$AO561-$V561</f>
        <v/>
      </c>
      <c r="AQ561" s="8">
        <f>IF(ABS($AP561)&lt;=tol_trade_inr,"PASS","FAIL")</f>
        <v/>
      </c>
    </row>
    <row r="562">
      <c r="A562" s="11" t="n">
        <v>44680</v>
      </c>
      <c r="B562" s="7" t="inlineStr">
        <is>
          <t>T01</t>
        </is>
      </c>
      <c r="C562" s="7" t="inlineStr">
        <is>
          <t>PORT:L2</t>
        </is>
      </c>
      <c r="D562" s="7" t="inlineStr">
        <is>
          <t>PORT</t>
        </is>
      </c>
      <c r="E562" s="7" t="inlineStr">
        <is>
          <t>physical</t>
        </is>
      </c>
      <c r="F562" s="7" t="inlineStr">
        <is>
          <t>L2</t>
        </is>
      </c>
      <c r="H562" s="7" t="inlineStr">
        <is>
          <t>zorba</t>
        </is>
      </c>
      <c r="I562" s="7" t="inlineStr">
        <is>
          <t>USEC_MUN</t>
        </is>
      </c>
      <c r="J562" s="7" t="inlineStr">
        <is>
          <t>INR</t>
        </is>
      </c>
      <c r="K562" s="7" t="inlineStr">
        <is>
          <t>fixed_unsettled</t>
        </is>
      </c>
      <c r="L562" s="7" t="inlineStr">
        <is>
          <t>PNL</t>
        </is>
      </c>
      <c r="M562" s="11" t="n">
        <v>44705</v>
      </c>
      <c r="N562" s="13" t="n">
        <v>0</v>
      </c>
      <c r="O562" s="6" t="n">
        <v>0</v>
      </c>
      <c r="P562" s="13" t="n">
        <v>0</v>
      </c>
      <c r="Q562" s="22" t="n">
        <v>30</v>
      </c>
      <c r="R562" s="6" t="n">
        <v>1</v>
      </c>
      <c r="U562" s="9" t="n">
        <v>-2226000</v>
      </c>
      <c r="V562" s="9" t="n">
        <v>-2226000</v>
      </c>
      <c r="X562" s="9" t="n">
        <v>76.50660000000001</v>
      </c>
      <c r="AK562" s="7" t="inlineStr">
        <is>
          <t>PYTHON_LIFECYCLE</t>
        </is>
      </c>
      <c r="AL562" s="8">
        <f>IF($J562="INR",1,IF($M562&lt;$A562,INDEX(Market_Daily!$F$6:$F$256,MATCH($M562,Market_Daily!$A$6:$A$256,1)),IF($M562=$A562,INDEX(Market_Daily!$F$6:$F$256,MATCH($A562,Market_Daily!$A$6:$A$256,0)),(INDEX(Market_Daily!$F$6:$F$256,MATCH($A562,Market_Daily!$A$6:$A$256,0))*(1+INDEX(Market_Daily!$I$6:$I$256,MATCH($A562,Market_Daily!$A$6:$A$256,0))*($M562-$A562)/day_count_inr)/(1+INDEX(Market_Daily!$J$6:$J$256,MATCH($A562,Market_Daily!$A$6:$A$256,0))*($M562-$A562)/day_count_usd)))))</f>
        <v/>
      </c>
      <c r="AM562" s="8">
        <f>IF(OR($J562="INR",$R562&gt;1),"",$AL562-$X562)</f>
        <v/>
      </c>
      <c r="AN562" s="8">
        <f>$U562</f>
        <v/>
      </c>
      <c r="AO562" s="8">
        <f>$AN562*IF($J562="INR",1,$AL562)</f>
        <v/>
      </c>
      <c r="AP562" s="18">
        <f>$AO562-$V562</f>
        <v/>
      </c>
      <c r="AQ562" s="8">
        <f>IF(ABS($AP562)&lt;=tol_trade_inr,"PASS","FAIL")</f>
        <v/>
      </c>
    </row>
    <row r="563">
      <c r="A563" s="11" t="n">
        <v>44680</v>
      </c>
      <c r="B563" s="7" t="inlineStr">
        <is>
          <t>T01</t>
        </is>
      </c>
      <c r="C563" s="7" t="inlineStr">
        <is>
          <t>PORT:L3</t>
        </is>
      </c>
      <c r="D563" s="7" t="inlineStr">
        <is>
          <t>PORT</t>
        </is>
      </c>
      <c r="E563" s="7" t="inlineStr">
        <is>
          <t>physical</t>
        </is>
      </c>
      <c r="F563" s="7" t="inlineStr">
        <is>
          <t>L3</t>
        </is>
      </c>
      <c r="H563" s="7" t="inlineStr">
        <is>
          <t>zorba</t>
        </is>
      </c>
      <c r="I563" s="7" t="inlineStr">
        <is>
          <t>USEC_MUN</t>
        </is>
      </c>
      <c r="J563" s="7" t="inlineStr">
        <is>
          <t>INR</t>
        </is>
      </c>
      <c r="K563" s="7" t="inlineStr">
        <is>
          <t>fixed_unsettled</t>
        </is>
      </c>
      <c r="L563" s="7" t="inlineStr">
        <is>
          <t>PNL</t>
        </is>
      </c>
      <c r="M563" s="11" t="n">
        <v>44708</v>
      </c>
      <c r="N563" s="13" t="n">
        <v>0</v>
      </c>
      <c r="O563" s="6" t="n">
        <v>0</v>
      </c>
      <c r="P563" s="13" t="n">
        <v>0</v>
      </c>
      <c r="Q563" s="22" t="n">
        <v>30</v>
      </c>
      <c r="R563" s="6" t="n">
        <v>1</v>
      </c>
      <c r="U563" s="9" t="n">
        <v>-2226000</v>
      </c>
      <c r="V563" s="9" t="n">
        <v>-2226000</v>
      </c>
      <c r="X563" s="9" t="n">
        <v>76.50660000000001</v>
      </c>
      <c r="AK563" s="7" t="inlineStr">
        <is>
          <t>PYTHON_LIFECYCLE</t>
        </is>
      </c>
      <c r="AL563" s="8">
        <f>IF($J563="INR",1,IF($M563&lt;$A563,INDEX(Market_Daily!$F$6:$F$256,MATCH($M563,Market_Daily!$A$6:$A$256,1)),IF($M563=$A563,INDEX(Market_Daily!$F$6:$F$256,MATCH($A563,Market_Daily!$A$6:$A$256,0)),(INDEX(Market_Daily!$F$6:$F$256,MATCH($A563,Market_Daily!$A$6:$A$256,0))*(1+INDEX(Market_Daily!$I$6:$I$256,MATCH($A563,Market_Daily!$A$6:$A$256,0))*($M563-$A563)/day_count_inr)/(1+INDEX(Market_Daily!$J$6:$J$256,MATCH($A563,Market_Daily!$A$6:$A$256,0))*($M563-$A563)/day_count_usd)))))</f>
        <v/>
      </c>
      <c r="AM563" s="8">
        <f>IF(OR($J563="INR",$R563&gt;1),"",$AL563-$X563)</f>
        <v/>
      </c>
      <c r="AN563" s="8">
        <f>$U563</f>
        <v/>
      </c>
      <c r="AO563" s="8">
        <f>$AN563*IF($J563="INR",1,$AL563)</f>
        <v/>
      </c>
      <c r="AP563" s="18">
        <f>$AO563-$V563</f>
        <v/>
      </c>
      <c r="AQ563" s="8">
        <f>IF(ABS($AP563)&lt;=tol_trade_inr,"PASS","FAIL")</f>
        <v/>
      </c>
    </row>
    <row r="564">
      <c r="A564" s="11" t="n">
        <v>44680</v>
      </c>
      <c r="B564" s="7" t="inlineStr">
        <is>
          <t>T01</t>
        </is>
      </c>
      <c r="C564" s="7" t="inlineStr">
        <is>
          <t>SALE:S1</t>
        </is>
      </c>
      <c r="D564" s="7" t="inlineStr">
        <is>
          <t>SALE</t>
        </is>
      </c>
      <c r="E564" s="7" t="inlineStr">
        <is>
          <t>physical</t>
        </is>
      </c>
      <c r="G564" s="7" t="inlineStr">
        <is>
          <t>BUY_MUN_01</t>
        </is>
      </c>
      <c r="H564" s="7" t="inlineStr">
        <is>
          <t>zorba</t>
        </is>
      </c>
      <c r="I564" s="7" t="inlineStr">
        <is>
          <t>USEC_MUN</t>
        </is>
      </c>
      <c r="J564" s="7" t="inlineStr">
        <is>
          <t>INR</t>
        </is>
      </c>
      <c r="K564" s="7" t="inlineStr">
        <is>
          <t>floating</t>
        </is>
      </c>
      <c r="L564" s="7" t="inlineStr">
        <is>
          <t>PNL</t>
        </is>
      </c>
      <c r="M564" s="11" t="n">
        <v>44735</v>
      </c>
      <c r="N564" s="13" t="n">
        <v>3360</v>
      </c>
      <c r="O564" s="6" t="n">
        <v>0</v>
      </c>
      <c r="P564" s="13" t="n">
        <v>0</v>
      </c>
      <c r="Q564" s="22" t="n">
        <v>30</v>
      </c>
      <c r="R564" s="6" t="n">
        <v>2</v>
      </c>
      <c r="U564" s="9" t="n">
        <v>337680000</v>
      </c>
      <c r="V564" s="9" t="n">
        <v>337680000</v>
      </c>
      <c r="W564" s="9" t="n">
        <v>201000</v>
      </c>
      <c r="X564" s="9" t="n">
        <v>76.50660000000001</v>
      </c>
      <c r="AK564" s="7" t="inlineStr">
        <is>
          <t>PYTHON_MULTI_FLOW_LEG</t>
        </is>
      </c>
      <c r="AL564" s="8">
        <f>IF($J564="INR",1,IF($M564&lt;$A564,INDEX(Market_Daily!$F$6:$F$256,MATCH($M564,Market_Daily!$A$6:$A$256,1)),IF($M564=$A564,INDEX(Market_Daily!$F$6:$F$256,MATCH($A564,Market_Daily!$A$6:$A$256,0)),(INDEX(Market_Daily!$F$6:$F$256,MATCH($A564,Market_Daily!$A$6:$A$256,0))*(1+INDEX(Market_Daily!$I$6:$I$256,MATCH($A564,Market_Daily!$A$6:$A$256,0))*($M564-$A564)/day_count_inr)/(1+INDEX(Market_Daily!$J$6:$J$256,MATCH($A564,Market_Daily!$A$6:$A$256,0))*($M564-$A564)/day_count_usd)))))</f>
        <v/>
      </c>
      <c r="AM564" s="8">
        <f>IF(OR($J564="INR",$R564&gt;1),"",$AL564-$X564)</f>
        <v/>
      </c>
      <c r="AN564" s="8">
        <f>$U564</f>
        <v/>
      </c>
      <c r="AO564" s="8">
        <f>$V564</f>
        <v/>
      </c>
      <c r="AP564" s="18">
        <f>$AO564-$V564</f>
        <v/>
      </c>
      <c r="AQ564" s="8">
        <f>IF(ABS($AP564)&lt;=tol_trade_inr,"PASS","FAIL")</f>
        <v/>
      </c>
    </row>
    <row r="565">
      <c r="A565" s="11" t="n">
        <v>44680</v>
      </c>
      <c r="B565" s="7" t="inlineStr">
        <is>
          <t>T02</t>
        </is>
      </c>
      <c r="C565" s="7" t="inlineStr">
        <is>
          <t>BILL_COMMISSION:L1</t>
        </is>
      </c>
      <c r="D565" s="7" t="inlineStr">
        <is>
          <t>BILL_COMMISSION</t>
        </is>
      </c>
      <c r="E565" s="7" t="inlineStr">
        <is>
          <t>physical</t>
        </is>
      </c>
      <c r="F565" s="7" t="inlineStr">
        <is>
          <t>L1</t>
        </is>
      </c>
      <c r="H565" s="7" t="inlineStr">
        <is>
          <t>tense</t>
        </is>
      </c>
      <c r="I565" s="7" t="inlineStr">
        <is>
          <t>JEA_NSA</t>
        </is>
      </c>
      <c r="J565" s="7" t="inlineStr">
        <is>
          <t>USD</t>
        </is>
      </c>
      <c r="K565" s="7" t="inlineStr">
        <is>
          <t>floating</t>
        </is>
      </c>
      <c r="L565" s="7" t="inlineStr">
        <is>
          <t>PNL</t>
        </is>
      </c>
      <c r="M565" s="11" t="n">
        <v>44746</v>
      </c>
      <c r="N565" s="13" t="n">
        <v>0</v>
      </c>
      <c r="O565" s="6" t="n">
        <v>0</v>
      </c>
      <c r="P565" s="13" t="n">
        <v>0</v>
      </c>
      <c r="Q565" s="22" t="n">
        <v>30</v>
      </c>
      <c r="R565" s="6" t="n">
        <v>1</v>
      </c>
      <c r="U565" s="9" t="n">
        <v>-1490.28</v>
      </c>
      <c r="V565" s="9" t="n">
        <v>-114651.31</v>
      </c>
      <c r="X565" s="9" t="n">
        <v>76.9328</v>
      </c>
      <c r="AK565" s="7" t="inlineStr">
        <is>
          <t>PYTHON_LIFECYCLE</t>
        </is>
      </c>
      <c r="AL565" s="8">
        <f>IF($J565="INR",1,IF($M565&lt;$A565,INDEX(Market_Daily!$F$6:$F$256,MATCH($M565,Market_Daily!$A$6:$A$256,1)),IF($M565=$A565,INDEX(Market_Daily!$F$6:$F$256,MATCH($A565,Market_Daily!$A$6:$A$256,0)),(INDEX(Market_Daily!$F$6:$F$256,MATCH($A565,Market_Daily!$A$6:$A$256,0))*(1+INDEX(Market_Daily!$I$6:$I$256,MATCH($A565,Market_Daily!$A$6:$A$256,0))*($M565-$A565)/day_count_inr)/(1+INDEX(Market_Daily!$J$6:$J$256,MATCH($A565,Market_Daily!$A$6:$A$256,0))*($M565-$A565)/day_count_usd)))))</f>
        <v/>
      </c>
      <c r="AM565" s="8">
        <f>IF(OR($J565="INR",$R565&gt;1),"",$AL565-$X565)</f>
        <v/>
      </c>
      <c r="AN565" s="8">
        <f>$U565</f>
        <v/>
      </c>
      <c r="AO565" s="8">
        <f>$AN565*IF($J565="INR",1,$AL565)</f>
        <v/>
      </c>
      <c r="AP565" s="18">
        <f>$AO565-$V565</f>
        <v/>
      </c>
      <c r="AQ565" s="8">
        <f>IF(ABS($AP565)&lt;=tol_trade_inr,"PASS","FAIL")</f>
        <v/>
      </c>
    </row>
    <row r="566">
      <c r="A566" s="11" t="n">
        <v>44680</v>
      </c>
      <c r="B566" s="7" t="inlineStr">
        <is>
          <t>T02</t>
        </is>
      </c>
      <c r="C566" s="7" t="inlineStr">
        <is>
          <t>BILL_COMMISSION:L2</t>
        </is>
      </c>
      <c r="D566" s="7" t="inlineStr">
        <is>
          <t>BILL_COMMISSION</t>
        </is>
      </c>
      <c r="E566" s="7" t="inlineStr">
        <is>
          <t>physical</t>
        </is>
      </c>
      <c r="F566" s="7" t="inlineStr">
        <is>
          <t>L2</t>
        </is>
      </c>
      <c r="H566" s="7" t="inlineStr">
        <is>
          <t>tense</t>
        </is>
      </c>
      <c r="I566" s="7" t="inlineStr">
        <is>
          <t>JEA_NSA</t>
        </is>
      </c>
      <c r="J566" s="7" t="inlineStr">
        <is>
          <t>USD</t>
        </is>
      </c>
      <c r="K566" s="7" t="inlineStr">
        <is>
          <t>floating</t>
        </is>
      </c>
      <c r="L566" s="7" t="inlineStr">
        <is>
          <t>PNL</t>
        </is>
      </c>
      <c r="M566" s="11" t="n">
        <v>44754</v>
      </c>
      <c r="N566" s="13" t="n">
        <v>0</v>
      </c>
      <c r="O566" s="6" t="n">
        <v>0</v>
      </c>
      <c r="P566" s="13" t="n">
        <v>0</v>
      </c>
      <c r="Q566" s="22" t="n">
        <v>30</v>
      </c>
      <c r="R566" s="6" t="n">
        <v>1</v>
      </c>
      <c r="U566" s="9" t="n">
        <v>-1399.51</v>
      </c>
      <c r="V566" s="9" t="n">
        <v>-107740.34</v>
      </c>
      <c r="X566" s="9" t="n">
        <v>76.98439999999999</v>
      </c>
      <c r="AK566" s="7" t="inlineStr">
        <is>
          <t>PYTHON_LIFECYCLE</t>
        </is>
      </c>
      <c r="AL566" s="8">
        <f>IF($J566="INR",1,IF($M566&lt;$A566,INDEX(Market_Daily!$F$6:$F$256,MATCH($M566,Market_Daily!$A$6:$A$256,1)),IF($M566=$A566,INDEX(Market_Daily!$F$6:$F$256,MATCH($A566,Market_Daily!$A$6:$A$256,0)),(INDEX(Market_Daily!$F$6:$F$256,MATCH($A566,Market_Daily!$A$6:$A$256,0))*(1+INDEX(Market_Daily!$I$6:$I$256,MATCH($A566,Market_Daily!$A$6:$A$256,0))*($M566-$A566)/day_count_inr)/(1+INDEX(Market_Daily!$J$6:$J$256,MATCH($A566,Market_Daily!$A$6:$A$256,0))*($M566-$A566)/day_count_usd)))))</f>
        <v/>
      </c>
      <c r="AM566" s="8">
        <f>IF(OR($J566="INR",$R566&gt;1),"",$AL566-$X566)</f>
        <v/>
      </c>
      <c r="AN566" s="8">
        <f>$U566</f>
        <v/>
      </c>
      <c r="AO566" s="8">
        <f>$AN566*IF($J566="INR",1,$AL566)</f>
        <v/>
      </c>
      <c r="AP566" s="18">
        <f>$AO566-$V566</f>
        <v/>
      </c>
      <c r="AQ566" s="8">
        <f>IF(ABS($AP566)&lt;=tol_trade_inr,"PASS","FAIL")</f>
        <v/>
      </c>
    </row>
    <row r="567">
      <c r="A567" s="11" t="n">
        <v>44680</v>
      </c>
      <c r="B567" s="7" t="inlineStr">
        <is>
          <t>T02</t>
        </is>
      </c>
      <c r="C567" s="7" t="inlineStr">
        <is>
          <t>DUTY:L1</t>
        </is>
      </c>
      <c r="D567" s="7" t="inlineStr">
        <is>
          <t>DUTY</t>
        </is>
      </c>
      <c r="E567" s="7" t="inlineStr">
        <is>
          <t>physical</t>
        </is>
      </c>
      <c r="F567" s="7" t="inlineStr">
        <is>
          <t>L1</t>
        </is>
      </c>
      <c r="H567" s="7" t="inlineStr">
        <is>
          <t>tense</t>
        </is>
      </c>
      <c r="I567" s="7" t="inlineStr">
        <is>
          <t>JEA_NSA</t>
        </is>
      </c>
      <c r="J567" s="7" t="inlineStr">
        <is>
          <t>INR</t>
        </is>
      </c>
      <c r="K567" s="7" t="inlineStr">
        <is>
          <t>partially_fixed</t>
        </is>
      </c>
      <c r="L567" s="7" t="inlineStr">
        <is>
          <t>PNL</t>
        </is>
      </c>
      <c r="M567" s="11" t="n">
        <v>44721</v>
      </c>
      <c r="N567" s="13" t="n">
        <v>600</v>
      </c>
      <c r="O567" s="6" t="n">
        <v>0</v>
      </c>
      <c r="P567" s="13" t="n">
        <v>0</v>
      </c>
      <c r="Q567" s="22" t="n">
        <v>30</v>
      </c>
      <c r="R567" s="6" t="n">
        <v>2</v>
      </c>
      <c r="U567" s="9" t="n">
        <v>303536.93</v>
      </c>
      <c r="V567" s="9" t="n">
        <v>303536.93</v>
      </c>
      <c r="X567" s="9" t="n">
        <v>76.50660000000001</v>
      </c>
      <c r="AK567" s="7" t="inlineStr">
        <is>
          <t>PYTHON_MULTI_FLOW_LEG</t>
        </is>
      </c>
      <c r="AL567" s="8">
        <f>IF($J567="INR",1,IF($M567&lt;$A567,INDEX(Market_Daily!$F$6:$F$256,MATCH($M567,Market_Daily!$A$6:$A$256,1)),IF($M567=$A567,INDEX(Market_Daily!$F$6:$F$256,MATCH($A567,Market_Daily!$A$6:$A$256,0)),(INDEX(Market_Daily!$F$6:$F$256,MATCH($A567,Market_Daily!$A$6:$A$256,0))*(1+INDEX(Market_Daily!$I$6:$I$256,MATCH($A567,Market_Daily!$A$6:$A$256,0))*($M567-$A567)/day_count_inr)/(1+INDEX(Market_Daily!$J$6:$J$256,MATCH($A567,Market_Daily!$A$6:$A$256,0))*($M567-$A567)/day_count_usd)))))</f>
        <v/>
      </c>
      <c r="AM567" s="8">
        <f>IF(OR($J567="INR",$R567&gt;1),"",$AL567-$X567)</f>
        <v/>
      </c>
      <c r="AN567" s="8">
        <f>$U567</f>
        <v/>
      </c>
      <c r="AO567" s="8">
        <f>$V567</f>
        <v/>
      </c>
      <c r="AP567" s="18">
        <f>$AO567-$V567</f>
        <v/>
      </c>
      <c r="AQ567" s="8">
        <f>IF(ABS($AP567)&lt;=tol_trade_inr,"PASS","FAIL")</f>
        <v/>
      </c>
    </row>
    <row r="568">
      <c r="A568" s="11" t="n">
        <v>44680</v>
      </c>
      <c r="B568" s="7" t="inlineStr">
        <is>
          <t>T02</t>
        </is>
      </c>
      <c r="C568" s="7" t="inlineStr">
        <is>
          <t>DUTY:L2</t>
        </is>
      </c>
      <c r="D568" s="7" t="inlineStr">
        <is>
          <t>DUTY</t>
        </is>
      </c>
      <c r="E568" s="7" t="inlineStr">
        <is>
          <t>physical</t>
        </is>
      </c>
      <c r="F568" s="7" t="inlineStr">
        <is>
          <t>L2</t>
        </is>
      </c>
      <c r="H568" s="7" t="inlineStr">
        <is>
          <t>tense</t>
        </is>
      </c>
      <c r="I568" s="7" t="inlineStr">
        <is>
          <t>JEA_NSA</t>
        </is>
      </c>
      <c r="J568" s="7" t="inlineStr">
        <is>
          <t>INR</t>
        </is>
      </c>
      <c r="K568" s="7" t="inlineStr">
        <is>
          <t>partially_fixed</t>
        </is>
      </c>
      <c r="L568" s="7" t="inlineStr">
        <is>
          <t>PNL</t>
        </is>
      </c>
      <c r="M568" s="11" t="n">
        <v>44721</v>
      </c>
      <c r="N568" s="13" t="n">
        <v>600</v>
      </c>
      <c r="O568" s="6" t="n">
        <v>0</v>
      </c>
      <c r="P568" s="13" t="n">
        <v>0</v>
      </c>
      <c r="Q568" s="22" t="n">
        <v>30</v>
      </c>
      <c r="R568" s="6" t="n">
        <v>2</v>
      </c>
      <c r="U568" s="9" t="n">
        <v>135189.44</v>
      </c>
      <c r="V568" s="9" t="n">
        <v>135189.44</v>
      </c>
      <c r="X568" s="9" t="n">
        <v>76.50660000000001</v>
      </c>
      <c r="AK568" s="7" t="inlineStr">
        <is>
          <t>PYTHON_MULTI_FLOW_LEG</t>
        </is>
      </c>
      <c r="AL568" s="8">
        <f>IF($J568="INR",1,IF($M568&lt;$A568,INDEX(Market_Daily!$F$6:$F$256,MATCH($M568,Market_Daily!$A$6:$A$256,1)),IF($M568=$A568,INDEX(Market_Daily!$F$6:$F$256,MATCH($A568,Market_Daily!$A$6:$A$256,0)),(INDEX(Market_Daily!$F$6:$F$256,MATCH($A568,Market_Daily!$A$6:$A$256,0))*(1+INDEX(Market_Daily!$I$6:$I$256,MATCH($A568,Market_Daily!$A$6:$A$256,0))*($M568-$A568)/day_count_inr)/(1+INDEX(Market_Daily!$J$6:$J$256,MATCH($A568,Market_Daily!$A$6:$A$256,0))*($M568-$A568)/day_count_usd)))))</f>
        <v/>
      </c>
      <c r="AM568" s="8">
        <f>IF(OR($J568="INR",$R568&gt;1),"",$AL568-$X568)</f>
        <v/>
      </c>
      <c r="AN568" s="8">
        <f>$U568</f>
        <v/>
      </c>
      <c r="AO568" s="8">
        <f>$V568</f>
        <v/>
      </c>
      <c r="AP568" s="18">
        <f>$AO568-$V568</f>
        <v/>
      </c>
      <c r="AQ568" s="8">
        <f>IF(ABS($AP568)&lt;=tol_trade_inr,"PASS","FAIL")</f>
        <v/>
      </c>
    </row>
    <row r="569">
      <c r="A569" s="11" t="n">
        <v>44680</v>
      </c>
      <c r="B569" s="7" t="inlineStr">
        <is>
          <t>T02</t>
        </is>
      </c>
      <c r="C569" s="7" t="inlineStr">
        <is>
          <t>FX:T02-FX-1</t>
        </is>
      </c>
      <c r="D569" s="7" t="inlineStr">
        <is>
          <t>FX</t>
        </is>
      </c>
      <c r="E569" s="7" t="inlineStr">
        <is>
          <t>fx_forward</t>
        </is>
      </c>
      <c r="H569" s="7" t="inlineStr">
        <is>
          <t>tense</t>
        </is>
      </c>
      <c r="I569" s="7" t="inlineStr">
        <is>
          <t>JEA_NSA</t>
        </is>
      </c>
      <c r="J569" s="7" t="inlineStr">
        <is>
          <t>INR</t>
        </is>
      </c>
      <c r="K569" s="7" t="inlineStr">
        <is>
          <t>floating</t>
        </is>
      </c>
      <c r="L569" s="7" t="inlineStr">
        <is>
          <t>PNL</t>
        </is>
      </c>
      <c r="M569" s="11" t="n">
        <v>44746</v>
      </c>
      <c r="N569" s="13" t="n">
        <v>0</v>
      </c>
      <c r="O569" s="6" t="n">
        <v>0</v>
      </c>
      <c r="P569" s="13" t="n">
        <v>1241900</v>
      </c>
      <c r="Q569" s="22" t="n">
        <v>30</v>
      </c>
      <c r="R569" s="6" t="n">
        <v>1</v>
      </c>
      <c r="S569" s="12" t="n">
        <v>44746</v>
      </c>
      <c r="T569" s="21" t="n">
        <v>76.040598</v>
      </c>
      <c r="U569" s="9" t="n">
        <v>1108028.19</v>
      </c>
      <c r="V569" s="9" t="n">
        <v>1108028.19</v>
      </c>
      <c r="X569" s="9" t="n">
        <v>76.50660000000001</v>
      </c>
      <c r="AK569" s="7" t="inlineStr">
        <is>
          <t>DERIVED_IN_WORKBOOK</t>
        </is>
      </c>
      <c r="AL569" s="8">
        <f>IF($J569="INR",1,IF($M569&lt;$A569,INDEX(Market_Daily!$F$6:$F$256,MATCH($M569,Market_Daily!$A$6:$A$256,1)),IF($M569=$A569,INDEX(Market_Daily!$F$6:$F$256,MATCH($A569,Market_Daily!$A$6:$A$256,0)),(INDEX(Market_Daily!$F$6:$F$256,MATCH($A569,Market_Daily!$A$6:$A$256,0))*(1+INDEX(Market_Daily!$I$6:$I$256,MATCH($A569,Market_Daily!$A$6:$A$256,0))*($M569-$A569)/day_count_inr)/(1+INDEX(Market_Daily!$J$6:$J$256,MATCH($A569,Market_Daily!$A$6:$A$256,0))*($M569-$A569)/day_count_usd)))))</f>
        <v/>
      </c>
      <c r="AM569" s="8">
        <f>IF(OR($J569="INR",$R569&gt;1),"",$AL569-$X569)</f>
        <v/>
      </c>
      <c r="AN569" s="8">
        <f>$P569*(IF($S569&lt;$A569,INDEX(Market_Daily!$F$6:$F$256,MATCH($S569,Market_Daily!$A$6:$A$256,1)),IF($S569=$A569,INDEX(Market_Daily!$F$6:$F$256,MATCH($A569,Market_Daily!$A$6:$A$256,0)),(INDEX(Market_Daily!$F$6:$F$256,MATCH($A569,Market_Daily!$A$6:$A$256,0))*(1+INDEX(Market_Daily!$I$6:$I$256,MATCH($A569,Market_Daily!$A$6:$A$256,0))*($S569-$A569)/day_count_inr)/(1+INDEX(Market_Daily!$J$6:$J$256,MATCH($A569,Market_Daily!$A$6:$A$256,0))*($S569-$A569)/day_count_usd))))-$T569)</f>
        <v/>
      </c>
      <c r="AO569" s="8">
        <f>$AN569</f>
        <v/>
      </c>
      <c r="AP569" s="18">
        <f>$AO569-$V569</f>
        <v/>
      </c>
      <c r="AQ569" s="8">
        <f>IF(ABS($AP569)&lt;=tol_trade_inr,"PASS","FAIL")</f>
        <v/>
      </c>
    </row>
    <row r="570">
      <c r="A570" s="11" t="n">
        <v>44680</v>
      </c>
      <c r="B570" s="7" t="inlineStr">
        <is>
          <t>T02</t>
        </is>
      </c>
      <c r="C570" s="7" t="inlineStr">
        <is>
          <t>FX:T02-FX-2</t>
        </is>
      </c>
      <c r="D570" s="7" t="inlineStr">
        <is>
          <t>FX</t>
        </is>
      </c>
      <c r="E570" s="7" t="inlineStr">
        <is>
          <t>fx_forward</t>
        </is>
      </c>
      <c r="H570" s="7" t="inlineStr">
        <is>
          <t>tense</t>
        </is>
      </c>
      <c r="I570" s="7" t="inlineStr">
        <is>
          <t>JEA_NSA</t>
        </is>
      </c>
      <c r="J570" s="7" t="inlineStr">
        <is>
          <t>INR</t>
        </is>
      </c>
      <c r="K570" s="7" t="inlineStr">
        <is>
          <t>floating</t>
        </is>
      </c>
      <c r="L570" s="7" t="inlineStr">
        <is>
          <t>PNL</t>
        </is>
      </c>
      <c r="M570" s="11" t="n">
        <v>44754</v>
      </c>
      <c r="N570" s="13" t="n">
        <v>0</v>
      </c>
      <c r="O570" s="6" t="n">
        <v>0</v>
      </c>
      <c r="P570" s="13" t="n">
        <v>1166000</v>
      </c>
      <c r="Q570" s="22" t="n">
        <v>30</v>
      </c>
      <c r="R570" s="6" t="n">
        <v>1</v>
      </c>
      <c r="S570" s="12" t="n">
        <v>44754</v>
      </c>
      <c r="T570" s="21" t="n">
        <v>76.878636</v>
      </c>
      <c r="U570" s="9" t="n">
        <v>123291.08</v>
      </c>
      <c r="V570" s="9" t="n">
        <v>123291.08</v>
      </c>
      <c r="X570" s="9" t="n">
        <v>76.50660000000001</v>
      </c>
      <c r="AK570" s="7" t="inlineStr">
        <is>
          <t>DERIVED_IN_WORKBOOK</t>
        </is>
      </c>
      <c r="AL570" s="8">
        <f>IF($J570="INR",1,IF($M570&lt;$A570,INDEX(Market_Daily!$F$6:$F$256,MATCH($M570,Market_Daily!$A$6:$A$256,1)),IF($M570=$A570,INDEX(Market_Daily!$F$6:$F$256,MATCH($A570,Market_Daily!$A$6:$A$256,0)),(INDEX(Market_Daily!$F$6:$F$256,MATCH($A570,Market_Daily!$A$6:$A$256,0))*(1+INDEX(Market_Daily!$I$6:$I$256,MATCH($A570,Market_Daily!$A$6:$A$256,0))*($M570-$A570)/day_count_inr)/(1+INDEX(Market_Daily!$J$6:$J$256,MATCH($A570,Market_Daily!$A$6:$A$256,0))*($M570-$A570)/day_count_usd)))))</f>
        <v/>
      </c>
      <c r="AM570" s="8">
        <f>IF(OR($J570="INR",$R570&gt;1),"",$AL570-$X570)</f>
        <v/>
      </c>
      <c r="AN570" s="8">
        <f>$P570*(IF($S570&lt;$A570,INDEX(Market_Daily!$F$6:$F$256,MATCH($S570,Market_Daily!$A$6:$A$256,1)),IF($S570=$A570,INDEX(Market_Daily!$F$6:$F$256,MATCH($A570,Market_Daily!$A$6:$A$256,0)),(INDEX(Market_Daily!$F$6:$F$256,MATCH($A570,Market_Daily!$A$6:$A$256,0))*(1+INDEX(Market_Daily!$I$6:$I$256,MATCH($A570,Market_Daily!$A$6:$A$256,0))*($S570-$A570)/day_count_inr)/(1+INDEX(Market_Daily!$J$6:$J$256,MATCH($A570,Market_Daily!$A$6:$A$256,0))*($S570-$A570)/day_count_usd))))-$T570)</f>
        <v/>
      </c>
      <c r="AO570" s="8">
        <f>$AN570</f>
        <v/>
      </c>
      <c r="AP570" s="18">
        <f>$AO570-$V570</f>
        <v/>
      </c>
      <c r="AQ570" s="8">
        <f>IF(ABS($AP570)&lt;=tol_trade_inr,"PASS","FAIL")</f>
        <v/>
      </c>
    </row>
    <row r="571">
      <c r="A571" s="11" t="n">
        <v>44680</v>
      </c>
      <c r="B571" s="7" t="inlineStr">
        <is>
          <t>T02</t>
        </is>
      </c>
      <c r="C571" s="7" t="inlineStr">
        <is>
          <t>IGST:L1</t>
        </is>
      </c>
      <c r="D571" s="7" t="inlineStr">
        <is>
          <t>IGST</t>
        </is>
      </c>
      <c r="E571" s="7" t="inlineStr">
        <is>
          <t>physical</t>
        </is>
      </c>
      <c r="F571" s="7" t="inlineStr">
        <is>
          <t>L1</t>
        </is>
      </c>
      <c r="H571" s="7" t="inlineStr">
        <is>
          <t>tense</t>
        </is>
      </c>
      <c r="I571" s="7" t="inlineStr">
        <is>
          <t>JEA_NSA</t>
        </is>
      </c>
      <c r="J571" s="7" t="inlineStr">
        <is>
          <t>INR</t>
        </is>
      </c>
      <c r="K571" s="7" t="inlineStr">
        <is>
          <t>fixed_unsettled</t>
        </is>
      </c>
      <c r="L571" s="7" t="inlineStr">
        <is>
          <t>BS</t>
        </is>
      </c>
      <c r="M571" s="11" t="n">
        <v>44707</v>
      </c>
      <c r="N571" s="13" t="n">
        <v>0</v>
      </c>
      <c r="O571" s="6" t="n">
        <v>0</v>
      </c>
      <c r="P571" s="13" t="n">
        <v>0</v>
      </c>
      <c r="Q571" s="22" t="n">
        <v>30</v>
      </c>
      <c r="R571" s="6" t="n">
        <v>2</v>
      </c>
      <c r="U571" s="9" t="n">
        <v>0</v>
      </c>
      <c r="V571" s="9" t="n">
        <v>0</v>
      </c>
      <c r="X571" s="9" t="n">
        <v>76.50660000000001</v>
      </c>
      <c r="AK571" s="7" t="inlineStr">
        <is>
          <t>PYTHON_MULTI_FLOW_LEG</t>
        </is>
      </c>
      <c r="AL571" s="8">
        <f>IF($J571="INR",1,IF($M571&lt;$A571,INDEX(Market_Daily!$F$6:$F$256,MATCH($M571,Market_Daily!$A$6:$A$256,1)),IF($M571=$A571,INDEX(Market_Daily!$F$6:$F$256,MATCH($A571,Market_Daily!$A$6:$A$256,0)),(INDEX(Market_Daily!$F$6:$F$256,MATCH($A571,Market_Daily!$A$6:$A$256,0))*(1+INDEX(Market_Daily!$I$6:$I$256,MATCH($A571,Market_Daily!$A$6:$A$256,0))*($M571-$A571)/day_count_inr)/(1+INDEX(Market_Daily!$J$6:$J$256,MATCH($A571,Market_Daily!$A$6:$A$256,0))*($M571-$A571)/day_count_usd)))))</f>
        <v/>
      </c>
      <c r="AM571" s="8">
        <f>IF(OR($J571="INR",$R571&gt;1),"",$AL571-$X571)</f>
        <v/>
      </c>
      <c r="AN571" s="8">
        <f>$U571</f>
        <v/>
      </c>
      <c r="AO571" s="8">
        <f>$V571</f>
        <v/>
      </c>
      <c r="AP571" s="18">
        <f>$AO571-$V571</f>
        <v/>
      </c>
      <c r="AQ571" s="8">
        <f>IF(ABS($AP571)&lt;=tol_trade_inr,"PASS","FAIL")</f>
        <v/>
      </c>
    </row>
    <row r="572">
      <c r="A572" s="11" t="n">
        <v>44680</v>
      </c>
      <c r="B572" s="7" t="inlineStr">
        <is>
          <t>T02</t>
        </is>
      </c>
      <c r="C572" s="7" t="inlineStr">
        <is>
          <t>IGST:L2</t>
        </is>
      </c>
      <c r="D572" s="7" t="inlineStr">
        <is>
          <t>IGST</t>
        </is>
      </c>
      <c r="E572" s="7" t="inlineStr">
        <is>
          <t>physical</t>
        </is>
      </c>
      <c r="F572" s="7" t="inlineStr">
        <is>
          <t>L2</t>
        </is>
      </c>
      <c r="H572" s="7" t="inlineStr">
        <is>
          <t>tense</t>
        </is>
      </c>
      <c r="I572" s="7" t="inlineStr">
        <is>
          <t>JEA_NSA</t>
        </is>
      </c>
      <c r="J572" s="7" t="inlineStr">
        <is>
          <t>INR</t>
        </is>
      </c>
      <c r="K572" s="7" t="inlineStr">
        <is>
          <t>fixed_unsettled</t>
        </is>
      </c>
      <c r="L572" s="7" t="inlineStr">
        <is>
          <t>BS</t>
        </is>
      </c>
      <c r="M572" s="11" t="n">
        <v>44718</v>
      </c>
      <c r="N572" s="13" t="n">
        <v>0</v>
      </c>
      <c r="O572" s="6" t="n">
        <v>0</v>
      </c>
      <c r="P572" s="13" t="n">
        <v>0</v>
      </c>
      <c r="Q572" s="22" t="n">
        <v>30</v>
      </c>
      <c r="R572" s="6" t="n">
        <v>2</v>
      </c>
      <c r="U572" s="9" t="n">
        <v>0</v>
      </c>
      <c r="V572" s="9" t="n">
        <v>0</v>
      </c>
      <c r="X572" s="9" t="n">
        <v>76.50660000000001</v>
      </c>
      <c r="AK572" s="7" t="inlineStr">
        <is>
          <t>PYTHON_MULTI_FLOW_LEG</t>
        </is>
      </c>
      <c r="AL572" s="8">
        <f>IF($J572="INR",1,IF($M572&lt;$A572,INDEX(Market_Daily!$F$6:$F$256,MATCH($M572,Market_Daily!$A$6:$A$256,1)),IF($M572=$A572,INDEX(Market_Daily!$F$6:$F$256,MATCH($A572,Market_Daily!$A$6:$A$256,0)),(INDEX(Market_Daily!$F$6:$F$256,MATCH($A572,Market_Daily!$A$6:$A$256,0))*(1+INDEX(Market_Daily!$I$6:$I$256,MATCH($A572,Market_Daily!$A$6:$A$256,0))*($M572-$A572)/day_count_inr)/(1+INDEX(Market_Daily!$J$6:$J$256,MATCH($A572,Market_Daily!$A$6:$A$256,0))*($M572-$A572)/day_count_usd)))))</f>
        <v/>
      </c>
      <c r="AM572" s="8">
        <f>IF(OR($J572="INR",$R572&gt;1),"",$AL572-$X572)</f>
        <v/>
      </c>
      <c r="AN572" s="8">
        <f>$U572</f>
        <v/>
      </c>
      <c r="AO572" s="8">
        <f>$V572</f>
        <v/>
      </c>
      <c r="AP572" s="18">
        <f>$AO572-$V572</f>
        <v/>
      </c>
      <c r="AQ572" s="8">
        <f>IF(ABS($AP572)&lt;=tol_trade_inr,"PASS","FAIL")</f>
        <v/>
      </c>
    </row>
    <row r="573">
      <c r="A573" s="11" t="n">
        <v>44680</v>
      </c>
      <c r="B573" s="7" t="inlineStr">
        <is>
          <t>T02</t>
        </is>
      </c>
      <c r="C573" s="7" t="inlineStr">
        <is>
          <t>MCX:T02-MCX-4</t>
        </is>
      </c>
      <c r="D573" s="7" t="inlineStr">
        <is>
          <t>MCX</t>
        </is>
      </c>
      <c r="E573" s="7" t="inlineStr">
        <is>
          <t>mcx</t>
        </is>
      </c>
      <c r="H573" s="7" t="inlineStr">
        <is>
          <t>tense</t>
        </is>
      </c>
      <c r="I573" s="7" t="inlineStr">
        <is>
          <t>JEA_NSA</t>
        </is>
      </c>
      <c r="J573" s="7" t="inlineStr">
        <is>
          <t>INR</t>
        </is>
      </c>
      <c r="K573" s="7" t="inlineStr">
        <is>
          <t>partially_fixed</t>
        </is>
      </c>
      <c r="L573" s="7" t="inlineStr">
        <is>
          <t>PNL</t>
        </is>
      </c>
      <c r="M573" s="11" t="n">
        <v>44698</v>
      </c>
      <c r="N573" s="13" t="n">
        <v>0</v>
      </c>
      <c r="O573" s="6" t="n">
        <v>145</v>
      </c>
      <c r="P573" s="13" t="n">
        <v>0</v>
      </c>
      <c r="Q573" s="22" t="n">
        <v>30</v>
      </c>
      <c r="R573" s="6" t="n">
        <v>16</v>
      </c>
      <c r="U573" s="9" t="n">
        <v>0</v>
      </c>
      <c r="V573" s="9" t="n">
        <v>0</v>
      </c>
      <c r="X573" s="9" t="n">
        <v>76.50660000000001</v>
      </c>
      <c r="AK573" s="7" t="inlineStr">
        <is>
          <t>PYTHON_MULTI_FLOW_LEG</t>
        </is>
      </c>
      <c r="AL573" s="8">
        <f>IF($J573="INR",1,IF($M573&lt;$A573,INDEX(Market_Daily!$F$6:$F$256,MATCH($M573,Market_Daily!$A$6:$A$256,1)),IF($M573=$A573,INDEX(Market_Daily!$F$6:$F$256,MATCH($A573,Market_Daily!$A$6:$A$256,0)),(INDEX(Market_Daily!$F$6:$F$256,MATCH($A573,Market_Daily!$A$6:$A$256,0))*(1+INDEX(Market_Daily!$I$6:$I$256,MATCH($A573,Market_Daily!$A$6:$A$256,0))*($M573-$A573)/day_count_inr)/(1+INDEX(Market_Daily!$J$6:$J$256,MATCH($A573,Market_Daily!$A$6:$A$256,0))*($M573-$A573)/day_count_usd)))))</f>
        <v/>
      </c>
      <c r="AM573" s="8">
        <f>IF(OR($J573="INR",$R573&gt;1),"",$AL573-$X573)</f>
        <v/>
      </c>
      <c r="AN573" s="8">
        <f>$U573</f>
        <v/>
      </c>
      <c r="AO573" s="8">
        <f>$V573</f>
        <v/>
      </c>
      <c r="AP573" s="18">
        <f>$AO573-$V573</f>
        <v/>
      </c>
      <c r="AQ573" s="8">
        <f>IF(ABS($AP573)&lt;=tol_trade_inr,"PASS","FAIL")</f>
        <v/>
      </c>
    </row>
    <row r="574">
      <c r="A574" s="11" t="n">
        <v>44680</v>
      </c>
      <c r="B574" s="7" t="inlineStr">
        <is>
          <t>T02</t>
        </is>
      </c>
      <c r="C574" s="7" t="inlineStr">
        <is>
          <t>PURCHASE:L1</t>
        </is>
      </c>
      <c r="D574" s="7" t="inlineStr">
        <is>
          <t>PURCHASE</t>
        </is>
      </c>
      <c r="E574" s="7" t="inlineStr">
        <is>
          <t>physical</t>
        </is>
      </c>
      <c r="F574" s="7" t="inlineStr">
        <is>
          <t>L1</t>
        </is>
      </c>
      <c r="G574" s="7" t="inlineStr">
        <is>
          <t>SUP_JEA_01</t>
        </is>
      </c>
      <c r="H574" s="7" t="inlineStr">
        <is>
          <t>tense</t>
        </is>
      </c>
      <c r="I574" s="7" t="inlineStr">
        <is>
          <t>JEA_NSA</t>
        </is>
      </c>
      <c r="J574" s="7" t="inlineStr">
        <is>
          <t>USD</t>
        </is>
      </c>
      <c r="K574" s="7" t="inlineStr">
        <is>
          <t>partially_fixed</t>
        </is>
      </c>
      <c r="L574" s="7" t="inlineStr">
        <is>
          <t>PNL</t>
        </is>
      </c>
      <c r="M574" s="11" t="n">
        <v>44746</v>
      </c>
      <c r="N574" s="13" t="n">
        <v>1200</v>
      </c>
      <c r="O574" s="6" t="n">
        <v>0</v>
      </c>
      <c r="P574" s="13" t="n">
        <v>0</v>
      </c>
      <c r="Q574" s="22" t="n">
        <v>30</v>
      </c>
      <c r="R574" s="6" t="n">
        <v>2</v>
      </c>
      <c r="U574" s="9" t="n">
        <v>-1163699.78</v>
      </c>
      <c r="V574" s="9" t="n">
        <v>-89539297.29000001</v>
      </c>
      <c r="X574" s="9" t="n">
        <v>76.9328</v>
      </c>
      <c r="AK574" s="7" t="inlineStr">
        <is>
          <t>PYTHON_MULTI_FLOW_LEG</t>
        </is>
      </c>
      <c r="AL574" s="8">
        <f>IF($J574="INR",1,IF($M574&lt;$A574,INDEX(Market_Daily!$F$6:$F$256,MATCH($M574,Market_Daily!$A$6:$A$256,1)),IF($M574=$A574,INDEX(Market_Daily!$F$6:$F$256,MATCH($A574,Market_Daily!$A$6:$A$256,0)),(INDEX(Market_Daily!$F$6:$F$256,MATCH($A574,Market_Daily!$A$6:$A$256,0))*(1+INDEX(Market_Daily!$I$6:$I$256,MATCH($A574,Market_Daily!$A$6:$A$256,0))*($M574-$A574)/day_count_inr)/(1+INDEX(Market_Daily!$J$6:$J$256,MATCH($A574,Market_Daily!$A$6:$A$256,0))*($M574-$A574)/day_count_usd)))))</f>
        <v/>
      </c>
      <c r="AM574" s="8">
        <f>IF(OR($J574="INR",$R574&gt;1),"",$AL574-$X574)</f>
        <v/>
      </c>
      <c r="AN574" s="8">
        <f>$U574</f>
        <v/>
      </c>
      <c r="AO574" s="8">
        <f>$V574</f>
        <v/>
      </c>
      <c r="AP574" s="18">
        <f>$AO574-$V574</f>
        <v/>
      </c>
      <c r="AQ574" s="8">
        <f>IF(ABS($AP574)&lt;=tol_trade_inr,"PASS","FAIL")</f>
        <v/>
      </c>
    </row>
    <row r="575">
      <c r="A575" s="11" t="n">
        <v>44680</v>
      </c>
      <c r="B575" s="7" t="inlineStr">
        <is>
          <t>T02</t>
        </is>
      </c>
      <c r="C575" s="7" t="inlineStr">
        <is>
          <t>PURCHASE:L2</t>
        </is>
      </c>
      <c r="D575" s="7" t="inlineStr">
        <is>
          <t>PURCHASE</t>
        </is>
      </c>
      <c r="E575" s="7" t="inlineStr">
        <is>
          <t>physical</t>
        </is>
      </c>
      <c r="F575" s="7" t="inlineStr">
        <is>
          <t>L2</t>
        </is>
      </c>
      <c r="G575" s="7" t="inlineStr">
        <is>
          <t>SUP_JEA_01</t>
        </is>
      </c>
      <c r="H575" s="7" t="inlineStr">
        <is>
          <t>tense</t>
        </is>
      </c>
      <c r="I575" s="7" t="inlineStr">
        <is>
          <t>JEA_NSA</t>
        </is>
      </c>
      <c r="J575" s="7" t="inlineStr">
        <is>
          <t>USD</t>
        </is>
      </c>
      <c r="K575" s="7" t="inlineStr">
        <is>
          <t>partially_fixed</t>
        </is>
      </c>
      <c r="L575" s="7" t="inlineStr">
        <is>
          <t>PNL</t>
        </is>
      </c>
      <c r="M575" s="11" t="n">
        <v>44754</v>
      </c>
      <c r="N575" s="13" t="n">
        <v>1200</v>
      </c>
      <c r="O575" s="6" t="n">
        <v>0</v>
      </c>
      <c r="P575" s="13" t="n">
        <v>0</v>
      </c>
      <c r="Q575" s="22" t="n">
        <v>30</v>
      </c>
      <c r="R575" s="6" t="n">
        <v>2</v>
      </c>
      <c r="U575" s="9" t="n">
        <v>-1163699.78</v>
      </c>
      <c r="V575" s="9" t="n">
        <v>-89587244.68000001</v>
      </c>
      <c r="X575" s="9" t="n">
        <v>76.98439999999999</v>
      </c>
      <c r="AK575" s="7" t="inlineStr">
        <is>
          <t>PYTHON_MULTI_FLOW_LEG</t>
        </is>
      </c>
      <c r="AL575" s="8">
        <f>IF($J575="INR",1,IF($M575&lt;$A575,INDEX(Market_Daily!$F$6:$F$256,MATCH($M575,Market_Daily!$A$6:$A$256,1)),IF($M575=$A575,INDEX(Market_Daily!$F$6:$F$256,MATCH($A575,Market_Daily!$A$6:$A$256,0)),(INDEX(Market_Daily!$F$6:$F$256,MATCH($A575,Market_Daily!$A$6:$A$256,0))*(1+INDEX(Market_Daily!$I$6:$I$256,MATCH($A575,Market_Daily!$A$6:$A$256,0))*($M575-$A575)/day_count_inr)/(1+INDEX(Market_Daily!$J$6:$J$256,MATCH($A575,Market_Daily!$A$6:$A$256,0))*($M575-$A575)/day_count_usd)))))</f>
        <v/>
      </c>
      <c r="AM575" s="8">
        <f>IF(OR($J575="INR",$R575&gt;1),"",$AL575-$X575)</f>
        <v/>
      </c>
      <c r="AN575" s="8">
        <f>$U575</f>
        <v/>
      </c>
      <c r="AO575" s="8">
        <f>$V575</f>
        <v/>
      </c>
      <c r="AP575" s="18">
        <f>$AO575-$V575</f>
        <v/>
      </c>
      <c r="AQ575" s="8">
        <f>IF(ABS($AP575)&lt;=tol_trade_inr,"PASS","FAIL")</f>
        <v/>
      </c>
    </row>
    <row r="576">
      <c r="A576" s="11" t="n">
        <v>44680</v>
      </c>
      <c r="B576" s="7" t="inlineStr">
        <is>
          <t>T02</t>
        </is>
      </c>
      <c r="C576" s="7" t="inlineStr">
        <is>
          <t>SALE:S1</t>
        </is>
      </c>
      <c r="D576" s="7" t="inlineStr">
        <is>
          <t>SALE</t>
        </is>
      </c>
      <c r="E576" s="7" t="inlineStr">
        <is>
          <t>physical</t>
        </is>
      </c>
      <c r="G576" s="7" t="inlineStr">
        <is>
          <t>BUY_JNPT_01</t>
        </is>
      </c>
      <c r="H576" s="7" t="inlineStr">
        <is>
          <t>tense</t>
        </is>
      </c>
      <c r="I576" s="7" t="inlineStr">
        <is>
          <t>JEA_NSA</t>
        </is>
      </c>
      <c r="J576" s="7" t="inlineStr">
        <is>
          <t>INR</t>
        </is>
      </c>
      <c r="K576" s="7" t="inlineStr">
        <is>
          <t>fixed_unsettled</t>
        </is>
      </c>
      <c r="L576" s="7" t="inlineStr">
        <is>
          <t>PNL</t>
        </is>
      </c>
      <c r="M576" s="11" t="n">
        <v>44711</v>
      </c>
      <c r="N576" s="13" t="n">
        <v>1200</v>
      </c>
      <c r="O576" s="6" t="n">
        <v>0</v>
      </c>
      <c r="P576" s="13" t="n">
        <v>0</v>
      </c>
      <c r="Q576" s="22" t="n">
        <v>30</v>
      </c>
      <c r="R576" s="6" t="n">
        <v>1</v>
      </c>
      <c r="U576" s="9" t="n">
        <v>225595288.67</v>
      </c>
      <c r="V576" s="9" t="n">
        <v>225595288.67</v>
      </c>
      <c r="W576" s="9" t="n">
        <v>187996.0739</v>
      </c>
      <c r="X576" s="9" t="n">
        <v>76.50660000000001</v>
      </c>
      <c r="AK576" s="7" t="inlineStr">
        <is>
          <t>PYTHON_LIFECYCLE</t>
        </is>
      </c>
      <c r="AL576" s="8">
        <f>IF($J576="INR",1,IF($M576&lt;$A576,INDEX(Market_Daily!$F$6:$F$256,MATCH($M576,Market_Daily!$A$6:$A$256,1)),IF($M576=$A576,INDEX(Market_Daily!$F$6:$F$256,MATCH($A576,Market_Daily!$A$6:$A$256,0)),(INDEX(Market_Daily!$F$6:$F$256,MATCH($A576,Market_Daily!$A$6:$A$256,0))*(1+INDEX(Market_Daily!$I$6:$I$256,MATCH($A576,Market_Daily!$A$6:$A$256,0))*($M576-$A576)/day_count_inr)/(1+INDEX(Market_Daily!$J$6:$J$256,MATCH($A576,Market_Daily!$A$6:$A$256,0))*($M576-$A576)/day_count_usd)))))</f>
        <v/>
      </c>
      <c r="AM576" s="8">
        <f>IF(OR($J576="INR",$R576&gt;1),"",$AL576-$X576)</f>
        <v/>
      </c>
      <c r="AN576" s="8">
        <f>$U576</f>
        <v/>
      </c>
      <c r="AO576" s="8">
        <f>$AN576*IF($J576="INR",1,$AL576)</f>
        <v/>
      </c>
      <c r="AP576" s="18">
        <f>$AO576-$V576</f>
        <v/>
      </c>
      <c r="AQ576" s="8">
        <f>IF(ABS($AP576)&lt;=tol_trade_inr,"PASS","FAIL")</f>
        <v/>
      </c>
    </row>
    <row r="577">
      <c r="A577" s="11" t="n">
        <v>44680</v>
      </c>
      <c r="B577" s="7" t="inlineStr">
        <is>
          <t>T02</t>
        </is>
      </c>
      <c r="C577" s="7" t="inlineStr">
        <is>
          <t>USANCE_INTEREST:L1</t>
        </is>
      </c>
      <c r="D577" s="7" t="inlineStr">
        <is>
          <t>USANCE_INTEREST</t>
        </is>
      </c>
      <c r="E577" s="7" t="inlineStr">
        <is>
          <t>physical</t>
        </is>
      </c>
      <c r="F577" s="7" t="inlineStr">
        <is>
          <t>L1</t>
        </is>
      </c>
      <c r="H577" s="7" t="inlineStr">
        <is>
          <t>tense</t>
        </is>
      </c>
      <c r="I577" s="7" t="inlineStr">
        <is>
          <t>JEA_NSA</t>
        </is>
      </c>
      <c r="J577" s="7" t="inlineStr">
        <is>
          <t>USD</t>
        </is>
      </c>
      <c r="K577" s="7" t="inlineStr">
        <is>
          <t>fixed_unsettled</t>
        </is>
      </c>
      <c r="L577" s="7" t="inlineStr">
        <is>
          <t>PNL</t>
        </is>
      </c>
      <c r="M577" s="11" t="n">
        <v>44746</v>
      </c>
      <c r="N577" s="13" t="n">
        <v>0</v>
      </c>
      <c r="O577" s="6" t="n">
        <v>0</v>
      </c>
      <c r="P577" s="13" t="n">
        <v>0</v>
      </c>
      <c r="Q577" s="22" t="n">
        <v>30</v>
      </c>
      <c r="R577" s="6" t="n">
        <v>1</v>
      </c>
      <c r="U577" s="9" t="n">
        <v>-6953.7</v>
      </c>
      <c r="V577" s="9" t="n">
        <v>-534967.8100000001</v>
      </c>
      <c r="X577" s="9" t="n">
        <v>76.9328</v>
      </c>
      <c r="AK577" s="7" t="inlineStr">
        <is>
          <t>PYTHON_LIFECYCLE</t>
        </is>
      </c>
      <c r="AL577" s="8">
        <f>IF($J577="INR",1,IF($M577&lt;$A577,INDEX(Market_Daily!$F$6:$F$256,MATCH($M577,Market_Daily!$A$6:$A$256,1)),IF($M577=$A577,INDEX(Market_Daily!$F$6:$F$256,MATCH($A577,Market_Daily!$A$6:$A$256,0)),(INDEX(Market_Daily!$F$6:$F$256,MATCH($A577,Market_Daily!$A$6:$A$256,0))*(1+INDEX(Market_Daily!$I$6:$I$256,MATCH($A577,Market_Daily!$A$6:$A$256,0))*($M577-$A577)/day_count_inr)/(1+INDEX(Market_Daily!$J$6:$J$256,MATCH($A577,Market_Daily!$A$6:$A$256,0))*($M577-$A577)/day_count_usd)))))</f>
        <v/>
      </c>
      <c r="AM577" s="8">
        <f>IF(OR($J577="INR",$R577&gt;1),"",$AL577-$X577)</f>
        <v/>
      </c>
      <c r="AN577" s="8">
        <f>$U577</f>
        <v/>
      </c>
      <c r="AO577" s="8">
        <f>$AN577*IF($J577="INR",1,$AL577)</f>
        <v/>
      </c>
      <c r="AP577" s="18">
        <f>$AO577-$V577</f>
        <v/>
      </c>
      <c r="AQ577" s="8">
        <f>IF(ABS($AP577)&lt;=tol_trade_inr,"PASS","FAIL")</f>
        <v/>
      </c>
    </row>
    <row r="578">
      <c r="A578" s="11" t="n">
        <v>44680</v>
      </c>
      <c r="B578" s="7" t="inlineStr">
        <is>
          <t>T02</t>
        </is>
      </c>
      <c r="C578" s="7" t="inlineStr">
        <is>
          <t>USANCE_INTEREST:L2</t>
        </is>
      </c>
      <c r="D578" s="7" t="inlineStr">
        <is>
          <t>USANCE_INTEREST</t>
        </is>
      </c>
      <c r="E578" s="7" t="inlineStr">
        <is>
          <t>physical</t>
        </is>
      </c>
      <c r="F578" s="7" t="inlineStr">
        <is>
          <t>L2</t>
        </is>
      </c>
      <c r="H578" s="7" t="inlineStr">
        <is>
          <t>tense</t>
        </is>
      </c>
      <c r="I578" s="7" t="inlineStr">
        <is>
          <t>JEA_NSA</t>
        </is>
      </c>
      <c r="J578" s="7" t="inlineStr">
        <is>
          <t>USD</t>
        </is>
      </c>
      <c r="K578" s="7" t="inlineStr">
        <is>
          <t>fixed_unsettled</t>
        </is>
      </c>
      <c r="L578" s="7" t="inlineStr">
        <is>
          <t>PNL</t>
        </is>
      </c>
      <c r="M578" s="11" t="n">
        <v>44754</v>
      </c>
      <c r="N578" s="13" t="n">
        <v>0</v>
      </c>
      <c r="O578" s="6" t="n">
        <v>0</v>
      </c>
      <c r="P578" s="13" t="n">
        <v>0</v>
      </c>
      <c r="Q578" s="22" t="n">
        <v>30</v>
      </c>
      <c r="R578" s="6" t="n">
        <v>1</v>
      </c>
      <c r="U578" s="9" t="n">
        <v>-6760.21</v>
      </c>
      <c r="V578" s="9" t="n">
        <v>-520430.72</v>
      </c>
      <c r="X578" s="9" t="n">
        <v>76.98439999999999</v>
      </c>
      <c r="AK578" s="7" t="inlineStr">
        <is>
          <t>PYTHON_LIFECYCLE</t>
        </is>
      </c>
      <c r="AL578" s="8">
        <f>IF($J578="INR",1,IF($M578&lt;$A578,INDEX(Market_Daily!$F$6:$F$256,MATCH($M578,Market_Daily!$A$6:$A$256,1)),IF($M578=$A578,INDEX(Market_Daily!$F$6:$F$256,MATCH($A578,Market_Daily!$A$6:$A$256,0)),(INDEX(Market_Daily!$F$6:$F$256,MATCH($A578,Market_Daily!$A$6:$A$256,0))*(1+INDEX(Market_Daily!$I$6:$I$256,MATCH($A578,Market_Daily!$A$6:$A$256,0))*($M578-$A578)/day_count_inr)/(1+INDEX(Market_Daily!$J$6:$J$256,MATCH($A578,Market_Daily!$A$6:$A$256,0))*($M578-$A578)/day_count_usd)))))</f>
        <v/>
      </c>
      <c r="AM578" s="8">
        <f>IF(OR($J578="INR",$R578&gt;1),"",$AL578-$X578)</f>
        <v/>
      </c>
      <c r="AN578" s="8">
        <f>$U578</f>
        <v/>
      </c>
      <c r="AO578" s="8">
        <f>$AN578*IF($J578="INR",1,$AL578)</f>
        <v/>
      </c>
      <c r="AP578" s="18">
        <f>$AO578-$V578</f>
        <v/>
      </c>
      <c r="AQ578" s="8">
        <f>IF(ABS($AP578)&lt;=tol_trade_inr,"PASS","FAIL")</f>
        <v/>
      </c>
    </row>
    <row r="579">
      <c r="A579" s="11" t="n">
        <v>44680</v>
      </c>
      <c r="B579" s="7" t="inlineStr">
        <is>
          <t>T03</t>
        </is>
      </c>
      <c r="C579" s="7" t="inlineStr">
        <is>
          <t>IGST:L1</t>
        </is>
      </c>
      <c r="D579" s="7" t="inlineStr">
        <is>
          <t>IGST</t>
        </is>
      </c>
      <c r="E579" s="7" t="inlineStr">
        <is>
          <t>physical</t>
        </is>
      </c>
      <c r="F579" s="7" t="inlineStr">
        <is>
          <t>L1</t>
        </is>
      </c>
      <c r="H579" s="7" t="inlineStr">
        <is>
          <t>taint_tabor</t>
        </is>
      </c>
      <c r="I579" s="7" t="inlineStr">
        <is>
          <t>JEA_NSA</t>
        </is>
      </c>
      <c r="J579" s="7" t="inlineStr">
        <is>
          <t>INR</t>
        </is>
      </c>
      <c r="K579" s="7" t="inlineStr">
        <is>
          <t>fixed_unsettled</t>
        </is>
      </c>
      <c r="L579" s="7" t="inlineStr">
        <is>
          <t>BS</t>
        </is>
      </c>
      <c r="M579" s="11" t="n">
        <v>44718</v>
      </c>
      <c r="N579" s="13" t="n">
        <v>0</v>
      </c>
      <c r="O579" s="6" t="n">
        <v>0</v>
      </c>
      <c r="P579" s="13" t="n">
        <v>0</v>
      </c>
      <c r="Q579" s="22" t="n">
        <v>30</v>
      </c>
      <c r="R579" s="6" t="n">
        <v>2</v>
      </c>
      <c r="U579" s="9" t="n">
        <v>0</v>
      </c>
      <c r="V579" s="9" t="n">
        <v>0</v>
      </c>
      <c r="X579" s="9" t="n">
        <v>76.50660000000001</v>
      </c>
      <c r="AK579" s="7" t="inlineStr">
        <is>
          <t>PYTHON_MULTI_FLOW_LEG</t>
        </is>
      </c>
      <c r="AL579" s="8">
        <f>IF($J579="INR",1,IF($M579&lt;$A579,INDEX(Market_Daily!$F$6:$F$256,MATCH($M579,Market_Daily!$A$6:$A$256,1)),IF($M579=$A579,INDEX(Market_Daily!$F$6:$F$256,MATCH($A579,Market_Daily!$A$6:$A$256,0)),(INDEX(Market_Daily!$F$6:$F$256,MATCH($A579,Market_Daily!$A$6:$A$256,0))*(1+INDEX(Market_Daily!$I$6:$I$256,MATCH($A579,Market_Daily!$A$6:$A$256,0))*($M579-$A579)/day_count_inr)/(1+INDEX(Market_Daily!$J$6:$J$256,MATCH($A579,Market_Daily!$A$6:$A$256,0))*($M579-$A579)/day_count_usd)))))</f>
        <v/>
      </c>
      <c r="AM579" s="8">
        <f>IF(OR($J579="INR",$R579&gt;1),"",$AL579-$X579)</f>
        <v/>
      </c>
      <c r="AN579" s="8">
        <f>$U579</f>
        <v/>
      </c>
      <c r="AO579" s="8">
        <f>$V579</f>
        <v/>
      </c>
      <c r="AP579" s="18">
        <f>$AO579-$V579</f>
        <v/>
      </c>
      <c r="AQ579" s="8">
        <f>IF(ABS($AP579)&lt;=tol_trade_inr,"PASS","FAIL")</f>
        <v/>
      </c>
    </row>
    <row r="580">
      <c r="A580" s="11" t="n">
        <v>44680</v>
      </c>
      <c r="B580" s="7" t="inlineStr">
        <is>
          <t>T03</t>
        </is>
      </c>
      <c r="C580" s="7" t="inlineStr">
        <is>
          <t>IGST:L2</t>
        </is>
      </c>
      <c r="D580" s="7" t="inlineStr">
        <is>
          <t>IGST</t>
        </is>
      </c>
      <c r="E580" s="7" t="inlineStr">
        <is>
          <t>physical</t>
        </is>
      </c>
      <c r="F580" s="7" t="inlineStr">
        <is>
          <t>L2</t>
        </is>
      </c>
      <c r="H580" s="7" t="inlineStr">
        <is>
          <t>taint_tabor</t>
        </is>
      </c>
      <c r="I580" s="7" t="inlineStr">
        <is>
          <t>JEA_NSA</t>
        </is>
      </c>
      <c r="J580" s="7" t="inlineStr">
        <is>
          <t>INR</t>
        </is>
      </c>
      <c r="K580" s="7" t="inlineStr">
        <is>
          <t>fixed_unsettled</t>
        </is>
      </c>
      <c r="L580" s="7" t="inlineStr">
        <is>
          <t>BS</t>
        </is>
      </c>
      <c r="M580" s="11" t="n">
        <v>44725</v>
      </c>
      <c r="N580" s="13" t="n">
        <v>0</v>
      </c>
      <c r="O580" s="6" t="n">
        <v>0</v>
      </c>
      <c r="P580" s="13" t="n">
        <v>0</v>
      </c>
      <c r="Q580" s="22" t="n">
        <v>30</v>
      </c>
      <c r="R580" s="6" t="n">
        <v>2</v>
      </c>
      <c r="U580" s="9" t="n">
        <v>0</v>
      </c>
      <c r="V580" s="9" t="n">
        <v>0</v>
      </c>
      <c r="X580" s="9" t="n">
        <v>76.50660000000001</v>
      </c>
      <c r="AK580" s="7" t="inlineStr">
        <is>
          <t>PYTHON_MULTI_FLOW_LEG</t>
        </is>
      </c>
      <c r="AL580" s="8">
        <f>IF($J580="INR",1,IF($M580&lt;$A580,INDEX(Market_Daily!$F$6:$F$256,MATCH($M580,Market_Daily!$A$6:$A$256,1)),IF($M580=$A580,INDEX(Market_Daily!$F$6:$F$256,MATCH($A580,Market_Daily!$A$6:$A$256,0)),(INDEX(Market_Daily!$F$6:$F$256,MATCH($A580,Market_Daily!$A$6:$A$256,0))*(1+INDEX(Market_Daily!$I$6:$I$256,MATCH($A580,Market_Daily!$A$6:$A$256,0))*($M580-$A580)/day_count_inr)/(1+INDEX(Market_Daily!$J$6:$J$256,MATCH($A580,Market_Daily!$A$6:$A$256,0))*($M580-$A580)/day_count_usd)))))</f>
        <v/>
      </c>
      <c r="AM580" s="8">
        <f>IF(OR($J580="INR",$R580&gt;1),"",$AL580-$X580)</f>
        <v/>
      </c>
      <c r="AN580" s="8">
        <f>$U580</f>
        <v/>
      </c>
      <c r="AO580" s="8">
        <f>$V580</f>
        <v/>
      </c>
      <c r="AP580" s="18">
        <f>$AO580-$V580</f>
        <v/>
      </c>
      <c r="AQ580" s="8">
        <f>IF(ABS($AP580)&lt;=tol_trade_inr,"PASS","FAIL")</f>
        <v/>
      </c>
    </row>
    <row r="581">
      <c r="A581" s="11" t="n">
        <v>44680</v>
      </c>
      <c r="B581" s="7" t="inlineStr">
        <is>
          <t>T03</t>
        </is>
      </c>
      <c r="C581" s="7" t="inlineStr">
        <is>
          <t>PORT:L2</t>
        </is>
      </c>
      <c r="D581" s="7" t="inlineStr">
        <is>
          <t>PORT</t>
        </is>
      </c>
      <c r="E581" s="7" t="inlineStr">
        <is>
          <t>physical</t>
        </is>
      </c>
      <c r="F581" s="7" t="inlineStr">
        <is>
          <t>L2</t>
        </is>
      </c>
      <c r="H581" s="7" t="inlineStr">
        <is>
          <t>taint_tabor</t>
        </is>
      </c>
      <c r="I581" s="7" t="inlineStr">
        <is>
          <t>JEA_NSA</t>
        </is>
      </c>
      <c r="J581" s="7" t="inlineStr">
        <is>
          <t>INR</t>
        </is>
      </c>
      <c r="K581" s="7" t="inlineStr">
        <is>
          <t>fixed_unsettled</t>
        </is>
      </c>
      <c r="L581" s="7" t="inlineStr">
        <is>
          <t>PNL</t>
        </is>
      </c>
      <c r="M581" s="11" t="n">
        <v>44690</v>
      </c>
      <c r="N581" s="13" t="n">
        <v>0</v>
      </c>
      <c r="O581" s="6" t="n">
        <v>0</v>
      </c>
      <c r="P581" s="13" t="n">
        <v>0</v>
      </c>
      <c r="Q581" s="22" t="n">
        <v>30</v>
      </c>
      <c r="R581" s="6" t="n">
        <v>1</v>
      </c>
      <c r="U581" s="9" t="n">
        <v>-1200000</v>
      </c>
      <c r="V581" s="9" t="n">
        <v>-1200000</v>
      </c>
      <c r="X581" s="9" t="n">
        <v>76.50660000000001</v>
      </c>
      <c r="AK581" s="7" t="inlineStr">
        <is>
          <t>PYTHON_LIFECYCLE</t>
        </is>
      </c>
      <c r="AL581" s="8">
        <f>IF($J581="INR",1,IF($M581&lt;$A581,INDEX(Market_Daily!$F$6:$F$256,MATCH($M581,Market_Daily!$A$6:$A$256,1)),IF($M581=$A581,INDEX(Market_Daily!$F$6:$F$256,MATCH($A581,Market_Daily!$A$6:$A$256,0)),(INDEX(Market_Daily!$F$6:$F$256,MATCH($A581,Market_Daily!$A$6:$A$256,0))*(1+INDEX(Market_Daily!$I$6:$I$256,MATCH($A581,Market_Daily!$A$6:$A$256,0))*($M581-$A581)/day_count_inr)/(1+INDEX(Market_Daily!$J$6:$J$256,MATCH($A581,Market_Daily!$A$6:$A$256,0))*($M581-$A581)/day_count_usd)))))</f>
        <v/>
      </c>
      <c r="AM581" s="8">
        <f>IF(OR($J581="INR",$R581&gt;1),"",$AL581-$X581)</f>
        <v/>
      </c>
      <c r="AN581" s="8">
        <f>$U581</f>
        <v/>
      </c>
      <c r="AO581" s="8">
        <f>$AN581*IF($J581="INR",1,$AL581)</f>
        <v/>
      </c>
      <c r="AP581" s="18">
        <f>$AO581-$V581</f>
        <v/>
      </c>
      <c r="AQ581" s="8">
        <f>IF(ABS($AP581)&lt;=tol_trade_inr,"PASS","FAIL")</f>
        <v/>
      </c>
    </row>
    <row r="582">
      <c r="A582" s="11" t="n">
        <v>44680</v>
      </c>
      <c r="B582" s="7" t="inlineStr">
        <is>
          <t>T03</t>
        </is>
      </c>
      <c r="C582" s="7" t="inlineStr">
        <is>
          <t>SALE:S1</t>
        </is>
      </c>
      <c r="D582" s="7" t="inlineStr">
        <is>
          <t>SALE</t>
        </is>
      </c>
      <c r="E582" s="7" t="inlineStr">
        <is>
          <t>physical</t>
        </is>
      </c>
      <c r="G582" s="7" t="inlineStr">
        <is>
          <t>BUY_JNPT_01</t>
        </is>
      </c>
      <c r="H582" s="7" t="inlineStr">
        <is>
          <t>taint_tabor</t>
        </is>
      </c>
      <c r="I582" s="7" t="inlineStr">
        <is>
          <t>JEA_NSA</t>
        </is>
      </c>
      <c r="J582" s="7" t="inlineStr">
        <is>
          <t>INR</t>
        </is>
      </c>
      <c r="K582" s="7" t="inlineStr">
        <is>
          <t>fixed_unsettled</t>
        </is>
      </c>
      <c r="L582" s="7" t="inlineStr">
        <is>
          <t>PNL</t>
        </is>
      </c>
      <c r="M582" s="11" t="n">
        <v>44720</v>
      </c>
      <c r="N582" s="13" t="n">
        <v>1200</v>
      </c>
      <c r="O582" s="6" t="n">
        <v>0</v>
      </c>
      <c r="P582" s="13" t="n">
        <v>0</v>
      </c>
      <c r="Q582" s="22" t="n">
        <v>30</v>
      </c>
      <c r="R582" s="6" t="n">
        <v>1</v>
      </c>
      <c r="U582" s="9" t="n">
        <v>241500000</v>
      </c>
      <c r="V582" s="9" t="n">
        <v>241500000</v>
      </c>
      <c r="W582" s="9" t="n">
        <v>201250</v>
      </c>
      <c r="X582" s="9" t="n">
        <v>76.50660000000001</v>
      </c>
      <c r="AK582" s="7" t="inlineStr">
        <is>
          <t>PYTHON_LIFECYCLE</t>
        </is>
      </c>
      <c r="AL582" s="8">
        <f>IF($J582="INR",1,IF($M582&lt;$A582,INDEX(Market_Daily!$F$6:$F$256,MATCH($M582,Market_Daily!$A$6:$A$256,1)),IF($M582=$A582,INDEX(Market_Daily!$F$6:$F$256,MATCH($A582,Market_Daily!$A$6:$A$256,0)),(INDEX(Market_Daily!$F$6:$F$256,MATCH($A582,Market_Daily!$A$6:$A$256,0))*(1+INDEX(Market_Daily!$I$6:$I$256,MATCH($A582,Market_Daily!$A$6:$A$256,0))*($M582-$A582)/day_count_inr)/(1+INDEX(Market_Daily!$J$6:$J$256,MATCH($A582,Market_Daily!$A$6:$A$256,0))*($M582-$A582)/day_count_usd)))))</f>
        <v/>
      </c>
      <c r="AM582" s="8">
        <f>IF(OR($J582="INR",$R582&gt;1),"",$AL582-$X582)</f>
        <v/>
      </c>
      <c r="AN582" s="8">
        <f>$U582</f>
        <v/>
      </c>
      <c r="AO582" s="8">
        <f>$AN582*IF($J582="INR",1,$AL582)</f>
        <v/>
      </c>
      <c r="AP582" s="18">
        <f>$AO582-$V582</f>
        <v/>
      </c>
      <c r="AQ582" s="8">
        <f>IF(ABS($AP582)&lt;=tol_trade_inr,"PASS","FAIL")</f>
        <v/>
      </c>
    </row>
    <row r="583">
      <c r="A583" s="11" t="n">
        <v>44680</v>
      </c>
      <c r="B583" s="7" t="inlineStr">
        <is>
          <t>T04</t>
        </is>
      </c>
      <c r="C583" s="7" t="inlineStr">
        <is>
          <t>BILL_COMMISSION:L1</t>
        </is>
      </c>
      <c r="D583" s="7" t="inlineStr">
        <is>
          <t>BILL_COMMISSION</t>
        </is>
      </c>
      <c r="E583" s="7" t="inlineStr">
        <is>
          <t>physical</t>
        </is>
      </c>
      <c r="F583" s="7" t="inlineStr">
        <is>
          <t>L1</t>
        </is>
      </c>
      <c r="H583" s="7" t="inlineStr">
        <is>
          <t>taint_tabor</t>
        </is>
      </c>
      <c r="I583" s="7" t="inlineStr">
        <is>
          <t>USEC_MUN</t>
        </is>
      </c>
      <c r="J583" s="7" t="inlineStr">
        <is>
          <t>USD</t>
        </is>
      </c>
      <c r="K583" s="7" t="inlineStr">
        <is>
          <t>floating</t>
        </is>
      </c>
      <c r="L583" s="7" t="inlineStr">
        <is>
          <t>PNL</t>
        </is>
      </c>
      <c r="M583" s="11" t="n">
        <v>44685</v>
      </c>
      <c r="N583" s="13" t="n">
        <v>0</v>
      </c>
      <c r="O583" s="6" t="n">
        <v>0</v>
      </c>
      <c r="P583" s="13" t="n">
        <v>0</v>
      </c>
      <c r="Q583" s="22" t="n">
        <v>30</v>
      </c>
      <c r="R583" s="6" t="n">
        <v>1</v>
      </c>
      <c r="U583" s="9" t="n">
        <v>-1821.96</v>
      </c>
      <c r="V583" s="9" t="n">
        <v>-139450.87</v>
      </c>
      <c r="X583" s="9" t="n">
        <v>76.5389</v>
      </c>
      <c r="AK583" s="7" t="inlineStr">
        <is>
          <t>PYTHON_LIFECYCLE</t>
        </is>
      </c>
      <c r="AL583" s="8">
        <f>IF($J583="INR",1,IF($M583&lt;$A583,INDEX(Market_Daily!$F$6:$F$256,MATCH($M583,Market_Daily!$A$6:$A$256,1)),IF($M583=$A583,INDEX(Market_Daily!$F$6:$F$256,MATCH($A583,Market_Daily!$A$6:$A$256,0)),(INDEX(Market_Daily!$F$6:$F$256,MATCH($A583,Market_Daily!$A$6:$A$256,0))*(1+INDEX(Market_Daily!$I$6:$I$256,MATCH($A583,Market_Daily!$A$6:$A$256,0))*($M583-$A583)/day_count_inr)/(1+INDEX(Market_Daily!$J$6:$J$256,MATCH($A583,Market_Daily!$A$6:$A$256,0))*($M583-$A583)/day_count_usd)))))</f>
        <v/>
      </c>
      <c r="AM583" s="8">
        <f>IF(OR($J583="INR",$R583&gt;1),"",$AL583-$X583)</f>
        <v/>
      </c>
      <c r="AN583" s="8">
        <f>$U583</f>
        <v/>
      </c>
      <c r="AO583" s="8">
        <f>$AN583*IF($J583="INR",1,$AL583)</f>
        <v/>
      </c>
      <c r="AP583" s="18">
        <f>$AO583-$V583</f>
        <v/>
      </c>
      <c r="AQ583" s="8">
        <f>IF(ABS($AP583)&lt;=tol_trade_inr,"PASS","FAIL")</f>
        <v/>
      </c>
    </row>
    <row r="584">
      <c r="A584" s="11" t="n">
        <v>44680</v>
      </c>
      <c r="B584" s="7" t="inlineStr">
        <is>
          <t>T04</t>
        </is>
      </c>
      <c r="C584" s="7" t="inlineStr">
        <is>
          <t>BILL_COMMISSION:L2</t>
        </is>
      </c>
      <c r="D584" s="7" t="inlineStr">
        <is>
          <t>BILL_COMMISSION</t>
        </is>
      </c>
      <c r="E584" s="7" t="inlineStr">
        <is>
          <t>physical</t>
        </is>
      </c>
      <c r="F584" s="7" t="inlineStr">
        <is>
          <t>L2</t>
        </is>
      </c>
      <c r="H584" s="7" t="inlineStr">
        <is>
          <t>taint_tabor</t>
        </is>
      </c>
      <c r="I584" s="7" t="inlineStr">
        <is>
          <t>USEC_MUN</t>
        </is>
      </c>
      <c r="J584" s="7" t="inlineStr">
        <is>
          <t>USD</t>
        </is>
      </c>
      <c r="K584" s="7" t="inlineStr">
        <is>
          <t>floating</t>
        </is>
      </c>
      <c r="L584" s="7" t="inlineStr">
        <is>
          <t>PNL</t>
        </is>
      </c>
      <c r="M584" s="11" t="n">
        <v>44692</v>
      </c>
      <c r="N584" s="13" t="n">
        <v>0</v>
      </c>
      <c r="O584" s="6" t="n">
        <v>0</v>
      </c>
      <c r="P584" s="13" t="n">
        <v>0</v>
      </c>
      <c r="Q584" s="22" t="n">
        <v>30</v>
      </c>
      <c r="R584" s="6" t="n">
        <v>1</v>
      </c>
      <c r="U584" s="9" t="n">
        <v>-1821.96</v>
      </c>
      <c r="V584" s="9" t="n">
        <v>-139533.33</v>
      </c>
      <c r="X584" s="9" t="n">
        <v>76.5842</v>
      </c>
      <c r="AK584" s="7" t="inlineStr">
        <is>
          <t>PYTHON_LIFECYCLE</t>
        </is>
      </c>
      <c r="AL584" s="8">
        <f>IF($J584="INR",1,IF($M584&lt;$A584,INDEX(Market_Daily!$F$6:$F$256,MATCH($M584,Market_Daily!$A$6:$A$256,1)),IF($M584=$A584,INDEX(Market_Daily!$F$6:$F$256,MATCH($A584,Market_Daily!$A$6:$A$256,0)),(INDEX(Market_Daily!$F$6:$F$256,MATCH($A584,Market_Daily!$A$6:$A$256,0))*(1+INDEX(Market_Daily!$I$6:$I$256,MATCH($A584,Market_Daily!$A$6:$A$256,0))*($M584-$A584)/day_count_inr)/(1+INDEX(Market_Daily!$J$6:$J$256,MATCH($A584,Market_Daily!$A$6:$A$256,0))*($M584-$A584)/day_count_usd)))))</f>
        <v/>
      </c>
      <c r="AM584" s="8">
        <f>IF(OR($J584="INR",$R584&gt;1),"",$AL584-$X584)</f>
        <v/>
      </c>
      <c r="AN584" s="8">
        <f>$U584</f>
        <v/>
      </c>
      <c r="AO584" s="8">
        <f>$AN584*IF($J584="INR",1,$AL584)</f>
        <v/>
      </c>
      <c r="AP584" s="18">
        <f>$AO584-$V584</f>
        <v/>
      </c>
      <c r="AQ584" s="8">
        <f>IF(ABS($AP584)&lt;=tol_trade_inr,"PASS","FAIL")</f>
        <v/>
      </c>
    </row>
    <row r="585">
      <c r="A585" s="11" t="n">
        <v>44680</v>
      </c>
      <c r="B585" s="7" t="inlineStr">
        <is>
          <t>T04</t>
        </is>
      </c>
      <c r="C585" s="7" t="inlineStr">
        <is>
          <t>DUTY:L1</t>
        </is>
      </c>
      <c r="D585" s="7" t="inlineStr">
        <is>
          <t>DUTY</t>
        </is>
      </c>
      <c r="E585" s="7" t="inlineStr">
        <is>
          <t>physical</t>
        </is>
      </c>
      <c r="F585" s="7" t="inlineStr">
        <is>
          <t>L1</t>
        </is>
      </c>
      <c r="H585" s="7" t="inlineStr">
        <is>
          <t>taint_tabor</t>
        </is>
      </c>
      <c r="I585" s="7" t="inlineStr">
        <is>
          <t>USEC_MUN</t>
        </is>
      </c>
      <c r="J585" s="7" t="inlineStr">
        <is>
          <t>INR</t>
        </is>
      </c>
      <c r="K585" s="7" t="inlineStr">
        <is>
          <t>floating</t>
        </is>
      </c>
      <c r="L585" s="7" t="inlineStr">
        <is>
          <t>PNL</t>
        </is>
      </c>
      <c r="M585" s="11" t="n">
        <v>44719</v>
      </c>
      <c r="N585" s="13" t="n">
        <v>630</v>
      </c>
      <c r="O585" s="6" t="n">
        <v>0</v>
      </c>
      <c r="P585" s="13" t="n">
        <v>0</v>
      </c>
      <c r="Q585" s="22" t="n">
        <v>30</v>
      </c>
      <c r="R585" s="6" t="n">
        <v>1</v>
      </c>
      <c r="U585" s="9" t="n">
        <v>-3352562.75</v>
      </c>
      <c r="V585" s="9" t="n">
        <v>-3352562.75</v>
      </c>
      <c r="X585" s="9" t="n">
        <v>76.50660000000001</v>
      </c>
      <c r="AK585" s="7" t="inlineStr">
        <is>
          <t>PYTHON_LIFECYCLE</t>
        </is>
      </c>
      <c r="AL585" s="8">
        <f>IF($J585="INR",1,IF($M585&lt;$A585,INDEX(Market_Daily!$F$6:$F$256,MATCH($M585,Market_Daily!$A$6:$A$256,1)),IF($M585=$A585,INDEX(Market_Daily!$F$6:$F$256,MATCH($A585,Market_Daily!$A$6:$A$256,0)),(INDEX(Market_Daily!$F$6:$F$256,MATCH($A585,Market_Daily!$A$6:$A$256,0))*(1+INDEX(Market_Daily!$I$6:$I$256,MATCH($A585,Market_Daily!$A$6:$A$256,0))*($M585-$A585)/day_count_inr)/(1+INDEX(Market_Daily!$J$6:$J$256,MATCH($A585,Market_Daily!$A$6:$A$256,0))*($M585-$A585)/day_count_usd)))))</f>
        <v/>
      </c>
      <c r="AM585" s="8">
        <f>IF(OR($J585="INR",$R585&gt;1),"",$AL585-$X585)</f>
        <v/>
      </c>
      <c r="AN585" s="8">
        <f>$U585</f>
        <v/>
      </c>
      <c r="AO585" s="8">
        <f>$AN585*IF($J585="INR",1,$AL585)</f>
        <v/>
      </c>
      <c r="AP585" s="18">
        <f>$AO585-$V585</f>
        <v/>
      </c>
      <c r="AQ585" s="8">
        <f>IF(ABS($AP585)&lt;=tol_trade_inr,"PASS","FAIL")</f>
        <v/>
      </c>
    </row>
    <row r="586">
      <c r="A586" s="11" t="n">
        <v>44680</v>
      </c>
      <c r="B586" s="7" t="inlineStr">
        <is>
          <t>T04</t>
        </is>
      </c>
      <c r="C586" s="7" t="inlineStr">
        <is>
          <t>DUTY:L2</t>
        </is>
      </c>
      <c r="D586" s="7" t="inlineStr">
        <is>
          <t>DUTY</t>
        </is>
      </c>
      <c r="E586" s="7" t="inlineStr">
        <is>
          <t>physical</t>
        </is>
      </c>
      <c r="F586" s="7" t="inlineStr">
        <is>
          <t>L2</t>
        </is>
      </c>
      <c r="H586" s="7" t="inlineStr">
        <is>
          <t>taint_tabor</t>
        </is>
      </c>
      <c r="I586" s="7" t="inlineStr">
        <is>
          <t>USEC_MUN</t>
        </is>
      </c>
      <c r="J586" s="7" t="inlineStr">
        <is>
          <t>INR</t>
        </is>
      </c>
      <c r="K586" s="7" t="inlineStr">
        <is>
          <t>floating</t>
        </is>
      </c>
      <c r="L586" s="7" t="inlineStr">
        <is>
          <t>PNL</t>
        </is>
      </c>
      <c r="M586" s="11" t="n">
        <v>44726</v>
      </c>
      <c r="N586" s="13" t="n">
        <v>630</v>
      </c>
      <c r="O586" s="6" t="n">
        <v>0</v>
      </c>
      <c r="P586" s="13" t="n">
        <v>0</v>
      </c>
      <c r="Q586" s="22" t="n">
        <v>30</v>
      </c>
      <c r="R586" s="6" t="n">
        <v>1</v>
      </c>
      <c r="U586" s="9" t="n">
        <v>-3352562.75</v>
      </c>
      <c r="V586" s="9" t="n">
        <v>-3352562.75</v>
      </c>
      <c r="X586" s="9" t="n">
        <v>76.50660000000001</v>
      </c>
      <c r="AK586" s="7" t="inlineStr">
        <is>
          <t>PYTHON_LIFECYCLE</t>
        </is>
      </c>
      <c r="AL586" s="8">
        <f>IF($J586="INR",1,IF($M586&lt;$A586,INDEX(Market_Daily!$F$6:$F$256,MATCH($M586,Market_Daily!$A$6:$A$256,1)),IF($M586=$A586,INDEX(Market_Daily!$F$6:$F$256,MATCH($A586,Market_Daily!$A$6:$A$256,0)),(INDEX(Market_Daily!$F$6:$F$256,MATCH($A586,Market_Daily!$A$6:$A$256,0))*(1+INDEX(Market_Daily!$I$6:$I$256,MATCH($A586,Market_Daily!$A$6:$A$256,0))*($M586-$A586)/day_count_inr)/(1+INDEX(Market_Daily!$J$6:$J$256,MATCH($A586,Market_Daily!$A$6:$A$256,0))*($M586-$A586)/day_count_usd)))))</f>
        <v/>
      </c>
      <c r="AM586" s="8">
        <f>IF(OR($J586="INR",$R586&gt;1),"",$AL586-$X586)</f>
        <v/>
      </c>
      <c r="AN586" s="8">
        <f>$U586</f>
        <v/>
      </c>
      <c r="AO586" s="8">
        <f>$AN586*IF($J586="INR",1,$AL586)</f>
        <v/>
      </c>
      <c r="AP586" s="18">
        <f>$AO586-$V586</f>
        <v/>
      </c>
      <c r="AQ586" s="8">
        <f>IF(ABS($AP586)&lt;=tol_trade_inr,"PASS","FAIL")</f>
        <v/>
      </c>
    </row>
    <row r="587">
      <c r="A587" s="11" t="n">
        <v>44680</v>
      </c>
      <c r="B587" s="7" t="inlineStr">
        <is>
          <t>T04</t>
        </is>
      </c>
      <c r="C587" s="7" t="inlineStr">
        <is>
          <t>FREIGHT:L2</t>
        </is>
      </c>
      <c r="D587" s="7" t="inlineStr">
        <is>
          <t>FREIGHT</t>
        </is>
      </c>
      <c r="E587" s="7" t="inlineStr">
        <is>
          <t>physical</t>
        </is>
      </c>
      <c r="F587" s="7" t="inlineStr">
        <is>
          <t>L2</t>
        </is>
      </c>
      <c r="G587" s="7" t="inlineStr">
        <is>
          <t>Konkan Freight Services (SIM)</t>
        </is>
      </c>
      <c r="H587" s="7" t="inlineStr">
        <is>
          <t>taint_tabor</t>
        </is>
      </c>
      <c r="I587" s="7" t="inlineStr">
        <is>
          <t>USEC_MUN</t>
        </is>
      </c>
      <c r="J587" s="7" t="inlineStr">
        <is>
          <t>USD</t>
        </is>
      </c>
      <c r="K587" s="7" t="inlineStr">
        <is>
          <t>fixed_unsettled</t>
        </is>
      </c>
      <c r="L587" s="7" t="inlineStr">
        <is>
          <t>PNL</t>
        </is>
      </c>
      <c r="M587" s="11" t="n">
        <v>44685</v>
      </c>
      <c r="N587" s="13" t="n">
        <v>630</v>
      </c>
      <c r="O587" s="6" t="n">
        <v>0</v>
      </c>
      <c r="P587" s="13" t="n">
        <v>0</v>
      </c>
      <c r="Q587" s="22" t="n">
        <v>30</v>
      </c>
      <c r="R587" s="6" t="n">
        <v>1</v>
      </c>
      <c r="U587" s="9" t="n">
        <v>-60150</v>
      </c>
      <c r="V587" s="9" t="n">
        <v>-4603816.84</v>
      </c>
      <c r="X587" s="9" t="n">
        <v>76.5389</v>
      </c>
      <c r="AK587" s="7" t="inlineStr">
        <is>
          <t>PYTHON_LIFECYCLE</t>
        </is>
      </c>
      <c r="AL587" s="8">
        <f>IF($J587="INR",1,IF($M587&lt;$A587,INDEX(Market_Daily!$F$6:$F$256,MATCH($M587,Market_Daily!$A$6:$A$256,1)),IF($M587=$A587,INDEX(Market_Daily!$F$6:$F$256,MATCH($A587,Market_Daily!$A$6:$A$256,0)),(INDEX(Market_Daily!$F$6:$F$256,MATCH($A587,Market_Daily!$A$6:$A$256,0))*(1+INDEX(Market_Daily!$I$6:$I$256,MATCH($A587,Market_Daily!$A$6:$A$256,0))*($M587-$A587)/day_count_inr)/(1+INDEX(Market_Daily!$J$6:$J$256,MATCH($A587,Market_Daily!$A$6:$A$256,0))*($M587-$A587)/day_count_usd)))))</f>
        <v/>
      </c>
      <c r="AM587" s="8">
        <f>IF(OR($J587="INR",$R587&gt;1),"",$AL587-$X587)</f>
        <v/>
      </c>
      <c r="AN587" s="8">
        <f>$U587</f>
        <v/>
      </c>
      <c r="AO587" s="8">
        <f>$AN587*IF($J587="INR",1,$AL587)</f>
        <v/>
      </c>
      <c r="AP587" s="18">
        <f>$AO587-$V587</f>
        <v/>
      </c>
      <c r="AQ587" s="8">
        <f>IF(ABS($AP587)&lt;=tol_trade_inr,"PASS","FAIL")</f>
        <v/>
      </c>
    </row>
    <row r="588">
      <c r="A588" s="11" t="n">
        <v>44680</v>
      </c>
      <c r="B588" s="7" t="inlineStr">
        <is>
          <t>T04</t>
        </is>
      </c>
      <c r="C588" s="7" t="inlineStr">
        <is>
          <t>FX:T04-FX-1</t>
        </is>
      </c>
      <c r="D588" s="7" t="inlineStr">
        <is>
          <t>FX</t>
        </is>
      </c>
      <c r="E588" s="7" t="inlineStr">
        <is>
          <t>fx_forward</t>
        </is>
      </c>
      <c r="H588" s="7" t="inlineStr">
        <is>
          <t>taint_tabor</t>
        </is>
      </c>
      <c r="I588" s="7" t="inlineStr">
        <is>
          <t>USEC_MUN</t>
        </is>
      </c>
      <c r="J588" s="7" t="inlineStr">
        <is>
          <t>INR</t>
        </is>
      </c>
      <c r="K588" s="7" t="inlineStr">
        <is>
          <t>floating</t>
        </is>
      </c>
      <c r="L588" s="7" t="inlineStr">
        <is>
          <t>PNL</t>
        </is>
      </c>
      <c r="M588" s="11" t="n">
        <v>44685</v>
      </c>
      <c r="N588" s="13" t="n">
        <v>0</v>
      </c>
      <c r="O588" s="6" t="n">
        <v>0</v>
      </c>
      <c r="P588" s="13" t="n">
        <v>1518300</v>
      </c>
      <c r="Q588" s="22" t="n">
        <v>30</v>
      </c>
      <c r="R588" s="6" t="n">
        <v>1</v>
      </c>
      <c r="S588" s="12" t="n">
        <v>44685</v>
      </c>
      <c r="T588" s="21" t="n">
        <v>76.74997</v>
      </c>
      <c r="U588" s="9" t="n">
        <v>-320417.03</v>
      </c>
      <c r="V588" s="9" t="n">
        <v>-320417.03</v>
      </c>
      <c r="X588" s="9" t="n">
        <v>76.50660000000001</v>
      </c>
      <c r="AK588" s="7" t="inlineStr">
        <is>
          <t>DERIVED_IN_WORKBOOK</t>
        </is>
      </c>
      <c r="AL588" s="8">
        <f>IF($J588="INR",1,IF($M588&lt;$A588,INDEX(Market_Daily!$F$6:$F$256,MATCH($M588,Market_Daily!$A$6:$A$256,1)),IF($M588=$A588,INDEX(Market_Daily!$F$6:$F$256,MATCH($A588,Market_Daily!$A$6:$A$256,0)),(INDEX(Market_Daily!$F$6:$F$256,MATCH($A588,Market_Daily!$A$6:$A$256,0))*(1+INDEX(Market_Daily!$I$6:$I$256,MATCH($A588,Market_Daily!$A$6:$A$256,0))*($M588-$A588)/day_count_inr)/(1+INDEX(Market_Daily!$J$6:$J$256,MATCH($A588,Market_Daily!$A$6:$A$256,0))*($M588-$A588)/day_count_usd)))))</f>
        <v/>
      </c>
      <c r="AM588" s="8">
        <f>IF(OR($J588="INR",$R588&gt;1),"",$AL588-$X588)</f>
        <v/>
      </c>
      <c r="AN588" s="8">
        <f>$P588*(IF($S588&lt;$A588,INDEX(Market_Daily!$F$6:$F$256,MATCH($S588,Market_Daily!$A$6:$A$256,1)),IF($S588=$A588,INDEX(Market_Daily!$F$6:$F$256,MATCH($A588,Market_Daily!$A$6:$A$256,0)),(INDEX(Market_Daily!$F$6:$F$256,MATCH($A588,Market_Daily!$A$6:$A$256,0))*(1+INDEX(Market_Daily!$I$6:$I$256,MATCH($A588,Market_Daily!$A$6:$A$256,0))*($S588-$A588)/day_count_inr)/(1+INDEX(Market_Daily!$J$6:$J$256,MATCH($A588,Market_Daily!$A$6:$A$256,0))*($S588-$A588)/day_count_usd))))-$T588)</f>
        <v/>
      </c>
      <c r="AO588" s="8">
        <f>$AN588</f>
        <v/>
      </c>
      <c r="AP588" s="18">
        <f>$AO588-$V588</f>
        <v/>
      </c>
      <c r="AQ588" s="8">
        <f>IF(ABS($AP588)&lt;=tol_trade_inr,"PASS","FAIL")</f>
        <v/>
      </c>
    </row>
    <row r="589">
      <c r="A589" s="11" t="n">
        <v>44680</v>
      </c>
      <c r="B589" s="7" t="inlineStr">
        <is>
          <t>T04</t>
        </is>
      </c>
      <c r="C589" s="7" t="inlineStr">
        <is>
          <t>FX:T04-FX-3</t>
        </is>
      </c>
      <c r="D589" s="7" t="inlineStr">
        <is>
          <t>FX</t>
        </is>
      </c>
      <c r="E589" s="7" t="inlineStr">
        <is>
          <t>fx_forward</t>
        </is>
      </c>
      <c r="H589" s="7" t="inlineStr">
        <is>
          <t>taint_tabor</t>
        </is>
      </c>
      <c r="I589" s="7" t="inlineStr">
        <is>
          <t>USEC_MUN</t>
        </is>
      </c>
      <c r="J589" s="7" t="inlineStr">
        <is>
          <t>INR</t>
        </is>
      </c>
      <c r="K589" s="7" t="inlineStr">
        <is>
          <t>floating</t>
        </is>
      </c>
      <c r="L589" s="7" t="inlineStr">
        <is>
          <t>PNL</t>
        </is>
      </c>
      <c r="M589" s="11" t="n">
        <v>44685</v>
      </c>
      <c r="N589" s="13" t="n">
        <v>0</v>
      </c>
      <c r="O589" s="6" t="n">
        <v>0</v>
      </c>
      <c r="P589" s="13" t="n">
        <v>120300</v>
      </c>
      <c r="Q589" s="22" t="n">
        <v>30</v>
      </c>
      <c r="R589" s="6" t="n">
        <v>1</v>
      </c>
      <c r="S589" s="12" t="n">
        <v>44685</v>
      </c>
      <c r="T589" s="21" t="n">
        <v>76.36054</v>
      </c>
      <c r="U589" s="9" t="n">
        <v>21460.75</v>
      </c>
      <c r="V589" s="9" t="n">
        <v>21460.75</v>
      </c>
      <c r="X589" s="9" t="n">
        <v>76.50660000000001</v>
      </c>
      <c r="AK589" s="7" t="inlineStr">
        <is>
          <t>DERIVED_IN_WORKBOOK</t>
        </is>
      </c>
      <c r="AL589" s="8">
        <f>IF($J589="INR",1,IF($M589&lt;$A589,INDEX(Market_Daily!$F$6:$F$256,MATCH($M589,Market_Daily!$A$6:$A$256,1)),IF($M589=$A589,INDEX(Market_Daily!$F$6:$F$256,MATCH($A589,Market_Daily!$A$6:$A$256,0)),(INDEX(Market_Daily!$F$6:$F$256,MATCH($A589,Market_Daily!$A$6:$A$256,0))*(1+INDEX(Market_Daily!$I$6:$I$256,MATCH($A589,Market_Daily!$A$6:$A$256,0))*($M589-$A589)/day_count_inr)/(1+INDEX(Market_Daily!$J$6:$J$256,MATCH($A589,Market_Daily!$A$6:$A$256,0))*($M589-$A589)/day_count_usd)))))</f>
        <v/>
      </c>
      <c r="AM589" s="8">
        <f>IF(OR($J589="INR",$R589&gt;1),"",$AL589-$X589)</f>
        <v/>
      </c>
      <c r="AN589" s="8">
        <f>$P589*(IF($S589&lt;$A589,INDEX(Market_Daily!$F$6:$F$256,MATCH($S589,Market_Daily!$A$6:$A$256,1)),IF($S589=$A589,INDEX(Market_Daily!$F$6:$F$256,MATCH($A589,Market_Daily!$A$6:$A$256,0)),(INDEX(Market_Daily!$F$6:$F$256,MATCH($A589,Market_Daily!$A$6:$A$256,0))*(1+INDEX(Market_Daily!$I$6:$I$256,MATCH($A589,Market_Daily!$A$6:$A$256,0))*($S589-$A589)/day_count_inr)/(1+INDEX(Market_Daily!$J$6:$J$256,MATCH($A589,Market_Daily!$A$6:$A$256,0))*($S589-$A589)/day_count_usd))))-$T589)</f>
        <v/>
      </c>
      <c r="AO589" s="8">
        <f>$AN589</f>
        <v/>
      </c>
      <c r="AP589" s="18">
        <f>$AO589-$V589</f>
        <v/>
      </c>
      <c r="AQ589" s="8">
        <f>IF(ABS($AP589)&lt;=tol_trade_inr,"PASS","FAIL")</f>
        <v/>
      </c>
    </row>
    <row r="590">
      <c r="A590" s="11" t="n">
        <v>44680</v>
      </c>
      <c r="B590" s="7" t="inlineStr">
        <is>
          <t>T04</t>
        </is>
      </c>
      <c r="C590" s="7" t="inlineStr">
        <is>
          <t>IGST:L1</t>
        </is>
      </c>
      <c r="D590" s="7" t="inlineStr">
        <is>
          <t>IGST</t>
        </is>
      </c>
      <c r="E590" s="7" t="inlineStr">
        <is>
          <t>physical</t>
        </is>
      </c>
      <c r="F590" s="7" t="inlineStr">
        <is>
          <t>L1</t>
        </is>
      </c>
      <c r="H590" s="7" t="inlineStr">
        <is>
          <t>taint_tabor</t>
        </is>
      </c>
      <c r="I590" s="7" t="inlineStr">
        <is>
          <t>USEC_MUN</t>
        </is>
      </c>
      <c r="J590" s="7" t="inlineStr">
        <is>
          <t>INR</t>
        </is>
      </c>
      <c r="K590" s="7" t="inlineStr">
        <is>
          <t>floating</t>
        </is>
      </c>
      <c r="L590" s="7" t="inlineStr">
        <is>
          <t>BS</t>
        </is>
      </c>
      <c r="M590" s="11" t="n">
        <v>44764</v>
      </c>
      <c r="N590" s="13" t="n">
        <v>0</v>
      </c>
      <c r="O590" s="6" t="n">
        <v>0</v>
      </c>
      <c r="P590" s="13" t="n">
        <v>0</v>
      </c>
      <c r="Q590" s="22" t="n">
        <v>30</v>
      </c>
      <c r="R590" s="6" t="n">
        <v>2</v>
      </c>
      <c r="U590" s="9" t="n">
        <v>0</v>
      </c>
      <c r="V590" s="9" t="n">
        <v>0</v>
      </c>
      <c r="X590" s="9" t="n">
        <v>76.50660000000001</v>
      </c>
      <c r="AK590" s="7" t="inlineStr">
        <is>
          <t>PYTHON_MULTI_FLOW_LEG</t>
        </is>
      </c>
      <c r="AL590" s="8">
        <f>IF($J590="INR",1,IF($M590&lt;$A590,INDEX(Market_Daily!$F$6:$F$256,MATCH($M590,Market_Daily!$A$6:$A$256,1)),IF($M590=$A590,INDEX(Market_Daily!$F$6:$F$256,MATCH($A590,Market_Daily!$A$6:$A$256,0)),(INDEX(Market_Daily!$F$6:$F$256,MATCH($A590,Market_Daily!$A$6:$A$256,0))*(1+INDEX(Market_Daily!$I$6:$I$256,MATCH($A590,Market_Daily!$A$6:$A$256,0))*($M590-$A590)/day_count_inr)/(1+INDEX(Market_Daily!$J$6:$J$256,MATCH($A590,Market_Daily!$A$6:$A$256,0))*($M590-$A590)/day_count_usd)))))</f>
        <v/>
      </c>
      <c r="AM590" s="8">
        <f>IF(OR($J590="INR",$R590&gt;1),"",$AL590-$X590)</f>
        <v/>
      </c>
      <c r="AN590" s="8">
        <f>$U590</f>
        <v/>
      </c>
      <c r="AO590" s="8">
        <f>$V590</f>
        <v/>
      </c>
      <c r="AP590" s="18">
        <f>$AO590-$V590</f>
        <v/>
      </c>
      <c r="AQ590" s="8">
        <f>IF(ABS($AP590)&lt;=tol_trade_inr,"PASS","FAIL")</f>
        <v/>
      </c>
    </row>
    <row r="591">
      <c r="A591" s="11" t="n">
        <v>44680</v>
      </c>
      <c r="B591" s="7" t="inlineStr">
        <is>
          <t>T04</t>
        </is>
      </c>
      <c r="C591" s="7" t="inlineStr">
        <is>
          <t>IGST:L2</t>
        </is>
      </c>
      <c r="D591" s="7" t="inlineStr">
        <is>
          <t>IGST</t>
        </is>
      </c>
      <c r="E591" s="7" t="inlineStr">
        <is>
          <t>physical</t>
        </is>
      </c>
      <c r="F591" s="7" t="inlineStr">
        <is>
          <t>L2</t>
        </is>
      </c>
      <c r="H591" s="7" t="inlineStr">
        <is>
          <t>taint_tabor</t>
        </is>
      </c>
      <c r="I591" s="7" t="inlineStr">
        <is>
          <t>USEC_MUN</t>
        </is>
      </c>
      <c r="J591" s="7" t="inlineStr">
        <is>
          <t>INR</t>
        </is>
      </c>
      <c r="K591" s="7" t="inlineStr">
        <is>
          <t>floating</t>
        </is>
      </c>
      <c r="L591" s="7" t="inlineStr">
        <is>
          <t>BS</t>
        </is>
      </c>
      <c r="M591" s="11" t="n">
        <v>44771</v>
      </c>
      <c r="N591" s="13" t="n">
        <v>0</v>
      </c>
      <c r="O591" s="6" t="n">
        <v>0</v>
      </c>
      <c r="P591" s="13" t="n">
        <v>0</v>
      </c>
      <c r="Q591" s="22" t="n">
        <v>30</v>
      </c>
      <c r="R591" s="6" t="n">
        <v>2</v>
      </c>
      <c r="U591" s="9" t="n">
        <v>0</v>
      </c>
      <c r="V591" s="9" t="n">
        <v>0</v>
      </c>
      <c r="X591" s="9" t="n">
        <v>76.50660000000001</v>
      </c>
      <c r="AK591" s="7" t="inlineStr">
        <is>
          <t>PYTHON_MULTI_FLOW_LEG</t>
        </is>
      </c>
      <c r="AL591" s="8">
        <f>IF($J591="INR",1,IF($M591&lt;$A591,INDEX(Market_Daily!$F$6:$F$256,MATCH($M591,Market_Daily!$A$6:$A$256,1)),IF($M591=$A591,INDEX(Market_Daily!$F$6:$F$256,MATCH($A591,Market_Daily!$A$6:$A$256,0)),(INDEX(Market_Daily!$F$6:$F$256,MATCH($A591,Market_Daily!$A$6:$A$256,0))*(1+INDEX(Market_Daily!$I$6:$I$256,MATCH($A591,Market_Daily!$A$6:$A$256,0))*($M591-$A591)/day_count_inr)/(1+INDEX(Market_Daily!$J$6:$J$256,MATCH($A591,Market_Daily!$A$6:$A$256,0))*($M591-$A591)/day_count_usd)))))</f>
        <v/>
      </c>
      <c r="AM591" s="8">
        <f>IF(OR($J591="INR",$R591&gt;1),"",$AL591-$X591)</f>
        <v/>
      </c>
      <c r="AN591" s="8">
        <f>$U591</f>
        <v/>
      </c>
      <c r="AO591" s="8">
        <f>$V591</f>
        <v/>
      </c>
      <c r="AP591" s="18">
        <f>$AO591-$V591</f>
        <v/>
      </c>
      <c r="AQ591" s="8">
        <f>IF(ABS($AP591)&lt;=tol_trade_inr,"PASS","FAIL")</f>
        <v/>
      </c>
    </row>
    <row r="592">
      <c r="A592" s="11" t="n">
        <v>44680</v>
      </c>
      <c r="B592" s="7" t="inlineStr">
        <is>
          <t>T04</t>
        </is>
      </c>
      <c r="C592" s="7" t="inlineStr">
        <is>
          <t>INSURANCE:L2</t>
        </is>
      </c>
      <c r="D592" s="7" t="inlineStr">
        <is>
          <t>INSURANCE</t>
        </is>
      </c>
      <c r="E592" s="7" t="inlineStr">
        <is>
          <t>physical</t>
        </is>
      </c>
      <c r="F592" s="7" t="inlineStr">
        <is>
          <t>L2</t>
        </is>
      </c>
      <c r="H592" s="7" t="inlineStr">
        <is>
          <t>taint_tabor</t>
        </is>
      </c>
      <c r="I592" s="7" t="inlineStr">
        <is>
          <t>USEC_MUN</t>
        </is>
      </c>
      <c r="J592" s="7" t="inlineStr">
        <is>
          <t>USD</t>
        </is>
      </c>
      <c r="K592" s="7" t="inlineStr">
        <is>
          <t>floating</t>
        </is>
      </c>
      <c r="L592" s="7" t="inlineStr">
        <is>
          <t>PNL</t>
        </is>
      </c>
      <c r="M592" s="11" t="n">
        <v>44685</v>
      </c>
      <c r="N592" s="13" t="n">
        <v>630</v>
      </c>
      <c r="O592" s="6" t="n">
        <v>0</v>
      </c>
      <c r="P592" s="13" t="n">
        <v>0</v>
      </c>
      <c r="Q592" s="22" t="n">
        <v>30</v>
      </c>
      <c r="R592" s="6" t="n">
        <v>1</v>
      </c>
      <c r="U592" s="9" t="n">
        <v>-1736.3</v>
      </c>
      <c r="V592" s="9" t="n">
        <v>-132894.17</v>
      </c>
      <c r="X592" s="9" t="n">
        <v>76.5389</v>
      </c>
      <c r="AK592" s="7" t="inlineStr">
        <is>
          <t>PYTHON_LIFECYCLE</t>
        </is>
      </c>
      <c r="AL592" s="8">
        <f>IF($J592="INR",1,IF($M592&lt;$A592,INDEX(Market_Daily!$F$6:$F$256,MATCH($M592,Market_Daily!$A$6:$A$256,1)),IF($M592=$A592,INDEX(Market_Daily!$F$6:$F$256,MATCH($A592,Market_Daily!$A$6:$A$256,0)),(INDEX(Market_Daily!$F$6:$F$256,MATCH($A592,Market_Daily!$A$6:$A$256,0))*(1+INDEX(Market_Daily!$I$6:$I$256,MATCH($A592,Market_Daily!$A$6:$A$256,0))*($M592-$A592)/day_count_inr)/(1+INDEX(Market_Daily!$J$6:$J$256,MATCH($A592,Market_Daily!$A$6:$A$256,0))*($M592-$A592)/day_count_usd)))))</f>
        <v/>
      </c>
      <c r="AM592" s="8">
        <f>IF(OR($J592="INR",$R592&gt;1),"",$AL592-$X592)</f>
        <v/>
      </c>
      <c r="AN592" s="8">
        <f>$U592</f>
        <v/>
      </c>
      <c r="AO592" s="8">
        <f>$AN592*IF($J592="INR",1,$AL592)</f>
        <v/>
      </c>
      <c r="AP592" s="18">
        <f>$AO592-$V592</f>
        <v/>
      </c>
      <c r="AQ592" s="8">
        <f>IF(ABS($AP592)&lt;=tol_trade_inr,"PASS","FAIL")</f>
        <v/>
      </c>
    </row>
    <row r="593">
      <c r="A593" s="11" t="n">
        <v>44680</v>
      </c>
      <c r="B593" s="7" t="inlineStr">
        <is>
          <t>T04</t>
        </is>
      </c>
      <c r="C593" s="7" t="inlineStr">
        <is>
          <t>INVENTORY:L1</t>
        </is>
      </c>
      <c r="D593" s="7" t="inlineStr">
        <is>
          <t>INVENTORY</t>
        </is>
      </c>
      <c r="E593" s="7" t="inlineStr">
        <is>
          <t>physical</t>
        </is>
      </c>
      <c r="F593" s="7" t="inlineStr">
        <is>
          <t>L1</t>
        </is>
      </c>
      <c r="H593" s="7" t="inlineStr">
        <is>
          <t>taint_tabor</t>
        </is>
      </c>
      <c r="I593" s="7" t="inlineStr">
        <is>
          <t>USEC_MUN</t>
        </is>
      </c>
      <c r="J593" s="7" t="inlineStr">
        <is>
          <t>INR</t>
        </is>
      </c>
      <c r="K593" s="7" t="inlineStr">
        <is>
          <t>fixed_unsettled</t>
        </is>
      </c>
      <c r="L593" s="7" t="inlineStr">
        <is>
          <t>PNL</t>
        </is>
      </c>
      <c r="N593" s="13" t="n">
        <v>630</v>
      </c>
      <c r="O593" s="6" t="n">
        <v>0</v>
      </c>
      <c r="P593" s="13" t="n">
        <v>0</v>
      </c>
      <c r="Q593" s="22" t="n">
        <v>30</v>
      </c>
      <c r="R593" s="6" t="n">
        <v>0</v>
      </c>
      <c r="U593" s="9" t="n">
        <v>118280559.01</v>
      </c>
      <c r="V593" s="9" t="n">
        <v>118280559.01</v>
      </c>
      <c r="W593" s="9" t="n">
        <v>187746.9191</v>
      </c>
      <c r="X593" s="9" t="n">
        <v>76.50660000000001</v>
      </c>
      <c r="Y593" s="8">
        <f>IF($I593="JEA_NSA","20ft","40ft")</f>
        <v/>
      </c>
      <c r="Z593" s="8">
        <f>IF($I593="JEA_NSA","nsa","mun")</f>
        <v/>
      </c>
      <c r="AA593" s="8">
        <f>INDEX(param_values,MATCH("container_payload_mt_"&amp;$Y593,param_keys,0))/INDEX(param_values,MATCH("container_payload_mt_"&amp;$Y593&amp;"_"&amp;$H593,param_keys,0))</f>
        <v/>
      </c>
      <c r="AB593" s="16">
        <f>INDEX(Market_Daily!$C$6:$C$256,MATCH($A593,Market_Daily!$A$6:$A$256,0))*INDEX(Market_Daily!$X$6:$Z$256,MATCH($A593,Market_Daily!$A$6:$A$256,0),MATCH("grade_factor_"&amp;$H593,Market_Daily!$X$5:$Z$5,0))</f>
        <v/>
      </c>
      <c r="AC593" s="16">
        <f>$AB593*(1+insurance_rate*insured_value_uplift)</f>
        <v/>
      </c>
      <c r="AD593" s="8">
        <f>(INDEX(Market_Daily!$F$6:$F$256,MATCH($A593,Market_Daily!$A$6:$A$256,0))*(1+INDEX(Market_Daily!$I$6:$I$256,MATCH($A593,Market_Daily!$A$6:$A$256,0))*$Q593/day_count_inr)/(1+INDEX(Market_Daily!$J$6:$J$256,MATCH($A593,Market_Daily!$A$6:$A$256,0))*$Q593/day_count_usd))</f>
        <v/>
      </c>
      <c r="AE593" s="18">
        <f>$AC593*$AD593</f>
        <v/>
      </c>
      <c r="AF593" s="18">
        <f>$AC593*INDEX(Market_Daily!$V$6:$V$256,MATCH($A593,Market_Daily!$A$6:$A$256,0))</f>
        <v/>
      </c>
      <c r="AG593" s="18">
        <f>$AF593*bcd_scrap_hs7602*(1+sws_rate_on_bcd)</f>
        <v/>
      </c>
      <c r="AH593" s="18">
        <f>INDEX(param_values,MATCH("port_cf_charges_inr_t_"&amp;$Z593,param_keys,0))*$AA593+IF(INDEX(param_values,MATCH(IF($I593="JEA_NSA","psic_required_uae_origin","psic_required_safe_origin_designated_port"),param_keys,0)),psic_cost_usd_per_box*INDEX(Market_Daily!$F$6:$F$256,MATCH($A593,Market_Daily!$A$6:$A$256,0))/INDEX(param_values,MATCH("container_payload_mt_20ft_"&amp;$H593,param_keys,0)),0)</f>
        <v/>
      </c>
      <c r="AI593" s="18">
        <f>IF(igst_itc_available,0,($AF593+$AG593)*igst_rate_hs7602)</f>
        <v/>
      </c>
      <c r="AJ593" s="18">
        <f>$AE593+$AG593+$AH593+$AI593</f>
        <v/>
      </c>
      <c r="AK593" s="7" t="inlineStr">
        <is>
          <t>DERIVED_IN_WORKBOOK</t>
        </is>
      </c>
      <c r="AL593" s="8">
        <f>IF($J593="INR",1,IF($M593&lt;$A593,INDEX(Market_Daily!$F$6:$F$256,MATCH($M593,Market_Daily!$A$6:$A$256,1)),IF($M593=$A593,INDEX(Market_Daily!$F$6:$F$256,MATCH($A593,Market_Daily!$A$6:$A$256,0)),(INDEX(Market_Daily!$F$6:$F$256,MATCH($A593,Market_Daily!$A$6:$A$256,0))*(1+INDEX(Market_Daily!$I$6:$I$256,MATCH($A593,Market_Daily!$A$6:$A$256,0))*($M593-$A593)/day_count_inr)/(1+INDEX(Market_Daily!$J$6:$J$256,MATCH($A593,Market_Daily!$A$6:$A$256,0))*($M593-$A593)/day_count_usd)))))</f>
        <v/>
      </c>
      <c r="AM593" s="8">
        <f>IF(OR($J593="INR",$R593&gt;1),"",$AL593-$X593)</f>
        <v/>
      </c>
      <c r="AN593" s="8">
        <f>$N593*$AJ593</f>
        <v/>
      </c>
      <c r="AO593" s="8">
        <f>$AN593</f>
        <v/>
      </c>
      <c r="AP593" s="18">
        <f>$AO593-$V593</f>
        <v/>
      </c>
      <c r="AQ593" s="8">
        <f>IF(ABS($AP593)&lt;=tol_trade_inr,"PASS","FAIL")</f>
        <v/>
      </c>
    </row>
    <row r="594">
      <c r="A594" s="11" t="n">
        <v>44680</v>
      </c>
      <c r="B594" s="7" t="inlineStr">
        <is>
          <t>T04</t>
        </is>
      </c>
      <c r="C594" s="7" t="inlineStr">
        <is>
          <t>INVENTORY:L2</t>
        </is>
      </c>
      <c r="D594" s="7" t="inlineStr">
        <is>
          <t>INVENTORY</t>
        </is>
      </c>
      <c r="E594" s="7" t="inlineStr">
        <is>
          <t>physical</t>
        </is>
      </c>
      <c r="F594" s="7" t="inlineStr">
        <is>
          <t>L2</t>
        </is>
      </c>
      <c r="H594" s="7" t="inlineStr">
        <is>
          <t>taint_tabor</t>
        </is>
      </c>
      <c r="I594" s="7" t="inlineStr">
        <is>
          <t>USEC_MUN</t>
        </is>
      </c>
      <c r="J594" s="7" t="inlineStr">
        <is>
          <t>INR</t>
        </is>
      </c>
      <c r="K594" s="7" t="inlineStr">
        <is>
          <t>fixed_unsettled</t>
        </is>
      </c>
      <c r="L594" s="7" t="inlineStr">
        <is>
          <t>PNL</t>
        </is>
      </c>
      <c r="N594" s="13" t="n">
        <v>630</v>
      </c>
      <c r="O594" s="6" t="n">
        <v>0</v>
      </c>
      <c r="P594" s="13" t="n">
        <v>0</v>
      </c>
      <c r="Q594" s="22" t="n">
        <v>30</v>
      </c>
      <c r="R594" s="6" t="n">
        <v>0</v>
      </c>
      <c r="U594" s="9" t="n">
        <v>118280559.01</v>
      </c>
      <c r="V594" s="9" t="n">
        <v>118280559.01</v>
      </c>
      <c r="W594" s="9" t="n">
        <v>187746.9191</v>
      </c>
      <c r="X594" s="9" t="n">
        <v>76.50660000000001</v>
      </c>
      <c r="Y594" s="8">
        <f>IF($I594="JEA_NSA","20ft","40ft")</f>
        <v/>
      </c>
      <c r="Z594" s="8">
        <f>IF($I594="JEA_NSA","nsa","mun")</f>
        <v/>
      </c>
      <c r="AA594" s="8">
        <f>INDEX(param_values,MATCH("container_payload_mt_"&amp;$Y594,param_keys,0))/INDEX(param_values,MATCH("container_payload_mt_"&amp;$Y594&amp;"_"&amp;$H594,param_keys,0))</f>
        <v/>
      </c>
      <c r="AB594" s="16">
        <f>INDEX(Market_Daily!$C$6:$C$256,MATCH($A594,Market_Daily!$A$6:$A$256,0))*INDEX(Market_Daily!$X$6:$Z$256,MATCH($A594,Market_Daily!$A$6:$A$256,0),MATCH("grade_factor_"&amp;$H594,Market_Daily!$X$5:$Z$5,0))</f>
        <v/>
      </c>
      <c r="AC594" s="16">
        <f>$AB594*(1+insurance_rate*insured_value_uplift)</f>
        <v/>
      </c>
      <c r="AD594" s="8">
        <f>(INDEX(Market_Daily!$F$6:$F$256,MATCH($A594,Market_Daily!$A$6:$A$256,0))*(1+INDEX(Market_Daily!$I$6:$I$256,MATCH($A594,Market_Daily!$A$6:$A$256,0))*$Q594/day_count_inr)/(1+INDEX(Market_Daily!$J$6:$J$256,MATCH($A594,Market_Daily!$A$6:$A$256,0))*$Q594/day_count_usd))</f>
        <v/>
      </c>
      <c r="AE594" s="18">
        <f>$AC594*$AD594</f>
        <v/>
      </c>
      <c r="AF594" s="18">
        <f>$AC594*INDEX(Market_Daily!$V$6:$V$256,MATCH($A594,Market_Daily!$A$6:$A$256,0))</f>
        <v/>
      </c>
      <c r="AG594" s="18">
        <f>$AF594*bcd_scrap_hs7602*(1+sws_rate_on_bcd)</f>
        <v/>
      </c>
      <c r="AH594" s="18">
        <f>INDEX(param_values,MATCH("port_cf_charges_inr_t_"&amp;$Z594,param_keys,0))*$AA594+IF(INDEX(param_values,MATCH(IF($I594="JEA_NSA","psic_required_uae_origin","psic_required_safe_origin_designated_port"),param_keys,0)),psic_cost_usd_per_box*INDEX(Market_Daily!$F$6:$F$256,MATCH($A594,Market_Daily!$A$6:$A$256,0))/INDEX(param_values,MATCH("container_payload_mt_20ft_"&amp;$H594,param_keys,0)),0)</f>
        <v/>
      </c>
      <c r="AI594" s="18">
        <f>IF(igst_itc_available,0,($AF594+$AG594)*igst_rate_hs7602)</f>
        <v/>
      </c>
      <c r="AJ594" s="18">
        <f>$AE594+$AG594+$AH594+$AI594</f>
        <v/>
      </c>
      <c r="AK594" s="7" t="inlineStr">
        <is>
          <t>DERIVED_IN_WORKBOOK</t>
        </is>
      </c>
      <c r="AL594" s="8">
        <f>IF($J594="INR",1,IF($M594&lt;$A594,INDEX(Market_Daily!$F$6:$F$256,MATCH($M594,Market_Daily!$A$6:$A$256,1)),IF($M594=$A594,INDEX(Market_Daily!$F$6:$F$256,MATCH($A594,Market_Daily!$A$6:$A$256,0)),(INDEX(Market_Daily!$F$6:$F$256,MATCH($A594,Market_Daily!$A$6:$A$256,0))*(1+INDEX(Market_Daily!$I$6:$I$256,MATCH($A594,Market_Daily!$A$6:$A$256,0))*($M594-$A594)/day_count_inr)/(1+INDEX(Market_Daily!$J$6:$J$256,MATCH($A594,Market_Daily!$A$6:$A$256,0))*($M594-$A594)/day_count_usd)))))</f>
        <v/>
      </c>
      <c r="AM594" s="8">
        <f>IF(OR($J594="INR",$R594&gt;1),"",$AL594-$X594)</f>
        <v/>
      </c>
      <c r="AN594" s="8">
        <f>$N594*$AJ594</f>
        <v/>
      </c>
      <c r="AO594" s="8">
        <f>$AN594</f>
        <v/>
      </c>
      <c r="AP594" s="18">
        <f>$AO594-$V594</f>
        <v/>
      </c>
      <c r="AQ594" s="8">
        <f>IF(ABS($AP594)&lt;=tol_trade_inr,"PASS","FAIL")</f>
        <v/>
      </c>
    </row>
    <row r="595">
      <c r="A595" s="11" t="n">
        <v>44680</v>
      </c>
      <c r="B595" s="7" t="inlineStr">
        <is>
          <t>T04</t>
        </is>
      </c>
      <c r="C595" s="7" t="inlineStr">
        <is>
          <t>MCX:T04-MCX-2</t>
        </is>
      </c>
      <c r="D595" s="7" t="inlineStr">
        <is>
          <t>MCX</t>
        </is>
      </c>
      <c r="E595" s="7" t="inlineStr">
        <is>
          <t>mcx</t>
        </is>
      </c>
      <c r="H595" s="7" t="inlineStr">
        <is>
          <t>taint_tabor</t>
        </is>
      </c>
      <c r="I595" s="7" t="inlineStr">
        <is>
          <t>USEC_MUN</t>
        </is>
      </c>
      <c r="J595" s="7" t="inlineStr">
        <is>
          <t>INR</t>
        </is>
      </c>
      <c r="K595" s="7" t="inlineStr">
        <is>
          <t>partially_fixed</t>
        </is>
      </c>
      <c r="L595" s="7" t="inlineStr">
        <is>
          <t>PNL</t>
        </is>
      </c>
      <c r="M595" s="11" t="n">
        <v>44701</v>
      </c>
      <c r="N595" s="13" t="n">
        <v>0</v>
      </c>
      <c r="O595" s="6" t="n">
        <v>-87</v>
      </c>
      <c r="P595" s="13" t="n">
        <v>0</v>
      </c>
      <c r="Q595" s="22" t="n">
        <v>30</v>
      </c>
      <c r="R595" s="6" t="n">
        <v>22</v>
      </c>
      <c r="U595" s="9" t="n">
        <v>0</v>
      </c>
      <c r="V595" s="9" t="n">
        <v>0</v>
      </c>
      <c r="X595" s="9" t="n">
        <v>76.50660000000001</v>
      </c>
      <c r="AK595" s="7" t="inlineStr">
        <is>
          <t>PYTHON_MULTI_FLOW_LEG</t>
        </is>
      </c>
      <c r="AL595" s="8">
        <f>IF($J595="INR",1,IF($M595&lt;$A595,INDEX(Market_Daily!$F$6:$F$256,MATCH($M595,Market_Daily!$A$6:$A$256,1)),IF($M595=$A595,INDEX(Market_Daily!$F$6:$F$256,MATCH($A595,Market_Daily!$A$6:$A$256,0)),(INDEX(Market_Daily!$F$6:$F$256,MATCH($A595,Market_Daily!$A$6:$A$256,0))*(1+INDEX(Market_Daily!$I$6:$I$256,MATCH($A595,Market_Daily!$A$6:$A$256,0))*($M595-$A595)/day_count_inr)/(1+INDEX(Market_Daily!$J$6:$J$256,MATCH($A595,Market_Daily!$A$6:$A$256,0))*($M595-$A595)/day_count_usd)))))</f>
        <v/>
      </c>
      <c r="AM595" s="8">
        <f>IF(OR($J595="INR",$R595&gt;1),"",$AL595-$X595)</f>
        <v/>
      </c>
      <c r="AN595" s="8">
        <f>$U595</f>
        <v/>
      </c>
      <c r="AO595" s="8">
        <f>$V595</f>
        <v/>
      </c>
      <c r="AP595" s="18">
        <f>$AO595-$V595</f>
        <v/>
      </c>
      <c r="AQ595" s="8">
        <f>IF(ABS($AP595)&lt;=tol_trade_inr,"PASS","FAIL")</f>
        <v/>
      </c>
    </row>
    <row r="596">
      <c r="A596" s="11" t="n">
        <v>44680</v>
      </c>
      <c r="B596" s="7" t="inlineStr">
        <is>
          <t>T04</t>
        </is>
      </c>
      <c r="C596" s="7" t="inlineStr">
        <is>
          <t>PORT:L1</t>
        </is>
      </c>
      <c r="D596" s="7" t="inlineStr">
        <is>
          <t>PORT</t>
        </is>
      </c>
      <c r="E596" s="7" t="inlineStr">
        <is>
          <t>physical</t>
        </is>
      </c>
      <c r="F596" s="7" t="inlineStr">
        <is>
          <t>L1</t>
        </is>
      </c>
      <c r="H596" s="7" t="inlineStr">
        <is>
          <t>taint_tabor</t>
        </is>
      </c>
      <c r="I596" s="7" t="inlineStr">
        <is>
          <t>USEC_MUN</t>
        </is>
      </c>
      <c r="J596" s="7" t="inlineStr">
        <is>
          <t>INR</t>
        </is>
      </c>
      <c r="K596" s="7" t="inlineStr">
        <is>
          <t>fixed_unsettled</t>
        </is>
      </c>
      <c r="L596" s="7" t="inlineStr">
        <is>
          <t>PNL</t>
        </is>
      </c>
      <c r="M596" s="11" t="n">
        <v>44728</v>
      </c>
      <c r="N596" s="13" t="n">
        <v>0</v>
      </c>
      <c r="O596" s="6" t="n">
        <v>0</v>
      </c>
      <c r="P596" s="13" t="n">
        <v>0</v>
      </c>
      <c r="Q596" s="22" t="n">
        <v>30</v>
      </c>
      <c r="R596" s="6" t="n">
        <v>1</v>
      </c>
      <c r="U596" s="9" t="n">
        <v>-1669500</v>
      </c>
      <c r="V596" s="9" t="n">
        <v>-1669500</v>
      </c>
      <c r="X596" s="9" t="n">
        <v>76.50660000000001</v>
      </c>
      <c r="AK596" s="7" t="inlineStr">
        <is>
          <t>PYTHON_LIFECYCLE</t>
        </is>
      </c>
      <c r="AL596" s="8">
        <f>IF($J596="INR",1,IF($M596&lt;$A596,INDEX(Market_Daily!$F$6:$F$256,MATCH($M596,Market_Daily!$A$6:$A$256,1)),IF($M596=$A596,INDEX(Market_Daily!$F$6:$F$256,MATCH($A596,Market_Daily!$A$6:$A$256,0)),(INDEX(Market_Daily!$F$6:$F$256,MATCH($A596,Market_Daily!$A$6:$A$256,0))*(1+INDEX(Market_Daily!$I$6:$I$256,MATCH($A596,Market_Daily!$A$6:$A$256,0))*($M596-$A596)/day_count_inr)/(1+INDEX(Market_Daily!$J$6:$J$256,MATCH($A596,Market_Daily!$A$6:$A$256,0))*($M596-$A596)/day_count_usd)))))</f>
        <v/>
      </c>
      <c r="AM596" s="8">
        <f>IF(OR($J596="INR",$R596&gt;1),"",$AL596-$X596)</f>
        <v/>
      </c>
      <c r="AN596" s="8">
        <f>$U596</f>
        <v/>
      </c>
      <c r="AO596" s="8">
        <f>$AN596*IF($J596="INR",1,$AL596)</f>
        <v/>
      </c>
      <c r="AP596" s="18">
        <f>$AO596-$V596</f>
        <v/>
      </c>
      <c r="AQ596" s="8">
        <f>IF(ABS($AP596)&lt;=tol_trade_inr,"PASS","FAIL")</f>
        <v/>
      </c>
    </row>
    <row r="597">
      <c r="A597" s="11" t="n">
        <v>44680</v>
      </c>
      <c r="B597" s="7" t="inlineStr">
        <is>
          <t>T04</t>
        </is>
      </c>
      <c r="C597" s="7" t="inlineStr">
        <is>
          <t>PORT:L2</t>
        </is>
      </c>
      <c r="D597" s="7" t="inlineStr">
        <is>
          <t>PORT</t>
        </is>
      </c>
      <c r="E597" s="7" t="inlineStr">
        <is>
          <t>physical</t>
        </is>
      </c>
      <c r="F597" s="7" t="inlineStr">
        <is>
          <t>L2</t>
        </is>
      </c>
      <c r="H597" s="7" t="inlineStr">
        <is>
          <t>taint_tabor</t>
        </is>
      </c>
      <c r="I597" s="7" t="inlineStr">
        <is>
          <t>USEC_MUN</t>
        </is>
      </c>
      <c r="J597" s="7" t="inlineStr">
        <is>
          <t>INR</t>
        </is>
      </c>
      <c r="K597" s="7" t="inlineStr">
        <is>
          <t>fixed_unsettled</t>
        </is>
      </c>
      <c r="L597" s="7" t="inlineStr">
        <is>
          <t>PNL</t>
        </is>
      </c>
      <c r="M597" s="11" t="n">
        <v>44735</v>
      </c>
      <c r="N597" s="13" t="n">
        <v>0</v>
      </c>
      <c r="O597" s="6" t="n">
        <v>0</v>
      </c>
      <c r="P597" s="13" t="n">
        <v>0</v>
      </c>
      <c r="Q597" s="22" t="n">
        <v>30</v>
      </c>
      <c r="R597" s="6" t="n">
        <v>1</v>
      </c>
      <c r="U597" s="9" t="n">
        <v>-1669500</v>
      </c>
      <c r="V597" s="9" t="n">
        <v>-1669500</v>
      </c>
      <c r="X597" s="9" t="n">
        <v>76.50660000000001</v>
      </c>
      <c r="AK597" s="7" t="inlineStr">
        <is>
          <t>PYTHON_LIFECYCLE</t>
        </is>
      </c>
      <c r="AL597" s="8">
        <f>IF($J597="INR",1,IF($M597&lt;$A597,INDEX(Market_Daily!$F$6:$F$256,MATCH($M597,Market_Daily!$A$6:$A$256,1)),IF($M597=$A597,INDEX(Market_Daily!$F$6:$F$256,MATCH($A597,Market_Daily!$A$6:$A$256,0)),(INDEX(Market_Daily!$F$6:$F$256,MATCH($A597,Market_Daily!$A$6:$A$256,0))*(1+INDEX(Market_Daily!$I$6:$I$256,MATCH($A597,Market_Daily!$A$6:$A$256,0))*($M597-$A597)/day_count_inr)/(1+INDEX(Market_Daily!$J$6:$J$256,MATCH($A597,Market_Daily!$A$6:$A$256,0))*($M597-$A597)/day_count_usd)))))</f>
        <v/>
      </c>
      <c r="AM597" s="8">
        <f>IF(OR($J597="INR",$R597&gt;1),"",$AL597-$X597)</f>
        <v/>
      </c>
      <c r="AN597" s="8">
        <f>$U597</f>
        <v/>
      </c>
      <c r="AO597" s="8">
        <f>$AN597*IF($J597="INR",1,$AL597)</f>
        <v/>
      </c>
      <c r="AP597" s="18">
        <f>$AO597-$V597</f>
        <v/>
      </c>
      <c r="AQ597" s="8">
        <f>IF(ABS($AP597)&lt;=tol_trade_inr,"PASS","FAIL")</f>
        <v/>
      </c>
    </row>
    <row r="598">
      <c r="A598" s="11" t="n">
        <v>44680</v>
      </c>
      <c r="B598" s="7" t="inlineStr">
        <is>
          <t>T04</t>
        </is>
      </c>
      <c r="C598" s="7" t="inlineStr">
        <is>
          <t>PURCHASE:L1</t>
        </is>
      </c>
      <c r="D598" s="7" t="inlineStr">
        <is>
          <t>PURCHASE</t>
        </is>
      </c>
      <c r="E598" s="7" t="inlineStr">
        <is>
          <t>physical</t>
        </is>
      </c>
      <c r="F598" s="7" t="inlineStr">
        <is>
          <t>L1</t>
        </is>
      </c>
      <c r="G598" s="7" t="inlineStr">
        <is>
          <t>SUP_USEC_02</t>
        </is>
      </c>
      <c r="H598" s="7" t="inlineStr">
        <is>
          <t>taint_tabor</t>
        </is>
      </c>
      <c r="I598" s="7" t="inlineStr">
        <is>
          <t>USEC_MUN</t>
        </is>
      </c>
      <c r="J598" s="7" t="inlineStr">
        <is>
          <t>USD</t>
        </is>
      </c>
      <c r="K598" s="7" t="inlineStr">
        <is>
          <t>fixed_unsettled</t>
        </is>
      </c>
      <c r="L598" s="7" t="inlineStr">
        <is>
          <t>PNL</t>
        </is>
      </c>
      <c r="M598" s="11" t="n">
        <v>44685</v>
      </c>
      <c r="N598" s="13" t="n">
        <v>630</v>
      </c>
      <c r="O598" s="6" t="n">
        <v>0</v>
      </c>
      <c r="P598" s="13" t="n">
        <v>0</v>
      </c>
      <c r="Q598" s="22" t="n">
        <v>30</v>
      </c>
      <c r="R598" s="6" t="n">
        <v>1</v>
      </c>
      <c r="U598" s="9" t="n">
        <v>-1518300</v>
      </c>
      <c r="V598" s="9" t="n">
        <v>-116209062.5</v>
      </c>
      <c r="X598" s="9" t="n">
        <v>76.5389</v>
      </c>
      <c r="AK598" s="7" t="inlineStr">
        <is>
          <t>PYTHON_LIFECYCLE</t>
        </is>
      </c>
      <c r="AL598" s="8">
        <f>IF($J598="INR",1,IF($M598&lt;$A598,INDEX(Market_Daily!$F$6:$F$256,MATCH($M598,Market_Daily!$A$6:$A$256,1)),IF($M598=$A598,INDEX(Market_Daily!$F$6:$F$256,MATCH($A598,Market_Daily!$A$6:$A$256,0)),(INDEX(Market_Daily!$F$6:$F$256,MATCH($A598,Market_Daily!$A$6:$A$256,0))*(1+INDEX(Market_Daily!$I$6:$I$256,MATCH($A598,Market_Daily!$A$6:$A$256,0))*($M598-$A598)/day_count_inr)/(1+INDEX(Market_Daily!$J$6:$J$256,MATCH($A598,Market_Daily!$A$6:$A$256,0))*($M598-$A598)/day_count_usd)))))</f>
        <v/>
      </c>
      <c r="AM598" s="8">
        <f>IF(OR($J598="INR",$R598&gt;1),"",$AL598-$X598)</f>
        <v/>
      </c>
      <c r="AN598" s="8">
        <f>$U598</f>
        <v/>
      </c>
      <c r="AO598" s="8">
        <f>$AN598*IF($J598="INR",1,$AL598)</f>
        <v/>
      </c>
      <c r="AP598" s="18">
        <f>$AO598-$V598</f>
        <v/>
      </c>
      <c r="AQ598" s="8">
        <f>IF(ABS($AP598)&lt;=tol_trade_inr,"PASS","FAIL")</f>
        <v/>
      </c>
    </row>
    <row r="599">
      <c r="A599" s="11" t="n">
        <v>44680</v>
      </c>
      <c r="B599" s="7" t="inlineStr">
        <is>
          <t>T04</t>
        </is>
      </c>
      <c r="C599" s="7" t="inlineStr">
        <is>
          <t>PURCHASE:L2</t>
        </is>
      </c>
      <c r="D599" s="7" t="inlineStr">
        <is>
          <t>PURCHASE</t>
        </is>
      </c>
      <c r="E599" s="7" t="inlineStr">
        <is>
          <t>physical</t>
        </is>
      </c>
      <c r="F599" s="7" t="inlineStr">
        <is>
          <t>L2</t>
        </is>
      </c>
      <c r="G599" s="7" t="inlineStr">
        <is>
          <t>SUP_USEC_02</t>
        </is>
      </c>
      <c r="H599" s="7" t="inlineStr">
        <is>
          <t>taint_tabor</t>
        </is>
      </c>
      <c r="I599" s="7" t="inlineStr">
        <is>
          <t>USEC_MUN</t>
        </is>
      </c>
      <c r="J599" s="7" t="inlineStr">
        <is>
          <t>USD</t>
        </is>
      </c>
      <c r="K599" s="7" t="inlineStr">
        <is>
          <t>fixed_unsettled</t>
        </is>
      </c>
      <c r="L599" s="7" t="inlineStr">
        <is>
          <t>PNL</t>
        </is>
      </c>
      <c r="M599" s="11" t="n">
        <v>44692</v>
      </c>
      <c r="N599" s="13" t="n">
        <v>630</v>
      </c>
      <c r="O599" s="6" t="n">
        <v>0</v>
      </c>
      <c r="P599" s="13" t="n">
        <v>0</v>
      </c>
      <c r="Q599" s="22" t="n">
        <v>30</v>
      </c>
      <c r="R599" s="6" t="n">
        <v>1</v>
      </c>
      <c r="U599" s="9" t="n">
        <v>-1518300</v>
      </c>
      <c r="V599" s="9" t="n">
        <v>-116277771.93</v>
      </c>
      <c r="X599" s="9" t="n">
        <v>76.5842</v>
      </c>
      <c r="AK599" s="7" t="inlineStr">
        <is>
          <t>PYTHON_LIFECYCLE</t>
        </is>
      </c>
      <c r="AL599" s="8">
        <f>IF($J599="INR",1,IF($M599&lt;$A599,INDEX(Market_Daily!$F$6:$F$256,MATCH($M599,Market_Daily!$A$6:$A$256,1)),IF($M599=$A599,INDEX(Market_Daily!$F$6:$F$256,MATCH($A599,Market_Daily!$A$6:$A$256,0)),(INDEX(Market_Daily!$F$6:$F$256,MATCH($A599,Market_Daily!$A$6:$A$256,0))*(1+INDEX(Market_Daily!$I$6:$I$256,MATCH($A599,Market_Daily!$A$6:$A$256,0))*($M599-$A599)/day_count_inr)/(1+INDEX(Market_Daily!$J$6:$J$256,MATCH($A599,Market_Daily!$A$6:$A$256,0))*($M599-$A599)/day_count_usd)))))</f>
        <v/>
      </c>
      <c r="AM599" s="8">
        <f>IF(OR($J599="INR",$R599&gt;1),"",$AL599-$X599)</f>
        <v/>
      </c>
      <c r="AN599" s="8">
        <f>$U599</f>
        <v/>
      </c>
      <c r="AO599" s="8">
        <f>$AN599*IF($J599="INR",1,$AL599)</f>
        <v/>
      </c>
      <c r="AP599" s="18">
        <f>$AO599-$V599</f>
        <v/>
      </c>
      <c r="AQ599" s="8">
        <f>IF(ABS($AP599)&lt;=tol_trade_inr,"PASS","FAIL")</f>
        <v/>
      </c>
    </row>
    <row r="600">
      <c r="A600" s="11" t="n">
        <v>44680</v>
      </c>
      <c r="B600" s="7" t="inlineStr">
        <is>
          <t>T05</t>
        </is>
      </c>
      <c r="C600" s="7" t="inlineStr">
        <is>
          <t>BILL_COMMISSION:L1</t>
        </is>
      </c>
      <c r="D600" s="7" t="inlineStr">
        <is>
          <t>BILL_COMMISSION</t>
        </is>
      </c>
      <c r="E600" s="7" t="inlineStr">
        <is>
          <t>physical</t>
        </is>
      </c>
      <c r="F600" s="7" t="inlineStr">
        <is>
          <t>L1</t>
        </is>
      </c>
      <c r="H600" s="7" t="inlineStr">
        <is>
          <t>tense</t>
        </is>
      </c>
      <c r="I600" s="7" t="inlineStr">
        <is>
          <t>USEC_MUN</t>
        </is>
      </c>
      <c r="J600" s="7" t="inlineStr">
        <is>
          <t>USD</t>
        </is>
      </c>
      <c r="K600" s="7" t="inlineStr">
        <is>
          <t>floating</t>
        </is>
      </c>
      <c r="L600" s="7" t="inlineStr">
        <is>
          <t>PNL</t>
        </is>
      </c>
      <c r="M600" s="11" t="n">
        <v>44753</v>
      </c>
      <c r="N600" s="13" t="n">
        <v>0</v>
      </c>
      <c r="O600" s="6" t="n">
        <v>0</v>
      </c>
      <c r="P600" s="13" t="n">
        <v>0</v>
      </c>
      <c r="Q600" s="22" t="n">
        <v>30</v>
      </c>
      <c r="R600" s="6" t="n">
        <v>1</v>
      </c>
      <c r="U600" s="9" t="n">
        <v>-2554.16</v>
      </c>
      <c r="V600" s="9" t="n">
        <v>-196614.05</v>
      </c>
      <c r="X600" s="9" t="n">
        <v>76.97790000000001</v>
      </c>
      <c r="AK600" s="7" t="inlineStr">
        <is>
          <t>PYTHON_LIFECYCLE</t>
        </is>
      </c>
      <c r="AL600" s="8">
        <f>IF($J600="INR",1,IF($M600&lt;$A600,INDEX(Market_Daily!$F$6:$F$256,MATCH($M600,Market_Daily!$A$6:$A$256,1)),IF($M600=$A600,INDEX(Market_Daily!$F$6:$F$256,MATCH($A600,Market_Daily!$A$6:$A$256,0)),(INDEX(Market_Daily!$F$6:$F$256,MATCH($A600,Market_Daily!$A$6:$A$256,0))*(1+INDEX(Market_Daily!$I$6:$I$256,MATCH($A600,Market_Daily!$A$6:$A$256,0))*($M600-$A600)/day_count_inr)/(1+INDEX(Market_Daily!$J$6:$J$256,MATCH($A600,Market_Daily!$A$6:$A$256,0))*($M600-$A600)/day_count_usd)))))</f>
        <v/>
      </c>
      <c r="AM600" s="8">
        <f>IF(OR($J600="INR",$R600&gt;1),"",$AL600-$X600)</f>
        <v/>
      </c>
      <c r="AN600" s="8">
        <f>$U600</f>
        <v/>
      </c>
      <c r="AO600" s="8">
        <f>$AN600*IF($J600="INR",1,$AL600)</f>
        <v/>
      </c>
      <c r="AP600" s="18">
        <f>$AO600-$V600</f>
        <v/>
      </c>
      <c r="AQ600" s="8">
        <f>IF(ABS($AP600)&lt;=tol_trade_inr,"PASS","FAIL")</f>
        <v/>
      </c>
    </row>
    <row r="601">
      <c r="A601" s="11" t="n">
        <v>44680</v>
      </c>
      <c r="B601" s="7" t="inlineStr">
        <is>
          <t>T05</t>
        </is>
      </c>
      <c r="C601" s="7" t="inlineStr">
        <is>
          <t>BILL_COMMISSION:L2</t>
        </is>
      </c>
      <c r="D601" s="7" t="inlineStr">
        <is>
          <t>BILL_COMMISSION</t>
        </is>
      </c>
      <c r="E601" s="7" t="inlineStr">
        <is>
          <t>physical</t>
        </is>
      </c>
      <c r="F601" s="7" t="inlineStr">
        <is>
          <t>L2</t>
        </is>
      </c>
      <c r="H601" s="7" t="inlineStr">
        <is>
          <t>tense</t>
        </is>
      </c>
      <c r="I601" s="7" t="inlineStr">
        <is>
          <t>USEC_MUN</t>
        </is>
      </c>
      <c r="J601" s="7" t="inlineStr">
        <is>
          <t>USD</t>
        </is>
      </c>
      <c r="K601" s="7" t="inlineStr">
        <is>
          <t>floating</t>
        </is>
      </c>
      <c r="L601" s="7" t="inlineStr">
        <is>
          <t>PNL</t>
        </is>
      </c>
      <c r="M601" s="11" t="n">
        <v>44760</v>
      </c>
      <c r="N601" s="13" t="n">
        <v>0</v>
      </c>
      <c r="O601" s="6" t="n">
        <v>0</v>
      </c>
      <c r="P601" s="13" t="n">
        <v>0</v>
      </c>
      <c r="Q601" s="22" t="n">
        <v>30</v>
      </c>
      <c r="R601" s="6" t="n">
        <v>1</v>
      </c>
      <c r="U601" s="9" t="n">
        <v>-2554.53</v>
      </c>
      <c r="V601" s="9" t="n">
        <v>-196757.73</v>
      </c>
      <c r="X601" s="9" t="n">
        <v>77.023</v>
      </c>
      <c r="AK601" s="7" t="inlineStr">
        <is>
          <t>PYTHON_LIFECYCLE</t>
        </is>
      </c>
      <c r="AL601" s="8">
        <f>IF($J601="INR",1,IF($M601&lt;$A601,INDEX(Market_Daily!$F$6:$F$256,MATCH($M601,Market_Daily!$A$6:$A$256,1)),IF($M601=$A601,INDEX(Market_Daily!$F$6:$F$256,MATCH($A601,Market_Daily!$A$6:$A$256,0)),(INDEX(Market_Daily!$F$6:$F$256,MATCH($A601,Market_Daily!$A$6:$A$256,0))*(1+INDEX(Market_Daily!$I$6:$I$256,MATCH($A601,Market_Daily!$A$6:$A$256,0))*($M601-$A601)/day_count_inr)/(1+INDEX(Market_Daily!$J$6:$J$256,MATCH($A601,Market_Daily!$A$6:$A$256,0))*($M601-$A601)/day_count_usd)))))</f>
        <v/>
      </c>
      <c r="AM601" s="8">
        <f>IF(OR($J601="INR",$R601&gt;1),"",$AL601-$X601)</f>
        <v/>
      </c>
      <c r="AN601" s="8">
        <f>$U601</f>
        <v/>
      </c>
      <c r="AO601" s="8">
        <f>$AN601*IF($J601="INR",1,$AL601)</f>
        <v/>
      </c>
      <c r="AP601" s="18">
        <f>$AO601-$V601</f>
        <v/>
      </c>
      <c r="AQ601" s="8">
        <f>IF(ABS($AP601)&lt;=tol_trade_inr,"PASS","FAIL")</f>
        <v/>
      </c>
    </row>
    <row r="602">
      <c r="A602" s="11" t="n">
        <v>44680</v>
      </c>
      <c r="B602" s="7" t="inlineStr">
        <is>
          <t>T05</t>
        </is>
      </c>
      <c r="C602" s="7" t="inlineStr">
        <is>
          <t>DUTY:L1</t>
        </is>
      </c>
      <c r="D602" s="7" t="inlineStr">
        <is>
          <t>DUTY</t>
        </is>
      </c>
      <c r="E602" s="7" t="inlineStr">
        <is>
          <t>physical</t>
        </is>
      </c>
      <c r="F602" s="7" t="inlineStr">
        <is>
          <t>L1</t>
        </is>
      </c>
      <c r="H602" s="7" t="inlineStr">
        <is>
          <t>tense</t>
        </is>
      </c>
      <c r="I602" s="7" t="inlineStr">
        <is>
          <t>USEC_MUN</t>
        </is>
      </c>
      <c r="J602" s="7" t="inlineStr">
        <is>
          <t>INR</t>
        </is>
      </c>
      <c r="K602" s="7" t="inlineStr">
        <is>
          <t>floating</t>
        </is>
      </c>
      <c r="L602" s="7" t="inlineStr">
        <is>
          <t>PNL</t>
        </is>
      </c>
      <c r="M602" s="11" t="n">
        <v>44749</v>
      </c>
      <c r="N602" s="13" t="n">
        <v>1050</v>
      </c>
      <c r="O602" s="6" t="n">
        <v>0</v>
      </c>
      <c r="P602" s="13" t="n">
        <v>0</v>
      </c>
      <c r="Q602" s="22" t="n">
        <v>30</v>
      </c>
      <c r="R602" s="6" t="n">
        <v>2</v>
      </c>
      <c r="U602" s="9" t="n">
        <v>-4761982.29</v>
      </c>
      <c r="V602" s="9" t="n">
        <v>-4761982.29</v>
      </c>
      <c r="X602" s="9" t="n">
        <v>76.50660000000001</v>
      </c>
      <c r="AK602" s="7" t="inlineStr">
        <is>
          <t>PYTHON_MULTI_FLOW_LEG</t>
        </is>
      </c>
      <c r="AL602" s="8">
        <f>IF($J602="INR",1,IF($M602&lt;$A602,INDEX(Market_Daily!$F$6:$F$256,MATCH($M602,Market_Daily!$A$6:$A$256,1)),IF($M602=$A602,INDEX(Market_Daily!$F$6:$F$256,MATCH($A602,Market_Daily!$A$6:$A$256,0)),(INDEX(Market_Daily!$F$6:$F$256,MATCH($A602,Market_Daily!$A$6:$A$256,0))*(1+INDEX(Market_Daily!$I$6:$I$256,MATCH($A602,Market_Daily!$A$6:$A$256,0))*($M602-$A602)/day_count_inr)/(1+INDEX(Market_Daily!$J$6:$J$256,MATCH($A602,Market_Daily!$A$6:$A$256,0))*($M602-$A602)/day_count_usd)))))</f>
        <v/>
      </c>
      <c r="AM602" s="8">
        <f>IF(OR($J602="INR",$R602&gt;1),"",$AL602-$X602)</f>
        <v/>
      </c>
      <c r="AN602" s="8">
        <f>$U602</f>
        <v/>
      </c>
      <c r="AO602" s="8">
        <f>$V602</f>
        <v/>
      </c>
      <c r="AP602" s="18">
        <f>$AO602-$V602</f>
        <v/>
      </c>
      <c r="AQ602" s="8">
        <f>IF(ABS($AP602)&lt;=tol_trade_inr,"PASS","FAIL")</f>
        <v/>
      </c>
    </row>
    <row r="603">
      <c r="A603" s="11" t="n">
        <v>44680</v>
      </c>
      <c r="B603" s="7" t="inlineStr">
        <is>
          <t>T05</t>
        </is>
      </c>
      <c r="C603" s="7" t="inlineStr">
        <is>
          <t>DUTY:L2</t>
        </is>
      </c>
      <c r="D603" s="7" t="inlineStr">
        <is>
          <t>DUTY</t>
        </is>
      </c>
      <c r="E603" s="7" t="inlineStr">
        <is>
          <t>physical</t>
        </is>
      </c>
      <c r="F603" s="7" t="inlineStr">
        <is>
          <t>L2</t>
        </is>
      </c>
      <c r="H603" s="7" t="inlineStr">
        <is>
          <t>tense</t>
        </is>
      </c>
      <c r="I603" s="7" t="inlineStr">
        <is>
          <t>USEC_MUN</t>
        </is>
      </c>
      <c r="J603" s="7" t="inlineStr">
        <is>
          <t>INR</t>
        </is>
      </c>
      <c r="K603" s="7" t="inlineStr">
        <is>
          <t>floating</t>
        </is>
      </c>
      <c r="L603" s="7" t="inlineStr">
        <is>
          <t>PNL</t>
        </is>
      </c>
      <c r="M603" s="11" t="n">
        <v>44749</v>
      </c>
      <c r="N603" s="13" t="n">
        <v>1050</v>
      </c>
      <c r="O603" s="6" t="n">
        <v>0</v>
      </c>
      <c r="P603" s="13" t="n">
        <v>0</v>
      </c>
      <c r="Q603" s="22" t="n">
        <v>30</v>
      </c>
      <c r="R603" s="6" t="n">
        <v>2</v>
      </c>
      <c r="U603" s="9" t="n">
        <v>-4761982.29</v>
      </c>
      <c r="V603" s="9" t="n">
        <v>-4761982.29</v>
      </c>
      <c r="X603" s="9" t="n">
        <v>76.50660000000001</v>
      </c>
      <c r="AK603" s="7" t="inlineStr">
        <is>
          <t>PYTHON_MULTI_FLOW_LEG</t>
        </is>
      </c>
      <c r="AL603" s="8">
        <f>IF($J603="INR",1,IF($M603&lt;$A603,INDEX(Market_Daily!$F$6:$F$256,MATCH($M603,Market_Daily!$A$6:$A$256,1)),IF($M603=$A603,INDEX(Market_Daily!$F$6:$F$256,MATCH($A603,Market_Daily!$A$6:$A$256,0)),(INDEX(Market_Daily!$F$6:$F$256,MATCH($A603,Market_Daily!$A$6:$A$256,0))*(1+INDEX(Market_Daily!$I$6:$I$256,MATCH($A603,Market_Daily!$A$6:$A$256,0))*($M603-$A603)/day_count_inr)/(1+INDEX(Market_Daily!$J$6:$J$256,MATCH($A603,Market_Daily!$A$6:$A$256,0))*($M603-$A603)/day_count_usd)))))</f>
        <v/>
      </c>
      <c r="AM603" s="8">
        <f>IF(OR($J603="INR",$R603&gt;1),"",$AL603-$X603)</f>
        <v/>
      </c>
      <c r="AN603" s="8">
        <f>$U603</f>
        <v/>
      </c>
      <c r="AO603" s="8">
        <f>$V603</f>
        <v/>
      </c>
      <c r="AP603" s="18">
        <f>$AO603-$V603</f>
        <v/>
      </c>
      <c r="AQ603" s="8">
        <f>IF(ABS($AP603)&lt;=tol_trade_inr,"PASS","FAIL")</f>
        <v/>
      </c>
    </row>
    <row r="604">
      <c r="A604" s="11" t="n">
        <v>44680</v>
      </c>
      <c r="B604" s="7" t="inlineStr">
        <is>
          <t>T05</t>
        </is>
      </c>
      <c r="C604" s="7" t="inlineStr">
        <is>
          <t>IGST:L1</t>
        </is>
      </c>
      <c r="D604" s="7" t="inlineStr">
        <is>
          <t>IGST</t>
        </is>
      </c>
      <c r="E604" s="7" t="inlineStr">
        <is>
          <t>physical</t>
        </is>
      </c>
      <c r="F604" s="7" t="inlineStr">
        <is>
          <t>L1</t>
        </is>
      </c>
      <c r="H604" s="7" t="inlineStr">
        <is>
          <t>tense</t>
        </is>
      </c>
      <c r="I604" s="7" t="inlineStr">
        <is>
          <t>USEC_MUN</t>
        </is>
      </c>
      <c r="J604" s="7" t="inlineStr">
        <is>
          <t>INR</t>
        </is>
      </c>
      <c r="K604" s="7" t="inlineStr">
        <is>
          <t>floating</t>
        </is>
      </c>
      <c r="L604" s="7" t="inlineStr">
        <is>
          <t>BS</t>
        </is>
      </c>
      <c r="M604" s="11" t="n">
        <v>44777</v>
      </c>
      <c r="N604" s="13" t="n">
        <v>0</v>
      </c>
      <c r="O604" s="6" t="n">
        <v>0</v>
      </c>
      <c r="P604" s="13" t="n">
        <v>0</v>
      </c>
      <c r="Q604" s="22" t="n">
        <v>30</v>
      </c>
      <c r="R604" s="6" t="n">
        <v>2</v>
      </c>
      <c r="U604" s="9" t="n">
        <v>0</v>
      </c>
      <c r="V604" s="9" t="n">
        <v>0</v>
      </c>
      <c r="X604" s="9" t="n">
        <v>76.50660000000001</v>
      </c>
      <c r="AK604" s="7" t="inlineStr">
        <is>
          <t>PYTHON_MULTI_FLOW_LEG</t>
        </is>
      </c>
      <c r="AL604" s="8">
        <f>IF($J604="INR",1,IF($M604&lt;$A604,INDEX(Market_Daily!$F$6:$F$256,MATCH($M604,Market_Daily!$A$6:$A$256,1)),IF($M604=$A604,INDEX(Market_Daily!$F$6:$F$256,MATCH($A604,Market_Daily!$A$6:$A$256,0)),(INDEX(Market_Daily!$F$6:$F$256,MATCH($A604,Market_Daily!$A$6:$A$256,0))*(1+INDEX(Market_Daily!$I$6:$I$256,MATCH($A604,Market_Daily!$A$6:$A$256,0))*($M604-$A604)/day_count_inr)/(1+INDEX(Market_Daily!$J$6:$J$256,MATCH($A604,Market_Daily!$A$6:$A$256,0))*($M604-$A604)/day_count_usd)))))</f>
        <v/>
      </c>
      <c r="AM604" s="8">
        <f>IF(OR($J604="INR",$R604&gt;1),"",$AL604-$X604)</f>
        <v/>
      </c>
      <c r="AN604" s="8">
        <f>$U604</f>
        <v/>
      </c>
      <c r="AO604" s="8">
        <f>$V604</f>
        <v/>
      </c>
      <c r="AP604" s="18">
        <f>$AO604-$V604</f>
        <v/>
      </c>
      <c r="AQ604" s="8">
        <f>IF(ABS($AP604)&lt;=tol_trade_inr,"PASS","FAIL")</f>
        <v/>
      </c>
    </row>
    <row r="605">
      <c r="A605" s="11" t="n">
        <v>44680</v>
      </c>
      <c r="B605" s="7" t="inlineStr">
        <is>
          <t>T05</t>
        </is>
      </c>
      <c r="C605" s="7" t="inlineStr">
        <is>
          <t>IGST:L2</t>
        </is>
      </c>
      <c r="D605" s="7" t="inlineStr">
        <is>
          <t>IGST</t>
        </is>
      </c>
      <c r="E605" s="7" t="inlineStr">
        <is>
          <t>physical</t>
        </is>
      </c>
      <c r="F605" s="7" t="inlineStr">
        <is>
          <t>L2</t>
        </is>
      </c>
      <c r="H605" s="7" t="inlineStr">
        <is>
          <t>tense</t>
        </is>
      </c>
      <c r="I605" s="7" t="inlineStr">
        <is>
          <t>USEC_MUN</t>
        </is>
      </c>
      <c r="J605" s="7" t="inlineStr">
        <is>
          <t>INR</t>
        </is>
      </c>
      <c r="K605" s="7" t="inlineStr">
        <is>
          <t>floating</t>
        </is>
      </c>
      <c r="L605" s="7" t="inlineStr">
        <is>
          <t>BS</t>
        </is>
      </c>
      <c r="M605" s="11" t="n">
        <v>44785</v>
      </c>
      <c r="N605" s="13" t="n">
        <v>0</v>
      </c>
      <c r="O605" s="6" t="n">
        <v>0</v>
      </c>
      <c r="P605" s="13" t="n">
        <v>0</v>
      </c>
      <c r="Q605" s="22" t="n">
        <v>30</v>
      </c>
      <c r="R605" s="6" t="n">
        <v>2</v>
      </c>
      <c r="U605" s="9" t="n">
        <v>0</v>
      </c>
      <c r="V605" s="9" t="n">
        <v>0</v>
      </c>
      <c r="X605" s="9" t="n">
        <v>76.50660000000001</v>
      </c>
      <c r="AK605" s="7" t="inlineStr">
        <is>
          <t>PYTHON_MULTI_FLOW_LEG</t>
        </is>
      </c>
      <c r="AL605" s="8">
        <f>IF($J605="INR",1,IF($M605&lt;$A605,INDEX(Market_Daily!$F$6:$F$256,MATCH($M605,Market_Daily!$A$6:$A$256,1)),IF($M605=$A605,INDEX(Market_Daily!$F$6:$F$256,MATCH($A605,Market_Daily!$A$6:$A$256,0)),(INDEX(Market_Daily!$F$6:$F$256,MATCH($A605,Market_Daily!$A$6:$A$256,0))*(1+INDEX(Market_Daily!$I$6:$I$256,MATCH($A605,Market_Daily!$A$6:$A$256,0))*($M605-$A605)/day_count_inr)/(1+INDEX(Market_Daily!$J$6:$J$256,MATCH($A605,Market_Daily!$A$6:$A$256,0))*($M605-$A605)/day_count_usd)))))</f>
        <v/>
      </c>
      <c r="AM605" s="8">
        <f>IF(OR($J605="INR",$R605&gt;1),"",$AL605-$X605)</f>
        <v/>
      </c>
      <c r="AN605" s="8">
        <f>$U605</f>
        <v/>
      </c>
      <c r="AO605" s="8">
        <f>$V605</f>
        <v/>
      </c>
      <c r="AP605" s="18">
        <f>$AO605-$V605</f>
        <v/>
      </c>
      <c r="AQ605" s="8">
        <f>IF(ABS($AP605)&lt;=tol_trade_inr,"PASS","FAIL")</f>
        <v/>
      </c>
    </row>
    <row r="606">
      <c r="A606" s="11" t="n">
        <v>44680</v>
      </c>
      <c r="B606" s="7" t="inlineStr">
        <is>
          <t>T05</t>
        </is>
      </c>
      <c r="C606" s="7" t="inlineStr">
        <is>
          <t>INSURANCE:L1</t>
        </is>
      </c>
      <c r="D606" s="7" t="inlineStr">
        <is>
          <t>INSURANCE</t>
        </is>
      </c>
      <c r="E606" s="7" t="inlineStr">
        <is>
          <t>physical</t>
        </is>
      </c>
      <c r="F606" s="7" t="inlineStr">
        <is>
          <t>L1</t>
        </is>
      </c>
      <c r="H606" s="7" t="inlineStr">
        <is>
          <t>tense</t>
        </is>
      </c>
      <c r="I606" s="7" t="inlineStr">
        <is>
          <t>USEC_MUN</t>
        </is>
      </c>
      <c r="J606" s="7" t="inlineStr">
        <is>
          <t>USD</t>
        </is>
      </c>
      <c r="K606" s="7" t="inlineStr">
        <is>
          <t>floating</t>
        </is>
      </c>
      <c r="L606" s="7" t="inlineStr">
        <is>
          <t>PNL</t>
        </is>
      </c>
      <c r="M606" s="11" t="n">
        <v>44691</v>
      </c>
      <c r="N606" s="13" t="n">
        <v>1050</v>
      </c>
      <c r="O606" s="6" t="n">
        <v>0</v>
      </c>
      <c r="P606" s="13" t="n">
        <v>0</v>
      </c>
      <c r="Q606" s="22" t="n">
        <v>30</v>
      </c>
      <c r="R606" s="6" t="n">
        <v>1</v>
      </c>
      <c r="U606" s="9" t="n">
        <v>-2464.54</v>
      </c>
      <c r="V606" s="9" t="n">
        <v>-188728.99</v>
      </c>
      <c r="X606" s="9" t="n">
        <v>76.57769999999999</v>
      </c>
      <c r="AK606" s="7" t="inlineStr">
        <is>
          <t>PYTHON_LIFECYCLE</t>
        </is>
      </c>
      <c r="AL606" s="8">
        <f>IF($J606="INR",1,IF($M606&lt;$A606,INDEX(Market_Daily!$F$6:$F$256,MATCH($M606,Market_Daily!$A$6:$A$256,1)),IF($M606=$A606,INDEX(Market_Daily!$F$6:$F$256,MATCH($A606,Market_Daily!$A$6:$A$256,0)),(INDEX(Market_Daily!$F$6:$F$256,MATCH($A606,Market_Daily!$A$6:$A$256,0))*(1+INDEX(Market_Daily!$I$6:$I$256,MATCH($A606,Market_Daily!$A$6:$A$256,0))*($M606-$A606)/day_count_inr)/(1+INDEX(Market_Daily!$J$6:$J$256,MATCH($A606,Market_Daily!$A$6:$A$256,0))*($M606-$A606)/day_count_usd)))))</f>
        <v/>
      </c>
      <c r="AM606" s="8">
        <f>IF(OR($J606="INR",$R606&gt;1),"",$AL606-$X606)</f>
        <v/>
      </c>
      <c r="AN606" s="8">
        <f>$U606</f>
        <v/>
      </c>
      <c r="AO606" s="8">
        <f>$AN606*IF($J606="INR",1,$AL606)</f>
        <v/>
      </c>
      <c r="AP606" s="18">
        <f>$AO606-$V606</f>
        <v/>
      </c>
      <c r="AQ606" s="8">
        <f>IF(ABS($AP606)&lt;=tol_trade_inr,"PASS","FAIL")</f>
        <v/>
      </c>
    </row>
    <row r="607">
      <c r="A607" s="11" t="n">
        <v>44680</v>
      </c>
      <c r="B607" s="7" t="inlineStr">
        <is>
          <t>T05</t>
        </is>
      </c>
      <c r="C607" s="7" t="inlineStr">
        <is>
          <t>INSURANCE:L2</t>
        </is>
      </c>
      <c r="D607" s="7" t="inlineStr">
        <is>
          <t>INSURANCE</t>
        </is>
      </c>
      <c r="E607" s="7" t="inlineStr">
        <is>
          <t>physical</t>
        </is>
      </c>
      <c r="F607" s="7" t="inlineStr">
        <is>
          <t>L2</t>
        </is>
      </c>
      <c r="H607" s="7" t="inlineStr">
        <is>
          <t>tense</t>
        </is>
      </c>
      <c r="I607" s="7" t="inlineStr">
        <is>
          <t>USEC_MUN</t>
        </is>
      </c>
      <c r="J607" s="7" t="inlineStr">
        <is>
          <t>USD</t>
        </is>
      </c>
      <c r="K607" s="7" t="inlineStr">
        <is>
          <t>floating</t>
        </is>
      </c>
      <c r="L607" s="7" t="inlineStr">
        <is>
          <t>PNL</t>
        </is>
      </c>
      <c r="M607" s="11" t="n">
        <v>44699</v>
      </c>
      <c r="N607" s="13" t="n">
        <v>1050</v>
      </c>
      <c r="O607" s="6" t="n">
        <v>0</v>
      </c>
      <c r="P607" s="13" t="n">
        <v>0</v>
      </c>
      <c r="Q607" s="22" t="n">
        <v>30</v>
      </c>
      <c r="R607" s="6" t="n">
        <v>1</v>
      </c>
      <c r="U607" s="9" t="n">
        <v>-2464.9</v>
      </c>
      <c r="V607" s="9" t="n">
        <v>-188883.72</v>
      </c>
      <c r="X607" s="9" t="n">
        <v>76.6294</v>
      </c>
      <c r="AK607" s="7" t="inlineStr">
        <is>
          <t>PYTHON_LIFECYCLE</t>
        </is>
      </c>
      <c r="AL607" s="8">
        <f>IF($J607="INR",1,IF($M607&lt;$A607,INDEX(Market_Daily!$F$6:$F$256,MATCH($M607,Market_Daily!$A$6:$A$256,1)),IF($M607=$A607,INDEX(Market_Daily!$F$6:$F$256,MATCH($A607,Market_Daily!$A$6:$A$256,0)),(INDEX(Market_Daily!$F$6:$F$256,MATCH($A607,Market_Daily!$A$6:$A$256,0))*(1+INDEX(Market_Daily!$I$6:$I$256,MATCH($A607,Market_Daily!$A$6:$A$256,0))*($M607-$A607)/day_count_inr)/(1+INDEX(Market_Daily!$J$6:$J$256,MATCH($A607,Market_Daily!$A$6:$A$256,0))*($M607-$A607)/day_count_usd)))))</f>
        <v/>
      </c>
      <c r="AM607" s="8">
        <f>IF(OR($J607="INR",$R607&gt;1),"",$AL607-$X607)</f>
        <v/>
      </c>
      <c r="AN607" s="8">
        <f>$U607</f>
        <v/>
      </c>
      <c r="AO607" s="8">
        <f>$AN607*IF($J607="INR",1,$AL607)</f>
        <v/>
      </c>
      <c r="AP607" s="18">
        <f>$AO607-$V607</f>
        <v/>
      </c>
      <c r="AQ607" s="8">
        <f>IF(ABS($AP607)&lt;=tol_trade_inr,"PASS","FAIL")</f>
        <v/>
      </c>
    </row>
    <row r="608">
      <c r="A608" s="11" t="n">
        <v>44680</v>
      </c>
      <c r="B608" s="7" t="inlineStr">
        <is>
          <t>T05</t>
        </is>
      </c>
      <c r="C608" s="7" t="inlineStr">
        <is>
          <t>LC_USANCE_FEE:L1</t>
        </is>
      </c>
      <c r="D608" s="7" t="inlineStr">
        <is>
          <t>LC_USANCE_FEE</t>
        </is>
      </c>
      <c r="E608" s="7" t="inlineStr">
        <is>
          <t>physical</t>
        </is>
      </c>
      <c r="F608" s="7" t="inlineStr">
        <is>
          <t>L1</t>
        </is>
      </c>
      <c r="H608" s="7" t="inlineStr">
        <is>
          <t>tense</t>
        </is>
      </c>
      <c r="I608" s="7" t="inlineStr">
        <is>
          <t>USEC_MUN</t>
        </is>
      </c>
      <c r="J608" s="7" t="inlineStr">
        <is>
          <t>USD</t>
        </is>
      </c>
      <c r="K608" s="7" t="inlineStr">
        <is>
          <t>floating</t>
        </is>
      </c>
      <c r="L608" s="7" t="inlineStr">
        <is>
          <t>PNL</t>
        </is>
      </c>
      <c r="M608" s="11" t="n">
        <v>44698</v>
      </c>
      <c r="N608" s="13" t="n">
        <v>0</v>
      </c>
      <c r="O608" s="6" t="n">
        <v>0</v>
      </c>
      <c r="P608" s="13" t="n">
        <v>0</v>
      </c>
      <c r="Q608" s="22" t="n">
        <v>30</v>
      </c>
      <c r="R608" s="6" t="n">
        <v>1</v>
      </c>
      <c r="U608" s="9" t="n">
        <v>-2979.85</v>
      </c>
      <c r="V608" s="9" t="n">
        <v>-228325.32</v>
      </c>
      <c r="X608" s="9" t="n">
        <v>76.623</v>
      </c>
      <c r="AK608" s="7" t="inlineStr">
        <is>
          <t>PYTHON_LIFECYCLE</t>
        </is>
      </c>
      <c r="AL608" s="8">
        <f>IF($J608="INR",1,IF($M608&lt;$A608,INDEX(Market_Daily!$F$6:$F$256,MATCH($M608,Market_Daily!$A$6:$A$256,1)),IF($M608=$A608,INDEX(Market_Daily!$F$6:$F$256,MATCH($A608,Market_Daily!$A$6:$A$256,0)),(INDEX(Market_Daily!$F$6:$F$256,MATCH($A608,Market_Daily!$A$6:$A$256,0))*(1+INDEX(Market_Daily!$I$6:$I$256,MATCH($A608,Market_Daily!$A$6:$A$256,0))*($M608-$A608)/day_count_inr)/(1+INDEX(Market_Daily!$J$6:$J$256,MATCH($A608,Market_Daily!$A$6:$A$256,0))*($M608-$A608)/day_count_usd)))))</f>
        <v/>
      </c>
      <c r="AM608" s="8">
        <f>IF(OR($J608="INR",$R608&gt;1),"",$AL608-$X608)</f>
        <v/>
      </c>
      <c r="AN608" s="8">
        <f>$U608</f>
        <v/>
      </c>
      <c r="AO608" s="8">
        <f>$AN608*IF($J608="INR",1,$AL608)</f>
        <v/>
      </c>
      <c r="AP608" s="18">
        <f>$AO608-$V608</f>
        <v/>
      </c>
      <c r="AQ608" s="8">
        <f>IF(ABS($AP608)&lt;=tol_trade_inr,"PASS","FAIL")</f>
        <v/>
      </c>
    </row>
    <row r="609">
      <c r="A609" s="11" t="n">
        <v>44680</v>
      </c>
      <c r="B609" s="7" t="inlineStr">
        <is>
          <t>T05</t>
        </is>
      </c>
      <c r="C609" s="7" t="inlineStr">
        <is>
          <t>LC_USANCE_FEE:L2</t>
        </is>
      </c>
      <c r="D609" s="7" t="inlineStr">
        <is>
          <t>LC_USANCE_FEE</t>
        </is>
      </c>
      <c r="E609" s="7" t="inlineStr">
        <is>
          <t>physical</t>
        </is>
      </c>
      <c r="F609" s="7" t="inlineStr">
        <is>
          <t>L2</t>
        </is>
      </c>
      <c r="H609" s="7" t="inlineStr">
        <is>
          <t>tense</t>
        </is>
      </c>
      <c r="I609" s="7" t="inlineStr">
        <is>
          <t>USEC_MUN</t>
        </is>
      </c>
      <c r="J609" s="7" t="inlineStr">
        <is>
          <t>USD</t>
        </is>
      </c>
      <c r="K609" s="7" t="inlineStr">
        <is>
          <t>floating</t>
        </is>
      </c>
      <c r="L609" s="7" t="inlineStr">
        <is>
          <t>PNL</t>
        </is>
      </c>
      <c r="M609" s="11" t="n">
        <v>44706</v>
      </c>
      <c r="N609" s="13" t="n">
        <v>0</v>
      </c>
      <c r="O609" s="6" t="n">
        <v>0</v>
      </c>
      <c r="P609" s="13" t="n">
        <v>0</v>
      </c>
      <c r="Q609" s="22" t="n">
        <v>30</v>
      </c>
      <c r="R609" s="6" t="n">
        <v>1</v>
      </c>
      <c r="U609" s="9" t="n">
        <v>-2980.29</v>
      </c>
      <c r="V609" s="9" t="n">
        <v>-228512.38</v>
      </c>
      <c r="X609" s="9" t="n">
        <v>76.6747</v>
      </c>
      <c r="AK609" s="7" t="inlineStr">
        <is>
          <t>PYTHON_LIFECYCLE</t>
        </is>
      </c>
      <c r="AL609" s="8">
        <f>IF($J609="INR",1,IF($M609&lt;$A609,INDEX(Market_Daily!$F$6:$F$256,MATCH($M609,Market_Daily!$A$6:$A$256,1)),IF($M609=$A609,INDEX(Market_Daily!$F$6:$F$256,MATCH($A609,Market_Daily!$A$6:$A$256,0)),(INDEX(Market_Daily!$F$6:$F$256,MATCH($A609,Market_Daily!$A$6:$A$256,0))*(1+INDEX(Market_Daily!$I$6:$I$256,MATCH($A609,Market_Daily!$A$6:$A$256,0))*($M609-$A609)/day_count_inr)/(1+INDEX(Market_Daily!$J$6:$J$256,MATCH($A609,Market_Daily!$A$6:$A$256,0))*($M609-$A609)/day_count_usd)))))</f>
        <v/>
      </c>
      <c r="AM609" s="8">
        <f>IF(OR($J609="INR",$R609&gt;1),"",$AL609-$X609)</f>
        <v/>
      </c>
      <c r="AN609" s="8">
        <f>$U609</f>
        <v/>
      </c>
      <c r="AO609" s="8">
        <f>$AN609*IF($J609="INR",1,$AL609)</f>
        <v/>
      </c>
      <c r="AP609" s="18">
        <f>$AO609-$V609</f>
        <v/>
      </c>
      <c r="AQ609" s="8">
        <f>IF(ABS($AP609)&lt;=tol_trade_inr,"PASS","FAIL")</f>
        <v/>
      </c>
    </row>
    <row r="610">
      <c r="A610" s="11" t="n">
        <v>44680</v>
      </c>
      <c r="B610" s="7" t="inlineStr">
        <is>
          <t>T05</t>
        </is>
      </c>
      <c r="C610" s="7" t="inlineStr">
        <is>
          <t>MCX:T05-MCX-1</t>
        </is>
      </c>
      <c r="D610" s="7" t="inlineStr">
        <is>
          <t>MCX</t>
        </is>
      </c>
      <c r="E610" s="7" t="inlineStr">
        <is>
          <t>mcx</t>
        </is>
      </c>
      <c r="H610" s="7" t="inlineStr">
        <is>
          <t>tense</t>
        </is>
      </c>
      <c r="I610" s="7" t="inlineStr">
        <is>
          <t>USEC_MUN</t>
        </is>
      </c>
      <c r="J610" s="7" t="inlineStr">
        <is>
          <t>INR</t>
        </is>
      </c>
      <c r="K610" s="7" t="inlineStr">
        <is>
          <t>partially_fixed</t>
        </is>
      </c>
      <c r="L610" s="7" t="inlineStr">
        <is>
          <t>PNL</t>
        </is>
      </c>
      <c r="M610" s="11" t="n">
        <v>44701</v>
      </c>
      <c r="N610" s="13" t="n">
        <v>0</v>
      </c>
      <c r="O610" s="6" t="n">
        <v>-105</v>
      </c>
      <c r="P610" s="13" t="n">
        <v>0</v>
      </c>
      <c r="Q610" s="22" t="n">
        <v>30</v>
      </c>
      <c r="R610" s="6" t="n">
        <v>21</v>
      </c>
      <c r="U610" s="9" t="n">
        <v>0</v>
      </c>
      <c r="V610" s="9" t="n">
        <v>0</v>
      </c>
      <c r="X610" s="9" t="n">
        <v>76.50660000000001</v>
      </c>
      <c r="AK610" s="7" t="inlineStr">
        <is>
          <t>PYTHON_MULTI_FLOW_LEG</t>
        </is>
      </c>
      <c r="AL610" s="8">
        <f>IF($J610="INR",1,IF($M610&lt;$A610,INDEX(Market_Daily!$F$6:$F$256,MATCH($M610,Market_Daily!$A$6:$A$256,1)),IF($M610=$A610,INDEX(Market_Daily!$F$6:$F$256,MATCH($A610,Market_Daily!$A$6:$A$256,0)),(INDEX(Market_Daily!$F$6:$F$256,MATCH($A610,Market_Daily!$A$6:$A$256,0))*(1+INDEX(Market_Daily!$I$6:$I$256,MATCH($A610,Market_Daily!$A$6:$A$256,0))*($M610-$A610)/day_count_inr)/(1+INDEX(Market_Daily!$J$6:$J$256,MATCH($A610,Market_Daily!$A$6:$A$256,0))*($M610-$A610)/day_count_usd)))))</f>
        <v/>
      </c>
      <c r="AM610" s="8">
        <f>IF(OR($J610="INR",$R610&gt;1),"",$AL610-$X610)</f>
        <v/>
      </c>
      <c r="AN610" s="8">
        <f>$U610</f>
        <v/>
      </c>
      <c r="AO610" s="8">
        <f>$V610</f>
        <v/>
      </c>
      <c r="AP610" s="18">
        <f>$AO610-$V610</f>
        <v/>
      </c>
      <c r="AQ610" s="8">
        <f>IF(ABS($AP610)&lt;=tol_trade_inr,"PASS","FAIL")</f>
        <v/>
      </c>
    </row>
    <row r="611">
      <c r="A611" s="11" t="n">
        <v>44680</v>
      </c>
      <c r="B611" s="7" t="inlineStr">
        <is>
          <t>T05</t>
        </is>
      </c>
      <c r="C611" s="7" t="inlineStr">
        <is>
          <t>PORT:L1</t>
        </is>
      </c>
      <c r="D611" s="7" t="inlineStr">
        <is>
          <t>PORT</t>
        </is>
      </c>
      <c r="E611" s="7" t="inlineStr">
        <is>
          <t>physical</t>
        </is>
      </c>
      <c r="F611" s="7" t="inlineStr">
        <is>
          <t>L1</t>
        </is>
      </c>
      <c r="H611" s="7" t="inlineStr">
        <is>
          <t>tense</t>
        </is>
      </c>
      <c r="I611" s="7" t="inlineStr">
        <is>
          <t>USEC_MUN</t>
        </is>
      </c>
      <c r="J611" s="7" t="inlineStr">
        <is>
          <t>INR</t>
        </is>
      </c>
      <c r="K611" s="7" t="inlineStr">
        <is>
          <t>fixed_unsettled</t>
        </is>
      </c>
      <c r="L611" s="7" t="inlineStr">
        <is>
          <t>PNL</t>
        </is>
      </c>
      <c r="M611" s="11" t="n">
        <v>44741</v>
      </c>
      <c r="N611" s="13" t="n">
        <v>0</v>
      </c>
      <c r="O611" s="6" t="n">
        <v>0</v>
      </c>
      <c r="P611" s="13" t="n">
        <v>0</v>
      </c>
      <c r="Q611" s="22" t="n">
        <v>30</v>
      </c>
      <c r="R611" s="6" t="n">
        <v>1</v>
      </c>
      <c r="U611" s="9" t="n">
        <v>-2782500</v>
      </c>
      <c r="V611" s="9" t="n">
        <v>-2782500</v>
      </c>
      <c r="X611" s="9" t="n">
        <v>76.50660000000001</v>
      </c>
      <c r="AK611" s="7" t="inlineStr">
        <is>
          <t>PYTHON_LIFECYCLE</t>
        </is>
      </c>
      <c r="AL611" s="8">
        <f>IF($J611="INR",1,IF($M611&lt;$A611,INDEX(Market_Daily!$F$6:$F$256,MATCH($M611,Market_Daily!$A$6:$A$256,1)),IF($M611=$A611,INDEX(Market_Daily!$F$6:$F$256,MATCH($A611,Market_Daily!$A$6:$A$256,0)),(INDEX(Market_Daily!$F$6:$F$256,MATCH($A611,Market_Daily!$A$6:$A$256,0))*(1+INDEX(Market_Daily!$I$6:$I$256,MATCH($A611,Market_Daily!$A$6:$A$256,0))*($M611-$A611)/day_count_inr)/(1+INDEX(Market_Daily!$J$6:$J$256,MATCH($A611,Market_Daily!$A$6:$A$256,0))*($M611-$A611)/day_count_usd)))))</f>
        <v/>
      </c>
      <c r="AM611" s="8">
        <f>IF(OR($J611="INR",$R611&gt;1),"",$AL611-$X611)</f>
        <v/>
      </c>
      <c r="AN611" s="8">
        <f>$U611</f>
        <v/>
      </c>
      <c r="AO611" s="8">
        <f>$AN611*IF($J611="INR",1,$AL611)</f>
        <v/>
      </c>
      <c r="AP611" s="18">
        <f>$AO611-$V611</f>
        <v/>
      </c>
      <c r="AQ611" s="8">
        <f>IF(ABS($AP611)&lt;=tol_trade_inr,"PASS","FAIL")</f>
        <v/>
      </c>
    </row>
    <row r="612">
      <c r="A612" s="11" t="n">
        <v>44680</v>
      </c>
      <c r="B612" s="7" t="inlineStr">
        <is>
          <t>T05</t>
        </is>
      </c>
      <c r="C612" s="7" t="inlineStr">
        <is>
          <t>PORT:L2</t>
        </is>
      </c>
      <c r="D612" s="7" t="inlineStr">
        <is>
          <t>PORT</t>
        </is>
      </c>
      <c r="E612" s="7" t="inlineStr">
        <is>
          <t>physical</t>
        </is>
      </c>
      <c r="F612" s="7" t="inlineStr">
        <is>
          <t>L2</t>
        </is>
      </c>
      <c r="H612" s="7" t="inlineStr">
        <is>
          <t>tense</t>
        </is>
      </c>
      <c r="I612" s="7" t="inlineStr">
        <is>
          <t>USEC_MUN</t>
        </is>
      </c>
      <c r="J612" s="7" t="inlineStr">
        <is>
          <t>INR</t>
        </is>
      </c>
      <c r="K612" s="7" t="inlineStr">
        <is>
          <t>fixed_unsettled</t>
        </is>
      </c>
      <c r="L612" s="7" t="inlineStr">
        <is>
          <t>PNL</t>
        </is>
      </c>
      <c r="M612" s="11" t="n">
        <v>44749</v>
      </c>
      <c r="N612" s="13" t="n">
        <v>0</v>
      </c>
      <c r="O612" s="6" t="n">
        <v>0</v>
      </c>
      <c r="P612" s="13" t="n">
        <v>0</v>
      </c>
      <c r="Q612" s="22" t="n">
        <v>30</v>
      </c>
      <c r="R612" s="6" t="n">
        <v>1</v>
      </c>
      <c r="U612" s="9" t="n">
        <v>-2782500</v>
      </c>
      <c r="V612" s="9" t="n">
        <v>-2782500</v>
      </c>
      <c r="X612" s="9" t="n">
        <v>76.50660000000001</v>
      </c>
      <c r="AK612" s="7" t="inlineStr">
        <is>
          <t>PYTHON_LIFECYCLE</t>
        </is>
      </c>
      <c r="AL612" s="8">
        <f>IF($J612="INR",1,IF($M612&lt;$A612,INDEX(Market_Daily!$F$6:$F$256,MATCH($M612,Market_Daily!$A$6:$A$256,1)),IF($M612=$A612,INDEX(Market_Daily!$F$6:$F$256,MATCH($A612,Market_Daily!$A$6:$A$256,0)),(INDEX(Market_Daily!$F$6:$F$256,MATCH($A612,Market_Daily!$A$6:$A$256,0))*(1+INDEX(Market_Daily!$I$6:$I$256,MATCH($A612,Market_Daily!$A$6:$A$256,0))*($M612-$A612)/day_count_inr)/(1+INDEX(Market_Daily!$J$6:$J$256,MATCH($A612,Market_Daily!$A$6:$A$256,0))*($M612-$A612)/day_count_usd)))))</f>
        <v/>
      </c>
      <c r="AM612" s="8">
        <f>IF(OR($J612="INR",$R612&gt;1),"",$AL612-$X612)</f>
        <v/>
      </c>
      <c r="AN612" s="8">
        <f>$U612</f>
        <v/>
      </c>
      <c r="AO612" s="8">
        <f>$AN612*IF($J612="INR",1,$AL612)</f>
        <v/>
      </c>
      <c r="AP612" s="18">
        <f>$AO612-$V612</f>
        <v/>
      </c>
      <c r="AQ612" s="8">
        <f>IF(ABS($AP612)&lt;=tol_trade_inr,"PASS","FAIL")</f>
        <v/>
      </c>
    </row>
    <row r="613">
      <c r="A613" s="11" t="n">
        <v>44680</v>
      </c>
      <c r="B613" s="7" t="inlineStr">
        <is>
          <t>T05</t>
        </is>
      </c>
      <c r="C613" s="7" t="inlineStr">
        <is>
          <t>PURCHASE:L1</t>
        </is>
      </c>
      <c r="D613" s="7" t="inlineStr">
        <is>
          <t>PURCHASE</t>
        </is>
      </c>
      <c r="E613" s="7" t="inlineStr">
        <is>
          <t>physical</t>
        </is>
      </c>
      <c r="F613" s="7" t="inlineStr">
        <is>
          <t>L1</t>
        </is>
      </c>
      <c r="G613" s="7" t="inlineStr">
        <is>
          <t>SUP_USEC_01</t>
        </is>
      </c>
      <c r="H613" s="7" t="inlineStr">
        <is>
          <t>tense</t>
        </is>
      </c>
      <c r="I613" s="7" t="inlineStr">
        <is>
          <t>USEC_MUN</t>
        </is>
      </c>
      <c r="J613" s="7" t="inlineStr">
        <is>
          <t>USD</t>
        </is>
      </c>
      <c r="K613" s="7" t="inlineStr">
        <is>
          <t>floating</t>
        </is>
      </c>
      <c r="L613" s="7" t="inlineStr">
        <is>
          <t>PNL</t>
        </is>
      </c>
      <c r="M613" s="11" t="n">
        <v>44753</v>
      </c>
      <c r="N613" s="13" t="n">
        <v>2100</v>
      </c>
      <c r="O613" s="6" t="n">
        <v>0</v>
      </c>
      <c r="P613" s="13" t="n">
        <v>0</v>
      </c>
      <c r="Q613" s="22" t="n">
        <v>30</v>
      </c>
      <c r="R613" s="6" t="n">
        <v>2</v>
      </c>
      <c r="U613" s="9" t="n">
        <v>-2242031.4</v>
      </c>
      <c r="V613" s="9" t="n">
        <v>-172584006.38</v>
      </c>
      <c r="X613" s="9" t="n">
        <v>76.97790000000001</v>
      </c>
      <c r="AK613" s="7" t="inlineStr">
        <is>
          <t>PYTHON_MULTI_FLOW_LEG</t>
        </is>
      </c>
      <c r="AL613" s="8">
        <f>IF($J613="INR",1,IF($M613&lt;$A613,INDEX(Market_Daily!$F$6:$F$256,MATCH($M613,Market_Daily!$A$6:$A$256,1)),IF($M613=$A613,INDEX(Market_Daily!$F$6:$F$256,MATCH($A613,Market_Daily!$A$6:$A$256,0)),(INDEX(Market_Daily!$F$6:$F$256,MATCH($A613,Market_Daily!$A$6:$A$256,0))*(1+INDEX(Market_Daily!$I$6:$I$256,MATCH($A613,Market_Daily!$A$6:$A$256,0))*($M613-$A613)/day_count_inr)/(1+INDEX(Market_Daily!$J$6:$J$256,MATCH($A613,Market_Daily!$A$6:$A$256,0))*($M613-$A613)/day_count_usd)))))</f>
        <v/>
      </c>
      <c r="AM613" s="8">
        <f>IF(OR($J613="INR",$R613&gt;1),"",$AL613-$X613)</f>
        <v/>
      </c>
      <c r="AN613" s="8">
        <f>$U613</f>
        <v/>
      </c>
      <c r="AO613" s="8">
        <f>$V613</f>
        <v/>
      </c>
      <c r="AP613" s="18">
        <f>$AO613-$V613</f>
        <v/>
      </c>
      <c r="AQ613" s="8">
        <f>IF(ABS($AP613)&lt;=tol_trade_inr,"PASS","FAIL")</f>
        <v/>
      </c>
    </row>
    <row r="614">
      <c r="A614" s="11" t="n">
        <v>44680</v>
      </c>
      <c r="B614" s="7" t="inlineStr">
        <is>
          <t>T05</t>
        </is>
      </c>
      <c r="C614" s="7" t="inlineStr">
        <is>
          <t>PURCHASE:L2</t>
        </is>
      </c>
      <c r="D614" s="7" t="inlineStr">
        <is>
          <t>PURCHASE</t>
        </is>
      </c>
      <c r="E614" s="7" t="inlineStr">
        <is>
          <t>physical</t>
        </is>
      </c>
      <c r="F614" s="7" t="inlineStr">
        <is>
          <t>L2</t>
        </is>
      </c>
      <c r="G614" s="7" t="inlineStr">
        <is>
          <t>SUP_USEC_01</t>
        </is>
      </c>
      <c r="H614" s="7" t="inlineStr">
        <is>
          <t>tense</t>
        </is>
      </c>
      <c r="I614" s="7" t="inlineStr">
        <is>
          <t>USEC_MUN</t>
        </is>
      </c>
      <c r="J614" s="7" t="inlineStr">
        <is>
          <t>USD</t>
        </is>
      </c>
      <c r="K614" s="7" t="inlineStr">
        <is>
          <t>floating</t>
        </is>
      </c>
      <c r="L614" s="7" t="inlineStr">
        <is>
          <t>PNL</t>
        </is>
      </c>
      <c r="M614" s="11" t="n">
        <v>44760</v>
      </c>
      <c r="N614" s="13" t="n">
        <v>2100</v>
      </c>
      <c r="O614" s="6" t="n">
        <v>0</v>
      </c>
      <c r="P614" s="13" t="n">
        <v>0</v>
      </c>
      <c r="Q614" s="22" t="n">
        <v>30</v>
      </c>
      <c r="R614" s="6" t="n">
        <v>2</v>
      </c>
      <c r="U614" s="9" t="n">
        <v>-2242031.4</v>
      </c>
      <c r="V614" s="9" t="n">
        <v>-172680049.57</v>
      </c>
      <c r="X614" s="9" t="n">
        <v>77.023</v>
      </c>
      <c r="AK614" s="7" t="inlineStr">
        <is>
          <t>PYTHON_MULTI_FLOW_LEG</t>
        </is>
      </c>
      <c r="AL614" s="8">
        <f>IF($J614="INR",1,IF($M614&lt;$A614,INDEX(Market_Daily!$F$6:$F$256,MATCH($M614,Market_Daily!$A$6:$A$256,1)),IF($M614=$A614,INDEX(Market_Daily!$F$6:$F$256,MATCH($A614,Market_Daily!$A$6:$A$256,0)),(INDEX(Market_Daily!$F$6:$F$256,MATCH($A614,Market_Daily!$A$6:$A$256,0))*(1+INDEX(Market_Daily!$I$6:$I$256,MATCH($A614,Market_Daily!$A$6:$A$256,0))*($M614-$A614)/day_count_inr)/(1+INDEX(Market_Daily!$J$6:$J$256,MATCH($A614,Market_Daily!$A$6:$A$256,0))*($M614-$A614)/day_count_usd)))))</f>
        <v/>
      </c>
      <c r="AM614" s="8">
        <f>IF(OR($J614="INR",$R614&gt;1),"",$AL614-$X614)</f>
        <v/>
      </c>
      <c r="AN614" s="8">
        <f>$U614</f>
        <v/>
      </c>
      <c r="AO614" s="8">
        <f>$V614</f>
        <v/>
      </c>
      <c r="AP614" s="18">
        <f>$AO614-$V614</f>
        <v/>
      </c>
      <c r="AQ614" s="8">
        <f>IF(ABS($AP614)&lt;=tol_trade_inr,"PASS","FAIL")</f>
        <v/>
      </c>
    </row>
    <row r="615">
      <c r="A615" s="11" t="n">
        <v>44680</v>
      </c>
      <c r="B615" s="7" t="inlineStr">
        <is>
          <t>T05</t>
        </is>
      </c>
      <c r="C615" s="7" t="inlineStr">
        <is>
          <t>SALE:S1</t>
        </is>
      </c>
      <c r="D615" s="7" t="inlineStr">
        <is>
          <t>SALE</t>
        </is>
      </c>
      <c r="E615" s="7" t="inlineStr">
        <is>
          <t>physical</t>
        </is>
      </c>
      <c r="G615" s="7" t="inlineStr">
        <is>
          <t>BUY_MUN_01</t>
        </is>
      </c>
      <c r="H615" s="7" t="inlineStr">
        <is>
          <t>tense</t>
        </is>
      </c>
      <c r="I615" s="7" t="inlineStr">
        <is>
          <t>USEC_MUN</t>
        </is>
      </c>
      <c r="J615" s="7" t="inlineStr">
        <is>
          <t>INR</t>
        </is>
      </c>
      <c r="K615" s="7" t="inlineStr">
        <is>
          <t>floating</t>
        </is>
      </c>
      <c r="L615" s="7" t="inlineStr">
        <is>
          <t>PNL</t>
        </is>
      </c>
      <c r="M615" s="11" t="n">
        <v>44781</v>
      </c>
      <c r="N615" s="13" t="n">
        <v>2100</v>
      </c>
      <c r="O615" s="6" t="n">
        <v>0</v>
      </c>
      <c r="P615" s="13" t="n">
        <v>0</v>
      </c>
      <c r="Q615" s="22" t="n">
        <v>30</v>
      </c>
      <c r="R615" s="6" t="n">
        <v>1</v>
      </c>
      <c r="U615" s="9" t="n">
        <v>401982190.17</v>
      </c>
      <c r="V615" s="9" t="n">
        <v>401982190.17</v>
      </c>
      <c r="W615" s="9" t="n">
        <v>191420.0906</v>
      </c>
      <c r="X615" s="9" t="n">
        <v>76.50660000000001</v>
      </c>
      <c r="AK615" s="7" t="inlineStr">
        <is>
          <t>PYTHON_LIFECYCLE</t>
        </is>
      </c>
      <c r="AL615" s="8">
        <f>IF($J615="INR",1,IF($M615&lt;$A615,INDEX(Market_Daily!$F$6:$F$256,MATCH($M615,Market_Daily!$A$6:$A$256,1)),IF($M615=$A615,INDEX(Market_Daily!$F$6:$F$256,MATCH($A615,Market_Daily!$A$6:$A$256,0)),(INDEX(Market_Daily!$F$6:$F$256,MATCH($A615,Market_Daily!$A$6:$A$256,0))*(1+INDEX(Market_Daily!$I$6:$I$256,MATCH($A615,Market_Daily!$A$6:$A$256,0))*($M615-$A615)/day_count_inr)/(1+INDEX(Market_Daily!$J$6:$J$256,MATCH($A615,Market_Daily!$A$6:$A$256,0))*($M615-$A615)/day_count_usd)))))</f>
        <v/>
      </c>
      <c r="AM615" s="8">
        <f>IF(OR($J615="INR",$R615&gt;1),"",$AL615-$X615)</f>
        <v/>
      </c>
      <c r="AN615" s="8">
        <f>$U615</f>
        <v/>
      </c>
      <c r="AO615" s="8">
        <f>$AN615*IF($J615="INR",1,$AL615)</f>
        <v/>
      </c>
      <c r="AP615" s="18">
        <f>$AO615-$V615</f>
        <v/>
      </c>
      <c r="AQ615" s="8">
        <f>IF(ABS($AP615)&lt;=tol_trade_inr,"PASS","FAIL")</f>
        <v/>
      </c>
    </row>
    <row r="616">
      <c r="A616" s="11" t="n">
        <v>44680</v>
      </c>
      <c r="B616" s="7" t="inlineStr">
        <is>
          <t>T05</t>
        </is>
      </c>
      <c r="C616" s="7" t="inlineStr">
        <is>
          <t>USANCE_INTEREST:L1</t>
        </is>
      </c>
      <c r="D616" s="7" t="inlineStr">
        <is>
          <t>USANCE_INTEREST</t>
        </is>
      </c>
      <c r="E616" s="7" t="inlineStr">
        <is>
          <t>physical</t>
        </is>
      </c>
      <c r="F616" s="7" t="inlineStr">
        <is>
          <t>L1</t>
        </is>
      </c>
      <c r="H616" s="7" t="inlineStr">
        <is>
          <t>tense</t>
        </is>
      </c>
      <c r="I616" s="7" t="inlineStr">
        <is>
          <t>USEC_MUN</t>
        </is>
      </c>
      <c r="J616" s="7" t="inlineStr">
        <is>
          <t>USD</t>
        </is>
      </c>
      <c r="K616" s="7" t="inlineStr">
        <is>
          <t>floating</t>
        </is>
      </c>
      <c r="L616" s="7" t="inlineStr">
        <is>
          <t>PNL</t>
        </is>
      </c>
      <c r="M616" s="11" t="n">
        <v>44753</v>
      </c>
      <c r="N616" s="13" t="n">
        <v>0</v>
      </c>
      <c r="O616" s="6" t="n">
        <v>0</v>
      </c>
      <c r="P616" s="13" t="n">
        <v>0</v>
      </c>
      <c r="Q616" s="22" t="n">
        <v>30</v>
      </c>
      <c r="R616" s="6" t="n">
        <v>1</v>
      </c>
      <c r="U616" s="9" t="n">
        <v>-8260.23</v>
      </c>
      <c r="V616" s="9" t="n">
        <v>-635855.3</v>
      </c>
      <c r="X616" s="9" t="n">
        <v>76.97790000000001</v>
      </c>
      <c r="AK616" s="7" t="inlineStr">
        <is>
          <t>PYTHON_LIFECYCLE</t>
        </is>
      </c>
      <c r="AL616" s="8">
        <f>IF($J616="INR",1,IF($M616&lt;$A616,INDEX(Market_Daily!$F$6:$F$256,MATCH($M616,Market_Daily!$A$6:$A$256,1)),IF($M616=$A616,INDEX(Market_Daily!$F$6:$F$256,MATCH($A616,Market_Daily!$A$6:$A$256,0)),(INDEX(Market_Daily!$F$6:$F$256,MATCH($A616,Market_Daily!$A$6:$A$256,0))*(1+INDEX(Market_Daily!$I$6:$I$256,MATCH($A616,Market_Daily!$A$6:$A$256,0))*($M616-$A616)/day_count_inr)/(1+INDEX(Market_Daily!$J$6:$J$256,MATCH($A616,Market_Daily!$A$6:$A$256,0))*($M616-$A616)/day_count_usd)))))</f>
        <v/>
      </c>
      <c r="AM616" s="8">
        <f>IF(OR($J616="INR",$R616&gt;1),"",$AL616-$X616)</f>
        <v/>
      </c>
      <c r="AN616" s="8">
        <f>$U616</f>
        <v/>
      </c>
      <c r="AO616" s="8">
        <f>$AN616*IF($J616="INR",1,$AL616)</f>
        <v/>
      </c>
      <c r="AP616" s="18">
        <f>$AO616-$V616</f>
        <v/>
      </c>
      <c r="AQ616" s="8">
        <f>IF(ABS($AP616)&lt;=tol_trade_inr,"PASS","FAIL")</f>
        <v/>
      </c>
    </row>
    <row r="617">
      <c r="A617" s="11" t="n">
        <v>44680</v>
      </c>
      <c r="B617" s="7" t="inlineStr">
        <is>
          <t>T05</t>
        </is>
      </c>
      <c r="C617" s="7" t="inlineStr">
        <is>
          <t>USANCE_INTEREST:L2</t>
        </is>
      </c>
      <c r="D617" s="7" t="inlineStr">
        <is>
          <t>USANCE_INTEREST</t>
        </is>
      </c>
      <c r="E617" s="7" t="inlineStr">
        <is>
          <t>physical</t>
        </is>
      </c>
      <c r="F617" s="7" t="inlineStr">
        <is>
          <t>L2</t>
        </is>
      </c>
      <c r="H617" s="7" t="inlineStr">
        <is>
          <t>tense</t>
        </is>
      </c>
      <c r="I617" s="7" t="inlineStr">
        <is>
          <t>USEC_MUN</t>
        </is>
      </c>
      <c r="J617" s="7" t="inlineStr">
        <is>
          <t>USD</t>
        </is>
      </c>
      <c r="K617" s="7" t="inlineStr">
        <is>
          <t>floating</t>
        </is>
      </c>
      <c r="L617" s="7" t="inlineStr">
        <is>
          <t>PNL</t>
        </is>
      </c>
      <c r="M617" s="11" t="n">
        <v>44760</v>
      </c>
      <c r="N617" s="13" t="n">
        <v>0</v>
      </c>
      <c r="O617" s="6" t="n">
        <v>0</v>
      </c>
      <c r="P617" s="13" t="n">
        <v>0</v>
      </c>
      <c r="Q617" s="22" t="n">
        <v>30</v>
      </c>
      <c r="R617" s="6" t="n">
        <v>1</v>
      </c>
      <c r="U617" s="9" t="n">
        <v>-8261.42</v>
      </c>
      <c r="V617" s="9" t="n">
        <v>-636319.95</v>
      </c>
      <c r="X617" s="9" t="n">
        <v>77.023</v>
      </c>
      <c r="AK617" s="7" t="inlineStr">
        <is>
          <t>PYTHON_LIFECYCLE</t>
        </is>
      </c>
      <c r="AL617" s="8">
        <f>IF($J617="INR",1,IF($M617&lt;$A617,INDEX(Market_Daily!$F$6:$F$256,MATCH($M617,Market_Daily!$A$6:$A$256,1)),IF($M617=$A617,INDEX(Market_Daily!$F$6:$F$256,MATCH($A617,Market_Daily!$A$6:$A$256,0)),(INDEX(Market_Daily!$F$6:$F$256,MATCH($A617,Market_Daily!$A$6:$A$256,0))*(1+INDEX(Market_Daily!$I$6:$I$256,MATCH($A617,Market_Daily!$A$6:$A$256,0))*($M617-$A617)/day_count_inr)/(1+INDEX(Market_Daily!$J$6:$J$256,MATCH($A617,Market_Daily!$A$6:$A$256,0))*($M617-$A617)/day_count_usd)))))</f>
        <v/>
      </c>
      <c r="AM617" s="8">
        <f>IF(OR($J617="INR",$R617&gt;1),"",$AL617-$X617)</f>
        <v/>
      </c>
      <c r="AN617" s="8">
        <f>$U617</f>
        <v/>
      </c>
      <c r="AO617" s="8">
        <f>$AN617*IF($J617="INR",1,$AL617)</f>
        <v/>
      </c>
      <c r="AP617" s="18">
        <f>$AO617-$V617</f>
        <v/>
      </c>
      <c r="AQ617" s="8">
        <f>IF(ABS($AP617)&lt;=tol_trade_inr,"PASS","FAIL")</f>
        <v/>
      </c>
    </row>
    <row r="618">
      <c r="A618" s="11" t="n">
        <v>44690</v>
      </c>
      <c r="B618" s="7" t="inlineStr">
        <is>
          <t>T01</t>
        </is>
      </c>
      <c r="C618" s="7" t="inlineStr">
        <is>
          <t>DUTY:L2</t>
        </is>
      </c>
      <c r="D618" s="7" t="inlineStr">
        <is>
          <t>DUTY</t>
        </is>
      </c>
      <c r="E618" s="7" t="inlineStr">
        <is>
          <t>physical</t>
        </is>
      </c>
      <c r="F618" s="7" t="inlineStr">
        <is>
          <t>L2</t>
        </is>
      </c>
      <c r="H618" s="7" t="inlineStr">
        <is>
          <t>zorba</t>
        </is>
      </c>
      <c r="I618" s="7" t="inlineStr">
        <is>
          <t>USEC_MUN</t>
        </is>
      </c>
      <c r="J618" s="7" t="inlineStr">
        <is>
          <t>INR</t>
        </is>
      </c>
      <c r="K618" s="7" t="inlineStr">
        <is>
          <t>floating</t>
        </is>
      </c>
      <c r="L618" s="7" t="inlineStr">
        <is>
          <t>PNL</t>
        </is>
      </c>
      <c r="M618" s="11" t="n">
        <v>44697</v>
      </c>
      <c r="N618" s="13" t="n">
        <v>840</v>
      </c>
      <c r="O618" s="6" t="n">
        <v>0</v>
      </c>
      <c r="P618" s="13" t="n">
        <v>0</v>
      </c>
      <c r="Q618" s="22" t="n">
        <v>31</v>
      </c>
      <c r="R618" s="6" t="n">
        <v>1</v>
      </c>
      <c r="U618" s="9" t="n">
        <v>-4353562.71</v>
      </c>
      <c r="V618" s="9" t="n">
        <v>-4353562.71</v>
      </c>
      <c r="X618" s="9" t="n">
        <v>77.4141</v>
      </c>
      <c r="AK618" s="7" t="inlineStr">
        <is>
          <t>PYTHON_LIFECYCLE</t>
        </is>
      </c>
      <c r="AL618" s="8">
        <f>IF($J618="INR",1,IF($M618&lt;$A618,INDEX(Market_Daily!$F$6:$F$256,MATCH($M618,Market_Daily!$A$6:$A$256,1)),IF($M618=$A618,INDEX(Market_Daily!$F$6:$F$256,MATCH($A618,Market_Daily!$A$6:$A$256,0)),(INDEX(Market_Daily!$F$6:$F$256,MATCH($A618,Market_Daily!$A$6:$A$256,0))*(1+INDEX(Market_Daily!$I$6:$I$256,MATCH($A618,Market_Daily!$A$6:$A$256,0))*($M618-$A618)/day_count_inr)/(1+INDEX(Market_Daily!$J$6:$J$256,MATCH($A618,Market_Daily!$A$6:$A$256,0))*($M618-$A618)/day_count_usd)))))</f>
        <v/>
      </c>
      <c r="AM618" s="8">
        <f>IF(OR($J618="INR",$R618&gt;1),"",$AL618-$X618)</f>
        <v/>
      </c>
      <c r="AN618" s="8">
        <f>$U618</f>
        <v/>
      </c>
      <c r="AO618" s="8">
        <f>$AN618*IF($J618="INR",1,$AL618)</f>
        <v/>
      </c>
      <c r="AP618" s="18">
        <f>$AO618-$V618</f>
        <v/>
      </c>
      <c r="AQ618" s="8">
        <f>IF(ABS($AP618)&lt;=tol_trade_inr,"PASS","FAIL")</f>
        <v/>
      </c>
    </row>
    <row r="619">
      <c r="A619" s="11" t="n">
        <v>44690</v>
      </c>
      <c r="B619" s="7" t="inlineStr">
        <is>
          <t>T01</t>
        </is>
      </c>
      <c r="C619" s="7" t="inlineStr">
        <is>
          <t>DUTY:L3</t>
        </is>
      </c>
      <c r="D619" s="7" t="inlineStr">
        <is>
          <t>DUTY</t>
        </is>
      </c>
      <c r="E619" s="7" t="inlineStr">
        <is>
          <t>physical</t>
        </is>
      </c>
      <c r="F619" s="7" t="inlineStr">
        <is>
          <t>L3</t>
        </is>
      </c>
      <c r="H619" s="7" t="inlineStr">
        <is>
          <t>zorba</t>
        </is>
      </c>
      <c r="I619" s="7" t="inlineStr">
        <is>
          <t>USEC_MUN</t>
        </is>
      </c>
      <c r="J619" s="7" t="inlineStr">
        <is>
          <t>INR</t>
        </is>
      </c>
      <c r="K619" s="7" t="inlineStr">
        <is>
          <t>floating</t>
        </is>
      </c>
      <c r="L619" s="7" t="inlineStr">
        <is>
          <t>PNL</t>
        </is>
      </c>
      <c r="M619" s="11" t="n">
        <v>44699</v>
      </c>
      <c r="N619" s="13" t="n">
        <v>840</v>
      </c>
      <c r="O619" s="6" t="n">
        <v>0</v>
      </c>
      <c r="P619" s="13" t="n">
        <v>0</v>
      </c>
      <c r="Q619" s="22" t="n">
        <v>31</v>
      </c>
      <c r="R619" s="6" t="n">
        <v>1</v>
      </c>
      <c r="U619" s="9" t="n">
        <v>-4353562.71</v>
      </c>
      <c r="V619" s="9" t="n">
        <v>-4353562.71</v>
      </c>
      <c r="X619" s="9" t="n">
        <v>77.4141</v>
      </c>
      <c r="AK619" s="7" t="inlineStr">
        <is>
          <t>PYTHON_LIFECYCLE</t>
        </is>
      </c>
      <c r="AL619" s="8">
        <f>IF($J619="INR",1,IF($M619&lt;$A619,INDEX(Market_Daily!$F$6:$F$256,MATCH($M619,Market_Daily!$A$6:$A$256,1)),IF($M619=$A619,INDEX(Market_Daily!$F$6:$F$256,MATCH($A619,Market_Daily!$A$6:$A$256,0)),(INDEX(Market_Daily!$F$6:$F$256,MATCH($A619,Market_Daily!$A$6:$A$256,0))*(1+INDEX(Market_Daily!$I$6:$I$256,MATCH($A619,Market_Daily!$A$6:$A$256,0))*($M619-$A619)/day_count_inr)/(1+INDEX(Market_Daily!$J$6:$J$256,MATCH($A619,Market_Daily!$A$6:$A$256,0))*($M619-$A619)/day_count_usd)))))</f>
        <v/>
      </c>
      <c r="AM619" s="8">
        <f>IF(OR($J619="INR",$R619&gt;1),"",$AL619-$X619)</f>
        <v/>
      </c>
      <c r="AN619" s="8">
        <f>$U619</f>
        <v/>
      </c>
      <c r="AO619" s="8">
        <f>$AN619*IF($J619="INR",1,$AL619)</f>
        <v/>
      </c>
      <c r="AP619" s="18">
        <f>$AO619-$V619</f>
        <v/>
      </c>
      <c r="AQ619" s="8">
        <f>IF(ABS($AP619)&lt;=tol_trade_inr,"PASS","FAIL")</f>
        <v/>
      </c>
    </row>
    <row r="620">
      <c r="A620" s="11" t="n">
        <v>44690</v>
      </c>
      <c r="B620" s="7" t="inlineStr">
        <is>
          <t>T01</t>
        </is>
      </c>
      <c r="C620" s="7" t="inlineStr">
        <is>
          <t>FREIGHT:L2</t>
        </is>
      </c>
      <c r="D620" s="7" t="inlineStr">
        <is>
          <t>FREIGHT</t>
        </is>
      </c>
      <c r="E620" s="7" t="inlineStr">
        <is>
          <t>physical</t>
        </is>
      </c>
      <c r="F620" s="7" t="inlineStr">
        <is>
          <t>L2</t>
        </is>
      </c>
      <c r="G620" s="7" t="inlineStr">
        <is>
          <t>Meridian Box Lines NVOCC (SIM)</t>
        </is>
      </c>
      <c r="H620" s="7" t="inlineStr">
        <is>
          <t>zorba</t>
        </is>
      </c>
      <c r="I620" s="7" t="inlineStr">
        <is>
          <t>USEC_MUN</t>
        </is>
      </c>
      <c r="J620" s="7" t="inlineStr">
        <is>
          <t>USD</t>
        </is>
      </c>
      <c r="K620" s="7" t="inlineStr">
        <is>
          <t>fixed_unsettled</t>
        </is>
      </c>
      <c r="L620" s="7" t="inlineStr">
        <is>
          <t>PNL</t>
        </is>
      </c>
      <c r="M620" s="11" t="n">
        <v>44697</v>
      </c>
      <c r="N620" s="13" t="n">
        <v>840</v>
      </c>
      <c r="O620" s="6" t="n">
        <v>0</v>
      </c>
      <c r="P620" s="13" t="n">
        <v>0</v>
      </c>
      <c r="Q620" s="22" t="n">
        <v>31</v>
      </c>
      <c r="R620" s="6" t="n">
        <v>1</v>
      </c>
      <c r="U620" s="9" t="n">
        <v>-86800</v>
      </c>
      <c r="V620" s="9" t="n">
        <v>-6724445.48</v>
      </c>
      <c r="X620" s="9" t="n">
        <v>77.4706</v>
      </c>
      <c r="AK620" s="7" t="inlineStr">
        <is>
          <t>PYTHON_LIFECYCLE</t>
        </is>
      </c>
      <c r="AL620" s="8">
        <f>IF($J620="INR",1,IF($M620&lt;$A620,INDEX(Market_Daily!$F$6:$F$256,MATCH($M620,Market_Daily!$A$6:$A$256,1)),IF($M620=$A620,INDEX(Market_Daily!$F$6:$F$256,MATCH($A620,Market_Daily!$A$6:$A$256,0)),(INDEX(Market_Daily!$F$6:$F$256,MATCH($A620,Market_Daily!$A$6:$A$256,0))*(1+INDEX(Market_Daily!$I$6:$I$256,MATCH($A620,Market_Daily!$A$6:$A$256,0))*($M620-$A620)/day_count_inr)/(1+INDEX(Market_Daily!$J$6:$J$256,MATCH($A620,Market_Daily!$A$6:$A$256,0))*($M620-$A620)/day_count_usd)))))</f>
        <v/>
      </c>
      <c r="AM620" s="8">
        <f>IF(OR($J620="INR",$R620&gt;1),"",$AL620-$X620)</f>
        <v/>
      </c>
      <c r="AN620" s="8">
        <f>$U620</f>
        <v/>
      </c>
      <c r="AO620" s="8">
        <f>$AN620*IF($J620="INR",1,$AL620)</f>
        <v/>
      </c>
      <c r="AP620" s="18">
        <f>$AO620-$V620</f>
        <v/>
      </c>
      <c r="AQ620" s="8">
        <f>IF(ABS($AP620)&lt;=tol_trade_inr,"PASS","FAIL")</f>
        <v/>
      </c>
    </row>
    <row r="621">
      <c r="A621" s="11" t="n">
        <v>44690</v>
      </c>
      <c r="B621" s="7" t="inlineStr">
        <is>
          <t>T01</t>
        </is>
      </c>
      <c r="C621" s="7" t="inlineStr">
        <is>
          <t>FREIGHT:L3</t>
        </is>
      </c>
      <c r="D621" s="7" t="inlineStr">
        <is>
          <t>FREIGHT</t>
        </is>
      </c>
      <c r="E621" s="7" t="inlineStr">
        <is>
          <t>physical</t>
        </is>
      </c>
      <c r="F621" s="7" t="inlineStr">
        <is>
          <t>L3</t>
        </is>
      </c>
      <c r="G621" s="7" t="inlineStr">
        <is>
          <t>Meridian Box Lines NVOCC (SIM)</t>
        </is>
      </c>
      <c r="H621" s="7" t="inlineStr">
        <is>
          <t>zorba</t>
        </is>
      </c>
      <c r="I621" s="7" t="inlineStr">
        <is>
          <t>USEC_MUN</t>
        </is>
      </c>
      <c r="J621" s="7" t="inlineStr">
        <is>
          <t>USD</t>
        </is>
      </c>
      <c r="K621" s="7" t="inlineStr">
        <is>
          <t>fixed_unsettled</t>
        </is>
      </c>
      <c r="L621" s="7" t="inlineStr">
        <is>
          <t>PNL</t>
        </is>
      </c>
      <c r="M621" s="11" t="n">
        <v>44698</v>
      </c>
      <c r="N621" s="13" t="n">
        <v>840</v>
      </c>
      <c r="O621" s="6" t="n">
        <v>0</v>
      </c>
      <c r="P621" s="13" t="n">
        <v>0</v>
      </c>
      <c r="Q621" s="22" t="n">
        <v>31</v>
      </c>
      <c r="R621" s="6" t="n">
        <v>1</v>
      </c>
      <c r="U621" s="9" t="n">
        <v>-86800</v>
      </c>
      <c r="V621" s="9" t="n">
        <v>-6725145.56</v>
      </c>
      <c r="X621" s="9" t="n">
        <v>77.4786</v>
      </c>
      <c r="AK621" s="7" t="inlineStr">
        <is>
          <t>PYTHON_LIFECYCLE</t>
        </is>
      </c>
      <c r="AL621" s="8">
        <f>IF($J621="INR",1,IF($M621&lt;$A621,INDEX(Market_Daily!$F$6:$F$256,MATCH($M621,Market_Daily!$A$6:$A$256,1)),IF($M621=$A621,INDEX(Market_Daily!$F$6:$F$256,MATCH($A621,Market_Daily!$A$6:$A$256,0)),(INDEX(Market_Daily!$F$6:$F$256,MATCH($A621,Market_Daily!$A$6:$A$256,0))*(1+INDEX(Market_Daily!$I$6:$I$256,MATCH($A621,Market_Daily!$A$6:$A$256,0))*($M621-$A621)/day_count_inr)/(1+INDEX(Market_Daily!$J$6:$J$256,MATCH($A621,Market_Daily!$A$6:$A$256,0))*($M621-$A621)/day_count_usd)))))</f>
        <v/>
      </c>
      <c r="AM621" s="8">
        <f>IF(OR($J621="INR",$R621&gt;1),"",$AL621-$X621)</f>
        <v/>
      </c>
      <c r="AN621" s="8">
        <f>$U621</f>
        <v/>
      </c>
      <c r="AO621" s="8">
        <f>$AN621*IF($J621="INR",1,$AL621)</f>
        <v/>
      </c>
      <c r="AP621" s="18">
        <f>$AO621-$V621</f>
        <v/>
      </c>
      <c r="AQ621" s="8">
        <f>IF(ABS($AP621)&lt;=tol_trade_inr,"PASS","FAIL")</f>
        <v/>
      </c>
    </row>
    <row r="622">
      <c r="A622" s="11" t="n">
        <v>44690</v>
      </c>
      <c r="B622" s="7" t="inlineStr">
        <is>
          <t>T01</t>
        </is>
      </c>
      <c r="C622" s="7" t="inlineStr">
        <is>
          <t>FX:T01-FX-4</t>
        </is>
      </c>
      <c r="D622" s="7" t="inlineStr">
        <is>
          <t>FX</t>
        </is>
      </c>
      <c r="E622" s="7" t="inlineStr">
        <is>
          <t>fx_forward</t>
        </is>
      </c>
      <c r="H622" s="7" t="inlineStr">
        <is>
          <t>zorba</t>
        </is>
      </c>
      <c r="I622" s="7" t="inlineStr">
        <is>
          <t>USEC_MUN</t>
        </is>
      </c>
      <c r="J622" s="7" t="inlineStr">
        <is>
          <t>INR</t>
        </is>
      </c>
      <c r="K622" s="7" t="inlineStr">
        <is>
          <t>floating</t>
        </is>
      </c>
      <c r="L622" s="7" t="inlineStr">
        <is>
          <t>PNL</t>
        </is>
      </c>
      <c r="M622" s="11" t="n">
        <v>44697</v>
      </c>
      <c r="N622" s="13" t="n">
        <v>0</v>
      </c>
      <c r="O622" s="6" t="n">
        <v>0</v>
      </c>
      <c r="P622" s="13" t="n">
        <v>260400</v>
      </c>
      <c r="Q622" s="22" t="n">
        <v>31</v>
      </c>
      <c r="R622" s="6" t="n">
        <v>1</v>
      </c>
      <c r="S622" s="12" t="n">
        <v>44697</v>
      </c>
      <c r="T622" s="21" t="n">
        <v>76.62367500000001</v>
      </c>
      <c r="U622" s="9" t="n">
        <v>220531.41</v>
      </c>
      <c r="V622" s="9" t="n">
        <v>220531.41</v>
      </c>
      <c r="X622" s="9" t="n">
        <v>77.4141</v>
      </c>
      <c r="AK622" s="7" t="inlineStr">
        <is>
          <t>DERIVED_IN_WORKBOOK</t>
        </is>
      </c>
      <c r="AL622" s="8">
        <f>IF($J622="INR",1,IF($M622&lt;$A622,INDEX(Market_Daily!$F$6:$F$256,MATCH($M622,Market_Daily!$A$6:$A$256,1)),IF($M622=$A622,INDEX(Market_Daily!$F$6:$F$256,MATCH($A622,Market_Daily!$A$6:$A$256,0)),(INDEX(Market_Daily!$F$6:$F$256,MATCH($A622,Market_Daily!$A$6:$A$256,0))*(1+INDEX(Market_Daily!$I$6:$I$256,MATCH($A622,Market_Daily!$A$6:$A$256,0))*($M622-$A622)/day_count_inr)/(1+INDEX(Market_Daily!$J$6:$J$256,MATCH($A622,Market_Daily!$A$6:$A$256,0))*($M622-$A622)/day_count_usd)))))</f>
        <v/>
      </c>
      <c r="AM622" s="8">
        <f>IF(OR($J622="INR",$R622&gt;1),"",$AL622-$X622)</f>
        <v/>
      </c>
      <c r="AN622" s="8">
        <f>$P622*(IF($S622&lt;$A622,INDEX(Market_Daily!$F$6:$F$256,MATCH($S622,Market_Daily!$A$6:$A$256,1)),IF($S622=$A622,INDEX(Market_Daily!$F$6:$F$256,MATCH($A622,Market_Daily!$A$6:$A$256,0)),(INDEX(Market_Daily!$F$6:$F$256,MATCH($A622,Market_Daily!$A$6:$A$256,0))*(1+INDEX(Market_Daily!$I$6:$I$256,MATCH($A622,Market_Daily!$A$6:$A$256,0))*($S622-$A622)/day_count_inr)/(1+INDEX(Market_Daily!$J$6:$J$256,MATCH($A622,Market_Daily!$A$6:$A$256,0))*($S622-$A622)/day_count_usd))))-$T622)</f>
        <v/>
      </c>
      <c r="AO622" s="8">
        <f>$AN622</f>
        <v/>
      </c>
      <c r="AP622" s="18">
        <f>$AO622-$V622</f>
        <v/>
      </c>
      <c r="AQ622" s="8">
        <f>IF(ABS($AP622)&lt;=tol_trade_inr,"PASS","FAIL")</f>
        <v/>
      </c>
    </row>
    <row r="623">
      <c r="A623" s="11" t="n">
        <v>44690</v>
      </c>
      <c r="B623" s="7" t="inlineStr">
        <is>
          <t>T01</t>
        </is>
      </c>
      <c r="C623" s="7" t="inlineStr">
        <is>
          <t>IGST:L1</t>
        </is>
      </c>
      <c r="D623" s="7" t="inlineStr">
        <is>
          <t>IGST</t>
        </is>
      </c>
      <c r="E623" s="7" t="inlineStr">
        <is>
          <t>physical</t>
        </is>
      </c>
      <c r="F623" s="7" t="inlineStr">
        <is>
          <t>L1</t>
        </is>
      </c>
      <c r="H623" s="7" t="inlineStr">
        <is>
          <t>zorba</t>
        </is>
      </c>
      <c r="I623" s="7" t="inlineStr">
        <is>
          <t>USEC_MUN</t>
        </is>
      </c>
      <c r="J623" s="7" t="inlineStr">
        <is>
          <t>INR</t>
        </is>
      </c>
      <c r="K623" s="7" t="inlineStr">
        <is>
          <t>fixed_unsettled</t>
        </is>
      </c>
      <c r="L623" s="7" t="inlineStr">
        <is>
          <t>BS</t>
        </is>
      </c>
      <c r="M623" s="11" t="n">
        <v>44735</v>
      </c>
      <c r="N623" s="13" t="n">
        <v>0</v>
      </c>
      <c r="O623" s="6" t="n">
        <v>0</v>
      </c>
      <c r="P623" s="13" t="n">
        <v>0</v>
      </c>
      <c r="Q623" s="22" t="n">
        <v>31</v>
      </c>
      <c r="R623" s="6" t="n">
        <v>2</v>
      </c>
      <c r="U623" s="9" t="n">
        <v>0</v>
      </c>
      <c r="V623" s="9" t="n">
        <v>0</v>
      </c>
      <c r="X623" s="9" t="n">
        <v>77.4141</v>
      </c>
      <c r="AK623" s="7" t="inlineStr">
        <is>
          <t>PYTHON_MULTI_FLOW_LEG</t>
        </is>
      </c>
      <c r="AL623" s="8">
        <f>IF($J623="INR",1,IF($M623&lt;$A623,INDEX(Market_Daily!$F$6:$F$256,MATCH($M623,Market_Daily!$A$6:$A$256,1)),IF($M623=$A623,INDEX(Market_Daily!$F$6:$F$256,MATCH($A623,Market_Daily!$A$6:$A$256,0)),(INDEX(Market_Daily!$F$6:$F$256,MATCH($A623,Market_Daily!$A$6:$A$256,0))*(1+INDEX(Market_Daily!$I$6:$I$256,MATCH($A623,Market_Daily!$A$6:$A$256,0))*($M623-$A623)/day_count_inr)/(1+INDEX(Market_Daily!$J$6:$J$256,MATCH($A623,Market_Daily!$A$6:$A$256,0))*($M623-$A623)/day_count_usd)))))</f>
        <v/>
      </c>
      <c r="AM623" s="8">
        <f>IF(OR($J623="INR",$R623&gt;1),"",$AL623-$X623)</f>
        <v/>
      </c>
      <c r="AN623" s="8">
        <f>$U623</f>
        <v/>
      </c>
      <c r="AO623" s="8">
        <f>$V623</f>
        <v/>
      </c>
      <c r="AP623" s="18">
        <f>$AO623-$V623</f>
        <v/>
      </c>
      <c r="AQ623" s="8">
        <f>IF(ABS($AP623)&lt;=tol_trade_inr,"PASS","FAIL")</f>
        <v/>
      </c>
    </row>
    <row r="624">
      <c r="A624" s="11" t="n">
        <v>44690</v>
      </c>
      <c r="B624" s="7" t="inlineStr">
        <is>
          <t>T01</t>
        </is>
      </c>
      <c r="C624" s="7" t="inlineStr">
        <is>
          <t>IGST:L2</t>
        </is>
      </c>
      <c r="D624" s="7" t="inlineStr">
        <is>
          <t>IGST</t>
        </is>
      </c>
      <c r="E624" s="7" t="inlineStr">
        <is>
          <t>physical</t>
        </is>
      </c>
      <c r="F624" s="7" t="inlineStr">
        <is>
          <t>L2</t>
        </is>
      </c>
      <c r="H624" s="7" t="inlineStr">
        <is>
          <t>zorba</t>
        </is>
      </c>
      <c r="I624" s="7" t="inlineStr">
        <is>
          <t>USEC_MUN</t>
        </is>
      </c>
      <c r="J624" s="7" t="inlineStr">
        <is>
          <t>INR</t>
        </is>
      </c>
      <c r="K624" s="7" t="inlineStr">
        <is>
          <t>floating</t>
        </is>
      </c>
      <c r="L624" s="7" t="inlineStr">
        <is>
          <t>BS</t>
        </is>
      </c>
      <c r="M624" s="11" t="n">
        <v>44741</v>
      </c>
      <c r="N624" s="13" t="n">
        <v>0</v>
      </c>
      <c r="O624" s="6" t="n">
        <v>0</v>
      </c>
      <c r="P624" s="13" t="n">
        <v>0</v>
      </c>
      <c r="Q624" s="22" t="n">
        <v>31</v>
      </c>
      <c r="R624" s="6" t="n">
        <v>2</v>
      </c>
      <c r="U624" s="9" t="n">
        <v>0</v>
      </c>
      <c r="V624" s="9" t="n">
        <v>0</v>
      </c>
      <c r="X624" s="9" t="n">
        <v>77.4141</v>
      </c>
      <c r="AK624" s="7" t="inlineStr">
        <is>
          <t>PYTHON_MULTI_FLOW_LEG</t>
        </is>
      </c>
      <c r="AL624" s="8">
        <f>IF($J624="INR",1,IF($M624&lt;$A624,INDEX(Market_Daily!$F$6:$F$256,MATCH($M624,Market_Daily!$A$6:$A$256,1)),IF($M624=$A624,INDEX(Market_Daily!$F$6:$F$256,MATCH($A624,Market_Daily!$A$6:$A$256,0)),(INDEX(Market_Daily!$F$6:$F$256,MATCH($A624,Market_Daily!$A$6:$A$256,0))*(1+INDEX(Market_Daily!$I$6:$I$256,MATCH($A624,Market_Daily!$A$6:$A$256,0))*($M624-$A624)/day_count_inr)/(1+INDEX(Market_Daily!$J$6:$J$256,MATCH($A624,Market_Daily!$A$6:$A$256,0))*($M624-$A624)/day_count_usd)))))</f>
        <v/>
      </c>
      <c r="AM624" s="8">
        <f>IF(OR($J624="INR",$R624&gt;1),"",$AL624-$X624)</f>
        <v/>
      </c>
      <c r="AN624" s="8">
        <f>$U624</f>
        <v/>
      </c>
      <c r="AO624" s="8">
        <f>$V624</f>
        <v/>
      </c>
      <c r="AP624" s="18">
        <f>$AO624-$V624</f>
        <v/>
      </c>
      <c r="AQ624" s="8">
        <f>IF(ABS($AP624)&lt;=tol_trade_inr,"PASS","FAIL")</f>
        <v/>
      </c>
    </row>
    <row r="625">
      <c r="A625" s="11" t="n">
        <v>44690</v>
      </c>
      <c r="B625" s="7" t="inlineStr">
        <is>
          <t>T01</t>
        </is>
      </c>
      <c r="C625" s="7" t="inlineStr">
        <is>
          <t>IGST:L3</t>
        </is>
      </c>
      <c r="D625" s="7" t="inlineStr">
        <is>
          <t>IGST</t>
        </is>
      </c>
      <c r="E625" s="7" t="inlineStr">
        <is>
          <t>physical</t>
        </is>
      </c>
      <c r="F625" s="7" t="inlineStr">
        <is>
          <t>L3</t>
        </is>
      </c>
      <c r="H625" s="7" t="inlineStr">
        <is>
          <t>zorba</t>
        </is>
      </c>
      <c r="I625" s="7" t="inlineStr">
        <is>
          <t>USEC_MUN</t>
        </is>
      </c>
      <c r="J625" s="7" t="inlineStr">
        <is>
          <t>INR</t>
        </is>
      </c>
      <c r="K625" s="7" t="inlineStr">
        <is>
          <t>floating</t>
        </is>
      </c>
      <c r="L625" s="7" t="inlineStr">
        <is>
          <t>BS</t>
        </is>
      </c>
      <c r="M625" s="11" t="n">
        <v>44746</v>
      </c>
      <c r="N625" s="13" t="n">
        <v>0</v>
      </c>
      <c r="O625" s="6" t="n">
        <v>0</v>
      </c>
      <c r="P625" s="13" t="n">
        <v>0</v>
      </c>
      <c r="Q625" s="22" t="n">
        <v>31</v>
      </c>
      <c r="R625" s="6" t="n">
        <v>2</v>
      </c>
      <c r="U625" s="9" t="n">
        <v>0</v>
      </c>
      <c r="V625" s="9" t="n">
        <v>0</v>
      </c>
      <c r="X625" s="9" t="n">
        <v>77.4141</v>
      </c>
      <c r="AK625" s="7" t="inlineStr">
        <is>
          <t>PYTHON_MULTI_FLOW_LEG</t>
        </is>
      </c>
      <c r="AL625" s="8">
        <f>IF($J625="INR",1,IF($M625&lt;$A625,INDEX(Market_Daily!$F$6:$F$256,MATCH($M625,Market_Daily!$A$6:$A$256,1)),IF($M625=$A625,INDEX(Market_Daily!$F$6:$F$256,MATCH($A625,Market_Daily!$A$6:$A$256,0)),(INDEX(Market_Daily!$F$6:$F$256,MATCH($A625,Market_Daily!$A$6:$A$256,0))*(1+INDEX(Market_Daily!$I$6:$I$256,MATCH($A625,Market_Daily!$A$6:$A$256,0))*($M625-$A625)/day_count_inr)/(1+INDEX(Market_Daily!$J$6:$J$256,MATCH($A625,Market_Daily!$A$6:$A$256,0))*($M625-$A625)/day_count_usd)))))</f>
        <v/>
      </c>
      <c r="AM625" s="8">
        <f>IF(OR($J625="INR",$R625&gt;1),"",$AL625-$X625)</f>
        <v/>
      </c>
      <c r="AN625" s="8">
        <f>$U625</f>
        <v/>
      </c>
      <c r="AO625" s="8">
        <f>$V625</f>
        <v/>
      </c>
      <c r="AP625" s="18">
        <f>$AO625-$V625</f>
        <v/>
      </c>
      <c r="AQ625" s="8">
        <f>IF(ABS($AP625)&lt;=tol_trade_inr,"PASS","FAIL")</f>
        <v/>
      </c>
    </row>
    <row r="626">
      <c r="A626" s="11" t="n">
        <v>44690</v>
      </c>
      <c r="B626" s="7" t="inlineStr">
        <is>
          <t>T01</t>
        </is>
      </c>
      <c r="C626" s="7" t="inlineStr">
        <is>
          <t>PORT:L1</t>
        </is>
      </c>
      <c r="D626" s="7" t="inlineStr">
        <is>
          <t>PORT</t>
        </is>
      </c>
      <c r="E626" s="7" t="inlineStr">
        <is>
          <t>physical</t>
        </is>
      </c>
      <c r="F626" s="7" t="inlineStr">
        <is>
          <t>L1</t>
        </is>
      </c>
      <c r="H626" s="7" t="inlineStr">
        <is>
          <t>zorba</t>
        </is>
      </c>
      <c r="I626" s="7" t="inlineStr">
        <is>
          <t>USEC_MUN</t>
        </is>
      </c>
      <c r="J626" s="7" t="inlineStr">
        <is>
          <t>INR</t>
        </is>
      </c>
      <c r="K626" s="7" t="inlineStr">
        <is>
          <t>fixed_unsettled</t>
        </is>
      </c>
      <c r="L626" s="7" t="inlineStr">
        <is>
          <t>PNL</t>
        </is>
      </c>
      <c r="M626" s="11" t="n">
        <v>44699</v>
      </c>
      <c r="N626" s="13" t="n">
        <v>0</v>
      </c>
      <c r="O626" s="6" t="n">
        <v>0</v>
      </c>
      <c r="P626" s="13" t="n">
        <v>0</v>
      </c>
      <c r="Q626" s="22" t="n">
        <v>31</v>
      </c>
      <c r="R626" s="6" t="n">
        <v>1</v>
      </c>
      <c r="U626" s="9" t="n">
        <v>-2226000</v>
      </c>
      <c r="V626" s="9" t="n">
        <v>-2226000</v>
      </c>
      <c r="X626" s="9" t="n">
        <v>77.4141</v>
      </c>
      <c r="AK626" s="7" t="inlineStr">
        <is>
          <t>PYTHON_LIFECYCLE</t>
        </is>
      </c>
      <c r="AL626" s="8">
        <f>IF($J626="INR",1,IF($M626&lt;$A626,INDEX(Market_Daily!$F$6:$F$256,MATCH($M626,Market_Daily!$A$6:$A$256,1)),IF($M626=$A626,INDEX(Market_Daily!$F$6:$F$256,MATCH($A626,Market_Daily!$A$6:$A$256,0)),(INDEX(Market_Daily!$F$6:$F$256,MATCH($A626,Market_Daily!$A$6:$A$256,0))*(1+INDEX(Market_Daily!$I$6:$I$256,MATCH($A626,Market_Daily!$A$6:$A$256,0))*($M626-$A626)/day_count_inr)/(1+INDEX(Market_Daily!$J$6:$J$256,MATCH($A626,Market_Daily!$A$6:$A$256,0))*($M626-$A626)/day_count_usd)))))</f>
        <v/>
      </c>
      <c r="AM626" s="8">
        <f>IF(OR($J626="INR",$R626&gt;1),"",$AL626-$X626)</f>
        <v/>
      </c>
      <c r="AN626" s="8">
        <f>$U626</f>
        <v/>
      </c>
      <c r="AO626" s="8">
        <f>$AN626*IF($J626="INR",1,$AL626)</f>
        <v/>
      </c>
      <c r="AP626" s="18">
        <f>$AO626-$V626</f>
        <v/>
      </c>
      <c r="AQ626" s="8">
        <f>IF(ABS($AP626)&lt;=tol_trade_inr,"PASS","FAIL")</f>
        <v/>
      </c>
    </row>
    <row r="627">
      <c r="A627" s="11" t="n">
        <v>44690</v>
      </c>
      <c r="B627" s="7" t="inlineStr">
        <is>
          <t>T01</t>
        </is>
      </c>
      <c r="C627" s="7" t="inlineStr">
        <is>
          <t>PORT:L2</t>
        </is>
      </c>
      <c r="D627" s="7" t="inlineStr">
        <is>
          <t>PORT</t>
        </is>
      </c>
      <c r="E627" s="7" t="inlineStr">
        <is>
          <t>physical</t>
        </is>
      </c>
      <c r="F627" s="7" t="inlineStr">
        <is>
          <t>L2</t>
        </is>
      </c>
      <c r="H627" s="7" t="inlineStr">
        <is>
          <t>zorba</t>
        </is>
      </c>
      <c r="I627" s="7" t="inlineStr">
        <is>
          <t>USEC_MUN</t>
        </is>
      </c>
      <c r="J627" s="7" t="inlineStr">
        <is>
          <t>INR</t>
        </is>
      </c>
      <c r="K627" s="7" t="inlineStr">
        <is>
          <t>fixed_unsettled</t>
        </is>
      </c>
      <c r="L627" s="7" t="inlineStr">
        <is>
          <t>PNL</t>
        </is>
      </c>
      <c r="M627" s="11" t="n">
        <v>44705</v>
      </c>
      <c r="N627" s="13" t="n">
        <v>0</v>
      </c>
      <c r="O627" s="6" t="n">
        <v>0</v>
      </c>
      <c r="P627" s="13" t="n">
        <v>0</v>
      </c>
      <c r="Q627" s="22" t="n">
        <v>31</v>
      </c>
      <c r="R627" s="6" t="n">
        <v>1</v>
      </c>
      <c r="U627" s="9" t="n">
        <v>-2226000</v>
      </c>
      <c r="V627" s="9" t="n">
        <v>-2226000</v>
      </c>
      <c r="X627" s="9" t="n">
        <v>77.4141</v>
      </c>
      <c r="AK627" s="7" t="inlineStr">
        <is>
          <t>PYTHON_LIFECYCLE</t>
        </is>
      </c>
      <c r="AL627" s="8">
        <f>IF($J627="INR",1,IF($M627&lt;$A627,INDEX(Market_Daily!$F$6:$F$256,MATCH($M627,Market_Daily!$A$6:$A$256,1)),IF($M627=$A627,INDEX(Market_Daily!$F$6:$F$256,MATCH($A627,Market_Daily!$A$6:$A$256,0)),(INDEX(Market_Daily!$F$6:$F$256,MATCH($A627,Market_Daily!$A$6:$A$256,0))*(1+INDEX(Market_Daily!$I$6:$I$256,MATCH($A627,Market_Daily!$A$6:$A$256,0))*($M627-$A627)/day_count_inr)/(1+INDEX(Market_Daily!$J$6:$J$256,MATCH($A627,Market_Daily!$A$6:$A$256,0))*($M627-$A627)/day_count_usd)))))</f>
        <v/>
      </c>
      <c r="AM627" s="8">
        <f>IF(OR($J627="INR",$R627&gt;1),"",$AL627-$X627)</f>
        <v/>
      </c>
      <c r="AN627" s="8">
        <f>$U627</f>
        <v/>
      </c>
      <c r="AO627" s="8">
        <f>$AN627*IF($J627="INR",1,$AL627)</f>
        <v/>
      </c>
      <c r="AP627" s="18">
        <f>$AO627-$V627</f>
        <v/>
      </c>
      <c r="AQ627" s="8">
        <f>IF(ABS($AP627)&lt;=tol_trade_inr,"PASS","FAIL")</f>
        <v/>
      </c>
    </row>
    <row r="628">
      <c r="A628" s="11" t="n">
        <v>44690</v>
      </c>
      <c r="B628" s="7" t="inlineStr">
        <is>
          <t>T01</t>
        </is>
      </c>
      <c r="C628" s="7" t="inlineStr">
        <is>
          <t>PORT:L3</t>
        </is>
      </c>
      <c r="D628" s="7" t="inlineStr">
        <is>
          <t>PORT</t>
        </is>
      </c>
      <c r="E628" s="7" t="inlineStr">
        <is>
          <t>physical</t>
        </is>
      </c>
      <c r="F628" s="7" t="inlineStr">
        <is>
          <t>L3</t>
        </is>
      </c>
      <c r="H628" s="7" t="inlineStr">
        <is>
          <t>zorba</t>
        </is>
      </c>
      <c r="I628" s="7" t="inlineStr">
        <is>
          <t>USEC_MUN</t>
        </is>
      </c>
      <c r="J628" s="7" t="inlineStr">
        <is>
          <t>INR</t>
        </is>
      </c>
      <c r="K628" s="7" t="inlineStr">
        <is>
          <t>fixed_unsettled</t>
        </is>
      </c>
      <c r="L628" s="7" t="inlineStr">
        <is>
          <t>PNL</t>
        </is>
      </c>
      <c r="M628" s="11" t="n">
        <v>44708</v>
      </c>
      <c r="N628" s="13" t="n">
        <v>0</v>
      </c>
      <c r="O628" s="6" t="n">
        <v>0</v>
      </c>
      <c r="P628" s="13" t="n">
        <v>0</v>
      </c>
      <c r="Q628" s="22" t="n">
        <v>31</v>
      </c>
      <c r="R628" s="6" t="n">
        <v>1</v>
      </c>
      <c r="U628" s="9" t="n">
        <v>-2226000</v>
      </c>
      <c r="V628" s="9" t="n">
        <v>-2226000</v>
      </c>
      <c r="X628" s="9" t="n">
        <v>77.4141</v>
      </c>
      <c r="AK628" s="7" t="inlineStr">
        <is>
          <t>PYTHON_LIFECYCLE</t>
        </is>
      </c>
      <c r="AL628" s="8">
        <f>IF($J628="INR",1,IF($M628&lt;$A628,INDEX(Market_Daily!$F$6:$F$256,MATCH($M628,Market_Daily!$A$6:$A$256,1)),IF($M628=$A628,INDEX(Market_Daily!$F$6:$F$256,MATCH($A628,Market_Daily!$A$6:$A$256,0)),(INDEX(Market_Daily!$F$6:$F$256,MATCH($A628,Market_Daily!$A$6:$A$256,0))*(1+INDEX(Market_Daily!$I$6:$I$256,MATCH($A628,Market_Daily!$A$6:$A$256,0))*($M628-$A628)/day_count_inr)/(1+INDEX(Market_Daily!$J$6:$J$256,MATCH($A628,Market_Daily!$A$6:$A$256,0))*($M628-$A628)/day_count_usd)))))</f>
        <v/>
      </c>
      <c r="AM628" s="8">
        <f>IF(OR($J628="INR",$R628&gt;1),"",$AL628-$X628)</f>
        <v/>
      </c>
      <c r="AN628" s="8">
        <f>$U628</f>
        <v/>
      </c>
      <c r="AO628" s="8">
        <f>$AN628*IF($J628="INR",1,$AL628)</f>
        <v/>
      </c>
      <c r="AP628" s="18">
        <f>$AO628-$V628</f>
        <v/>
      </c>
      <c r="AQ628" s="8">
        <f>IF(ABS($AP628)&lt;=tol_trade_inr,"PASS","FAIL")</f>
        <v/>
      </c>
    </row>
    <row r="629">
      <c r="A629" s="11" t="n">
        <v>44690</v>
      </c>
      <c r="B629" s="7" t="inlineStr">
        <is>
          <t>T01</t>
        </is>
      </c>
      <c r="C629" s="7" t="inlineStr">
        <is>
          <t>SALE:S1</t>
        </is>
      </c>
      <c r="D629" s="7" t="inlineStr">
        <is>
          <t>SALE</t>
        </is>
      </c>
      <c r="E629" s="7" t="inlineStr">
        <is>
          <t>physical</t>
        </is>
      </c>
      <c r="G629" s="7" t="inlineStr">
        <is>
          <t>BUY_MUN_01</t>
        </is>
      </c>
      <c r="H629" s="7" t="inlineStr">
        <is>
          <t>zorba</t>
        </is>
      </c>
      <c r="I629" s="7" t="inlineStr">
        <is>
          <t>USEC_MUN</t>
        </is>
      </c>
      <c r="J629" s="7" t="inlineStr">
        <is>
          <t>INR</t>
        </is>
      </c>
      <c r="K629" s="7" t="inlineStr">
        <is>
          <t>floating</t>
        </is>
      </c>
      <c r="L629" s="7" t="inlineStr">
        <is>
          <t>PNL</t>
        </is>
      </c>
      <c r="M629" s="11" t="n">
        <v>44735</v>
      </c>
      <c r="N629" s="13" t="n">
        <v>3360</v>
      </c>
      <c r="O629" s="6" t="n">
        <v>0</v>
      </c>
      <c r="P629" s="13" t="n">
        <v>0</v>
      </c>
      <c r="Q629" s="22" t="n">
        <v>31</v>
      </c>
      <c r="R629" s="6" t="n">
        <v>2</v>
      </c>
      <c r="U629" s="9" t="n">
        <v>337680000</v>
      </c>
      <c r="V629" s="9" t="n">
        <v>337680000</v>
      </c>
      <c r="W629" s="9" t="n">
        <v>201000</v>
      </c>
      <c r="X629" s="9" t="n">
        <v>77.4141</v>
      </c>
      <c r="AK629" s="7" t="inlineStr">
        <is>
          <t>PYTHON_MULTI_FLOW_LEG</t>
        </is>
      </c>
      <c r="AL629" s="8">
        <f>IF($J629="INR",1,IF($M629&lt;$A629,INDEX(Market_Daily!$F$6:$F$256,MATCH($M629,Market_Daily!$A$6:$A$256,1)),IF($M629=$A629,INDEX(Market_Daily!$F$6:$F$256,MATCH($A629,Market_Daily!$A$6:$A$256,0)),(INDEX(Market_Daily!$F$6:$F$256,MATCH($A629,Market_Daily!$A$6:$A$256,0))*(1+INDEX(Market_Daily!$I$6:$I$256,MATCH($A629,Market_Daily!$A$6:$A$256,0))*($M629-$A629)/day_count_inr)/(1+INDEX(Market_Daily!$J$6:$J$256,MATCH($A629,Market_Daily!$A$6:$A$256,0))*($M629-$A629)/day_count_usd)))))</f>
        <v/>
      </c>
      <c r="AM629" s="8">
        <f>IF(OR($J629="INR",$R629&gt;1),"",$AL629-$X629)</f>
        <v/>
      </c>
      <c r="AN629" s="8">
        <f>$U629</f>
        <v/>
      </c>
      <c r="AO629" s="8">
        <f>$V629</f>
        <v/>
      </c>
      <c r="AP629" s="18">
        <f>$AO629-$V629</f>
        <v/>
      </c>
      <c r="AQ629" s="8">
        <f>IF(ABS($AP629)&lt;=tol_trade_inr,"PASS","FAIL")</f>
        <v/>
      </c>
    </row>
    <row r="630">
      <c r="A630" s="11" t="n">
        <v>44690</v>
      </c>
      <c r="B630" s="7" t="inlineStr">
        <is>
          <t>T01</t>
        </is>
      </c>
      <c r="C630" s="7" t="inlineStr">
        <is>
          <t>SALE:S2</t>
        </is>
      </c>
      <c r="D630" s="7" t="inlineStr">
        <is>
          <t>SALE</t>
        </is>
      </c>
      <c r="E630" s="7" t="inlineStr">
        <is>
          <t>physical</t>
        </is>
      </c>
      <c r="G630" s="7" t="inlineStr">
        <is>
          <t>BUY_RJK_01</t>
        </is>
      </c>
      <c r="H630" s="7" t="inlineStr">
        <is>
          <t>zorba</t>
        </is>
      </c>
      <c r="I630" s="7" t="inlineStr">
        <is>
          <t>USEC_MUN</t>
        </is>
      </c>
      <c r="J630" s="7" t="inlineStr">
        <is>
          <t>INR</t>
        </is>
      </c>
      <c r="K630" s="7" t="inlineStr">
        <is>
          <t>floating</t>
        </is>
      </c>
      <c r="L630" s="7" t="inlineStr">
        <is>
          <t>PNL</t>
        </is>
      </c>
      <c r="M630" s="11" t="n">
        <v>44708</v>
      </c>
      <c r="N630" s="13" t="n">
        <v>1680</v>
      </c>
      <c r="O630" s="6" t="n">
        <v>0</v>
      </c>
      <c r="P630" s="13" t="n">
        <v>0</v>
      </c>
      <c r="Q630" s="22" t="n">
        <v>31</v>
      </c>
      <c r="R630" s="6" t="n">
        <v>2</v>
      </c>
      <c r="U630" s="9" t="n">
        <v>151620000</v>
      </c>
      <c r="V630" s="9" t="n">
        <v>151620000</v>
      </c>
      <c r="W630" s="9" t="n">
        <v>180500</v>
      </c>
      <c r="X630" s="9" t="n">
        <v>77.4141</v>
      </c>
      <c r="AK630" s="7" t="inlineStr">
        <is>
          <t>PYTHON_MULTI_FLOW_LEG</t>
        </is>
      </c>
      <c r="AL630" s="8">
        <f>IF($J630="INR",1,IF($M630&lt;$A630,INDEX(Market_Daily!$F$6:$F$256,MATCH($M630,Market_Daily!$A$6:$A$256,1)),IF($M630=$A630,INDEX(Market_Daily!$F$6:$F$256,MATCH($A630,Market_Daily!$A$6:$A$256,0)),(INDEX(Market_Daily!$F$6:$F$256,MATCH($A630,Market_Daily!$A$6:$A$256,0))*(1+INDEX(Market_Daily!$I$6:$I$256,MATCH($A630,Market_Daily!$A$6:$A$256,0))*($M630-$A630)/day_count_inr)/(1+INDEX(Market_Daily!$J$6:$J$256,MATCH($A630,Market_Daily!$A$6:$A$256,0))*($M630-$A630)/day_count_usd)))))</f>
        <v/>
      </c>
      <c r="AM630" s="8">
        <f>IF(OR($J630="INR",$R630&gt;1),"",$AL630-$X630)</f>
        <v/>
      </c>
      <c r="AN630" s="8">
        <f>$U630</f>
        <v/>
      </c>
      <c r="AO630" s="8">
        <f>$V630</f>
        <v/>
      </c>
      <c r="AP630" s="18">
        <f>$AO630-$V630</f>
        <v/>
      </c>
      <c r="AQ630" s="8">
        <f>IF(ABS($AP630)&lt;=tol_trade_inr,"PASS","FAIL")</f>
        <v/>
      </c>
    </row>
    <row r="631">
      <c r="A631" s="11" t="n">
        <v>44690</v>
      </c>
      <c r="B631" s="7" t="inlineStr">
        <is>
          <t>T02</t>
        </is>
      </c>
      <c r="C631" s="7" t="inlineStr">
        <is>
          <t>BILL_COMMISSION:L1</t>
        </is>
      </c>
      <c r="D631" s="7" t="inlineStr">
        <is>
          <t>BILL_COMMISSION</t>
        </is>
      </c>
      <c r="E631" s="7" t="inlineStr">
        <is>
          <t>physical</t>
        </is>
      </c>
      <c r="F631" s="7" t="inlineStr">
        <is>
          <t>L1</t>
        </is>
      </c>
      <c r="H631" s="7" t="inlineStr">
        <is>
          <t>tense</t>
        </is>
      </c>
      <c r="I631" s="7" t="inlineStr">
        <is>
          <t>JEA_NSA</t>
        </is>
      </c>
      <c r="J631" s="7" t="inlineStr">
        <is>
          <t>USD</t>
        </is>
      </c>
      <c r="K631" s="7" t="inlineStr">
        <is>
          <t>floating</t>
        </is>
      </c>
      <c r="L631" s="7" t="inlineStr">
        <is>
          <t>PNL</t>
        </is>
      </c>
      <c r="M631" s="11" t="n">
        <v>44746</v>
      </c>
      <c r="N631" s="13" t="n">
        <v>0</v>
      </c>
      <c r="O631" s="6" t="n">
        <v>0</v>
      </c>
      <c r="P631" s="13" t="n">
        <v>0</v>
      </c>
      <c r="Q631" s="22" t="n">
        <v>31</v>
      </c>
      <c r="R631" s="6" t="n">
        <v>1</v>
      </c>
      <c r="U631" s="9" t="n">
        <v>-1490.28</v>
      </c>
      <c r="V631" s="9" t="n">
        <v>-116040.99</v>
      </c>
      <c r="X631" s="9" t="n">
        <v>77.8653</v>
      </c>
      <c r="AK631" s="7" t="inlineStr">
        <is>
          <t>PYTHON_LIFECYCLE</t>
        </is>
      </c>
      <c r="AL631" s="8">
        <f>IF($J631="INR",1,IF($M631&lt;$A631,INDEX(Market_Daily!$F$6:$F$256,MATCH($M631,Market_Daily!$A$6:$A$256,1)),IF($M631=$A631,INDEX(Market_Daily!$F$6:$F$256,MATCH($A631,Market_Daily!$A$6:$A$256,0)),(INDEX(Market_Daily!$F$6:$F$256,MATCH($A631,Market_Daily!$A$6:$A$256,0))*(1+INDEX(Market_Daily!$I$6:$I$256,MATCH($A631,Market_Daily!$A$6:$A$256,0))*($M631-$A631)/day_count_inr)/(1+INDEX(Market_Daily!$J$6:$J$256,MATCH($A631,Market_Daily!$A$6:$A$256,0))*($M631-$A631)/day_count_usd)))))</f>
        <v/>
      </c>
      <c r="AM631" s="8">
        <f>IF(OR($J631="INR",$R631&gt;1),"",$AL631-$X631)</f>
        <v/>
      </c>
      <c r="AN631" s="8">
        <f>$U631</f>
        <v/>
      </c>
      <c r="AO631" s="8">
        <f>$AN631*IF($J631="INR",1,$AL631)</f>
        <v/>
      </c>
      <c r="AP631" s="18">
        <f>$AO631-$V631</f>
        <v/>
      </c>
      <c r="AQ631" s="8">
        <f>IF(ABS($AP631)&lt;=tol_trade_inr,"PASS","FAIL")</f>
        <v/>
      </c>
    </row>
    <row r="632">
      <c r="A632" s="11" t="n">
        <v>44690</v>
      </c>
      <c r="B632" s="7" t="inlineStr">
        <is>
          <t>T02</t>
        </is>
      </c>
      <c r="C632" s="7" t="inlineStr">
        <is>
          <t>BILL_COMMISSION:L2</t>
        </is>
      </c>
      <c r="D632" s="7" t="inlineStr">
        <is>
          <t>BILL_COMMISSION</t>
        </is>
      </c>
      <c r="E632" s="7" t="inlineStr">
        <is>
          <t>physical</t>
        </is>
      </c>
      <c r="F632" s="7" t="inlineStr">
        <is>
          <t>L2</t>
        </is>
      </c>
      <c r="H632" s="7" t="inlineStr">
        <is>
          <t>tense</t>
        </is>
      </c>
      <c r="I632" s="7" t="inlineStr">
        <is>
          <t>JEA_NSA</t>
        </is>
      </c>
      <c r="J632" s="7" t="inlineStr">
        <is>
          <t>USD</t>
        </is>
      </c>
      <c r="K632" s="7" t="inlineStr">
        <is>
          <t>floating</t>
        </is>
      </c>
      <c r="L632" s="7" t="inlineStr">
        <is>
          <t>PNL</t>
        </is>
      </c>
      <c r="M632" s="11" t="n">
        <v>44754</v>
      </c>
      <c r="N632" s="13" t="n">
        <v>0</v>
      </c>
      <c r="O632" s="6" t="n">
        <v>0</v>
      </c>
      <c r="P632" s="13" t="n">
        <v>0</v>
      </c>
      <c r="Q632" s="22" t="n">
        <v>31</v>
      </c>
      <c r="R632" s="6" t="n">
        <v>1</v>
      </c>
      <c r="U632" s="9" t="n">
        <v>-1399.51</v>
      </c>
      <c r="V632" s="9" t="n">
        <v>-109063.26</v>
      </c>
      <c r="X632" s="9" t="n">
        <v>77.92959999999999</v>
      </c>
      <c r="AK632" s="7" t="inlineStr">
        <is>
          <t>PYTHON_LIFECYCLE</t>
        </is>
      </c>
      <c r="AL632" s="8">
        <f>IF($J632="INR",1,IF($M632&lt;$A632,INDEX(Market_Daily!$F$6:$F$256,MATCH($M632,Market_Daily!$A$6:$A$256,1)),IF($M632=$A632,INDEX(Market_Daily!$F$6:$F$256,MATCH($A632,Market_Daily!$A$6:$A$256,0)),(INDEX(Market_Daily!$F$6:$F$256,MATCH($A632,Market_Daily!$A$6:$A$256,0))*(1+INDEX(Market_Daily!$I$6:$I$256,MATCH($A632,Market_Daily!$A$6:$A$256,0))*($M632-$A632)/day_count_inr)/(1+INDEX(Market_Daily!$J$6:$J$256,MATCH($A632,Market_Daily!$A$6:$A$256,0))*($M632-$A632)/day_count_usd)))))</f>
        <v/>
      </c>
      <c r="AM632" s="8">
        <f>IF(OR($J632="INR",$R632&gt;1),"",$AL632-$X632)</f>
        <v/>
      </c>
      <c r="AN632" s="8">
        <f>$U632</f>
        <v/>
      </c>
      <c r="AO632" s="8">
        <f>$AN632*IF($J632="INR",1,$AL632)</f>
        <v/>
      </c>
      <c r="AP632" s="18">
        <f>$AO632-$V632</f>
        <v/>
      </c>
      <c r="AQ632" s="8">
        <f>IF(ABS($AP632)&lt;=tol_trade_inr,"PASS","FAIL")</f>
        <v/>
      </c>
    </row>
    <row r="633">
      <c r="A633" s="11" t="n">
        <v>44690</v>
      </c>
      <c r="B633" s="7" t="inlineStr">
        <is>
          <t>T02</t>
        </is>
      </c>
      <c r="C633" s="7" t="inlineStr">
        <is>
          <t>DUTY:L1</t>
        </is>
      </c>
      <c r="D633" s="7" t="inlineStr">
        <is>
          <t>DUTY</t>
        </is>
      </c>
      <c r="E633" s="7" t="inlineStr">
        <is>
          <t>physical</t>
        </is>
      </c>
      <c r="F633" s="7" t="inlineStr">
        <is>
          <t>L1</t>
        </is>
      </c>
      <c r="H633" s="7" t="inlineStr">
        <is>
          <t>tense</t>
        </is>
      </c>
      <c r="I633" s="7" t="inlineStr">
        <is>
          <t>JEA_NSA</t>
        </is>
      </c>
      <c r="J633" s="7" t="inlineStr">
        <is>
          <t>INR</t>
        </is>
      </c>
      <c r="K633" s="7" t="inlineStr">
        <is>
          <t>partially_fixed</t>
        </is>
      </c>
      <c r="L633" s="7" t="inlineStr">
        <is>
          <t>PNL</t>
        </is>
      </c>
      <c r="M633" s="11" t="n">
        <v>44721</v>
      </c>
      <c r="N633" s="13" t="n">
        <v>600</v>
      </c>
      <c r="O633" s="6" t="n">
        <v>0</v>
      </c>
      <c r="P633" s="13" t="n">
        <v>0</v>
      </c>
      <c r="Q633" s="22" t="n">
        <v>31</v>
      </c>
      <c r="R633" s="6" t="n">
        <v>2</v>
      </c>
      <c r="U633" s="9" t="n">
        <v>539873.5600000001</v>
      </c>
      <c r="V633" s="9" t="n">
        <v>539873.5600000001</v>
      </c>
      <c r="X633" s="9" t="n">
        <v>77.4141</v>
      </c>
      <c r="AK633" s="7" t="inlineStr">
        <is>
          <t>PYTHON_MULTI_FLOW_LEG</t>
        </is>
      </c>
      <c r="AL633" s="8">
        <f>IF($J633="INR",1,IF($M633&lt;$A633,INDEX(Market_Daily!$F$6:$F$256,MATCH($M633,Market_Daily!$A$6:$A$256,1)),IF($M633=$A633,INDEX(Market_Daily!$F$6:$F$256,MATCH($A633,Market_Daily!$A$6:$A$256,0)),(INDEX(Market_Daily!$F$6:$F$256,MATCH($A633,Market_Daily!$A$6:$A$256,0))*(1+INDEX(Market_Daily!$I$6:$I$256,MATCH($A633,Market_Daily!$A$6:$A$256,0))*($M633-$A633)/day_count_inr)/(1+INDEX(Market_Daily!$J$6:$J$256,MATCH($A633,Market_Daily!$A$6:$A$256,0))*($M633-$A633)/day_count_usd)))))</f>
        <v/>
      </c>
      <c r="AM633" s="8">
        <f>IF(OR($J633="INR",$R633&gt;1),"",$AL633-$X633)</f>
        <v/>
      </c>
      <c r="AN633" s="8">
        <f>$U633</f>
        <v/>
      </c>
      <c r="AO633" s="8">
        <f>$V633</f>
        <v/>
      </c>
      <c r="AP633" s="18">
        <f>$AO633-$V633</f>
        <v/>
      </c>
      <c r="AQ633" s="8">
        <f>IF(ABS($AP633)&lt;=tol_trade_inr,"PASS","FAIL")</f>
        <v/>
      </c>
    </row>
    <row r="634">
      <c r="A634" s="11" t="n">
        <v>44690</v>
      </c>
      <c r="B634" s="7" t="inlineStr">
        <is>
          <t>T02</t>
        </is>
      </c>
      <c r="C634" s="7" t="inlineStr">
        <is>
          <t>DUTY:L2</t>
        </is>
      </c>
      <c r="D634" s="7" t="inlineStr">
        <is>
          <t>DUTY</t>
        </is>
      </c>
      <c r="E634" s="7" t="inlineStr">
        <is>
          <t>physical</t>
        </is>
      </c>
      <c r="F634" s="7" t="inlineStr">
        <is>
          <t>L2</t>
        </is>
      </c>
      <c r="H634" s="7" t="inlineStr">
        <is>
          <t>tense</t>
        </is>
      </c>
      <c r="I634" s="7" t="inlineStr">
        <is>
          <t>JEA_NSA</t>
        </is>
      </c>
      <c r="J634" s="7" t="inlineStr">
        <is>
          <t>INR</t>
        </is>
      </c>
      <c r="K634" s="7" t="inlineStr">
        <is>
          <t>partially_fixed</t>
        </is>
      </c>
      <c r="L634" s="7" t="inlineStr">
        <is>
          <t>PNL</t>
        </is>
      </c>
      <c r="M634" s="11" t="n">
        <v>44721</v>
      </c>
      <c r="N634" s="13" t="n">
        <v>600</v>
      </c>
      <c r="O634" s="6" t="n">
        <v>0</v>
      </c>
      <c r="P634" s="13" t="n">
        <v>0</v>
      </c>
      <c r="Q634" s="22" t="n">
        <v>31</v>
      </c>
      <c r="R634" s="6" t="n">
        <v>2</v>
      </c>
      <c r="U634" s="9" t="n">
        <v>371526.07</v>
      </c>
      <c r="V634" s="9" t="n">
        <v>371526.07</v>
      </c>
      <c r="X634" s="9" t="n">
        <v>77.4141</v>
      </c>
      <c r="AK634" s="7" t="inlineStr">
        <is>
          <t>PYTHON_MULTI_FLOW_LEG</t>
        </is>
      </c>
      <c r="AL634" s="8">
        <f>IF($J634="INR",1,IF($M634&lt;$A634,INDEX(Market_Daily!$F$6:$F$256,MATCH($M634,Market_Daily!$A$6:$A$256,1)),IF($M634=$A634,INDEX(Market_Daily!$F$6:$F$256,MATCH($A634,Market_Daily!$A$6:$A$256,0)),(INDEX(Market_Daily!$F$6:$F$256,MATCH($A634,Market_Daily!$A$6:$A$256,0))*(1+INDEX(Market_Daily!$I$6:$I$256,MATCH($A634,Market_Daily!$A$6:$A$256,0))*($M634-$A634)/day_count_inr)/(1+INDEX(Market_Daily!$J$6:$J$256,MATCH($A634,Market_Daily!$A$6:$A$256,0))*($M634-$A634)/day_count_usd)))))</f>
        <v/>
      </c>
      <c r="AM634" s="8">
        <f>IF(OR($J634="INR",$R634&gt;1),"",$AL634-$X634)</f>
        <v/>
      </c>
      <c r="AN634" s="8">
        <f>$U634</f>
        <v/>
      </c>
      <c r="AO634" s="8">
        <f>$V634</f>
        <v/>
      </c>
      <c r="AP634" s="18">
        <f>$AO634-$V634</f>
        <v/>
      </c>
      <c r="AQ634" s="8">
        <f>IF(ABS($AP634)&lt;=tol_trade_inr,"PASS","FAIL")</f>
        <v/>
      </c>
    </row>
    <row r="635">
      <c r="A635" s="11" t="n">
        <v>44690</v>
      </c>
      <c r="B635" s="7" t="inlineStr">
        <is>
          <t>T02</t>
        </is>
      </c>
      <c r="C635" s="7" t="inlineStr">
        <is>
          <t>FX:T02-FX-1</t>
        </is>
      </c>
      <c r="D635" s="7" t="inlineStr">
        <is>
          <t>FX</t>
        </is>
      </c>
      <c r="E635" s="7" t="inlineStr">
        <is>
          <t>fx_forward</t>
        </is>
      </c>
      <c r="H635" s="7" t="inlineStr">
        <is>
          <t>tense</t>
        </is>
      </c>
      <c r="I635" s="7" t="inlineStr">
        <is>
          <t>JEA_NSA</t>
        </is>
      </c>
      <c r="J635" s="7" t="inlineStr">
        <is>
          <t>INR</t>
        </is>
      </c>
      <c r="K635" s="7" t="inlineStr">
        <is>
          <t>floating</t>
        </is>
      </c>
      <c r="L635" s="7" t="inlineStr">
        <is>
          <t>PNL</t>
        </is>
      </c>
      <c r="M635" s="11" t="n">
        <v>44746</v>
      </c>
      <c r="N635" s="13" t="n">
        <v>0</v>
      </c>
      <c r="O635" s="6" t="n">
        <v>0</v>
      </c>
      <c r="P635" s="13" t="n">
        <v>1241900</v>
      </c>
      <c r="Q635" s="22" t="n">
        <v>31</v>
      </c>
      <c r="R635" s="6" t="n">
        <v>1</v>
      </c>
      <c r="S635" s="12" t="n">
        <v>44746</v>
      </c>
      <c r="T635" s="21" t="n">
        <v>76.040598</v>
      </c>
      <c r="U635" s="9" t="n">
        <v>2266093.75</v>
      </c>
      <c r="V635" s="9" t="n">
        <v>2266093.75</v>
      </c>
      <c r="X635" s="9" t="n">
        <v>77.4141</v>
      </c>
      <c r="AK635" s="7" t="inlineStr">
        <is>
          <t>DERIVED_IN_WORKBOOK</t>
        </is>
      </c>
      <c r="AL635" s="8">
        <f>IF($J635="INR",1,IF($M635&lt;$A635,INDEX(Market_Daily!$F$6:$F$256,MATCH($M635,Market_Daily!$A$6:$A$256,1)),IF($M635=$A635,INDEX(Market_Daily!$F$6:$F$256,MATCH($A635,Market_Daily!$A$6:$A$256,0)),(INDEX(Market_Daily!$F$6:$F$256,MATCH($A635,Market_Daily!$A$6:$A$256,0))*(1+INDEX(Market_Daily!$I$6:$I$256,MATCH($A635,Market_Daily!$A$6:$A$256,0))*($M635-$A635)/day_count_inr)/(1+INDEX(Market_Daily!$J$6:$J$256,MATCH($A635,Market_Daily!$A$6:$A$256,0))*($M635-$A635)/day_count_usd)))))</f>
        <v/>
      </c>
      <c r="AM635" s="8">
        <f>IF(OR($J635="INR",$R635&gt;1),"",$AL635-$X635)</f>
        <v/>
      </c>
      <c r="AN635" s="8">
        <f>$P635*(IF($S635&lt;$A635,INDEX(Market_Daily!$F$6:$F$256,MATCH($S635,Market_Daily!$A$6:$A$256,1)),IF($S635=$A635,INDEX(Market_Daily!$F$6:$F$256,MATCH($A635,Market_Daily!$A$6:$A$256,0)),(INDEX(Market_Daily!$F$6:$F$256,MATCH($A635,Market_Daily!$A$6:$A$256,0))*(1+INDEX(Market_Daily!$I$6:$I$256,MATCH($A635,Market_Daily!$A$6:$A$256,0))*($S635-$A635)/day_count_inr)/(1+INDEX(Market_Daily!$J$6:$J$256,MATCH($A635,Market_Daily!$A$6:$A$256,0))*($S635-$A635)/day_count_usd))))-$T635)</f>
        <v/>
      </c>
      <c r="AO635" s="8">
        <f>$AN635</f>
        <v/>
      </c>
      <c r="AP635" s="18">
        <f>$AO635-$V635</f>
        <v/>
      </c>
      <c r="AQ635" s="8">
        <f>IF(ABS($AP635)&lt;=tol_trade_inr,"PASS","FAIL")</f>
        <v/>
      </c>
    </row>
    <row r="636">
      <c r="A636" s="11" t="n">
        <v>44690</v>
      </c>
      <c r="B636" s="7" t="inlineStr">
        <is>
          <t>T02</t>
        </is>
      </c>
      <c r="C636" s="7" t="inlineStr">
        <is>
          <t>FX:T02-FX-2</t>
        </is>
      </c>
      <c r="D636" s="7" t="inlineStr">
        <is>
          <t>FX</t>
        </is>
      </c>
      <c r="E636" s="7" t="inlineStr">
        <is>
          <t>fx_forward</t>
        </is>
      </c>
      <c r="H636" s="7" t="inlineStr">
        <is>
          <t>tense</t>
        </is>
      </c>
      <c r="I636" s="7" t="inlineStr">
        <is>
          <t>JEA_NSA</t>
        </is>
      </c>
      <c r="J636" s="7" t="inlineStr">
        <is>
          <t>INR</t>
        </is>
      </c>
      <c r="K636" s="7" t="inlineStr">
        <is>
          <t>floating</t>
        </is>
      </c>
      <c r="L636" s="7" t="inlineStr">
        <is>
          <t>PNL</t>
        </is>
      </c>
      <c r="M636" s="11" t="n">
        <v>44754</v>
      </c>
      <c r="N636" s="13" t="n">
        <v>0</v>
      </c>
      <c r="O636" s="6" t="n">
        <v>0</v>
      </c>
      <c r="P636" s="13" t="n">
        <v>1166000</v>
      </c>
      <c r="Q636" s="22" t="n">
        <v>31</v>
      </c>
      <c r="R636" s="6" t="n">
        <v>1</v>
      </c>
      <c r="S636" s="12" t="n">
        <v>44754</v>
      </c>
      <c r="T636" s="21" t="n">
        <v>76.878636</v>
      </c>
      <c r="U636" s="9" t="n">
        <v>1225480.3</v>
      </c>
      <c r="V636" s="9" t="n">
        <v>1225480.3</v>
      </c>
      <c r="X636" s="9" t="n">
        <v>77.4141</v>
      </c>
      <c r="AK636" s="7" t="inlineStr">
        <is>
          <t>DERIVED_IN_WORKBOOK</t>
        </is>
      </c>
      <c r="AL636" s="8">
        <f>IF($J636="INR",1,IF($M636&lt;$A636,INDEX(Market_Daily!$F$6:$F$256,MATCH($M636,Market_Daily!$A$6:$A$256,1)),IF($M636=$A636,INDEX(Market_Daily!$F$6:$F$256,MATCH($A636,Market_Daily!$A$6:$A$256,0)),(INDEX(Market_Daily!$F$6:$F$256,MATCH($A636,Market_Daily!$A$6:$A$256,0))*(1+INDEX(Market_Daily!$I$6:$I$256,MATCH($A636,Market_Daily!$A$6:$A$256,0))*($M636-$A636)/day_count_inr)/(1+INDEX(Market_Daily!$J$6:$J$256,MATCH($A636,Market_Daily!$A$6:$A$256,0))*($M636-$A636)/day_count_usd)))))</f>
        <v/>
      </c>
      <c r="AM636" s="8">
        <f>IF(OR($J636="INR",$R636&gt;1),"",$AL636-$X636)</f>
        <v/>
      </c>
      <c r="AN636" s="8">
        <f>$P636*(IF($S636&lt;$A636,INDEX(Market_Daily!$F$6:$F$256,MATCH($S636,Market_Daily!$A$6:$A$256,1)),IF($S636=$A636,INDEX(Market_Daily!$F$6:$F$256,MATCH($A636,Market_Daily!$A$6:$A$256,0)),(INDEX(Market_Daily!$F$6:$F$256,MATCH($A636,Market_Daily!$A$6:$A$256,0))*(1+INDEX(Market_Daily!$I$6:$I$256,MATCH($A636,Market_Daily!$A$6:$A$256,0))*($S636-$A636)/day_count_inr)/(1+INDEX(Market_Daily!$J$6:$J$256,MATCH($A636,Market_Daily!$A$6:$A$256,0))*($S636-$A636)/day_count_usd))))-$T636)</f>
        <v/>
      </c>
      <c r="AO636" s="8">
        <f>$AN636</f>
        <v/>
      </c>
      <c r="AP636" s="18">
        <f>$AO636-$V636</f>
        <v/>
      </c>
      <c r="AQ636" s="8">
        <f>IF(ABS($AP636)&lt;=tol_trade_inr,"PASS","FAIL")</f>
        <v/>
      </c>
    </row>
    <row r="637">
      <c r="A637" s="11" t="n">
        <v>44690</v>
      </c>
      <c r="B637" s="7" t="inlineStr">
        <is>
          <t>T02</t>
        </is>
      </c>
      <c r="C637" s="7" t="inlineStr">
        <is>
          <t>IGST:L1</t>
        </is>
      </c>
      <c r="D637" s="7" t="inlineStr">
        <is>
          <t>IGST</t>
        </is>
      </c>
      <c r="E637" s="7" t="inlineStr">
        <is>
          <t>physical</t>
        </is>
      </c>
      <c r="F637" s="7" t="inlineStr">
        <is>
          <t>L1</t>
        </is>
      </c>
      <c r="H637" s="7" t="inlineStr">
        <is>
          <t>tense</t>
        </is>
      </c>
      <c r="I637" s="7" t="inlineStr">
        <is>
          <t>JEA_NSA</t>
        </is>
      </c>
      <c r="J637" s="7" t="inlineStr">
        <is>
          <t>INR</t>
        </is>
      </c>
      <c r="K637" s="7" t="inlineStr">
        <is>
          <t>fixed_unsettled</t>
        </is>
      </c>
      <c r="L637" s="7" t="inlineStr">
        <is>
          <t>BS</t>
        </is>
      </c>
      <c r="M637" s="11" t="n">
        <v>44707</v>
      </c>
      <c r="N637" s="13" t="n">
        <v>0</v>
      </c>
      <c r="O637" s="6" t="n">
        <v>0</v>
      </c>
      <c r="P637" s="13" t="n">
        <v>0</v>
      </c>
      <c r="Q637" s="22" t="n">
        <v>31</v>
      </c>
      <c r="R637" s="6" t="n">
        <v>2</v>
      </c>
      <c r="U637" s="9" t="n">
        <v>0</v>
      </c>
      <c r="V637" s="9" t="n">
        <v>0</v>
      </c>
      <c r="X637" s="9" t="n">
        <v>77.4141</v>
      </c>
      <c r="AK637" s="7" t="inlineStr">
        <is>
          <t>PYTHON_MULTI_FLOW_LEG</t>
        </is>
      </c>
      <c r="AL637" s="8">
        <f>IF($J637="INR",1,IF($M637&lt;$A637,INDEX(Market_Daily!$F$6:$F$256,MATCH($M637,Market_Daily!$A$6:$A$256,1)),IF($M637=$A637,INDEX(Market_Daily!$F$6:$F$256,MATCH($A637,Market_Daily!$A$6:$A$256,0)),(INDEX(Market_Daily!$F$6:$F$256,MATCH($A637,Market_Daily!$A$6:$A$256,0))*(1+INDEX(Market_Daily!$I$6:$I$256,MATCH($A637,Market_Daily!$A$6:$A$256,0))*($M637-$A637)/day_count_inr)/(1+INDEX(Market_Daily!$J$6:$J$256,MATCH($A637,Market_Daily!$A$6:$A$256,0))*($M637-$A637)/day_count_usd)))))</f>
        <v/>
      </c>
      <c r="AM637" s="8">
        <f>IF(OR($J637="INR",$R637&gt;1),"",$AL637-$X637)</f>
        <v/>
      </c>
      <c r="AN637" s="8">
        <f>$U637</f>
        <v/>
      </c>
      <c r="AO637" s="8">
        <f>$V637</f>
        <v/>
      </c>
      <c r="AP637" s="18">
        <f>$AO637-$V637</f>
        <v/>
      </c>
      <c r="AQ637" s="8">
        <f>IF(ABS($AP637)&lt;=tol_trade_inr,"PASS","FAIL")</f>
        <v/>
      </c>
    </row>
    <row r="638">
      <c r="A638" s="11" t="n">
        <v>44690</v>
      </c>
      <c r="B638" s="7" t="inlineStr">
        <is>
          <t>T02</t>
        </is>
      </c>
      <c r="C638" s="7" t="inlineStr">
        <is>
          <t>IGST:L2</t>
        </is>
      </c>
      <c r="D638" s="7" t="inlineStr">
        <is>
          <t>IGST</t>
        </is>
      </c>
      <c r="E638" s="7" t="inlineStr">
        <is>
          <t>physical</t>
        </is>
      </c>
      <c r="F638" s="7" t="inlineStr">
        <is>
          <t>L2</t>
        </is>
      </c>
      <c r="H638" s="7" t="inlineStr">
        <is>
          <t>tense</t>
        </is>
      </c>
      <c r="I638" s="7" t="inlineStr">
        <is>
          <t>JEA_NSA</t>
        </is>
      </c>
      <c r="J638" s="7" t="inlineStr">
        <is>
          <t>INR</t>
        </is>
      </c>
      <c r="K638" s="7" t="inlineStr">
        <is>
          <t>fixed_unsettled</t>
        </is>
      </c>
      <c r="L638" s="7" t="inlineStr">
        <is>
          <t>BS</t>
        </is>
      </c>
      <c r="M638" s="11" t="n">
        <v>44718</v>
      </c>
      <c r="N638" s="13" t="n">
        <v>0</v>
      </c>
      <c r="O638" s="6" t="n">
        <v>0</v>
      </c>
      <c r="P638" s="13" t="n">
        <v>0</v>
      </c>
      <c r="Q638" s="22" t="n">
        <v>31</v>
      </c>
      <c r="R638" s="6" t="n">
        <v>2</v>
      </c>
      <c r="U638" s="9" t="n">
        <v>0</v>
      </c>
      <c r="V638" s="9" t="n">
        <v>0</v>
      </c>
      <c r="X638" s="9" t="n">
        <v>77.4141</v>
      </c>
      <c r="AK638" s="7" t="inlineStr">
        <is>
          <t>PYTHON_MULTI_FLOW_LEG</t>
        </is>
      </c>
      <c r="AL638" s="8">
        <f>IF($J638="INR",1,IF($M638&lt;$A638,INDEX(Market_Daily!$F$6:$F$256,MATCH($M638,Market_Daily!$A$6:$A$256,1)),IF($M638=$A638,INDEX(Market_Daily!$F$6:$F$256,MATCH($A638,Market_Daily!$A$6:$A$256,0)),(INDEX(Market_Daily!$F$6:$F$256,MATCH($A638,Market_Daily!$A$6:$A$256,0))*(1+INDEX(Market_Daily!$I$6:$I$256,MATCH($A638,Market_Daily!$A$6:$A$256,0))*($M638-$A638)/day_count_inr)/(1+INDEX(Market_Daily!$J$6:$J$256,MATCH($A638,Market_Daily!$A$6:$A$256,0))*($M638-$A638)/day_count_usd)))))</f>
        <v/>
      </c>
      <c r="AM638" s="8">
        <f>IF(OR($J638="INR",$R638&gt;1),"",$AL638-$X638)</f>
        <v/>
      </c>
      <c r="AN638" s="8">
        <f>$U638</f>
        <v/>
      </c>
      <c r="AO638" s="8">
        <f>$V638</f>
        <v/>
      </c>
      <c r="AP638" s="18">
        <f>$AO638-$V638</f>
        <v/>
      </c>
      <c r="AQ638" s="8">
        <f>IF(ABS($AP638)&lt;=tol_trade_inr,"PASS","FAIL")</f>
        <v/>
      </c>
    </row>
    <row r="639">
      <c r="A639" s="11" t="n">
        <v>44690</v>
      </c>
      <c r="B639" s="7" t="inlineStr">
        <is>
          <t>T02</t>
        </is>
      </c>
      <c r="C639" s="7" t="inlineStr">
        <is>
          <t>MCX:T02-MCX-4</t>
        </is>
      </c>
      <c r="D639" s="7" t="inlineStr">
        <is>
          <t>MCX</t>
        </is>
      </c>
      <c r="E639" s="7" t="inlineStr">
        <is>
          <t>mcx</t>
        </is>
      </c>
      <c r="H639" s="7" t="inlineStr">
        <is>
          <t>tense</t>
        </is>
      </c>
      <c r="I639" s="7" t="inlineStr">
        <is>
          <t>JEA_NSA</t>
        </is>
      </c>
      <c r="J639" s="7" t="inlineStr">
        <is>
          <t>INR</t>
        </is>
      </c>
      <c r="K639" s="7" t="inlineStr">
        <is>
          <t>partially_fixed</t>
        </is>
      </c>
      <c r="L639" s="7" t="inlineStr">
        <is>
          <t>PNL</t>
        </is>
      </c>
      <c r="M639" s="11" t="n">
        <v>44698</v>
      </c>
      <c r="N639" s="13" t="n">
        <v>0</v>
      </c>
      <c r="O639" s="6" t="n">
        <v>145</v>
      </c>
      <c r="P639" s="13" t="n">
        <v>0</v>
      </c>
      <c r="Q639" s="22" t="n">
        <v>31</v>
      </c>
      <c r="R639" s="6" t="n">
        <v>16</v>
      </c>
      <c r="U639" s="9" t="n">
        <v>0</v>
      </c>
      <c r="V639" s="9" t="n">
        <v>0</v>
      </c>
      <c r="X639" s="9" t="n">
        <v>77.4141</v>
      </c>
      <c r="AK639" s="7" t="inlineStr">
        <is>
          <t>PYTHON_MULTI_FLOW_LEG</t>
        </is>
      </c>
      <c r="AL639" s="8">
        <f>IF($J639="INR",1,IF($M639&lt;$A639,INDEX(Market_Daily!$F$6:$F$256,MATCH($M639,Market_Daily!$A$6:$A$256,1)),IF($M639=$A639,INDEX(Market_Daily!$F$6:$F$256,MATCH($A639,Market_Daily!$A$6:$A$256,0)),(INDEX(Market_Daily!$F$6:$F$256,MATCH($A639,Market_Daily!$A$6:$A$256,0))*(1+INDEX(Market_Daily!$I$6:$I$256,MATCH($A639,Market_Daily!$A$6:$A$256,0))*($M639-$A639)/day_count_inr)/(1+INDEX(Market_Daily!$J$6:$J$256,MATCH($A639,Market_Daily!$A$6:$A$256,0))*($M639-$A639)/day_count_usd)))))</f>
        <v/>
      </c>
      <c r="AM639" s="8">
        <f>IF(OR($J639="INR",$R639&gt;1),"",$AL639-$X639)</f>
        <v/>
      </c>
      <c r="AN639" s="8">
        <f>$U639</f>
        <v/>
      </c>
      <c r="AO639" s="8">
        <f>$V639</f>
        <v/>
      </c>
      <c r="AP639" s="18">
        <f>$AO639-$V639</f>
        <v/>
      </c>
      <c r="AQ639" s="8">
        <f>IF(ABS($AP639)&lt;=tol_trade_inr,"PASS","FAIL")</f>
        <v/>
      </c>
    </row>
    <row r="640">
      <c r="A640" s="11" t="n">
        <v>44690</v>
      </c>
      <c r="B640" s="7" t="inlineStr">
        <is>
          <t>T02</t>
        </is>
      </c>
      <c r="C640" s="7" t="inlineStr">
        <is>
          <t>PURCHASE:L1</t>
        </is>
      </c>
      <c r="D640" s="7" t="inlineStr">
        <is>
          <t>PURCHASE</t>
        </is>
      </c>
      <c r="E640" s="7" t="inlineStr">
        <is>
          <t>physical</t>
        </is>
      </c>
      <c r="F640" s="7" t="inlineStr">
        <is>
          <t>L1</t>
        </is>
      </c>
      <c r="G640" s="7" t="inlineStr">
        <is>
          <t>SUP_JEA_01</t>
        </is>
      </c>
      <c r="H640" s="7" t="inlineStr">
        <is>
          <t>tense</t>
        </is>
      </c>
      <c r="I640" s="7" t="inlineStr">
        <is>
          <t>JEA_NSA</t>
        </is>
      </c>
      <c r="J640" s="7" t="inlineStr">
        <is>
          <t>USD</t>
        </is>
      </c>
      <c r="K640" s="7" t="inlineStr">
        <is>
          <t>partially_fixed</t>
        </is>
      </c>
      <c r="L640" s="7" t="inlineStr">
        <is>
          <t>PNL</t>
        </is>
      </c>
      <c r="M640" s="11" t="n">
        <v>44746</v>
      </c>
      <c r="N640" s="13" t="n">
        <v>1200</v>
      </c>
      <c r="O640" s="6" t="n">
        <v>0</v>
      </c>
      <c r="P640" s="13" t="n">
        <v>0</v>
      </c>
      <c r="Q640" s="22" t="n">
        <v>31</v>
      </c>
      <c r="R640" s="6" t="n">
        <v>2</v>
      </c>
      <c r="U640" s="9" t="n">
        <v>-1051920.93</v>
      </c>
      <c r="V640" s="9" t="n">
        <v>-81946371.83</v>
      </c>
      <c r="X640" s="9" t="n">
        <v>77.8653</v>
      </c>
      <c r="AK640" s="7" t="inlineStr">
        <is>
          <t>PYTHON_MULTI_FLOW_LEG</t>
        </is>
      </c>
      <c r="AL640" s="8">
        <f>IF($J640="INR",1,IF($M640&lt;$A640,INDEX(Market_Daily!$F$6:$F$256,MATCH($M640,Market_Daily!$A$6:$A$256,1)),IF($M640=$A640,INDEX(Market_Daily!$F$6:$F$256,MATCH($A640,Market_Daily!$A$6:$A$256,0)),(INDEX(Market_Daily!$F$6:$F$256,MATCH($A640,Market_Daily!$A$6:$A$256,0))*(1+INDEX(Market_Daily!$I$6:$I$256,MATCH($A640,Market_Daily!$A$6:$A$256,0))*($M640-$A640)/day_count_inr)/(1+INDEX(Market_Daily!$J$6:$J$256,MATCH($A640,Market_Daily!$A$6:$A$256,0))*($M640-$A640)/day_count_usd)))))</f>
        <v/>
      </c>
      <c r="AM640" s="8">
        <f>IF(OR($J640="INR",$R640&gt;1),"",$AL640-$X640)</f>
        <v/>
      </c>
      <c r="AN640" s="8">
        <f>$U640</f>
        <v/>
      </c>
      <c r="AO640" s="8">
        <f>$V640</f>
        <v/>
      </c>
      <c r="AP640" s="18">
        <f>$AO640-$V640</f>
        <v/>
      </c>
      <c r="AQ640" s="8">
        <f>IF(ABS($AP640)&lt;=tol_trade_inr,"PASS","FAIL")</f>
        <v/>
      </c>
    </row>
    <row r="641">
      <c r="A641" s="11" t="n">
        <v>44690</v>
      </c>
      <c r="B641" s="7" t="inlineStr">
        <is>
          <t>T02</t>
        </is>
      </c>
      <c r="C641" s="7" t="inlineStr">
        <is>
          <t>PURCHASE:L2</t>
        </is>
      </c>
      <c r="D641" s="7" t="inlineStr">
        <is>
          <t>PURCHASE</t>
        </is>
      </c>
      <c r="E641" s="7" t="inlineStr">
        <is>
          <t>physical</t>
        </is>
      </c>
      <c r="F641" s="7" t="inlineStr">
        <is>
          <t>L2</t>
        </is>
      </c>
      <c r="G641" s="7" t="inlineStr">
        <is>
          <t>SUP_JEA_01</t>
        </is>
      </c>
      <c r="H641" s="7" t="inlineStr">
        <is>
          <t>tense</t>
        </is>
      </c>
      <c r="I641" s="7" t="inlineStr">
        <is>
          <t>JEA_NSA</t>
        </is>
      </c>
      <c r="J641" s="7" t="inlineStr">
        <is>
          <t>USD</t>
        </is>
      </c>
      <c r="K641" s="7" t="inlineStr">
        <is>
          <t>partially_fixed</t>
        </is>
      </c>
      <c r="L641" s="7" t="inlineStr">
        <is>
          <t>PNL</t>
        </is>
      </c>
      <c r="M641" s="11" t="n">
        <v>44754</v>
      </c>
      <c r="N641" s="13" t="n">
        <v>1200</v>
      </c>
      <c r="O641" s="6" t="n">
        <v>0</v>
      </c>
      <c r="P641" s="13" t="n">
        <v>0</v>
      </c>
      <c r="Q641" s="22" t="n">
        <v>31</v>
      </c>
      <c r="R641" s="6" t="n">
        <v>2</v>
      </c>
      <c r="U641" s="9" t="n">
        <v>-1051920.93</v>
      </c>
      <c r="V641" s="9" t="n">
        <v>-82006198.38</v>
      </c>
      <c r="X641" s="9" t="n">
        <v>77.92959999999999</v>
      </c>
      <c r="AK641" s="7" t="inlineStr">
        <is>
          <t>PYTHON_MULTI_FLOW_LEG</t>
        </is>
      </c>
      <c r="AL641" s="8">
        <f>IF($J641="INR",1,IF($M641&lt;$A641,INDEX(Market_Daily!$F$6:$F$256,MATCH($M641,Market_Daily!$A$6:$A$256,1)),IF($M641=$A641,INDEX(Market_Daily!$F$6:$F$256,MATCH($A641,Market_Daily!$A$6:$A$256,0)),(INDEX(Market_Daily!$F$6:$F$256,MATCH($A641,Market_Daily!$A$6:$A$256,0))*(1+INDEX(Market_Daily!$I$6:$I$256,MATCH($A641,Market_Daily!$A$6:$A$256,0))*($M641-$A641)/day_count_inr)/(1+INDEX(Market_Daily!$J$6:$J$256,MATCH($A641,Market_Daily!$A$6:$A$256,0))*($M641-$A641)/day_count_usd)))))</f>
        <v/>
      </c>
      <c r="AM641" s="8">
        <f>IF(OR($J641="INR",$R641&gt;1),"",$AL641-$X641)</f>
        <v/>
      </c>
      <c r="AN641" s="8">
        <f>$U641</f>
        <v/>
      </c>
      <c r="AO641" s="8">
        <f>$V641</f>
        <v/>
      </c>
      <c r="AP641" s="18">
        <f>$AO641-$V641</f>
        <v/>
      </c>
      <c r="AQ641" s="8">
        <f>IF(ABS($AP641)&lt;=tol_trade_inr,"PASS","FAIL")</f>
        <v/>
      </c>
    </row>
    <row r="642">
      <c r="A642" s="11" t="n">
        <v>44690</v>
      </c>
      <c r="B642" s="7" t="inlineStr">
        <is>
          <t>T02</t>
        </is>
      </c>
      <c r="C642" s="7" t="inlineStr">
        <is>
          <t>SALE:S1</t>
        </is>
      </c>
      <c r="D642" s="7" t="inlineStr">
        <is>
          <t>SALE</t>
        </is>
      </c>
      <c r="E642" s="7" t="inlineStr">
        <is>
          <t>physical</t>
        </is>
      </c>
      <c r="G642" s="7" t="inlineStr">
        <is>
          <t>BUY_JNPT_01</t>
        </is>
      </c>
      <c r="H642" s="7" t="inlineStr">
        <is>
          <t>tense</t>
        </is>
      </c>
      <c r="I642" s="7" t="inlineStr">
        <is>
          <t>JEA_NSA</t>
        </is>
      </c>
      <c r="J642" s="7" t="inlineStr">
        <is>
          <t>INR</t>
        </is>
      </c>
      <c r="K642" s="7" t="inlineStr">
        <is>
          <t>fixed_unsettled</t>
        </is>
      </c>
      <c r="L642" s="7" t="inlineStr">
        <is>
          <t>PNL</t>
        </is>
      </c>
      <c r="M642" s="11" t="n">
        <v>44711</v>
      </c>
      <c r="N642" s="13" t="n">
        <v>1200</v>
      </c>
      <c r="O642" s="6" t="n">
        <v>0</v>
      </c>
      <c r="P642" s="13" t="n">
        <v>0</v>
      </c>
      <c r="Q642" s="22" t="n">
        <v>31</v>
      </c>
      <c r="R642" s="6" t="n">
        <v>1</v>
      </c>
      <c r="U642" s="9" t="n">
        <v>225595288.67</v>
      </c>
      <c r="V642" s="9" t="n">
        <v>225595288.67</v>
      </c>
      <c r="W642" s="9" t="n">
        <v>187996.0739</v>
      </c>
      <c r="X642" s="9" t="n">
        <v>77.4141</v>
      </c>
      <c r="AK642" s="7" t="inlineStr">
        <is>
          <t>PYTHON_LIFECYCLE</t>
        </is>
      </c>
      <c r="AL642" s="8">
        <f>IF($J642="INR",1,IF($M642&lt;$A642,INDEX(Market_Daily!$F$6:$F$256,MATCH($M642,Market_Daily!$A$6:$A$256,1)),IF($M642=$A642,INDEX(Market_Daily!$F$6:$F$256,MATCH($A642,Market_Daily!$A$6:$A$256,0)),(INDEX(Market_Daily!$F$6:$F$256,MATCH($A642,Market_Daily!$A$6:$A$256,0))*(1+INDEX(Market_Daily!$I$6:$I$256,MATCH($A642,Market_Daily!$A$6:$A$256,0))*($M642-$A642)/day_count_inr)/(1+INDEX(Market_Daily!$J$6:$J$256,MATCH($A642,Market_Daily!$A$6:$A$256,0))*($M642-$A642)/day_count_usd)))))</f>
        <v/>
      </c>
      <c r="AM642" s="8">
        <f>IF(OR($J642="INR",$R642&gt;1),"",$AL642-$X642)</f>
        <v/>
      </c>
      <c r="AN642" s="8">
        <f>$U642</f>
        <v/>
      </c>
      <c r="AO642" s="8">
        <f>$AN642*IF($J642="INR",1,$AL642)</f>
        <v/>
      </c>
      <c r="AP642" s="18">
        <f>$AO642-$V642</f>
        <v/>
      </c>
      <c r="AQ642" s="8">
        <f>IF(ABS($AP642)&lt;=tol_trade_inr,"PASS","FAIL")</f>
        <v/>
      </c>
    </row>
    <row r="643">
      <c r="A643" s="11" t="n">
        <v>44690</v>
      </c>
      <c r="B643" s="7" t="inlineStr">
        <is>
          <t>T02</t>
        </is>
      </c>
      <c r="C643" s="7" t="inlineStr">
        <is>
          <t>USANCE_INTEREST:L1</t>
        </is>
      </c>
      <c r="D643" s="7" t="inlineStr">
        <is>
          <t>USANCE_INTEREST</t>
        </is>
      </c>
      <c r="E643" s="7" t="inlineStr">
        <is>
          <t>physical</t>
        </is>
      </c>
      <c r="F643" s="7" t="inlineStr">
        <is>
          <t>L1</t>
        </is>
      </c>
      <c r="H643" s="7" t="inlineStr">
        <is>
          <t>tense</t>
        </is>
      </c>
      <c r="I643" s="7" t="inlineStr">
        <is>
          <t>JEA_NSA</t>
        </is>
      </c>
      <c r="J643" s="7" t="inlineStr">
        <is>
          <t>USD</t>
        </is>
      </c>
      <c r="K643" s="7" t="inlineStr">
        <is>
          <t>fixed_unsettled</t>
        </is>
      </c>
      <c r="L643" s="7" t="inlineStr">
        <is>
          <t>PNL</t>
        </is>
      </c>
      <c r="M643" s="11" t="n">
        <v>44746</v>
      </c>
      <c r="N643" s="13" t="n">
        <v>0</v>
      </c>
      <c r="O643" s="6" t="n">
        <v>0</v>
      </c>
      <c r="P643" s="13" t="n">
        <v>0</v>
      </c>
      <c r="Q643" s="22" t="n">
        <v>31</v>
      </c>
      <c r="R643" s="6" t="n">
        <v>1</v>
      </c>
      <c r="U643" s="9" t="n">
        <v>-6953.7</v>
      </c>
      <c r="V643" s="9" t="n">
        <v>-541452.1</v>
      </c>
      <c r="X643" s="9" t="n">
        <v>77.8653</v>
      </c>
      <c r="AK643" s="7" t="inlineStr">
        <is>
          <t>PYTHON_LIFECYCLE</t>
        </is>
      </c>
      <c r="AL643" s="8">
        <f>IF($J643="INR",1,IF($M643&lt;$A643,INDEX(Market_Daily!$F$6:$F$256,MATCH($M643,Market_Daily!$A$6:$A$256,1)),IF($M643=$A643,INDEX(Market_Daily!$F$6:$F$256,MATCH($A643,Market_Daily!$A$6:$A$256,0)),(INDEX(Market_Daily!$F$6:$F$256,MATCH($A643,Market_Daily!$A$6:$A$256,0))*(1+INDEX(Market_Daily!$I$6:$I$256,MATCH($A643,Market_Daily!$A$6:$A$256,0))*($M643-$A643)/day_count_inr)/(1+INDEX(Market_Daily!$J$6:$J$256,MATCH($A643,Market_Daily!$A$6:$A$256,0))*($M643-$A643)/day_count_usd)))))</f>
        <v/>
      </c>
      <c r="AM643" s="8">
        <f>IF(OR($J643="INR",$R643&gt;1),"",$AL643-$X643)</f>
        <v/>
      </c>
      <c r="AN643" s="8">
        <f>$U643</f>
        <v/>
      </c>
      <c r="AO643" s="8">
        <f>$AN643*IF($J643="INR",1,$AL643)</f>
        <v/>
      </c>
      <c r="AP643" s="18">
        <f>$AO643-$V643</f>
        <v/>
      </c>
      <c r="AQ643" s="8">
        <f>IF(ABS($AP643)&lt;=tol_trade_inr,"PASS","FAIL")</f>
        <v/>
      </c>
    </row>
    <row r="644">
      <c r="A644" s="11" t="n">
        <v>44690</v>
      </c>
      <c r="B644" s="7" t="inlineStr">
        <is>
          <t>T02</t>
        </is>
      </c>
      <c r="C644" s="7" t="inlineStr">
        <is>
          <t>USANCE_INTEREST:L2</t>
        </is>
      </c>
      <c r="D644" s="7" t="inlineStr">
        <is>
          <t>USANCE_INTEREST</t>
        </is>
      </c>
      <c r="E644" s="7" t="inlineStr">
        <is>
          <t>physical</t>
        </is>
      </c>
      <c r="F644" s="7" t="inlineStr">
        <is>
          <t>L2</t>
        </is>
      </c>
      <c r="H644" s="7" t="inlineStr">
        <is>
          <t>tense</t>
        </is>
      </c>
      <c r="I644" s="7" t="inlineStr">
        <is>
          <t>JEA_NSA</t>
        </is>
      </c>
      <c r="J644" s="7" t="inlineStr">
        <is>
          <t>USD</t>
        </is>
      </c>
      <c r="K644" s="7" t="inlineStr">
        <is>
          <t>fixed_unsettled</t>
        </is>
      </c>
      <c r="L644" s="7" t="inlineStr">
        <is>
          <t>PNL</t>
        </is>
      </c>
      <c r="M644" s="11" t="n">
        <v>44754</v>
      </c>
      <c r="N644" s="13" t="n">
        <v>0</v>
      </c>
      <c r="O644" s="6" t="n">
        <v>0</v>
      </c>
      <c r="P644" s="13" t="n">
        <v>0</v>
      </c>
      <c r="Q644" s="22" t="n">
        <v>31</v>
      </c>
      <c r="R644" s="6" t="n">
        <v>1</v>
      </c>
      <c r="U644" s="9" t="n">
        <v>-6760.21</v>
      </c>
      <c r="V644" s="9" t="n">
        <v>-526820.97</v>
      </c>
      <c r="X644" s="9" t="n">
        <v>77.92959999999999</v>
      </c>
      <c r="AK644" s="7" t="inlineStr">
        <is>
          <t>PYTHON_LIFECYCLE</t>
        </is>
      </c>
      <c r="AL644" s="8">
        <f>IF($J644="INR",1,IF($M644&lt;$A644,INDEX(Market_Daily!$F$6:$F$256,MATCH($M644,Market_Daily!$A$6:$A$256,1)),IF($M644=$A644,INDEX(Market_Daily!$F$6:$F$256,MATCH($A644,Market_Daily!$A$6:$A$256,0)),(INDEX(Market_Daily!$F$6:$F$256,MATCH($A644,Market_Daily!$A$6:$A$256,0))*(1+INDEX(Market_Daily!$I$6:$I$256,MATCH($A644,Market_Daily!$A$6:$A$256,0))*($M644-$A644)/day_count_inr)/(1+INDEX(Market_Daily!$J$6:$J$256,MATCH($A644,Market_Daily!$A$6:$A$256,0))*($M644-$A644)/day_count_usd)))))</f>
        <v/>
      </c>
      <c r="AM644" s="8">
        <f>IF(OR($J644="INR",$R644&gt;1),"",$AL644-$X644)</f>
        <v/>
      </c>
      <c r="AN644" s="8">
        <f>$U644</f>
        <v/>
      </c>
      <c r="AO644" s="8">
        <f>$AN644*IF($J644="INR",1,$AL644)</f>
        <v/>
      </c>
      <c r="AP644" s="18">
        <f>$AO644-$V644</f>
        <v/>
      </c>
      <c r="AQ644" s="8">
        <f>IF(ABS($AP644)&lt;=tol_trade_inr,"PASS","FAIL")</f>
        <v/>
      </c>
    </row>
    <row r="645">
      <c r="A645" s="11" t="n">
        <v>44690</v>
      </c>
      <c r="B645" s="7" t="inlineStr">
        <is>
          <t>T03</t>
        </is>
      </c>
      <c r="C645" s="7" t="inlineStr">
        <is>
          <t>IGST:L1</t>
        </is>
      </c>
      <c r="D645" s="7" t="inlineStr">
        <is>
          <t>IGST</t>
        </is>
      </c>
      <c r="E645" s="7" t="inlineStr">
        <is>
          <t>physical</t>
        </is>
      </c>
      <c r="F645" s="7" t="inlineStr">
        <is>
          <t>L1</t>
        </is>
      </c>
      <c r="H645" s="7" t="inlineStr">
        <is>
          <t>taint_tabor</t>
        </is>
      </c>
      <c r="I645" s="7" t="inlineStr">
        <is>
          <t>JEA_NSA</t>
        </is>
      </c>
      <c r="J645" s="7" t="inlineStr">
        <is>
          <t>INR</t>
        </is>
      </c>
      <c r="K645" s="7" t="inlineStr">
        <is>
          <t>fixed_unsettled</t>
        </is>
      </c>
      <c r="L645" s="7" t="inlineStr">
        <is>
          <t>BS</t>
        </is>
      </c>
      <c r="M645" s="11" t="n">
        <v>44718</v>
      </c>
      <c r="N645" s="13" t="n">
        <v>0</v>
      </c>
      <c r="O645" s="6" t="n">
        <v>0</v>
      </c>
      <c r="P645" s="13" t="n">
        <v>0</v>
      </c>
      <c r="Q645" s="22" t="n">
        <v>31</v>
      </c>
      <c r="R645" s="6" t="n">
        <v>2</v>
      </c>
      <c r="U645" s="9" t="n">
        <v>0</v>
      </c>
      <c r="V645" s="9" t="n">
        <v>0</v>
      </c>
      <c r="X645" s="9" t="n">
        <v>77.4141</v>
      </c>
      <c r="AK645" s="7" t="inlineStr">
        <is>
          <t>PYTHON_MULTI_FLOW_LEG</t>
        </is>
      </c>
      <c r="AL645" s="8">
        <f>IF($J645="INR",1,IF($M645&lt;$A645,INDEX(Market_Daily!$F$6:$F$256,MATCH($M645,Market_Daily!$A$6:$A$256,1)),IF($M645=$A645,INDEX(Market_Daily!$F$6:$F$256,MATCH($A645,Market_Daily!$A$6:$A$256,0)),(INDEX(Market_Daily!$F$6:$F$256,MATCH($A645,Market_Daily!$A$6:$A$256,0))*(1+INDEX(Market_Daily!$I$6:$I$256,MATCH($A645,Market_Daily!$A$6:$A$256,0))*($M645-$A645)/day_count_inr)/(1+INDEX(Market_Daily!$J$6:$J$256,MATCH($A645,Market_Daily!$A$6:$A$256,0))*($M645-$A645)/day_count_usd)))))</f>
        <v/>
      </c>
      <c r="AM645" s="8">
        <f>IF(OR($J645="INR",$R645&gt;1),"",$AL645-$X645)</f>
        <v/>
      </c>
      <c r="AN645" s="8">
        <f>$U645</f>
        <v/>
      </c>
      <c r="AO645" s="8">
        <f>$V645</f>
        <v/>
      </c>
      <c r="AP645" s="18">
        <f>$AO645-$V645</f>
        <v/>
      </c>
      <c r="AQ645" s="8">
        <f>IF(ABS($AP645)&lt;=tol_trade_inr,"PASS","FAIL")</f>
        <v/>
      </c>
    </row>
    <row r="646">
      <c r="A646" s="11" t="n">
        <v>44690</v>
      </c>
      <c r="B646" s="7" t="inlineStr">
        <is>
          <t>T03</t>
        </is>
      </c>
      <c r="C646" s="7" t="inlineStr">
        <is>
          <t>IGST:L2</t>
        </is>
      </c>
      <c r="D646" s="7" t="inlineStr">
        <is>
          <t>IGST</t>
        </is>
      </c>
      <c r="E646" s="7" t="inlineStr">
        <is>
          <t>physical</t>
        </is>
      </c>
      <c r="F646" s="7" t="inlineStr">
        <is>
          <t>L2</t>
        </is>
      </c>
      <c r="H646" s="7" t="inlineStr">
        <is>
          <t>taint_tabor</t>
        </is>
      </c>
      <c r="I646" s="7" t="inlineStr">
        <is>
          <t>JEA_NSA</t>
        </is>
      </c>
      <c r="J646" s="7" t="inlineStr">
        <is>
          <t>INR</t>
        </is>
      </c>
      <c r="K646" s="7" t="inlineStr">
        <is>
          <t>fixed_unsettled</t>
        </is>
      </c>
      <c r="L646" s="7" t="inlineStr">
        <is>
          <t>BS</t>
        </is>
      </c>
      <c r="M646" s="11" t="n">
        <v>44725</v>
      </c>
      <c r="N646" s="13" t="n">
        <v>0</v>
      </c>
      <c r="O646" s="6" t="n">
        <v>0</v>
      </c>
      <c r="P646" s="13" t="n">
        <v>0</v>
      </c>
      <c r="Q646" s="22" t="n">
        <v>31</v>
      </c>
      <c r="R646" s="6" t="n">
        <v>2</v>
      </c>
      <c r="U646" s="9" t="n">
        <v>0</v>
      </c>
      <c r="V646" s="9" t="n">
        <v>0</v>
      </c>
      <c r="X646" s="9" t="n">
        <v>77.4141</v>
      </c>
      <c r="AK646" s="7" t="inlineStr">
        <is>
          <t>PYTHON_MULTI_FLOW_LEG</t>
        </is>
      </c>
      <c r="AL646" s="8">
        <f>IF($J646="INR",1,IF($M646&lt;$A646,INDEX(Market_Daily!$F$6:$F$256,MATCH($M646,Market_Daily!$A$6:$A$256,1)),IF($M646=$A646,INDEX(Market_Daily!$F$6:$F$256,MATCH($A646,Market_Daily!$A$6:$A$256,0)),(INDEX(Market_Daily!$F$6:$F$256,MATCH($A646,Market_Daily!$A$6:$A$256,0))*(1+INDEX(Market_Daily!$I$6:$I$256,MATCH($A646,Market_Daily!$A$6:$A$256,0))*($M646-$A646)/day_count_inr)/(1+INDEX(Market_Daily!$J$6:$J$256,MATCH($A646,Market_Daily!$A$6:$A$256,0))*($M646-$A646)/day_count_usd)))))</f>
        <v/>
      </c>
      <c r="AM646" s="8">
        <f>IF(OR($J646="INR",$R646&gt;1),"",$AL646-$X646)</f>
        <v/>
      </c>
      <c r="AN646" s="8">
        <f>$U646</f>
        <v/>
      </c>
      <c r="AO646" s="8">
        <f>$V646</f>
        <v/>
      </c>
      <c r="AP646" s="18">
        <f>$AO646-$V646</f>
        <v/>
      </c>
      <c r="AQ646" s="8">
        <f>IF(ABS($AP646)&lt;=tol_trade_inr,"PASS","FAIL")</f>
        <v/>
      </c>
    </row>
    <row r="647">
      <c r="A647" s="11" t="n">
        <v>44690</v>
      </c>
      <c r="B647" s="7" t="inlineStr">
        <is>
          <t>T03</t>
        </is>
      </c>
      <c r="C647" s="7" t="inlineStr">
        <is>
          <t>SALE:S1</t>
        </is>
      </c>
      <c r="D647" s="7" t="inlineStr">
        <is>
          <t>SALE</t>
        </is>
      </c>
      <c r="E647" s="7" t="inlineStr">
        <is>
          <t>physical</t>
        </is>
      </c>
      <c r="G647" s="7" t="inlineStr">
        <is>
          <t>BUY_JNPT_01</t>
        </is>
      </c>
      <c r="H647" s="7" t="inlineStr">
        <is>
          <t>taint_tabor</t>
        </is>
      </c>
      <c r="I647" s="7" t="inlineStr">
        <is>
          <t>JEA_NSA</t>
        </is>
      </c>
      <c r="J647" s="7" t="inlineStr">
        <is>
          <t>INR</t>
        </is>
      </c>
      <c r="K647" s="7" t="inlineStr">
        <is>
          <t>fixed_unsettled</t>
        </is>
      </c>
      <c r="L647" s="7" t="inlineStr">
        <is>
          <t>PNL</t>
        </is>
      </c>
      <c r="M647" s="11" t="n">
        <v>44720</v>
      </c>
      <c r="N647" s="13" t="n">
        <v>1200</v>
      </c>
      <c r="O647" s="6" t="n">
        <v>0</v>
      </c>
      <c r="P647" s="13" t="n">
        <v>0</v>
      </c>
      <c r="Q647" s="22" t="n">
        <v>31</v>
      </c>
      <c r="R647" s="6" t="n">
        <v>1</v>
      </c>
      <c r="U647" s="9" t="n">
        <v>241500000</v>
      </c>
      <c r="V647" s="9" t="n">
        <v>241500000</v>
      </c>
      <c r="W647" s="9" t="n">
        <v>201250</v>
      </c>
      <c r="X647" s="9" t="n">
        <v>77.4141</v>
      </c>
      <c r="AK647" s="7" t="inlineStr">
        <is>
          <t>PYTHON_LIFECYCLE</t>
        </is>
      </c>
      <c r="AL647" s="8">
        <f>IF($J647="INR",1,IF($M647&lt;$A647,INDEX(Market_Daily!$F$6:$F$256,MATCH($M647,Market_Daily!$A$6:$A$256,1)),IF($M647=$A647,INDEX(Market_Daily!$F$6:$F$256,MATCH($A647,Market_Daily!$A$6:$A$256,0)),(INDEX(Market_Daily!$F$6:$F$256,MATCH($A647,Market_Daily!$A$6:$A$256,0))*(1+INDEX(Market_Daily!$I$6:$I$256,MATCH($A647,Market_Daily!$A$6:$A$256,0))*($M647-$A647)/day_count_inr)/(1+INDEX(Market_Daily!$J$6:$J$256,MATCH($A647,Market_Daily!$A$6:$A$256,0))*($M647-$A647)/day_count_usd)))))</f>
        <v/>
      </c>
      <c r="AM647" s="8">
        <f>IF(OR($J647="INR",$R647&gt;1),"",$AL647-$X647)</f>
        <v/>
      </c>
      <c r="AN647" s="8">
        <f>$U647</f>
        <v/>
      </c>
      <c r="AO647" s="8">
        <f>$AN647*IF($J647="INR",1,$AL647)</f>
        <v/>
      </c>
      <c r="AP647" s="18">
        <f>$AO647-$V647</f>
        <v/>
      </c>
      <c r="AQ647" s="8">
        <f>IF(ABS($AP647)&lt;=tol_trade_inr,"PASS","FAIL")</f>
        <v/>
      </c>
    </row>
    <row r="648">
      <c r="A648" s="11" t="n">
        <v>44690</v>
      </c>
      <c r="B648" s="7" t="inlineStr">
        <is>
          <t>T04</t>
        </is>
      </c>
      <c r="C648" s="7" t="inlineStr">
        <is>
          <t>BILL_COMMISSION:L2</t>
        </is>
      </c>
      <c r="D648" s="7" t="inlineStr">
        <is>
          <t>BILL_COMMISSION</t>
        </is>
      </c>
      <c r="E648" s="7" t="inlineStr">
        <is>
          <t>physical</t>
        </is>
      </c>
      <c r="F648" s="7" t="inlineStr">
        <is>
          <t>L2</t>
        </is>
      </c>
      <c r="H648" s="7" t="inlineStr">
        <is>
          <t>taint_tabor</t>
        </is>
      </c>
      <c r="I648" s="7" t="inlineStr">
        <is>
          <t>USEC_MUN</t>
        </is>
      </c>
      <c r="J648" s="7" t="inlineStr">
        <is>
          <t>USD</t>
        </is>
      </c>
      <c r="K648" s="7" t="inlineStr">
        <is>
          <t>floating</t>
        </is>
      </c>
      <c r="L648" s="7" t="inlineStr">
        <is>
          <t>PNL</t>
        </is>
      </c>
      <c r="M648" s="11" t="n">
        <v>44692</v>
      </c>
      <c r="N648" s="13" t="n">
        <v>0</v>
      </c>
      <c r="O648" s="6" t="n">
        <v>0</v>
      </c>
      <c r="P648" s="13" t="n">
        <v>0</v>
      </c>
      <c r="Q648" s="22" t="n">
        <v>31</v>
      </c>
      <c r="R648" s="6" t="n">
        <v>1</v>
      </c>
      <c r="U648" s="9" t="n">
        <v>-1821.96</v>
      </c>
      <c r="V648" s="9" t="n">
        <v>-141074.79</v>
      </c>
      <c r="X648" s="9" t="n">
        <v>77.4302</v>
      </c>
      <c r="AK648" s="7" t="inlineStr">
        <is>
          <t>PYTHON_LIFECYCLE</t>
        </is>
      </c>
      <c r="AL648" s="8">
        <f>IF($J648="INR",1,IF($M648&lt;$A648,INDEX(Market_Daily!$F$6:$F$256,MATCH($M648,Market_Daily!$A$6:$A$256,1)),IF($M648=$A648,INDEX(Market_Daily!$F$6:$F$256,MATCH($A648,Market_Daily!$A$6:$A$256,0)),(INDEX(Market_Daily!$F$6:$F$256,MATCH($A648,Market_Daily!$A$6:$A$256,0))*(1+INDEX(Market_Daily!$I$6:$I$256,MATCH($A648,Market_Daily!$A$6:$A$256,0))*($M648-$A648)/day_count_inr)/(1+INDEX(Market_Daily!$J$6:$J$256,MATCH($A648,Market_Daily!$A$6:$A$256,0))*($M648-$A648)/day_count_usd)))))</f>
        <v/>
      </c>
      <c r="AM648" s="8">
        <f>IF(OR($J648="INR",$R648&gt;1),"",$AL648-$X648)</f>
        <v/>
      </c>
      <c r="AN648" s="8">
        <f>$U648</f>
        <v/>
      </c>
      <c r="AO648" s="8">
        <f>$AN648*IF($J648="INR",1,$AL648)</f>
        <v/>
      </c>
      <c r="AP648" s="18">
        <f>$AO648-$V648</f>
        <v/>
      </c>
      <c r="AQ648" s="8">
        <f>IF(ABS($AP648)&lt;=tol_trade_inr,"PASS","FAIL")</f>
        <v/>
      </c>
    </row>
    <row r="649">
      <c r="A649" s="11" t="n">
        <v>44690</v>
      </c>
      <c r="B649" s="7" t="inlineStr">
        <is>
          <t>T04</t>
        </is>
      </c>
      <c r="C649" s="7" t="inlineStr">
        <is>
          <t>DUTY:L1</t>
        </is>
      </c>
      <c r="D649" s="7" t="inlineStr">
        <is>
          <t>DUTY</t>
        </is>
      </c>
      <c r="E649" s="7" t="inlineStr">
        <is>
          <t>physical</t>
        </is>
      </c>
      <c r="F649" s="7" t="inlineStr">
        <is>
          <t>L1</t>
        </is>
      </c>
      <c r="H649" s="7" t="inlineStr">
        <is>
          <t>taint_tabor</t>
        </is>
      </c>
      <c r="I649" s="7" t="inlineStr">
        <is>
          <t>USEC_MUN</t>
        </is>
      </c>
      <c r="J649" s="7" t="inlineStr">
        <is>
          <t>INR</t>
        </is>
      </c>
      <c r="K649" s="7" t="inlineStr">
        <is>
          <t>floating</t>
        </is>
      </c>
      <c r="L649" s="7" t="inlineStr">
        <is>
          <t>PNL</t>
        </is>
      </c>
      <c r="M649" s="11" t="n">
        <v>44719</v>
      </c>
      <c r="N649" s="13" t="n">
        <v>630</v>
      </c>
      <c r="O649" s="6" t="n">
        <v>0</v>
      </c>
      <c r="P649" s="13" t="n">
        <v>0</v>
      </c>
      <c r="Q649" s="22" t="n">
        <v>31</v>
      </c>
      <c r="R649" s="6" t="n">
        <v>1</v>
      </c>
      <c r="U649" s="9" t="n">
        <v>-3348217.24</v>
      </c>
      <c r="V649" s="9" t="n">
        <v>-3348217.24</v>
      </c>
      <c r="X649" s="9" t="n">
        <v>77.4141</v>
      </c>
      <c r="AK649" s="7" t="inlineStr">
        <is>
          <t>PYTHON_LIFECYCLE</t>
        </is>
      </c>
      <c r="AL649" s="8">
        <f>IF($J649="INR",1,IF($M649&lt;$A649,INDEX(Market_Daily!$F$6:$F$256,MATCH($M649,Market_Daily!$A$6:$A$256,1)),IF($M649=$A649,INDEX(Market_Daily!$F$6:$F$256,MATCH($A649,Market_Daily!$A$6:$A$256,0)),(INDEX(Market_Daily!$F$6:$F$256,MATCH($A649,Market_Daily!$A$6:$A$256,0))*(1+INDEX(Market_Daily!$I$6:$I$256,MATCH($A649,Market_Daily!$A$6:$A$256,0))*($M649-$A649)/day_count_inr)/(1+INDEX(Market_Daily!$J$6:$J$256,MATCH($A649,Market_Daily!$A$6:$A$256,0))*($M649-$A649)/day_count_usd)))))</f>
        <v/>
      </c>
      <c r="AM649" s="8">
        <f>IF(OR($J649="INR",$R649&gt;1),"",$AL649-$X649)</f>
        <v/>
      </c>
      <c r="AN649" s="8">
        <f>$U649</f>
        <v/>
      </c>
      <c r="AO649" s="8">
        <f>$AN649*IF($J649="INR",1,$AL649)</f>
        <v/>
      </c>
      <c r="AP649" s="18">
        <f>$AO649-$V649</f>
        <v/>
      </c>
      <c r="AQ649" s="8">
        <f>IF(ABS($AP649)&lt;=tol_trade_inr,"PASS","FAIL")</f>
        <v/>
      </c>
    </row>
    <row r="650">
      <c r="A650" s="11" t="n">
        <v>44690</v>
      </c>
      <c r="B650" s="7" t="inlineStr">
        <is>
          <t>T04</t>
        </is>
      </c>
      <c r="C650" s="7" t="inlineStr">
        <is>
          <t>DUTY:L2</t>
        </is>
      </c>
      <c r="D650" s="7" t="inlineStr">
        <is>
          <t>DUTY</t>
        </is>
      </c>
      <c r="E650" s="7" t="inlineStr">
        <is>
          <t>physical</t>
        </is>
      </c>
      <c r="F650" s="7" t="inlineStr">
        <is>
          <t>L2</t>
        </is>
      </c>
      <c r="H650" s="7" t="inlineStr">
        <is>
          <t>taint_tabor</t>
        </is>
      </c>
      <c r="I650" s="7" t="inlineStr">
        <is>
          <t>USEC_MUN</t>
        </is>
      </c>
      <c r="J650" s="7" t="inlineStr">
        <is>
          <t>INR</t>
        </is>
      </c>
      <c r="K650" s="7" t="inlineStr">
        <is>
          <t>floating</t>
        </is>
      </c>
      <c r="L650" s="7" t="inlineStr">
        <is>
          <t>PNL</t>
        </is>
      </c>
      <c r="M650" s="11" t="n">
        <v>44726</v>
      </c>
      <c r="N650" s="13" t="n">
        <v>630</v>
      </c>
      <c r="O650" s="6" t="n">
        <v>0</v>
      </c>
      <c r="P650" s="13" t="n">
        <v>0</v>
      </c>
      <c r="Q650" s="22" t="n">
        <v>31</v>
      </c>
      <c r="R650" s="6" t="n">
        <v>1</v>
      </c>
      <c r="U650" s="9" t="n">
        <v>-3348217.24</v>
      </c>
      <c r="V650" s="9" t="n">
        <v>-3348217.24</v>
      </c>
      <c r="X650" s="9" t="n">
        <v>77.4141</v>
      </c>
      <c r="AK650" s="7" t="inlineStr">
        <is>
          <t>PYTHON_LIFECYCLE</t>
        </is>
      </c>
      <c r="AL650" s="8">
        <f>IF($J650="INR",1,IF($M650&lt;$A650,INDEX(Market_Daily!$F$6:$F$256,MATCH($M650,Market_Daily!$A$6:$A$256,1)),IF($M650=$A650,INDEX(Market_Daily!$F$6:$F$256,MATCH($A650,Market_Daily!$A$6:$A$256,0)),(INDEX(Market_Daily!$F$6:$F$256,MATCH($A650,Market_Daily!$A$6:$A$256,0))*(1+INDEX(Market_Daily!$I$6:$I$256,MATCH($A650,Market_Daily!$A$6:$A$256,0))*($M650-$A650)/day_count_inr)/(1+INDEX(Market_Daily!$J$6:$J$256,MATCH($A650,Market_Daily!$A$6:$A$256,0))*($M650-$A650)/day_count_usd)))))</f>
        <v/>
      </c>
      <c r="AM650" s="8">
        <f>IF(OR($J650="INR",$R650&gt;1),"",$AL650-$X650)</f>
        <v/>
      </c>
      <c r="AN650" s="8">
        <f>$U650</f>
        <v/>
      </c>
      <c r="AO650" s="8">
        <f>$AN650*IF($J650="INR",1,$AL650)</f>
        <v/>
      </c>
      <c r="AP650" s="18">
        <f>$AO650-$V650</f>
        <v/>
      </c>
      <c r="AQ650" s="8">
        <f>IF(ABS($AP650)&lt;=tol_trade_inr,"PASS","FAIL")</f>
        <v/>
      </c>
    </row>
    <row r="651">
      <c r="A651" s="11" t="n">
        <v>44690</v>
      </c>
      <c r="B651" s="7" t="inlineStr">
        <is>
          <t>T04</t>
        </is>
      </c>
      <c r="C651" s="7" t="inlineStr">
        <is>
          <t>FX:T04-FX-2</t>
        </is>
      </c>
      <c r="D651" s="7" t="inlineStr">
        <is>
          <t>FX</t>
        </is>
      </c>
      <c r="E651" s="7" t="inlineStr">
        <is>
          <t>fx_forward</t>
        </is>
      </c>
      <c r="H651" s="7" t="inlineStr">
        <is>
          <t>taint_tabor</t>
        </is>
      </c>
      <c r="I651" s="7" t="inlineStr">
        <is>
          <t>USEC_MUN</t>
        </is>
      </c>
      <c r="J651" s="7" t="inlineStr">
        <is>
          <t>INR</t>
        </is>
      </c>
      <c r="K651" s="7" t="inlineStr">
        <is>
          <t>floating</t>
        </is>
      </c>
      <c r="L651" s="7" t="inlineStr">
        <is>
          <t>PNL</t>
        </is>
      </c>
      <c r="M651" s="11" t="n">
        <v>44692</v>
      </c>
      <c r="N651" s="13" t="n">
        <v>0</v>
      </c>
      <c r="O651" s="6" t="n">
        <v>0</v>
      </c>
      <c r="P651" s="13" t="n">
        <v>1518300</v>
      </c>
      <c r="Q651" s="22" t="n">
        <v>31</v>
      </c>
      <c r="R651" s="6" t="n">
        <v>1</v>
      </c>
      <c r="S651" s="12" t="n">
        <v>44692</v>
      </c>
      <c r="T651" s="21" t="n">
        <v>76.50557999999999</v>
      </c>
      <c r="U651" s="9" t="n">
        <v>1403905.68</v>
      </c>
      <c r="V651" s="9" t="n">
        <v>1403905.68</v>
      </c>
      <c r="X651" s="9" t="n">
        <v>77.4141</v>
      </c>
      <c r="AK651" s="7" t="inlineStr">
        <is>
          <t>DERIVED_IN_WORKBOOK</t>
        </is>
      </c>
      <c r="AL651" s="8">
        <f>IF($J651="INR",1,IF($M651&lt;$A651,INDEX(Market_Daily!$F$6:$F$256,MATCH($M651,Market_Daily!$A$6:$A$256,1)),IF($M651=$A651,INDEX(Market_Daily!$F$6:$F$256,MATCH($A651,Market_Daily!$A$6:$A$256,0)),(INDEX(Market_Daily!$F$6:$F$256,MATCH($A651,Market_Daily!$A$6:$A$256,0))*(1+INDEX(Market_Daily!$I$6:$I$256,MATCH($A651,Market_Daily!$A$6:$A$256,0))*($M651-$A651)/day_count_inr)/(1+INDEX(Market_Daily!$J$6:$J$256,MATCH($A651,Market_Daily!$A$6:$A$256,0))*($M651-$A651)/day_count_usd)))))</f>
        <v/>
      </c>
      <c r="AM651" s="8">
        <f>IF(OR($J651="INR",$R651&gt;1),"",$AL651-$X651)</f>
        <v/>
      </c>
      <c r="AN651" s="8">
        <f>$P651*(IF($S651&lt;$A651,INDEX(Market_Daily!$F$6:$F$256,MATCH($S651,Market_Daily!$A$6:$A$256,1)),IF($S651=$A651,INDEX(Market_Daily!$F$6:$F$256,MATCH($A651,Market_Daily!$A$6:$A$256,0)),(INDEX(Market_Daily!$F$6:$F$256,MATCH($A651,Market_Daily!$A$6:$A$256,0))*(1+INDEX(Market_Daily!$I$6:$I$256,MATCH($A651,Market_Daily!$A$6:$A$256,0))*($S651-$A651)/day_count_inr)/(1+INDEX(Market_Daily!$J$6:$J$256,MATCH($A651,Market_Daily!$A$6:$A$256,0))*($S651-$A651)/day_count_usd))))-$T651)</f>
        <v/>
      </c>
      <c r="AO651" s="8">
        <f>$AN651</f>
        <v/>
      </c>
      <c r="AP651" s="18">
        <f>$AO651-$V651</f>
        <v/>
      </c>
      <c r="AQ651" s="8">
        <f>IF(ABS($AP651)&lt;=tol_trade_inr,"PASS","FAIL")</f>
        <v/>
      </c>
    </row>
    <row r="652">
      <c r="A652" s="11" t="n">
        <v>44690</v>
      </c>
      <c r="B652" s="7" t="inlineStr">
        <is>
          <t>T04</t>
        </is>
      </c>
      <c r="C652" s="7" t="inlineStr">
        <is>
          <t>IGST:L1</t>
        </is>
      </c>
      <c r="D652" s="7" t="inlineStr">
        <is>
          <t>IGST</t>
        </is>
      </c>
      <c r="E652" s="7" t="inlineStr">
        <is>
          <t>physical</t>
        </is>
      </c>
      <c r="F652" s="7" t="inlineStr">
        <is>
          <t>L1</t>
        </is>
      </c>
      <c r="H652" s="7" t="inlineStr">
        <is>
          <t>taint_tabor</t>
        </is>
      </c>
      <c r="I652" s="7" t="inlineStr">
        <is>
          <t>USEC_MUN</t>
        </is>
      </c>
      <c r="J652" s="7" t="inlineStr">
        <is>
          <t>INR</t>
        </is>
      </c>
      <c r="K652" s="7" t="inlineStr">
        <is>
          <t>floating</t>
        </is>
      </c>
      <c r="L652" s="7" t="inlineStr">
        <is>
          <t>BS</t>
        </is>
      </c>
      <c r="M652" s="11" t="n">
        <v>44764</v>
      </c>
      <c r="N652" s="13" t="n">
        <v>0</v>
      </c>
      <c r="O652" s="6" t="n">
        <v>0</v>
      </c>
      <c r="P652" s="13" t="n">
        <v>0</v>
      </c>
      <c r="Q652" s="22" t="n">
        <v>31</v>
      </c>
      <c r="R652" s="6" t="n">
        <v>2</v>
      </c>
      <c r="U652" s="9" t="n">
        <v>0</v>
      </c>
      <c r="V652" s="9" t="n">
        <v>0</v>
      </c>
      <c r="X652" s="9" t="n">
        <v>77.4141</v>
      </c>
      <c r="AK652" s="7" t="inlineStr">
        <is>
          <t>PYTHON_MULTI_FLOW_LEG</t>
        </is>
      </c>
      <c r="AL652" s="8">
        <f>IF($J652="INR",1,IF($M652&lt;$A652,INDEX(Market_Daily!$F$6:$F$256,MATCH($M652,Market_Daily!$A$6:$A$256,1)),IF($M652=$A652,INDEX(Market_Daily!$F$6:$F$256,MATCH($A652,Market_Daily!$A$6:$A$256,0)),(INDEX(Market_Daily!$F$6:$F$256,MATCH($A652,Market_Daily!$A$6:$A$256,0))*(1+INDEX(Market_Daily!$I$6:$I$256,MATCH($A652,Market_Daily!$A$6:$A$256,0))*($M652-$A652)/day_count_inr)/(1+INDEX(Market_Daily!$J$6:$J$256,MATCH($A652,Market_Daily!$A$6:$A$256,0))*($M652-$A652)/day_count_usd)))))</f>
        <v/>
      </c>
      <c r="AM652" s="8">
        <f>IF(OR($J652="INR",$R652&gt;1),"",$AL652-$X652)</f>
        <v/>
      </c>
      <c r="AN652" s="8">
        <f>$U652</f>
        <v/>
      </c>
      <c r="AO652" s="8">
        <f>$V652</f>
        <v/>
      </c>
      <c r="AP652" s="18">
        <f>$AO652-$V652</f>
        <v/>
      </c>
      <c r="AQ652" s="8">
        <f>IF(ABS($AP652)&lt;=tol_trade_inr,"PASS","FAIL")</f>
        <v/>
      </c>
    </row>
    <row r="653">
      <c r="A653" s="11" t="n">
        <v>44690</v>
      </c>
      <c r="B653" s="7" t="inlineStr">
        <is>
          <t>T04</t>
        </is>
      </c>
      <c r="C653" s="7" t="inlineStr">
        <is>
          <t>IGST:L2</t>
        </is>
      </c>
      <c r="D653" s="7" t="inlineStr">
        <is>
          <t>IGST</t>
        </is>
      </c>
      <c r="E653" s="7" t="inlineStr">
        <is>
          <t>physical</t>
        </is>
      </c>
      <c r="F653" s="7" t="inlineStr">
        <is>
          <t>L2</t>
        </is>
      </c>
      <c r="H653" s="7" t="inlineStr">
        <is>
          <t>taint_tabor</t>
        </is>
      </c>
      <c r="I653" s="7" t="inlineStr">
        <is>
          <t>USEC_MUN</t>
        </is>
      </c>
      <c r="J653" s="7" t="inlineStr">
        <is>
          <t>INR</t>
        </is>
      </c>
      <c r="K653" s="7" t="inlineStr">
        <is>
          <t>floating</t>
        </is>
      </c>
      <c r="L653" s="7" t="inlineStr">
        <is>
          <t>BS</t>
        </is>
      </c>
      <c r="M653" s="11" t="n">
        <v>44771</v>
      </c>
      <c r="N653" s="13" t="n">
        <v>0</v>
      </c>
      <c r="O653" s="6" t="n">
        <v>0</v>
      </c>
      <c r="P653" s="13" t="n">
        <v>0</v>
      </c>
      <c r="Q653" s="22" t="n">
        <v>31</v>
      </c>
      <c r="R653" s="6" t="n">
        <v>2</v>
      </c>
      <c r="U653" s="9" t="n">
        <v>0</v>
      </c>
      <c r="V653" s="9" t="n">
        <v>0</v>
      </c>
      <c r="X653" s="9" t="n">
        <v>77.4141</v>
      </c>
      <c r="AK653" s="7" t="inlineStr">
        <is>
          <t>PYTHON_MULTI_FLOW_LEG</t>
        </is>
      </c>
      <c r="AL653" s="8">
        <f>IF($J653="INR",1,IF($M653&lt;$A653,INDEX(Market_Daily!$F$6:$F$256,MATCH($M653,Market_Daily!$A$6:$A$256,1)),IF($M653=$A653,INDEX(Market_Daily!$F$6:$F$256,MATCH($A653,Market_Daily!$A$6:$A$256,0)),(INDEX(Market_Daily!$F$6:$F$256,MATCH($A653,Market_Daily!$A$6:$A$256,0))*(1+INDEX(Market_Daily!$I$6:$I$256,MATCH($A653,Market_Daily!$A$6:$A$256,0))*($M653-$A653)/day_count_inr)/(1+INDEX(Market_Daily!$J$6:$J$256,MATCH($A653,Market_Daily!$A$6:$A$256,0))*($M653-$A653)/day_count_usd)))))</f>
        <v/>
      </c>
      <c r="AM653" s="8">
        <f>IF(OR($J653="INR",$R653&gt;1),"",$AL653-$X653)</f>
        <v/>
      </c>
      <c r="AN653" s="8">
        <f>$U653</f>
        <v/>
      </c>
      <c r="AO653" s="8">
        <f>$V653</f>
        <v/>
      </c>
      <c r="AP653" s="18">
        <f>$AO653-$V653</f>
        <v/>
      </c>
      <c r="AQ653" s="8">
        <f>IF(ABS($AP653)&lt;=tol_trade_inr,"PASS","FAIL")</f>
        <v/>
      </c>
    </row>
    <row r="654">
      <c r="A654" s="11" t="n">
        <v>44690</v>
      </c>
      <c r="B654" s="7" t="inlineStr">
        <is>
          <t>T04</t>
        </is>
      </c>
      <c r="C654" s="7" t="inlineStr">
        <is>
          <t>INVENTORY:L1</t>
        </is>
      </c>
      <c r="D654" s="7" t="inlineStr">
        <is>
          <t>INVENTORY</t>
        </is>
      </c>
      <c r="E654" s="7" t="inlineStr">
        <is>
          <t>physical</t>
        </is>
      </c>
      <c r="F654" s="7" t="inlineStr">
        <is>
          <t>L1</t>
        </is>
      </c>
      <c r="H654" s="7" t="inlineStr">
        <is>
          <t>taint_tabor</t>
        </is>
      </c>
      <c r="I654" s="7" t="inlineStr">
        <is>
          <t>USEC_MUN</t>
        </is>
      </c>
      <c r="J654" s="7" t="inlineStr">
        <is>
          <t>INR</t>
        </is>
      </c>
      <c r="K654" s="7" t="inlineStr">
        <is>
          <t>fixed_unsettled</t>
        </is>
      </c>
      <c r="L654" s="7" t="inlineStr">
        <is>
          <t>PNL</t>
        </is>
      </c>
      <c r="N654" s="13" t="n">
        <v>630</v>
      </c>
      <c r="O654" s="6" t="n">
        <v>0</v>
      </c>
      <c r="P654" s="13" t="n">
        <v>0</v>
      </c>
      <c r="Q654" s="22" t="n">
        <v>31</v>
      </c>
      <c r="R654" s="6" t="n">
        <v>0</v>
      </c>
      <c r="U654" s="9" t="n">
        <v>110931131.91</v>
      </c>
      <c r="V654" s="9" t="n">
        <v>110931131.91</v>
      </c>
      <c r="W654" s="9" t="n">
        <v>176081.1618</v>
      </c>
      <c r="X654" s="9" t="n">
        <v>77.4141</v>
      </c>
      <c r="Y654" s="8">
        <f>IF($I654="JEA_NSA","20ft","40ft")</f>
        <v/>
      </c>
      <c r="Z654" s="8">
        <f>IF($I654="JEA_NSA","nsa","mun")</f>
        <v/>
      </c>
      <c r="AA654" s="8">
        <f>INDEX(param_values,MATCH("container_payload_mt_"&amp;$Y654,param_keys,0))/INDEX(param_values,MATCH("container_payload_mt_"&amp;$Y654&amp;"_"&amp;$H654,param_keys,0))</f>
        <v/>
      </c>
      <c r="AB654" s="16">
        <f>INDEX(Market_Daily!$C$6:$C$256,MATCH($A654,Market_Daily!$A$6:$A$256,0))*INDEX(Market_Daily!$X$6:$Z$256,MATCH($A654,Market_Daily!$A$6:$A$256,0),MATCH("grade_factor_"&amp;$H654,Market_Daily!$X$5:$Z$5,0))</f>
        <v/>
      </c>
      <c r="AC654" s="16">
        <f>$AB654*(1+insurance_rate*insured_value_uplift)</f>
        <v/>
      </c>
      <c r="AD654" s="8">
        <f>(INDEX(Market_Daily!$F$6:$F$256,MATCH($A654,Market_Daily!$A$6:$A$256,0))*(1+INDEX(Market_Daily!$I$6:$I$256,MATCH($A654,Market_Daily!$A$6:$A$256,0))*$Q654/day_count_inr)/(1+INDEX(Market_Daily!$J$6:$J$256,MATCH($A654,Market_Daily!$A$6:$A$256,0))*$Q654/day_count_usd))</f>
        <v/>
      </c>
      <c r="AE654" s="18">
        <f>$AC654*$AD654</f>
        <v/>
      </c>
      <c r="AF654" s="18">
        <f>$AC654*INDEX(Market_Daily!$V$6:$V$256,MATCH($A654,Market_Daily!$A$6:$A$256,0))</f>
        <v/>
      </c>
      <c r="AG654" s="18">
        <f>$AF654*bcd_scrap_hs7602*(1+sws_rate_on_bcd)</f>
        <v/>
      </c>
      <c r="AH654" s="18">
        <f>INDEX(param_values,MATCH("port_cf_charges_inr_t_"&amp;$Z654,param_keys,0))*$AA654+IF(INDEX(param_values,MATCH(IF($I654="JEA_NSA","psic_required_uae_origin","psic_required_safe_origin_designated_port"),param_keys,0)),psic_cost_usd_per_box*INDEX(Market_Daily!$F$6:$F$256,MATCH($A654,Market_Daily!$A$6:$A$256,0))/INDEX(param_values,MATCH("container_payload_mt_20ft_"&amp;$H654,param_keys,0)),0)</f>
        <v/>
      </c>
      <c r="AI654" s="18">
        <f>IF(igst_itc_available,0,($AF654+$AG654)*igst_rate_hs7602)</f>
        <v/>
      </c>
      <c r="AJ654" s="18">
        <f>$AE654+$AG654+$AH654+$AI654</f>
        <v/>
      </c>
      <c r="AK654" s="7" t="inlineStr">
        <is>
          <t>DERIVED_IN_WORKBOOK</t>
        </is>
      </c>
      <c r="AL654" s="8">
        <f>IF($J654="INR",1,IF($M654&lt;$A654,INDEX(Market_Daily!$F$6:$F$256,MATCH($M654,Market_Daily!$A$6:$A$256,1)),IF($M654=$A654,INDEX(Market_Daily!$F$6:$F$256,MATCH($A654,Market_Daily!$A$6:$A$256,0)),(INDEX(Market_Daily!$F$6:$F$256,MATCH($A654,Market_Daily!$A$6:$A$256,0))*(1+INDEX(Market_Daily!$I$6:$I$256,MATCH($A654,Market_Daily!$A$6:$A$256,0))*($M654-$A654)/day_count_inr)/(1+INDEX(Market_Daily!$J$6:$J$256,MATCH($A654,Market_Daily!$A$6:$A$256,0))*($M654-$A654)/day_count_usd)))))</f>
        <v/>
      </c>
      <c r="AM654" s="8">
        <f>IF(OR($J654="INR",$R654&gt;1),"",$AL654-$X654)</f>
        <v/>
      </c>
      <c r="AN654" s="8">
        <f>$N654*$AJ654</f>
        <v/>
      </c>
      <c r="AO654" s="8">
        <f>$AN654</f>
        <v/>
      </c>
      <c r="AP654" s="18">
        <f>$AO654-$V654</f>
        <v/>
      </c>
      <c r="AQ654" s="8">
        <f>IF(ABS($AP654)&lt;=tol_trade_inr,"PASS","FAIL")</f>
        <v/>
      </c>
    </row>
    <row r="655">
      <c r="A655" s="11" t="n">
        <v>44690</v>
      </c>
      <c r="B655" s="7" t="inlineStr">
        <is>
          <t>T04</t>
        </is>
      </c>
      <c r="C655" s="7" t="inlineStr">
        <is>
          <t>INVENTORY:L2</t>
        </is>
      </c>
      <c r="D655" s="7" t="inlineStr">
        <is>
          <t>INVENTORY</t>
        </is>
      </c>
      <c r="E655" s="7" t="inlineStr">
        <is>
          <t>physical</t>
        </is>
      </c>
      <c r="F655" s="7" t="inlineStr">
        <is>
          <t>L2</t>
        </is>
      </c>
      <c r="H655" s="7" t="inlineStr">
        <is>
          <t>taint_tabor</t>
        </is>
      </c>
      <c r="I655" s="7" t="inlineStr">
        <is>
          <t>USEC_MUN</t>
        </is>
      </c>
      <c r="J655" s="7" t="inlineStr">
        <is>
          <t>INR</t>
        </is>
      </c>
      <c r="K655" s="7" t="inlineStr">
        <is>
          <t>fixed_unsettled</t>
        </is>
      </c>
      <c r="L655" s="7" t="inlineStr">
        <is>
          <t>PNL</t>
        </is>
      </c>
      <c r="N655" s="13" t="n">
        <v>630</v>
      </c>
      <c r="O655" s="6" t="n">
        <v>0</v>
      </c>
      <c r="P655" s="13" t="n">
        <v>0</v>
      </c>
      <c r="Q655" s="22" t="n">
        <v>31</v>
      </c>
      <c r="R655" s="6" t="n">
        <v>0</v>
      </c>
      <c r="U655" s="9" t="n">
        <v>110931131.91</v>
      </c>
      <c r="V655" s="9" t="n">
        <v>110931131.91</v>
      </c>
      <c r="W655" s="9" t="n">
        <v>176081.1618</v>
      </c>
      <c r="X655" s="9" t="n">
        <v>77.4141</v>
      </c>
      <c r="Y655" s="8">
        <f>IF($I655="JEA_NSA","20ft","40ft")</f>
        <v/>
      </c>
      <c r="Z655" s="8">
        <f>IF($I655="JEA_NSA","nsa","mun")</f>
        <v/>
      </c>
      <c r="AA655" s="8">
        <f>INDEX(param_values,MATCH("container_payload_mt_"&amp;$Y655,param_keys,0))/INDEX(param_values,MATCH("container_payload_mt_"&amp;$Y655&amp;"_"&amp;$H655,param_keys,0))</f>
        <v/>
      </c>
      <c r="AB655" s="16">
        <f>INDEX(Market_Daily!$C$6:$C$256,MATCH($A655,Market_Daily!$A$6:$A$256,0))*INDEX(Market_Daily!$X$6:$Z$256,MATCH($A655,Market_Daily!$A$6:$A$256,0),MATCH("grade_factor_"&amp;$H655,Market_Daily!$X$5:$Z$5,0))</f>
        <v/>
      </c>
      <c r="AC655" s="16">
        <f>$AB655*(1+insurance_rate*insured_value_uplift)</f>
        <v/>
      </c>
      <c r="AD655" s="8">
        <f>(INDEX(Market_Daily!$F$6:$F$256,MATCH($A655,Market_Daily!$A$6:$A$256,0))*(1+INDEX(Market_Daily!$I$6:$I$256,MATCH($A655,Market_Daily!$A$6:$A$256,0))*$Q655/day_count_inr)/(1+INDEX(Market_Daily!$J$6:$J$256,MATCH($A655,Market_Daily!$A$6:$A$256,0))*$Q655/day_count_usd))</f>
        <v/>
      </c>
      <c r="AE655" s="18">
        <f>$AC655*$AD655</f>
        <v/>
      </c>
      <c r="AF655" s="18">
        <f>$AC655*INDEX(Market_Daily!$V$6:$V$256,MATCH($A655,Market_Daily!$A$6:$A$256,0))</f>
        <v/>
      </c>
      <c r="AG655" s="18">
        <f>$AF655*bcd_scrap_hs7602*(1+sws_rate_on_bcd)</f>
        <v/>
      </c>
      <c r="AH655" s="18">
        <f>INDEX(param_values,MATCH("port_cf_charges_inr_t_"&amp;$Z655,param_keys,0))*$AA655+IF(INDEX(param_values,MATCH(IF($I655="JEA_NSA","psic_required_uae_origin","psic_required_safe_origin_designated_port"),param_keys,0)),psic_cost_usd_per_box*INDEX(Market_Daily!$F$6:$F$256,MATCH($A655,Market_Daily!$A$6:$A$256,0))/INDEX(param_values,MATCH("container_payload_mt_20ft_"&amp;$H655,param_keys,0)),0)</f>
        <v/>
      </c>
      <c r="AI655" s="18">
        <f>IF(igst_itc_available,0,($AF655+$AG655)*igst_rate_hs7602)</f>
        <v/>
      </c>
      <c r="AJ655" s="18">
        <f>$AE655+$AG655+$AH655+$AI655</f>
        <v/>
      </c>
      <c r="AK655" s="7" t="inlineStr">
        <is>
          <t>DERIVED_IN_WORKBOOK</t>
        </is>
      </c>
      <c r="AL655" s="8">
        <f>IF($J655="INR",1,IF($M655&lt;$A655,INDEX(Market_Daily!$F$6:$F$256,MATCH($M655,Market_Daily!$A$6:$A$256,1)),IF($M655=$A655,INDEX(Market_Daily!$F$6:$F$256,MATCH($A655,Market_Daily!$A$6:$A$256,0)),(INDEX(Market_Daily!$F$6:$F$256,MATCH($A655,Market_Daily!$A$6:$A$256,0))*(1+INDEX(Market_Daily!$I$6:$I$256,MATCH($A655,Market_Daily!$A$6:$A$256,0))*($M655-$A655)/day_count_inr)/(1+INDEX(Market_Daily!$J$6:$J$256,MATCH($A655,Market_Daily!$A$6:$A$256,0))*($M655-$A655)/day_count_usd)))))</f>
        <v/>
      </c>
      <c r="AM655" s="8">
        <f>IF(OR($J655="INR",$R655&gt;1),"",$AL655-$X655)</f>
        <v/>
      </c>
      <c r="AN655" s="8">
        <f>$N655*$AJ655</f>
        <v/>
      </c>
      <c r="AO655" s="8">
        <f>$AN655</f>
        <v/>
      </c>
      <c r="AP655" s="18">
        <f>$AO655-$V655</f>
        <v/>
      </c>
      <c r="AQ655" s="8">
        <f>IF(ABS($AP655)&lt;=tol_trade_inr,"PASS","FAIL")</f>
        <v/>
      </c>
    </row>
    <row r="656">
      <c r="A656" s="11" t="n">
        <v>44690</v>
      </c>
      <c r="B656" s="7" t="inlineStr">
        <is>
          <t>T04</t>
        </is>
      </c>
      <c r="C656" s="7" t="inlineStr">
        <is>
          <t>MCX:T04-MCX-2</t>
        </is>
      </c>
      <c r="D656" s="7" t="inlineStr">
        <is>
          <t>MCX</t>
        </is>
      </c>
      <c r="E656" s="7" t="inlineStr">
        <is>
          <t>mcx</t>
        </is>
      </c>
      <c r="H656" s="7" t="inlineStr">
        <is>
          <t>taint_tabor</t>
        </is>
      </c>
      <c r="I656" s="7" t="inlineStr">
        <is>
          <t>USEC_MUN</t>
        </is>
      </c>
      <c r="J656" s="7" t="inlineStr">
        <is>
          <t>INR</t>
        </is>
      </c>
      <c r="K656" s="7" t="inlineStr">
        <is>
          <t>partially_fixed</t>
        </is>
      </c>
      <c r="L656" s="7" t="inlineStr">
        <is>
          <t>PNL</t>
        </is>
      </c>
      <c r="M656" s="11" t="n">
        <v>44701</v>
      </c>
      <c r="N656" s="13" t="n">
        <v>0</v>
      </c>
      <c r="O656" s="6" t="n">
        <v>-87</v>
      </c>
      <c r="P656" s="13" t="n">
        <v>0</v>
      </c>
      <c r="Q656" s="22" t="n">
        <v>31</v>
      </c>
      <c r="R656" s="6" t="n">
        <v>22</v>
      </c>
      <c r="U656" s="9" t="n">
        <v>0</v>
      </c>
      <c r="V656" s="9" t="n">
        <v>0</v>
      </c>
      <c r="X656" s="9" t="n">
        <v>77.4141</v>
      </c>
      <c r="AK656" s="7" t="inlineStr">
        <is>
          <t>PYTHON_MULTI_FLOW_LEG</t>
        </is>
      </c>
      <c r="AL656" s="8">
        <f>IF($J656="INR",1,IF($M656&lt;$A656,INDEX(Market_Daily!$F$6:$F$256,MATCH($M656,Market_Daily!$A$6:$A$256,1)),IF($M656=$A656,INDEX(Market_Daily!$F$6:$F$256,MATCH($A656,Market_Daily!$A$6:$A$256,0)),(INDEX(Market_Daily!$F$6:$F$256,MATCH($A656,Market_Daily!$A$6:$A$256,0))*(1+INDEX(Market_Daily!$I$6:$I$256,MATCH($A656,Market_Daily!$A$6:$A$256,0))*($M656-$A656)/day_count_inr)/(1+INDEX(Market_Daily!$J$6:$J$256,MATCH($A656,Market_Daily!$A$6:$A$256,0))*($M656-$A656)/day_count_usd)))))</f>
        <v/>
      </c>
      <c r="AM656" s="8">
        <f>IF(OR($J656="INR",$R656&gt;1),"",$AL656-$X656)</f>
        <v/>
      </c>
      <c r="AN656" s="8">
        <f>$U656</f>
        <v/>
      </c>
      <c r="AO656" s="8">
        <f>$V656</f>
        <v/>
      </c>
      <c r="AP656" s="18">
        <f>$AO656-$V656</f>
        <v/>
      </c>
      <c r="AQ656" s="8">
        <f>IF(ABS($AP656)&lt;=tol_trade_inr,"PASS","FAIL")</f>
        <v/>
      </c>
    </row>
    <row r="657">
      <c r="A657" s="11" t="n">
        <v>44690</v>
      </c>
      <c r="B657" s="7" t="inlineStr">
        <is>
          <t>T04</t>
        </is>
      </c>
      <c r="C657" s="7" t="inlineStr">
        <is>
          <t>PORT:L1</t>
        </is>
      </c>
      <c r="D657" s="7" t="inlineStr">
        <is>
          <t>PORT</t>
        </is>
      </c>
      <c r="E657" s="7" t="inlineStr">
        <is>
          <t>physical</t>
        </is>
      </c>
      <c r="F657" s="7" t="inlineStr">
        <is>
          <t>L1</t>
        </is>
      </c>
      <c r="H657" s="7" t="inlineStr">
        <is>
          <t>taint_tabor</t>
        </is>
      </c>
      <c r="I657" s="7" t="inlineStr">
        <is>
          <t>USEC_MUN</t>
        </is>
      </c>
      <c r="J657" s="7" t="inlineStr">
        <is>
          <t>INR</t>
        </is>
      </c>
      <c r="K657" s="7" t="inlineStr">
        <is>
          <t>fixed_unsettled</t>
        </is>
      </c>
      <c r="L657" s="7" t="inlineStr">
        <is>
          <t>PNL</t>
        </is>
      </c>
      <c r="M657" s="11" t="n">
        <v>44728</v>
      </c>
      <c r="N657" s="13" t="n">
        <v>0</v>
      </c>
      <c r="O657" s="6" t="n">
        <v>0</v>
      </c>
      <c r="P657" s="13" t="n">
        <v>0</v>
      </c>
      <c r="Q657" s="22" t="n">
        <v>31</v>
      </c>
      <c r="R657" s="6" t="n">
        <v>1</v>
      </c>
      <c r="U657" s="9" t="n">
        <v>-1669500</v>
      </c>
      <c r="V657" s="9" t="n">
        <v>-1669500</v>
      </c>
      <c r="X657" s="9" t="n">
        <v>77.4141</v>
      </c>
      <c r="AK657" s="7" t="inlineStr">
        <is>
          <t>PYTHON_LIFECYCLE</t>
        </is>
      </c>
      <c r="AL657" s="8">
        <f>IF($J657="INR",1,IF($M657&lt;$A657,INDEX(Market_Daily!$F$6:$F$256,MATCH($M657,Market_Daily!$A$6:$A$256,1)),IF($M657=$A657,INDEX(Market_Daily!$F$6:$F$256,MATCH($A657,Market_Daily!$A$6:$A$256,0)),(INDEX(Market_Daily!$F$6:$F$256,MATCH($A657,Market_Daily!$A$6:$A$256,0))*(1+INDEX(Market_Daily!$I$6:$I$256,MATCH($A657,Market_Daily!$A$6:$A$256,0))*($M657-$A657)/day_count_inr)/(1+INDEX(Market_Daily!$J$6:$J$256,MATCH($A657,Market_Daily!$A$6:$A$256,0))*($M657-$A657)/day_count_usd)))))</f>
        <v/>
      </c>
      <c r="AM657" s="8">
        <f>IF(OR($J657="INR",$R657&gt;1),"",$AL657-$X657)</f>
        <v/>
      </c>
      <c r="AN657" s="8">
        <f>$U657</f>
        <v/>
      </c>
      <c r="AO657" s="8">
        <f>$AN657*IF($J657="INR",1,$AL657)</f>
        <v/>
      </c>
      <c r="AP657" s="18">
        <f>$AO657-$V657</f>
        <v/>
      </c>
      <c r="AQ657" s="8">
        <f>IF(ABS($AP657)&lt;=tol_trade_inr,"PASS","FAIL")</f>
        <v/>
      </c>
    </row>
    <row r="658">
      <c r="A658" s="11" t="n">
        <v>44690</v>
      </c>
      <c r="B658" s="7" t="inlineStr">
        <is>
          <t>T04</t>
        </is>
      </c>
      <c r="C658" s="7" t="inlineStr">
        <is>
          <t>PORT:L2</t>
        </is>
      </c>
      <c r="D658" s="7" t="inlineStr">
        <is>
          <t>PORT</t>
        </is>
      </c>
      <c r="E658" s="7" t="inlineStr">
        <is>
          <t>physical</t>
        </is>
      </c>
      <c r="F658" s="7" t="inlineStr">
        <is>
          <t>L2</t>
        </is>
      </c>
      <c r="H658" s="7" t="inlineStr">
        <is>
          <t>taint_tabor</t>
        </is>
      </c>
      <c r="I658" s="7" t="inlineStr">
        <is>
          <t>USEC_MUN</t>
        </is>
      </c>
      <c r="J658" s="7" t="inlineStr">
        <is>
          <t>INR</t>
        </is>
      </c>
      <c r="K658" s="7" t="inlineStr">
        <is>
          <t>fixed_unsettled</t>
        </is>
      </c>
      <c r="L658" s="7" t="inlineStr">
        <is>
          <t>PNL</t>
        </is>
      </c>
      <c r="M658" s="11" t="n">
        <v>44735</v>
      </c>
      <c r="N658" s="13" t="n">
        <v>0</v>
      </c>
      <c r="O658" s="6" t="n">
        <v>0</v>
      </c>
      <c r="P658" s="13" t="n">
        <v>0</v>
      </c>
      <c r="Q658" s="22" t="n">
        <v>31</v>
      </c>
      <c r="R658" s="6" t="n">
        <v>1</v>
      </c>
      <c r="U658" s="9" t="n">
        <v>-1669500</v>
      </c>
      <c r="V658" s="9" t="n">
        <v>-1669500</v>
      </c>
      <c r="X658" s="9" t="n">
        <v>77.4141</v>
      </c>
      <c r="AK658" s="7" t="inlineStr">
        <is>
          <t>PYTHON_LIFECYCLE</t>
        </is>
      </c>
      <c r="AL658" s="8">
        <f>IF($J658="INR",1,IF($M658&lt;$A658,INDEX(Market_Daily!$F$6:$F$256,MATCH($M658,Market_Daily!$A$6:$A$256,1)),IF($M658=$A658,INDEX(Market_Daily!$F$6:$F$256,MATCH($A658,Market_Daily!$A$6:$A$256,0)),(INDEX(Market_Daily!$F$6:$F$256,MATCH($A658,Market_Daily!$A$6:$A$256,0))*(1+INDEX(Market_Daily!$I$6:$I$256,MATCH($A658,Market_Daily!$A$6:$A$256,0))*($M658-$A658)/day_count_inr)/(1+INDEX(Market_Daily!$J$6:$J$256,MATCH($A658,Market_Daily!$A$6:$A$256,0))*($M658-$A658)/day_count_usd)))))</f>
        <v/>
      </c>
      <c r="AM658" s="8">
        <f>IF(OR($J658="INR",$R658&gt;1),"",$AL658-$X658)</f>
        <v/>
      </c>
      <c r="AN658" s="8">
        <f>$U658</f>
        <v/>
      </c>
      <c r="AO658" s="8">
        <f>$AN658*IF($J658="INR",1,$AL658)</f>
        <v/>
      </c>
      <c r="AP658" s="18">
        <f>$AO658-$V658</f>
        <v/>
      </c>
      <c r="AQ658" s="8">
        <f>IF(ABS($AP658)&lt;=tol_trade_inr,"PASS","FAIL")</f>
        <v/>
      </c>
    </row>
    <row r="659">
      <c r="A659" s="11" t="n">
        <v>44690</v>
      </c>
      <c r="B659" s="7" t="inlineStr">
        <is>
          <t>T04</t>
        </is>
      </c>
      <c r="C659" s="7" t="inlineStr">
        <is>
          <t>PURCHASE:L2</t>
        </is>
      </c>
      <c r="D659" s="7" t="inlineStr">
        <is>
          <t>PURCHASE</t>
        </is>
      </c>
      <c r="E659" s="7" t="inlineStr">
        <is>
          <t>physical</t>
        </is>
      </c>
      <c r="F659" s="7" t="inlineStr">
        <is>
          <t>L2</t>
        </is>
      </c>
      <c r="G659" s="7" t="inlineStr">
        <is>
          <t>SUP_USEC_02</t>
        </is>
      </c>
      <c r="H659" s="7" t="inlineStr">
        <is>
          <t>taint_tabor</t>
        </is>
      </c>
      <c r="I659" s="7" t="inlineStr">
        <is>
          <t>USEC_MUN</t>
        </is>
      </c>
      <c r="J659" s="7" t="inlineStr">
        <is>
          <t>USD</t>
        </is>
      </c>
      <c r="K659" s="7" t="inlineStr">
        <is>
          <t>fixed_unsettled</t>
        </is>
      </c>
      <c r="L659" s="7" t="inlineStr">
        <is>
          <t>PNL</t>
        </is>
      </c>
      <c r="M659" s="11" t="n">
        <v>44692</v>
      </c>
      <c r="N659" s="13" t="n">
        <v>630</v>
      </c>
      <c r="O659" s="6" t="n">
        <v>0</v>
      </c>
      <c r="P659" s="13" t="n">
        <v>0</v>
      </c>
      <c r="Q659" s="22" t="n">
        <v>31</v>
      </c>
      <c r="R659" s="6" t="n">
        <v>1</v>
      </c>
      <c r="U659" s="9" t="n">
        <v>-1518300</v>
      </c>
      <c r="V659" s="9" t="n">
        <v>-117562327.85</v>
      </c>
      <c r="X659" s="9" t="n">
        <v>77.4302</v>
      </c>
      <c r="AK659" s="7" t="inlineStr">
        <is>
          <t>PYTHON_LIFECYCLE</t>
        </is>
      </c>
      <c r="AL659" s="8">
        <f>IF($J659="INR",1,IF($M659&lt;$A659,INDEX(Market_Daily!$F$6:$F$256,MATCH($M659,Market_Daily!$A$6:$A$256,1)),IF($M659=$A659,INDEX(Market_Daily!$F$6:$F$256,MATCH($A659,Market_Daily!$A$6:$A$256,0)),(INDEX(Market_Daily!$F$6:$F$256,MATCH($A659,Market_Daily!$A$6:$A$256,0))*(1+INDEX(Market_Daily!$I$6:$I$256,MATCH($A659,Market_Daily!$A$6:$A$256,0))*($M659-$A659)/day_count_inr)/(1+INDEX(Market_Daily!$J$6:$J$256,MATCH($A659,Market_Daily!$A$6:$A$256,0))*($M659-$A659)/day_count_usd)))))</f>
        <v/>
      </c>
      <c r="AM659" s="8">
        <f>IF(OR($J659="INR",$R659&gt;1),"",$AL659-$X659)</f>
        <v/>
      </c>
      <c r="AN659" s="8">
        <f>$U659</f>
        <v/>
      </c>
      <c r="AO659" s="8">
        <f>$AN659*IF($J659="INR",1,$AL659)</f>
        <v/>
      </c>
      <c r="AP659" s="18">
        <f>$AO659-$V659</f>
        <v/>
      </c>
      <c r="AQ659" s="8">
        <f>IF(ABS($AP659)&lt;=tol_trade_inr,"PASS","FAIL")</f>
        <v/>
      </c>
    </row>
    <row r="660">
      <c r="A660" s="11" t="n">
        <v>44690</v>
      </c>
      <c r="B660" s="7" t="inlineStr">
        <is>
          <t>T05</t>
        </is>
      </c>
      <c r="C660" s="7" t="inlineStr">
        <is>
          <t>BILL_COMMISSION:L1</t>
        </is>
      </c>
      <c r="D660" s="7" t="inlineStr">
        <is>
          <t>BILL_COMMISSION</t>
        </is>
      </c>
      <c r="E660" s="7" t="inlineStr">
        <is>
          <t>physical</t>
        </is>
      </c>
      <c r="F660" s="7" t="inlineStr">
        <is>
          <t>L1</t>
        </is>
      </c>
      <c r="H660" s="7" t="inlineStr">
        <is>
          <t>tense</t>
        </is>
      </c>
      <c r="I660" s="7" t="inlineStr">
        <is>
          <t>USEC_MUN</t>
        </is>
      </c>
      <c r="J660" s="7" t="inlineStr">
        <is>
          <t>USD</t>
        </is>
      </c>
      <c r="K660" s="7" t="inlineStr">
        <is>
          <t>floating</t>
        </is>
      </c>
      <c r="L660" s="7" t="inlineStr">
        <is>
          <t>PNL</t>
        </is>
      </c>
      <c r="M660" s="11" t="n">
        <v>44753</v>
      </c>
      <c r="N660" s="13" t="n">
        <v>0</v>
      </c>
      <c r="O660" s="6" t="n">
        <v>0</v>
      </c>
      <c r="P660" s="13" t="n">
        <v>0</v>
      </c>
      <c r="Q660" s="22" t="n">
        <v>31</v>
      </c>
      <c r="R660" s="6" t="n">
        <v>1</v>
      </c>
      <c r="U660" s="9" t="n">
        <v>-2275.9</v>
      </c>
      <c r="V660" s="9" t="n">
        <v>-177341.77</v>
      </c>
      <c r="X660" s="9" t="n">
        <v>77.9216</v>
      </c>
      <c r="AK660" s="7" t="inlineStr">
        <is>
          <t>PYTHON_LIFECYCLE</t>
        </is>
      </c>
      <c r="AL660" s="8">
        <f>IF($J660="INR",1,IF($M660&lt;$A660,INDEX(Market_Daily!$F$6:$F$256,MATCH($M660,Market_Daily!$A$6:$A$256,1)),IF($M660=$A660,INDEX(Market_Daily!$F$6:$F$256,MATCH($A660,Market_Daily!$A$6:$A$256,0)),(INDEX(Market_Daily!$F$6:$F$256,MATCH($A660,Market_Daily!$A$6:$A$256,0))*(1+INDEX(Market_Daily!$I$6:$I$256,MATCH($A660,Market_Daily!$A$6:$A$256,0))*($M660-$A660)/day_count_inr)/(1+INDEX(Market_Daily!$J$6:$J$256,MATCH($A660,Market_Daily!$A$6:$A$256,0))*($M660-$A660)/day_count_usd)))))</f>
        <v/>
      </c>
      <c r="AM660" s="8">
        <f>IF(OR($J660="INR",$R660&gt;1),"",$AL660-$X660)</f>
        <v/>
      </c>
      <c r="AN660" s="8">
        <f>$U660</f>
        <v/>
      </c>
      <c r="AO660" s="8">
        <f>$AN660*IF($J660="INR",1,$AL660)</f>
        <v/>
      </c>
      <c r="AP660" s="18">
        <f>$AO660-$V660</f>
        <v/>
      </c>
      <c r="AQ660" s="8">
        <f>IF(ABS($AP660)&lt;=tol_trade_inr,"PASS","FAIL")</f>
        <v/>
      </c>
    </row>
    <row r="661">
      <c r="A661" s="11" t="n">
        <v>44690</v>
      </c>
      <c r="B661" s="7" t="inlineStr">
        <is>
          <t>T05</t>
        </is>
      </c>
      <c r="C661" s="7" t="inlineStr">
        <is>
          <t>BILL_COMMISSION:L2</t>
        </is>
      </c>
      <c r="D661" s="7" t="inlineStr">
        <is>
          <t>BILL_COMMISSION</t>
        </is>
      </c>
      <c r="E661" s="7" t="inlineStr">
        <is>
          <t>physical</t>
        </is>
      </c>
      <c r="F661" s="7" t="inlineStr">
        <is>
          <t>L2</t>
        </is>
      </c>
      <c r="H661" s="7" t="inlineStr">
        <is>
          <t>tense</t>
        </is>
      </c>
      <c r="I661" s="7" t="inlineStr">
        <is>
          <t>USEC_MUN</t>
        </is>
      </c>
      <c r="J661" s="7" t="inlineStr">
        <is>
          <t>USD</t>
        </is>
      </c>
      <c r="K661" s="7" t="inlineStr">
        <is>
          <t>floating</t>
        </is>
      </c>
      <c r="L661" s="7" t="inlineStr">
        <is>
          <t>PNL</t>
        </is>
      </c>
      <c r="M661" s="11" t="n">
        <v>44760</v>
      </c>
      <c r="N661" s="13" t="n">
        <v>0</v>
      </c>
      <c r="O661" s="6" t="n">
        <v>0</v>
      </c>
      <c r="P661" s="13" t="n">
        <v>0</v>
      </c>
      <c r="Q661" s="22" t="n">
        <v>31</v>
      </c>
      <c r="R661" s="6" t="n">
        <v>1</v>
      </c>
      <c r="U661" s="9" t="n">
        <v>-2278.97</v>
      </c>
      <c r="V661" s="9" t="n">
        <v>-177709.18</v>
      </c>
      <c r="X661" s="9" t="n">
        <v>77.97790000000001</v>
      </c>
      <c r="AK661" s="7" t="inlineStr">
        <is>
          <t>PYTHON_LIFECYCLE</t>
        </is>
      </c>
      <c r="AL661" s="8">
        <f>IF($J661="INR",1,IF($M661&lt;$A661,INDEX(Market_Daily!$F$6:$F$256,MATCH($M661,Market_Daily!$A$6:$A$256,1)),IF($M661=$A661,INDEX(Market_Daily!$F$6:$F$256,MATCH($A661,Market_Daily!$A$6:$A$256,0)),(INDEX(Market_Daily!$F$6:$F$256,MATCH($A661,Market_Daily!$A$6:$A$256,0))*(1+INDEX(Market_Daily!$I$6:$I$256,MATCH($A661,Market_Daily!$A$6:$A$256,0))*($M661-$A661)/day_count_inr)/(1+INDEX(Market_Daily!$J$6:$J$256,MATCH($A661,Market_Daily!$A$6:$A$256,0))*($M661-$A661)/day_count_usd)))))</f>
        <v/>
      </c>
      <c r="AM661" s="8">
        <f>IF(OR($J661="INR",$R661&gt;1),"",$AL661-$X661)</f>
        <v/>
      </c>
      <c r="AN661" s="8">
        <f>$U661</f>
        <v/>
      </c>
      <c r="AO661" s="8">
        <f>$AN661*IF($J661="INR",1,$AL661)</f>
        <v/>
      </c>
      <c r="AP661" s="18">
        <f>$AO661-$V661</f>
        <v/>
      </c>
      <c r="AQ661" s="8">
        <f>IF(ABS($AP661)&lt;=tol_trade_inr,"PASS","FAIL")</f>
        <v/>
      </c>
    </row>
    <row r="662">
      <c r="A662" s="11" t="n">
        <v>44690</v>
      </c>
      <c r="B662" s="7" t="inlineStr">
        <is>
          <t>T05</t>
        </is>
      </c>
      <c r="C662" s="7" t="inlineStr">
        <is>
          <t>DUTY:L1</t>
        </is>
      </c>
      <c r="D662" s="7" t="inlineStr">
        <is>
          <t>DUTY</t>
        </is>
      </c>
      <c r="E662" s="7" t="inlineStr">
        <is>
          <t>physical</t>
        </is>
      </c>
      <c r="F662" s="7" t="inlineStr">
        <is>
          <t>L1</t>
        </is>
      </c>
      <c r="H662" s="7" t="inlineStr">
        <is>
          <t>tense</t>
        </is>
      </c>
      <c r="I662" s="7" t="inlineStr">
        <is>
          <t>USEC_MUN</t>
        </is>
      </c>
      <c r="J662" s="7" t="inlineStr">
        <is>
          <t>INR</t>
        </is>
      </c>
      <c r="K662" s="7" t="inlineStr">
        <is>
          <t>floating</t>
        </is>
      </c>
      <c r="L662" s="7" t="inlineStr">
        <is>
          <t>PNL</t>
        </is>
      </c>
      <c r="M662" s="11" t="n">
        <v>44749</v>
      </c>
      <c r="N662" s="13" t="n">
        <v>1050</v>
      </c>
      <c r="O662" s="6" t="n">
        <v>0</v>
      </c>
      <c r="P662" s="13" t="n">
        <v>0</v>
      </c>
      <c r="Q662" s="22" t="n">
        <v>31</v>
      </c>
      <c r="R662" s="6" t="n">
        <v>2</v>
      </c>
      <c r="U662" s="9" t="n">
        <v>-4261906.22</v>
      </c>
      <c r="V662" s="9" t="n">
        <v>-4261906.22</v>
      </c>
      <c r="X662" s="9" t="n">
        <v>77.4141</v>
      </c>
      <c r="AK662" s="7" t="inlineStr">
        <is>
          <t>PYTHON_MULTI_FLOW_LEG</t>
        </is>
      </c>
      <c r="AL662" s="8">
        <f>IF($J662="INR",1,IF($M662&lt;$A662,INDEX(Market_Daily!$F$6:$F$256,MATCH($M662,Market_Daily!$A$6:$A$256,1)),IF($M662=$A662,INDEX(Market_Daily!$F$6:$F$256,MATCH($A662,Market_Daily!$A$6:$A$256,0)),(INDEX(Market_Daily!$F$6:$F$256,MATCH($A662,Market_Daily!$A$6:$A$256,0))*(1+INDEX(Market_Daily!$I$6:$I$256,MATCH($A662,Market_Daily!$A$6:$A$256,0))*($M662-$A662)/day_count_inr)/(1+INDEX(Market_Daily!$J$6:$J$256,MATCH($A662,Market_Daily!$A$6:$A$256,0))*($M662-$A662)/day_count_usd)))))</f>
        <v/>
      </c>
      <c r="AM662" s="8">
        <f>IF(OR($J662="INR",$R662&gt;1),"",$AL662-$X662)</f>
        <v/>
      </c>
      <c r="AN662" s="8">
        <f>$U662</f>
        <v/>
      </c>
      <c r="AO662" s="8">
        <f>$V662</f>
        <v/>
      </c>
      <c r="AP662" s="18">
        <f>$AO662-$V662</f>
        <v/>
      </c>
      <c r="AQ662" s="8">
        <f>IF(ABS($AP662)&lt;=tol_trade_inr,"PASS","FAIL")</f>
        <v/>
      </c>
    </row>
    <row r="663">
      <c r="A663" s="11" t="n">
        <v>44690</v>
      </c>
      <c r="B663" s="7" t="inlineStr">
        <is>
          <t>T05</t>
        </is>
      </c>
      <c r="C663" s="7" t="inlineStr">
        <is>
          <t>DUTY:L2</t>
        </is>
      </c>
      <c r="D663" s="7" t="inlineStr">
        <is>
          <t>DUTY</t>
        </is>
      </c>
      <c r="E663" s="7" t="inlineStr">
        <is>
          <t>physical</t>
        </is>
      </c>
      <c r="F663" s="7" t="inlineStr">
        <is>
          <t>L2</t>
        </is>
      </c>
      <c r="H663" s="7" t="inlineStr">
        <is>
          <t>tense</t>
        </is>
      </c>
      <c r="I663" s="7" t="inlineStr">
        <is>
          <t>USEC_MUN</t>
        </is>
      </c>
      <c r="J663" s="7" t="inlineStr">
        <is>
          <t>INR</t>
        </is>
      </c>
      <c r="K663" s="7" t="inlineStr">
        <is>
          <t>floating</t>
        </is>
      </c>
      <c r="L663" s="7" t="inlineStr">
        <is>
          <t>PNL</t>
        </is>
      </c>
      <c r="M663" s="11" t="n">
        <v>44749</v>
      </c>
      <c r="N663" s="13" t="n">
        <v>1050</v>
      </c>
      <c r="O663" s="6" t="n">
        <v>0</v>
      </c>
      <c r="P663" s="13" t="n">
        <v>0</v>
      </c>
      <c r="Q663" s="22" t="n">
        <v>31</v>
      </c>
      <c r="R663" s="6" t="n">
        <v>2</v>
      </c>
      <c r="U663" s="9" t="n">
        <v>-4261906.22</v>
      </c>
      <c r="V663" s="9" t="n">
        <v>-4261906.22</v>
      </c>
      <c r="X663" s="9" t="n">
        <v>77.4141</v>
      </c>
      <c r="AK663" s="7" t="inlineStr">
        <is>
          <t>PYTHON_MULTI_FLOW_LEG</t>
        </is>
      </c>
      <c r="AL663" s="8">
        <f>IF($J663="INR",1,IF($M663&lt;$A663,INDEX(Market_Daily!$F$6:$F$256,MATCH($M663,Market_Daily!$A$6:$A$256,1)),IF($M663=$A663,INDEX(Market_Daily!$F$6:$F$256,MATCH($A663,Market_Daily!$A$6:$A$256,0)),(INDEX(Market_Daily!$F$6:$F$256,MATCH($A663,Market_Daily!$A$6:$A$256,0))*(1+INDEX(Market_Daily!$I$6:$I$256,MATCH($A663,Market_Daily!$A$6:$A$256,0))*($M663-$A663)/day_count_inr)/(1+INDEX(Market_Daily!$J$6:$J$256,MATCH($A663,Market_Daily!$A$6:$A$256,0))*($M663-$A663)/day_count_usd)))))</f>
        <v/>
      </c>
      <c r="AM663" s="8">
        <f>IF(OR($J663="INR",$R663&gt;1),"",$AL663-$X663)</f>
        <v/>
      </c>
      <c r="AN663" s="8">
        <f>$U663</f>
        <v/>
      </c>
      <c r="AO663" s="8">
        <f>$V663</f>
        <v/>
      </c>
      <c r="AP663" s="18">
        <f>$AO663-$V663</f>
        <v/>
      </c>
      <c r="AQ663" s="8">
        <f>IF(ABS($AP663)&lt;=tol_trade_inr,"PASS","FAIL")</f>
        <v/>
      </c>
    </row>
    <row r="664">
      <c r="A664" s="11" t="n">
        <v>44690</v>
      </c>
      <c r="B664" s="7" t="inlineStr">
        <is>
          <t>T05</t>
        </is>
      </c>
      <c r="C664" s="7" t="inlineStr">
        <is>
          <t>IGST:L1</t>
        </is>
      </c>
      <c r="D664" s="7" t="inlineStr">
        <is>
          <t>IGST</t>
        </is>
      </c>
      <c r="E664" s="7" t="inlineStr">
        <is>
          <t>physical</t>
        </is>
      </c>
      <c r="F664" s="7" t="inlineStr">
        <is>
          <t>L1</t>
        </is>
      </c>
      <c r="H664" s="7" t="inlineStr">
        <is>
          <t>tense</t>
        </is>
      </c>
      <c r="I664" s="7" t="inlineStr">
        <is>
          <t>USEC_MUN</t>
        </is>
      </c>
      <c r="J664" s="7" t="inlineStr">
        <is>
          <t>INR</t>
        </is>
      </c>
      <c r="K664" s="7" t="inlineStr">
        <is>
          <t>floating</t>
        </is>
      </c>
      <c r="L664" s="7" t="inlineStr">
        <is>
          <t>BS</t>
        </is>
      </c>
      <c r="M664" s="11" t="n">
        <v>44777</v>
      </c>
      <c r="N664" s="13" t="n">
        <v>0</v>
      </c>
      <c r="O664" s="6" t="n">
        <v>0</v>
      </c>
      <c r="P664" s="13" t="n">
        <v>0</v>
      </c>
      <c r="Q664" s="22" t="n">
        <v>31</v>
      </c>
      <c r="R664" s="6" t="n">
        <v>2</v>
      </c>
      <c r="U664" s="9" t="n">
        <v>0</v>
      </c>
      <c r="V664" s="9" t="n">
        <v>0</v>
      </c>
      <c r="X664" s="9" t="n">
        <v>77.4141</v>
      </c>
      <c r="AK664" s="7" t="inlineStr">
        <is>
          <t>PYTHON_MULTI_FLOW_LEG</t>
        </is>
      </c>
      <c r="AL664" s="8">
        <f>IF($J664="INR",1,IF($M664&lt;$A664,INDEX(Market_Daily!$F$6:$F$256,MATCH($M664,Market_Daily!$A$6:$A$256,1)),IF($M664=$A664,INDEX(Market_Daily!$F$6:$F$256,MATCH($A664,Market_Daily!$A$6:$A$256,0)),(INDEX(Market_Daily!$F$6:$F$256,MATCH($A664,Market_Daily!$A$6:$A$256,0))*(1+INDEX(Market_Daily!$I$6:$I$256,MATCH($A664,Market_Daily!$A$6:$A$256,0))*($M664-$A664)/day_count_inr)/(1+INDEX(Market_Daily!$J$6:$J$256,MATCH($A664,Market_Daily!$A$6:$A$256,0))*($M664-$A664)/day_count_usd)))))</f>
        <v/>
      </c>
      <c r="AM664" s="8">
        <f>IF(OR($J664="INR",$R664&gt;1),"",$AL664-$X664)</f>
        <v/>
      </c>
      <c r="AN664" s="8">
        <f>$U664</f>
        <v/>
      </c>
      <c r="AO664" s="8">
        <f>$V664</f>
        <v/>
      </c>
      <c r="AP664" s="18">
        <f>$AO664-$V664</f>
        <v/>
      </c>
      <c r="AQ664" s="8">
        <f>IF(ABS($AP664)&lt;=tol_trade_inr,"PASS","FAIL")</f>
        <v/>
      </c>
    </row>
    <row r="665">
      <c r="A665" s="11" t="n">
        <v>44690</v>
      </c>
      <c r="B665" s="7" t="inlineStr">
        <is>
          <t>T05</t>
        </is>
      </c>
      <c r="C665" s="7" t="inlineStr">
        <is>
          <t>IGST:L2</t>
        </is>
      </c>
      <c r="D665" s="7" t="inlineStr">
        <is>
          <t>IGST</t>
        </is>
      </c>
      <c r="E665" s="7" t="inlineStr">
        <is>
          <t>physical</t>
        </is>
      </c>
      <c r="F665" s="7" t="inlineStr">
        <is>
          <t>L2</t>
        </is>
      </c>
      <c r="H665" s="7" t="inlineStr">
        <is>
          <t>tense</t>
        </is>
      </c>
      <c r="I665" s="7" t="inlineStr">
        <is>
          <t>USEC_MUN</t>
        </is>
      </c>
      <c r="J665" s="7" t="inlineStr">
        <is>
          <t>INR</t>
        </is>
      </c>
      <c r="K665" s="7" t="inlineStr">
        <is>
          <t>floating</t>
        </is>
      </c>
      <c r="L665" s="7" t="inlineStr">
        <is>
          <t>BS</t>
        </is>
      </c>
      <c r="M665" s="11" t="n">
        <v>44785</v>
      </c>
      <c r="N665" s="13" t="n">
        <v>0</v>
      </c>
      <c r="O665" s="6" t="n">
        <v>0</v>
      </c>
      <c r="P665" s="13" t="n">
        <v>0</v>
      </c>
      <c r="Q665" s="22" t="n">
        <v>31</v>
      </c>
      <c r="R665" s="6" t="n">
        <v>2</v>
      </c>
      <c r="U665" s="9" t="n">
        <v>0</v>
      </c>
      <c r="V665" s="9" t="n">
        <v>0</v>
      </c>
      <c r="X665" s="9" t="n">
        <v>77.4141</v>
      </c>
      <c r="AK665" s="7" t="inlineStr">
        <is>
          <t>PYTHON_MULTI_FLOW_LEG</t>
        </is>
      </c>
      <c r="AL665" s="8">
        <f>IF($J665="INR",1,IF($M665&lt;$A665,INDEX(Market_Daily!$F$6:$F$256,MATCH($M665,Market_Daily!$A$6:$A$256,1)),IF($M665=$A665,INDEX(Market_Daily!$F$6:$F$256,MATCH($A665,Market_Daily!$A$6:$A$256,0)),(INDEX(Market_Daily!$F$6:$F$256,MATCH($A665,Market_Daily!$A$6:$A$256,0))*(1+INDEX(Market_Daily!$I$6:$I$256,MATCH($A665,Market_Daily!$A$6:$A$256,0))*($M665-$A665)/day_count_inr)/(1+INDEX(Market_Daily!$J$6:$J$256,MATCH($A665,Market_Daily!$A$6:$A$256,0))*($M665-$A665)/day_count_usd)))))</f>
        <v/>
      </c>
      <c r="AM665" s="8">
        <f>IF(OR($J665="INR",$R665&gt;1),"",$AL665-$X665)</f>
        <v/>
      </c>
      <c r="AN665" s="8">
        <f>$U665</f>
        <v/>
      </c>
      <c r="AO665" s="8">
        <f>$V665</f>
        <v/>
      </c>
      <c r="AP665" s="18">
        <f>$AO665-$V665</f>
        <v/>
      </c>
      <c r="AQ665" s="8">
        <f>IF(ABS($AP665)&lt;=tol_trade_inr,"PASS","FAIL")</f>
        <v/>
      </c>
    </row>
    <row r="666">
      <c r="A666" s="11" t="n">
        <v>44690</v>
      </c>
      <c r="B666" s="7" t="inlineStr">
        <is>
          <t>T05</t>
        </is>
      </c>
      <c r="C666" s="7" t="inlineStr">
        <is>
          <t>INSURANCE:L1</t>
        </is>
      </c>
      <c r="D666" s="7" t="inlineStr">
        <is>
          <t>INSURANCE</t>
        </is>
      </c>
      <c r="E666" s="7" t="inlineStr">
        <is>
          <t>physical</t>
        </is>
      </c>
      <c r="F666" s="7" t="inlineStr">
        <is>
          <t>L1</t>
        </is>
      </c>
      <c r="H666" s="7" t="inlineStr">
        <is>
          <t>tense</t>
        </is>
      </c>
      <c r="I666" s="7" t="inlineStr">
        <is>
          <t>USEC_MUN</t>
        </is>
      </c>
      <c r="J666" s="7" t="inlineStr">
        <is>
          <t>USD</t>
        </is>
      </c>
      <c r="K666" s="7" t="inlineStr">
        <is>
          <t>floating</t>
        </is>
      </c>
      <c r="L666" s="7" t="inlineStr">
        <is>
          <t>PNL</t>
        </is>
      </c>
      <c r="M666" s="11" t="n">
        <v>44691</v>
      </c>
      <c r="N666" s="13" t="n">
        <v>1050</v>
      </c>
      <c r="O666" s="6" t="n">
        <v>0</v>
      </c>
      <c r="P666" s="13" t="n">
        <v>0</v>
      </c>
      <c r="Q666" s="22" t="n">
        <v>31</v>
      </c>
      <c r="R666" s="6" t="n">
        <v>1</v>
      </c>
      <c r="U666" s="9" t="n">
        <v>-2196.04</v>
      </c>
      <c r="V666" s="9" t="n">
        <v>-170022.46</v>
      </c>
      <c r="X666" s="9" t="n">
        <v>77.4222</v>
      </c>
      <c r="AK666" s="7" t="inlineStr">
        <is>
          <t>PYTHON_LIFECYCLE</t>
        </is>
      </c>
      <c r="AL666" s="8">
        <f>IF($J666="INR",1,IF($M666&lt;$A666,INDEX(Market_Daily!$F$6:$F$256,MATCH($M666,Market_Daily!$A$6:$A$256,1)),IF($M666=$A666,INDEX(Market_Daily!$F$6:$F$256,MATCH($A666,Market_Daily!$A$6:$A$256,0)),(INDEX(Market_Daily!$F$6:$F$256,MATCH($A666,Market_Daily!$A$6:$A$256,0))*(1+INDEX(Market_Daily!$I$6:$I$256,MATCH($A666,Market_Daily!$A$6:$A$256,0))*($M666-$A666)/day_count_inr)/(1+INDEX(Market_Daily!$J$6:$J$256,MATCH($A666,Market_Daily!$A$6:$A$256,0))*($M666-$A666)/day_count_usd)))))</f>
        <v/>
      </c>
      <c r="AM666" s="8">
        <f>IF(OR($J666="INR",$R666&gt;1),"",$AL666-$X666)</f>
        <v/>
      </c>
      <c r="AN666" s="8">
        <f>$U666</f>
        <v/>
      </c>
      <c r="AO666" s="8">
        <f>$AN666*IF($J666="INR",1,$AL666)</f>
        <v/>
      </c>
      <c r="AP666" s="18">
        <f>$AO666-$V666</f>
        <v/>
      </c>
      <c r="AQ666" s="8">
        <f>IF(ABS($AP666)&lt;=tol_trade_inr,"PASS","FAIL")</f>
        <v/>
      </c>
    </row>
    <row r="667">
      <c r="A667" s="11" t="n">
        <v>44690</v>
      </c>
      <c r="B667" s="7" t="inlineStr">
        <is>
          <t>T05</t>
        </is>
      </c>
      <c r="C667" s="7" t="inlineStr">
        <is>
          <t>INSURANCE:L2</t>
        </is>
      </c>
      <c r="D667" s="7" t="inlineStr">
        <is>
          <t>INSURANCE</t>
        </is>
      </c>
      <c r="E667" s="7" t="inlineStr">
        <is>
          <t>physical</t>
        </is>
      </c>
      <c r="F667" s="7" t="inlineStr">
        <is>
          <t>L2</t>
        </is>
      </c>
      <c r="H667" s="7" t="inlineStr">
        <is>
          <t>tense</t>
        </is>
      </c>
      <c r="I667" s="7" t="inlineStr">
        <is>
          <t>USEC_MUN</t>
        </is>
      </c>
      <c r="J667" s="7" t="inlineStr">
        <is>
          <t>USD</t>
        </is>
      </c>
      <c r="K667" s="7" t="inlineStr">
        <is>
          <t>floating</t>
        </is>
      </c>
      <c r="L667" s="7" t="inlineStr">
        <is>
          <t>PNL</t>
        </is>
      </c>
      <c r="M667" s="11" t="n">
        <v>44699</v>
      </c>
      <c r="N667" s="13" t="n">
        <v>1050</v>
      </c>
      <c r="O667" s="6" t="n">
        <v>0</v>
      </c>
      <c r="P667" s="13" t="n">
        <v>0</v>
      </c>
      <c r="Q667" s="22" t="n">
        <v>31</v>
      </c>
      <c r="R667" s="6" t="n">
        <v>1</v>
      </c>
      <c r="U667" s="9" t="n">
        <v>-2199</v>
      </c>
      <c r="V667" s="9" t="n">
        <v>-170393.63</v>
      </c>
      <c r="X667" s="9" t="n">
        <v>77.4867</v>
      </c>
      <c r="AK667" s="7" t="inlineStr">
        <is>
          <t>PYTHON_LIFECYCLE</t>
        </is>
      </c>
      <c r="AL667" s="8">
        <f>IF($J667="INR",1,IF($M667&lt;$A667,INDEX(Market_Daily!$F$6:$F$256,MATCH($M667,Market_Daily!$A$6:$A$256,1)),IF($M667=$A667,INDEX(Market_Daily!$F$6:$F$256,MATCH($A667,Market_Daily!$A$6:$A$256,0)),(INDEX(Market_Daily!$F$6:$F$256,MATCH($A667,Market_Daily!$A$6:$A$256,0))*(1+INDEX(Market_Daily!$I$6:$I$256,MATCH($A667,Market_Daily!$A$6:$A$256,0))*($M667-$A667)/day_count_inr)/(1+INDEX(Market_Daily!$J$6:$J$256,MATCH($A667,Market_Daily!$A$6:$A$256,0))*($M667-$A667)/day_count_usd)))))</f>
        <v/>
      </c>
      <c r="AM667" s="8">
        <f>IF(OR($J667="INR",$R667&gt;1),"",$AL667-$X667)</f>
        <v/>
      </c>
      <c r="AN667" s="8">
        <f>$U667</f>
        <v/>
      </c>
      <c r="AO667" s="8">
        <f>$AN667*IF($J667="INR",1,$AL667)</f>
        <v/>
      </c>
      <c r="AP667" s="18">
        <f>$AO667-$V667</f>
        <v/>
      </c>
      <c r="AQ667" s="8">
        <f>IF(ABS($AP667)&lt;=tol_trade_inr,"PASS","FAIL")</f>
        <v/>
      </c>
    </row>
    <row r="668">
      <c r="A668" s="11" t="n">
        <v>44690</v>
      </c>
      <c r="B668" s="7" t="inlineStr">
        <is>
          <t>T05</t>
        </is>
      </c>
      <c r="C668" s="7" t="inlineStr">
        <is>
          <t>LC_USANCE_FEE:L1</t>
        </is>
      </c>
      <c r="D668" s="7" t="inlineStr">
        <is>
          <t>LC_USANCE_FEE</t>
        </is>
      </c>
      <c r="E668" s="7" t="inlineStr">
        <is>
          <t>physical</t>
        </is>
      </c>
      <c r="F668" s="7" t="inlineStr">
        <is>
          <t>L1</t>
        </is>
      </c>
      <c r="H668" s="7" t="inlineStr">
        <is>
          <t>tense</t>
        </is>
      </c>
      <c r="I668" s="7" t="inlineStr">
        <is>
          <t>USEC_MUN</t>
        </is>
      </c>
      <c r="J668" s="7" t="inlineStr">
        <is>
          <t>USD</t>
        </is>
      </c>
      <c r="K668" s="7" t="inlineStr">
        <is>
          <t>floating</t>
        </is>
      </c>
      <c r="L668" s="7" t="inlineStr">
        <is>
          <t>PNL</t>
        </is>
      </c>
      <c r="M668" s="11" t="n">
        <v>44698</v>
      </c>
      <c r="N668" s="13" t="n">
        <v>0</v>
      </c>
      <c r="O668" s="6" t="n">
        <v>0</v>
      </c>
      <c r="P668" s="13" t="n">
        <v>0</v>
      </c>
      <c r="Q668" s="22" t="n">
        <v>31</v>
      </c>
      <c r="R668" s="6" t="n">
        <v>1</v>
      </c>
      <c r="U668" s="9" t="n">
        <v>-2655.22</v>
      </c>
      <c r="V668" s="9" t="n">
        <v>-205722.54</v>
      </c>
      <c r="X668" s="9" t="n">
        <v>77.4786</v>
      </c>
      <c r="AK668" s="7" t="inlineStr">
        <is>
          <t>PYTHON_LIFECYCLE</t>
        </is>
      </c>
      <c r="AL668" s="8">
        <f>IF($J668="INR",1,IF($M668&lt;$A668,INDEX(Market_Daily!$F$6:$F$256,MATCH($M668,Market_Daily!$A$6:$A$256,1)),IF($M668=$A668,INDEX(Market_Daily!$F$6:$F$256,MATCH($A668,Market_Daily!$A$6:$A$256,0)),(INDEX(Market_Daily!$F$6:$F$256,MATCH($A668,Market_Daily!$A$6:$A$256,0))*(1+INDEX(Market_Daily!$I$6:$I$256,MATCH($A668,Market_Daily!$A$6:$A$256,0))*($M668-$A668)/day_count_inr)/(1+INDEX(Market_Daily!$J$6:$J$256,MATCH($A668,Market_Daily!$A$6:$A$256,0))*($M668-$A668)/day_count_usd)))))</f>
        <v/>
      </c>
      <c r="AM668" s="8">
        <f>IF(OR($J668="INR",$R668&gt;1),"",$AL668-$X668)</f>
        <v/>
      </c>
      <c r="AN668" s="8">
        <f>$U668</f>
        <v/>
      </c>
      <c r="AO668" s="8">
        <f>$AN668*IF($J668="INR",1,$AL668)</f>
        <v/>
      </c>
      <c r="AP668" s="18">
        <f>$AO668-$V668</f>
        <v/>
      </c>
      <c r="AQ668" s="8">
        <f>IF(ABS($AP668)&lt;=tol_trade_inr,"PASS","FAIL")</f>
        <v/>
      </c>
    </row>
    <row r="669">
      <c r="A669" s="11" t="n">
        <v>44690</v>
      </c>
      <c r="B669" s="7" t="inlineStr">
        <is>
          <t>T05</t>
        </is>
      </c>
      <c r="C669" s="7" t="inlineStr">
        <is>
          <t>LC_USANCE_FEE:L2</t>
        </is>
      </c>
      <c r="D669" s="7" t="inlineStr">
        <is>
          <t>LC_USANCE_FEE</t>
        </is>
      </c>
      <c r="E669" s="7" t="inlineStr">
        <is>
          <t>physical</t>
        </is>
      </c>
      <c r="F669" s="7" t="inlineStr">
        <is>
          <t>L2</t>
        </is>
      </c>
      <c r="H669" s="7" t="inlineStr">
        <is>
          <t>tense</t>
        </is>
      </c>
      <c r="I669" s="7" t="inlineStr">
        <is>
          <t>USEC_MUN</t>
        </is>
      </c>
      <c r="J669" s="7" t="inlineStr">
        <is>
          <t>USD</t>
        </is>
      </c>
      <c r="K669" s="7" t="inlineStr">
        <is>
          <t>floating</t>
        </is>
      </c>
      <c r="L669" s="7" t="inlineStr">
        <is>
          <t>PNL</t>
        </is>
      </c>
      <c r="M669" s="11" t="n">
        <v>44706</v>
      </c>
      <c r="N669" s="13" t="n">
        <v>0</v>
      </c>
      <c r="O669" s="6" t="n">
        <v>0</v>
      </c>
      <c r="P669" s="13" t="n">
        <v>0</v>
      </c>
      <c r="Q669" s="22" t="n">
        <v>31</v>
      </c>
      <c r="R669" s="6" t="n">
        <v>1</v>
      </c>
      <c r="U669" s="9" t="n">
        <v>-2658.8</v>
      </c>
      <c r="V669" s="9" t="n">
        <v>-206171.46</v>
      </c>
      <c r="X669" s="9" t="n">
        <v>77.5431</v>
      </c>
      <c r="AK669" s="7" t="inlineStr">
        <is>
          <t>PYTHON_LIFECYCLE</t>
        </is>
      </c>
      <c r="AL669" s="8">
        <f>IF($J669="INR",1,IF($M669&lt;$A669,INDEX(Market_Daily!$F$6:$F$256,MATCH($M669,Market_Daily!$A$6:$A$256,1)),IF($M669=$A669,INDEX(Market_Daily!$F$6:$F$256,MATCH($A669,Market_Daily!$A$6:$A$256,0)),(INDEX(Market_Daily!$F$6:$F$256,MATCH($A669,Market_Daily!$A$6:$A$256,0))*(1+INDEX(Market_Daily!$I$6:$I$256,MATCH($A669,Market_Daily!$A$6:$A$256,0))*($M669-$A669)/day_count_inr)/(1+INDEX(Market_Daily!$J$6:$J$256,MATCH($A669,Market_Daily!$A$6:$A$256,0))*($M669-$A669)/day_count_usd)))))</f>
        <v/>
      </c>
      <c r="AM669" s="8">
        <f>IF(OR($J669="INR",$R669&gt;1),"",$AL669-$X669)</f>
        <v/>
      </c>
      <c r="AN669" s="8">
        <f>$U669</f>
        <v/>
      </c>
      <c r="AO669" s="8">
        <f>$AN669*IF($J669="INR",1,$AL669)</f>
        <v/>
      </c>
      <c r="AP669" s="18">
        <f>$AO669-$V669</f>
        <v/>
      </c>
      <c r="AQ669" s="8">
        <f>IF(ABS($AP669)&lt;=tol_trade_inr,"PASS","FAIL")</f>
        <v/>
      </c>
    </row>
    <row r="670">
      <c r="A670" s="11" t="n">
        <v>44690</v>
      </c>
      <c r="B670" s="7" t="inlineStr">
        <is>
          <t>T05</t>
        </is>
      </c>
      <c r="C670" s="7" t="inlineStr">
        <is>
          <t>MCX:T05-MCX-1</t>
        </is>
      </c>
      <c r="D670" s="7" t="inlineStr">
        <is>
          <t>MCX</t>
        </is>
      </c>
      <c r="E670" s="7" t="inlineStr">
        <is>
          <t>mcx</t>
        </is>
      </c>
      <c r="H670" s="7" t="inlineStr">
        <is>
          <t>tense</t>
        </is>
      </c>
      <c r="I670" s="7" t="inlineStr">
        <is>
          <t>USEC_MUN</t>
        </is>
      </c>
      <c r="J670" s="7" t="inlineStr">
        <is>
          <t>INR</t>
        </is>
      </c>
      <c r="K670" s="7" t="inlineStr">
        <is>
          <t>partially_fixed</t>
        </is>
      </c>
      <c r="L670" s="7" t="inlineStr">
        <is>
          <t>PNL</t>
        </is>
      </c>
      <c r="M670" s="11" t="n">
        <v>44701</v>
      </c>
      <c r="N670" s="13" t="n">
        <v>0</v>
      </c>
      <c r="O670" s="6" t="n">
        <v>-105</v>
      </c>
      <c r="P670" s="13" t="n">
        <v>0</v>
      </c>
      <c r="Q670" s="22" t="n">
        <v>31</v>
      </c>
      <c r="R670" s="6" t="n">
        <v>21</v>
      </c>
      <c r="U670" s="9" t="n">
        <v>0</v>
      </c>
      <c r="V670" s="9" t="n">
        <v>0</v>
      </c>
      <c r="X670" s="9" t="n">
        <v>77.4141</v>
      </c>
      <c r="AK670" s="7" t="inlineStr">
        <is>
          <t>PYTHON_MULTI_FLOW_LEG</t>
        </is>
      </c>
      <c r="AL670" s="8">
        <f>IF($J670="INR",1,IF($M670&lt;$A670,INDEX(Market_Daily!$F$6:$F$256,MATCH($M670,Market_Daily!$A$6:$A$256,1)),IF($M670=$A670,INDEX(Market_Daily!$F$6:$F$256,MATCH($A670,Market_Daily!$A$6:$A$256,0)),(INDEX(Market_Daily!$F$6:$F$256,MATCH($A670,Market_Daily!$A$6:$A$256,0))*(1+INDEX(Market_Daily!$I$6:$I$256,MATCH($A670,Market_Daily!$A$6:$A$256,0))*($M670-$A670)/day_count_inr)/(1+INDEX(Market_Daily!$J$6:$J$256,MATCH($A670,Market_Daily!$A$6:$A$256,0))*($M670-$A670)/day_count_usd)))))</f>
        <v/>
      </c>
      <c r="AM670" s="8">
        <f>IF(OR($J670="INR",$R670&gt;1),"",$AL670-$X670)</f>
        <v/>
      </c>
      <c r="AN670" s="8">
        <f>$U670</f>
        <v/>
      </c>
      <c r="AO670" s="8">
        <f>$V670</f>
        <v/>
      </c>
      <c r="AP670" s="18">
        <f>$AO670-$V670</f>
        <v/>
      </c>
      <c r="AQ670" s="8">
        <f>IF(ABS($AP670)&lt;=tol_trade_inr,"PASS","FAIL")</f>
        <v/>
      </c>
    </row>
    <row r="671">
      <c r="A671" s="11" t="n">
        <v>44690</v>
      </c>
      <c r="B671" s="7" t="inlineStr">
        <is>
          <t>T05</t>
        </is>
      </c>
      <c r="C671" s="7" t="inlineStr">
        <is>
          <t>PORT:L1</t>
        </is>
      </c>
      <c r="D671" s="7" t="inlineStr">
        <is>
          <t>PORT</t>
        </is>
      </c>
      <c r="E671" s="7" t="inlineStr">
        <is>
          <t>physical</t>
        </is>
      </c>
      <c r="F671" s="7" t="inlineStr">
        <is>
          <t>L1</t>
        </is>
      </c>
      <c r="H671" s="7" t="inlineStr">
        <is>
          <t>tense</t>
        </is>
      </c>
      <c r="I671" s="7" t="inlineStr">
        <is>
          <t>USEC_MUN</t>
        </is>
      </c>
      <c r="J671" s="7" t="inlineStr">
        <is>
          <t>INR</t>
        </is>
      </c>
      <c r="K671" s="7" t="inlineStr">
        <is>
          <t>fixed_unsettled</t>
        </is>
      </c>
      <c r="L671" s="7" t="inlineStr">
        <is>
          <t>PNL</t>
        </is>
      </c>
      <c r="M671" s="11" t="n">
        <v>44741</v>
      </c>
      <c r="N671" s="13" t="n">
        <v>0</v>
      </c>
      <c r="O671" s="6" t="n">
        <v>0</v>
      </c>
      <c r="P671" s="13" t="n">
        <v>0</v>
      </c>
      <c r="Q671" s="22" t="n">
        <v>31</v>
      </c>
      <c r="R671" s="6" t="n">
        <v>1</v>
      </c>
      <c r="U671" s="9" t="n">
        <v>-2782500</v>
      </c>
      <c r="V671" s="9" t="n">
        <v>-2782500</v>
      </c>
      <c r="X671" s="9" t="n">
        <v>77.4141</v>
      </c>
      <c r="AK671" s="7" t="inlineStr">
        <is>
          <t>PYTHON_LIFECYCLE</t>
        </is>
      </c>
      <c r="AL671" s="8">
        <f>IF($J671="INR",1,IF($M671&lt;$A671,INDEX(Market_Daily!$F$6:$F$256,MATCH($M671,Market_Daily!$A$6:$A$256,1)),IF($M671=$A671,INDEX(Market_Daily!$F$6:$F$256,MATCH($A671,Market_Daily!$A$6:$A$256,0)),(INDEX(Market_Daily!$F$6:$F$256,MATCH($A671,Market_Daily!$A$6:$A$256,0))*(1+INDEX(Market_Daily!$I$6:$I$256,MATCH($A671,Market_Daily!$A$6:$A$256,0))*($M671-$A671)/day_count_inr)/(1+INDEX(Market_Daily!$J$6:$J$256,MATCH($A671,Market_Daily!$A$6:$A$256,0))*($M671-$A671)/day_count_usd)))))</f>
        <v/>
      </c>
      <c r="AM671" s="8">
        <f>IF(OR($J671="INR",$R671&gt;1),"",$AL671-$X671)</f>
        <v/>
      </c>
      <c r="AN671" s="8">
        <f>$U671</f>
        <v/>
      </c>
      <c r="AO671" s="8">
        <f>$AN671*IF($J671="INR",1,$AL671)</f>
        <v/>
      </c>
      <c r="AP671" s="18">
        <f>$AO671-$V671</f>
        <v/>
      </c>
      <c r="AQ671" s="8">
        <f>IF(ABS($AP671)&lt;=tol_trade_inr,"PASS","FAIL")</f>
        <v/>
      </c>
    </row>
    <row r="672">
      <c r="A672" s="11" t="n">
        <v>44690</v>
      </c>
      <c r="B672" s="7" t="inlineStr">
        <is>
          <t>T05</t>
        </is>
      </c>
      <c r="C672" s="7" t="inlineStr">
        <is>
          <t>PORT:L2</t>
        </is>
      </c>
      <c r="D672" s="7" t="inlineStr">
        <is>
          <t>PORT</t>
        </is>
      </c>
      <c r="E672" s="7" t="inlineStr">
        <is>
          <t>physical</t>
        </is>
      </c>
      <c r="F672" s="7" t="inlineStr">
        <is>
          <t>L2</t>
        </is>
      </c>
      <c r="H672" s="7" t="inlineStr">
        <is>
          <t>tense</t>
        </is>
      </c>
      <c r="I672" s="7" t="inlineStr">
        <is>
          <t>USEC_MUN</t>
        </is>
      </c>
      <c r="J672" s="7" t="inlineStr">
        <is>
          <t>INR</t>
        </is>
      </c>
      <c r="K672" s="7" t="inlineStr">
        <is>
          <t>fixed_unsettled</t>
        </is>
      </c>
      <c r="L672" s="7" t="inlineStr">
        <is>
          <t>PNL</t>
        </is>
      </c>
      <c r="M672" s="11" t="n">
        <v>44749</v>
      </c>
      <c r="N672" s="13" t="n">
        <v>0</v>
      </c>
      <c r="O672" s="6" t="n">
        <v>0</v>
      </c>
      <c r="P672" s="13" t="n">
        <v>0</v>
      </c>
      <c r="Q672" s="22" t="n">
        <v>31</v>
      </c>
      <c r="R672" s="6" t="n">
        <v>1</v>
      </c>
      <c r="U672" s="9" t="n">
        <v>-2782500</v>
      </c>
      <c r="V672" s="9" t="n">
        <v>-2782500</v>
      </c>
      <c r="X672" s="9" t="n">
        <v>77.4141</v>
      </c>
      <c r="AK672" s="7" t="inlineStr">
        <is>
          <t>PYTHON_LIFECYCLE</t>
        </is>
      </c>
      <c r="AL672" s="8">
        <f>IF($J672="INR",1,IF($M672&lt;$A672,INDEX(Market_Daily!$F$6:$F$256,MATCH($M672,Market_Daily!$A$6:$A$256,1)),IF($M672=$A672,INDEX(Market_Daily!$F$6:$F$256,MATCH($A672,Market_Daily!$A$6:$A$256,0)),(INDEX(Market_Daily!$F$6:$F$256,MATCH($A672,Market_Daily!$A$6:$A$256,0))*(1+INDEX(Market_Daily!$I$6:$I$256,MATCH($A672,Market_Daily!$A$6:$A$256,0))*($M672-$A672)/day_count_inr)/(1+INDEX(Market_Daily!$J$6:$J$256,MATCH($A672,Market_Daily!$A$6:$A$256,0))*($M672-$A672)/day_count_usd)))))</f>
        <v/>
      </c>
      <c r="AM672" s="8">
        <f>IF(OR($J672="INR",$R672&gt;1),"",$AL672-$X672)</f>
        <v/>
      </c>
      <c r="AN672" s="8">
        <f>$U672</f>
        <v/>
      </c>
      <c r="AO672" s="8">
        <f>$AN672*IF($J672="INR",1,$AL672)</f>
        <v/>
      </c>
      <c r="AP672" s="18">
        <f>$AO672-$V672</f>
        <v/>
      </c>
      <c r="AQ672" s="8">
        <f>IF(ABS($AP672)&lt;=tol_trade_inr,"PASS","FAIL")</f>
        <v/>
      </c>
    </row>
    <row r="673">
      <c r="A673" s="11" t="n">
        <v>44690</v>
      </c>
      <c r="B673" s="7" t="inlineStr">
        <is>
          <t>T05</t>
        </is>
      </c>
      <c r="C673" s="7" t="inlineStr">
        <is>
          <t>PURCHASE:L1</t>
        </is>
      </c>
      <c r="D673" s="7" t="inlineStr">
        <is>
          <t>PURCHASE</t>
        </is>
      </c>
      <c r="E673" s="7" t="inlineStr">
        <is>
          <t>physical</t>
        </is>
      </c>
      <c r="F673" s="7" t="inlineStr">
        <is>
          <t>L1</t>
        </is>
      </c>
      <c r="G673" s="7" t="inlineStr">
        <is>
          <t>SUP_USEC_01</t>
        </is>
      </c>
      <c r="H673" s="7" t="inlineStr">
        <is>
          <t>tense</t>
        </is>
      </c>
      <c r="I673" s="7" t="inlineStr">
        <is>
          <t>USEC_MUN</t>
        </is>
      </c>
      <c r="J673" s="7" t="inlineStr">
        <is>
          <t>USD</t>
        </is>
      </c>
      <c r="K673" s="7" t="inlineStr">
        <is>
          <t>floating</t>
        </is>
      </c>
      <c r="L673" s="7" t="inlineStr">
        <is>
          <t>PNL</t>
        </is>
      </c>
      <c r="M673" s="11" t="n">
        <v>44753</v>
      </c>
      <c r="N673" s="13" t="n">
        <v>2100</v>
      </c>
      <c r="O673" s="6" t="n">
        <v>0</v>
      </c>
      <c r="P673" s="13" t="n">
        <v>0</v>
      </c>
      <c r="Q673" s="22" t="n">
        <v>31</v>
      </c>
      <c r="R673" s="6" t="n">
        <v>2</v>
      </c>
      <c r="U673" s="9" t="n">
        <v>-2009190.38</v>
      </c>
      <c r="V673" s="9" t="n">
        <v>-156555718.79</v>
      </c>
      <c r="X673" s="9" t="n">
        <v>77.9216</v>
      </c>
      <c r="AK673" s="7" t="inlineStr">
        <is>
          <t>PYTHON_MULTI_FLOW_LEG</t>
        </is>
      </c>
      <c r="AL673" s="8">
        <f>IF($J673="INR",1,IF($M673&lt;$A673,INDEX(Market_Daily!$F$6:$F$256,MATCH($M673,Market_Daily!$A$6:$A$256,1)),IF($M673=$A673,INDEX(Market_Daily!$F$6:$F$256,MATCH($A673,Market_Daily!$A$6:$A$256,0)),(INDEX(Market_Daily!$F$6:$F$256,MATCH($A673,Market_Daily!$A$6:$A$256,0))*(1+INDEX(Market_Daily!$I$6:$I$256,MATCH($A673,Market_Daily!$A$6:$A$256,0))*($M673-$A673)/day_count_inr)/(1+INDEX(Market_Daily!$J$6:$J$256,MATCH($A673,Market_Daily!$A$6:$A$256,0))*($M673-$A673)/day_count_usd)))))</f>
        <v/>
      </c>
      <c r="AM673" s="8">
        <f>IF(OR($J673="INR",$R673&gt;1),"",$AL673-$X673)</f>
        <v/>
      </c>
      <c r="AN673" s="8">
        <f>$U673</f>
        <v/>
      </c>
      <c r="AO673" s="8">
        <f>$V673</f>
        <v/>
      </c>
      <c r="AP673" s="18">
        <f>$AO673-$V673</f>
        <v/>
      </c>
      <c r="AQ673" s="8">
        <f>IF(ABS($AP673)&lt;=tol_trade_inr,"PASS","FAIL")</f>
        <v/>
      </c>
    </row>
    <row r="674">
      <c r="A674" s="11" t="n">
        <v>44690</v>
      </c>
      <c r="B674" s="7" t="inlineStr">
        <is>
          <t>T05</t>
        </is>
      </c>
      <c r="C674" s="7" t="inlineStr">
        <is>
          <t>PURCHASE:L2</t>
        </is>
      </c>
      <c r="D674" s="7" t="inlineStr">
        <is>
          <t>PURCHASE</t>
        </is>
      </c>
      <c r="E674" s="7" t="inlineStr">
        <is>
          <t>physical</t>
        </is>
      </c>
      <c r="F674" s="7" t="inlineStr">
        <is>
          <t>L2</t>
        </is>
      </c>
      <c r="G674" s="7" t="inlineStr">
        <is>
          <t>SUP_USEC_01</t>
        </is>
      </c>
      <c r="H674" s="7" t="inlineStr">
        <is>
          <t>tense</t>
        </is>
      </c>
      <c r="I674" s="7" t="inlineStr">
        <is>
          <t>USEC_MUN</t>
        </is>
      </c>
      <c r="J674" s="7" t="inlineStr">
        <is>
          <t>USD</t>
        </is>
      </c>
      <c r="K674" s="7" t="inlineStr">
        <is>
          <t>floating</t>
        </is>
      </c>
      <c r="L674" s="7" t="inlineStr">
        <is>
          <t>PNL</t>
        </is>
      </c>
      <c r="M674" s="11" t="n">
        <v>44760</v>
      </c>
      <c r="N674" s="13" t="n">
        <v>2100</v>
      </c>
      <c r="O674" s="6" t="n">
        <v>0</v>
      </c>
      <c r="P674" s="13" t="n">
        <v>0</v>
      </c>
      <c r="Q674" s="22" t="n">
        <v>31</v>
      </c>
      <c r="R674" s="6" t="n">
        <v>2</v>
      </c>
      <c r="U674" s="9" t="n">
        <v>-2009190.38</v>
      </c>
      <c r="V674" s="9" t="n">
        <v>-156662702.13</v>
      </c>
      <c r="X674" s="9" t="n">
        <v>77.97790000000001</v>
      </c>
      <c r="AK674" s="7" t="inlineStr">
        <is>
          <t>PYTHON_MULTI_FLOW_LEG</t>
        </is>
      </c>
      <c r="AL674" s="8">
        <f>IF($J674="INR",1,IF($M674&lt;$A674,INDEX(Market_Daily!$F$6:$F$256,MATCH($M674,Market_Daily!$A$6:$A$256,1)),IF($M674=$A674,INDEX(Market_Daily!$F$6:$F$256,MATCH($A674,Market_Daily!$A$6:$A$256,0)),(INDEX(Market_Daily!$F$6:$F$256,MATCH($A674,Market_Daily!$A$6:$A$256,0))*(1+INDEX(Market_Daily!$I$6:$I$256,MATCH($A674,Market_Daily!$A$6:$A$256,0))*($M674-$A674)/day_count_inr)/(1+INDEX(Market_Daily!$J$6:$J$256,MATCH($A674,Market_Daily!$A$6:$A$256,0))*($M674-$A674)/day_count_usd)))))</f>
        <v/>
      </c>
      <c r="AM674" s="8">
        <f>IF(OR($J674="INR",$R674&gt;1),"",$AL674-$X674)</f>
        <v/>
      </c>
      <c r="AN674" s="8">
        <f>$U674</f>
        <v/>
      </c>
      <c r="AO674" s="8">
        <f>$V674</f>
        <v/>
      </c>
      <c r="AP674" s="18">
        <f>$AO674-$V674</f>
        <v/>
      </c>
      <c r="AQ674" s="8">
        <f>IF(ABS($AP674)&lt;=tol_trade_inr,"PASS","FAIL")</f>
        <v/>
      </c>
    </row>
    <row r="675">
      <c r="A675" s="11" t="n">
        <v>44690</v>
      </c>
      <c r="B675" s="7" t="inlineStr">
        <is>
          <t>T05</t>
        </is>
      </c>
      <c r="C675" s="7" t="inlineStr">
        <is>
          <t>SALE:S1</t>
        </is>
      </c>
      <c r="D675" s="7" t="inlineStr">
        <is>
          <t>SALE</t>
        </is>
      </c>
      <c r="E675" s="7" t="inlineStr">
        <is>
          <t>physical</t>
        </is>
      </c>
      <c r="G675" s="7" t="inlineStr">
        <is>
          <t>BUY_MUN_01</t>
        </is>
      </c>
      <c r="H675" s="7" t="inlineStr">
        <is>
          <t>tense</t>
        </is>
      </c>
      <c r="I675" s="7" t="inlineStr">
        <is>
          <t>USEC_MUN</t>
        </is>
      </c>
      <c r="J675" s="7" t="inlineStr">
        <is>
          <t>INR</t>
        </is>
      </c>
      <c r="K675" s="7" t="inlineStr">
        <is>
          <t>floating</t>
        </is>
      </c>
      <c r="L675" s="7" t="inlineStr">
        <is>
          <t>PNL</t>
        </is>
      </c>
      <c r="M675" s="11" t="n">
        <v>44781</v>
      </c>
      <c r="N675" s="13" t="n">
        <v>2100</v>
      </c>
      <c r="O675" s="6" t="n">
        <v>0</v>
      </c>
      <c r="P675" s="13" t="n">
        <v>0</v>
      </c>
      <c r="Q675" s="22" t="n">
        <v>31</v>
      </c>
      <c r="R675" s="6" t="n">
        <v>1</v>
      </c>
      <c r="U675" s="9" t="n">
        <v>354183061.06</v>
      </c>
      <c r="V675" s="9" t="n">
        <v>354183061.06</v>
      </c>
      <c r="W675" s="9" t="n">
        <v>168658.6005</v>
      </c>
      <c r="X675" s="9" t="n">
        <v>77.4141</v>
      </c>
      <c r="AK675" s="7" t="inlineStr">
        <is>
          <t>PYTHON_LIFECYCLE</t>
        </is>
      </c>
      <c r="AL675" s="8">
        <f>IF($J675="INR",1,IF($M675&lt;$A675,INDEX(Market_Daily!$F$6:$F$256,MATCH($M675,Market_Daily!$A$6:$A$256,1)),IF($M675=$A675,INDEX(Market_Daily!$F$6:$F$256,MATCH($A675,Market_Daily!$A$6:$A$256,0)),(INDEX(Market_Daily!$F$6:$F$256,MATCH($A675,Market_Daily!$A$6:$A$256,0))*(1+INDEX(Market_Daily!$I$6:$I$256,MATCH($A675,Market_Daily!$A$6:$A$256,0))*($M675-$A675)/day_count_inr)/(1+INDEX(Market_Daily!$J$6:$J$256,MATCH($A675,Market_Daily!$A$6:$A$256,0))*($M675-$A675)/day_count_usd)))))</f>
        <v/>
      </c>
      <c r="AM675" s="8">
        <f>IF(OR($J675="INR",$R675&gt;1),"",$AL675-$X675)</f>
        <v/>
      </c>
      <c r="AN675" s="8">
        <f>$U675</f>
        <v/>
      </c>
      <c r="AO675" s="8">
        <f>$AN675*IF($J675="INR",1,$AL675)</f>
        <v/>
      </c>
      <c r="AP675" s="18">
        <f>$AO675-$V675</f>
        <v/>
      </c>
      <c r="AQ675" s="8">
        <f>IF(ABS($AP675)&lt;=tol_trade_inr,"PASS","FAIL")</f>
        <v/>
      </c>
    </row>
    <row r="676">
      <c r="A676" s="11" t="n">
        <v>44690</v>
      </c>
      <c r="B676" s="7" t="inlineStr">
        <is>
          <t>T05</t>
        </is>
      </c>
      <c r="C676" s="7" t="inlineStr">
        <is>
          <t>USANCE_INTEREST:L1</t>
        </is>
      </c>
      <c r="D676" s="7" t="inlineStr">
        <is>
          <t>USANCE_INTEREST</t>
        </is>
      </c>
      <c r="E676" s="7" t="inlineStr">
        <is>
          <t>physical</t>
        </is>
      </c>
      <c r="F676" s="7" t="inlineStr">
        <is>
          <t>L1</t>
        </is>
      </c>
      <c r="H676" s="7" t="inlineStr">
        <is>
          <t>tense</t>
        </is>
      </c>
      <c r="I676" s="7" t="inlineStr">
        <is>
          <t>USEC_MUN</t>
        </is>
      </c>
      <c r="J676" s="7" t="inlineStr">
        <is>
          <t>USD</t>
        </is>
      </c>
      <c r="K676" s="7" t="inlineStr">
        <is>
          <t>floating</t>
        </is>
      </c>
      <c r="L676" s="7" t="inlineStr">
        <is>
          <t>PNL</t>
        </is>
      </c>
      <c r="M676" s="11" t="n">
        <v>44753</v>
      </c>
      <c r="N676" s="13" t="n">
        <v>0</v>
      </c>
      <c r="O676" s="6" t="n">
        <v>0</v>
      </c>
      <c r="P676" s="13" t="n">
        <v>0</v>
      </c>
      <c r="Q676" s="22" t="n">
        <v>31</v>
      </c>
      <c r="R676" s="6" t="n">
        <v>1</v>
      </c>
      <c r="U676" s="9" t="n">
        <v>-7641.02</v>
      </c>
      <c r="V676" s="9" t="n">
        <v>-595400.35</v>
      </c>
      <c r="X676" s="9" t="n">
        <v>77.9216</v>
      </c>
      <c r="AK676" s="7" t="inlineStr">
        <is>
          <t>PYTHON_LIFECYCLE</t>
        </is>
      </c>
      <c r="AL676" s="8">
        <f>IF($J676="INR",1,IF($M676&lt;$A676,INDEX(Market_Daily!$F$6:$F$256,MATCH($M676,Market_Daily!$A$6:$A$256,1)),IF($M676=$A676,INDEX(Market_Daily!$F$6:$F$256,MATCH($A676,Market_Daily!$A$6:$A$256,0)),(INDEX(Market_Daily!$F$6:$F$256,MATCH($A676,Market_Daily!$A$6:$A$256,0))*(1+INDEX(Market_Daily!$I$6:$I$256,MATCH($A676,Market_Daily!$A$6:$A$256,0))*($M676-$A676)/day_count_inr)/(1+INDEX(Market_Daily!$J$6:$J$256,MATCH($A676,Market_Daily!$A$6:$A$256,0))*($M676-$A676)/day_count_usd)))))</f>
        <v/>
      </c>
      <c r="AM676" s="8">
        <f>IF(OR($J676="INR",$R676&gt;1),"",$AL676-$X676)</f>
        <v/>
      </c>
      <c r="AN676" s="8">
        <f>$U676</f>
        <v/>
      </c>
      <c r="AO676" s="8">
        <f>$AN676*IF($J676="INR",1,$AL676)</f>
        <v/>
      </c>
      <c r="AP676" s="18">
        <f>$AO676-$V676</f>
        <v/>
      </c>
      <c r="AQ676" s="8">
        <f>IF(ABS($AP676)&lt;=tol_trade_inr,"PASS","FAIL")</f>
        <v/>
      </c>
    </row>
    <row r="677">
      <c r="A677" s="11" t="n">
        <v>44690</v>
      </c>
      <c r="B677" s="7" t="inlineStr">
        <is>
          <t>T05</t>
        </is>
      </c>
      <c r="C677" s="7" t="inlineStr">
        <is>
          <t>USANCE_INTEREST:L2</t>
        </is>
      </c>
      <c r="D677" s="7" t="inlineStr">
        <is>
          <t>USANCE_INTEREST</t>
        </is>
      </c>
      <c r="E677" s="7" t="inlineStr">
        <is>
          <t>physical</t>
        </is>
      </c>
      <c r="F677" s="7" t="inlineStr">
        <is>
          <t>L2</t>
        </is>
      </c>
      <c r="H677" s="7" t="inlineStr">
        <is>
          <t>tense</t>
        </is>
      </c>
      <c r="I677" s="7" t="inlineStr">
        <is>
          <t>USEC_MUN</t>
        </is>
      </c>
      <c r="J677" s="7" t="inlineStr">
        <is>
          <t>USD</t>
        </is>
      </c>
      <c r="K677" s="7" t="inlineStr">
        <is>
          <t>floating</t>
        </is>
      </c>
      <c r="L677" s="7" t="inlineStr">
        <is>
          <t>PNL</t>
        </is>
      </c>
      <c r="M677" s="11" t="n">
        <v>44760</v>
      </c>
      <c r="N677" s="13" t="n">
        <v>0</v>
      </c>
      <c r="O677" s="6" t="n">
        <v>0</v>
      </c>
      <c r="P677" s="13" t="n">
        <v>0</v>
      </c>
      <c r="Q677" s="22" t="n">
        <v>31</v>
      </c>
      <c r="R677" s="6" t="n">
        <v>1</v>
      </c>
      <c r="U677" s="9" t="n">
        <v>-7651.32</v>
      </c>
      <c r="V677" s="9" t="n">
        <v>-596633.89</v>
      </c>
      <c r="X677" s="9" t="n">
        <v>77.97790000000001</v>
      </c>
      <c r="AK677" s="7" t="inlineStr">
        <is>
          <t>PYTHON_LIFECYCLE</t>
        </is>
      </c>
      <c r="AL677" s="8">
        <f>IF($J677="INR",1,IF($M677&lt;$A677,INDEX(Market_Daily!$F$6:$F$256,MATCH($M677,Market_Daily!$A$6:$A$256,1)),IF($M677=$A677,INDEX(Market_Daily!$F$6:$F$256,MATCH($A677,Market_Daily!$A$6:$A$256,0)),(INDEX(Market_Daily!$F$6:$F$256,MATCH($A677,Market_Daily!$A$6:$A$256,0))*(1+INDEX(Market_Daily!$I$6:$I$256,MATCH($A677,Market_Daily!$A$6:$A$256,0))*($M677-$A677)/day_count_inr)/(1+INDEX(Market_Daily!$J$6:$J$256,MATCH($A677,Market_Daily!$A$6:$A$256,0))*($M677-$A677)/day_count_usd)))))</f>
        <v/>
      </c>
      <c r="AM677" s="8">
        <f>IF(OR($J677="INR",$R677&gt;1),"",$AL677-$X677)</f>
        <v/>
      </c>
      <c r="AN677" s="8">
        <f>$U677</f>
        <v/>
      </c>
      <c r="AO677" s="8">
        <f>$AN677*IF($J677="INR",1,$AL677)</f>
        <v/>
      </c>
      <c r="AP677" s="18">
        <f>$AO677-$V677</f>
        <v/>
      </c>
      <c r="AQ677" s="8">
        <f>IF(ABS($AP677)&lt;=tol_trade_inr,"PASS","FAIL")</f>
        <v/>
      </c>
    </row>
    <row r="678">
      <c r="A678" s="11" t="n">
        <v>44691</v>
      </c>
      <c r="B678" s="7" t="inlineStr">
        <is>
          <t>T01</t>
        </is>
      </c>
      <c r="C678" s="7" t="inlineStr">
        <is>
          <t>DUTY:L2</t>
        </is>
      </c>
      <c r="D678" s="7" t="inlineStr">
        <is>
          <t>DUTY</t>
        </is>
      </c>
      <c r="E678" s="7" t="inlineStr">
        <is>
          <t>physical</t>
        </is>
      </c>
      <c r="F678" s="7" t="inlineStr">
        <is>
          <t>L2</t>
        </is>
      </c>
      <c r="H678" s="7" t="inlineStr">
        <is>
          <t>zorba</t>
        </is>
      </c>
      <c r="I678" s="7" t="inlineStr">
        <is>
          <t>USEC_MUN</t>
        </is>
      </c>
      <c r="J678" s="7" t="inlineStr">
        <is>
          <t>INR</t>
        </is>
      </c>
      <c r="K678" s="7" t="inlineStr">
        <is>
          <t>floating</t>
        </is>
      </c>
      <c r="L678" s="7" t="inlineStr">
        <is>
          <t>PNL</t>
        </is>
      </c>
      <c r="M678" s="11" t="n">
        <v>44697</v>
      </c>
      <c r="N678" s="13" t="n">
        <v>840</v>
      </c>
      <c r="O678" s="6" t="n">
        <v>0</v>
      </c>
      <c r="P678" s="13" t="n">
        <v>0</v>
      </c>
      <c r="Q678" s="22" t="n">
        <v>31</v>
      </c>
      <c r="R678" s="6" t="n">
        <v>1</v>
      </c>
      <c r="U678" s="9" t="n">
        <v>-4353562.71</v>
      </c>
      <c r="V678" s="9" t="n">
        <v>-4353562.71</v>
      </c>
      <c r="X678" s="9" t="n">
        <v>77.26220000000001</v>
      </c>
      <c r="AK678" s="7" t="inlineStr">
        <is>
          <t>PYTHON_LIFECYCLE</t>
        </is>
      </c>
      <c r="AL678" s="8">
        <f>IF($J678="INR",1,IF($M678&lt;$A678,INDEX(Market_Daily!$F$6:$F$256,MATCH($M678,Market_Daily!$A$6:$A$256,1)),IF($M678=$A678,INDEX(Market_Daily!$F$6:$F$256,MATCH($A678,Market_Daily!$A$6:$A$256,0)),(INDEX(Market_Daily!$F$6:$F$256,MATCH($A678,Market_Daily!$A$6:$A$256,0))*(1+INDEX(Market_Daily!$I$6:$I$256,MATCH($A678,Market_Daily!$A$6:$A$256,0))*($M678-$A678)/day_count_inr)/(1+INDEX(Market_Daily!$J$6:$J$256,MATCH($A678,Market_Daily!$A$6:$A$256,0))*($M678-$A678)/day_count_usd)))))</f>
        <v/>
      </c>
      <c r="AM678" s="8">
        <f>IF(OR($J678="INR",$R678&gt;1),"",$AL678-$X678)</f>
        <v/>
      </c>
      <c r="AN678" s="8">
        <f>$U678</f>
        <v/>
      </c>
      <c r="AO678" s="8">
        <f>$AN678*IF($J678="INR",1,$AL678)</f>
        <v/>
      </c>
      <c r="AP678" s="18">
        <f>$AO678-$V678</f>
        <v/>
      </c>
      <c r="AQ678" s="8">
        <f>IF(ABS($AP678)&lt;=tol_trade_inr,"PASS","FAIL")</f>
        <v/>
      </c>
    </row>
    <row r="679">
      <c r="A679" s="11" t="n">
        <v>44691</v>
      </c>
      <c r="B679" s="7" t="inlineStr">
        <is>
          <t>T01</t>
        </is>
      </c>
      <c r="C679" s="7" t="inlineStr">
        <is>
          <t>DUTY:L3</t>
        </is>
      </c>
      <c r="D679" s="7" t="inlineStr">
        <is>
          <t>DUTY</t>
        </is>
      </c>
      <c r="E679" s="7" t="inlineStr">
        <is>
          <t>physical</t>
        </is>
      </c>
      <c r="F679" s="7" t="inlineStr">
        <is>
          <t>L3</t>
        </is>
      </c>
      <c r="H679" s="7" t="inlineStr">
        <is>
          <t>zorba</t>
        </is>
      </c>
      <c r="I679" s="7" t="inlineStr">
        <is>
          <t>USEC_MUN</t>
        </is>
      </c>
      <c r="J679" s="7" t="inlineStr">
        <is>
          <t>INR</t>
        </is>
      </c>
      <c r="K679" s="7" t="inlineStr">
        <is>
          <t>floating</t>
        </is>
      </c>
      <c r="L679" s="7" t="inlineStr">
        <is>
          <t>PNL</t>
        </is>
      </c>
      <c r="M679" s="11" t="n">
        <v>44699</v>
      </c>
      <c r="N679" s="13" t="n">
        <v>840</v>
      </c>
      <c r="O679" s="6" t="n">
        <v>0</v>
      </c>
      <c r="P679" s="13" t="n">
        <v>0</v>
      </c>
      <c r="Q679" s="22" t="n">
        <v>31</v>
      </c>
      <c r="R679" s="6" t="n">
        <v>1</v>
      </c>
      <c r="U679" s="9" t="n">
        <v>-4353562.71</v>
      </c>
      <c r="V679" s="9" t="n">
        <v>-4353562.71</v>
      </c>
      <c r="X679" s="9" t="n">
        <v>77.26220000000001</v>
      </c>
      <c r="AK679" s="7" t="inlineStr">
        <is>
          <t>PYTHON_LIFECYCLE</t>
        </is>
      </c>
      <c r="AL679" s="8">
        <f>IF($J679="INR",1,IF($M679&lt;$A679,INDEX(Market_Daily!$F$6:$F$256,MATCH($M679,Market_Daily!$A$6:$A$256,1)),IF($M679=$A679,INDEX(Market_Daily!$F$6:$F$256,MATCH($A679,Market_Daily!$A$6:$A$256,0)),(INDEX(Market_Daily!$F$6:$F$256,MATCH($A679,Market_Daily!$A$6:$A$256,0))*(1+INDEX(Market_Daily!$I$6:$I$256,MATCH($A679,Market_Daily!$A$6:$A$256,0))*($M679-$A679)/day_count_inr)/(1+INDEX(Market_Daily!$J$6:$J$256,MATCH($A679,Market_Daily!$A$6:$A$256,0))*($M679-$A679)/day_count_usd)))))</f>
        <v/>
      </c>
      <c r="AM679" s="8">
        <f>IF(OR($J679="INR",$R679&gt;1),"",$AL679-$X679)</f>
        <v/>
      </c>
      <c r="AN679" s="8">
        <f>$U679</f>
        <v/>
      </c>
      <c r="AO679" s="8">
        <f>$AN679*IF($J679="INR",1,$AL679)</f>
        <v/>
      </c>
      <c r="AP679" s="18">
        <f>$AO679-$V679</f>
        <v/>
      </c>
      <c r="AQ679" s="8">
        <f>IF(ABS($AP679)&lt;=tol_trade_inr,"PASS","FAIL")</f>
        <v/>
      </c>
    </row>
    <row r="680">
      <c r="A680" s="11" t="n">
        <v>44691</v>
      </c>
      <c r="B680" s="7" t="inlineStr">
        <is>
          <t>T01</t>
        </is>
      </c>
      <c r="C680" s="7" t="inlineStr">
        <is>
          <t>FREIGHT:L2</t>
        </is>
      </c>
      <c r="D680" s="7" t="inlineStr">
        <is>
          <t>FREIGHT</t>
        </is>
      </c>
      <c r="E680" s="7" t="inlineStr">
        <is>
          <t>physical</t>
        </is>
      </c>
      <c r="F680" s="7" t="inlineStr">
        <is>
          <t>L2</t>
        </is>
      </c>
      <c r="G680" s="7" t="inlineStr">
        <is>
          <t>Meridian Box Lines NVOCC (SIM)</t>
        </is>
      </c>
      <c r="H680" s="7" t="inlineStr">
        <is>
          <t>zorba</t>
        </is>
      </c>
      <c r="I680" s="7" t="inlineStr">
        <is>
          <t>USEC_MUN</t>
        </is>
      </c>
      <c r="J680" s="7" t="inlineStr">
        <is>
          <t>USD</t>
        </is>
      </c>
      <c r="K680" s="7" t="inlineStr">
        <is>
          <t>fixed_unsettled</t>
        </is>
      </c>
      <c r="L680" s="7" t="inlineStr">
        <is>
          <t>PNL</t>
        </is>
      </c>
      <c r="M680" s="11" t="n">
        <v>44697</v>
      </c>
      <c r="N680" s="13" t="n">
        <v>840</v>
      </c>
      <c r="O680" s="6" t="n">
        <v>0</v>
      </c>
      <c r="P680" s="13" t="n">
        <v>0</v>
      </c>
      <c r="Q680" s="22" t="n">
        <v>31</v>
      </c>
      <c r="R680" s="6" t="n">
        <v>1</v>
      </c>
      <c r="U680" s="9" t="n">
        <v>-86800</v>
      </c>
      <c r="V680" s="9" t="n">
        <v>-6710585.29</v>
      </c>
      <c r="X680" s="9" t="n">
        <v>77.3109</v>
      </c>
      <c r="AK680" s="7" t="inlineStr">
        <is>
          <t>PYTHON_LIFECYCLE</t>
        </is>
      </c>
      <c r="AL680" s="8">
        <f>IF($J680="INR",1,IF($M680&lt;$A680,INDEX(Market_Daily!$F$6:$F$256,MATCH($M680,Market_Daily!$A$6:$A$256,1)),IF($M680=$A680,INDEX(Market_Daily!$F$6:$F$256,MATCH($A680,Market_Daily!$A$6:$A$256,0)),(INDEX(Market_Daily!$F$6:$F$256,MATCH($A680,Market_Daily!$A$6:$A$256,0))*(1+INDEX(Market_Daily!$I$6:$I$256,MATCH($A680,Market_Daily!$A$6:$A$256,0))*($M680-$A680)/day_count_inr)/(1+INDEX(Market_Daily!$J$6:$J$256,MATCH($A680,Market_Daily!$A$6:$A$256,0))*($M680-$A680)/day_count_usd)))))</f>
        <v/>
      </c>
      <c r="AM680" s="8">
        <f>IF(OR($J680="INR",$R680&gt;1),"",$AL680-$X680)</f>
        <v/>
      </c>
      <c r="AN680" s="8">
        <f>$U680</f>
        <v/>
      </c>
      <c r="AO680" s="8">
        <f>$AN680*IF($J680="INR",1,$AL680)</f>
        <v/>
      </c>
      <c r="AP680" s="18">
        <f>$AO680-$V680</f>
        <v/>
      </c>
      <c r="AQ680" s="8">
        <f>IF(ABS($AP680)&lt;=tol_trade_inr,"PASS","FAIL")</f>
        <v/>
      </c>
    </row>
    <row r="681">
      <c r="A681" s="11" t="n">
        <v>44691</v>
      </c>
      <c r="B681" s="7" t="inlineStr">
        <is>
          <t>T01</t>
        </is>
      </c>
      <c r="C681" s="7" t="inlineStr">
        <is>
          <t>FREIGHT:L3</t>
        </is>
      </c>
      <c r="D681" s="7" t="inlineStr">
        <is>
          <t>FREIGHT</t>
        </is>
      </c>
      <c r="E681" s="7" t="inlineStr">
        <is>
          <t>physical</t>
        </is>
      </c>
      <c r="F681" s="7" t="inlineStr">
        <is>
          <t>L3</t>
        </is>
      </c>
      <c r="G681" s="7" t="inlineStr">
        <is>
          <t>Meridian Box Lines NVOCC (SIM)</t>
        </is>
      </c>
      <c r="H681" s="7" t="inlineStr">
        <is>
          <t>zorba</t>
        </is>
      </c>
      <c r="I681" s="7" t="inlineStr">
        <is>
          <t>USEC_MUN</t>
        </is>
      </c>
      <c r="J681" s="7" t="inlineStr">
        <is>
          <t>USD</t>
        </is>
      </c>
      <c r="K681" s="7" t="inlineStr">
        <is>
          <t>fixed_unsettled</t>
        </is>
      </c>
      <c r="L681" s="7" t="inlineStr">
        <is>
          <t>PNL</t>
        </is>
      </c>
      <c r="M681" s="11" t="n">
        <v>44698</v>
      </c>
      <c r="N681" s="13" t="n">
        <v>840</v>
      </c>
      <c r="O681" s="6" t="n">
        <v>0</v>
      </c>
      <c r="P681" s="13" t="n">
        <v>0</v>
      </c>
      <c r="Q681" s="22" t="n">
        <v>31</v>
      </c>
      <c r="R681" s="6" t="n">
        <v>1</v>
      </c>
      <c r="U681" s="9" t="n">
        <v>-86800</v>
      </c>
      <c r="V681" s="9" t="n">
        <v>-6711289.56</v>
      </c>
      <c r="X681" s="9" t="n">
        <v>77.319</v>
      </c>
      <c r="AK681" s="7" t="inlineStr">
        <is>
          <t>PYTHON_LIFECYCLE</t>
        </is>
      </c>
      <c r="AL681" s="8">
        <f>IF($J681="INR",1,IF($M681&lt;$A681,INDEX(Market_Daily!$F$6:$F$256,MATCH($M681,Market_Daily!$A$6:$A$256,1)),IF($M681=$A681,INDEX(Market_Daily!$F$6:$F$256,MATCH($A681,Market_Daily!$A$6:$A$256,0)),(INDEX(Market_Daily!$F$6:$F$256,MATCH($A681,Market_Daily!$A$6:$A$256,0))*(1+INDEX(Market_Daily!$I$6:$I$256,MATCH($A681,Market_Daily!$A$6:$A$256,0))*($M681-$A681)/day_count_inr)/(1+INDEX(Market_Daily!$J$6:$J$256,MATCH($A681,Market_Daily!$A$6:$A$256,0))*($M681-$A681)/day_count_usd)))))</f>
        <v/>
      </c>
      <c r="AM681" s="8">
        <f>IF(OR($J681="INR",$R681&gt;1),"",$AL681-$X681)</f>
        <v/>
      </c>
      <c r="AN681" s="8">
        <f>$U681</f>
        <v/>
      </c>
      <c r="AO681" s="8">
        <f>$AN681*IF($J681="INR",1,$AL681)</f>
        <v/>
      </c>
      <c r="AP681" s="18">
        <f>$AO681-$V681</f>
        <v/>
      </c>
      <c r="AQ681" s="8">
        <f>IF(ABS($AP681)&lt;=tol_trade_inr,"PASS","FAIL")</f>
        <v/>
      </c>
    </row>
    <row r="682">
      <c r="A682" s="11" t="n">
        <v>44691</v>
      </c>
      <c r="B682" s="7" t="inlineStr">
        <is>
          <t>T01</t>
        </is>
      </c>
      <c r="C682" s="7" t="inlineStr">
        <is>
          <t>FX:T01-FX-4</t>
        </is>
      </c>
      <c r="D682" s="7" t="inlineStr">
        <is>
          <t>FX</t>
        </is>
      </c>
      <c r="E682" s="7" t="inlineStr">
        <is>
          <t>fx_forward</t>
        </is>
      </c>
      <c r="H682" s="7" t="inlineStr">
        <is>
          <t>zorba</t>
        </is>
      </c>
      <c r="I682" s="7" t="inlineStr">
        <is>
          <t>USEC_MUN</t>
        </is>
      </c>
      <c r="J682" s="7" t="inlineStr">
        <is>
          <t>INR</t>
        </is>
      </c>
      <c r="K682" s="7" t="inlineStr">
        <is>
          <t>floating</t>
        </is>
      </c>
      <c r="L682" s="7" t="inlineStr">
        <is>
          <t>PNL</t>
        </is>
      </c>
      <c r="M682" s="11" t="n">
        <v>44697</v>
      </c>
      <c r="N682" s="13" t="n">
        <v>0</v>
      </c>
      <c r="O682" s="6" t="n">
        <v>0</v>
      </c>
      <c r="P682" s="13" t="n">
        <v>260400</v>
      </c>
      <c r="Q682" s="22" t="n">
        <v>31</v>
      </c>
      <c r="R682" s="6" t="n">
        <v>1</v>
      </c>
      <c r="S682" s="12" t="n">
        <v>44697</v>
      </c>
      <c r="T682" s="21" t="n">
        <v>76.62367500000001</v>
      </c>
      <c r="U682" s="9" t="n">
        <v>178950.86</v>
      </c>
      <c r="V682" s="9" t="n">
        <v>178950.86</v>
      </c>
      <c r="X682" s="9" t="n">
        <v>77.26220000000001</v>
      </c>
      <c r="AK682" s="7" t="inlineStr">
        <is>
          <t>DERIVED_IN_WORKBOOK</t>
        </is>
      </c>
      <c r="AL682" s="8">
        <f>IF($J682="INR",1,IF($M682&lt;$A682,INDEX(Market_Daily!$F$6:$F$256,MATCH($M682,Market_Daily!$A$6:$A$256,1)),IF($M682=$A682,INDEX(Market_Daily!$F$6:$F$256,MATCH($A682,Market_Daily!$A$6:$A$256,0)),(INDEX(Market_Daily!$F$6:$F$256,MATCH($A682,Market_Daily!$A$6:$A$256,0))*(1+INDEX(Market_Daily!$I$6:$I$256,MATCH($A682,Market_Daily!$A$6:$A$256,0))*($M682-$A682)/day_count_inr)/(1+INDEX(Market_Daily!$J$6:$J$256,MATCH($A682,Market_Daily!$A$6:$A$256,0))*($M682-$A682)/day_count_usd)))))</f>
        <v/>
      </c>
      <c r="AM682" s="8">
        <f>IF(OR($J682="INR",$R682&gt;1),"",$AL682-$X682)</f>
        <v/>
      </c>
      <c r="AN682" s="8">
        <f>$P682*(IF($S682&lt;$A682,INDEX(Market_Daily!$F$6:$F$256,MATCH($S682,Market_Daily!$A$6:$A$256,1)),IF($S682=$A682,INDEX(Market_Daily!$F$6:$F$256,MATCH($A682,Market_Daily!$A$6:$A$256,0)),(INDEX(Market_Daily!$F$6:$F$256,MATCH($A682,Market_Daily!$A$6:$A$256,0))*(1+INDEX(Market_Daily!$I$6:$I$256,MATCH($A682,Market_Daily!$A$6:$A$256,0))*($S682-$A682)/day_count_inr)/(1+INDEX(Market_Daily!$J$6:$J$256,MATCH($A682,Market_Daily!$A$6:$A$256,0))*($S682-$A682)/day_count_usd))))-$T682)</f>
        <v/>
      </c>
      <c r="AO682" s="8">
        <f>$AN682</f>
        <v/>
      </c>
      <c r="AP682" s="18">
        <f>$AO682-$V682</f>
        <v/>
      </c>
      <c r="AQ682" s="8">
        <f>IF(ABS($AP682)&lt;=tol_trade_inr,"PASS","FAIL")</f>
        <v/>
      </c>
    </row>
    <row r="683">
      <c r="A683" s="11" t="n">
        <v>44691</v>
      </c>
      <c r="B683" s="7" t="inlineStr">
        <is>
          <t>T01</t>
        </is>
      </c>
      <c r="C683" s="7" t="inlineStr">
        <is>
          <t>IGST:L1</t>
        </is>
      </c>
      <c r="D683" s="7" t="inlineStr">
        <is>
          <t>IGST</t>
        </is>
      </c>
      <c r="E683" s="7" t="inlineStr">
        <is>
          <t>physical</t>
        </is>
      </c>
      <c r="F683" s="7" t="inlineStr">
        <is>
          <t>L1</t>
        </is>
      </c>
      <c r="H683" s="7" t="inlineStr">
        <is>
          <t>zorba</t>
        </is>
      </c>
      <c r="I683" s="7" t="inlineStr">
        <is>
          <t>USEC_MUN</t>
        </is>
      </c>
      <c r="J683" s="7" t="inlineStr">
        <is>
          <t>INR</t>
        </is>
      </c>
      <c r="K683" s="7" t="inlineStr">
        <is>
          <t>fixed_unsettled</t>
        </is>
      </c>
      <c r="L683" s="7" t="inlineStr">
        <is>
          <t>BS</t>
        </is>
      </c>
      <c r="M683" s="11" t="n">
        <v>44735</v>
      </c>
      <c r="N683" s="13" t="n">
        <v>0</v>
      </c>
      <c r="O683" s="6" t="n">
        <v>0</v>
      </c>
      <c r="P683" s="13" t="n">
        <v>0</v>
      </c>
      <c r="Q683" s="22" t="n">
        <v>31</v>
      </c>
      <c r="R683" s="6" t="n">
        <v>2</v>
      </c>
      <c r="U683" s="9" t="n">
        <v>0</v>
      </c>
      <c r="V683" s="9" t="n">
        <v>0</v>
      </c>
      <c r="X683" s="9" t="n">
        <v>77.26220000000001</v>
      </c>
      <c r="AK683" s="7" t="inlineStr">
        <is>
          <t>PYTHON_MULTI_FLOW_LEG</t>
        </is>
      </c>
      <c r="AL683" s="8">
        <f>IF($J683="INR",1,IF($M683&lt;$A683,INDEX(Market_Daily!$F$6:$F$256,MATCH($M683,Market_Daily!$A$6:$A$256,1)),IF($M683=$A683,INDEX(Market_Daily!$F$6:$F$256,MATCH($A683,Market_Daily!$A$6:$A$256,0)),(INDEX(Market_Daily!$F$6:$F$256,MATCH($A683,Market_Daily!$A$6:$A$256,0))*(1+INDEX(Market_Daily!$I$6:$I$256,MATCH($A683,Market_Daily!$A$6:$A$256,0))*($M683-$A683)/day_count_inr)/(1+INDEX(Market_Daily!$J$6:$J$256,MATCH($A683,Market_Daily!$A$6:$A$256,0))*($M683-$A683)/day_count_usd)))))</f>
        <v/>
      </c>
      <c r="AM683" s="8">
        <f>IF(OR($J683="INR",$R683&gt;1),"",$AL683-$X683)</f>
        <v/>
      </c>
      <c r="AN683" s="8">
        <f>$U683</f>
        <v/>
      </c>
      <c r="AO683" s="8">
        <f>$V683</f>
        <v/>
      </c>
      <c r="AP683" s="18">
        <f>$AO683-$V683</f>
        <v/>
      </c>
      <c r="AQ683" s="8">
        <f>IF(ABS($AP683)&lt;=tol_trade_inr,"PASS","FAIL")</f>
        <v/>
      </c>
    </row>
    <row r="684">
      <c r="A684" s="11" t="n">
        <v>44691</v>
      </c>
      <c r="B684" s="7" t="inlineStr">
        <is>
          <t>T01</t>
        </is>
      </c>
      <c r="C684" s="7" t="inlineStr">
        <is>
          <t>IGST:L2</t>
        </is>
      </c>
      <c r="D684" s="7" t="inlineStr">
        <is>
          <t>IGST</t>
        </is>
      </c>
      <c r="E684" s="7" t="inlineStr">
        <is>
          <t>physical</t>
        </is>
      </c>
      <c r="F684" s="7" t="inlineStr">
        <is>
          <t>L2</t>
        </is>
      </c>
      <c r="H684" s="7" t="inlineStr">
        <is>
          <t>zorba</t>
        </is>
      </c>
      <c r="I684" s="7" t="inlineStr">
        <is>
          <t>USEC_MUN</t>
        </is>
      </c>
      <c r="J684" s="7" t="inlineStr">
        <is>
          <t>INR</t>
        </is>
      </c>
      <c r="K684" s="7" t="inlineStr">
        <is>
          <t>floating</t>
        </is>
      </c>
      <c r="L684" s="7" t="inlineStr">
        <is>
          <t>BS</t>
        </is>
      </c>
      <c r="M684" s="11" t="n">
        <v>44741</v>
      </c>
      <c r="N684" s="13" t="n">
        <v>0</v>
      </c>
      <c r="O684" s="6" t="n">
        <v>0</v>
      </c>
      <c r="P684" s="13" t="n">
        <v>0</v>
      </c>
      <c r="Q684" s="22" t="n">
        <v>31</v>
      </c>
      <c r="R684" s="6" t="n">
        <v>2</v>
      </c>
      <c r="U684" s="9" t="n">
        <v>0</v>
      </c>
      <c r="V684" s="9" t="n">
        <v>0</v>
      </c>
      <c r="X684" s="9" t="n">
        <v>77.26220000000001</v>
      </c>
      <c r="AK684" s="7" t="inlineStr">
        <is>
          <t>PYTHON_MULTI_FLOW_LEG</t>
        </is>
      </c>
      <c r="AL684" s="8">
        <f>IF($J684="INR",1,IF($M684&lt;$A684,INDEX(Market_Daily!$F$6:$F$256,MATCH($M684,Market_Daily!$A$6:$A$256,1)),IF($M684=$A684,INDEX(Market_Daily!$F$6:$F$256,MATCH($A684,Market_Daily!$A$6:$A$256,0)),(INDEX(Market_Daily!$F$6:$F$256,MATCH($A684,Market_Daily!$A$6:$A$256,0))*(1+INDEX(Market_Daily!$I$6:$I$256,MATCH($A684,Market_Daily!$A$6:$A$256,0))*($M684-$A684)/day_count_inr)/(1+INDEX(Market_Daily!$J$6:$J$256,MATCH($A684,Market_Daily!$A$6:$A$256,0))*($M684-$A684)/day_count_usd)))))</f>
        <v/>
      </c>
      <c r="AM684" s="8">
        <f>IF(OR($J684="INR",$R684&gt;1),"",$AL684-$X684)</f>
        <v/>
      </c>
      <c r="AN684" s="8">
        <f>$U684</f>
        <v/>
      </c>
      <c r="AO684" s="8">
        <f>$V684</f>
        <v/>
      </c>
      <c r="AP684" s="18">
        <f>$AO684-$V684</f>
        <v/>
      </c>
      <c r="AQ684" s="8">
        <f>IF(ABS($AP684)&lt;=tol_trade_inr,"PASS","FAIL")</f>
        <v/>
      </c>
    </row>
    <row r="685">
      <c r="A685" s="11" t="n">
        <v>44691</v>
      </c>
      <c r="B685" s="7" t="inlineStr">
        <is>
          <t>T01</t>
        </is>
      </c>
      <c r="C685" s="7" t="inlineStr">
        <is>
          <t>IGST:L3</t>
        </is>
      </c>
      <c r="D685" s="7" t="inlineStr">
        <is>
          <t>IGST</t>
        </is>
      </c>
      <c r="E685" s="7" t="inlineStr">
        <is>
          <t>physical</t>
        </is>
      </c>
      <c r="F685" s="7" t="inlineStr">
        <is>
          <t>L3</t>
        </is>
      </c>
      <c r="H685" s="7" t="inlineStr">
        <is>
          <t>zorba</t>
        </is>
      </c>
      <c r="I685" s="7" t="inlineStr">
        <is>
          <t>USEC_MUN</t>
        </is>
      </c>
      <c r="J685" s="7" t="inlineStr">
        <is>
          <t>INR</t>
        </is>
      </c>
      <c r="K685" s="7" t="inlineStr">
        <is>
          <t>floating</t>
        </is>
      </c>
      <c r="L685" s="7" t="inlineStr">
        <is>
          <t>BS</t>
        </is>
      </c>
      <c r="M685" s="11" t="n">
        <v>44746</v>
      </c>
      <c r="N685" s="13" t="n">
        <v>0</v>
      </c>
      <c r="O685" s="6" t="n">
        <v>0</v>
      </c>
      <c r="P685" s="13" t="n">
        <v>0</v>
      </c>
      <c r="Q685" s="22" t="n">
        <v>31</v>
      </c>
      <c r="R685" s="6" t="n">
        <v>2</v>
      </c>
      <c r="U685" s="9" t="n">
        <v>0</v>
      </c>
      <c r="V685" s="9" t="n">
        <v>0</v>
      </c>
      <c r="X685" s="9" t="n">
        <v>77.26220000000001</v>
      </c>
      <c r="AK685" s="7" t="inlineStr">
        <is>
          <t>PYTHON_MULTI_FLOW_LEG</t>
        </is>
      </c>
      <c r="AL685" s="8">
        <f>IF($J685="INR",1,IF($M685&lt;$A685,INDEX(Market_Daily!$F$6:$F$256,MATCH($M685,Market_Daily!$A$6:$A$256,1)),IF($M685=$A685,INDEX(Market_Daily!$F$6:$F$256,MATCH($A685,Market_Daily!$A$6:$A$256,0)),(INDEX(Market_Daily!$F$6:$F$256,MATCH($A685,Market_Daily!$A$6:$A$256,0))*(1+INDEX(Market_Daily!$I$6:$I$256,MATCH($A685,Market_Daily!$A$6:$A$256,0))*($M685-$A685)/day_count_inr)/(1+INDEX(Market_Daily!$J$6:$J$256,MATCH($A685,Market_Daily!$A$6:$A$256,0))*($M685-$A685)/day_count_usd)))))</f>
        <v/>
      </c>
      <c r="AM685" s="8">
        <f>IF(OR($J685="INR",$R685&gt;1),"",$AL685-$X685)</f>
        <v/>
      </c>
      <c r="AN685" s="8">
        <f>$U685</f>
        <v/>
      </c>
      <c r="AO685" s="8">
        <f>$V685</f>
        <v/>
      </c>
      <c r="AP685" s="18">
        <f>$AO685-$V685</f>
        <v/>
      </c>
      <c r="AQ685" s="8">
        <f>IF(ABS($AP685)&lt;=tol_trade_inr,"PASS","FAIL")</f>
        <v/>
      </c>
    </row>
    <row r="686">
      <c r="A686" s="11" t="n">
        <v>44691</v>
      </c>
      <c r="B686" s="7" t="inlineStr">
        <is>
          <t>T01</t>
        </is>
      </c>
      <c r="C686" s="7" t="inlineStr">
        <is>
          <t>PORT:L1</t>
        </is>
      </c>
      <c r="D686" s="7" t="inlineStr">
        <is>
          <t>PORT</t>
        </is>
      </c>
      <c r="E686" s="7" t="inlineStr">
        <is>
          <t>physical</t>
        </is>
      </c>
      <c r="F686" s="7" t="inlineStr">
        <is>
          <t>L1</t>
        </is>
      </c>
      <c r="H686" s="7" t="inlineStr">
        <is>
          <t>zorba</t>
        </is>
      </c>
      <c r="I686" s="7" t="inlineStr">
        <is>
          <t>USEC_MUN</t>
        </is>
      </c>
      <c r="J686" s="7" t="inlineStr">
        <is>
          <t>INR</t>
        </is>
      </c>
      <c r="K686" s="7" t="inlineStr">
        <is>
          <t>fixed_unsettled</t>
        </is>
      </c>
      <c r="L686" s="7" t="inlineStr">
        <is>
          <t>PNL</t>
        </is>
      </c>
      <c r="M686" s="11" t="n">
        <v>44699</v>
      </c>
      <c r="N686" s="13" t="n">
        <v>0</v>
      </c>
      <c r="O686" s="6" t="n">
        <v>0</v>
      </c>
      <c r="P686" s="13" t="n">
        <v>0</v>
      </c>
      <c r="Q686" s="22" t="n">
        <v>31</v>
      </c>
      <c r="R686" s="6" t="n">
        <v>1</v>
      </c>
      <c r="U686" s="9" t="n">
        <v>-2226000</v>
      </c>
      <c r="V686" s="9" t="n">
        <v>-2226000</v>
      </c>
      <c r="X686" s="9" t="n">
        <v>77.26220000000001</v>
      </c>
      <c r="AK686" s="7" t="inlineStr">
        <is>
          <t>PYTHON_LIFECYCLE</t>
        </is>
      </c>
      <c r="AL686" s="8">
        <f>IF($J686="INR",1,IF($M686&lt;$A686,INDEX(Market_Daily!$F$6:$F$256,MATCH($M686,Market_Daily!$A$6:$A$256,1)),IF($M686=$A686,INDEX(Market_Daily!$F$6:$F$256,MATCH($A686,Market_Daily!$A$6:$A$256,0)),(INDEX(Market_Daily!$F$6:$F$256,MATCH($A686,Market_Daily!$A$6:$A$256,0))*(1+INDEX(Market_Daily!$I$6:$I$256,MATCH($A686,Market_Daily!$A$6:$A$256,0))*($M686-$A686)/day_count_inr)/(1+INDEX(Market_Daily!$J$6:$J$256,MATCH($A686,Market_Daily!$A$6:$A$256,0))*($M686-$A686)/day_count_usd)))))</f>
        <v/>
      </c>
      <c r="AM686" s="8">
        <f>IF(OR($J686="INR",$R686&gt;1),"",$AL686-$X686)</f>
        <v/>
      </c>
      <c r="AN686" s="8">
        <f>$U686</f>
        <v/>
      </c>
      <c r="AO686" s="8">
        <f>$AN686*IF($J686="INR",1,$AL686)</f>
        <v/>
      </c>
      <c r="AP686" s="18">
        <f>$AO686-$V686</f>
        <v/>
      </c>
      <c r="AQ686" s="8">
        <f>IF(ABS($AP686)&lt;=tol_trade_inr,"PASS","FAIL")</f>
        <v/>
      </c>
    </row>
    <row r="687">
      <c r="A687" s="11" t="n">
        <v>44691</v>
      </c>
      <c r="B687" s="7" t="inlineStr">
        <is>
          <t>T01</t>
        </is>
      </c>
      <c r="C687" s="7" t="inlineStr">
        <is>
          <t>PORT:L2</t>
        </is>
      </c>
      <c r="D687" s="7" t="inlineStr">
        <is>
          <t>PORT</t>
        </is>
      </c>
      <c r="E687" s="7" t="inlineStr">
        <is>
          <t>physical</t>
        </is>
      </c>
      <c r="F687" s="7" t="inlineStr">
        <is>
          <t>L2</t>
        </is>
      </c>
      <c r="H687" s="7" t="inlineStr">
        <is>
          <t>zorba</t>
        </is>
      </c>
      <c r="I687" s="7" t="inlineStr">
        <is>
          <t>USEC_MUN</t>
        </is>
      </c>
      <c r="J687" s="7" t="inlineStr">
        <is>
          <t>INR</t>
        </is>
      </c>
      <c r="K687" s="7" t="inlineStr">
        <is>
          <t>fixed_unsettled</t>
        </is>
      </c>
      <c r="L687" s="7" t="inlineStr">
        <is>
          <t>PNL</t>
        </is>
      </c>
      <c r="M687" s="11" t="n">
        <v>44705</v>
      </c>
      <c r="N687" s="13" t="n">
        <v>0</v>
      </c>
      <c r="O687" s="6" t="n">
        <v>0</v>
      </c>
      <c r="P687" s="13" t="n">
        <v>0</v>
      </c>
      <c r="Q687" s="22" t="n">
        <v>31</v>
      </c>
      <c r="R687" s="6" t="n">
        <v>1</v>
      </c>
      <c r="U687" s="9" t="n">
        <v>-2226000</v>
      </c>
      <c r="V687" s="9" t="n">
        <v>-2226000</v>
      </c>
      <c r="X687" s="9" t="n">
        <v>77.26220000000001</v>
      </c>
      <c r="AK687" s="7" t="inlineStr">
        <is>
          <t>PYTHON_LIFECYCLE</t>
        </is>
      </c>
      <c r="AL687" s="8">
        <f>IF($J687="INR",1,IF($M687&lt;$A687,INDEX(Market_Daily!$F$6:$F$256,MATCH($M687,Market_Daily!$A$6:$A$256,1)),IF($M687=$A687,INDEX(Market_Daily!$F$6:$F$256,MATCH($A687,Market_Daily!$A$6:$A$256,0)),(INDEX(Market_Daily!$F$6:$F$256,MATCH($A687,Market_Daily!$A$6:$A$256,0))*(1+INDEX(Market_Daily!$I$6:$I$256,MATCH($A687,Market_Daily!$A$6:$A$256,0))*($M687-$A687)/day_count_inr)/(1+INDEX(Market_Daily!$J$6:$J$256,MATCH($A687,Market_Daily!$A$6:$A$256,0))*($M687-$A687)/day_count_usd)))))</f>
        <v/>
      </c>
      <c r="AM687" s="8">
        <f>IF(OR($J687="INR",$R687&gt;1),"",$AL687-$X687)</f>
        <v/>
      </c>
      <c r="AN687" s="8">
        <f>$U687</f>
        <v/>
      </c>
      <c r="AO687" s="8">
        <f>$AN687*IF($J687="INR",1,$AL687)</f>
        <v/>
      </c>
      <c r="AP687" s="18">
        <f>$AO687-$V687</f>
        <v/>
      </c>
      <c r="AQ687" s="8">
        <f>IF(ABS($AP687)&lt;=tol_trade_inr,"PASS","FAIL")</f>
        <v/>
      </c>
    </row>
    <row r="688">
      <c r="A688" s="11" t="n">
        <v>44691</v>
      </c>
      <c r="B688" s="7" t="inlineStr">
        <is>
          <t>T01</t>
        </is>
      </c>
      <c r="C688" s="7" t="inlineStr">
        <is>
          <t>PORT:L3</t>
        </is>
      </c>
      <c r="D688" s="7" t="inlineStr">
        <is>
          <t>PORT</t>
        </is>
      </c>
      <c r="E688" s="7" t="inlineStr">
        <is>
          <t>physical</t>
        </is>
      </c>
      <c r="F688" s="7" t="inlineStr">
        <is>
          <t>L3</t>
        </is>
      </c>
      <c r="H688" s="7" t="inlineStr">
        <is>
          <t>zorba</t>
        </is>
      </c>
      <c r="I688" s="7" t="inlineStr">
        <is>
          <t>USEC_MUN</t>
        </is>
      </c>
      <c r="J688" s="7" t="inlineStr">
        <is>
          <t>INR</t>
        </is>
      </c>
      <c r="K688" s="7" t="inlineStr">
        <is>
          <t>fixed_unsettled</t>
        </is>
      </c>
      <c r="L688" s="7" t="inlineStr">
        <is>
          <t>PNL</t>
        </is>
      </c>
      <c r="M688" s="11" t="n">
        <v>44708</v>
      </c>
      <c r="N688" s="13" t="n">
        <v>0</v>
      </c>
      <c r="O688" s="6" t="n">
        <v>0</v>
      </c>
      <c r="P688" s="13" t="n">
        <v>0</v>
      </c>
      <c r="Q688" s="22" t="n">
        <v>31</v>
      </c>
      <c r="R688" s="6" t="n">
        <v>1</v>
      </c>
      <c r="U688" s="9" t="n">
        <v>-2226000</v>
      </c>
      <c r="V688" s="9" t="n">
        <v>-2226000</v>
      </c>
      <c r="X688" s="9" t="n">
        <v>77.26220000000001</v>
      </c>
      <c r="AK688" s="7" t="inlineStr">
        <is>
          <t>PYTHON_LIFECYCLE</t>
        </is>
      </c>
      <c r="AL688" s="8">
        <f>IF($J688="INR",1,IF($M688&lt;$A688,INDEX(Market_Daily!$F$6:$F$256,MATCH($M688,Market_Daily!$A$6:$A$256,1)),IF($M688=$A688,INDEX(Market_Daily!$F$6:$F$256,MATCH($A688,Market_Daily!$A$6:$A$256,0)),(INDEX(Market_Daily!$F$6:$F$256,MATCH($A688,Market_Daily!$A$6:$A$256,0))*(1+INDEX(Market_Daily!$I$6:$I$256,MATCH($A688,Market_Daily!$A$6:$A$256,0))*($M688-$A688)/day_count_inr)/(1+INDEX(Market_Daily!$J$6:$J$256,MATCH($A688,Market_Daily!$A$6:$A$256,0))*($M688-$A688)/day_count_usd)))))</f>
        <v/>
      </c>
      <c r="AM688" s="8">
        <f>IF(OR($J688="INR",$R688&gt;1),"",$AL688-$X688)</f>
        <v/>
      </c>
      <c r="AN688" s="8">
        <f>$U688</f>
        <v/>
      </c>
      <c r="AO688" s="8">
        <f>$AN688*IF($J688="INR",1,$AL688)</f>
        <v/>
      </c>
      <c r="AP688" s="18">
        <f>$AO688-$V688</f>
        <v/>
      </c>
      <c r="AQ688" s="8">
        <f>IF(ABS($AP688)&lt;=tol_trade_inr,"PASS","FAIL")</f>
        <v/>
      </c>
    </row>
    <row r="689">
      <c r="A689" s="11" t="n">
        <v>44691</v>
      </c>
      <c r="B689" s="7" t="inlineStr">
        <is>
          <t>T01</t>
        </is>
      </c>
      <c r="C689" s="7" t="inlineStr">
        <is>
          <t>SALE:S1</t>
        </is>
      </c>
      <c r="D689" s="7" t="inlineStr">
        <is>
          <t>SALE</t>
        </is>
      </c>
      <c r="E689" s="7" t="inlineStr">
        <is>
          <t>physical</t>
        </is>
      </c>
      <c r="G689" s="7" t="inlineStr">
        <is>
          <t>BUY_MUN_01</t>
        </is>
      </c>
      <c r="H689" s="7" t="inlineStr">
        <is>
          <t>zorba</t>
        </is>
      </c>
      <c r="I689" s="7" t="inlineStr">
        <is>
          <t>USEC_MUN</t>
        </is>
      </c>
      <c r="J689" s="7" t="inlineStr">
        <is>
          <t>INR</t>
        </is>
      </c>
      <c r="K689" s="7" t="inlineStr">
        <is>
          <t>floating</t>
        </is>
      </c>
      <c r="L689" s="7" t="inlineStr">
        <is>
          <t>PNL</t>
        </is>
      </c>
      <c r="M689" s="11" t="n">
        <v>44735</v>
      </c>
      <c r="N689" s="13" t="n">
        <v>3360</v>
      </c>
      <c r="O689" s="6" t="n">
        <v>0</v>
      </c>
      <c r="P689" s="13" t="n">
        <v>0</v>
      </c>
      <c r="Q689" s="22" t="n">
        <v>31</v>
      </c>
      <c r="R689" s="6" t="n">
        <v>2</v>
      </c>
      <c r="U689" s="9" t="n">
        <v>337680000</v>
      </c>
      <c r="V689" s="9" t="n">
        <v>337680000</v>
      </c>
      <c r="W689" s="9" t="n">
        <v>201000</v>
      </c>
      <c r="X689" s="9" t="n">
        <v>77.26220000000001</v>
      </c>
      <c r="AK689" s="7" t="inlineStr">
        <is>
          <t>PYTHON_MULTI_FLOW_LEG</t>
        </is>
      </c>
      <c r="AL689" s="8">
        <f>IF($J689="INR",1,IF($M689&lt;$A689,INDEX(Market_Daily!$F$6:$F$256,MATCH($M689,Market_Daily!$A$6:$A$256,1)),IF($M689=$A689,INDEX(Market_Daily!$F$6:$F$256,MATCH($A689,Market_Daily!$A$6:$A$256,0)),(INDEX(Market_Daily!$F$6:$F$256,MATCH($A689,Market_Daily!$A$6:$A$256,0))*(1+INDEX(Market_Daily!$I$6:$I$256,MATCH($A689,Market_Daily!$A$6:$A$256,0))*($M689-$A689)/day_count_inr)/(1+INDEX(Market_Daily!$J$6:$J$256,MATCH($A689,Market_Daily!$A$6:$A$256,0))*($M689-$A689)/day_count_usd)))))</f>
        <v/>
      </c>
      <c r="AM689" s="8">
        <f>IF(OR($J689="INR",$R689&gt;1),"",$AL689-$X689)</f>
        <v/>
      </c>
      <c r="AN689" s="8">
        <f>$U689</f>
        <v/>
      </c>
      <c r="AO689" s="8">
        <f>$V689</f>
        <v/>
      </c>
      <c r="AP689" s="18">
        <f>$AO689-$V689</f>
        <v/>
      </c>
      <c r="AQ689" s="8">
        <f>IF(ABS($AP689)&lt;=tol_trade_inr,"PASS","FAIL")</f>
        <v/>
      </c>
    </row>
    <row r="690">
      <c r="A690" s="11" t="n">
        <v>44691</v>
      </c>
      <c r="B690" s="7" t="inlineStr">
        <is>
          <t>T01</t>
        </is>
      </c>
      <c r="C690" s="7" t="inlineStr">
        <is>
          <t>SALE:S2</t>
        </is>
      </c>
      <c r="D690" s="7" t="inlineStr">
        <is>
          <t>SALE</t>
        </is>
      </c>
      <c r="E690" s="7" t="inlineStr">
        <is>
          <t>physical</t>
        </is>
      </c>
      <c r="G690" s="7" t="inlineStr">
        <is>
          <t>BUY_RJK_01</t>
        </is>
      </c>
      <c r="H690" s="7" t="inlineStr">
        <is>
          <t>zorba</t>
        </is>
      </c>
      <c r="I690" s="7" t="inlineStr">
        <is>
          <t>USEC_MUN</t>
        </is>
      </c>
      <c r="J690" s="7" t="inlineStr">
        <is>
          <t>INR</t>
        </is>
      </c>
      <c r="K690" s="7" t="inlineStr">
        <is>
          <t>floating</t>
        </is>
      </c>
      <c r="L690" s="7" t="inlineStr">
        <is>
          <t>PNL</t>
        </is>
      </c>
      <c r="M690" s="11" t="n">
        <v>44708</v>
      </c>
      <c r="N690" s="13" t="n">
        <v>1680</v>
      </c>
      <c r="O690" s="6" t="n">
        <v>0</v>
      </c>
      <c r="P690" s="13" t="n">
        <v>0</v>
      </c>
      <c r="Q690" s="22" t="n">
        <v>31</v>
      </c>
      <c r="R690" s="6" t="n">
        <v>2</v>
      </c>
      <c r="U690" s="9" t="n">
        <v>151620000</v>
      </c>
      <c r="V690" s="9" t="n">
        <v>151620000</v>
      </c>
      <c r="W690" s="9" t="n">
        <v>180500</v>
      </c>
      <c r="X690" s="9" t="n">
        <v>77.26220000000001</v>
      </c>
      <c r="AK690" s="7" t="inlineStr">
        <is>
          <t>PYTHON_MULTI_FLOW_LEG</t>
        </is>
      </c>
      <c r="AL690" s="8">
        <f>IF($J690="INR",1,IF($M690&lt;$A690,INDEX(Market_Daily!$F$6:$F$256,MATCH($M690,Market_Daily!$A$6:$A$256,1)),IF($M690=$A690,INDEX(Market_Daily!$F$6:$F$256,MATCH($A690,Market_Daily!$A$6:$A$256,0)),(INDEX(Market_Daily!$F$6:$F$256,MATCH($A690,Market_Daily!$A$6:$A$256,0))*(1+INDEX(Market_Daily!$I$6:$I$256,MATCH($A690,Market_Daily!$A$6:$A$256,0))*($M690-$A690)/day_count_inr)/(1+INDEX(Market_Daily!$J$6:$J$256,MATCH($A690,Market_Daily!$A$6:$A$256,0))*($M690-$A690)/day_count_usd)))))</f>
        <v/>
      </c>
      <c r="AM690" s="8">
        <f>IF(OR($J690="INR",$R690&gt;1),"",$AL690-$X690)</f>
        <v/>
      </c>
      <c r="AN690" s="8">
        <f>$U690</f>
        <v/>
      </c>
      <c r="AO690" s="8">
        <f>$V690</f>
        <v/>
      </c>
      <c r="AP690" s="18">
        <f>$AO690-$V690</f>
        <v/>
      </c>
      <c r="AQ690" s="8">
        <f>IF(ABS($AP690)&lt;=tol_trade_inr,"PASS","FAIL")</f>
        <v/>
      </c>
    </row>
    <row r="691">
      <c r="A691" s="11" t="n">
        <v>44691</v>
      </c>
      <c r="B691" s="7" t="inlineStr">
        <is>
          <t>T02</t>
        </is>
      </c>
      <c r="C691" s="7" t="inlineStr">
        <is>
          <t>BILL_COMMISSION:L1</t>
        </is>
      </c>
      <c r="D691" s="7" t="inlineStr">
        <is>
          <t>BILL_COMMISSION</t>
        </is>
      </c>
      <c r="E691" s="7" t="inlineStr">
        <is>
          <t>physical</t>
        </is>
      </c>
      <c r="F691" s="7" t="inlineStr">
        <is>
          <t>L1</t>
        </is>
      </c>
      <c r="H691" s="7" t="inlineStr">
        <is>
          <t>tense</t>
        </is>
      </c>
      <c r="I691" s="7" t="inlineStr">
        <is>
          <t>JEA_NSA</t>
        </is>
      </c>
      <c r="J691" s="7" t="inlineStr">
        <is>
          <t>USD</t>
        </is>
      </c>
      <c r="K691" s="7" t="inlineStr">
        <is>
          <t>floating</t>
        </is>
      </c>
      <c r="L691" s="7" t="inlineStr">
        <is>
          <t>PNL</t>
        </is>
      </c>
      <c r="M691" s="11" t="n">
        <v>44746</v>
      </c>
      <c r="N691" s="13" t="n">
        <v>0</v>
      </c>
      <c r="O691" s="6" t="n">
        <v>0</v>
      </c>
      <c r="P691" s="13" t="n">
        <v>0</v>
      </c>
      <c r="Q691" s="22" t="n">
        <v>31</v>
      </c>
      <c r="R691" s="6" t="n">
        <v>1</v>
      </c>
      <c r="U691" s="9" t="n">
        <v>-1490.28</v>
      </c>
      <c r="V691" s="9" t="n">
        <v>-115806.56</v>
      </c>
      <c r="X691" s="9" t="n">
        <v>77.708</v>
      </c>
      <c r="AK691" s="7" t="inlineStr">
        <is>
          <t>PYTHON_LIFECYCLE</t>
        </is>
      </c>
      <c r="AL691" s="8">
        <f>IF($J691="INR",1,IF($M691&lt;$A691,INDEX(Market_Daily!$F$6:$F$256,MATCH($M691,Market_Daily!$A$6:$A$256,1)),IF($M691=$A691,INDEX(Market_Daily!$F$6:$F$256,MATCH($A691,Market_Daily!$A$6:$A$256,0)),(INDEX(Market_Daily!$F$6:$F$256,MATCH($A691,Market_Daily!$A$6:$A$256,0))*(1+INDEX(Market_Daily!$I$6:$I$256,MATCH($A691,Market_Daily!$A$6:$A$256,0))*($M691-$A691)/day_count_inr)/(1+INDEX(Market_Daily!$J$6:$J$256,MATCH($A691,Market_Daily!$A$6:$A$256,0))*($M691-$A691)/day_count_usd)))))</f>
        <v/>
      </c>
      <c r="AM691" s="8">
        <f>IF(OR($J691="INR",$R691&gt;1),"",$AL691-$X691)</f>
        <v/>
      </c>
      <c r="AN691" s="8">
        <f>$U691</f>
        <v/>
      </c>
      <c r="AO691" s="8">
        <f>$AN691*IF($J691="INR",1,$AL691)</f>
        <v/>
      </c>
      <c r="AP691" s="18">
        <f>$AO691-$V691</f>
        <v/>
      </c>
      <c r="AQ691" s="8">
        <f>IF(ABS($AP691)&lt;=tol_trade_inr,"PASS","FAIL")</f>
        <v/>
      </c>
    </row>
    <row r="692">
      <c r="A692" s="11" t="n">
        <v>44691</v>
      </c>
      <c r="B692" s="7" t="inlineStr">
        <is>
          <t>T02</t>
        </is>
      </c>
      <c r="C692" s="7" t="inlineStr">
        <is>
          <t>BILL_COMMISSION:L2</t>
        </is>
      </c>
      <c r="D692" s="7" t="inlineStr">
        <is>
          <t>BILL_COMMISSION</t>
        </is>
      </c>
      <c r="E692" s="7" t="inlineStr">
        <is>
          <t>physical</t>
        </is>
      </c>
      <c r="F692" s="7" t="inlineStr">
        <is>
          <t>L2</t>
        </is>
      </c>
      <c r="H692" s="7" t="inlineStr">
        <is>
          <t>tense</t>
        </is>
      </c>
      <c r="I692" s="7" t="inlineStr">
        <is>
          <t>JEA_NSA</t>
        </is>
      </c>
      <c r="J692" s="7" t="inlineStr">
        <is>
          <t>USD</t>
        </is>
      </c>
      <c r="K692" s="7" t="inlineStr">
        <is>
          <t>floating</t>
        </is>
      </c>
      <c r="L692" s="7" t="inlineStr">
        <is>
          <t>PNL</t>
        </is>
      </c>
      <c r="M692" s="11" t="n">
        <v>44754</v>
      </c>
      <c r="N692" s="13" t="n">
        <v>0</v>
      </c>
      <c r="O692" s="6" t="n">
        <v>0</v>
      </c>
      <c r="P692" s="13" t="n">
        <v>0</v>
      </c>
      <c r="Q692" s="22" t="n">
        <v>31</v>
      </c>
      <c r="R692" s="6" t="n">
        <v>1</v>
      </c>
      <c r="U692" s="9" t="n">
        <v>-1399.51</v>
      </c>
      <c r="V692" s="9" t="n">
        <v>-108843.65</v>
      </c>
      <c r="X692" s="9" t="n">
        <v>77.7727</v>
      </c>
      <c r="AK692" s="7" t="inlineStr">
        <is>
          <t>PYTHON_LIFECYCLE</t>
        </is>
      </c>
      <c r="AL692" s="8">
        <f>IF($J692="INR",1,IF($M692&lt;$A692,INDEX(Market_Daily!$F$6:$F$256,MATCH($M692,Market_Daily!$A$6:$A$256,1)),IF($M692=$A692,INDEX(Market_Daily!$F$6:$F$256,MATCH($A692,Market_Daily!$A$6:$A$256,0)),(INDEX(Market_Daily!$F$6:$F$256,MATCH($A692,Market_Daily!$A$6:$A$256,0))*(1+INDEX(Market_Daily!$I$6:$I$256,MATCH($A692,Market_Daily!$A$6:$A$256,0))*($M692-$A692)/day_count_inr)/(1+INDEX(Market_Daily!$J$6:$J$256,MATCH($A692,Market_Daily!$A$6:$A$256,0))*($M692-$A692)/day_count_usd)))))</f>
        <v/>
      </c>
      <c r="AM692" s="8">
        <f>IF(OR($J692="INR",$R692&gt;1),"",$AL692-$X692)</f>
        <v/>
      </c>
      <c r="AN692" s="8">
        <f>$U692</f>
        <v/>
      </c>
      <c r="AO692" s="8">
        <f>$AN692*IF($J692="INR",1,$AL692)</f>
        <v/>
      </c>
      <c r="AP692" s="18">
        <f>$AO692-$V692</f>
        <v/>
      </c>
      <c r="AQ692" s="8">
        <f>IF(ABS($AP692)&lt;=tol_trade_inr,"PASS","FAIL")</f>
        <v/>
      </c>
    </row>
    <row r="693">
      <c r="A693" s="11" t="n">
        <v>44691</v>
      </c>
      <c r="B693" s="7" t="inlineStr">
        <is>
          <t>T02</t>
        </is>
      </c>
      <c r="C693" s="7" t="inlineStr">
        <is>
          <t>DUTY:L1</t>
        </is>
      </c>
      <c r="D693" s="7" t="inlineStr">
        <is>
          <t>DUTY</t>
        </is>
      </c>
      <c r="E693" s="7" t="inlineStr">
        <is>
          <t>physical</t>
        </is>
      </c>
      <c r="F693" s="7" t="inlineStr">
        <is>
          <t>L1</t>
        </is>
      </c>
      <c r="H693" s="7" t="inlineStr">
        <is>
          <t>tense</t>
        </is>
      </c>
      <c r="I693" s="7" t="inlineStr">
        <is>
          <t>JEA_NSA</t>
        </is>
      </c>
      <c r="J693" s="7" t="inlineStr">
        <is>
          <t>INR</t>
        </is>
      </c>
      <c r="K693" s="7" t="inlineStr">
        <is>
          <t>partially_fixed</t>
        </is>
      </c>
      <c r="L693" s="7" t="inlineStr">
        <is>
          <t>PNL</t>
        </is>
      </c>
      <c r="M693" s="11" t="n">
        <v>44721</v>
      </c>
      <c r="N693" s="13" t="n">
        <v>600</v>
      </c>
      <c r="O693" s="6" t="n">
        <v>0</v>
      </c>
      <c r="P693" s="13" t="n">
        <v>0</v>
      </c>
      <c r="Q693" s="22" t="n">
        <v>31</v>
      </c>
      <c r="R693" s="6" t="n">
        <v>2</v>
      </c>
      <c r="U693" s="9" t="n">
        <v>559542.92</v>
      </c>
      <c r="V693" s="9" t="n">
        <v>559542.92</v>
      </c>
      <c r="X693" s="9" t="n">
        <v>77.26220000000001</v>
      </c>
      <c r="AK693" s="7" t="inlineStr">
        <is>
          <t>PYTHON_MULTI_FLOW_LEG</t>
        </is>
      </c>
      <c r="AL693" s="8">
        <f>IF($J693="INR",1,IF($M693&lt;$A693,INDEX(Market_Daily!$F$6:$F$256,MATCH($M693,Market_Daily!$A$6:$A$256,1)),IF($M693=$A693,INDEX(Market_Daily!$F$6:$F$256,MATCH($A693,Market_Daily!$A$6:$A$256,0)),(INDEX(Market_Daily!$F$6:$F$256,MATCH($A693,Market_Daily!$A$6:$A$256,0))*(1+INDEX(Market_Daily!$I$6:$I$256,MATCH($A693,Market_Daily!$A$6:$A$256,0))*($M693-$A693)/day_count_inr)/(1+INDEX(Market_Daily!$J$6:$J$256,MATCH($A693,Market_Daily!$A$6:$A$256,0))*($M693-$A693)/day_count_usd)))))</f>
        <v/>
      </c>
      <c r="AM693" s="8">
        <f>IF(OR($J693="INR",$R693&gt;1),"",$AL693-$X693)</f>
        <v/>
      </c>
      <c r="AN693" s="8">
        <f>$U693</f>
        <v/>
      </c>
      <c r="AO693" s="8">
        <f>$V693</f>
        <v/>
      </c>
      <c r="AP693" s="18">
        <f>$AO693-$V693</f>
        <v/>
      </c>
      <c r="AQ693" s="8">
        <f>IF(ABS($AP693)&lt;=tol_trade_inr,"PASS","FAIL")</f>
        <v/>
      </c>
    </row>
    <row r="694">
      <c r="A694" s="11" t="n">
        <v>44691</v>
      </c>
      <c r="B694" s="7" t="inlineStr">
        <is>
          <t>T02</t>
        </is>
      </c>
      <c r="C694" s="7" t="inlineStr">
        <is>
          <t>DUTY:L2</t>
        </is>
      </c>
      <c r="D694" s="7" t="inlineStr">
        <is>
          <t>DUTY</t>
        </is>
      </c>
      <c r="E694" s="7" t="inlineStr">
        <is>
          <t>physical</t>
        </is>
      </c>
      <c r="F694" s="7" t="inlineStr">
        <is>
          <t>L2</t>
        </is>
      </c>
      <c r="H694" s="7" t="inlineStr">
        <is>
          <t>tense</t>
        </is>
      </c>
      <c r="I694" s="7" t="inlineStr">
        <is>
          <t>JEA_NSA</t>
        </is>
      </c>
      <c r="J694" s="7" t="inlineStr">
        <is>
          <t>INR</t>
        </is>
      </c>
      <c r="K694" s="7" t="inlineStr">
        <is>
          <t>partially_fixed</t>
        </is>
      </c>
      <c r="L694" s="7" t="inlineStr">
        <is>
          <t>PNL</t>
        </is>
      </c>
      <c r="M694" s="11" t="n">
        <v>44721</v>
      </c>
      <c r="N694" s="13" t="n">
        <v>600</v>
      </c>
      <c r="O694" s="6" t="n">
        <v>0</v>
      </c>
      <c r="P694" s="13" t="n">
        <v>0</v>
      </c>
      <c r="Q694" s="22" t="n">
        <v>31</v>
      </c>
      <c r="R694" s="6" t="n">
        <v>2</v>
      </c>
      <c r="U694" s="9" t="n">
        <v>391195.43</v>
      </c>
      <c r="V694" s="9" t="n">
        <v>391195.43</v>
      </c>
      <c r="X694" s="9" t="n">
        <v>77.26220000000001</v>
      </c>
      <c r="AK694" s="7" t="inlineStr">
        <is>
          <t>PYTHON_MULTI_FLOW_LEG</t>
        </is>
      </c>
      <c r="AL694" s="8">
        <f>IF($J694="INR",1,IF($M694&lt;$A694,INDEX(Market_Daily!$F$6:$F$256,MATCH($M694,Market_Daily!$A$6:$A$256,1)),IF($M694=$A694,INDEX(Market_Daily!$F$6:$F$256,MATCH($A694,Market_Daily!$A$6:$A$256,0)),(INDEX(Market_Daily!$F$6:$F$256,MATCH($A694,Market_Daily!$A$6:$A$256,0))*(1+INDEX(Market_Daily!$I$6:$I$256,MATCH($A694,Market_Daily!$A$6:$A$256,0))*($M694-$A694)/day_count_inr)/(1+INDEX(Market_Daily!$J$6:$J$256,MATCH($A694,Market_Daily!$A$6:$A$256,0))*($M694-$A694)/day_count_usd)))))</f>
        <v/>
      </c>
      <c r="AM694" s="8">
        <f>IF(OR($J694="INR",$R694&gt;1),"",$AL694-$X694)</f>
        <v/>
      </c>
      <c r="AN694" s="8">
        <f>$U694</f>
        <v/>
      </c>
      <c r="AO694" s="8">
        <f>$V694</f>
        <v/>
      </c>
      <c r="AP694" s="18">
        <f>$AO694-$V694</f>
        <v/>
      </c>
      <c r="AQ694" s="8">
        <f>IF(ABS($AP694)&lt;=tol_trade_inr,"PASS","FAIL")</f>
        <v/>
      </c>
    </row>
    <row r="695">
      <c r="A695" s="11" t="n">
        <v>44691</v>
      </c>
      <c r="B695" s="7" t="inlineStr">
        <is>
          <t>T02</t>
        </is>
      </c>
      <c r="C695" s="7" t="inlineStr">
        <is>
          <t>FX:T02-FX-1</t>
        </is>
      </c>
      <c r="D695" s="7" t="inlineStr">
        <is>
          <t>FX</t>
        </is>
      </c>
      <c r="E695" s="7" t="inlineStr">
        <is>
          <t>fx_forward</t>
        </is>
      </c>
      <c r="H695" s="7" t="inlineStr">
        <is>
          <t>tense</t>
        </is>
      </c>
      <c r="I695" s="7" t="inlineStr">
        <is>
          <t>JEA_NSA</t>
        </is>
      </c>
      <c r="J695" s="7" t="inlineStr">
        <is>
          <t>INR</t>
        </is>
      </c>
      <c r="K695" s="7" t="inlineStr">
        <is>
          <t>floating</t>
        </is>
      </c>
      <c r="L695" s="7" t="inlineStr">
        <is>
          <t>PNL</t>
        </is>
      </c>
      <c r="M695" s="11" t="n">
        <v>44746</v>
      </c>
      <c r="N695" s="13" t="n">
        <v>0</v>
      </c>
      <c r="O695" s="6" t="n">
        <v>0</v>
      </c>
      <c r="P695" s="13" t="n">
        <v>1241900</v>
      </c>
      <c r="Q695" s="22" t="n">
        <v>31</v>
      </c>
      <c r="R695" s="6" t="n">
        <v>1</v>
      </c>
      <c r="S695" s="12" t="n">
        <v>44746</v>
      </c>
      <c r="T695" s="21" t="n">
        <v>76.040598</v>
      </c>
      <c r="U695" s="9" t="n">
        <v>2070735.25</v>
      </c>
      <c r="V695" s="9" t="n">
        <v>2070735.25</v>
      </c>
      <c r="X695" s="9" t="n">
        <v>77.26220000000001</v>
      </c>
      <c r="AK695" s="7" t="inlineStr">
        <is>
          <t>DERIVED_IN_WORKBOOK</t>
        </is>
      </c>
      <c r="AL695" s="8">
        <f>IF($J695="INR",1,IF($M695&lt;$A695,INDEX(Market_Daily!$F$6:$F$256,MATCH($M695,Market_Daily!$A$6:$A$256,1)),IF($M695=$A695,INDEX(Market_Daily!$F$6:$F$256,MATCH($A695,Market_Daily!$A$6:$A$256,0)),(INDEX(Market_Daily!$F$6:$F$256,MATCH($A695,Market_Daily!$A$6:$A$256,0))*(1+INDEX(Market_Daily!$I$6:$I$256,MATCH($A695,Market_Daily!$A$6:$A$256,0))*($M695-$A695)/day_count_inr)/(1+INDEX(Market_Daily!$J$6:$J$256,MATCH($A695,Market_Daily!$A$6:$A$256,0))*($M695-$A695)/day_count_usd)))))</f>
        <v/>
      </c>
      <c r="AM695" s="8">
        <f>IF(OR($J695="INR",$R695&gt;1),"",$AL695-$X695)</f>
        <v/>
      </c>
      <c r="AN695" s="8">
        <f>$P695*(IF($S695&lt;$A695,INDEX(Market_Daily!$F$6:$F$256,MATCH($S695,Market_Daily!$A$6:$A$256,1)),IF($S695=$A695,INDEX(Market_Daily!$F$6:$F$256,MATCH($A695,Market_Daily!$A$6:$A$256,0)),(INDEX(Market_Daily!$F$6:$F$256,MATCH($A695,Market_Daily!$A$6:$A$256,0))*(1+INDEX(Market_Daily!$I$6:$I$256,MATCH($A695,Market_Daily!$A$6:$A$256,0))*($S695-$A695)/day_count_inr)/(1+INDEX(Market_Daily!$J$6:$J$256,MATCH($A695,Market_Daily!$A$6:$A$256,0))*($S695-$A695)/day_count_usd))))-$T695)</f>
        <v/>
      </c>
      <c r="AO695" s="8">
        <f>$AN695</f>
        <v/>
      </c>
      <c r="AP695" s="18">
        <f>$AO695-$V695</f>
        <v/>
      </c>
      <c r="AQ695" s="8">
        <f>IF(ABS($AP695)&lt;=tol_trade_inr,"PASS","FAIL")</f>
        <v/>
      </c>
    </row>
    <row r="696">
      <c r="A696" s="11" t="n">
        <v>44691</v>
      </c>
      <c r="B696" s="7" t="inlineStr">
        <is>
          <t>T02</t>
        </is>
      </c>
      <c r="C696" s="7" t="inlineStr">
        <is>
          <t>FX:T02-FX-2</t>
        </is>
      </c>
      <c r="D696" s="7" t="inlineStr">
        <is>
          <t>FX</t>
        </is>
      </c>
      <c r="E696" s="7" t="inlineStr">
        <is>
          <t>fx_forward</t>
        </is>
      </c>
      <c r="H696" s="7" t="inlineStr">
        <is>
          <t>tense</t>
        </is>
      </c>
      <c r="I696" s="7" t="inlineStr">
        <is>
          <t>JEA_NSA</t>
        </is>
      </c>
      <c r="J696" s="7" t="inlineStr">
        <is>
          <t>INR</t>
        </is>
      </c>
      <c r="K696" s="7" t="inlineStr">
        <is>
          <t>floating</t>
        </is>
      </c>
      <c r="L696" s="7" t="inlineStr">
        <is>
          <t>PNL</t>
        </is>
      </c>
      <c r="M696" s="11" t="n">
        <v>44754</v>
      </c>
      <c r="N696" s="13" t="n">
        <v>0</v>
      </c>
      <c r="O696" s="6" t="n">
        <v>0</v>
      </c>
      <c r="P696" s="13" t="n">
        <v>1166000</v>
      </c>
      <c r="Q696" s="22" t="n">
        <v>31</v>
      </c>
      <c r="R696" s="6" t="n">
        <v>1</v>
      </c>
      <c r="S696" s="12" t="n">
        <v>44754</v>
      </c>
      <c r="T696" s="21" t="n">
        <v>76.878636</v>
      </c>
      <c r="U696" s="9" t="n">
        <v>1042516.03</v>
      </c>
      <c r="V696" s="9" t="n">
        <v>1042516.03</v>
      </c>
      <c r="X696" s="9" t="n">
        <v>77.26220000000001</v>
      </c>
      <c r="AK696" s="7" t="inlineStr">
        <is>
          <t>DERIVED_IN_WORKBOOK</t>
        </is>
      </c>
      <c r="AL696" s="8">
        <f>IF($J696="INR",1,IF($M696&lt;$A696,INDEX(Market_Daily!$F$6:$F$256,MATCH($M696,Market_Daily!$A$6:$A$256,1)),IF($M696=$A696,INDEX(Market_Daily!$F$6:$F$256,MATCH($A696,Market_Daily!$A$6:$A$256,0)),(INDEX(Market_Daily!$F$6:$F$256,MATCH($A696,Market_Daily!$A$6:$A$256,0))*(1+INDEX(Market_Daily!$I$6:$I$256,MATCH($A696,Market_Daily!$A$6:$A$256,0))*($M696-$A696)/day_count_inr)/(1+INDEX(Market_Daily!$J$6:$J$256,MATCH($A696,Market_Daily!$A$6:$A$256,0))*($M696-$A696)/day_count_usd)))))</f>
        <v/>
      </c>
      <c r="AM696" s="8">
        <f>IF(OR($J696="INR",$R696&gt;1),"",$AL696-$X696)</f>
        <v/>
      </c>
      <c r="AN696" s="8">
        <f>$P696*(IF($S696&lt;$A696,INDEX(Market_Daily!$F$6:$F$256,MATCH($S696,Market_Daily!$A$6:$A$256,1)),IF($S696=$A696,INDEX(Market_Daily!$F$6:$F$256,MATCH($A696,Market_Daily!$A$6:$A$256,0)),(INDEX(Market_Daily!$F$6:$F$256,MATCH($A696,Market_Daily!$A$6:$A$256,0))*(1+INDEX(Market_Daily!$I$6:$I$256,MATCH($A696,Market_Daily!$A$6:$A$256,0))*($S696-$A696)/day_count_inr)/(1+INDEX(Market_Daily!$J$6:$J$256,MATCH($A696,Market_Daily!$A$6:$A$256,0))*($S696-$A696)/day_count_usd))))-$T696)</f>
        <v/>
      </c>
      <c r="AO696" s="8">
        <f>$AN696</f>
        <v/>
      </c>
      <c r="AP696" s="18">
        <f>$AO696-$V696</f>
        <v/>
      </c>
      <c r="AQ696" s="8">
        <f>IF(ABS($AP696)&lt;=tol_trade_inr,"PASS","FAIL")</f>
        <v/>
      </c>
    </row>
    <row r="697">
      <c r="A697" s="11" t="n">
        <v>44691</v>
      </c>
      <c r="B697" s="7" t="inlineStr">
        <is>
          <t>T02</t>
        </is>
      </c>
      <c r="C697" s="7" t="inlineStr">
        <is>
          <t>IGST:L1</t>
        </is>
      </c>
      <c r="D697" s="7" t="inlineStr">
        <is>
          <t>IGST</t>
        </is>
      </c>
      <c r="E697" s="7" t="inlineStr">
        <is>
          <t>physical</t>
        </is>
      </c>
      <c r="F697" s="7" t="inlineStr">
        <is>
          <t>L1</t>
        </is>
      </c>
      <c r="H697" s="7" t="inlineStr">
        <is>
          <t>tense</t>
        </is>
      </c>
      <c r="I697" s="7" t="inlineStr">
        <is>
          <t>JEA_NSA</t>
        </is>
      </c>
      <c r="J697" s="7" t="inlineStr">
        <is>
          <t>INR</t>
        </is>
      </c>
      <c r="K697" s="7" t="inlineStr">
        <is>
          <t>fixed_unsettled</t>
        </is>
      </c>
      <c r="L697" s="7" t="inlineStr">
        <is>
          <t>BS</t>
        </is>
      </c>
      <c r="M697" s="11" t="n">
        <v>44707</v>
      </c>
      <c r="N697" s="13" t="n">
        <v>0</v>
      </c>
      <c r="O697" s="6" t="n">
        <v>0</v>
      </c>
      <c r="P697" s="13" t="n">
        <v>0</v>
      </c>
      <c r="Q697" s="22" t="n">
        <v>31</v>
      </c>
      <c r="R697" s="6" t="n">
        <v>2</v>
      </c>
      <c r="U697" s="9" t="n">
        <v>0</v>
      </c>
      <c r="V697" s="9" t="n">
        <v>0</v>
      </c>
      <c r="X697" s="9" t="n">
        <v>77.26220000000001</v>
      </c>
      <c r="AK697" s="7" t="inlineStr">
        <is>
          <t>PYTHON_MULTI_FLOW_LEG</t>
        </is>
      </c>
      <c r="AL697" s="8">
        <f>IF($J697="INR",1,IF($M697&lt;$A697,INDEX(Market_Daily!$F$6:$F$256,MATCH($M697,Market_Daily!$A$6:$A$256,1)),IF($M697=$A697,INDEX(Market_Daily!$F$6:$F$256,MATCH($A697,Market_Daily!$A$6:$A$256,0)),(INDEX(Market_Daily!$F$6:$F$256,MATCH($A697,Market_Daily!$A$6:$A$256,0))*(1+INDEX(Market_Daily!$I$6:$I$256,MATCH($A697,Market_Daily!$A$6:$A$256,0))*($M697-$A697)/day_count_inr)/(1+INDEX(Market_Daily!$J$6:$J$256,MATCH($A697,Market_Daily!$A$6:$A$256,0))*($M697-$A697)/day_count_usd)))))</f>
        <v/>
      </c>
      <c r="AM697" s="8">
        <f>IF(OR($J697="INR",$R697&gt;1),"",$AL697-$X697)</f>
        <v/>
      </c>
      <c r="AN697" s="8">
        <f>$U697</f>
        <v/>
      </c>
      <c r="AO697" s="8">
        <f>$V697</f>
        <v/>
      </c>
      <c r="AP697" s="18">
        <f>$AO697-$V697</f>
        <v/>
      </c>
      <c r="AQ697" s="8">
        <f>IF(ABS($AP697)&lt;=tol_trade_inr,"PASS","FAIL")</f>
        <v/>
      </c>
    </row>
    <row r="698">
      <c r="A698" s="11" t="n">
        <v>44691</v>
      </c>
      <c r="B698" s="7" t="inlineStr">
        <is>
          <t>T02</t>
        </is>
      </c>
      <c r="C698" s="7" t="inlineStr">
        <is>
          <t>IGST:L2</t>
        </is>
      </c>
      <c r="D698" s="7" t="inlineStr">
        <is>
          <t>IGST</t>
        </is>
      </c>
      <c r="E698" s="7" t="inlineStr">
        <is>
          <t>physical</t>
        </is>
      </c>
      <c r="F698" s="7" t="inlineStr">
        <is>
          <t>L2</t>
        </is>
      </c>
      <c r="H698" s="7" t="inlineStr">
        <is>
          <t>tense</t>
        </is>
      </c>
      <c r="I698" s="7" t="inlineStr">
        <is>
          <t>JEA_NSA</t>
        </is>
      </c>
      <c r="J698" s="7" t="inlineStr">
        <is>
          <t>INR</t>
        </is>
      </c>
      <c r="K698" s="7" t="inlineStr">
        <is>
          <t>fixed_unsettled</t>
        </is>
      </c>
      <c r="L698" s="7" t="inlineStr">
        <is>
          <t>BS</t>
        </is>
      </c>
      <c r="M698" s="11" t="n">
        <v>44718</v>
      </c>
      <c r="N698" s="13" t="n">
        <v>0</v>
      </c>
      <c r="O698" s="6" t="n">
        <v>0</v>
      </c>
      <c r="P698" s="13" t="n">
        <v>0</v>
      </c>
      <c r="Q698" s="22" t="n">
        <v>31</v>
      </c>
      <c r="R698" s="6" t="n">
        <v>2</v>
      </c>
      <c r="U698" s="9" t="n">
        <v>0</v>
      </c>
      <c r="V698" s="9" t="n">
        <v>0</v>
      </c>
      <c r="X698" s="9" t="n">
        <v>77.26220000000001</v>
      </c>
      <c r="AK698" s="7" t="inlineStr">
        <is>
          <t>PYTHON_MULTI_FLOW_LEG</t>
        </is>
      </c>
      <c r="AL698" s="8">
        <f>IF($J698="INR",1,IF($M698&lt;$A698,INDEX(Market_Daily!$F$6:$F$256,MATCH($M698,Market_Daily!$A$6:$A$256,1)),IF($M698=$A698,INDEX(Market_Daily!$F$6:$F$256,MATCH($A698,Market_Daily!$A$6:$A$256,0)),(INDEX(Market_Daily!$F$6:$F$256,MATCH($A698,Market_Daily!$A$6:$A$256,0))*(1+INDEX(Market_Daily!$I$6:$I$256,MATCH($A698,Market_Daily!$A$6:$A$256,0))*($M698-$A698)/day_count_inr)/(1+INDEX(Market_Daily!$J$6:$J$256,MATCH($A698,Market_Daily!$A$6:$A$256,0))*($M698-$A698)/day_count_usd)))))</f>
        <v/>
      </c>
      <c r="AM698" s="8">
        <f>IF(OR($J698="INR",$R698&gt;1),"",$AL698-$X698)</f>
        <v/>
      </c>
      <c r="AN698" s="8">
        <f>$U698</f>
        <v/>
      </c>
      <c r="AO698" s="8">
        <f>$V698</f>
        <v/>
      </c>
      <c r="AP698" s="18">
        <f>$AO698-$V698</f>
        <v/>
      </c>
      <c r="AQ698" s="8">
        <f>IF(ABS($AP698)&lt;=tol_trade_inr,"PASS","FAIL")</f>
        <v/>
      </c>
    </row>
    <row r="699">
      <c r="A699" s="11" t="n">
        <v>44691</v>
      </c>
      <c r="B699" s="7" t="inlineStr">
        <is>
          <t>T02</t>
        </is>
      </c>
      <c r="C699" s="7" t="inlineStr">
        <is>
          <t>MCX:T02-MCX-4</t>
        </is>
      </c>
      <c r="D699" s="7" t="inlineStr">
        <is>
          <t>MCX</t>
        </is>
      </c>
      <c r="E699" s="7" t="inlineStr">
        <is>
          <t>mcx</t>
        </is>
      </c>
      <c r="H699" s="7" t="inlineStr">
        <is>
          <t>tense</t>
        </is>
      </c>
      <c r="I699" s="7" t="inlineStr">
        <is>
          <t>JEA_NSA</t>
        </is>
      </c>
      <c r="J699" s="7" t="inlineStr">
        <is>
          <t>INR</t>
        </is>
      </c>
      <c r="K699" s="7" t="inlineStr">
        <is>
          <t>partially_fixed</t>
        </is>
      </c>
      <c r="L699" s="7" t="inlineStr">
        <is>
          <t>PNL</t>
        </is>
      </c>
      <c r="M699" s="11" t="n">
        <v>44698</v>
      </c>
      <c r="N699" s="13" t="n">
        <v>0</v>
      </c>
      <c r="O699" s="6" t="n">
        <v>145</v>
      </c>
      <c r="P699" s="13" t="n">
        <v>0</v>
      </c>
      <c r="Q699" s="22" t="n">
        <v>31</v>
      </c>
      <c r="R699" s="6" t="n">
        <v>16</v>
      </c>
      <c r="U699" s="9" t="n">
        <v>0</v>
      </c>
      <c r="V699" s="9" t="n">
        <v>0</v>
      </c>
      <c r="X699" s="9" t="n">
        <v>77.26220000000001</v>
      </c>
      <c r="AK699" s="7" t="inlineStr">
        <is>
          <t>PYTHON_MULTI_FLOW_LEG</t>
        </is>
      </c>
      <c r="AL699" s="8">
        <f>IF($J699="INR",1,IF($M699&lt;$A699,INDEX(Market_Daily!$F$6:$F$256,MATCH($M699,Market_Daily!$A$6:$A$256,1)),IF($M699=$A699,INDEX(Market_Daily!$F$6:$F$256,MATCH($A699,Market_Daily!$A$6:$A$256,0)),(INDEX(Market_Daily!$F$6:$F$256,MATCH($A699,Market_Daily!$A$6:$A$256,0))*(1+INDEX(Market_Daily!$I$6:$I$256,MATCH($A699,Market_Daily!$A$6:$A$256,0))*($M699-$A699)/day_count_inr)/(1+INDEX(Market_Daily!$J$6:$J$256,MATCH($A699,Market_Daily!$A$6:$A$256,0))*($M699-$A699)/day_count_usd)))))</f>
        <v/>
      </c>
      <c r="AM699" s="8">
        <f>IF(OR($J699="INR",$R699&gt;1),"",$AL699-$X699)</f>
        <v/>
      </c>
      <c r="AN699" s="8">
        <f>$U699</f>
        <v/>
      </c>
      <c r="AO699" s="8">
        <f>$V699</f>
        <v/>
      </c>
      <c r="AP699" s="18">
        <f>$AO699-$V699</f>
        <v/>
      </c>
      <c r="AQ699" s="8">
        <f>IF(ABS($AP699)&lt;=tol_trade_inr,"PASS","FAIL")</f>
        <v/>
      </c>
    </row>
    <row r="700">
      <c r="A700" s="11" t="n">
        <v>44691</v>
      </c>
      <c r="B700" s="7" t="inlineStr">
        <is>
          <t>T02</t>
        </is>
      </c>
      <c r="C700" s="7" t="inlineStr">
        <is>
          <t>PURCHASE:L1</t>
        </is>
      </c>
      <c r="D700" s="7" t="inlineStr">
        <is>
          <t>PURCHASE</t>
        </is>
      </c>
      <c r="E700" s="7" t="inlineStr">
        <is>
          <t>physical</t>
        </is>
      </c>
      <c r="F700" s="7" t="inlineStr">
        <is>
          <t>L1</t>
        </is>
      </c>
      <c r="G700" s="7" t="inlineStr">
        <is>
          <t>SUP_JEA_01</t>
        </is>
      </c>
      <c r="H700" s="7" t="inlineStr">
        <is>
          <t>tense</t>
        </is>
      </c>
      <c r="I700" s="7" t="inlineStr">
        <is>
          <t>JEA_NSA</t>
        </is>
      </c>
      <c r="J700" s="7" t="inlineStr">
        <is>
          <t>USD</t>
        </is>
      </c>
      <c r="K700" s="7" t="inlineStr">
        <is>
          <t>partially_fixed</t>
        </is>
      </c>
      <c r="L700" s="7" t="inlineStr">
        <is>
          <t>PNL</t>
        </is>
      </c>
      <c r="M700" s="11" t="n">
        <v>44746</v>
      </c>
      <c r="N700" s="13" t="n">
        <v>1200</v>
      </c>
      <c r="O700" s="6" t="n">
        <v>0</v>
      </c>
      <c r="P700" s="13" t="n">
        <v>0</v>
      </c>
      <c r="Q700" s="22" t="n">
        <v>31</v>
      </c>
      <c r="R700" s="6" t="n">
        <v>2</v>
      </c>
      <c r="U700" s="9" t="n">
        <v>-1042618.01</v>
      </c>
      <c r="V700" s="9" t="n">
        <v>-81060101.95999999</v>
      </c>
      <c r="X700" s="9" t="n">
        <v>77.708</v>
      </c>
      <c r="AK700" s="7" t="inlineStr">
        <is>
          <t>PYTHON_MULTI_FLOW_LEG</t>
        </is>
      </c>
      <c r="AL700" s="8">
        <f>IF($J700="INR",1,IF($M700&lt;$A700,INDEX(Market_Daily!$F$6:$F$256,MATCH($M700,Market_Daily!$A$6:$A$256,1)),IF($M700=$A700,INDEX(Market_Daily!$F$6:$F$256,MATCH($A700,Market_Daily!$A$6:$A$256,0)),(INDEX(Market_Daily!$F$6:$F$256,MATCH($A700,Market_Daily!$A$6:$A$256,0))*(1+INDEX(Market_Daily!$I$6:$I$256,MATCH($A700,Market_Daily!$A$6:$A$256,0))*($M700-$A700)/day_count_inr)/(1+INDEX(Market_Daily!$J$6:$J$256,MATCH($A700,Market_Daily!$A$6:$A$256,0))*($M700-$A700)/day_count_usd)))))</f>
        <v/>
      </c>
      <c r="AM700" s="8">
        <f>IF(OR($J700="INR",$R700&gt;1),"",$AL700-$X700)</f>
        <v/>
      </c>
      <c r="AN700" s="8">
        <f>$U700</f>
        <v/>
      </c>
      <c r="AO700" s="8">
        <f>$V700</f>
        <v/>
      </c>
      <c r="AP700" s="18">
        <f>$AO700-$V700</f>
        <v/>
      </c>
      <c r="AQ700" s="8">
        <f>IF(ABS($AP700)&lt;=tol_trade_inr,"PASS","FAIL")</f>
        <v/>
      </c>
    </row>
    <row r="701">
      <c r="A701" s="11" t="n">
        <v>44691</v>
      </c>
      <c r="B701" s="7" t="inlineStr">
        <is>
          <t>T02</t>
        </is>
      </c>
      <c r="C701" s="7" t="inlineStr">
        <is>
          <t>PURCHASE:L2</t>
        </is>
      </c>
      <c r="D701" s="7" t="inlineStr">
        <is>
          <t>PURCHASE</t>
        </is>
      </c>
      <c r="E701" s="7" t="inlineStr">
        <is>
          <t>physical</t>
        </is>
      </c>
      <c r="F701" s="7" t="inlineStr">
        <is>
          <t>L2</t>
        </is>
      </c>
      <c r="G701" s="7" t="inlineStr">
        <is>
          <t>SUP_JEA_01</t>
        </is>
      </c>
      <c r="H701" s="7" t="inlineStr">
        <is>
          <t>tense</t>
        </is>
      </c>
      <c r="I701" s="7" t="inlineStr">
        <is>
          <t>JEA_NSA</t>
        </is>
      </c>
      <c r="J701" s="7" t="inlineStr">
        <is>
          <t>USD</t>
        </is>
      </c>
      <c r="K701" s="7" t="inlineStr">
        <is>
          <t>partially_fixed</t>
        </is>
      </c>
      <c r="L701" s="7" t="inlineStr">
        <is>
          <t>PNL</t>
        </is>
      </c>
      <c r="M701" s="11" t="n">
        <v>44754</v>
      </c>
      <c r="N701" s="13" t="n">
        <v>1200</v>
      </c>
      <c r="O701" s="6" t="n">
        <v>0</v>
      </c>
      <c r="P701" s="13" t="n">
        <v>0</v>
      </c>
      <c r="Q701" s="22" t="n">
        <v>31</v>
      </c>
      <c r="R701" s="6" t="n">
        <v>2</v>
      </c>
      <c r="U701" s="9" t="n">
        <v>-1042618.01</v>
      </c>
      <c r="V701" s="9" t="n">
        <v>-81120291.45999999</v>
      </c>
      <c r="X701" s="9" t="n">
        <v>77.7727</v>
      </c>
      <c r="AK701" s="7" t="inlineStr">
        <is>
          <t>PYTHON_MULTI_FLOW_LEG</t>
        </is>
      </c>
      <c r="AL701" s="8">
        <f>IF($J701="INR",1,IF($M701&lt;$A701,INDEX(Market_Daily!$F$6:$F$256,MATCH($M701,Market_Daily!$A$6:$A$256,1)),IF($M701=$A701,INDEX(Market_Daily!$F$6:$F$256,MATCH($A701,Market_Daily!$A$6:$A$256,0)),(INDEX(Market_Daily!$F$6:$F$256,MATCH($A701,Market_Daily!$A$6:$A$256,0))*(1+INDEX(Market_Daily!$I$6:$I$256,MATCH($A701,Market_Daily!$A$6:$A$256,0))*($M701-$A701)/day_count_inr)/(1+INDEX(Market_Daily!$J$6:$J$256,MATCH($A701,Market_Daily!$A$6:$A$256,0))*($M701-$A701)/day_count_usd)))))</f>
        <v/>
      </c>
      <c r="AM701" s="8">
        <f>IF(OR($J701="INR",$R701&gt;1),"",$AL701-$X701)</f>
        <v/>
      </c>
      <c r="AN701" s="8">
        <f>$U701</f>
        <v/>
      </c>
      <c r="AO701" s="8">
        <f>$V701</f>
        <v/>
      </c>
      <c r="AP701" s="18">
        <f>$AO701-$V701</f>
        <v/>
      </c>
      <c r="AQ701" s="8">
        <f>IF(ABS($AP701)&lt;=tol_trade_inr,"PASS","FAIL")</f>
        <v/>
      </c>
    </row>
    <row r="702">
      <c r="A702" s="11" t="n">
        <v>44691</v>
      </c>
      <c r="B702" s="7" t="inlineStr">
        <is>
          <t>T02</t>
        </is>
      </c>
      <c r="C702" s="7" t="inlineStr">
        <is>
          <t>SALE:S1</t>
        </is>
      </c>
      <c r="D702" s="7" t="inlineStr">
        <is>
          <t>SALE</t>
        </is>
      </c>
      <c r="E702" s="7" t="inlineStr">
        <is>
          <t>physical</t>
        </is>
      </c>
      <c r="G702" s="7" t="inlineStr">
        <is>
          <t>BUY_JNPT_01</t>
        </is>
      </c>
      <c r="H702" s="7" t="inlineStr">
        <is>
          <t>tense</t>
        </is>
      </c>
      <c r="I702" s="7" t="inlineStr">
        <is>
          <t>JEA_NSA</t>
        </is>
      </c>
      <c r="J702" s="7" t="inlineStr">
        <is>
          <t>INR</t>
        </is>
      </c>
      <c r="K702" s="7" t="inlineStr">
        <is>
          <t>fixed_unsettled</t>
        </is>
      </c>
      <c r="L702" s="7" t="inlineStr">
        <is>
          <t>PNL</t>
        </is>
      </c>
      <c r="M702" s="11" t="n">
        <v>44711</v>
      </c>
      <c r="N702" s="13" t="n">
        <v>1200</v>
      </c>
      <c r="O702" s="6" t="n">
        <v>0</v>
      </c>
      <c r="P702" s="13" t="n">
        <v>0</v>
      </c>
      <c r="Q702" s="22" t="n">
        <v>31</v>
      </c>
      <c r="R702" s="6" t="n">
        <v>1</v>
      </c>
      <c r="U702" s="9" t="n">
        <v>225595288.67</v>
      </c>
      <c r="V702" s="9" t="n">
        <v>225595288.67</v>
      </c>
      <c r="W702" s="9" t="n">
        <v>187996.0739</v>
      </c>
      <c r="X702" s="9" t="n">
        <v>77.26220000000001</v>
      </c>
      <c r="AK702" s="7" t="inlineStr">
        <is>
          <t>PYTHON_LIFECYCLE</t>
        </is>
      </c>
      <c r="AL702" s="8">
        <f>IF($J702="INR",1,IF($M702&lt;$A702,INDEX(Market_Daily!$F$6:$F$256,MATCH($M702,Market_Daily!$A$6:$A$256,1)),IF($M702=$A702,INDEX(Market_Daily!$F$6:$F$256,MATCH($A702,Market_Daily!$A$6:$A$256,0)),(INDEX(Market_Daily!$F$6:$F$256,MATCH($A702,Market_Daily!$A$6:$A$256,0))*(1+INDEX(Market_Daily!$I$6:$I$256,MATCH($A702,Market_Daily!$A$6:$A$256,0))*($M702-$A702)/day_count_inr)/(1+INDEX(Market_Daily!$J$6:$J$256,MATCH($A702,Market_Daily!$A$6:$A$256,0))*($M702-$A702)/day_count_usd)))))</f>
        <v/>
      </c>
      <c r="AM702" s="8">
        <f>IF(OR($J702="INR",$R702&gt;1),"",$AL702-$X702)</f>
        <v/>
      </c>
      <c r="AN702" s="8">
        <f>$U702</f>
        <v/>
      </c>
      <c r="AO702" s="8">
        <f>$AN702*IF($J702="INR",1,$AL702)</f>
        <v/>
      </c>
      <c r="AP702" s="18">
        <f>$AO702-$V702</f>
        <v/>
      </c>
      <c r="AQ702" s="8">
        <f>IF(ABS($AP702)&lt;=tol_trade_inr,"PASS","FAIL")</f>
        <v/>
      </c>
    </row>
    <row r="703">
      <c r="A703" s="11" t="n">
        <v>44691</v>
      </c>
      <c r="B703" s="7" t="inlineStr">
        <is>
          <t>T02</t>
        </is>
      </c>
      <c r="C703" s="7" t="inlineStr">
        <is>
          <t>USANCE_INTEREST:L1</t>
        </is>
      </c>
      <c r="D703" s="7" t="inlineStr">
        <is>
          <t>USANCE_INTEREST</t>
        </is>
      </c>
      <c r="E703" s="7" t="inlineStr">
        <is>
          <t>physical</t>
        </is>
      </c>
      <c r="F703" s="7" t="inlineStr">
        <is>
          <t>L1</t>
        </is>
      </c>
      <c r="H703" s="7" t="inlineStr">
        <is>
          <t>tense</t>
        </is>
      </c>
      <c r="I703" s="7" t="inlineStr">
        <is>
          <t>JEA_NSA</t>
        </is>
      </c>
      <c r="J703" s="7" t="inlineStr">
        <is>
          <t>USD</t>
        </is>
      </c>
      <c r="K703" s="7" t="inlineStr">
        <is>
          <t>fixed_unsettled</t>
        </is>
      </c>
      <c r="L703" s="7" t="inlineStr">
        <is>
          <t>PNL</t>
        </is>
      </c>
      <c r="M703" s="11" t="n">
        <v>44746</v>
      </c>
      <c r="N703" s="13" t="n">
        <v>0</v>
      </c>
      <c r="O703" s="6" t="n">
        <v>0</v>
      </c>
      <c r="P703" s="13" t="n">
        <v>0</v>
      </c>
      <c r="Q703" s="22" t="n">
        <v>31</v>
      </c>
      <c r="R703" s="6" t="n">
        <v>1</v>
      </c>
      <c r="U703" s="9" t="n">
        <v>-6953.7</v>
      </c>
      <c r="V703" s="9" t="n">
        <v>-540358.24</v>
      </c>
      <c r="X703" s="9" t="n">
        <v>77.708</v>
      </c>
      <c r="AK703" s="7" t="inlineStr">
        <is>
          <t>PYTHON_LIFECYCLE</t>
        </is>
      </c>
      <c r="AL703" s="8">
        <f>IF($J703="INR",1,IF($M703&lt;$A703,INDEX(Market_Daily!$F$6:$F$256,MATCH($M703,Market_Daily!$A$6:$A$256,1)),IF($M703=$A703,INDEX(Market_Daily!$F$6:$F$256,MATCH($A703,Market_Daily!$A$6:$A$256,0)),(INDEX(Market_Daily!$F$6:$F$256,MATCH($A703,Market_Daily!$A$6:$A$256,0))*(1+INDEX(Market_Daily!$I$6:$I$256,MATCH($A703,Market_Daily!$A$6:$A$256,0))*($M703-$A703)/day_count_inr)/(1+INDEX(Market_Daily!$J$6:$J$256,MATCH($A703,Market_Daily!$A$6:$A$256,0))*($M703-$A703)/day_count_usd)))))</f>
        <v/>
      </c>
      <c r="AM703" s="8">
        <f>IF(OR($J703="INR",$R703&gt;1),"",$AL703-$X703)</f>
        <v/>
      </c>
      <c r="AN703" s="8">
        <f>$U703</f>
        <v/>
      </c>
      <c r="AO703" s="8">
        <f>$AN703*IF($J703="INR",1,$AL703)</f>
        <v/>
      </c>
      <c r="AP703" s="18">
        <f>$AO703-$V703</f>
        <v/>
      </c>
      <c r="AQ703" s="8">
        <f>IF(ABS($AP703)&lt;=tol_trade_inr,"PASS","FAIL")</f>
        <v/>
      </c>
    </row>
    <row r="704">
      <c r="A704" s="11" t="n">
        <v>44691</v>
      </c>
      <c r="B704" s="7" t="inlineStr">
        <is>
          <t>T02</t>
        </is>
      </c>
      <c r="C704" s="7" t="inlineStr">
        <is>
          <t>USANCE_INTEREST:L2</t>
        </is>
      </c>
      <c r="D704" s="7" t="inlineStr">
        <is>
          <t>USANCE_INTEREST</t>
        </is>
      </c>
      <c r="E704" s="7" t="inlineStr">
        <is>
          <t>physical</t>
        </is>
      </c>
      <c r="F704" s="7" t="inlineStr">
        <is>
          <t>L2</t>
        </is>
      </c>
      <c r="H704" s="7" t="inlineStr">
        <is>
          <t>tense</t>
        </is>
      </c>
      <c r="I704" s="7" t="inlineStr">
        <is>
          <t>JEA_NSA</t>
        </is>
      </c>
      <c r="J704" s="7" t="inlineStr">
        <is>
          <t>USD</t>
        </is>
      </c>
      <c r="K704" s="7" t="inlineStr">
        <is>
          <t>fixed_unsettled</t>
        </is>
      </c>
      <c r="L704" s="7" t="inlineStr">
        <is>
          <t>PNL</t>
        </is>
      </c>
      <c r="M704" s="11" t="n">
        <v>44754</v>
      </c>
      <c r="N704" s="13" t="n">
        <v>0</v>
      </c>
      <c r="O704" s="6" t="n">
        <v>0</v>
      </c>
      <c r="P704" s="13" t="n">
        <v>0</v>
      </c>
      <c r="Q704" s="22" t="n">
        <v>31</v>
      </c>
      <c r="R704" s="6" t="n">
        <v>1</v>
      </c>
      <c r="U704" s="9" t="n">
        <v>-6760.21</v>
      </c>
      <c r="V704" s="9" t="n">
        <v>-525760.1800000001</v>
      </c>
      <c r="X704" s="9" t="n">
        <v>77.7727</v>
      </c>
      <c r="AK704" s="7" t="inlineStr">
        <is>
          <t>PYTHON_LIFECYCLE</t>
        </is>
      </c>
      <c r="AL704" s="8">
        <f>IF($J704="INR",1,IF($M704&lt;$A704,INDEX(Market_Daily!$F$6:$F$256,MATCH($M704,Market_Daily!$A$6:$A$256,1)),IF($M704=$A704,INDEX(Market_Daily!$F$6:$F$256,MATCH($A704,Market_Daily!$A$6:$A$256,0)),(INDEX(Market_Daily!$F$6:$F$256,MATCH($A704,Market_Daily!$A$6:$A$256,0))*(1+INDEX(Market_Daily!$I$6:$I$256,MATCH($A704,Market_Daily!$A$6:$A$256,0))*($M704-$A704)/day_count_inr)/(1+INDEX(Market_Daily!$J$6:$J$256,MATCH($A704,Market_Daily!$A$6:$A$256,0))*($M704-$A704)/day_count_usd)))))</f>
        <v/>
      </c>
      <c r="AM704" s="8">
        <f>IF(OR($J704="INR",$R704&gt;1),"",$AL704-$X704)</f>
        <v/>
      </c>
      <c r="AN704" s="8">
        <f>$U704</f>
        <v/>
      </c>
      <c r="AO704" s="8">
        <f>$AN704*IF($J704="INR",1,$AL704)</f>
        <v/>
      </c>
      <c r="AP704" s="18">
        <f>$AO704-$V704</f>
        <v/>
      </c>
      <c r="AQ704" s="8">
        <f>IF(ABS($AP704)&lt;=tol_trade_inr,"PASS","FAIL")</f>
        <v/>
      </c>
    </row>
    <row r="705">
      <c r="A705" s="11" t="n">
        <v>44691</v>
      </c>
      <c r="B705" s="7" t="inlineStr">
        <is>
          <t>T03</t>
        </is>
      </c>
      <c r="C705" s="7" t="inlineStr">
        <is>
          <t>IGST:L1</t>
        </is>
      </c>
      <c r="D705" s="7" t="inlineStr">
        <is>
          <t>IGST</t>
        </is>
      </c>
      <c r="E705" s="7" t="inlineStr">
        <is>
          <t>physical</t>
        </is>
      </c>
      <c r="F705" s="7" t="inlineStr">
        <is>
          <t>L1</t>
        </is>
      </c>
      <c r="H705" s="7" t="inlineStr">
        <is>
          <t>taint_tabor</t>
        </is>
      </c>
      <c r="I705" s="7" t="inlineStr">
        <is>
          <t>JEA_NSA</t>
        </is>
      </c>
      <c r="J705" s="7" t="inlineStr">
        <is>
          <t>INR</t>
        </is>
      </c>
      <c r="K705" s="7" t="inlineStr">
        <is>
          <t>fixed_unsettled</t>
        </is>
      </c>
      <c r="L705" s="7" t="inlineStr">
        <is>
          <t>BS</t>
        </is>
      </c>
      <c r="M705" s="11" t="n">
        <v>44718</v>
      </c>
      <c r="N705" s="13" t="n">
        <v>0</v>
      </c>
      <c r="O705" s="6" t="n">
        <v>0</v>
      </c>
      <c r="P705" s="13" t="n">
        <v>0</v>
      </c>
      <c r="Q705" s="22" t="n">
        <v>31</v>
      </c>
      <c r="R705" s="6" t="n">
        <v>2</v>
      </c>
      <c r="U705" s="9" t="n">
        <v>0</v>
      </c>
      <c r="V705" s="9" t="n">
        <v>0</v>
      </c>
      <c r="X705" s="9" t="n">
        <v>77.26220000000001</v>
      </c>
      <c r="AK705" s="7" t="inlineStr">
        <is>
          <t>PYTHON_MULTI_FLOW_LEG</t>
        </is>
      </c>
      <c r="AL705" s="8">
        <f>IF($J705="INR",1,IF($M705&lt;$A705,INDEX(Market_Daily!$F$6:$F$256,MATCH($M705,Market_Daily!$A$6:$A$256,1)),IF($M705=$A705,INDEX(Market_Daily!$F$6:$F$256,MATCH($A705,Market_Daily!$A$6:$A$256,0)),(INDEX(Market_Daily!$F$6:$F$256,MATCH($A705,Market_Daily!$A$6:$A$256,0))*(1+INDEX(Market_Daily!$I$6:$I$256,MATCH($A705,Market_Daily!$A$6:$A$256,0))*($M705-$A705)/day_count_inr)/(1+INDEX(Market_Daily!$J$6:$J$256,MATCH($A705,Market_Daily!$A$6:$A$256,0))*($M705-$A705)/day_count_usd)))))</f>
        <v/>
      </c>
      <c r="AM705" s="8">
        <f>IF(OR($J705="INR",$R705&gt;1),"",$AL705-$X705)</f>
        <v/>
      </c>
      <c r="AN705" s="8">
        <f>$U705</f>
        <v/>
      </c>
      <c r="AO705" s="8">
        <f>$V705</f>
        <v/>
      </c>
      <c r="AP705" s="18">
        <f>$AO705-$V705</f>
        <v/>
      </c>
      <c r="AQ705" s="8">
        <f>IF(ABS($AP705)&lt;=tol_trade_inr,"PASS","FAIL")</f>
        <v/>
      </c>
    </row>
    <row r="706">
      <c r="A706" s="11" t="n">
        <v>44691</v>
      </c>
      <c r="B706" s="7" t="inlineStr">
        <is>
          <t>T03</t>
        </is>
      </c>
      <c r="C706" s="7" t="inlineStr">
        <is>
          <t>IGST:L2</t>
        </is>
      </c>
      <c r="D706" s="7" t="inlineStr">
        <is>
          <t>IGST</t>
        </is>
      </c>
      <c r="E706" s="7" t="inlineStr">
        <is>
          <t>physical</t>
        </is>
      </c>
      <c r="F706" s="7" t="inlineStr">
        <is>
          <t>L2</t>
        </is>
      </c>
      <c r="H706" s="7" t="inlineStr">
        <is>
          <t>taint_tabor</t>
        </is>
      </c>
      <c r="I706" s="7" t="inlineStr">
        <is>
          <t>JEA_NSA</t>
        </is>
      </c>
      <c r="J706" s="7" t="inlineStr">
        <is>
          <t>INR</t>
        </is>
      </c>
      <c r="K706" s="7" t="inlineStr">
        <is>
          <t>fixed_unsettled</t>
        </is>
      </c>
      <c r="L706" s="7" t="inlineStr">
        <is>
          <t>BS</t>
        </is>
      </c>
      <c r="M706" s="11" t="n">
        <v>44725</v>
      </c>
      <c r="N706" s="13" t="n">
        <v>0</v>
      </c>
      <c r="O706" s="6" t="n">
        <v>0</v>
      </c>
      <c r="P706" s="13" t="n">
        <v>0</v>
      </c>
      <c r="Q706" s="22" t="n">
        <v>31</v>
      </c>
      <c r="R706" s="6" t="n">
        <v>2</v>
      </c>
      <c r="U706" s="9" t="n">
        <v>0</v>
      </c>
      <c r="V706" s="9" t="n">
        <v>0</v>
      </c>
      <c r="X706" s="9" t="n">
        <v>77.26220000000001</v>
      </c>
      <c r="AK706" s="7" t="inlineStr">
        <is>
          <t>PYTHON_MULTI_FLOW_LEG</t>
        </is>
      </c>
      <c r="AL706" s="8">
        <f>IF($J706="INR",1,IF($M706&lt;$A706,INDEX(Market_Daily!$F$6:$F$256,MATCH($M706,Market_Daily!$A$6:$A$256,1)),IF($M706=$A706,INDEX(Market_Daily!$F$6:$F$256,MATCH($A706,Market_Daily!$A$6:$A$256,0)),(INDEX(Market_Daily!$F$6:$F$256,MATCH($A706,Market_Daily!$A$6:$A$256,0))*(1+INDEX(Market_Daily!$I$6:$I$256,MATCH($A706,Market_Daily!$A$6:$A$256,0))*($M706-$A706)/day_count_inr)/(1+INDEX(Market_Daily!$J$6:$J$256,MATCH($A706,Market_Daily!$A$6:$A$256,0))*($M706-$A706)/day_count_usd)))))</f>
        <v/>
      </c>
      <c r="AM706" s="8">
        <f>IF(OR($J706="INR",$R706&gt;1),"",$AL706-$X706)</f>
        <v/>
      </c>
      <c r="AN706" s="8">
        <f>$U706</f>
        <v/>
      </c>
      <c r="AO706" s="8">
        <f>$V706</f>
        <v/>
      </c>
      <c r="AP706" s="18">
        <f>$AO706-$V706</f>
        <v/>
      </c>
      <c r="AQ706" s="8">
        <f>IF(ABS($AP706)&lt;=tol_trade_inr,"PASS","FAIL")</f>
        <v/>
      </c>
    </row>
    <row r="707">
      <c r="A707" s="11" t="n">
        <v>44691</v>
      </c>
      <c r="B707" s="7" t="inlineStr">
        <is>
          <t>T03</t>
        </is>
      </c>
      <c r="C707" s="7" t="inlineStr">
        <is>
          <t>SALE:S1</t>
        </is>
      </c>
      <c r="D707" s="7" t="inlineStr">
        <is>
          <t>SALE</t>
        </is>
      </c>
      <c r="E707" s="7" t="inlineStr">
        <is>
          <t>physical</t>
        </is>
      </c>
      <c r="G707" s="7" t="inlineStr">
        <is>
          <t>BUY_JNPT_01</t>
        </is>
      </c>
      <c r="H707" s="7" t="inlineStr">
        <is>
          <t>taint_tabor</t>
        </is>
      </c>
      <c r="I707" s="7" t="inlineStr">
        <is>
          <t>JEA_NSA</t>
        </is>
      </c>
      <c r="J707" s="7" t="inlineStr">
        <is>
          <t>INR</t>
        </is>
      </c>
      <c r="K707" s="7" t="inlineStr">
        <is>
          <t>fixed_unsettled</t>
        </is>
      </c>
      <c r="L707" s="7" t="inlineStr">
        <is>
          <t>PNL</t>
        </is>
      </c>
      <c r="M707" s="11" t="n">
        <v>44720</v>
      </c>
      <c r="N707" s="13" t="n">
        <v>1200</v>
      </c>
      <c r="O707" s="6" t="n">
        <v>0</v>
      </c>
      <c r="P707" s="13" t="n">
        <v>0</v>
      </c>
      <c r="Q707" s="22" t="n">
        <v>31</v>
      </c>
      <c r="R707" s="6" t="n">
        <v>1</v>
      </c>
      <c r="U707" s="9" t="n">
        <v>241500000</v>
      </c>
      <c r="V707" s="9" t="n">
        <v>241500000</v>
      </c>
      <c r="W707" s="9" t="n">
        <v>201250</v>
      </c>
      <c r="X707" s="9" t="n">
        <v>77.26220000000001</v>
      </c>
      <c r="AK707" s="7" t="inlineStr">
        <is>
          <t>PYTHON_LIFECYCLE</t>
        </is>
      </c>
      <c r="AL707" s="8">
        <f>IF($J707="INR",1,IF($M707&lt;$A707,INDEX(Market_Daily!$F$6:$F$256,MATCH($M707,Market_Daily!$A$6:$A$256,1)),IF($M707=$A707,INDEX(Market_Daily!$F$6:$F$256,MATCH($A707,Market_Daily!$A$6:$A$256,0)),(INDEX(Market_Daily!$F$6:$F$256,MATCH($A707,Market_Daily!$A$6:$A$256,0))*(1+INDEX(Market_Daily!$I$6:$I$256,MATCH($A707,Market_Daily!$A$6:$A$256,0))*($M707-$A707)/day_count_inr)/(1+INDEX(Market_Daily!$J$6:$J$256,MATCH($A707,Market_Daily!$A$6:$A$256,0))*($M707-$A707)/day_count_usd)))))</f>
        <v/>
      </c>
      <c r="AM707" s="8">
        <f>IF(OR($J707="INR",$R707&gt;1),"",$AL707-$X707)</f>
        <v/>
      </c>
      <c r="AN707" s="8">
        <f>$U707</f>
        <v/>
      </c>
      <c r="AO707" s="8">
        <f>$AN707*IF($J707="INR",1,$AL707)</f>
        <v/>
      </c>
      <c r="AP707" s="18">
        <f>$AO707-$V707</f>
        <v/>
      </c>
      <c r="AQ707" s="8">
        <f>IF(ABS($AP707)&lt;=tol_trade_inr,"PASS","FAIL")</f>
        <v/>
      </c>
    </row>
    <row r="708">
      <c r="A708" s="11" t="n">
        <v>44691</v>
      </c>
      <c r="B708" s="7" t="inlineStr">
        <is>
          <t>T04</t>
        </is>
      </c>
      <c r="C708" s="7" t="inlineStr">
        <is>
          <t>BILL_COMMISSION:L2</t>
        </is>
      </c>
      <c r="D708" s="7" t="inlineStr">
        <is>
          <t>BILL_COMMISSION</t>
        </is>
      </c>
      <c r="E708" s="7" t="inlineStr">
        <is>
          <t>physical</t>
        </is>
      </c>
      <c r="F708" s="7" t="inlineStr">
        <is>
          <t>L2</t>
        </is>
      </c>
      <c r="H708" s="7" t="inlineStr">
        <is>
          <t>taint_tabor</t>
        </is>
      </c>
      <c r="I708" s="7" t="inlineStr">
        <is>
          <t>USEC_MUN</t>
        </is>
      </c>
      <c r="J708" s="7" t="inlineStr">
        <is>
          <t>USD</t>
        </is>
      </c>
      <c r="K708" s="7" t="inlineStr">
        <is>
          <t>floating</t>
        </is>
      </c>
      <c r="L708" s="7" t="inlineStr">
        <is>
          <t>PNL</t>
        </is>
      </c>
      <c r="M708" s="11" t="n">
        <v>44692</v>
      </c>
      <c r="N708" s="13" t="n">
        <v>0</v>
      </c>
      <c r="O708" s="6" t="n">
        <v>0</v>
      </c>
      <c r="P708" s="13" t="n">
        <v>0</v>
      </c>
      <c r="Q708" s="22" t="n">
        <v>31</v>
      </c>
      <c r="R708" s="6" t="n">
        <v>1</v>
      </c>
      <c r="U708" s="9" t="n">
        <v>-1821.96</v>
      </c>
      <c r="V708" s="9" t="n">
        <v>-140783.43</v>
      </c>
      <c r="X708" s="9" t="n">
        <v>77.27030000000001</v>
      </c>
      <c r="AK708" s="7" t="inlineStr">
        <is>
          <t>PYTHON_LIFECYCLE</t>
        </is>
      </c>
      <c r="AL708" s="8">
        <f>IF($J708="INR",1,IF($M708&lt;$A708,INDEX(Market_Daily!$F$6:$F$256,MATCH($M708,Market_Daily!$A$6:$A$256,1)),IF($M708=$A708,INDEX(Market_Daily!$F$6:$F$256,MATCH($A708,Market_Daily!$A$6:$A$256,0)),(INDEX(Market_Daily!$F$6:$F$256,MATCH($A708,Market_Daily!$A$6:$A$256,0))*(1+INDEX(Market_Daily!$I$6:$I$256,MATCH($A708,Market_Daily!$A$6:$A$256,0))*($M708-$A708)/day_count_inr)/(1+INDEX(Market_Daily!$J$6:$J$256,MATCH($A708,Market_Daily!$A$6:$A$256,0))*($M708-$A708)/day_count_usd)))))</f>
        <v/>
      </c>
      <c r="AM708" s="8">
        <f>IF(OR($J708="INR",$R708&gt;1),"",$AL708-$X708)</f>
        <v/>
      </c>
      <c r="AN708" s="8">
        <f>$U708</f>
        <v/>
      </c>
      <c r="AO708" s="8">
        <f>$AN708*IF($J708="INR",1,$AL708)</f>
        <v/>
      </c>
      <c r="AP708" s="18">
        <f>$AO708-$V708</f>
        <v/>
      </c>
      <c r="AQ708" s="8">
        <f>IF(ABS($AP708)&lt;=tol_trade_inr,"PASS","FAIL")</f>
        <v/>
      </c>
    </row>
    <row r="709">
      <c r="A709" s="11" t="n">
        <v>44691</v>
      </c>
      <c r="B709" s="7" t="inlineStr">
        <is>
          <t>T04</t>
        </is>
      </c>
      <c r="C709" s="7" t="inlineStr">
        <is>
          <t>DUTY:L1</t>
        </is>
      </c>
      <c r="D709" s="7" t="inlineStr">
        <is>
          <t>DUTY</t>
        </is>
      </c>
      <c r="E709" s="7" t="inlineStr">
        <is>
          <t>physical</t>
        </is>
      </c>
      <c r="F709" s="7" t="inlineStr">
        <is>
          <t>L1</t>
        </is>
      </c>
      <c r="H709" s="7" t="inlineStr">
        <is>
          <t>taint_tabor</t>
        </is>
      </c>
      <c r="I709" s="7" t="inlineStr">
        <is>
          <t>USEC_MUN</t>
        </is>
      </c>
      <c r="J709" s="7" t="inlineStr">
        <is>
          <t>INR</t>
        </is>
      </c>
      <c r="K709" s="7" t="inlineStr">
        <is>
          <t>floating</t>
        </is>
      </c>
      <c r="L709" s="7" t="inlineStr">
        <is>
          <t>PNL</t>
        </is>
      </c>
      <c r="M709" s="11" t="n">
        <v>44719</v>
      </c>
      <c r="N709" s="13" t="n">
        <v>630</v>
      </c>
      <c r="O709" s="6" t="n">
        <v>0</v>
      </c>
      <c r="P709" s="13" t="n">
        <v>0</v>
      </c>
      <c r="Q709" s="22" t="n">
        <v>31</v>
      </c>
      <c r="R709" s="6" t="n">
        <v>1</v>
      </c>
      <c r="U709" s="9" t="n">
        <v>-3348217.24</v>
      </c>
      <c r="V709" s="9" t="n">
        <v>-3348217.24</v>
      </c>
      <c r="X709" s="9" t="n">
        <v>77.26220000000001</v>
      </c>
      <c r="AK709" s="7" t="inlineStr">
        <is>
          <t>PYTHON_LIFECYCLE</t>
        </is>
      </c>
      <c r="AL709" s="8">
        <f>IF($J709="INR",1,IF($M709&lt;$A709,INDEX(Market_Daily!$F$6:$F$256,MATCH($M709,Market_Daily!$A$6:$A$256,1)),IF($M709=$A709,INDEX(Market_Daily!$F$6:$F$256,MATCH($A709,Market_Daily!$A$6:$A$256,0)),(INDEX(Market_Daily!$F$6:$F$256,MATCH($A709,Market_Daily!$A$6:$A$256,0))*(1+INDEX(Market_Daily!$I$6:$I$256,MATCH($A709,Market_Daily!$A$6:$A$256,0))*($M709-$A709)/day_count_inr)/(1+INDEX(Market_Daily!$J$6:$J$256,MATCH($A709,Market_Daily!$A$6:$A$256,0))*($M709-$A709)/day_count_usd)))))</f>
        <v/>
      </c>
      <c r="AM709" s="8">
        <f>IF(OR($J709="INR",$R709&gt;1),"",$AL709-$X709)</f>
        <v/>
      </c>
      <c r="AN709" s="8">
        <f>$U709</f>
        <v/>
      </c>
      <c r="AO709" s="8">
        <f>$AN709*IF($J709="INR",1,$AL709)</f>
        <v/>
      </c>
      <c r="AP709" s="18">
        <f>$AO709-$V709</f>
        <v/>
      </c>
      <c r="AQ709" s="8">
        <f>IF(ABS($AP709)&lt;=tol_trade_inr,"PASS","FAIL")</f>
        <v/>
      </c>
    </row>
    <row r="710">
      <c r="A710" s="11" t="n">
        <v>44691</v>
      </c>
      <c r="B710" s="7" t="inlineStr">
        <is>
          <t>T04</t>
        </is>
      </c>
      <c r="C710" s="7" t="inlineStr">
        <is>
          <t>DUTY:L2</t>
        </is>
      </c>
      <c r="D710" s="7" t="inlineStr">
        <is>
          <t>DUTY</t>
        </is>
      </c>
      <c r="E710" s="7" t="inlineStr">
        <is>
          <t>physical</t>
        </is>
      </c>
      <c r="F710" s="7" t="inlineStr">
        <is>
          <t>L2</t>
        </is>
      </c>
      <c r="H710" s="7" t="inlineStr">
        <is>
          <t>taint_tabor</t>
        </is>
      </c>
      <c r="I710" s="7" t="inlineStr">
        <is>
          <t>USEC_MUN</t>
        </is>
      </c>
      <c r="J710" s="7" t="inlineStr">
        <is>
          <t>INR</t>
        </is>
      </c>
      <c r="K710" s="7" t="inlineStr">
        <is>
          <t>floating</t>
        </is>
      </c>
      <c r="L710" s="7" t="inlineStr">
        <is>
          <t>PNL</t>
        </is>
      </c>
      <c r="M710" s="11" t="n">
        <v>44726</v>
      </c>
      <c r="N710" s="13" t="n">
        <v>630</v>
      </c>
      <c r="O710" s="6" t="n">
        <v>0</v>
      </c>
      <c r="P710" s="13" t="n">
        <v>0</v>
      </c>
      <c r="Q710" s="22" t="n">
        <v>31</v>
      </c>
      <c r="R710" s="6" t="n">
        <v>1</v>
      </c>
      <c r="U710" s="9" t="n">
        <v>-3348217.24</v>
      </c>
      <c r="V710" s="9" t="n">
        <v>-3348217.24</v>
      </c>
      <c r="X710" s="9" t="n">
        <v>77.26220000000001</v>
      </c>
      <c r="AK710" s="7" t="inlineStr">
        <is>
          <t>PYTHON_LIFECYCLE</t>
        </is>
      </c>
      <c r="AL710" s="8">
        <f>IF($J710="INR",1,IF($M710&lt;$A710,INDEX(Market_Daily!$F$6:$F$256,MATCH($M710,Market_Daily!$A$6:$A$256,1)),IF($M710=$A710,INDEX(Market_Daily!$F$6:$F$256,MATCH($A710,Market_Daily!$A$6:$A$256,0)),(INDEX(Market_Daily!$F$6:$F$256,MATCH($A710,Market_Daily!$A$6:$A$256,0))*(1+INDEX(Market_Daily!$I$6:$I$256,MATCH($A710,Market_Daily!$A$6:$A$256,0))*($M710-$A710)/day_count_inr)/(1+INDEX(Market_Daily!$J$6:$J$256,MATCH($A710,Market_Daily!$A$6:$A$256,0))*($M710-$A710)/day_count_usd)))))</f>
        <v/>
      </c>
      <c r="AM710" s="8">
        <f>IF(OR($J710="INR",$R710&gt;1),"",$AL710-$X710)</f>
        <v/>
      </c>
      <c r="AN710" s="8">
        <f>$U710</f>
        <v/>
      </c>
      <c r="AO710" s="8">
        <f>$AN710*IF($J710="INR",1,$AL710)</f>
        <v/>
      </c>
      <c r="AP710" s="18">
        <f>$AO710-$V710</f>
        <v/>
      </c>
      <c r="AQ710" s="8">
        <f>IF(ABS($AP710)&lt;=tol_trade_inr,"PASS","FAIL")</f>
        <v/>
      </c>
    </row>
    <row r="711">
      <c r="A711" s="11" t="n">
        <v>44691</v>
      </c>
      <c r="B711" s="7" t="inlineStr">
        <is>
          <t>T04</t>
        </is>
      </c>
      <c r="C711" s="7" t="inlineStr">
        <is>
          <t>FX:T04-FX-2</t>
        </is>
      </c>
      <c r="D711" s="7" t="inlineStr">
        <is>
          <t>FX</t>
        </is>
      </c>
      <c r="E711" s="7" t="inlineStr">
        <is>
          <t>fx_forward</t>
        </is>
      </c>
      <c r="H711" s="7" t="inlineStr">
        <is>
          <t>taint_tabor</t>
        </is>
      </c>
      <c r="I711" s="7" t="inlineStr">
        <is>
          <t>USEC_MUN</t>
        </is>
      </c>
      <c r="J711" s="7" t="inlineStr">
        <is>
          <t>INR</t>
        </is>
      </c>
      <c r="K711" s="7" t="inlineStr">
        <is>
          <t>floating</t>
        </is>
      </c>
      <c r="L711" s="7" t="inlineStr">
        <is>
          <t>PNL</t>
        </is>
      </c>
      <c r="M711" s="11" t="n">
        <v>44692</v>
      </c>
      <c r="N711" s="13" t="n">
        <v>0</v>
      </c>
      <c r="O711" s="6" t="n">
        <v>0</v>
      </c>
      <c r="P711" s="13" t="n">
        <v>1518300</v>
      </c>
      <c r="Q711" s="22" t="n">
        <v>31</v>
      </c>
      <c r="R711" s="6" t="n">
        <v>1</v>
      </c>
      <c r="S711" s="12" t="n">
        <v>44692</v>
      </c>
      <c r="T711" s="21" t="n">
        <v>76.50557999999999</v>
      </c>
      <c r="U711" s="9" t="n">
        <v>1161098.74</v>
      </c>
      <c r="V711" s="9" t="n">
        <v>1161098.74</v>
      </c>
      <c r="X711" s="9" t="n">
        <v>77.26220000000001</v>
      </c>
      <c r="AK711" s="7" t="inlineStr">
        <is>
          <t>DERIVED_IN_WORKBOOK</t>
        </is>
      </c>
      <c r="AL711" s="8">
        <f>IF($J711="INR",1,IF($M711&lt;$A711,INDEX(Market_Daily!$F$6:$F$256,MATCH($M711,Market_Daily!$A$6:$A$256,1)),IF($M711=$A711,INDEX(Market_Daily!$F$6:$F$256,MATCH($A711,Market_Daily!$A$6:$A$256,0)),(INDEX(Market_Daily!$F$6:$F$256,MATCH($A711,Market_Daily!$A$6:$A$256,0))*(1+INDEX(Market_Daily!$I$6:$I$256,MATCH($A711,Market_Daily!$A$6:$A$256,0))*($M711-$A711)/day_count_inr)/(1+INDEX(Market_Daily!$J$6:$J$256,MATCH($A711,Market_Daily!$A$6:$A$256,0))*($M711-$A711)/day_count_usd)))))</f>
        <v/>
      </c>
      <c r="AM711" s="8">
        <f>IF(OR($J711="INR",$R711&gt;1),"",$AL711-$X711)</f>
        <v/>
      </c>
      <c r="AN711" s="8">
        <f>$P711*(IF($S711&lt;$A711,INDEX(Market_Daily!$F$6:$F$256,MATCH($S711,Market_Daily!$A$6:$A$256,1)),IF($S711=$A711,INDEX(Market_Daily!$F$6:$F$256,MATCH($A711,Market_Daily!$A$6:$A$256,0)),(INDEX(Market_Daily!$F$6:$F$256,MATCH($A711,Market_Daily!$A$6:$A$256,0))*(1+INDEX(Market_Daily!$I$6:$I$256,MATCH($A711,Market_Daily!$A$6:$A$256,0))*($S711-$A711)/day_count_inr)/(1+INDEX(Market_Daily!$J$6:$J$256,MATCH($A711,Market_Daily!$A$6:$A$256,0))*($S711-$A711)/day_count_usd))))-$T711)</f>
        <v/>
      </c>
      <c r="AO711" s="8">
        <f>$AN711</f>
        <v/>
      </c>
      <c r="AP711" s="18">
        <f>$AO711-$V711</f>
        <v/>
      </c>
      <c r="AQ711" s="8">
        <f>IF(ABS($AP711)&lt;=tol_trade_inr,"PASS","FAIL")</f>
        <v/>
      </c>
    </row>
    <row r="712">
      <c r="A712" s="11" t="n">
        <v>44691</v>
      </c>
      <c r="B712" s="7" t="inlineStr">
        <is>
          <t>T04</t>
        </is>
      </c>
      <c r="C712" s="7" t="inlineStr">
        <is>
          <t>IGST:L1</t>
        </is>
      </c>
      <c r="D712" s="7" t="inlineStr">
        <is>
          <t>IGST</t>
        </is>
      </c>
      <c r="E712" s="7" t="inlineStr">
        <is>
          <t>physical</t>
        </is>
      </c>
      <c r="F712" s="7" t="inlineStr">
        <is>
          <t>L1</t>
        </is>
      </c>
      <c r="H712" s="7" t="inlineStr">
        <is>
          <t>taint_tabor</t>
        </is>
      </c>
      <c r="I712" s="7" t="inlineStr">
        <is>
          <t>USEC_MUN</t>
        </is>
      </c>
      <c r="J712" s="7" t="inlineStr">
        <is>
          <t>INR</t>
        </is>
      </c>
      <c r="K712" s="7" t="inlineStr">
        <is>
          <t>floating</t>
        </is>
      </c>
      <c r="L712" s="7" t="inlineStr">
        <is>
          <t>BS</t>
        </is>
      </c>
      <c r="M712" s="11" t="n">
        <v>44764</v>
      </c>
      <c r="N712" s="13" t="n">
        <v>0</v>
      </c>
      <c r="O712" s="6" t="n">
        <v>0</v>
      </c>
      <c r="P712" s="13" t="n">
        <v>0</v>
      </c>
      <c r="Q712" s="22" t="n">
        <v>31</v>
      </c>
      <c r="R712" s="6" t="n">
        <v>2</v>
      </c>
      <c r="U712" s="9" t="n">
        <v>0</v>
      </c>
      <c r="V712" s="9" t="n">
        <v>0</v>
      </c>
      <c r="X712" s="9" t="n">
        <v>77.26220000000001</v>
      </c>
      <c r="AK712" s="7" t="inlineStr">
        <is>
          <t>PYTHON_MULTI_FLOW_LEG</t>
        </is>
      </c>
      <c r="AL712" s="8">
        <f>IF($J712="INR",1,IF($M712&lt;$A712,INDEX(Market_Daily!$F$6:$F$256,MATCH($M712,Market_Daily!$A$6:$A$256,1)),IF($M712=$A712,INDEX(Market_Daily!$F$6:$F$256,MATCH($A712,Market_Daily!$A$6:$A$256,0)),(INDEX(Market_Daily!$F$6:$F$256,MATCH($A712,Market_Daily!$A$6:$A$256,0))*(1+INDEX(Market_Daily!$I$6:$I$256,MATCH($A712,Market_Daily!$A$6:$A$256,0))*($M712-$A712)/day_count_inr)/(1+INDEX(Market_Daily!$J$6:$J$256,MATCH($A712,Market_Daily!$A$6:$A$256,0))*($M712-$A712)/day_count_usd)))))</f>
        <v/>
      </c>
      <c r="AM712" s="8">
        <f>IF(OR($J712="INR",$R712&gt;1),"",$AL712-$X712)</f>
        <v/>
      </c>
      <c r="AN712" s="8">
        <f>$U712</f>
        <v/>
      </c>
      <c r="AO712" s="8">
        <f>$V712</f>
        <v/>
      </c>
      <c r="AP712" s="18">
        <f>$AO712-$V712</f>
        <v/>
      </c>
      <c r="AQ712" s="8">
        <f>IF(ABS($AP712)&lt;=tol_trade_inr,"PASS","FAIL")</f>
        <v/>
      </c>
    </row>
    <row r="713">
      <c r="A713" s="11" t="n">
        <v>44691</v>
      </c>
      <c r="B713" s="7" t="inlineStr">
        <is>
          <t>T04</t>
        </is>
      </c>
      <c r="C713" s="7" t="inlineStr">
        <is>
          <t>IGST:L2</t>
        </is>
      </c>
      <c r="D713" s="7" t="inlineStr">
        <is>
          <t>IGST</t>
        </is>
      </c>
      <c r="E713" s="7" t="inlineStr">
        <is>
          <t>physical</t>
        </is>
      </c>
      <c r="F713" s="7" t="inlineStr">
        <is>
          <t>L2</t>
        </is>
      </c>
      <c r="H713" s="7" t="inlineStr">
        <is>
          <t>taint_tabor</t>
        </is>
      </c>
      <c r="I713" s="7" t="inlineStr">
        <is>
          <t>USEC_MUN</t>
        </is>
      </c>
      <c r="J713" s="7" t="inlineStr">
        <is>
          <t>INR</t>
        </is>
      </c>
      <c r="K713" s="7" t="inlineStr">
        <is>
          <t>floating</t>
        </is>
      </c>
      <c r="L713" s="7" t="inlineStr">
        <is>
          <t>BS</t>
        </is>
      </c>
      <c r="M713" s="11" t="n">
        <v>44771</v>
      </c>
      <c r="N713" s="13" t="n">
        <v>0</v>
      </c>
      <c r="O713" s="6" t="n">
        <v>0</v>
      </c>
      <c r="P713" s="13" t="n">
        <v>0</v>
      </c>
      <c r="Q713" s="22" t="n">
        <v>31</v>
      </c>
      <c r="R713" s="6" t="n">
        <v>2</v>
      </c>
      <c r="U713" s="9" t="n">
        <v>0</v>
      </c>
      <c r="V713" s="9" t="n">
        <v>0</v>
      </c>
      <c r="X713" s="9" t="n">
        <v>77.26220000000001</v>
      </c>
      <c r="AK713" s="7" t="inlineStr">
        <is>
          <t>PYTHON_MULTI_FLOW_LEG</t>
        </is>
      </c>
      <c r="AL713" s="8">
        <f>IF($J713="INR",1,IF($M713&lt;$A713,INDEX(Market_Daily!$F$6:$F$256,MATCH($M713,Market_Daily!$A$6:$A$256,1)),IF($M713=$A713,INDEX(Market_Daily!$F$6:$F$256,MATCH($A713,Market_Daily!$A$6:$A$256,0)),(INDEX(Market_Daily!$F$6:$F$256,MATCH($A713,Market_Daily!$A$6:$A$256,0))*(1+INDEX(Market_Daily!$I$6:$I$256,MATCH($A713,Market_Daily!$A$6:$A$256,0))*($M713-$A713)/day_count_inr)/(1+INDEX(Market_Daily!$J$6:$J$256,MATCH($A713,Market_Daily!$A$6:$A$256,0))*($M713-$A713)/day_count_usd)))))</f>
        <v/>
      </c>
      <c r="AM713" s="8">
        <f>IF(OR($J713="INR",$R713&gt;1),"",$AL713-$X713)</f>
        <v/>
      </c>
      <c r="AN713" s="8">
        <f>$U713</f>
        <v/>
      </c>
      <c r="AO713" s="8">
        <f>$V713</f>
        <v/>
      </c>
      <c r="AP713" s="18">
        <f>$AO713-$V713</f>
        <v/>
      </c>
      <c r="AQ713" s="8">
        <f>IF(ABS($AP713)&lt;=tol_trade_inr,"PASS","FAIL")</f>
        <v/>
      </c>
    </row>
    <row r="714">
      <c r="A714" s="11" t="n">
        <v>44691</v>
      </c>
      <c r="B714" s="7" t="inlineStr">
        <is>
          <t>T04</t>
        </is>
      </c>
      <c r="C714" s="7" t="inlineStr">
        <is>
          <t>INVENTORY:L1</t>
        </is>
      </c>
      <c r="D714" s="7" t="inlineStr">
        <is>
          <t>INVENTORY</t>
        </is>
      </c>
      <c r="E714" s="7" t="inlineStr">
        <is>
          <t>physical</t>
        </is>
      </c>
      <c r="F714" s="7" t="inlineStr">
        <is>
          <t>L1</t>
        </is>
      </c>
      <c r="H714" s="7" t="inlineStr">
        <is>
          <t>taint_tabor</t>
        </is>
      </c>
      <c r="I714" s="7" t="inlineStr">
        <is>
          <t>USEC_MUN</t>
        </is>
      </c>
      <c r="J714" s="7" t="inlineStr">
        <is>
          <t>INR</t>
        </is>
      </c>
      <c r="K714" s="7" t="inlineStr">
        <is>
          <t>fixed_unsettled</t>
        </is>
      </c>
      <c r="L714" s="7" t="inlineStr">
        <is>
          <t>PNL</t>
        </is>
      </c>
      <c r="N714" s="13" t="n">
        <v>630</v>
      </c>
      <c r="O714" s="6" t="n">
        <v>0</v>
      </c>
      <c r="P714" s="13" t="n">
        <v>0</v>
      </c>
      <c r="Q714" s="22" t="n">
        <v>31</v>
      </c>
      <c r="R714" s="6" t="n">
        <v>0</v>
      </c>
      <c r="U714" s="9" t="n">
        <v>109596236.73</v>
      </c>
      <c r="V714" s="9" t="n">
        <v>109596236.73</v>
      </c>
      <c r="W714" s="9" t="n">
        <v>173962.2805</v>
      </c>
      <c r="X714" s="9" t="n">
        <v>77.26220000000001</v>
      </c>
      <c r="Y714" s="8">
        <f>IF($I714="JEA_NSA","20ft","40ft")</f>
        <v/>
      </c>
      <c r="Z714" s="8">
        <f>IF($I714="JEA_NSA","nsa","mun")</f>
        <v/>
      </c>
      <c r="AA714" s="8">
        <f>INDEX(param_values,MATCH("container_payload_mt_"&amp;$Y714,param_keys,0))/INDEX(param_values,MATCH("container_payload_mt_"&amp;$Y714&amp;"_"&amp;$H714,param_keys,0))</f>
        <v/>
      </c>
      <c r="AB714" s="16">
        <f>INDEX(Market_Daily!$C$6:$C$256,MATCH($A714,Market_Daily!$A$6:$A$256,0))*INDEX(Market_Daily!$X$6:$Z$256,MATCH($A714,Market_Daily!$A$6:$A$256,0),MATCH("grade_factor_"&amp;$H714,Market_Daily!$X$5:$Z$5,0))</f>
        <v/>
      </c>
      <c r="AC714" s="16">
        <f>$AB714*(1+insurance_rate*insured_value_uplift)</f>
        <v/>
      </c>
      <c r="AD714" s="8">
        <f>(INDEX(Market_Daily!$F$6:$F$256,MATCH($A714,Market_Daily!$A$6:$A$256,0))*(1+INDEX(Market_Daily!$I$6:$I$256,MATCH($A714,Market_Daily!$A$6:$A$256,0))*$Q714/day_count_inr)/(1+INDEX(Market_Daily!$J$6:$J$256,MATCH($A714,Market_Daily!$A$6:$A$256,0))*$Q714/day_count_usd))</f>
        <v/>
      </c>
      <c r="AE714" s="18">
        <f>$AC714*$AD714</f>
        <v/>
      </c>
      <c r="AF714" s="18">
        <f>$AC714*INDEX(Market_Daily!$V$6:$V$256,MATCH($A714,Market_Daily!$A$6:$A$256,0))</f>
        <v/>
      </c>
      <c r="AG714" s="18">
        <f>$AF714*bcd_scrap_hs7602*(1+sws_rate_on_bcd)</f>
        <v/>
      </c>
      <c r="AH714" s="18">
        <f>INDEX(param_values,MATCH("port_cf_charges_inr_t_"&amp;$Z714,param_keys,0))*$AA714+IF(INDEX(param_values,MATCH(IF($I714="JEA_NSA","psic_required_uae_origin","psic_required_safe_origin_designated_port"),param_keys,0)),psic_cost_usd_per_box*INDEX(Market_Daily!$F$6:$F$256,MATCH($A714,Market_Daily!$A$6:$A$256,0))/INDEX(param_values,MATCH("container_payload_mt_20ft_"&amp;$H714,param_keys,0)),0)</f>
        <v/>
      </c>
      <c r="AI714" s="18">
        <f>IF(igst_itc_available,0,($AF714+$AG714)*igst_rate_hs7602)</f>
        <v/>
      </c>
      <c r="AJ714" s="18">
        <f>$AE714+$AG714+$AH714+$AI714</f>
        <v/>
      </c>
      <c r="AK714" s="7" t="inlineStr">
        <is>
          <t>DERIVED_IN_WORKBOOK</t>
        </is>
      </c>
      <c r="AL714" s="8">
        <f>IF($J714="INR",1,IF($M714&lt;$A714,INDEX(Market_Daily!$F$6:$F$256,MATCH($M714,Market_Daily!$A$6:$A$256,1)),IF($M714=$A714,INDEX(Market_Daily!$F$6:$F$256,MATCH($A714,Market_Daily!$A$6:$A$256,0)),(INDEX(Market_Daily!$F$6:$F$256,MATCH($A714,Market_Daily!$A$6:$A$256,0))*(1+INDEX(Market_Daily!$I$6:$I$256,MATCH($A714,Market_Daily!$A$6:$A$256,0))*($M714-$A714)/day_count_inr)/(1+INDEX(Market_Daily!$J$6:$J$256,MATCH($A714,Market_Daily!$A$6:$A$256,0))*($M714-$A714)/day_count_usd)))))</f>
        <v/>
      </c>
      <c r="AM714" s="8">
        <f>IF(OR($J714="INR",$R714&gt;1),"",$AL714-$X714)</f>
        <v/>
      </c>
      <c r="AN714" s="8">
        <f>$N714*$AJ714</f>
        <v/>
      </c>
      <c r="AO714" s="8">
        <f>$AN714</f>
        <v/>
      </c>
      <c r="AP714" s="18">
        <f>$AO714-$V714</f>
        <v/>
      </c>
      <c r="AQ714" s="8">
        <f>IF(ABS($AP714)&lt;=tol_trade_inr,"PASS","FAIL")</f>
        <v/>
      </c>
    </row>
    <row r="715">
      <c r="A715" s="11" t="n">
        <v>44691</v>
      </c>
      <c r="B715" s="7" t="inlineStr">
        <is>
          <t>T04</t>
        </is>
      </c>
      <c r="C715" s="7" t="inlineStr">
        <is>
          <t>INVENTORY:L2</t>
        </is>
      </c>
      <c r="D715" s="7" t="inlineStr">
        <is>
          <t>INVENTORY</t>
        </is>
      </c>
      <c r="E715" s="7" t="inlineStr">
        <is>
          <t>physical</t>
        </is>
      </c>
      <c r="F715" s="7" t="inlineStr">
        <is>
          <t>L2</t>
        </is>
      </c>
      <c r="H715" s="7" t="inlineStr">
        <is>
          <t>taint_tabor</t>
        </is>
      </c>
      <c r="I715" s="7" t="inlineStr">
        <is>
          <t>USEC_MUN</t>
        </is>
      </c>
      <c r="J715" s="7" t="inlineStr">
        <is>
          <t>INR</t>
        </is>
      </c>
      <c r="K715" s="7" t="inlineStr">
        <is>
          <t>fixed_unsettled</t>
        </is>
      </c>
      <c r="L715" s="7" t="inlineStr">
        <is>
          <t>PNL</t>
        </is>
      </c>
      <c r="N715" s="13" t="n">
        <v>630</v>
      </c>
      <c r="O715" s="6" t="n">
        <v>0</v>
      </c>
      <c r="P715" s="13" t="n">
        <v>0</v>
      </c>
      <c r="Q715" s="22" t="n">
        <v>31</v>
      </c>
      <c r="R715" s="6" t="n">
        <v>0</v>
      </c>
      <c r="U715" s="9" t="n">
        <v>109596236.73</v>
      </c>
      <c r="V715" s="9" t="n">
        <v>109596236.73</v>
      </c>
      <c r="W715" s="9" t="n">
        <v>173962.2805</v>
      </c>
      <c r="X715" s="9" t="n">
        <v>77.26220000000001</v>
      </c>
      <c r="Y715" s="8">
        <f>IF($I715="JEA_NSA","20ft","40ft")</f>
        <v/>
      </c>
      <c r="Z715" s="8">
        <f>IF($I715="JEA_NSA","nsa","mun")</f>
        <v/>
      </c>
      <c r="AA715" s="8">
        <f>INDEX(param_values,MATCH("container_payload_mt_"&amp;$Y715,param_keys,0))/INDEX(param_values,MATCH("container_payload_mt_"&amp;$Y715&amp;"_"&amp;$H715,param_keys,0))</f>
        <v/>
      </c>
      <c r="AB715" s="16">
        <f>INDEX(Market_Daily!$C$6:$C$256,MATCH($A715,Market_Daily!$A$6:$A$256,0))*INDEX(Market_Daily!$X$6:$Z$256,MATCH($A715,Market_Daily!$A$6:$A$256,0),MATCH("grade_factor_"&amp;$H715,Market_Daily!$X$5:$Z$5,0))</f>
        <v/>
      </c>
      <c r="AC715" s="16">
        <f>$AB715*(1+insurance_rate*insured_value_uplift)</f>
        <v/>
      </c>
      <c r="AD715" s="8">
        <f>(INDEX(Market_Daily!$F$6:$F$256,MATCH($A715,Market_Daily!$A$6:$A$256,0))*(1+INDEX(Market_Daily!$I$6:$I$256,MATCH($A715,Market_Daily!$A$6:$A$256,0))*$Q715/day_count_inr)/(1+INDEX(Market_Daily!$J$6:$J$256,MATCH($A715,Market_Daily!$A$6:$A$256,0))*$Q715/day_count_usd))</f>
        <v/>
      </c>
      <c r="AE715" s="18">
        <f>$AC715*$AD715</f>
        <v/>
      </c>
      <c r="AF715" s="18">
        <f>$AC715*INDEX(Market_Daily!$V$6:$V$256,MATCH($A715,Market_Daily!$A$6:$A$256,0))</f>
        <v/>
      </c>
      <c r="AG715" s="18">
        <f>$AF715*bcd_scrap_hs7602*(1+sws_rate_on_bcd)</f>
        <v/>
      </c>
      <c r="AH715" s="18">
        <f>INDEX(param_values,MATCH("port_cf_charges_inr_t_"&amp;$Z715,param_keys,0))*$AA715+IF(INDEX(param_values,MATCH(IF($I715="JEA_NSA","psic_required_uae_origin","psic_required_safe_origin_designated_port"),param_keys,0)),psic_cost_usd_per_box*INDEX(Market_Daily!$F$6:$F$256,MATCH($A715,Market_Daily!$A$6:$A$256,0))/INDEX(param_values,MATCH("container_payload_mt_20ft_"&amp;$H715,param_keys,0)),0)</f>
        <v/>
      </c>
      <c r="AI715" s="18">
        <f>IF(igst_itc_available,0,($AF715+$AG715)*igst_rate_hs7602)</f>
        <v/>
      </c>
      <c r="AJ715" s="18">
        <f>$AE715+$AG715+$AH715+$AI715</f>
        <v/>
      </c>
      <c r="AK715" s="7" t="inlineStr">
        <is>
          <t>DERIVED_IN_WORKBOOK</t>
        </is>
      </c>
      <c r="AL715" s="8">
        <f>IF($J715="INR",1,IF($M715&lt;$A715,INDEX(Market_Daily!$F$6:$F$256,MATCH($M715,Market_Daily!$A$6:$A$256,1)),IF($M715=$A715,INDEX(Market_Daily!$F$6:$F$256,MATCH($A715,Market_Daily!$A$6:$A$256,0)),(INDEX(Market_Daily!$F$6:$F$256,MATCH($A715,Market_Daily!$A$6:$A$256,0))*(1+INDEX(Market_Daily!$I$6:$I$256,MATCH($A715,Market_Daily!$A$6:$A$256,0))*($M715-$A715)/day_count_inr)/(1+INDEX(Market_Daily!$J$6:$J$256,MATCH($A715,Market_Daily!$A$6:$A$256,0))*($M715-$A715)/day_count_usd)))))</f>
        <v/>
      </c>
      <c r="AM715" s="8">
        <f>IF(OR($J715="INR",$R715&gt;1),"",$AL715-$X715)</f>
        <v/>
      </c>
      <c r="AN715" s="8">
        <f>$N715*$AJ715</f>
        <v/>
      </c>
      <c r="AO715" s="8">
        <f>$AN715</f>
        <v/>
      </c>
      <c r="AP715" s="18">
        <f>$AO715-$V715</f>
        <v/>
      </c>
      <c r="AQ715" s="8">
        <f>IF(ABS($AP715)&lt;=tol_trade_inr,"PASS","FAIL")</f>
        <v/>
      </c>
    </row>
    <row r="716">
      <c r="A716" s="11" t="n">
        <v>44691</v>
      </c>
      <c r="B716" s="7" t="inlineStr">
        <is>
          <t>T04</t>
        </is>
      </c>
      <c r="C716" s="7" t="inlineStr">
        <is>
          <t>MCX:T04-MCX-2</t>
        </is>
      </c>
      <c r="D716" s="7" t="inlineStr">
        <is>
          <t>MCX</t>
        </is>
      </c>
      <c r="E716" s="7" t="inlineStr">
        <is>
          <t>mcx</t>
        </is>
      </c>
      <c r="H716" s="7" t="inlineStr">
        <is>
          <t>taint_tabor</t>
        </is>
      </c>
      <c r="I716" s="7" t="inlineStr">
        <is>
          <t>USEC_MUN</t>
        </is>
      </c>
      <c r="J716" s="7" t="inlineStr">
        <is>
          <t>INR</t>
        </is>
      </c>
      <c r="K716" s="7" t="inlineStr">
        <is>
          <t>partially_fixed</t>
        </is>
      </c>
      <c r="L716" s="7" t="inlineStr">
        <is>
          <t>PNL</t>
        </is>
      </c>
      <c r="M716" s="11" t="n">
        <v>44701</v>
      </c>
      <c r="N716" s="13" t="n">
        <v>0</v>
      </c>
      <c r="O716" s="6" t="n">
        <v>-87</v>
      </c>
      <c r="P716" s="13" t="n">
        <v>0</v>
      </c>
      <c r="Q716" s="22" t="n">
        <v>31</v>
      </c>
      <c r="R716" s="6" t="n">
        <v>22</v>
      </c>
      <c r="U716" s="9" t="n">
        <v>0</v>
      </c>
      <c r="V716" s="9" t="n">
        <v>0</v>
      </c>
      <c r="X716" s="9" t="n">
        <v>77.26220000000001</v>
      </c>
      <c r="AK716" s="7" t="inlineStr">
        <is>
          <t>PYTHON_MULTI_FLOW_LEG</t>
        </is>
      </c>
      <c r="AL716" s="8">
        <f>IF($J716="INR",1,IF($M716&lt;$A716,INDEX(Market_Daily!$F$6:$F$256,MATCH($M716,Market_Daily!$A$6:$A$256,1)),IF($M716=$A716,INDEX(Market_Daily!$F$6:$F$256,MATCH($A716,Market_Daily!$A$6:$A$256,0)),(INDEX(Market_Daily!$F$6:$F$256,MATCH($A716,Market_Daily!$A$6:$A$256,0))*(1+INDEX(Market_Daily!$I$6:$I$256,MATCH($A716,Market_Daily!$A$6:$A$256,0))*($M716-$A716)/day_count_inr)/(1+INDEX(Market_Daily!$J$6:$J$256,MATCH($A716,Market_Daily!$A$6:$A$256,0))*($M716-$A716)/day_count_usd)))))</f>
        <v/>
      </c>
      <c r="AM716" s="8">
        <f>IF(OR($J716="INR",$R716&gt;1),"",$AL716-$X716)</f>
        <v/>
      </c>
      <c r="AN716" s="8">
        <f>$U716</f>
        <v/>
      </c>
      <c r="AO716" s="8">
        <f>$V716</f>
        <v/>
      </c>
      <c r="AP716" s="18">
        <f>$AO716-$V716</f>
        <v/>
      </c>
      <c r="AQ716" s="8">
        <f>IF(ABS($AP716)&lt;=tol_trade_inr,"PASS","FAIL")</f>
        <v/>
      </c>
    </row>
    <row r="717">
      <c r="A717" s="11" t="n">
        <v>44691</v>
      </c>
      <c r="B717" s="7" t="inlineStr">
        <is>
          <t>T04</t>
        </is>
      </c>
      <c r="C717" s="7" t="inlineStr">
        <is>
          <t>PORT:L1</t>
        </is>
      </c>
      <c r="D717" s="7" t="inlineStr">
        <is>
          <t>PORT</t>
        </is>
      </c>
      <c r="E717" s="7" t="inlineStr">
        <is>
          <t>physical</t>
        </is>
      </c>
      <c r="F717" s="7" t="inlineStr">
        <is>
          <t>L1</t>
        </is>
      </c>
      <c r="H717" s="7" t="inlineStr">
        <is>
          <t>taint_tabor</t>
        </is>
      </c>
      <c r="I717" s="7" t="inlineStr">
        <is>
          <t>USEC_MUN</t>
        </is>
      </c>
      <c r="J717" s="7" t="inlineStr">
        <is>
          <t>INR</t>
        </is>
      </c>
      <c r="K717" s="7" t="inlineStr">
        <is>
          <t>fixed_unsettled</t>
        </is>
      </c>
      <c r="L717" s="7" t="inlineStr">
        <is>
          <t>PNL</t>
        </is>
      </c>
      <c r="M717" s="11" t="n">
        <v>44728</v>
      </c>
      <c r="N717" s="13" t="n">
        <v>0</v>
      </c>
      <c r="O717" s="6" t="n">
        <v>0</v>
      </c>
      <c r="P717" s="13" t="n">
        <v>0</v>
      </c>
      <c r="Q717" s="22" t="n">
        <v>31</v>
      </c>
      <c r="R717" s="6" t="n">
        <v>1</v>
      </c>
      <c r="U717" s="9" t="n">
        <v>-1669500</v>
      </c>
      <c r="V717" s="9" t="n">
        <v>-1669500</v>
      </c>
      <c r="X717" s="9" t="n">
        <v>77.26220000000001</v>
      </c>
      <c r="AK717" s="7" t="inlineStr">
        <is>
          <t>PYTHON_LIFECYCLE</t>
        </is>
      </c>
      <c r="AL717" s="8">
        <f>IF($J717="INR",1,IF($M717&lt;$A717,INDEX(Market_Daily!$F$6:$F$256,MATCH($M717,Market_Daily!$A$6:$A$256,1)),IF($M717=$A717,INDEX(Market_Daily!$F$6:$F$256,MATCH($A717,Market_Daily!$A$6:$A$256,0)),(INDEX(Market_Daily!$F$6:$F$256,MATCH($A717,Market_Daily!$A$6:$A$256,0))*(1+INDEX(Market_Daily!$I$6:$I$256,MATCH($A717,Market_Daily!$A$6:$A$256,0))*($M717-$A717)/day_count_inr)/(1+INDEX(Market_Daily!$J$6:$J$256,MATCH($A717,Market_Daily!$A$6:$A$256,0))*($M717-$A717)/day_count_usd)))))</f>
        <v/>
      </c>
      <c r="AM717" s="8">
        <f>IF(OR($J717="INR",$R717&gt;1),"",$AL717-$X717)</f>
        <v/>
      </c>
      <c r="AN717" s="8">
        <f>$U717</f>
        <v/>
      </c>
      <c r="AO717" s="8">
        <f>$AN717*IF($J717="INR",1,$AL717)</f>
        <v/>
      </c>
      <c r="AP717" s="18">
        <f>$AO717-$V717</f>
        <v/>
      </c>
      <c r="AQ717" s="8">
        <f>IF(ABS($AP717)&lt;=tol_trade_inr,"PASS","FAIL")</f>
        <v/>
      </c>
    </row>
    <row r="718">
      <c r="A718" s="11" t="n">
        <v>44691</v>
      </c>
      <c r="B718" s="7" t="inlineStr">
        <is>
          <t>T04</t>
        </is>
      </c>
      <c r="C718" s="7" t="inlineStr">
        <is>
          <t>PORT:L2</t>
        </is>
      </c>
      <c r="D718" s="7" t="inlineStr">
        <is>
          <t>PORT</t>
        </is>
      </c>
      <c r="E718" s="7" t="inlineStr">
        <is>
          <t>physical</t>
        </is>
      </c>
      <c r="F718" s="7" t="inlineStr">
        <is>
          <t>L2</t>
        </is>
      </c>
      <c r="H718" s="7" t="inlineStr">
        <is>
          <t>taint_tabor</t>
        </is>
      </c>
      <c r="I718" s="7" t="inlineStr">
        <is>
          <t>USEC_MUN</t>
        </is>
      </c>
      <c r="J718" s="7" t="inlineStr">
        <is>
          <t>INR</t>
        </is>
      </c>
      <c r="K718" s="7" t="inlineStr">
        <is>
          <t>fixed_unsettled</t>
        </is>
      </c>
      <c r="L718" s="7" t="inlineStr">
        <is>
          <t>PNL</t>
        </is>
      </c>
      <c r="M718" s="11" t="n">
        <v>44735</v>
      </c>
      <c r="N718" s="13" t="n">
        <v>0</v>
      </c>
      <c r="O718" s="6" t="n">
        <v>0</v>
      </c>
      <c r="P718" s="13" t="n">
        <v>0</v>
      </c>
      <c r="Q718" s="22" t="n">
        <v>31</v>
      </c>
      <c r="R718" s="6" t="n">
        <v>1</v>
      </c>
      <c r="U718" s="9" t="n">
        <v>-1669500</v>
      </c>
      <c r="V718" s="9" t="n">
        <v>-1669500</v>
      </c>
      <c r="X718" s="9" t="n">
        <v>77.26220000000001</v>
      </c>
      <c r="AK718" s="7" t="inlineStr">
        <is>
          <t>PYTHON_LIFECYCLE</t>
        </is>
      </c>
      <c r="AL718" s="8">
        <f>IF($J718="INR",1,IF($M718&lt;$A718,INDEX(Market_Daily!$F$6:$F$256,MATCH($M718,Market_Daily!$A$6:$A$256,1)),IF($M718=$A718,INDEX(Market_Daily!$F$6:$F$256,MATCH($A718,Market_Daily!$A$6:$A$256,0)),(INDEX(Market_Daily!$F$6:$F$256,MATCH($A718,Market_Daily!$A$6:$A$256,0))*(1+INDEX(Market_Daily!$I$6:$I$256,MATCH($A718,Market_Daily!$A$6:$A$256,0))*($M718-$A718)/day_count_inr)/(1+INDEX(Market_Daily!$J$6:$J$256,MATCH($A718,Market_Daily!$A$6:$A$256,0))*($M718-$A718)/day_count_usd)))))</f>
        <v/>
      </c>
      <c r="AM718" s="8">
        <f>IF(OR($J718="INR",$R718&gt;1),"",$AL718-$X718)</f>
        <v/>
      </c>
      <c r="AN718" s="8">
        <f>$U718</f>
        <v/>
      </c>
      <c r="AO718" s="8">
        <f>$AN718*IF($J718="INR",1,$AL718)</f>
        <v/>
      </c>
      <c r="AP718" s="18">
        <f>$AO718-$V718</f>
        <v/>
      </c>
      <c r="AQ718" s="8">
        <f>IF(ABS($AP718)&lt;=tol_trade_inr,"PASS","FAIL")</f>
        <v/>
      </c>
    </row>
    <row r="719">
      <c r="A719" s="11" t="n">
        <v>44691</v>
      </c>
      <c r="B719" s="7" t="inlineStr">
        <is>
          <t>T04</t>
        </is>
      </c>
      <c r="C719" s="7" t="inlineStr">
        <is>
          <t>PURCHASE:L2</t>
        </is>
      </c>
      <c r="D719" s="7" t="inlineStr">
        <is>
          <t>PURCHASE</t>
        </is>
      </c>
      <c r="E719" s="7" t="inlineStr">
        <is>
          <t>physical</t>
        </is>
      </c>
      <c r="F719" s="7" t="inlineStr">
        <is>
          <t>L2</t>
        </is>
      </c>
      <c r="G719" s="7" t="inlineStr">
        <is>
          <t>SUP_USEC_02</t>
        </is>
      </c>
      <c r="H719" s="7" t="inlineStr">
        <is>
          <t>taint_tabor</t>
        </is>
      </c>
      <c r="I719" s="7" t="inlineStr">
        <is>
          <t>USEC_MUN</t>
        </is>
      </c>
      <c r="J719" s="7" t="inlineStr">
        <is>
          <t>USD</t>
        </is>
      </c>
      <c r="K719" s="7" t="inlineStr">
        <is>
          <t>fixed_unsettled</t>
        </is>
      </c>
      <c r="L719" s="7" t="inlineStr">
        <is>
          <t>PNL</t>
        </is>
      </c>
      <c r="M719" s="11" t="n">
        <v>44692</v>
      </c>
      <c r="N719" s="13" t="n">
        <v>630</v>
      </c>
      <c r="O719" s="6" t="n">
        <v>0</v>
      </c>
      <c r="P719" s="13" t="n">
        <v>0</v>
      </c>
      <c r="Q719" s="22" t="n">
        <v>31</v>
      </c>
      <c r="R719" s="6" t="n">
        <v>1</v>
      </c>
      <c r="U719" s="9" t="n">
        <v>-1518300</v>
      </c>
      <c r="V719" s="9" t="n">
        <v>-117319520.9</v>
      </c>
      <c r="X719" s="9" t="n">
        <v>77.27030000000001</v>
      </c>
      <c r="AK719" s="7" t="inlineStr">
        <is>
          <t>PYTHON_LIFECYCLE</t>
        </is>
      </c>
      <c r="AL719" s="8">
        <f>IF($J719="INR",1,IF($M719&lt;$A719,INDEX(Market_Daily!$F$6:$F$256,MATCH($M719,Market_Daily!$A$6:$A$256,1)),IF($M719=$A719,INDEX(Market_Daily!$F$6:$F$256,MATCH($A719,Market_Daily!$A$6:$A$256,0)),(INDEX(Market_Daily!$F$6:$F$256,MATCH($A719,Market_Daily!$A$6:$A$256,0))*(1+INDEX(Market_Daily!$I$6:$I$256,MATCH($A719,Market_Daily!$A$6:$A$256,0))*($M719-$A719)/day_count_inr)/(1+INDEX(Market_Daily!$J$6:$J$256,MATCH($A719,Market_Daily!$A$6:$A$256,0))*($M719-$A719)/day_count_usd)))))</f>
        <v/>
      </c>
      <c r="AM719" s="8">
        <f>IF(OR($J719="INR",$R719&gt;1),"",$AL719-$X719)</f>
        <v/>
      </c>
      <c r="AN719" s="8">
        <f>$U719</f>
        <v/>
      </c>
      <c r="AO719" s="8">
        <f>$AN719*IF($J719="INR",1,$AL719)</f>
        <v/>
      </c>
      <c r="AP719" s="18">
        <f>$AO719-$V719</f>
        <v/>
      </c>
      <c r="AQ719" s="8">
        <f>IF(ABS($AP719)&lt;=tol_trade_inr,"PASS","FAIL")</f>
        <v/>
      </c>
    </row>
    <row r="720">
      <c r="A720" s="11" t="n">
        <v>44691</v>
      </c>
      <c r="B720" s="7" t="inlineStr">
        <is>
          <t>T05</t>
        </is>
      </c>
      <c r="C720" s="7" t="inlineStr">
        <is>
          <t>BILL_COMMISSION:L1</t>
        </is>
      </c>
      <c r="D720" s="7" t="inlineStr">
        <is>
          <t>BILL_COMMISSION</t>
        </is>
      </c>
      <c r="E720" s="7" t="inlineStr">
        <is>
          <t>physical</t>
        </is>
      </c>
      <c r="F720" s="7" t="inlineStr">
        <is>
          <t>L1</t>
        </is>
      </c>
      <c r="H720" s="7" t="inlineStr">
        <is>
          <t>tense</t>
        </is>
      </c>
      <c r="I720" s="7" t="inlineStr">
        <is>
          <t>USEC_MUN</t>
        </is>
      </c>
      <c r="J720" s="7" t="inlineStr">
        <is>
          <t>USD</t>
        </is>
      </c>
      <c r="K720" s="7" t="inlineStr">
        <is>
          <t>floating</t>
        </is>
      </c>
      <c r="L720" s="7" t="inlineStr">
        <is>
          <t>PNL</t>
        </is>
      </c>
      <c r="M720" s="11" t="n">
        <v>44753</v>
      </c>
      <c r="N720" s="13" t="n">
        <v>0</v>
      </c>
      <c r="O720" s="6" t="n">
        <v>0</v>
      </c>
      <c r="P720" s="13" t="n">
        <v>0</v>
      </c>
      <c r="Q720" s="22" t="n">
        <v>31</v>
      </c>
      <c r="R720" s="6" t="n">
        <v>1</v>
      </c>
      <c r="U720" s="9" t="n">
        <v>-2249.47</v>
      </c>
      <c r="V720" s="9" t="n">
        <v>-174929</v>
      </c>
      <c r="X720" s="9" t="n">
        <v>77.7646</v>
      </c>
      <c r="AK720" s="7" t="inlineStr">
        <is>
          <t>PYTHON_LIFECYCLE</t>
        </is>
      </c>
      <c r="AL720" s="8">
        <f>IF($J720="INR",1,IF($M720&lt;$A720,INDEX(Market_Daily!$F$6:$F$256,MATCH($M720,Market_Daily!$A$6:$A$256,1)),IF($M720=$A720,INDEX(Market_Daily!$F$6:$F$256,MATCH($A720,Market_Daily!$A$6:$A$256,0)),(INDEX(Market_Daily!$F$6:$F$256,MATCH($A720,Market_Daily!$A$6:$A$256,0))*(1+INDEX(Market_Daily!$I$6:$I$256,MATCH($A720,Market_Daily!$A$6:$A$256,0))*($M720-$A720)/day_count_inr)/(1+INDEX(Market_Daily!$J$6:$J$256,MATCH($A720,Market_Daily!$A$6:$A$256,0))*($M720-$A720)/day_count_usd)))))</f>
        <v/>
      </c>
      <c r="AM720" s="8">
        <f>IF(OR($J720="INR",$R720&gt;1),"",$AL720-$X720)</f>
        <v/>
      </c>
      <c r="AN720" s="8">
        <f>$U720</f>
        <v/>
      </c>
      <c r="AO720" s="8">
        <f>$AN720*IF($J720="INR",1,$AL720)</f>
        <v/>
      </c>
      <c r="AP720" s="18">
        <f>$AO720-$V720</f>
        <v/>
      </c>
      <c r="AQ720" s="8">
        <f>IF(ABS($AP720)&lt;=tol_trade_inr,"PASS","FAIL")</f>
        <v/>
      </c>
    </row>
    <row r="721">
      <c r="A721" s="11" t="n">
        <v>44691</v>
      </c>
      <c r="B721" s="7" t="inlineStr">
        <is>
          <t>T05</t>
        </is>
      </c>
      <c r="C721" s="7" t="inlineStr">
        <is>
          <t>BILL_COMMISSION:L2</t>
        </is>
      </c>
      <c r="D721" s="7" t="inlineStr">
        <is>
          <t>BILL_COMMISSION</t>
        </is>
      </c>
      <c r="E721" s="7" t="inlineStr">
        <is>
          <t>physical</t>
        </is>
      </c>
      <c r="F721" s="7" t="inlineStr">
        <is>
          <t>L2</t>
        </is>
      </c>
      <c r="H721" s="7" t="inlineStr">
        <is>
          <t>tense</t>
        </is>
      </c>
      <c r="I721" s="7" t="inlineStr">
        <is>
          <t>USEC_MUN</t>
        </is>
      </c>
      <c r="J721" s="7" t="inlineStr">
        <is>
          <t>USD</t>
        </is>
      </c>
      <c r="K721" s="7" t="inlineStr">
        <is>
          <t>floating</t>
        </is>
      </c>
      <c r="L721" s="7" t="inlineStr">
        <is>
          <t>PNL</t>
        </is>
      </c>
      <c r="M721" s="11" t="n">
        <v>44760</v>
      </c>
      <c r="N721" s="13" t="n">
        <v>0</v>
      </c>
      <c r="O721" s="6" t="n">
        <v>0</v>
      </c>
      <c r="P721" s="13" t="n">
        <v>0</v>
      </c>
      <c r="Q721" s="22" t="n">
        <v>31</v>
      </c>
      <c r="R721" s="6" t="n">
        <v>1</v>
      </c>
      <c r="U721" s="9" t="n">
        <v>-2252.24</v>
      </c>
      <c r="V721" s="9" t="n">
        <v>-175272.47</v>
      </c>
      <c r="X721" s="9" t="n">
        <v>77.82129999999999</v>
      </c>
      <c r="AK721" s="7" t="inlineStr">
        <is>
          <t>PYTHON_LIFECYCLE</t>
        </is>
      </c>
      <c r="AL721" s="8">
        <f>IF($J721="INR",1,IF($M721&lt;$A721,INDEX(Market_Daily!$F$6:$F$256,MATCH($M721,Market_Daily!$A$6:$A$256,1)),IF($M721=$A721,INDEX(Market_Daily!$F$6:$F$256,MATCH($A721,Market_Daily!$A$6:$A$256,0)),(INDEX(Market_Daily!$F$6:$F$256,MATCH($A721,Market_Daily!$A$6:$A$256,0))*(1+INDEX(Market_Daily!$I$6:$I$256,MATCH($A721,Market_Daily!$A$6:$A$256,0))*($M721-$A721)/day_count_inr)/(1+INDEX(Market_Daily!$J$6:$J$256,MATCH($A721,Market_Daily!$A$6:$A$256,0))*($M721-$A721)/day_count_usd)))))</f>
        <v/>
      </c>
      <c r="AM721" s="8">
        <f>IF(OR($J721="INR",$R721&gt;1),"",$AL721-$X721)</f>
        <v/>
      </c>
      <c r="AN721" s="8">
        <f>$U721</f>
        <v/>
      </c>
      <c r="AO721" s="8">
        <f>$AN721*IF($J721="INR",1,$AL721)</f>
        <v/>
      </c>
      <c r="AP721" s="18">
        <f>$AO721-$V721</f>
        <v/>
      </c>
      <c r="AQ721" s="8">
        <f>IF(ABS($AP721)&lt;=tol_trade_inr,"PASS","FAIL")</f>
        <v/>
      </c>
    </row>
    <row r="722">
      <c r="A722" s="11" t="n">
        <v>44691</v>
      </c>
      <c r="B722" s="7" t="inlineStr">
        <is>
          <t>T05</t>
        </is>
      </c>
      <c r="C722" s="7" t="inlineStr">
        <is>
          <t>DUTY:L1</t>
        </is>
      </c>
      <c r="D722" s="7" t="inlineStr">
        <is>
          <t>DUTY</t>
        </is>
      </c>
      <c r="E722" s="7" t="inlineStr">
        <is>
          <t>physical</t>
        </is>
      </c>
      <c r="F722" s="7" t="inlineStr">
        <is>
          <t>L1</t>
        </is>
      </c>
      <c r="H722" s="7" t="inlineStr">
        <is>
          <t>tense</t>
        </is>
      </c>
      <c r="I722" s="7" t="inlineStr">
        <is>
          <t>USEC_MUN</t>
        </is>
      </c>
      <c r="J722" s="7" t="inlineStr">
        <is>
          <t>INR</t>
        </is>
      </c>
      <c r="K722" s="7" t="inlineStr">
        <is>
          <t>floating</t>
        </is>
      </c>
      <c r="L722" s="7" t="inlineStr">
        <is>
          <t>PNL</t>
        </is>
      </c>
      <c r="M722" s="11" t="n">
        <v>44749</v>
      </c>
      <c r="N722" s="13" t="n">
        <v>1050</v>
      </c>
      <c r="O722" s="6" t="n">
        <v>0</v>
      </c>
      <c r="P722" s="13" t="n">
        <v>0</v>
      </c>
      <c r="Q722" s="22" t="n">
        <v>31</v>
      </c>
      <c r="R722" s="6" t="n">
        <v>2</v>
      </c>
      <c r="U722" s="9" t="n">
        <v>-4210139.43</v>
      </c>
      <c r="V722" s="9" t="n">
        <v>-4210139.43</v>
      </c>
      <c r="X722" s="9" t="n">
        <v>77.26220000000001</v>
      </c>
      <c r="AK722" s="7" t="inlineStr">
        <is>
          <t>PYTHON_MULTI_FLOW_LEG</t>
        </is>
      </c>
      <c r="AL722" s="8">
        <f>IF($J722="INR",1,IF($M722&lt;$A722,INDEX(Market_Daily!$F$6:$F$256,MATCH($M722,Market_Daily!$A$6:$A$256,1)),IF($M722=$A722,INDEX(Market_Daily!$F$6:$F$256,MATCH($A722,Market_Daily!$A$6:$A$256,0)),(INDEX(Market_Daily!$F$6:$F$256,MATCH($A722,Market_Daily!$A$6:$A$256,0))*(1+INDEX(Market_Daily!$I$6:$I$256,MATCH($A722,Market_Daily!$A$6:$A$256,0))*($M722-$A722)/day_count_inr)/(1+INDEX(Market_Daily!$J$6:$J$256,MATCH($A722,Market_Daily!$A$6:$A$256,0))*($M722-$A722)/day_count_usd)))))</f>
        <v/>
      </c>
      <c r="AM722" s="8">
        <f>IF(OR($J722="INR",$R722&gt;1),"",$AL722-$X722)</f>
        <v/>
      </c>
      <c r="AN722" s="8">
        <f>$U722</f>
        <v/>
      </c>
      <c r="AO722" s="8">
        <f>$V722</f>
        <v/>
      </c>
      <c r="AP722" s="18">
        <f>$AO722-$V722</f>
        <v/>
      </c>
      <c r="AQ722" s="8">
        <f>IF(ABS($AP722)&lt;=tol_trade_inr,"PASS","FAIL")</f>
        <v/>
      </c>
    </row>
    <row r="723">
      <c r="A723" s="11" t="n">
        <v>44691</v>
      </c>
      <c r="B723" s="7" t="inlineStr">
        <is>
          <t>T05</t>
        </is>
      </c>
      <c r="C723" s="7" t="inlineStr">
        <is>
          <t>DUTY:L2</t>
        </is>
      </c>
      <c r="D723" s="7" t="inlineStr">
        <is>
          <t>DUTY</t>
        </is>
      </c>
      <c r="E723" s="7" t="inlineStr">
        <is>
          <t>physical</t>
        </is>
      </c>
      <c r="F723" s="7" t="inlineStr">
        <is>
          <t>L2</t>
        </is>
      </c>
      <c r="H723" s="7" t="inlineStr">
        <is>
          <t>tense</t>
        </is>
      </c>
      <c r="I723" s="7" t="inlineStr">
        <is>
          <t>USEC_MUN</t>
        </is>
      </c>
      <c r="J723" s="7" t="inlineStr">
        <is>
          <t>INR</t>
        </is>
      </c>
      <c r="K723" s="7" t="inlineStr">
        <is>
          <t>floating</t>
        </is>
      </c>
      <c r="L723" s="7" t="inlineStr">
        <is>
          <t>PNL</t>
        </is>
      </c>
      <c r="M723" s="11" t="n">
        <v>44749</v>
      </c>
      <c r="N723" s="13" t="n">
        <v>1050</v>
      </c>
      <c r="O723" s="6" t="n">
        <v>0</v>
      </c>
      <c r="P723" s="13" t="n">
        <v>0</v>
      </c>
      <c r="Q723" s="22" t="n">
        <v>31</v>
      </c>
      <c r="R723" s="6" t="n">
        <v>2</v>
      </c>
      <c r="U723" s="9" t="n">
        <v>-4210139.43</v>
      </c>
      <c r="V723" s="9" t="n">
        <v>-4210139.43</v>
      </c>
      <c r="X723" s="9" t="n">
        <v>77.26220000000001</v>
      </c>
      <c r="AK723" s="7" t="inlineStr">
        <is>
          <t>PYTHON_MULTI_FLOW_LEG</t>
        </is>
      </c>
      <c r="AL723" s="8">
        <f>IF($J723="INR",1,IF($M723&lt;$A723,INDEX(Market_Daily!$F$6:$F$256,MATCH($M723,Market_Daily!$A$6:$A$256,1)),IF($M723=$A723,INDEX(Market_Daily!$F$6:$F$256,MATCH($A723,Market_Daily!$A$6:$A$256,0)),(INDEX(Market_Daily!$F$6:$F$256,MATCH($A723,Market_Daily!$A$6:$A$256,0))*(1+INDEX(Market_Daily!$I$6:$I$256,MATCH($A723,Market_Daily!$A$6:$A$256,0))*($M723-$A723)/day_count_inr)/(1+INDEX(Market_Daily!$J$6:$J$256,MATCH($A723,Market_Daily!$A$6:$A$256,0))*($M723-$A723)/day_count_usd)))))</f>
        <v/>
      </c>
      <c r="AM723" s="8">
        <f>IF(OR($J723="INR",$R723&gt;1),"",$AL723-$X723)</f>
        <v/>
      </c>
      <c r="AN723" s="8">
        <f>$U723</f>
        <v/>
      </c>
      <c r="AO723" s="8">
        <f>$V723</f>
        <v/>
      </c>
      <c r="AP723" s="18">
        <f>$AO723-$V723</f>
        <v/>
      </c>
      <c r="AQ723" s="8">
        <f>IF(ABS($AP723)&lt;=tol_trade_inr,"PASS","FAIL")</f>
        <v/>
      </c>
    </row>
    <row r="724">
      <c r="A724" s="11" t="n">
        <v>44691</v>
      </c>
      <c r="B724" s="7" t="inlineStr">
        <is>
          <t>T05</t>
        </is>
      </c>
      <c r="C724" s="7" t="inlineStr">
        <is>
          <t>FX:T05-FX-1</t>
        </is>
      </c>
      <c r="D724" s="7" t="inlineStr">
        <is>
          <t>FX</t>
        </is>
      </c>
      <c r="E724" s="7" t="inlineStr">
        <is>
          <t>fx_forward</t>
        </is>
      </c>
      <c r="H724" s="7" t="inlineStr">
        <is>
          <t>tense</t>
        </is>
      </c>
      <c r="I724" s="7" t="inlineStr">
        <is>
          <t>USEC_MUN</t>
        </is>
      </c>
      <c r="J724" s="7" t="inlineStr">
        <is>
          <t>INR</t>
        </is>
      </c>
      <c r="K724" s="7" t="inlineStr">
        <is>
          <t>floating</t>
        </is>
      </c>
      <c r="L724" s="7" t="inlineStr">
        <is>
          <t>PNL</t>
        </is>
      </c>
      <c r="M724" s="11" t="n">
        <v>44753</v>
      </c>
      <c r="N724" s="13" t="n">
        <v>0</v>
      </c>
      <c r="O724" s="6" t="n">
        <v>0</v>
      </c>
      <c r="P724" s="13" t="n">
        <v>1874500</v>
      </c>
      <c r="Q724" s="22" t="n">
        <v>31</v>
      </c>
      <c r="R724" s="6" t="n">
        <v>1</v>
      </c>
      <c r="S724" s="12" t="n">
        <v>44753</v>
      </c>
      <c r="T724" s="21" t="n">
        <v>77.86464100000001</v>
      </c>
      <c r="U724" s="9" t="n">
        <v>-187450</v>
      </c>
      <c r="V724" s="9" t="n">
        <v>-187450</v>
      </c>
      <c r="X724" s="9" t="n">
        <v>77.26220000000001</v>
      </c>
      <c r="AK724" s="7" t="inlineStr">
        <is>
          <t>DERIVED_IN_WORKBOOK</t>
        </is>
      </c>
      <c r="AL724" s="8">
        <f>IF($J724="INR",1,IF($M724&lt;$A724,INDEX(Market_Daily!$F$6:$F$256,MATCH($M724,Market_Daily!$A$6:$A$256,1)),IF($M724=$A724,INDEX(Market_Daily!$F$6:$F$256,MATCH($A724,Market_Daily!$A$6:$A$256,0)),(INDEX(Market_Daily!$F$6:$F$256,MATCH($A724,Market_Daily!$A$6:$A$256,0))*(1+INDEX(Market_Daily!$I$6:$I$256,MATCH($A724,Market_Daily!$A$6:$A$256,0))*($M724-$A724)/day_count_inr)/(1+INDEX(Market_Daily!$J$6:$J$256,MATCH($A724,Market_Daily!$A$6:$A$256,0))*($M724-$A724)/day_count_usd)))))</f>
        <v/>
      </c>
      <c r="AM724" s="8">
        <f>IF(OR($J724="INR",$R724&gt;1),"",$AL724-$X724)</f>
        <v/>
      </c>
      <c r="AN724" s="8">
        <f>$P724*(IF($S724&lt;$A724,INDEX(Market_Daily!$F$6:$F$256,MATCH($S724,Market_Daily!$A$6:$A$256,1)),IF($S724=$A724,INDEX(Market_Daily!$F$6:$F$256,MATCH($A724,Market_Daily!$A$6:$A$256,0)),(INDEX(Market_Daily!$F$6:$F$256,MATCH($A724,Market_Daily!$A$6:$A$256,0))*(1+INDEX(Market_Daily!$I$6:$I$256,MATCH($A724,Market_Daily!$A$6:$A$256,0))*($S724-$A724)/day_count_inr)/(1+INDEX(Market_Daily!$J$6:$J$256,MATCH($A724,Market_Daily!$A$6:$A$256,0))*($S724-$A724)/day_count_usd))))-$T724)</f>
        <v/>
      </c>
      <c r="AO724" s="8">
        <f>$AN724</f>
        <v/>
      </c>
      <c r="AP724" s="18">
        <f>$AO724-$V724</f>
        <v/>
      </c>
      <c r="AQ724" s="8">
        <f>IF(ABS($AP724)&lt;=tol_trade_inr,"PASS","FAIL")</f>
        <v/>
      </c>
    </row>
    <row r="725">
      <c r="A725" s="11" t="n">
        <v>44691</v>
      </c>
      <c r="B725" s="7" t="inlineStr">
        <is>
          <t>T05</t>
        </is>
      </c>
      <c r="C725" s="7" t="inlineStr">
        <is>
          <t>IGST:L1</t>
        </is>
      </c>
      <c r="D725" s="7" t="inlineStr">
        <is>
          <t>IGST</t>
        </is>
      </c>
      <c r="E725" s="7" t="inlineStr">
        <is>
          <t>physical</t>
        </is>
      </c>
      <c r="F725" s="7" t="inlineStr">
        <is>
          <t>L1</t>
        </is>
      </c>
      <c r="H725" s="7" t="inlineStr">
        <is>
          <t>tense</t>
        </is>
      </c>
      <c r="I725" s="7" t="inlineStr">
        <is>
          <t>USEC_MUN</t>
        </is>
      </c>
      <c r="J725" s="7" t="inlineStr">
        <is>
          <t>INR</t>
        </is>
      </c>
      <c r="K725" s="7" t="inlineStr">
        <is>
          <t>floating</t>
        </is>
      </c>
      <c r="L725" s="7" t="inlineStr">
        <is>
          <t>BS</t>
        </is>
      </c>
      <c r="M725" s="11" t="n">
        <v>44777</v>
      </c>
      <c r="N725" s="13" t="n">
        <v>0</v>
      </c>
      <c r="O725" s="6" t="n">
        <v>0</v>
      </c>
      <c r="P725" s="13" t="n">
        <v>0</v>
      </c>
      <c r="Q725" s="22" t="n">
        <v>31</v>
      </c>
      <c r="R725" s="6" t="n">
        <v>2</v>
      </c>
      <c r="U725" s="9" t="n">
        <v>0</v>
      </c>
      <c r="V725" s="9" t="n">
        <v>0</v>
      </c>
      <c r="X725" s="9" t="n">
        <v>77.26220000000001</v>
      </c>
      <c r="AK725" s="7" t="inlineStr">
        <is>
          <t>PYTHON_MULTI_FLOW_LEG</t>
        </is>
      </c>
      <c r="AL725" s="8">
        <f>IF($J725="INR",1,IF($M725&lt;$A725,INDEX(Market_Daily!$F$6:$F$256,MATCH($M725,Market_Daily!$A$6:$A$256,1)),IF($M725=$A725,INDEX(Market_Daily!$F$6:$F$256,MATCH($A725,Market_Daily!$A$6:$A$256,0)),(INDEX(Market_Daily!$F$6:$F$256,MATCH($A725,Market_Daily!$A$6:$A$256,0))*(1+INDEX(Market_Daily!$I$6:$I$256,MATCH($A725,Market_Daily!$A$6:$A$256,0))*($M725-$A725)/day_count_inr)/(1+INDEX(Market_Daily!$J$6:$J$256,MATCH($A725,Market_Daily!$A$6:$A$256,0))*($M725-$A725)/day_count_usd)))))</f>
        <v/>
      </c>
      <c r="AM725" s="8">
        <f>IF(OR($J725="INR",$R725&gt;1),"",$AL725-$X725)</f>
        <v/>
      </c>
      <c r="AN725" s="8">
        <f>$U725</f>
        <v/>
      </c>
      <c r="AO725" s="8">
        <f>$V725</f>
        <v/>
      </c>
      <c r="AP725" s="18">
        <f>$AO725-$V725</f>
        <v/>
      </c>
      <c r="AQ725" s="8">
        <f>IF(ABS($AP725)&lt;=tol_trade_inr,"PASS","FAIL")</f>
        <v/>
      </c>
    </row>
    <row r="726">
      <c r="A726" s="11" t="n">
        <v>44691</v>
      </c>
      <c r="B726" s="7" t="inlineStr">
        <is>
          <t>T05</t>
        </is>
      </c>
      <c r="C726" s="7" t="inlineStr">
        <is>
          <t>IGST:L2</t>
        </is>
      </c>
      <c r="D726" s="7" t="inlineStr">
        <is>
          <t>IGST</t>
        </is>
      </c>
      <c r="E726" s="7" t="inlineStr">
        <is>
          <t>physical</t>
        </is>
      </c>
      <c r="F726" s="7" t="inlineStr">
        <is>
          <t>L2</t>
        </is>
      </c>
      <c r="H726" s="7" t="inlineStr">
        <is>
          <t>tense</t>
        </is>
      </c>
      <c r="I726" s="7" t="inlineStr">
        <is>
          <t>USEC_MUN</t>
        </is>
      </c>
      <c r="J726" s="7" t="inlineStr">
        <is>
          <t>INR</t>
        </is>
      </c>
      <c r="K726" s="7" t="inlineStr">
        <is>
          <t>floating</t>
        </is>
      </c>
      <c r="L726" s="7" t="inlineStr">
        <is>
          <t>BS</t>
        </is>
      </c>
      <c r="M726" s="11" t="n">
        <v>44785</v>
      </c>
      <c r="N726" s="13" t="n">
        <v>0</v>
      </c>
      <c r="O726" s="6" t="n">
        <v>0</v>
      </c>
      <c r="P726" s="13" t="n">
        <v>0</v>
      </c>
      <c r="Q726" s="22" t="n">
        <v>31</v>
      </c>
      <c r="R726" s="6" t="n">
        <v>2</v>
      </c>
      <c r="U726" s="9" t="n">
        <v>0</v>
      </c>
      <c r="V726" s="9" t="n">
        <v>0</v>
      </c>
      <c r="X726" s="9" t="n">
        <v>77.26220000000001</v>
      </c>
      <c r="AK726" s="7" t="inlineStr">
        <is>
          <t>PYTHON_MULTI_FLOW_LEG</t>
        </is>
      </c>
      <c r="AL726" s="8">
        <f>IF($J726="INR",1,IF($M726&lt;$A726,INDEX(Market_Daily!$F$6:$F$256,MATCH($M726,Market_Daily!$A$6:$A$256,1)),IF($M726=$A726,INDEX(Market_Daily!$F$6:$F$256,MATCH($A726,Market_Daily!$A$6:$A$256,0)),(INDEX(Market_Daily!$F$6:$F$256,MATCH($A726,Market_Daily!$A$6:$A$256,0))*(1+INDEX(Market_Daily!$I$6:$I$256,MATCH($A726,Market_Daily!$A$6:$A$256,0))*($M726-$A726)/day_count_inr)/(1+INDEX(Market_Daily!$J$6:$J$256,MATCH($A726,Market_Daily!$A$6:$A$256,0))*($M726-$A726)/day_count_usd)))))</f>
        <v/>
      </c>
      <c r="AM726" s="8">
        <f>IF(OR($J726="INR",$R726&gt;1),"",$AL726-$X726)</f>
        <v/>
      </c>
      <c r="AN726" s="8">
        <f>$U726</f>
        <v/>
      </c>
      <c r="AO726" s="8">
        <f>$V726</f>
        <v/>
      </c>
      <c r="AP726" s="18">
        <f>$AO726-$V726</f>
        <v/>
      </c>
      <c r="AQ726" s="8">
        <f>IF(ABS($AP726)&lt;=tol_trade_inr,"PASS","FAIL")</f>
        <v/>
      </c>
    </row>
    <row r="727">
      <c r="A727" s="11" t="n">
        <v>44691</v>
      </c>
      <c r="B727" s="7" t="inlineStr">
        <is>
          <t>T05</t>
        </is>
      </c>
      <c r="C727" s="7" t="inlineStr">
        <is>
          <t>INSURANCE:L2</t>
        </is>
      </c>
      <c r="D727" s="7" t="inlineStr">
        <is>
          <t>INSURANCE</t>
        </is>
      </c>
      <c r="E727" s="7" t="inlineStr">
        <is>
          <t>physical</t>
        </is>
      </c>
      <c r="F727" s="7" t="inlineStr">
        <is>
          <t>L2</t>
        </is>
      </c>
      <c r="H727" s="7" t="inlineStr">
        <is>
          <t>tense</t>
        </is>
      </c>
      <c r="I727" s="7" t="inlineStr">
        <is>
          <t>USEC_MUN</t>
        </is>
      </c>
      <c r="J727" s="7" t="inlineStr">
        <is>
          <t>USD</t>
        </is>
      </c>
      <c r="K727" s="7" t="inlineStr">
        <is>
          <t>floating</t>
        </is>
      </c>
      <c r="L727" s="7" t="inlineStr">
        <is>
          <t>PNL</t>
        </is>
      </c>
      <c r="M727" s="11" t="n">
        <v>44699</v>
      </c>
      <c r="N727" s="13" t="n">
        <v>1050</v>
      </c>
      <c r="O727" s="6" t="n">
        <v>0</v>
      </c>
      <c r="P727" s="13" t="n">
        <v>0</v>
      </c>
      <c r="Q727" s="22" t="n">
        <v>31</v>
      </c>
      <c r="R727" s="6" t="n">
        <v>1</v>
      </c>
      <c r="U727" s="9" t="n">
        <v>-2173.22</v>
      </c>
      <c r="V727" s="9" t="n">
        <v>-168048.65</v>
      </c>
      <c r="X727" s="9" t="n">
        <v>77.3271</v>
      </c>
      <c r="AK727" s="7" t="inlineStr">
        <is>
          <t>PYTHON_LIFECYCLE</t>
        </is>
      </c>
      <c r="AL727" s="8">
        <f>IF($J727="INR",1,IF($M727&lt;$A727,INDEX(Market_Daily!$F$6:$F$256,MATCH($M727,Market_Daily!$A$6:$A$256,1)),IF($M727=$A727,INDEX(Market_Daily!$F$6:$F$256,MATCH($A727,Market_Daily!$A$6:$A$256,0)),(INDEX(Market_Daily!$F$6:$F$256,MATCH($A727,Market_Daily!$A$6:$A$256,0))*(1+INDEX(Market_Daily!$I$6:$I$256,MATCH($A727,Market_Daily!$A$6:$A$256,0))*($M727-$A727)/day_count_inr)/(1+INDEX(Market_Daily!$J$6:$J$256,MATCH($A727,Market_Daily!$A$6:$A$256,0))*($M727-$A727)/day_count_usd)))))</f>
        <v/>
      </c>
      <c r="AM727" s="8">
        <f>IF(OR($J727="INR",$R727&gt;1),"",$AL727-$X727)</f>
        <v/>
      </c>
      <c r="AN727" s="8">
        <f>$U727</f>
        <v/>
      </c>
      <c r="AO727" s="8">
        <f>$AN727*IF($J727="INR",1,$AL727)</f>
        <v/>
      </c>
      <c r="AP727" s="18">
        <f>$AO727-$V727</f>
        <v/>
      </c>
      <c r="AQ727" s="8">
        <f>IF(ABS($AP727)&lt;=tol_trade_inr,"PASS","FAIL")</f>
        <v/>
      </c>
    </row>
    <row r="728">
      <c r="A728" s="11" t="n">
        <v>44691</v>
      </c>
      <c r="B728" s="7" t="inlineStr">
        <is>
          <t>T05</t>
        </is>
      </c>
      <c r="C728" s="7" t="inlineStr">
        <is>
          <t>LC_USANCE_FEE:L1</t>
        </is>
      </c>
      <c r="D728" s="7" t="inlineStr">
        <is>
          <t>LC_USANCE_FEE</t>
        </is>
      </c>
      <c r="E728" s="7" t="inlineStr">
        <is>
          <t>physical</t>
        </is>
      </c>
      <c r="F728" s="7" t="inlineStr">
        <is>
          <t>L1</t>
        </is>
      </c>
      <c r="H728" s="7" t="inlineStr">
        <is>
          <t>tense</t>
        </is>
      </c>
      <c r="I728" s="7" t="inlineStr">
        <is>
          <t>USEC_MUN</t>
        </is>
      </c>
      <c r="J728" s="7" t="inlineStr">
        <is>
          <t>USD</t>
        </is>
      </c>
      <c r="K728" s="7" t="inlineStr">
        <is>
          <t>floating</t>
        </is>
      </c>
      <c r="L728" s="7" t="inlineStr">
        <is>
          <t>PNL</t>
        </is>
      </c>
      <c r="M728" s="11" t="n">
        <v>44698</v>
      </c>
      <c r="N728" s="13" t="n">
        <v>0</v>
      </c>
      <c r="O728" s="6" t="n">
        <v>0</v>
      </c>
      <c r="P728" s="13" t="n">
        <v>0</v>
      </c>
      <c r="Q728" s="22" t="n">
        <v>31</v>
      </c>
      <c r="R728" s="6" t="n">
        <v>1</v>
      </c>
      <c r="U728" s="9" t="n">
        <v>-2624.38</v>
      </c>
      <c r="V728" s="9" t="n">
        <v>-202914.31</v>
      </c>
      <c r="X728" s="9" t="n">
        <v>77.319</v>
      </c>
      <c r="AK728" s="7" t="inlineStr">
        <is>
          <t>PYTHON_LIFECYCLE</t>
        </is>
      </c>
      <c r="AL728" s="8">
        <f>IF($J728="INR",1,IF($M728&lt;$A728,INDEX(Market_Daily!$F$6:$F$256,MATCH($M728,Market_Daily!$A$6:$A$256,1)),IF($M728=$A728,INDEX(Market_Daily!$F$6:$F$256,MATCH($A728,Market_Daily!$A$6:$A$256,0)),(INDEX(Market_Daily!$F$6:$F$256,MATCH($A728,Market_Daily!$A$6:$A$256,0))*(1+INDEX(Market_Daily!$I$6:$I$256,MATCH($A728,Market_Daily!$A$6:$A$256,0))*($M728-$A728)/day_count_inr)/(1+INDEX(Market_Daily!$J$6:$J$256,MATCH($A728,Market_Daily!$A$6:$A$256,0))*($M728-$A728)/day_count_usd)))))</f>
        <v/>
      </c>
      <c r="AM728" s="8">
        <f>IF(OR($J728="INR",$R728&gt;1),"",$AL728-$X728)</f>
        <v/>
      </c>
      <c r="AN728" s="8">
        <f>$U728</f>
        <v/>
      </c>
      <c r="AO728" s="8">
        <f>$AN728*IF($J728="INR",1,$AL728)</f>
        <v/>
      </c>
      <c r="AP728" s="18">
        <f>$AO728-$V728</f>
        <v/>
      </c>
      <c r="AQ728" s="8">
        <f>IF(ABS($AP728)&lt;=tol_trade_inr,"PASS","FAIL")</f>
        <v/>
      </c>
    </row>
    <row r="729">
      <c r="A729" s="11" t="n">
        <v>44691</v>
      </c>
      <c r="B729" s="7" t="inlineStr">
        <is>
          <t>T05</t>
        </is>
      </c>
      <c r="C729" s="7" t="inlineStr">
        <is>
          <t>LC_USANCE_FEE:L2</t>
        </is>
      </c>
      <c r="D729" s="7" t="inlineStr">
        <is>
          <t>LC_USANCE_FEE</t>
        </is>
      </c>
      <c r="E729" s="7" t="inlineStr">
        <is>
          <t>physical</t>
        </is>
      </c>
      <c r="F729" s="7" t="inlineStr">
        <is>
          <t>L2</t>
        </is>
      </c>
      <c r="H729" s="7" t="inlineStr">
        <is>
          <t>tense</t>
        </is>
      </c>
      <c r="I729" s="7" t="inlineStr">
        <is>
          <t>USEC_MUN</t>
        </is>
      </c>
      <c r="J729" s="7" t="inlineStr">
        <is>
          <t>USD</t>
        </is>
      </c>
      <c r="K729" s="7" t="inlineStr">
        <is>
          <t>floating</t>
        </is>
      </c>
      <c r="L729" s="7" t="inlineStr">
        <is>
          <t>PNL</t>
        </is>
      </c>
      <c r="M729" s="11" t="n">
        <v>44706</v>
      </c>
      <c r="N729" s="13" t="n">
        <v>0</v>
      </c>
      <c r="O729" s="6" t="n">
        <v>0</v>
      </c>
      <c r="P729" s="13" t="n">
        <v>0</v>
      </c>
      <c r="Q729" s="22" t="n">
        <v>31</v>
      </c>
      <c r="R729" s="6" t="n">
        <v>1</v>
      </c>
      <c r="U729" s="9" t="n">
        <v>-2627.62</v>
      </c>
      <c r="V729" s="9" t="n">
        <v>-203335.3</v>
      </c>
      <c r="X729" s="9" t="n">
        <v>77.3839</v>
      </c>
      <c r="AK729" s="7" t="inlineStr">
        <is>
          <t>PYTHON_LIFECYCLE</t>
        </is>
      </c>
      <c r="AL729" s="8">
        <f>IF($J729="INR",1,IF($M729&lt;$A729,INDEX(Market_Daily!$F$6:$F$256,MATCH($M729,Market_Daily!$A$6:$A$256,1)),IF($M729=$A729,INDEX(Market_Daily!$F$6:$F$256,MATCH($A729,Market_Daily!$A$6:$A$256,0)),(INDEX(Market_Daily!$F$6:$F$256,MATCH($A729,Market_Daily!$A$6:$A$256,0))*(1+INDEX(Market_Daily!$I$6:$I$256,MATCH($A729,Market_Daily!$A$6:$A$256,0))*($M729-$A729)/day_count_inr)/(1+INDEX(Market_Daily!$J$6:$J$256,MATCH($A729,Market_Daily!$A$6:$A$256,0))*($M729-$A729)/day_count_usd)))))</f>
        <v/>
      </c>
      <c r="AM729" s="8">
        <f>IF(OR($J729="INR",$R729&gt;1),"",$AL729-$X729)</f>
        <v/>
      </c>
      <c r="AN729" s="8">
        <f>$U729</f>
        <v/>
      </c>
      <c r="AO729" s="8">
        <f>$AN729*IF($J729="INR",1,$AL729)</f>
        <v/>
      </c>
      <c r="AP729" s="18">
        <f>$AO729-$V729</f>
        <v/>
      </c>
      <c r="AQ729" s="8">
        <f>IF(ABS($AP729)&lt;=tol_trade_inr,"PASS","FAIL")</f>
        <v/>
      </c>
    </row>
    <row r="730">
      <c r="A730" s="11" t="n">
        <v>44691</v>
      </c>
      <c r="B730" s="7" t="inlineStr">
        <is>
          <t>T05</t>
        </is>
      </c>
      <c r="C730" s="7" t="inlineStr">
        <is>
          <t>MCX:T05-MCX-1</t>
        </is>
      </c>
      <c r="D730" s="7" t="inlineStr">
        <is>
          <t>MCX</t>
        </is>
      </c>
      <c r="E730" s="7" t="inlineStr">
        <is>
          <t>mcx</t>
        </is>
      </c>
      <c r="H730" s="7" t="inlineStr">
        <is>
          <t>tense</t>
        </is>
      </c>
      <c r="I730" s="7" t="inlineStr">
        <is>
          <t>USEC_MUN</t>
        </is>
      </c>
      <c r="J730" s="7" t="inlineStr">
        <is>
          <t>INR</t>
        </is>
      </c>
      <c r="K730" s="7" t="inlineStr">
        <is>
          <t>partially_fixed</t>
        </is>
      </c>
      <c r="L730" s="7" t="inlineStr">
        <is>
          <t>PNL</t>
        </is>
      </c>
      <c r="M730" s="11" t="n">
        <v>44701</v>
      </c>
      <c r="N730" s="13" t="n">
        <v>0</v>
      </c>
      <c r="O730" s="6" t="n">
        <v>-105</v>
      </c>
      <c r="P730" s="13" t="n">
        <v>0</v>
      </c>
      <c r="Q730" s="22" t="n">
        <v>31</v>
      </c>
      <c r="R730" s="6" t="n">
        <v>21</v>
      </c>
      <c r="U730" s="9" t="n">
        <v>0</v>
      </c>
      <c r="V730" s="9" t="n">
        <v>0</v>
      </c>
      <c r="X730" s="9" t="n">
        <v>77.26220000000001</v>
      </c>
      <c r="AK730" s="7" t="inlineStr">
        <is>
          <t>PYTHON_MULTI_FLOW_LEG</t>
        </is>
      </c>
      <c r="AL730" s="8">
        <f>IF($J730="INR",1,IF($M730&lt;$A730,INDEX(Market_Daily!$F$6:$F$256,MATCH($M730,Market_Daily!$A$6:$A$256,1)),IF($M730=$A730,INDEX(Market_Daily!$F$6:$F$256,MATCH($A730,Market_Daily!$A$6:$A$256,0)),(INDEX(Market_Daily!$F$6:$F$256,MATCH($A730,Market_Daily!$A$6:$A$256,0))*(1+INDEX(Market_Daily!$I$6:$I$256,MATCH($A730,Market_Daily!$A$6:$A$256,0))*($M730-$A730)/day_count_inr)/(1+INDEX(Market_Daily!$J$6:$J$256,MATCH($A730,Market_Daily!$A$6:$A$256,0))*($M730-$A730)/day_count_usd)))))</f>
        <v/>
      </c>
      <c r="AM730" s="8">
        <f>IF(OR($J730="INR",$R730&gt;1),"",$AL730-$X730)</f>
        <v/>
      </c>
      <c r="AN730" s="8">
        <f>$U730</f>
        <v/>
      </c>
      <c r="AO730" s="8">
        <f>$V730</f>
        <v/>
      </c>
      <c r="AP730" s="18">
        <f>$AO730-$V730</f>
        <v/>
      </c>
      <c r="AQ730" s="8">
        <f>IF(ABS($AP730)&lt;=tol_trade_inr,"PASS","FAIL")</f>
        <v/>
      </c>
    </row>
    <row r="731">
      <c r="A731" s="11" t="n">
        <v>44691</v>
      </c>
      <c r="B731" s="7" t="inlineStr">
        <is>
          <t>T05</t>
        </is>
      </c>
      <c r="C731" s="7" t="inlineStr">
        <is>
          <t>PORT:L1</t>
        </is>
      </c>
      <c r="D731" s="7" t="inlineStr">
        <is>
          <t>PORT</t>
        </is>
      </c>
      <c r="E731" s="7" t="inlineStr">
        <is>
          <t>physical</t>
        </is>
      </c>
      <c r="F731" s="7" t="inlineStr">
        <is>
          <t>L1</t>
        </is>
      </c>
      <c r="H731" s="7" t="inlineStr">
        <is>
          <t>tense</t>
        </is>
      </c>
      <c r="I731" s="7" t="inlineStr">
        <is>
          <t>USEC_MUN</t>
        </is>
      </c>
      <c r="J731" s="7" t="inlineStr">
        <is>
          <t>INR</t>
        </is>
      </c>
      <c r="K731" s="7" t="inlineStr">
        <is>
          <t>fixed_unsettled</t>
        </is>
      </c>
      <c r="L731" s="7" t="inlineStr">
        <is>
          <t>PNL</t>
        </is>
      </c>
      <c r="M731" s="11" t="n">
        <v>44741</v>
      </c>
      <c r="N731" s="13" t="n">
        <v>0</v>
      </c>
      <c r="O731" s="6" t="n">
        <v>0</v>
      </c>
      <c r="P731" s="13" t="n">
        <v>0</v>
      </c>
      <c r="Q731" s="22" t="n">
        <v>31</v>
      </c>
      <c r="R731" s="6" t="n">
        <v>1</v>
      </c>
      <c r="U731" s="9" t="n">
        <v>-2782500</v>
      </c>
      <c r="V731" s="9" t="n">
        <v>-2782500</v>
      </c>
      <c r="X731" s="9" t="n">
        <v>77.26220000000001</v>
      </c>
      <c r="AK731" s="7" t="inlineStr">
        <is>
          <t>PYTHON_LIFECYCLE</t>
        </is>
      </c>
      <c r="AL731" s="8">
        <f>IF($J731="INR",1,IF($M731&lt;$A731,INDEX(Market_Daily!$F$6:$F$256,MATCH($M731,Market_Daily!$A$6:$A$256,1)),IF($M731=$A731,INDEX(Market_Daily!$F$6:$F$256,MATCH($A731,Market_Daily!$A$6:$A$256,0)),(INDEX(Market_Daily!$F$6:$F$256,MATCH($A731,Market_Daily!$A$6:$A$256,0))*(1+INDEX(Market_Daily!$I$6:$I$256,MATCH($A731,Market_Daily!$A$6:$A$256,0))*($M731-$A731)/day_count_inr)/(1+INDEX(Market_Daily!$J$6:$J$256,MATCH($A731,Market_Daily!$A$6:$A$256,0))*($M731-$A731)/day_count_usd)))))</f>
        <v/>
      </c>
      <c r="AM731" s="8">
        <f>IF(OR($J731="INR",$R731&gt;1),"",$AL731-$X731)</f>
        <v/>
      </c>
      <c r="AN731" s="8">
        <f>$U731</f>
        <v/>
      </c>
      <c r="AO731" s="8">
        <f>$AN731*IF($J731="INR",1,$AL731)</f>
        <v/>
      </c>
      <c r="AP731" s="18">
        <f>$AO731-$V731</f>
        <v/>
      </c>
      <c r="AQ731" s="8">
        <f>IF(ABS($AP731)&lt;=tol_trade_inr,"PASS","FAIL")</f>
        <v/>
      </c>
    </row>
    <row r="732">
      <c r="A732" s="11" t="n">
        <v>44691</v>
      </c>
      <c r="B732" s="7" t="inlineStr">
        <is>
          <t>T05</t>
        </is>
      </c>
      <c r="C732" s="7" t="inlineStr">
        <is>
          <t>PORT:L2</t>
        </is>
      </c>
      <c r="D732" s="7" t="inlineStr">
        <is>
          <t>PORT</t>
        </is>
      </c>
      <c r="E732" s="7" t="inlineStr">
        <is>
          <t>physical</t>
        </is>
      </c>
      <c r="F732" s="7" t="inlineStr">
        <is>
          <t>L2</t>
        </is>
      </c>
      <c r="H732" s="7" t="inlineStr">
        <is>
          <t>tense</t>
        </is>
      </c>
      <c r="I732" s="7" t="inlineStr">
        <is>
          <t>USEC_MUN</t>
        </is>
      </c>
      <c r="J732" s="7" t="inlineStr">
        <is>
          <t>INR</t>
        </is>
      </c>
      <c r="K732" s="7" t="inlineStr">
        <is>
          <t>fixed_unsettled</t>
        </is>
      </c>
      <c r="L732" s="7" t="inlineStr">
        <is>
          <t>PNL</t>
        </is>
      </c>
      <c r="M732" s="11" t="n">
        <v>44749</v>
      </c>
      <c r="N732" s="13" t="n">
        <v>0</v>
      </c>
      <c r="O732" s="6" t="n">
        <v>0</v>
      </c>
      <c r="P732" s="13" t="n">
        <v>0</v>
      </c>
      <c r="Q732" s="22" t="n">
        <v>31</v>
      </c>
      <c r="R732" s="6" t="n">
        <v>1</v>
      </c>
      <c r="U732" s="9" t="n">
        <v>-2782500</v>
      </c>
      <c r="V732" s="9" t="n">
        <v>-2782500</v>
      </c>
      <c r="X732" s="9" t="n">
        <v>77.26220000000001</v>
      </c>
      <c r="AK732" s="7" t="inlineStr">
        <is>
          <t>PYTHON_LIFECYCLE</t>
        </is>
      </c>
      <c r="AL732" s="8">
        <f>IF($J732="INR",1,IF($M732&lt;$A732,INDEX(Market_Daily!$F$6:$F$256,MATCH($M732,Market_Daily!$A$6:$A$256,1)),IF($M732=$A732,INDEX(Market_Daily!$F$6:$F$256,MATCH($A732,Market_Daily!$A$6:$A$256,0)),(INDEX(Market_Daily!$F$6:$F$256,MATCH($A732,Market_Daily!$A$6:$A$256,0))*(1+INDEX(Market_Daily!$I$6:$I$256,MATCH($A732,Market_Daily!$A$6:$A$256,0))*($M732-$A732)/day_count_inr)/(1+INDEX(Market_Daily!$J$6:$J$256,MATCH($A732,Market_Daily!$A$6:$A$256,0))*($M732-$A732)/day_count_usd)))))</f>
        <v/>
      </c>
      <c r="AM732" s="8">
        <f>IF(OR($J732="INR",$R732&gt;1),"",$AL732-$X732)</f>
        <v/>
      </c>
      <c r="AN732" s="8">
        <f>$U732</f>
        <v/>
      </c>
      <c r="AO732" s="8">
        <f>$AN732*IF($J732="INR",1,$AL732)</f>
        <v/>
      </c>
      <c r="AP732" s="18">
        <f>$AO732-$V732</f>
        <v/>
      </c>
      <c r="AQ732" s="8">
        <f>IF(ABS($AP732)&lt;=tol_trade_inr,"PASS","FAIL")</f>
        <v/>
      </c>
    </row>
    <row r="733">
      <c r="A733" s="11" t="n">
        <v>44691</v>
      </c>
      <c r="B733" s="7" t="inlineStr">
        <is>
          <t>T05</t>
        </is>
      </c>
      <c r="C733" s="7" t="inlineStr">
        <is>
          <t>PURCHASE:L1</t>
        </is>
      </c>
      <c r="D733" s="7" t="inlineStr">
        <is>
          <t>PURCHASE</t>
        </is>
      </c>
      <c r="E733" s="7" t="inlineStr">
        <is>
          <t>physical</t>
        </is>
      </c>
      <c r="F733" s="7" t="inlineStr">
        <is>
          <t>L1</t>
        </is>
      </c>
      <c r="G733" s="7" t="inlineStr">
        <is>
          <t>SUP_USEC_01</t>
        </is>
      </c>
      <c r="H733" s="7" t="inlineStr">
        <is>
          <t>tense</t>
        </is>
      </c>
      <c r="I733" s="7" t="inlineStr">
        <is>
          <t>USEC_MUN</t>
        </is>
      </c>
      <c r="J733" s="7" t="inlineStr">
        <is>
          <t>USD</t>
        </is>
      </c>
      <c r="K733" s="7" t="inlineStr">
        <is>
          <t>partially_fixed</t>
        </is>
      </c>
      <c r="L733" s="7" t="inlineStr">
        <is>
          <t>PNL</t>
        </is>
      </c>
      <c r="M733" s="11" t="n">
        <v>44753</v>
      </c>
      <c r="N733" s="13" t="n">
        <v>2100</v>
      </c>
      <c r="O733" s="6" t="n">
        <v>0</v>
      </c>
      <c r="P733" s="13" t="n">
        <v>0</v>
      </c>
      <c r="Q733" s="22" t="n">
        <v>31</v>
      </c>
      <c r="R733" s="6" t="n">
        <v>2</v>
      </c>
      <c r="U733" s="9" t="n">
        <v>-1984785.97</v>
      </c>
      <c r="V733" s="9" t="n">
        <v>-154342600.35</v>
      </c>
      <c r="X733" s="9" t="n">
        <v>77.7646</v>
      </c>
      <c r="AK733" s="7" t="inlineStr">
        <is>
          <t>PYTHON_MULTI_FLOW_LEG</t>
        </is>
      </c>
      <c r="AL733" s="8">
        <f>IF($J733="INR",1,IF($M733&lt;$A733,INDEX(Market_Daily!$F$6:$F$256,MATCH($M733,Market_Daily!$A$6:$A$256,1)),IF($M733=$A733,INDEX(Market_Daily!$F$6:$F$256,MATCH($A733,Market_Daily!$A$6:$A$256,0)),(INDEX(Market_Daily!$F$6:$F$256,MATCH($A733,Market_Daily!$A$6:$A$256,0))*(1+INDEX(Market_Daily!$I$6:$I$256,MATCH($A733,Market_Daily!$A$6:$A$256,0))*($M733-$A733)/day_count_inr)/(1+INDEX(Market_Daily!$J$6:$J$256,MATCH($A733,Market_Daily!$A$6:$A$256,0))*($M733-$A733)/day_count_usd)))))</f>
        <v/>
      </c>
      <c r="AM733" s="8">
        <f>IF(OR($J733="INR",$R733&gt;1),"",$AL733-$X733)</f>
        <v/>
      </c>
      <c r="AN733" s="8">
        <f>$U733</f>
        <v/>
      </c>
      <c r="AO733" s="8">
        <f>$V733</f>
        <v/>
      </c>
      <c r="AP733" s="18">
        <f>$AO733-$V733</f>
        <v/>
      </c>
      <c r="AQ733" s="8">
        <f>IF(ABS($AP733)&lt;=tol_trade_inr,"PASS","FAIL")</f>
        <v/>
      </c>
    </row>
    <row r="734">
      <c r="A734" s="11" t="n">
        <v>44691</v>
      </c>
      <c r="B734" s="7" t="inlineStr">
        <is>
          <t>T05</t>
        </is>
      </c>
      <c r="C734" s="7" t="inlineStr">
        <is>
          <t>PURCHASE:L2</t>
        </is>
      </c>
      <c r="D734" s="7" t="inlineStr">
        <is>
          <t>PURCHASE</t>
        </is>
      </c>
      <c r="E734" s="7" t="inlineStr">
        <is>
          <t>physical</t>
        </is>
      </c>
      <c r="F734" s="7" t="inlineStr">
        <is>
          <t>L2</t>
        </is>
      </c>
      <c r="G734" s="7" t="inlineStr">
        <is>
          <t>SUP_USEC_01</t>
        </is>
      </c>
      <c r="H734" s="7" t="inlineStr">
        <is>
          <t>tense</t>
        </is>
      </c>
      <c r="I734" s="7" t="inlineStr">
        <is>
          <t>USEC_MUN</t>
        </is>
      </c>
      <c r="J734" s="7" t="inlineStr">
        <is>
          <t>USD</t>
        </is>
      </c>
      <c r="K734" s="7" t="inlineStr">
        <is>
          <t>floating</t>
        </is>
      </c>
      <c r="L734" s="7" t="inlineStr">
        <is>
          <t>PNL</t>
        </is>
      </c>
      <c r="M734" s="11" t="n">
        <v>44760</v>
      </c>
      <c r="N734" s="13" t="n">
        <v>2100</v>
      </c>
      <c r="O734" s="6" t="n">
        <v>0</v>
      </c>
      <c r="P734" s="13" t="n">
        <v>0</v>
      </c>
      <c r="Q734" s="22" t="n">
        <v>31</v>
      </c>
      <c r="R734" s="6" t="n">
        <v>2</v>
      </c>
      <c r="U734" s="9" t="n">
        <v>-1984785.97</v>
      </c>
      <c r="V734" s="9" t="n">
        <v>-154448964.02</v>
      </c>
      <c r="X734" s="9" t="n">
        <v>77.82129999999999</v>
      </c>
      <c r="AK734" s="7" t="inlineStr">
        <is>
          <t>PYTHON_MULTI_FLOW_LEG</t>
        </is>
      </c>
      <c r="AL734" s="8">
        <f>IF($J734="INR",1,IF($M734&lt;$A734,INDEX(Market_Daily!$F$6:$F$256,MATCH($M734,Market_Daily!$A$6:$A$256,1)),IF($M734=$A734,INDEX(Market_Daily!$F$6:$F$256,MATCH($A734,Market_Daily!$A$6:$A$256,0)),(INDEX(Market_Daily!$F$6:$F$256,MATCH($A734,Market_Daily!$A$6:$A$256,0))*(1+INDEX(Market_Daily!$I$6:$I$256,MATCH($A734,Market_Daily!$A$6:$A$256,0))*($M734-$A734)/day_count_inr)/(1+INDEX(Market_Daily!$J$6:$J$256,MATCH($A734,Market_Daily!$A$6:$A$256,0))*($M734-$A734)/day_count_usd)))))</f>
        <v/>
      </c>
      <c r="AM734" s="8">
        <f>IF(OR($J734="INR",$R734&gt;1),"",$AL734-$X734)</f>
        <v/>
      </c>
      <c r="AN734" s="8">
        <f>$U734</f>
        <v/>
      </c>
      <c r="AO734" s="8">
        <f>$V734</f>
        <v/>
      </c>
      <c r="AP734" s="18">
        <f>$AO734-$V734</f>
        <v/>
      </c>
      <c r="AQ734" s="8">
        <f>IF(ABS($AP734)&lt;=tol_trade_inr,"PASS","FAIL")</f>
        <v/>
      </c>
    </row>
    <row r="735">
      <c r="A735" s="11" t="n">
        <v>44691</v>
      </c>
      <c r="B735" s="7" t="inlineStr">
        <is>
          <t>T05</t>
        </is>
      </c>
      <c r="C735" s="7" t="inlineStr">
        <is>
          <t>SALE:S1</t>
        </is>
      </c>
      <c r="D735" s="7" t="inlineStr">
        <is>
          <t>SALE</t>
        </is>
      </c>
      <c r="E735" s="7" t="inlineStr">
        <is>
          <t>physical</t>
        </is>
      </c>
      <c r="G735" s="7" t="inlineStr">
        <is>
          <t>BUY_MUN_01</t>
        </is>
      </c>
      <c r="H735" s="7" t="inlineStr">
        <is>
          <t>tense</t>
        </is>
      </c>
      <c r="I735" s="7" t="inlineStr">
        <is>
          <t>USEC_MUN</t>
        </is>
      </c>
      <c r="J735" s="7" t="inlineStr">
        <is>
          <t>INR</t>
        </is>
      </c>
      <c r="K735" s="7" t="inlineStr">
        <is>
          <t>floating</t>
        </is>
      </c>
      <c r="L735" s="7" t="inlineStr">
        <is>
          <t>PNL</t>
        </is>
      </c>
      <c r="M735" s="11" t="n">
        <v>44781</v>
      </c>
      <c r="N735" s="13" t="n">
        <v>2100</v>
      </c>
      <c r="O735" s="6" t="n">
        <v>0</v>
      </c>
      <c r="P735" s="13" t="n">
        <v>0</v>
      </c>
      <c r="Q735" s="22" t="n">
        <v>31</v>
      </c>
      <c r="R735" s="6" t="n">
        <v>1</v>
      </c>
      <c r="U735" s="9" t="n">
        <v>348227385.18</v>
      </c>
      <c r="V735" s="9" t="n">
        <v>348227385.18</v>
      </c>
      <c r="W735" s="9" t="n">
        <v>165822.5644</v>
      </c>
      <c r="X735" s="9" t="n">
        <v>77.26220000000001</v>
      </c>
      <c r="AK735" s="7" t="inlineStr">
        <is>
          <t>PYTHON_LIFECYCLE</t>
        </is>
      </c>
      <c r="AL735" s="8">
        <f>IF($J735="INR",1,IF($M735&lt;$A735,INDEX(Market_Daily!$F$6:$F$256,MATCH($M735,Market_Daily!$A$6:$A$256,1)),IF($M735=$A735,INDEX(Market_Daily!$F$6:$F$256,MATCH($A735,Market_Daily!$A$6:$A$256,0)),(INDEX(Market_Daily!$F$6:$F$256,MATCH($A735,Market_Daily!$A$6:$A$256,0))*(1+INDEX(Market_Daily!$I$6:$I$256,MATCH($A735,Market_Daily!$A$6:$A$256,0))*($M735-$A735)/day_count_inr)/(1+INDEX(Market_Daily!$J$6:$J$256,MATCH($A735,Market_Daily!$A$6:$A$256,0))*($M735-$A735)/day_count_usd)))))</f>
        <v/>
      </c>
      <c r="AM735" s="8">
        <f>IF(OR($J735="INR",$R735&gt;1),"",$AL735-$X735)</f>
        <v/>
      </c>
      <c r="AN735" s="8">
        <f>$U735</f>
        <v/>
      </c>
      <c r="AO735" s="8">
        <f>$AN735*IF($J735="INR",1,$AL735)</f>
        <v/>
      </c>
      <c r="AP735" s="18">
        <f>$AO735-$V735</f>
        <v/>
      </c>
      <c r="AQ735" s="8">
        <f>IF(ABS($AP735)&lt;=tol_trade_inr,"PASS","FAIL")</f>
        <v/>
      </c>
    </row>
    <row r="736">
      <c r="A736" s="11" t="n">
        <v>44691</v>
      </c>
      <c r="B736" s="7" t="inlineStr">
        <is>
          <t>T05</t>
        </is>
      </c>
      <c r="C736" s="7" t="inlineStr">
        <is>
          <t>USANCE_INTEREST:L1</t>
        </is>
      </c>
      <c r="D736" s="7" t="inlineStr">
        <is>
          <t>USANCE_INTEREST</t>
        </is>
      </c>
      <c r="E736" s="7" t="inlineStr">
        <is>
          <t>physical</t>
        </is>
      </c>
      <c r="F736" s="7" t="inlineStr">
        <is>
          <t>L1</t>
        </is>
      </c>
      <c r="H736" s="7" t="inlineStr">
        <is>
          <t>tense</t>
        </is>
      </c>
      <c r="I736" s="7" t="inlineStr">
        <is>
          <t>USEC_MUN</t>
        </is>
      </c>
      <c r="J736" s="7" t="inlineStr">
        <is>
          <t>USD</t>
        </is>
      </c>
      <c r="K736" s="7" t="inlineStr">
        <is>
          <t>floating</t>
        </is>
      </c>
      <c r="L736" s="7" t="inlineStr">
        <is>
          <t>PNL</t>
        </is>
      </c>
      <c r="M736" s="11" t="n">
        <v>44753</v>
      </c>
      <c r="N736" s="13" t="n">
        <v>0</v>
      </c>
      <c r="O736" s="6" t="n">
        <v>0</v>
      </c>
      <c r="P736" s="13" t="n">
        <v>0</v>
      </c>
      <c r="Q736" s="22" t="n">
        <v>31</v>
      </c>
      <c r="R736" s="6" t="n">
        <v>1</v>
      </c>
      <c r="U736" s="9" t="n">
        <v>-7459.8</v>
      </c>
      <c r="V736" s="9" t="n">
        <v>-580108.29</v>
      </c>
      <c r="X736" s="9" t="n">
        <v>77.7646</v>
      </c>
      <c r="AK736" s="7" t="inlineStr">
        <is>
          <t>PYTHON_LIFECYCLE</t>
        </is>
      </c>
      <c r="AL736" s="8">
        <f>IF($J736="INR",1,IF($M736&lt;$A736,INDEX(Market_Daily!$F$6:$F$256,MATCH($M736,Market_Daily!$A$6:$A$256,1)),IF($M736=$A736,INDEX(Market_Daily!$F$6:$F$256,MATCH($A736,Market_Daily!$A$6:$A$256,0)),(INDEX(Market_Daily!$F$6:$F$256,MATCH($A736,Market_Daily!$A$6:$A$256,0))*(1+INDEX(Market_Daily!$I$6:$I$256,MATCH($A736,Market_Daily!$A$6:$A$256,0))*($M736-$A736)/day_count_inr)/(1+INDEX(Market_Daily!$J$6:$J$256,MATCH($A736,Market_Daily!$A$6:$A$256,0))*($M736-$A736)/day_count_usd)))))</f>
        <v/>
      </c>
      <c r="AM736" s="8">
        <f>IF(OR($J736="INR",$R736&gt;1),"",$AL736-$X736)</f>
        <v/>
      </c>
      <c r="AN736" s="8">
        <f>$U736</f>
        <v/>
      </c>
      <c r="AO736" s="8">
        <f>$AN736*IF($J736="INR",1,$AL736)</f>
        <v/>
      </c>
      <c r="AP736" s="18">
        <f>$AO736-$V736</f>
        <v/>
      </c>
      <c r="AQ736" s="8">
        <f>IF(ABS($AP736)&lt;=tol_trade_inr,"PASS","FAIL")</f>
        <v/>
      </c>
    </row>
    <row r="737">
      <c r="A737" s="11" t="n">
        <v>44691</v>
      </c>
      <c r="B737" s="7" t="inlineStr">
        <is>
          <t>T05</t>
        </is>
      </c>
      <c r="C737" s="7" t="inlineStr">
        <is>
          <t>USANCE_INTEREST:L2</t>
        </is>
      </c>
      <c r="D737" s="7" t="inlineStr">
        <is>
          <t>USANCE_INTEREST</t>
        </is>
      </c>
      <c r="E737" s="7" t="inlineStr">
        <is>
          <t>physical</t>
        </is>
      </c>
      <c r="F737" s="7" t="inlineStr">
        <is>
          <t>L2</t>
        </is>
      </c>
      <c r="H737" s="7" t="inlineStr">
        <is>
          <t>tense</t>
        </is>
      </c>
      <c r="I737" s="7" t="inlineStr">
        <is>
          <t>USEC_MUN</t>
        </is>
      </c>
      <c r="J737" s="7" t="inlineStr">
        <is>
          <t>USD</t>
        </is>
      </c>
      <c r="K737" s="7" t="inlineStr">
        <is>
          <t>floating</t>
        </is>
      </c>
      <c r="L737" s="7" t="inlineStr">
        <is>
          <t>PNL</t>
        </is>
      </c>
      <c r="M737" s="11" t="n">
        <v>44760</v>
      </c>
      <c r="N737" s="13" t="n">
        <v>0</v>
      </c>
      <c r="O737" s="6" t="n">
        <v>0</v>
      </c>
      <c r="P737" s="13" t="n">
        <v>0</v>
      </c>
      <c r="Q737" s="22" t="n">
        <v>31</v>
      </c>
      <c r="R737" s="6" t="n">
        <v>1</v>
      </c>
      <c r="U737" s="9" t="n">
        <v>-7469</v>
      </c>
      <c r="V737" s="9" t="n">
        <v>-581247.3199999999</v>
      </c>
      <c r="X737" s="9" t="n">
        <v>77.82129999999999</v>
      </c>
      <c r="AK737" s="7" t="inlineStr">
        <is>
          <t>PYTHON_LIFECYCLE</t>
        </is>
      </c>
      <c r="AL737" s="8">
        <f>IF($J737="INR",1,IF($M737&lt;$A737,INDEX(Market_Daily!$F$6:$F$256,MATCH($M737,Market_Daily!$A$6:$A$256,1)),IF($M737=$A737,INDEX(Market_Daily!$F$6:$F$256,MATCH($A737,Market_Daily!$A$6:$A$256,0)),(INDEX(Market_Daily!$F$6:$F$256,MATCH($A737,Market_Daily!$A$6:$A$256,0))*(1+INDEX(Market_Daily!$I$6:$I$256,MATCH($A737,Market_Daily!$A$6:$A$256,0))*($M737-$A737)/day_count_inr)/(1+INDEX(Market_Daily!$J$6:$J$256,MATCH($A737,Market_Daily!$A$6:$A$256,0))*($M737-$A737)/day_count_usd)))))</f>
        <v/>
      </c>
      <c r="AM737" s="8">
        <f>IF(OR($J737="INR",$R737&gt;1),"",$AL737-$X737)</f>
        <v/>
      </c>
      <c r="AN737" s="8">
        <f>$U737</f>
        <v/>
      </c>
      <c r="AO737" s="8">
        <f>$AN737*IF($J737="INR",1,$AL737)</f>
        <v/>
      </c>
      <c r="AP737" s="18">
        <f>$AO737-$V737</f>
        <v/>
      </c>
      <c r="AQ737" s="8">
        <f>IF(ABS($AP737)&lt;=tol_trade_inr,"PASS","FAIL")</f>
        <v/>
      </c>
    </row>
    <row r="738">
      <c r="A738" s="11" t="n">
        <v>44691</v>
      </c>
      <c r="B738" s="7" t="inlineStr">
        <is>
          <t>T06</t>
        </is>
      </c>
      <c r="C738" s="7" t="inlineStr">
        <is>
          <t>BILL_COMMISSION:L1</t>
        </is>
      </c>
      <c r="D738" s="7" t="inlineStr">
        <is>
          <t>BILL_COMMISSION</t>
        </is>
      </c>
      <c r="E738" s="7" t="inlineStr">
        <is>
          <t>physical</t>
        </is>
      </c>
      <c r="F738" s="7" t="inlineStr">
        <is>
          <t>L1</t>
        </is>
      </c>
      <c r="H738" s="7" t="inlineStr">
        <is>
          <t>zorba</t>
        </is>
      </c>
      <c r="I738" s="7" t="inlineStr">
        <is>
          <t>JEA_NSA</t>
        </is>
      </c>
      <c r="J738" s="7" t="inlineStr">
        <is>
          <t>USD</t>
        </is>
      </c>
      <c r="K738" s="7" t="inlineStr">
        <is>
          <t>floating</t>
        </is>
      </c>
      <c r="L738" s="7" t="inlineStr">
        <is>
          <t>PNL</t>
        </is>
      </c>
      <c r="M738" s="11" t="n">
        <v>44713</v>
      </c>
      <c r="N738" s="13" t="n">
        <v>0</v>
      </c>
      <c r="O738" s="6" t="n">
        <v>0</v>
      </c>
      <c r="P738" s="13" t="n">
        <v>0</v>
      </c>
      <c r="Q738" s="22" t="n">
        <v>31</v>
      </c>
      <c r="R738" s="6" t="n">
        <v>1</v>
      </c>
      <c r="U738" s="9" t="n">
        <v>-1667.64</v>
      </c>
      <c r="V738" s="9" t="n">
        <v>-129143.14</v>
      </c>
      <c r="X738" s="9" t="n">
        <v>77.44070000000001</v>
      </c>
      <c r="AK738" s="7" t="inlineStr">
        <is>
          <t>PYTHON_LIFECYCLE</t>
        </is>
      </c>
      <c r="AL738" s="8">
        <f>IF($J738="INR",1,IF($M738&lt;$A738,INDEX(Market_Daily!$F$6:$F$256,MATCH($M738,Market_Daily!$A$6:$A$256,1)),IF($M738=$A738,INDEX(Market_Daily!$F$6:$F$256,MATCH($A738,Market_Daily!$A$6:$A$256,0)),(INDEX(Market_Daily!$F$6:$F$256,MATCH($A738,Market_Daily!$A$6:$A$256,0))*(1+INDEX(Market_Daily!$I$6:$I$256,MATCH($A738,Market_Daily!$A$6:$A$256,0))*($M738-$A738)/day_count_inr)/(1+INDEX(Market_Daily!$J$6:$J$256,MATCH($A738,Market_Daily!$A$6:$A$256,0))*($M738-$A738)/day_count_usd)))))</f>
        <v/>
      </c>
      <c r="AM738" s="8">
        <f>IF(OR($J738="INR",$R738&gt;1),"",$AL738-$X738)</f>
        <v/>
      </c>
      <c r="AN738" s="8">
        <f>$U738</f>
        <v/>
      </c>
      <c r="AO738" s="8">
        <f>$AN738*IF($J738="INR",1,$AL738)</f>
        <v/>
      </c>
      <c r="AP738" s="18">
        <f>$AO738-$V738</f>
        <v/>
      </c>
      <c r="AQ738" s="8">
        <f>IF(ABS($AP738)&lt;=tol_trade_inr,"PASS","FAIL")</f>
        <v/>
      </c>
    </row>
    <row r="739">
      <c r="A739" s="11" t="n">
        <v>44691</v>
      </c>
      <c r="B739" s="7" t="inlineStr">
        <is>
          <t>T06</t>
        </is>
      </c>
      <c r="C739" s="7" t="inlineStr">
        <is>
          <t>BILL_COMMISSION:L2</t>
        </is>
      </c>
      <c r="D739" s="7" t="inlineStr">
        <is>
          <t>BILL_COMMISSION</t>
        </is>
      </c>
      <c r="E739" s="7" t="inlineStr">
        <is>
          <t>physical</t>
        </is>
      </c>
      <c r="F739" s="7" t="inlineStr">
        <is>
          <t>L2</t>
        </is>
      </c>
      <c r="H739" s="7" t="inlineStr">
        <is>
          <t>zorba</t>
        </is>
      </c>
      <c r="I739" s="7" t="inlineStr">
        <is>
          <t>JEA_NSA</t>
        </is>
      </c>
      <c r="J739" s="7" t="inlineStr">
        <is>
          <t>USD</t>
        </is>
      </c>
      <c r="K739" s="7" t="inlineStr">
        <is>
          <t>floating</t>
        </is>
      </c>
      <c r="L739" s="7" t="inlineStr">
        <is>
          <t>PNL</t>
        </is>
      </c>
      <c r="M739" s="11" t="n">
        <v>44726</v>
      </c>
      <c r="N739" s="13" t="n">
        <v>0</v>
      </c>
      <c r="O739" s="6" t="n">
        <v>0</v>
      </c>
      <c r="P739" s="13" t="n">
        <v>0</v>
      </c>
      <c r="Q739" s="22" t="n">
        <v>31</v>
      </c>
      <c r="R739" s="6" t="n">
        <v>1</v>
      </c>
      <c r="U739" s="9" t="n">
        <v>-1667.64</v>
      </c>
      <c r="V739" s="9" t="n">
        <v>-129318.85</v>
      </c>
      <c r="X739" s="9" t="n">
        <v>77.54600000000001</v>
      </c>
      <c r="AK739" s="7" t="inlineStr">
        <is>
          <t>PYTHON_LIFECYCLE</t>
        </is>
      </c>
      <c r="AL739" s="8">
        <f>IF($J739="INR",1,IF($M739&lt;$A739,INDEX(Market_Daily!$F$6:$F$256,MATCH($M739,Market_Daily!$A$6:$A$256,1)),IF($M739=$A739,INDEX(Market_Daily!$F$6:$F$256,MATCH($A739,Market_Daily!$A$6:$A$256,0)),(INDEX(Market_Daily!$F$6:$F$256,MATCH($A739,Market_Daily!$A$6:$A$256,0))*(1+INDEX(Market_Daily!$I$6:$I$256,MATCH($A739,Market_Daily!$A$6:$A$256,0))*($M739-$A739)/day_count_inr)/(1+INDEX(Market_Daily!$J$6:$J$256,MATCH($A739,Market_Daily!$A$6:$A$256,0))*($M739-$A739)/day_count_usd)))))</f>
        <v/>
      </c>
      <c r="AM739" s="8">
        <f>IF(OR($J739="INR",$R739&gt;1),"",$AL739-$X739)</f>
        <v/>
      </c>
      <c r="AN739" s="8">
        <f>$U739</f>
        <v/>
      </c>
      <c r="AO739" s="8">
        <f>$AN739*IF($J739="INR",1,$AL739)</f>
        <v/>
      </c>
      <c r="AP739" s="18">
        <f>$AO739-$V739</f>
        <v/>
      </c>
      <c r="AQ739" s="8">
        <f>IF(ABS($AP739)&lt;=tol_trade_inr,"PASS","FAIL")</f>
        <v/>
      </c>
    </row>
    <row r="740">
      <c r="A740" s="11" t="n">
        <v>44691</v>
      </c>
      <c r="B740" s="7" t="inlineStr">
        <is>
          <t>T06</t>
        </is>
      </c>
      <c r="C740" s="7" t="inlineStr">
        <is>
          <t>DUTY:L1</t>
        </is>
      </c>
      <c r="D740" s="7" t="inlineStr">
        <is>
          <t>DUTY</t>
        </is>
      </c>
      <c r="E740" s="7" t="inlineStr">
        <is>
          <t>physical</t>
        </is>
      </c>
      <c r="F740" s="7" t="inlineStr">
        <is>
          <t>L1</t>
        </is>
      </c>
      <c r="H740" s="7" t="inlineStr">
        <is>
          <t>zorba</t>
        </is>
      </c>
      <c r="I740" s="7" t="inlineStr">
        <is>
          <t>JEA_NSA</t>
        </is>
      </c>
      <c r="J740" s="7" t="inlineStr">
        <is>
          <t>INR</t>
        </is>
      </c>
      <c r="K740" s="7" t="inlineStr">
        <is>
          <t>floating</t>
        </is>
      </c>
      <c r="L740" s="7" t="inlineStr">
        <is>
          <t>PNL</t>
        </is>
      </c>
      <c r="M740" s="11" t="n">
        <v>44712</v>
      </c>
      <c r="N740" s="13" t="n">
        <v>650</v>
      </c>
      <c r="O740" s="6" t="n">
        <v>0</v>
      </c>
      <c r="P740" s="13" t="n">
        <v>0</v>
      </c>
      <c r="Q740" s="22" t="n">
        <v>31</v>
      </c>
      <c r="R740" s="6" t="n">
        <v>1</v>
      </c>
      <c r="U740" s="9" t="n">
        <v>-2947839.65</v>
      </c>
      <c r="V740" s="9" t="n">
        <v>-2947839.65</v>
      </c>
      <c r="X740" s="9" t="n">
        <v>77.26220000000001</v>
      </c>
      <c r="AK740" s="7" t="inlineStr">
        <is>
          <t>PYTHON_LIFECYCLE</t>
        </is>
      </c>
      <c r="AL740" s="8">
        <f>IF($J740="INR",1,IF($M740&lt;$A740,INDEX(Market_Daily!$F$6:$F$256,MATCH($M740,Market_Daily!$A$6:$A$256,1)),IF($M740=$A740,INDEX(Market_Daily!$F$6:$F$256,MATCH($A740,Market_Daily!$A$6:$A$256,0)),(INDEX(Market_Daily!$F$6:$F$256,MATCH($A740,Market_Daily!$A$6:$A$256,0))*(1+INDEX(Market_Daily!$I$6:$I$256,MATCH($A740,Market_Daily!$A$6:$A$256,0))*($M740-$A740)/day_count_inr)/(1+INDEX(Market_Daily!$J$6:$J$256,MATCH($A740,Market_Daily!$A$6:$A$256,0))*($M740-$A740)/day_count_usd)))))</f>
        <v/>
      </c>
      <c r="AM740" s="8">
        <f>IF(OR($J740="INR",$R740&gt;1),"",$AL740-$X740)</f>
        <v/>
      </c>
      <c r="AN740" s="8">
        <f>$U740</f>
        <v/>
      </c>
      <c r="AO740" s="8">
        <f>$AN740*IF($J740="INR",1,$AL740)</f>
        <v/>
      </c>
      <c r="AP740" s="18">
        <f>$AO740-$V740</f>
        <v/>
      </c>
      <c r="AQ740" s="8">
        <f>IF(ABS($AP740)&lt;=tol_trade_inr,"PASS","FAIL")</f>
        <v/>
      </c>
    </row>
    <row r="741">
      <c r="A741" s="11" t="n">
        <v>44691</v>
      </c>
      <c r="B741" s="7" t="inlineStr">
        <is>
          <t>T06</t>
        </is>
      </c>
      <c r="C741" s="7" t="inlineStr">
        <is>
          <t>DUTY:L2</t>
        </is>
      </c>
      <c r="D741" s="7" t="inlineStr">
        <is>
          <t>DUTY</t>
        </is>
      </c>
      <c r="E741" s="7" t="inlineStr">
        <is>
          <t>physical</t>
        </is>
      </c>
      <c r="F741" s="7" t="inlineStr">
        <is>
          <t>L2</t>
        </is>
      </c>
      <c r="H741" s="7" t="inlineStr">
        <is>
          <t>zorba</t>
        </is>
      </c>
      <c r="I741" s="7" t="inlineStr">
        <is>
          <t>JEA_NSA</t>
        </is>
      </c>
      <c r="J741" s="7" t="inlineStr">
        <is>
          <t>INR</t>
        </is>
      </c>
      <c r="K741" s="7" t="inlineStr">
        <is>
          <t>floating</t>
        </is>
      </c>
      <c r="L741" s="7" t="inlineStr">
        <is>
          <t>PNL</t>
        </is>
      </c>
      <c r="M741" s="11" t="n">
        <v>44725</v>
      </c>
      <c r="N741" s="13" t="n">
        <v>650</v>
      </c>
      <c r="O741" s="6" t="n">
        <v>0</v>
      </c>
      <c r="P741" s="13" t="n">
        <v>0</v>
      </c>
      <c r="Q741" s="22" t="n">
        <v>31</v>
      </c>
      <c r="R741" s="6" t="n">
        <v>1</v>
      </c>
      <c r="U741" s="9" t="n">
        <v>-2947839.65</v>
      </c>
      <c r="V741" s="9" t="n">
        <v>-2947839.65</v>
      </c>
      <c r="X741" s="9" t="n">
        <v>77.26220000000001</v>
      </c>
      <c r="AK741" s="7" t="inlineStr">
        <is>
          <t>PYTHON_LIFECYCLE</t>
        </is>
      </c>
      <c r="AL741" s="8">
        <f>IF($J741="INR",1,IF($M741&lt;$A741,INDEX(Market_Daily!$F$6:$F$256,MATCH($M741,Market_Daily!$A$6:$A$256,1)),IF($M741=$A741,INDEX(Market_Daily!$F$6:$F$256,MATCH($A741,Market_Daily!$A$6:$A$256,0)),(INDEX(Market_Daily!$F$6:$F$256,MATCH($A741,Market_Daily!$A$6:$A$256,0))*(1+INDEX(Market_Daily!$I$6:$I$256,MATCH($A741,Market_Daily!$A$6:$A$256,0))*($M741-$A741)/day_count_inr)/(1+INDEX(Market_Daily!$J$6:$J$256,MATCH($A741,Market_Daily!$A$6:$A$256,0))*($M741-$A741)/day_count_usd)))))</f>
        <v/>
      </c>
      <c r="AM741" s="8">
        <f>IF(OR($J741="INR",$R741&gt;1),"",$AL741-$X741)</f>
        <v/>
      </c>
      <c r="AN741" s="8">
        <f>$U741</f>
        <v/>
      </c>
      <c r="AO741" s="8">
        <f>$AN741*IF($J741="INR",1,$AL741)</f>
        <v/>
      </c>
      <c r="AP741" s="18">
        <f>$AO741-$V741</f>
        <v/>
      </c>
      <c r="AQ741" s="8">
        <f>IF(ABS($AP741)&lt;=tol_trade_inr,"PASS","FAIL")</f>
        <v/>
      </c>
    </row>
    <row r="742">
      <c r="A742" s="11" t="n">
        <v>44691</v>
      </c>
      <c r="B742" s="7" t="inlineStr">
        <is>
          <t>T06</t>
        </is>
      </c>
      <c r="C742" s="7" t="inlineStr">
        <is>
          <t>IGST:L1</t>
        </is>
      </c>
      <c r="D742" s="7" t="inlineStr">
        <is>
          <t>IGST</t>
        </is>
      </c>
      <c r="E742" s="7" t="inlineStr">
        <is>
          <t>physical</t>
        </is>
      </c>
      <c r="F742" s="7" t="inlineStr">
        <is>
          <t>L1</t>
        </is>
      </c>
      <c r="H742" s="7" t="inlineStr">
        <is>
          <t>zorba</t>
        </is>
      </c>
      <c r="I742" s="7" t="inlineStr">
        <is>
          <t>JEA_NSA</t>
        </is>
      </c>
      <c r="J742" s="7" t="inlineStr">
        <is>
          <t>INR</t>
        </is>
      </c>
      <c r="K742" s="7" t="inlineStr">
        <is>
          <t>floating</t>
        </is>
      </c>
      <c r="L742" s="7" t="inlineStr">
        <is>
          <t>BS</t>
        </is>
      </c>
      <c r="M742" s="11" t="n">
        <v>44757</v>
      </c>
      <c r="N742" s="13" t="n">
        <v>0</v>
      </c>
      <c r="O742" s="6" t="n">
        <v>0</v>
      </c>
      <c r="P742" s="13" t="n">
        <v>0</v>
      </c>
      <c r="Q742" s="22" t="n">
        <v>31</v>
      </c>
      <c r="R742" s="6" t="n">
        <v>2</v>
      </c>
      <c r="U742" s="9" t="n">
        <v>0</v>
      </c>
      <c r="V742" s="9" t="n">
        <v>0</v>
      </c>
      <c r="X742" s="9" t="n">
        <v>77.26220000000001</v>
      </c>
      <c r="AK742" s="7" t="inlineStr">
        <is>
          <t>PYTHON_MULTI_FLOW_LEG</t>
        </is>
      </c>
      <c r="AL742" s="8">
        <f>IF($J742="INR",1,IF($M742&lt;$A742,INDEX(Market_Daily!$F$6:$F$256,MATCH($M742,Market_Daily!$A$6:$A$256,1)),IF($M742=$A742,INDEX(Market_Daily!$F$6:$F$256,MATCH($A742,Market_Daily!$A$6:$A$256,0)),(INDEX(Market_Daily!$F$6:$F$256,MATCH($A742,Market_Daily!$A$6:$A$256,0))*(1+INDEX(Market_Daily!$I$6:$I$256,MATCH($A742,Market_Daily!$A$6:$A$256,0))*($M742-$A742)/day_count_inr)/(1+INDEX(Market_Daily!$J$6:$J$256,MATCH($A742,Market_Daily!$A$6:$A$256,0))*($M742-$A742)/day_count_usd)))))</f>
        <v/>
      </c>
      <c r="AM742" s="8">
        <f>IF(OR($J742="INR",$R742&gt;1),"",$AL742-$X742)</f>
        <v/>
      </c>
      <c r="AN742" s="8">
        <f>$U742</f>
        <v/>
      </c>
      <c r="AO742" s="8">
        <f>$V742</f>
        <v/>
      </c>
      <c r="AP742" s="18">
        <f>$AO742-$V742</f>
        <v/>
      </c>
      <c r="AQ742" s="8">
        <f>IF(ABS($AP742)&lt;=tol_trade_inr,"PASS","FAIL")</f>
        <v/>
      </c>
    </row>
    <row r="743">
      <c r="A743" s="11" t="n">
        <v>44691</v>
      </c>
      <c r="B743" s="7" t="inlineStr">
        <is>
          <t>T06</t>
        </is>
      </c>
      <c r="C743" s="7" t="inlineStr">
        <is>
          <t>IGST:L2</t>
        </is>
      </c>
      <c r="D743" s="7" t="inlineStr">
        <is>
          <t>IGST</t>
        </is>
      </c>
      <c r="E743" s="7" t="inlineStr">
        <is>
          <t>physical</t>
        </is>
      </c>
      <c r="F743" s="7" t="inlineStr">
        <is>
          <t>L2</t>
        </is>
      </c>
      <c r="H743" s="7" t="inlineStr">
        <is>
          <t>zorba</t>
        </is>
      </c>
      <c r="I743" s="7" t="inlineStr">
        <is>
          <t>JEA_NSA</t>
        </is>
      </c>
      <c r="J743" s="7" t="inlineStr">
        <is>
          <t>INR</t>
        </is>
      </c>
      <c r="K743" s="7" t="inlineStr">
        <is>
          <t>floating</t>
        </is>
      </c>
      <c r="L743" s="7" t="inlineStr">
        <is>
          <t>BS</t>
        </is>
      </c>
      <c r="M743" s="11" t="n">
        <v>44770</v>
      </c>
      <c r="N743" s="13" t="n">
        <v>0</v>
      </c>
      <c r="O743" s="6" t="n">
        <v>0</v>
      </c>
      <c r="P743" s="13" t="n">
        <v>0</v>
      </c>
      <c r="Q743" s="22" t="n">
        <v>31</v>
      </c>
      <c r="R743" s="6" t="n">
        <v>2</v>
      </c>
      <c r="U743" s="9" t="n">
        <v>0</v>
      </c>
      <c r="V743" s="9" t="n">
        <v>0</v>
      </c>
      <c r="X743" s="9" t="n">
        <v>77.26220000000001</v>
      </c>
      <c r="AK743" s="7" t="inlineStr">
        <is>
          <t>PYTHON_MULTI_FLOW_LEG</t>
        </is>
      </c>
      <c r="AL743" s="8">
        <f>IF($J743="INR",1,IF($M743&lt;$A743,INDEX(Market_Daily!$F$6:$F$256,MATCH($M743,Market_Daily!$A$6:$A$256,1)),IF($M743=$A743,INDEX(Market_Daily!$F$6:$F$256,MATCH($A743,Market_Daily!$A$6:$A$256,0)),(INDEX(Market_Daily!$F$6:$F$256,MATCH($A743,Market_Daily!$A$6:$A$256,0))*(1+INDEX(Market_Daily!$I$6:$I$256,MATCH($A743,Market_Daily!$A$6:$A$256,0))*($M743-$A743)/day_count_inr)/(1+INDEX(Market_Daily!$J$6:$J$256,MATCH($A743,Market_Daily!$A$6:$A$256,0))*($M743-$A743)/day_count_usd)))))</f>
        <v/>
      </c>
      <c r="AM743" s="8">
        <f>IF(OR($J743="INR",$R743&gt;1),"",$AL743-$X743)</f>
        <v/>
      </c>
      <c r="AN743" s="8">
        <f>$U743</f>
        <v/>
      </c>
      <c r="AO743" s="8">
        <f>$V743</f>
        <v/>
      </c>
      <c r="AP743" s="18">
        <f>$AO743-$V743</f>
        <v/>
      </c>
      <c r="AQ743" s="8">
        <f>IF(ABS($AP743)&lt;=tol_trade_inr,"PASS","FAIL")</f>
        <v/>
      </c>
    </row>
    <row r="744">
      <c r="A744" s="11" t="n">
        <v>44691</v>
      </c>
      <c r="B744" s="7" t="inlineStr">
        <is>
          <t>T06</t>
        </is>
      </c>
      <c r="C744" s="7" t="inlineStr">
        <is>
          <t>INSURANCE:L1</t>
        </is>
      </c>
      <c r="D744" s="7" t="inlineStr">
        <is>
          <t>INSURANCE</t>
        </is>
      </c>
      <c r="E744" s="7" t="inlineStr">
        <is>
          <t>physical</t>
        </is>
      </c>
      <c r="F744" s="7" t="inlineStr">
        <is>
          <t>L1</t>
        </is>
      </c>
      <c r="H744" s="7" t="inlineStr">
        <is>
          <t>zorba</t>
        </is>
      </c>
      <c r="I744" s="7" t="inlineStr">
        <is>
          <t>JEA_NSA</t>
        </is>
      </c>
      <c r="J744" s="7" t="inlineStr">
        <is>
          <t>USD</t>
        </is>
      </c>
      <c r="K744" s="7" t="inlineStr">
        <is>
          <t>floating</t>
        </is>
      </c>
      <c r="L744" s="7" t="inlineStr">
        <is>
          <t>PNL</t>
        </is>
      </c>
      <c r="M744" s="11" t="n">
        <v>44706</v>
      </c>
      <c r="N744" s="13" t="n">
        <v>650</v>
      </c>
      <c r="O744" s="6" t="n">
        <v>0</v>
      </c>
      <c r="P744" s="13" t="n">
        <v>0</v>
      </c>
      <c r="Q744" s="22" t="n">
        <v>31</v>
      </c>
      <c r="R744" s="6" t="n">
        <v>1</v>
      </c>
      <c r="U744" s="9" t="n">
        <v>-1528.67</v>
      </c>
      <c r="V744" s="9" t="n">
        <v>-118294.45</v>
      </c>
      <c r="X744" s="9" t="n">
        <v>77.3839</v>
      </c>
      <c r="AK744" s="7" t="inlineStr">
        <is>
          <t>PYTHON_LIFECYCLE</t>
        </is>
      </c>
      <c r="AL744" s="8">
        <f>IF($J744="INR",1,IF($M744&lt;$A744,INDEX(Market_Daily!$F$6:$F$256,MATCH($M744,Market_Daily!$A$6:$A$256,1)),IF($M744=$A744,INDEX(Market_Daily!$F$6:$F$256,MATCH($A744,Market_Daily!$A$6:$A$256,0)),(INDEX(Market_Daily!$F$6:$F$256,MATCH($A744,Market_Daily!$A$6:$A$256,0))*(1+INDEX(Market_Daily!$I$6:$I$256,MATCH($A744,Market_Daily!$A$6:$A$256,0))*($M744-$A744)/day_count_inr)/(1+INDEX(Market_Daily!$J$6:$J$256,MATCH($A744,Market_Daily!$A$6:$A$256,0))*($M744-$A744)/day_count_usd)))))</f>
        <v/>
      </c>
      <c r="AM744" s="8">
        <f>IF(OR($J744="INR",$R744&gt;1),"",$AL744-$X744)</f>
        <v/>
      </c>
      <c r="AN744" s="8">
        <f>$U744</f>
        <v/>
      </c>
      <c r="AO744" s="8">
        <f>$AN744*IF($J744="INR",1,$AL744)</f>
        <v/>
      </c>
      <c r="AP744" s="18">
        <f>$AO744-$V744</f>
        <v/>
      </c>
      <c r="AQ744" s="8">
        <f>IF(ABS($AP744)&lt;=tol_trade_inr,"PASS","FAIL")</f>
        <v/>
      </c>
    </row>
    <row r="745">
      <c r="A745" s="11" t="n">
        <v>44691</v>
      </c>
      <c r="B745" s="7" t="inlineStr">
        <is>
          <t>T06</t>
        </is>
      </c>
      <c r="C745" s="7" t="inlineStr">
        <is>
          <t>INSURANCE:L2</t>
        </is>
      </c>
      <c r="D745" s="7" t="inlineStr">
        <is>
          <t>INSURANCE</t>
        </is>
      </c>
      <c r="E745" s="7" t="inlineStr">
        <is>
          <t>physical</t>
        </is>
      </c>
      <c r="F745" s="7" t="inlineStr">
        <is>
          <t>L2</t>
        </is>
      </c>
      <c r="H745" s="7" t="inlineStr">
        <is>
          <t>zorba</t>
        </is>
      </c>
      <c r="I745" s="7" t="inlineStr">
        <is>
          <t>JEA_NSA</t>
        </is>
      </c>
      <c r="J745" s="7" t="inlineStr">
        <is>
          <t>USD</t>
        </is>
      </c>
      <c r="K745" s="7" t="inlineStr">
        <is>
          <t>floating</t>
        </is>
      </c>
      <c r="L745" s="7" t="inlineStr">
        <is>
          <t>PNL</t>
        </is>
      </c>
      <c r="M745" s="11" t="n">
        <v>44719</v>
      </c>
      <c r="N745" s="13" t="n">
        <v>650</v>
      </c>
      <c r="O745" s="6" t="n">
        <v>0</v>
      </c>
      <c r="P745" s="13" t="n">
        <v>0</v>
      </c>
      <c r="Q745" s="22" t="n">
        <v>31</v>
      </c>
      <c r="R745" s="6" t="n">
        <v>1</v>
      </c>
      <c r="U745" s="9" t="n">
        <v>-1528.67</v>
      </c>
      <c r="V745" s="9" t="n">
        <v>-118455.57</v>
      </c>
      <c r="X745" s="9" t="n">
        <v>77.4893</v>
      </c>
      <c r="AK745" s="7" t="inlineStr">
        <is>
          <t>PYTHON_LIFECYCLE</t>
        </is>
      </c>
      <c r="AL745" s="8">
        <f>IF($J745="INR",1,IF($M745&lt;$A745,INDEX(Market_Daily!$F$6:$F$256,MATCH($M745,Market_Daily!$A$6:$A$256,1)),IF($M745=$A745,INDEX(Market_Daily!$F$6:$F$256,MATCH($A745,Market_Daily!$A$6:$A$256,0)),(INDEX(Market_Daily!$F$6:$F$256,MATCH($A745,Market_Daily!$A$6:$A$256,0))*(1+INDEX(Market_Daily!$I$6:$I$256,MATCH($A745,Market_Daily!$A$6:$A$256,0))*($M745-$A745)/day_count_inr)/(1+INDEX(Market_Daily!$J$6:$J$256,MATCH($A745,Market_Daily!$A$6:$A$256,0))*($M745-$A745)/day_count_usd)))))</f>
        <v/>
      </c>
      <c r="AM745" s="8">
        <f>IF(OR($J745="INR",$R745&gt;1),"",$AL745-$X745)</f>
        <v/>
      </c>
      <c r="AN745" s="8">
        <f>$U745</f>
        <v/>
      </c>
      <c r="AO745" s="8">
        <f>$AN745*IF($J745="INR",1,$AL745)</f>
        <v/>
      </c>
      <c r="AP745" s="18">
        <f>$AO745-$V745</f>
        <v/>
      </c>
      <c r="AQ745" s="8">
        <f>IF(ABS($AP745)&lt;=tol_trade_inr,"PASS","FAIL")</f>
        <v/>
      </c>
    </row>
    <row r="746">
      <c r="A746" s="11" t="n">
        <v>44691</v>
      </c>
      <c r="B746" s="7" t="inlineStr">
        <is>
          <t>T06</t>
        </is>
      </c>
      <c r="C746" s="7" t="inlineStr">
        <is>
          <t>INVENTORY:L1</t>
        </is>
      </c>
      <c r="D746" s="7" t="inlineStr">
        <is>
          <t>INVENTORY</t>
        </is>
      </c>
      <c r="E746" s="7" t="inlineStr">
        <is>
          <t>physical</t>
        </is>
      </c>
      <c r="F746" s="7" t="inlineStr">
        <is>
          <t>L1</t>
        </is>
      </c>
      <c r="H746" s="7" t="inlineStr">
        <is>
          <t>zorba</t>
        </is>
      </c>
      <c r="I746" s="7" t="inlineStr">
        <is>
          <t>JEA_NSA</t>
        </is>
      </c>
      <c r="J746" s="7" t="inlineStr">
        <is>
          <t>INR</t>
        </is>
      </c>
      <c r="K746" s="7" t="inlineStr">
        <is>
          <t>fixed_unsettled</t>
        </is>
      </c>
      <c r="L746" s="7" t="inlineStr">
        <is>
          <t>PNL</t>
        </is>
      </c>
      <c r="N746" s="13" t="n">
        <v>650</v>
      </c>
      <c r="O746" s="6" t="n">
        <v>0</v>
      </c>
      <c r="P746" s="13" t="n">
        <v>0</v>
      </c>
      <c r="Q746" s="22" t="n">
        <v>31</v>
      </c>
      <c r="R746" s="6" t="n">
        <v>0</v>
      </c>
      <c r="U746" s="9" t="n">
        <v>112430244.54</v>
      </c>
      <c r="V746" s="9" t="n">
        <v>112430244.54</v>
      </c>
      <c r="W746" s="9" t="n">
        <v>172969.607</v>
      </c>
      <c r="X746" s="9" t="n">
        <v>77.26220000000001</v>
      </c>
      <c r="Y746" s="8">
        <f>IF($I746="JEA_NSA","20ft","40ft")</f>
        <v/>
      </c>
      <c r="Z746" s="8">
        <f>IF($I746="JEA_NSA","nsa","mun")</f>
        <v/>
      </c>
      <c r="AA746" s="8">
        <f>INDEX(param_values,MATCH("container_payload_mt_"&amp;$Y746,param_keys,0))/INDEX(param_values,MATCH("container_payload_mt_"&amp;$Y746&amp;"_"&amp;$H746,param_keys,0))</f>
        <v/>
      </c>
      <c r="AB746" s="16">
        <f>INDEX(Market_Daily!$C$6:$C$256,MATCH($A746,Market_Daily!$A$6:$A$256,0))*INDEX(Market_Daily!$X$6:$Z$256,MATCH($A746,Market_Daily!$A$6:$A$256,0),MATCH("grade_factor_"&amp;$H746,Market_Daily!$X$5:$Z$5,0))</f>
        <v/>
      </c>
      <c r="AC746" s="16">
        <f>$AB746*(1+insurance_rate*insured_value_uplift)</f>
        <v/>
      </c>
      <c r="AD746" s="8">
        <f>(INDEX(Market_Daily!$F$6:$F$256,MATCH($A746,Market_Daily!$A$6:$A$256,0))*(1+INDEX(Market_Daily!$I$6:$I$256,MATCH($A746,Market_Daily!$A$6:$A$256,0))*$Q746/day_count_inr)/(1+INDEX(Market_Daily!$J$6:$J$256,MATCH($A746,Market_Daily!$A$6:$A$256,0))*$Q746/day_count_usd))</f>
        <v/>
      </c>
      <c r="AE746" s="18">
        <f>$AC746*$AD746</f>
        <v/>
      </c>
      <c r="AF746" s="18">
        <f>$AC746*INDEX(Market_Daily!$V$6:$V$256,MATCH($A746,Market_Daily!$A$6:$A$256,0))</f>
        <v/>
      </c>
      <c r="AG746" s="18">
        <f>$AF746*bcd_scrap_hs7602*(1+sws_rate_on_bcd)</f>
        <v/>
      </c>
      <c r="AH746" s="18">
        <f>INDEX(param_values,MATCH("port_cf_charges_inr_t_"&amp;$Z746,param_keys,0))*$AA746+IF(INDEX(param_values,MATCH(IF($I746="JEA_NSA","psic_required_uae_origin","psic_required_safe_origin_designated_port"),param_keys,0)),psic_cost_usd_per_box*INDEX(Market_Daily!$F$6:$F$256,MATCH($A746,Market_Daily!$A$6:$A$256,0))/INDEX(param_values,MATCH("container_payload_mt_20ft_"&amp;$H746,param_keys,0)),0)</f>
        <v/>
      </c>
      <c r="AI746" s="18">
        <f>IF(igst_itc_available,0,($AF746+$AG746)*igst_rate_hs7602)</f>
        <v/>
      </c>
      <c r="AJ746" s="18">
        <f>$AE746+$AG746+$AH746+$AI746</f>
        <v/>
      </c>
      <c r="AK746" s="7" t="inlineStr">
        <is>
          <t>DERIVED_IN_WORKBOOK</t>
        </is>
      </c>
      <c r="AL746" s="8">
        <f>IF($J746="INR",1,IF($M746&lt;$A746,INDEX(Market_Daily!$F$6:$F$256,MATCH($M746,Market_Daily!$A$6:$A$256,1)),IF($M746=$A746,INDEX(Market_Daily!$F$6:$F$256,MATCH($A746,Market_Daily!$A$6:$A$256,0)),(INDEX(Market_Daily!$F$6:$F$256,MATCH($A746,Market_Daily!$A$6:$A$256,0))*(1+INDEX(Market_Daily!$I$6:$I$256,MATCH($A746,Market_Daily!$A$6:$A$256,0))*($M746-$A746)/day_count_inr)/(1+INDEX(Market_Daily!$J$6:$J$256,MATCH($A746,Market_Daily!$A$6:$A$256,0))*($M746-$A746)/day_count_usd)))))</f>
        <v/>
      </c>
      <c r="AM746" s="8">
        <f>IF(OR($J746="INR",$R746&gt;1),"",$AL746-$X746)</f>
        <v/>
      </c>
      <c r="AN746" s="8">
        <f>$N746*$AJ746</f>
        <v/>
      </c>
      <c r="AO746" s="8">
        <f>$AN746</f>
        <v/>
      </c>
      <c r="AP746" s="18">
        <f>$AO746-$V746</f>
        <v/>
      </c>
      <c r="AQ746" s="8">
        <f>IF(ABS($AP746)&lt;=tol_trade_inr,"PASS","FAIL")</f>
        <v/>
      </c>
    </row>
    <row r="747">
      <c r="A747" s="11" t="n">
        <v>44691</v>
      </c>
      <c r="B747" s="7" t="inlineStr">
        <is>
          <t>T06</t>
        </is>
      </c>
      <c r="C747" s="7" t="inlineStr">
        <is>
          <t>INVENTORY:L2</t>
        </is>
      </c>
      <c r="D747" s="7" t="inlineStr">
        <is>
          <t>INVENTORY</t>
        </is>
      </c>
      <c r="E747" s="7" t="inlineStr">
        <is>
          <t>physical</t>
        </is>
      </c>
      <c r="F747" s="7" t="inlineStr">
        <is>
          <t>L2</t>
        </is>
      </c>
      <c r="H747" s="7" t="inlineStr">
        <is>
          <t>zorba</t>
        </is>
      </c>
      <c r="I747" s="7" t="inlineStr">
        <is>
          <t>JEA_NSA</t>
        </is>
      </c>
      <c r="J747" s="7" t="inlineStr">
        <is>
          <t>INR</t>
        </is>
      </c>
      <c r="K747" s="7" t="inlineStr">
        <is>
          <t>fixed_unsettled</t>
        </is>
      </c>
      <c r="L747" s="7" t="inlineStr">
        <is>
          <t>PNL</t>
        </is>
      </c>
      <c r="N747" s="13" t="n">
        <v>650</v>
      </c>
      <c r="O747" s="6" t="n">
        <v>0</v>
      </c>
      <c r="P747" s="13" t="n">
        <v>0</v>
      </c>
      <c r="Q747" s="22" t="n">
        <v>31</v>
      </c>
      <c r="R747" s="6" t="n">
        <v>0</v>
      </c>
      <c r="U747" s="9" t="n">
        <v>112430244.54</v>
      </c>
      <c r="V747" s="9" t="n">
        <v>112430244.54</v>
      </c>
      <c r="W747" s="9" t="n">
        <v>172969.607</v>
      </c>
      <c r="X747" s="9" t="n">
        <v>77.26220000000001</v>
      </c>
      <c r="Y747" s="8">
        <f>IF($I747="JEA_NSA","20ft","40ft")</f>
        <v/>
      </c>
      <c r="Z747" s="8">
        <f>IF($I747="JEA_NSA","nsa","mun")</f>
        <v/>
      </c>
      <c r="AA747" s="8">
        <f>INDEX(param_values,MATCH("container_payload_mt_"&amp;$Y747,param_keys,0))/INDEX(param_values,MATCH("container_payload_mt_"&amp;$Y747&amp;"_"&amp;$H747,param_keys,0))</f>
        <v/>
      </c>
      <c r="AB747" s="16">
        <f>INDEX(Market_Daily!$C$6:$C$256,MATCH($A747,Market_Daily!$A$6:$A$256,0))*INDEX(Market_Daily!$X$6:$Z$256,MATCH($A747,Market_Daily!$A$6:$A$256,0),MATCH("grade_factor_"&amp;$H747,Market_Daily!$X$5:$Z$5,0))</f>
        <v/>
      </c>
      <c r="AC747" s="16">
        <f>$AB747*(1+insurance_rate*insured_value_uplift)</f>
        <v/>
      </c>
      <c r="AD747" s="8">
        <f>(INDEX(Market_Daily!$F$6:$F$256,MATCH($A747,Market_Daily!$A$6:$A$256,0))*(1+INDEX(Market_Daily!$I$6:$I$256,MATCH($A747,Market_Daily!$A$6:$A$256,0))*$Q747/day_count_inr)/(1+INDEX(Market_Daily!$J$6:$J$256,MATCH($A747,Market_Daily!$A$6:$A$256,0))*$Q747/day_count_usd))</f>
        <v/>
      </c>
      <c r="AE747" s="18">
        <f>$AC747*$AD747</f>
        <v/>
      </c>
      <c r="AF747" s="18">
        <f>$AC747*INDEX(Market_Daily!$V$6:$V$256,MATCH($A747,Market_Daily!$A$6:$A$256,0))</f>
        <v/>
      </c>
      <c r="AG747" s="18">
        <f>$AF747*bcd_scrap_hs7602*(1+sws_rate_on_bcd)</f>
        <v/>
      </c>
      <c r="AH747" s="18">
        <f>INDEX(param_values,MATCH("port_cf_charges_inr_t_"&amp;$Z747,param_keys,0))*$AA747+IF(INDEX(param_values,MATCH(IF($I747="JEA_NSA","psic_required_uae_origin","psic_required_safe_origin_designated_port"),param_keys,0)),psic_cost_usd_per_box*INDEX(Market_Daily!$F$6:$F$256,MATCH($A747,Market_Daily!$A$6:$A$256,0))/INDEX(param_values,MATCH("container_payload_mt_20ft_"&amp;$H747,param_keys,0)),0)</f>
        <v/>
      </c>
      <c r="AI747" s="18">
        <f>IF(igst_itc_available,0,($AF747+$AG747)*igst_rate_hs7602)</f>
        <v/>
      </c>
      <c r="AJ747" s="18">
        <f>$AE747+$AG747+$AH747+$AI747</f>
        <v/>
      </c>
      <c r="AK747" s="7" t="inlineStr">
        <is>
          <t>DERIVED_IN_WORKBOOK</t>
        </is>
      </c>
      <c r="AL747" s="8">
        <f>IF($J747="INR",1,IF($M747&lt;$A747,INDEX(Market_Daily!$F$6:$F$256,MATCH($M747,Market_Daily!$A$6:$A$256,1)),IF($M747=$A747,INDEX(Market_Daily!$F$6:$F$256,MATCH($A747,Market_Daily!$A$6:$A$256,0)),(INDEX(Market_Daily!$F$6:$F$256,MATCH($A747,Market_Daily!$A$6:$A$256,0))*(1+INDEX(Market_Daily!$I$6:$I$256,MATCH($A747,Market_Daily!$A$6:$A$256,0))*($M747-$A747)/day_count_inr)/(1+INDEX(Market_Daily!$J$6:$J$256,MATCH($A747,Market_Daily!$A$6:$A$256,0))*($M747-$A747)/day_count_usd)))))</f>
        <v/>
      </c>
      <c r="AM747" s="8">
        <f>IF(OR($J747="INR",$R747&gt;1),"",$AL747-$X747)</f>
        <v/>
      </c>
      <c r="AN747" s="8">
        <f>$N747*$AJ747</f>
        <v/>
      </c>
      <c r="AO747" s="8">
        <f>$AN747</f>
        <v/>
      </c>
      <c r="AP747" s="18">
        <f>$AO747-$V747</f>
        <v/>
      </c>
      <c r="AQ747" s="8">
        <f>IF(ABS($AP747)&lt;=tol_trade_inr,"PASS","FAIL")</f>
        <v/>
      </c>
    </row>
    <row r="748">
      <c r="A748" s="11" t="n">
        <v>44691</v>
      </c>
      <c r="B748" s="7" t="inlineStr">
        <is>
          <t>T06</t>
        </is>
      </c>
      <c r="C748" s="7" t="inlineStr">
        <is>
          <t>MCX:T06-MCX-1</t>
        </is>
      </c>
      <c r="D748" s="7" t="inlineStr">
        <is>
          <t>MCX</t>
        </is>
      </c>
      <c r="E748" s="7" t="inlineStr">
        <is>
          <t>mcx</t>
        </is>
      </c>
      <c r="H748" s="7" t="inlineStr">
        <is>
          <t>zorba</t>
        </is>
      </c>
      <c r="I748" s="7" t="inlineStr">
        <is>
          <t>JEA_NSA</t>
        </is>
      </c>
      <c r="J748" s="7" t="inlineStr">
        <is>
          <t>INR</t>
        </is>
      </c>
      <c r="K748" s="7" t="inlineStr">
        <is>
          <t>partially_fixed</t>
        </is>
      </c>
      <c r="L748" s="7" t="inlineStr">
        <is>
          <t>PNL</t>
        </is>
      </c>
      <c r="M748" s="11" t="n">
        <v>44701</v>
      </c>
      <c r="N748" s="13" t="n">
        <v>0</v>
      </c>
      <c r="O748" s="6" t="n">
        <v>-176</v>
      </c>
      <c r="P748" s="13" t="n">
        <v>0</v>
      </c>
      <c r="Q748" s="22" t="n">
        <v>31</v>
      </c>
      <c r="R748" s="6" t="n">
        <v>9</v>
      </c>
      <c r="U748" s="9" t="n">
        <v>0</v>
      </c>
      <c r="V748" s="9" t="n">
        <v>0</v>
      </c>
      <c r="X748" s="9" t="n">
        <v>77.26220000000001</v>
      </c>
      <c r="AK748" s="7" t="inlineStr">
        <is>
          <t>PYTHON_MULTI_FLOW_LEG</t>
        </is>
      </c>
      <c r="AL748" s="8">
        <f>IF($J748="INR",1,IF($M748&lt;$A748,INDEX(Market_Daily!$F$6:$F$256,MATCH($M748,Market_Daily!$A$6:$A$256,1)),IF($M748=$A748,INDEX(Market_Daily!$F$6:$F$256,MATCH($A748,Market_Daily!$A$6:$A$256,0)),(INDEX(Market_Daily!$F$6:$F$256,MATCH($A748,Market_Daily!$A$6:$A$256,0))*(1+INDEX(Market_Daily!$I$6:$I$256,MATCH($A748,Market_Daily!$A$6:$A$256,0))*($M748-$A748)/day_count_inr)/(1+INDEX(Market_Daily!$J$6:$J$256,MATCH($A748,Market_Daily!$A$6:$A$256,0))*($M748-$A748)/day_count_usd)))))</f>
        <v/>
      </c>
      <c r="AM748" s="8">
        <f>IF(OR($J748="INR",$R748&gt;1),"",$AL748-$X748)</f>
        <v/>
      </c>
      <c r="AN748" s="8">
        <f>$U748</f>
        <v/>
      </c>
      <c r="AO748" s="8">
        <f>$V748</f>
        <v/>
      </c>
      <c r="AP748" s="18">
        <f>$AO748-$V748</f>
        <v/>
      </c>
      <c r="AQ748" s="8">
        <f>IF(ABS($AP748)&lt;=tol_trade_inr,"PASS","FAIL")</f>
        <v/>
      </c>
    </row>
    <row r="749">
      <c r="A749" s="11" t="n">
        <v>44691</v>
      </c>
      <c r="B749" s="7" t="inlineStr">
        <is>
          <t>T06</t>
        </is>
      </c>
      <c r="C749" s="7" t="inlineStr">
        <is>
          <t>PORT:L1</t>
        </is>
      </c>
      <c r="D749" s="7" t="inlineStr">
        <is>
          <t>PORT</t>
        </is>
      </c>
      <c r="E749" s="7" t="inlineStr">
        <is>
          <t>physical</t>
        </is>
      </c>
      <c r="F749" s="7" t="inlineStr">
        <is>
          <t>L1</t>
        </is>
      </c>
      <c r="H749" s="7" t="inlineStr">
        <is>
          <t>zorba</t>
        </is>
      </c>
      <c r="I749" s="7" t="inlineStr">
        <is>
          <t>JEA_NSA</t>
        </is>
      </c>
      <c r="J749" s="7" t="inlineStr">
        <is>
          <t>INR</t>
        </is>
      </c>
      <c r="K749" s="7" t="inlineStr">
        <is>
          <t>fixed_unsettled</t>
        </is>
      </c>
      <c r="L749" s="7" t="inlineStr">
        <is>
          <t>PNL</t>
        </is>
      </c>
      <c r="M749" s="11" t="n">
        <v>44721</v>
      </c>
      <c r="N749" s="13" t="n">
        <v>0</v>
      </c>
      <c r="O749" s="6" t="n">
        <v>0</v>
      </c>
      <c r="P749" s="13" t="n">
        <v>0</v>
      </c>
      <c r="Q749" s="22" t="n">
        <v>31</v>
      </c>
      <c r="R749" s="6" t="n">
        <v>1</v>
      </c>
      <c r="U749" s="9" t="n">
        <v>-1000000</v>
      </c>
      <c r="V749" s="9" t="n">
        <v>-1000000</v>
      </c>
      <c r="X749" s="9" t="n">
        <v>77.26220000000001</v>
      </c>
      <c r="AK749" s="7" t="inlineStr">
        <is>
          <t>PYTHON_LIFECYCLE</t>
        </is>
      </c>
      <c r="AL749" s="8">
        <f>IF($J749="INR",1,IF($M749&lt;$A749,INDEX(Market_Daily!$F$6:$F$256,MATCH($M749,Market_Daily!$A$6:$A$256,1)),IF($M749=$A749,INDEX(Market_Daily!$F$6:$F$256,MATCH($A749,Market_Daily!$A$6:$A$256,0)),(INDEX(Market_Daily!$F$6:$F$256,MATCH($A749,Market_Daily!$A$6:$A$256,0))*(1+INDEX(Market_Daily!$I$6:$I$256,MATCH($A749,Market_Daily!$A$6:$A$256,0))*($M749-$A749)/day_count_inr)/(1+INDEX(Market_Daily!$J$6:$J$256,MATCH($A749,Market_Daily!$A$6:$A$256,0))*($M749-$A749)/day_count_usd)))))</f>
        <v/>
      </c>
      <c r="AM749" s="8">
        <f>IF(OR($J749="INR",$R749&gt;1),"",$AL749-$X749)</f>
        <v/>
      </c>
      <c r="AN749" s="8">
        <f>$U749</f>
        <v/>
      </c>
      <c r="AO749" s="8">
        <f>$AN749*IF($J749="INR",1,$AL749)</f>
        <v/>
      </c>
      <c r="AP749" s="18">
        <f>$AO749-$V749</f>
        <v/>
      </c>
      <c r="AQ749" s="8">
        <f>IF(ABS($AP749)&lt;=tol_trade_inr,"PASS","FAIL")</f>
        <v/>
      </c>
    </row>
    <row r="750">
      <c r="A750" s="11" t="n">
        <v>44691</v>
      </c>
      <c r="B750" s="7" t="inlineStr">
        <is>
          <t>T06</t>
        </is>
      </c>
      <c r="C750" s="7" t="inlineStr">
        <is>
          <t>PORT:L2</t>
        </is>
      </c>
      <c r="D750" s="7" t="inlineStr">
        <is>
          <t>PORT</t>
        </is>
      </c>
      <c r="E750" s="7" t="inlineStr">
        <is>
          <t>physical</t>
        </is>
      </c>
      <c r="F750" s="7" t="inlineStr">
        <is>
          <t>L2</t>
        </is>
      </c>
      <c r="H750" s="7" t="inlineStr">
        <is>
          <t>zorba</t>
        </is>
      </c>
      <c r="I750" s="7" t="inlineStr">
        <is>
          <t>JEA_NSA</t>
        </is>
      </c>
      <c r="J750" s="7" t="inlineStr">
        <is>
          <t>INR</t>
        </is>
      </c>
      <c r="K750" s="7" t="inlineStr">
        <is>
          <t>fixed_unsettled</t>
        </is>
      </c>
      <c r="L750" s="7" t="inlineStr">
        <is>
          <t>PNL</t>
        </is>
      </c>
      <c r="M750" s="11" t="n">
        <v>44734</v>
      </c>
      <c r="N750" s="13" t="n">
        <v>0</v>
      </c>
      <c r="O750" s="6" t="n">
        <v>0</v>
      </c>
      <c r="P750" s="13" t="n">
        <v>0</v>
      </c>
      <c r="Q750" s="22" t="n">
        <v>31</v>
      </c>
      <c r="R750" s="6" t="n">
        <v>1</v>
      </c>
      <c r="U750" s="9" t="n">
        <v>-1000000</v>
      </c>
      <c r="V750" s="9" t="n">
        <v>-1000000</v>
      </c>
      <c r="X750" s="9" t="n">
        <v>77.26220000000001</v>
      </c>
      <c r="AK750" s="7" t="inlineStr">
        <is>
          <t>PYTHON_LIFECYCLE</t>
        </is>
      </c>
      <c r="AL750" s="8">
        <f>IF($J750="INR",1,IF($M750&lt;$A750,INDEX(Market_Daily!$F$6:$F$256,MATCH($M750,Market_Daily!$A$6:$A$256,1)),IF($M750=$A750,INDEX(Market_Daily!$F$6:$F$256,MATCH($A750,Market_Daily!$A$6:$A$256,0)),(INDEX(Market_Daily!$F$6:$F$256,MATCH($A750,Market_Daily!$A$6:$A$256,0))*(1+INDEX(Market_Daily!$I$6:$I$256,MATCH($A750,Market_Daily!$A$6:$A$256,0))*($M750-$A750)/day_count_inr)/(1+INDEX(Market_Daily!$J$6:$J$256,MATCH($A750,Market_Daily!$A$6:$A$256,0))*($M750-$A750)/day_count_usd)))))</f>
        <v/>
      </c>
      <c r="AM750" s="8">
        <f>IF(OR($J750="INR",$R750&gt;1),"",$AL750-$X750)</f>
        <v/>
      </c>
      <c r="AN750" s="8">
        <f>$U750</f>
        <v/>
      </c>
      <c r="AO750" s="8">
        <f>$AN750*IF($J750="INR",1,$AL750)</f>
        <v/>
      </c>
      <c r="AP750" s="18">
        <f>$AO750-$V750</f>
        <v/>
      </c>
      <c r="AQ750" s="8">
        <f>IF(ABS($AP750)&lt;=tol_trade_inr,"PASS","FAIL")</f>
        <v/>
      </c>
    </row>
    <row r="751">
      <c r="A751" s="11" t="n">
        <v>44691</v>
      </c>
      <c r="B751" s="7" t="inlineStr">
        <is>
          <t>T06</t>
        </is>
      </c>
      <c r="C751" s="7" t="inlineStr">
        <is>
          <t>PSIC:L1</t>
        </is>
      </c>
      <c r="D751" s="7" t="inlineStr">
        <is>
          <t>PSIC</t>
        </is>
      </c>
      <c r="E751" s="7" t="inlineStr">
        <is>
          <t>physical</t>
        </is>
      </c>
      <c r="F751" s="7" t="inlineStr">
        <is>
          <t>L1</t>
        </is>
      </c>
      <c r="H751" s="7" t="inlineStr">
        <is>
          <t>zorba</t>
        </is>
      </c>
      <c r="I751" s="7" t="inlineStr">
        <is>
          <t>JEA_NSA</t>
        </is>
      </c>
      <c r="J751" s="7" t="inlineStr">
        <is>
          <t>USD</t>
        </is>
      </c>
      <c r="K751" s="7" t="inlineStr">
        <is>
          <t>floating</t>
        </is>
      </c>
      <c r="L751" s="7" t="inlineStr">
        <is>
          <t>PNL</t>
        </is>
      </c>
      <c r="M751" s="11" t="n">
        <v>44706</v>
      </c>
      <c r="N751" s="13" t="n">
        <v>0</v>
      </c>
      <c r="O751" s="6" t="n">
        <v>0</v>
      </c>
      <c r="P751" s="13" t="n">
        <v>0</v>
      </c>
      <c r="Q751" s="22" t="n">
        <v>31</v>
      </c>
      <c r="R751" s="6" t="n">
        <v>1</v>
      </c>
      <c r="U751" s="9" t="n">
        <v>-1000</v>
      </c>
      <c r="V751" s="9" t="n">
        <v>-77383.89999999999</v>
      </c>
      <c r="X751" s="9" t="n">
        <v>77.3839</v>
      </c>
      <c r="AK751" s="7" t="inlineStr">
        <is>
          <t>PYTHON_LIFECYCLE</t>
        </is>
      </c>
      <c r="AL751" s="8">
        <f>IF($J751="INR",1,IF($M751&lt;$A751,INDEX(Market_Daily!$F$6:$F$256,MATCH($M751,Market_Daily!$A$6:$A$256,1)),IF($M751=$A751,INDEX(Market_Daily!$F$6:$F$256,MATCH($A751,Market_Daily!$A$6:$A$256,0)),(INDEX(Market_Daily!$F$6:$F$256,MATCH($A751,Market_Daily!$A$6:$A$256,0))*(1+INDEX(Market_Daily!$I$6:$I$256,MATCH($A751,Market_Daily!$A$6:$A$256,0))*($M751-$A751)/day_count_inr)/(1+INDEX(Market_Daily!$J$6:$J$256,MATCH($A751,Market_Daily!$A$6:$A$256,0))*($M751-$A751)/day_count_usd)))))</f>
        <v/>
      </c>
      <c r="AM751" s="8">
        <f>IF(OR($J751="INR",$R751&gt;1),"",$AL751-$X751)</f>
        <v/>
      </c>
      <c r="AN751" s="8">
        <f>$U751</f>
        <v/>
      </c>
      <c r="AO751" s="8">
        <f>$AN751*IF($J751="INR",1,$AL751)</f>
        <v/>
      </c>
      <c r="AP751" s="18">
        <f>$AO751-$V751</f>
        <v/>
      </c>
      <c r="AQ751" s="8">
        <f>IF(ABS($AP751)&lt;=tol_trade_inr,"PASS","FAIL")</f>
        <v/>
      </c>
    </row>
    <row r="752">
      <c r="A752" s="11" t="n">
        <v>44691</v>
      </c>
      <c r="B752" s="7" t="inlineStr">
        <is>
          <t>T06</t>
        </is>
      </c>
      <c r="C752" s="7" t="inlineStr">
        <is>
          <t>PSIC:L2</t>
        </is>
      </c>
      <c r="D752" s="7" t="inlineStr">
        <is>
          <t>PSIC</t>
        </is>
      </c>
      <c r="E752" s="7" t="inlineStr">
        <is>
          <t>physical</t>
        </is>
      </c>
      <c r="F752" s="7" t="inlineStr">
        <is>
          <t>L2</t>
        </is>
      </c>
      <c r="H752" s="7" t="inlineStr">
        <is>
          <t>zorba</t>
        </is>
      </c>
      <c r="I752" s="7" t="inlineStr">
        <is>
          <t>JEA_NSA</t>
        </is>
      </c>
      <c r="J752" s="7" t="inlineStr">
        <is>
          <t>USD</t>
        </is>
      </c>
      <c r="K752" s="7" t="inlineStr">
        <is>
          <t>floating</t>
        </is>
      </c>
      <c r="L752" s="7" t="inlineStr">
        <is>
          <t>PNL</t>
        </is>
      </c>
      <c r="M752" s="11" t="n">
        <v>44719</v>
      </c>
      <c r="N752" s="13" t="n">
        <v>0</v>
      </c>
      <c r="O752" s="6" t="n">
        <v>0</v>
      </c>
      <c r="P752" s="13" t="n">
        <v>0</v>
      </c>
      <c r="Q752" s="22" t="n">
        <v>31</v>
      </c>
      <c r="R752" s="6" t="n">
        <v>1</v>
      </c>
      <c r="U752" s="9" t="n">
        <v>-1000</v>
      </c>
      <c r="V752" s="9" t="n">
        <v>-77489.3</v>
      </c>
      <c r="X752" s="9" t="n">
        <v>77.4893</v>
      </c>
      <c r="AK752" s="7" t="inlineStr">
        <is>
          <t>PYTHON_LIFECYCLE</t>
        </is>
      </c>
      <c r="AL752" s="8">
        <f>IF($J752="INR",1,IF($M752&lt;$A752,INDEX(Market_Daily!$F$6:$F$256,MATCH($M752,Market_Daily!$A$6:$A$256,1)),IF($M752=$A752,INDEX(Market_Daily!$F$6:$F$256,MATCH($A752,Market_Daily!$A$6:$A$256,0)),(INDEX(Market_Daily!$F$6:$F$256,MATCH($A752,Market_Daily!$A$6:$A$256,0))*(1+INDEX(Market_Daily!$I$6:$I$256,MATCH($A752,Market_Daily!$A$6:$A$256,0))*($M752-$A752)/day_count_inr)/(1+INDEX(Market_Daily!$J$6:$J$256,MATCH($A752,Market_Daily!$A$6:$A$256,0))*($M752-$A752)/day_count_usd)))))</f>
        <v/>
      </c>
      <c r="AM752" s="8">
        <f>IF(OR($J752="INR",$R752&gt;1),"",$AL752-$X752)</f>
        <v/>
      </c>
      <c r="AN752" s="8">
        <f>$U752</f>
        <v/>
      </c>
      <c r="AO752" s="8">
        <f>$AN752*IF($J752="INR",1,$AL752)</f>
        <v/>
      </c>
      <c r="AP752" s="18">
        <f>$AO752-$V752</f>
        <v/>
      </c>
      <c r="AQ752" s="8">
        <f>IF(ABS($AP752)&lt;=tol_trade_inr,"PASS","FAIL")</f>
        <v/>
      </c>
    </row>
    <row r="753">
      <c r="A753" s="11" t="n">
        <v>44691</v>
      </c>
      <c r="B753" s="7" t="inlineStr">
        <is>
          <t>T06</t>
        </is>
      </c>
      <c r="C753" s="7" t="inlineStr">
        <is>
          <t>PURCHASE:L1</t>
        </is>
      </c>
      <c r="D753" s="7" t="inlineStr">
        <is>
          <t>PURCHASE</t>
        </is>
      </c>
      <c r="E753" s="7" t="inlineStr">
        <is>
          <t>physical</t>
        </is>
      </c>
      <c r="F753" s="7" t="inlineStr">
        <is>
          <t>L1</t>
        </is>
      </c>
      <c r="G753" s="7" t="inlineStr">
        <is>
          <t>SUP_JEA_01</t>
        </is>
      </c>
      <c r="H753" s="7" t="inlineStr">
        <is>
          <t>zorba</t>
        </is>
      </c>
      <c r="I753" s="7" t="inlineStr">
        <is>
          <t>JEA_NSA</t>
        </is>
      </c>
      <c r="J753" s="7" t="inlineStr">
        <is>
          <t>USD</t>
        </is>
      </c>
      <c r="K753" s="7" t="inlineStr">
        <is>
          <t>fixed_unsettled</t>
        </is>
      </c>
      <c r="L753" s="7" t="inlineStr">
        <is>
          <t>PNL</t>
        </is>
      </c>
      <c r="M753" s="11" t="n">
        <v>44713</v>
      </c>
      <c r="N753" s="13" t="n">
        <v>650</v>
      </c>
      <c r="O753" s="6" t="n">
        <v>0</v>
      </c>
      <c r="P753" s="13" t="n">
        <v>0</v>
      </c>
      <c r="Q753" s="22" t="n">
        <v>31</v>
      </c>
      <c r="R753" s="6" t="n">
        <v>1</v>
      </c>
      <c r="U753" s="9" t="n">
        <v>-1389700</v>
      </c>
      <c r="V753" s="9" t="n">
        <v>-107619287.06</v>
      </c>
      <c r="X753" s="9" t="n">
        <v>77.44070000000001</v>
      </c>
      <c r="AK753" s="7" t="inlineStr">
        <is>
          <t>PYTHON_LIFECYCLE</t>
        </is>
      </c>
      <c r="AL753" s="8">
        <f>IF($J753="INR",1,IF($M753&lt;$A753,INDEX(Market_Daily!$F$6:$F$256,MATCH($M753,Market_Daily!$A$6:$A$256,1)),IF($M753=$A753,INDEX(Market_Daily!$F$6:$F$256,MATCH($A753,Market_Daily!$A$6:$A$256,0)),(INDEX(Market_Daily!$F$6:$F$256,MATCH($A753,Market_Daily!$A$6:$A$256,0))*(1+INDEX(Market_Daily!$I$6:$I$256,MATCH($A753,Market_Daily!$A$6:$A$256,0))*($M753-$A753)/day_count_inr)/(1+INDEX(Market_Daily!$J$6:$J$256,MATCH($A753,Market_Daily!$A$6:$A$256,0))*($M753-$A753)/day_count_usd)))))</f>
        <v/>
      </c>
      <c r="AM753" s="8">
        <f>IF(OR($J753="INR",$R753&gt;1),"",$AL753-$X753)</f>
        <v/>
      </c>
      <c r="AN753" s="8">
        <f>$U753</f>
        <v/>
      </c>
      <c r="AO753" s="8">
        <f>$AN753*IF($J753="INR",1,$AL753)</f>
        <v/>
      </c>
      <c r="AP753" s="18">
        <f>$AO753-$V753</f>
        <v/>
      </c>
      <c r="AQ753" s="8">
        <f>IF(ABS($AP753)&lt;=tol_trade_inr,"PASS","FAIL")</f>
        <v/>
      </c>
    </row>
    <row r="754">
      <c r="A754" s="11" t="n">
        <v>44691</v>
      </c>
      <c r="B754" s="7" t="inlineStr">
        <is>
          <t>T06</t>
        </is>
      </c>
      <c r="C754" s="7" t="inlineStr">
        <is>
          <t>PURCHASE:L2</t>
        </is>
      </c>
      <c r="D754" s="7" t="inlineStr">
        <is>
          <t>PURCHASE</t>
        </is>
      </c>
      <c r="E754" s="7" t="inlineStr">
        <is>
          <t>physical</t>
        </is>
      </c>
      <c r="F754" s="7" t="inlineStr">
        <is>
          <t>L2</t>
        </is>
      </c>
      <c r="G754" s="7" t="inlineStr">
        <is>
          <t>SUP_JEA_01</t>
        </is>
      </c>
      <c r="H754" s="7" t="inlineStr">
        <is>
          <t>zorba</t>
        </is>
      </c>
      <c r="I754" s="7" t="inlineStr">
        <is>
          <t>JEA_NSA</t>
        </is>
      </c>
      <c r="J754" s="7" t="inlineStr">
        <is>
          <t>USD</t>
        </is>
      </c>
      <c r="K754" s="7" t="inlineStr">
        <is>
          <t>fixed_unsettled</t>
        </is>
      </c>
      <c r="L754" s="7" t="inlineStr">
        <is>
          <t>PNL</t>
        </is>
      </c>
      <c r="M754" s="11" t="n">
        <v>44726</v>
      </c>
      <c r="N754" s="13" t="n">
        <v>650</v>
      </c>
      <c r="O754" s="6" t="n">
        <v>0</v>
      </c>
      <c r="P754" s="13" t="n">
        <v>0</v>
      </c>
      <c r="Q754" s="22" t="n">
        <v>31</v>
      </c>
      <c r="R754" s="6" t="n">
        <v>1</v>
      </c>
      <c r="U754" s="9" t="n">
        <v>-1389700</v>
      </c>
      <c r="V754" s="9" t="n">
        <v>-107765710.7</v>
      </c>
      <c r="X754" s="9" t="n">
        <v>77.54600000000001</v>
      </c>
      <c r="AK754" s="7" t="inlineStr">
        <is>
          <t>PYTHON_LIFECYCLE</t>
        </is>
      </c>
      <c r="AL754" s="8">
        <f>IF($J754="INR",1,IF($M754&lt;$A754,INDEX(Market_Daily!$F$6:$F$256,MATCH($M754,Market_Daily!$A$6:$A$256,1)),IF($M754=$A754,INDEX(Market_Daily!$F$6:$F$256,MATCH($A754,Market_Daily!$A$6:$A$256,0)),(INDEX(Market_Daily!$F$6:$F$256,MATCH($A754,Market_Daily!$A$6:$A$256,0))*(1+INDEX(Market_Daily!$I$6:$I$256,MATCH($A754,Market_Daily!$A$6:$A$256,0))*($M754-$A754)/day_count_inr)/(1+INDEX(Market_Daily!$J$6:$J$256,MATCH($A754,Market_Daily!$A$6:$A$256,0))*($M754-$A754)/day_count_usd)))))</f>
        <v/>
      </c>
      <c r="AM754" s="8">
        <f>IF(OR($J754="INR",$R754&gt;1),"",$AL754-$X754)</f>
        <v/>
      </c>
      <c r="AN754" s="8">
        <f>$U754</f>
        <v/>
      </c>
      <c r="AO754" s="8">
        <f>$AN754*IF($J754="INR",1,$AL754)</f>
        <v/>
      </c>
      <c r="AP754" s="18">
        <f>$AO754-$V754</f>
        <v/>
      </c>
      <c r="AQ754" s="8">
        <f>IF(ABS($AP754)&lt;=tol_trade_inr,"PASS","FAIL")</f>
        <v/>
      </c>
    </row>
    <row r="755">
      <c r="A755" s="11" t="n">
        <v>44706</v>
      </c>
      <c r="B755" s="7" t="inlineStr">
        <is>
          <t>T01</t>
        </is>
      </c>
      <c r="C755" s="7" t="inlineStr">
        <is>
          <t>IGST:L1</t>
        </is>
      </c>
      <c r="D755" s="7" t="inlineStr">
        <is>
          <t>IGST</t>
        </is>
      </c>
      <c r="E755" s="7" t="inlineStr">
        <is>
          <t>physical</t>
        </is>
      </c>
      <c r="F755" s="7" t="inlineStr">
        <is>
          <t>L1</t>
        </is>
      </c>
      <c r="H755" s="7" t="inlineStr">
        <is>
          <t>zorba</t>
        </is>
      </c>
      <c r="I755" s="7" t="inlineStr">
        <is>
          <t>USEC_MUN</t>
        </is>
      </c>
      <c r="J755" s="7" t="inlineStr">
        <is>
          <t>INR</t>
        </is>
      </c>
      <c r="K755" s="7" t="inlineStr">
        <is>
          <t>fixed_unsettled</t>
        </is>
      </c>
      <c r="L755" s="7" t="inlineStr">
        <is>
          <t>BS</t>
        </is>
      </c>
      <c r="M755" s="11" t="n">
        <v>44735</v>
      </c>
      <c r="N755" s="13" t="n">
        <v>0</v>
      </c>
      <c r="O755" s="6" t="n">
        <v>0</v>
      </c>
      <c r="P755" s="13" t="n">
        <v>0</v>
      </c>
      <c r="Q755" s="22" t="n">
        <v>31</v>
      </c>
      <c r="R755" s="6" t="n">
        <v>2</v>
      </c>
      <c r="U755" s="9" t="n">
        <v>0</v>
      </c>
      <c r="V755" s="9" t="n">
        <v>0</v>
      </c>
      <c r="X755" s="9" t="n">
        <v>77.5775</v>
      </c>
      <c r="AK755" s="7" t="inlineStr">
        <is>
          <t>PYTHON_MULTI_FLOW_LEG</t>
        </is>
      </c>
      <c r="AL755" s="8">
        <f>IF($J755="INR",1,IF($M755&lt;$A755,INDEX(Market_Daily!$F$6:$F$256,MATCH($M755,Market_Daily!$A$6:$A$256,1)),IF($M755=$A755,INDEX(Market_Daily!$F$6:$F$256,MATCH($A755,Market_Daily!$A$6:$A$256,0)),(INDEX(Market_Daily!$F$6:$F$256,MATCH($A755,Market_Daily!$A$6:$A$256,0))*(1+INDEX(Market_Daily!$I$6:$I$256,MATCH($A755,Market_Daily!$A$6:$A$256,0))*($M755-$A755)/day_count_inr)/(1+INDEX(Market_Daily!$J$6:$J$256,MATCH($A755,Market_Daily!$A$6:$A$256,0))*($M755-$A755)/day_count_usd)))))</f>
        <v/>
      </c>
      <c r="AM755" s="8">
        <f>IF(OR($J755="INR",$R755&gt;1),"",$AL755-$X755)</f>
        <v/>
      </c>
      <c r="AN755" s="8">
        <f>$U755</f>
        <v/>
      </c>
      <c r="AO755" s="8">
        <f>$V755</f>
        <v/>
      </c>
      <c r="AP755" s="18">
        <f>$AO755-$V755</f>
        <v/>
      </c>
      <c r="AQ755" s="8">
        <f>IF(ABS($AP755)&lt;=tol_trade_inr,"PASS","FAIL")</f>
        <v/>
      </c>
    </row>
    <row r="756">
      <c r="A756" s="11" t="n">
        <v>44706</v>
      </c>
      <c r="B756" s="7" t="inlineStr">
        <is>
          <t>T01</t>
        </is>
      </c>
      <c r="C756" s="7" t="inlineStr">
        <is>
          <t>IGST:L2</t>
        </is>
      </c>
      <c r="D756" s="7" t="inlineStr">
        <is>
          <t>IGST</t>
        </is>
      </c>
      <c r="E756" s="7" t="inlineStr">
        <is>
          <t>physical</t>
        </is>
      </c>
      <c r="F756" s="7" t="inlineStr">
        <is>
          <t>L2</t>
        </is>
      </c>
      <c r="H756" s="7" t="inlineStr">
        <is>
          <t>zorba</t>
        </is>
      </c>
      <c r="I756" s="7" t="inlineStr">
        <is>
          <t>USEC_MUN</t>
        </is>
      </c>
      <c r="J756" s="7" t="inlineStr">
        <is>
          <t>INR</t>
        </is>
      </c>
      <c r="K756" s="7" t="inlineStr">
        <is>
          <t>fixed_unsettled</t>
        </is>
      </c>
      <c r="L756" s="7" t="inlineStr">
        <is>
          <t>BS</t>
        </is>
      </c>
      <c r="M756" s="11" t="n">
        <v>44741</v>
      </c>
      <c r="N756" s="13" t="n">
        <v>0</v>
      </c>
      <c r="O756" s="6" t="n">
        <v>0</v>
      </c>
      <c r="P756" s="13" t="n">
        <v>0</v>
      </c>
      <c r="Q756" s="22" t="n">
        <v>31</v>
      </c>
      <c r="R756" s="6" t="n">
        <v>2</v>
      </c>
      <c r="U756" s="9" t="n">
        <v>0</v>
      </c>
      <c r="V756" s="9" t="n">
        <v>0</v>
      </c>
      <c r="X756" s="9" t="n">
        <v>77.5775</v>
      </c>
      <c r="AK756" s="7" t="inlineStr">
        <is>
          <t>PYTHON_MULTI_FLOW_LEG</t>
        </is>
      </c>
      <c r="AL756" s="8">
        <f>IF($J756="INR",1,IF($M756&lt;$A756,INDEX(Market_Daily!$F$6:$F$256,MATCH($M756,Market_Daily!$A$6:$A$256,1)),IF($M756=$A756,INDEX(Market_Daily!$F$6:$F$256,MATCH($A756,Market_Daily!$A$6:$A$256,0)),(INDEX(Market_Daily!$F$6:$F$256,MATCH($A756,Market_Daily!$A$6:$A$256,0))*(1+INDEX(Market_Daily!$I$6:$I$256,MATCH($A756,Market_Daily!$A$6:$A$256,0))*($M756-$A756)/day_count_inr)/(1+INDEX(Market_Daily!$J$6:$J$256,MATCH($A756,Market_Daily!$A$6:$A$256,0))*($M756-$A756)/day_count_usd)))))</f>
        <v/>
      </c>
      <c r="AM756" s="8">
        <f>IF(OR($J756="INR",$R756&gt;1),"",$AL756-$X756)</f>
        <v/>
      </c>
      <c r="AN756" s="8">
        <f>$U756</f>
        <v/>
      </c>
      <c r="AO756" s="8">
        <f>$V756</f>
        <v/>
      </c>
      <c r="AP756" s="18">
        <f>$AO756-$V756</f>
        <v/>
      </c>
      <c r="AQ756" s="8">
        <f>IF(ABS($AP756)&lt;=tol_trade_inr,"PASS","FAIL")</f>
        <v/>
      </c>
    </row>
    <row r="757">
      <c r="A757" s="11" t="n">
        <v>44706</v>
      </c>
      <c r="B757" s="7" t="inlineStr">
        <is>
          <t>T01</t>
        </is>
      </c>
      <c r="C757" s="7" t="inlineStr">
        <is>
          <t>IGST:L3</t>
        </is>
      </c>
      <c r="D757" s="7" t="inlineStr">
        <is>
          <t>IGST</t>
        </is>
      </c>
      <c r="E757" s="7" t="inlineStr">
        <is>
          <t>physical</t>
        </is>
      </c>
      <c r="F757" s="7" t="inlineStr">
        <is>
          <t>L3</t>
        </is>
      </c>
      <c r="H757" s="7" t="inlineStr">
        <is>
          <t>zorba</t>
        </is>
      </c>
      <c r="I757" s="7" t="inlineStr">
        <is>
          <t>USEC_MUN</t>
        </is>
      </c>
      <c r="J757" s="7" t="inlineStr">
        <is>
          <t>INR</t>
        </is>
      </c>
      <c r="K757" s="7" t="inlineStr">
        <is>
          <t>fixed_unsettled</t>
        </is>
      </c>
      <c r="L757" s="7" t="inlineStr">
        <is>
          <t>BS</t>
        </is>
      </c>
      <c r="M757" s="11" t="n">
        <v>44746</v>
      </c>
      <c r="N757" s="13" t="n">
        <v>0</v>
      </c>
      <c r="O757" s="6" t="n">
        <v>0</v>
      </c>
      <c r="P757" s="13" t="n">
        <v>0</v>
      </c>
      <c r="Q757" s="22" t="n">
        <v>31</v>
      </c>
      <c r="R757" s="6" t="n">
        <v>2</v>
      </c>
      <c r="U757" s="9" t="n">
        <v>0</v>
      </c>
      <c r="V757" s="9" t="n">
        <v>0</v>
      </c>
      <c r="X757" s="9" t="n">
        <v>77.5775</v>
      </c>
      <c r="AK757" s="7" t="inlineStr">
        <is>
          <t>PYTHON_MULTI_FLOW_LEG</t>
        </is>
      </c>
      <c r="AL757" s="8">
        <f>IF($J757="INR",1,IF($M757&lt;$A757,INDEX(Market_Daily!$F$6:$F$256,MATCH($M757,Market_Daily!$A$6:$A$256,1)),IF($M757=$A757,INDEX(Market_Daily!$F$6:$F$256,MATCH($A757,Market_Daily!$A$6:$A$256,0)),(INDEX(Market_Daily!$F$6:$F$256,MATCH($A757,Market_Daily!$A$6:$A$256,0))*(1+INDEX(Market_Daily!$I$6:$I$256,MATCH($A757,Market_Daily!$A$6:$A$256,0))*($M757-$A757)/day_count_inr)/(1+INDEX(Market_Daily!$J$6:$J$256,MATCH($A757,Market_Daily!$A$6:$A$256,0))*($M757-$A757)/day_count_usd)))))</f>
        <v/>
      </c>
      <c r="AM757" s="8">
        <f>IF(OR($J757="INR",$R757&gt;1),"",$AL757-$X757)</f>
        <v/>
      </c>
      <c r="AN757" s="8">
        <f>$U757</f>
        <v/>
      </c>
      <c r="AO757" s="8">
        <f>$V757</f>
        <v/>
      </c>
      <c r="AP757" s="18">
        <f>$AO757-$V757</f>
        <v/>
      </c>
      <c r="AQ757" s="8">
        <f>IF(ABS($AP757)&lt;=tol_trade_inr,"PASS","FAIL")</f>
        <v/>
      </c>
    </row>
    <row r="758">
      <c r="A758" s="11" t="n">
        <v>44706</v>
      </c>
      <c r="B758" s="7" t="inlineStr">
        <is>
          <t>T01</t>
        </is>
      </c>
      <c r="C758" s="7" t="inlineStr">
        <is>
          <t>PORT:L3</t>
        </is>
      </c>
      <c r="D758" s="7" t="inlineStr">
        <is>
          <t>PORT</t>
        </is>
      </c>
      <c r="E758" s="7" t="inlineStr">
        <is>
          <t>physical</t>
        </is>
      </c>
      <c r="F758" s="7" t="inlineStr">
        <is>
          <t>L3</t>
        </is>
      </c>
      <c r="H758" s="7" t="inlineStr">
        <is>
          <t>zorba</t>
        </is>
      </c>
      <c r="I758" s="7" t="inlineStr">
        <is>
          <t>USEC_MUN</t>
        </is>
      </c>
      <c r="J758" s="7" t="inlineStr">
        <is>
          <t>INR</t>
        </is>
      </c>
      <c r="K758" s="7" t="inlineStr">
        <is>
          <t>fixed_unsettled</t>
        </is>
      </c>
      <c r="L758" s="7" t="inlineStr">
        <is>
          <t>PNL</t>
        </is>
      </c>
      <c r="M758" s="11" t="n">
        <v>44708</v>
      </c>
      <c r="N758" s="13" t="n">
        <v>0</v>
      </c>
      <c r="O758" s="6" t="n">
        <v>0</v>
      </c>
      <c r="P758" s="13" t="n">
        <v>0</v>
      </c>
      <c r="Q758" s="22" t="n">
        <v>31</v>
      </c>
      <c r="R758" s="6" t="n">
        <v>1</v>
      </c>
      <c r="U758" s="9" t="n">
        <v>-2226000</v>
      </c>
      <c r="V758" s="9" t="n">
        <v>-2226000</v>
      </c>
      <c r="X758" s="9" t="n">
        <v>77.5775</v>
      </c>
      <c r="AK758" s="7" t="inlineStr">
        <is>
          <t>PYTHON_LIFECYCLE</t>
        </is>
      </c>
      <c r="AL758" s="8">
        <f>IF($J758="INR",1,IF($M758&lt;$A758,INDEX(Market_Daily!$F$6:$F$256,MATCH($M758,Market_Daily!$A$6:$A$256,1)),IF($M758=$A758,INDEX(Market_Daily!$F$6:$F$256,MATCH($A758,Market_Daily!$A$6:$A$256,0)),(INDEX(Market_Daily!$F$6:$F$256,MATCH($A758,Market_Daily!$A$6:$A$256,0))*(1+INDEX(Market_Daily!$I$6:$I$256,MATCH($A758,Market_Daily!$A$6:$A$256,0))*($M758-$A758)/day_count_inr)/(1+INDEX(Market_Daily!$J$6:$J$256,MATCH($A758,Market_Daily!$A$6:$A$256,0))*($M758-$A758)/day_count_usd)))))</f>
        <v/>
      </c>
      <c r="AM758" s="8">
        <f>IF(OR($J758="INR",$R758&gt;1),"",$AL758-$X758)</f>
        <v/>
      </c>
      <c r="AN758" s="8">
        <f>$U758</f>
        <v/>
      </c>
      <c r="AO758" s="8">
        <f>$AN758*IF($J758="INR",1,$AL758)</f>
        <v/>
      </c>
      <c r="AP758" s="18">
        <f>$AO758-$V758</f>
        <v/>
      </c>
      <c r="AQ758" s="8">
        <f>IF(ABS($AP758)&lt;=tol_trade_inr,"PASS","FAIL")</f>
        <v/>
      </c>
    </row>
    <row r="759">
      <c r="A759" s="11" t="n">
        <v>44706</v>
      </c>
      <c r="B759" s="7" t="inlineStr">
        <is>
          <t>T01</t>
        </is>
      </c>
      <c r="C759" s="7" t="inlineStr">
        <is>
          <t>SALE:S1</t>
        </is>
      </c>
      <c r="D759" s="7" t="inlineStr">
        <is>
          <t>SALE</t>
        </is>
      </c>
      <c r="E759" s="7" t="inlineStr">
        <is>
          <t>physical</t>
        </is>
      </c>
      <c r="G759" s="7" t="inlineStr">
        <is>
          <t>BUY_MUN_01</t>
        </is>
      </c>
      <c r="H759" s="7" t="inlineStr">
        <is>
          <t>zorba</t>
        </is>
      </c>
      <c r="I759" s="7" t="inlineStr">
        <is>
          <t>USEC_MUN</t>
        </is>
      </c>
      <c r="J759" s="7" t="inlineStr">
        <is>
          <t>INR</t>
        </is>
      </c>
      <c r="K759" s="7" t="inlineStr">
        <is>
          <t>fixed_unsettled</t>
        </is>
      </c>
      <c r="L759" s="7" t="inlineStr">
        <is>
          <t>PNL</t>
        </is>
      </c>
      <c r="M759" s="11" t="n">
        <v>44735</v>
      </c>
      <c r="N759" s="13" t="n">
        <v>3360</v>
      </c>
      <c r="O759" s="6" t="n">
        <v>0</v>
      </c>
      <c r="P759" s="13" t="n">
        <v>0</v>
      </c>
      <c r="Q759" s="22" t="n">
        <v>31</v>
      </c>
      <c r="R759" s="6" t="n">
        <v>2</v>
      </c>
      <c r="U759" s="9" t="n">
        <v>168840000</v>
      </c>
      <c r="V759" s="9" t="n">
        <v>168840000</v>
      </c>
      <c r="W759" s="9" t="n">
        <v>201000</v>
      </c>
      <c r="X759" s="9" t="n">
        <v>77.5775</v>
      </c>
      <c r="AK759" s="7" t="inlineStr">
        <is>
          <t>PYTHON_MULTI_FLOW_LEG</t>
        </is>
      </c>
      <c r="AL759" s="8">
        <f>IF($J759="INR",1,IF($M759&lt;$A759,INDEX(Market_Daily!$F$6:$F$256,MATCH($M759,Market_Daily!$A$6:$A$256,1)),IF($M759=$A759,INDEX(Market_Daily!$F$6:$F$256,MATCH($A759,Market_Daily!$A$6:$A$256,0)),(INDEX(Market_Daily!$F$6:$F$256,MATCH($A759,Market_Daily!$A$6:$A$256,0))*(1+INDEX(Market_Daily!$I$6:$I$256,MATCH($A759,Market_Daily!$A$6:$A$256,0))*($M759-$A759)/day_count_inr)/(1+INDEX(Market_Daily!$J$6:$J$256,MATCH($A759,Market_Daily!$A$6:$A$256,0))*($M759-$A759)/day_count_usd)))))</f>
        <v/>
      </c>
      <c r="AM759" s="8">
        <f>IF(OR($J759="INR",$R759&gt;1),"",$AL759-$X759)</f>
        <v/>
      </c>
      <c r="AN759" s="8">
        <f>$U759</f>
        <v/>
      </c>
      <c r="AO759" s="8">
        <f>$V759</f>
        <v/>
      </c>
      <c r="AP759" s="18">
        <f>$AO759-$V759</f>
        <v/>
      </c>
      <c r="AQ759" s="8">
        <f>IF(ABS($AP759)&lt;=tol_trade_inr,"PASS","FAIL")</f>
        <v/>
      </c>
    </row>
    <row r="760">
      <c r="A760" s="11" t="n">
        <v>44706</v>
      </c>
      <c r="B760" s="7" t="inlineStr">
        <is>
          <t>T01</t>
        </is>
      </c>
      <c r="C760" s="7" t="inlineStr">
        <is>
          <t>SALE:S2</t>
        </is>
      </c>
      <c r="D760" s="7" t="inlineStr">
        <is>
          <t>SALE</t>
        </is>
      </c>
      <c r="E760" s="7" t="inlineStr">
        <is>
          <t>physical</t>
        </is>
      </c>
      <c r="G760" s="7" t="inlineStr">
        <is>
          <t>BUY_RJK_01</t>
        </is>
      </c>
      <c r="H760" s="7" t="inlineStr">
        <is>
          <t>zorba</t>
        </is>
      </c>
      <c r="I760" s="7" t="inlineStr">
        <is>
          <t>USEC_MUN</t>
        </is>
      </c>
      <c r="J760" s="7" t="inlineStr">
        <is>
          <t>INR</t>
        </is>
      </c>
      <c r="K760" s="7" t="inlineStr">
        <is>
          <t>fixed_unsettled</t>
        </is>
      </c>
      <c r="L760" s="7" t="inlineStr">
        <is>
          <t>PNL</t>
        </is>
      </c>
      <c r="M760" s="11" t="n">
        <v>44708</v>
      </c>
      <c r="N760" s="13" t="n">
        <v>1680</v>
      </c>
      <c r="O760" s="6" t="n">
        <v>0</v>
      </c>
      <c r="P760" s="13" t="n">
        <v>0</v>
      </c>
      <c r="Q760" s="22" t="n">
        <v>31</v>
      </c>
      <c r="R760" s="6" t="n">
        <v>2</v>
      </c>
      <c r="U760" s="9" t="n">
        <v>0</v>
      </c>
      <c r="V760" s="9" t="n">
        <v>0</v>
      </c>
      <c r="W760" s="9" t="n">
        <v>180500</v>
      </c>
      <c r="X760" s="9" t="n">
        <v>77.5775</v>
      </c>
      <c r="AK760" s="7" t="inlineStr">
        <is>
          <t>PYTHON_MULTI_FLOW_LEG</t>
        </is>
      </c>
      <c r="AL760" s="8">
        <f>IF($J760="INR",1,IF($M760&lt;$A760,INDEX(Market_Daily!$F$6:$F$256,MATCH($M760,Market_Daily!$A$6:$A$256,1)),IF($M760=$A760,INDEX(Market_Daily!$F$6:$F$256,MATCH($A760,Market_Daily!$A$6:$A$256,0)),(INDEX(Market_Daily!$F$6:$F$256,MATCH($A760,Market_Daily!$A$6:$A$256,0))*(1+INDEX(Market_Daily!$I$6:$I$256,MATCH($A760,Market_Daily!$A$6:$A$256,0))*($M760-$A760)/day_count_inr)/(1+INDEX(Market_Daily!$J$6:$J$256,MATCH($A760,Market_Daily!$A$6:$A$256,0))*($M760-$A760)/day_count_usd)))))</f>
        <v/>
      </c>
      <c r="AM760" s="8">
        <f>IF(OR($J760="INR",$R760&gt;1),"",$AL760-$X760)</f>
        <v/>
      </c>
      <c r="AN760" s="8">
        <f>$U760</f>
        <v/>
      </c>
      <c r="AO760" s="8">
        <f>$V760</f>
        <v/>
      </c>
      <c r="AP760" s="18">
        <f>$AO760-$V760</f>
        <v/>
      </c>
      <c r="AQ760" s="8">
        <f>IF(ABS($AP760)&lt;=tol_trade_inr,"PASS","FAIL")</f>
        <v/>
      </c>
    </row>
    <row r="761">
      <c r="A761" s="11" t="n">
        <v>44706</v>
      </c>
      <c r="B761" s="7" t="inlineStr">
        <is>
          <t>T02</t>
        </is>
      </c>
      <c r="C761" s="7" t="inlineStr">
        <is>
          <t>BILL_COMMISSION:L1</t>
        </is>
      </c>
      <c r="D761" s="7" t="inlineStr">
        <is>
          <t>BILL_COMMISSION</t>
        </is>
      </c>
      <c r="E761" s="7" t="inlineStr">
        <is>
          <t>physical</t>
        </is>
      </c>
      <c r="F761" s="7" t="inlineStr">
        <is>
          <t>L1</t>
        </is>
      </c>
      <c r="H761" s="7" t="inlineStr">
        <is>
          <t>tense</t>
        </is>
      </c>
      <c r="I761" s="7" t="inlineStr">
        <is>
          <t>JEA_NSA</t>
        </is>
      </c>
      <c r="J761" s="7" t="inlineStr">
        <is>
          <t>USD</t>
        </is>
      </c>
      <c r="K761" s="7" t="inlineStr">
        <is>
          <t>floating</t>
        </is>
      </c>
      <c r="L761" s="7" t="inlineStr">
        <is>
          <t>PNL</t>
        </is>
      </c>
      <c r="M761" s="11" t="n">
        <v>44746</v>
      </c>
      <c r="N761" s="13" t="n">
        <v>0</v>
      </c>
      <c r="O761" s="6" t="n">
        <v>0</v>
      </c>
      <c r="P761" s="13" t="n">
        <v>0</v>
      </c>
      <c r="Q761" s="22" t="n">
        <v>31</v>
      </c>
      <c r="R761" s="6" t="n">
        <v>1</v>
      </c>
      <c r="U761" s="9" t="n">
        <v>-1490.28</v>
      </c>
      <c r="V761" s="9" t="n">
        <v>-116075.82</v>
      </c>
      <c r="X761" s="9" t="n">
        <v>77.8887</v>
      </c>
      <c r="AK761" s="7" t="inlineStr">
        <is>
          <t>PYTHON_LIFECYCLE</t>
        </is>
      </c>
      <c r="AL761" s="8">
        <f>IF($J761="INR",1,IF($M761&lt;$A761,INDEX(Market_Daily!$F$6:$F$256,MATCH($M761,Market_Daily!$A$6:$A$256,1)),IF($M761=$A761,INDEX(Market_Daily!$F$6:$F$256,MATCH($A761,Market_Daily!$A$6:$A$256,0)),(INDEX(Market_Daily!$F$6:$F$256,MATCH($A761,Market_Daily!$A$6:$A$256,0))*(1+INDEX(Market_Daily!$I$6:$I$256,MATCH($A761,Market_Daily!$A$6:$A$256,0))*($M761-$A761)/day_count_inr)/(1+INDEX(Market_Daily!$J$6:$J$256,MATCH($A761,Market_Daily!$A$6:$A$256,0))*($M761-$A761)/day_count_usd)))))</f>
        <v/>
      </c>
      <c r="AM761" s="8">
        <f>IF(OR($J761="INR",$R761&gt;1),"",$AL761-$X761)</f>
        <v/>
      </c>
      <c r="AN761" s="8">
        <f>$U761</f>
        <v/>
      </c>
      <c r="AO761" s="8">
        <f>$AN761*IF($J761="INR",1,$AL761)</f>
        <v/>
      </c>
      <c r="AP761" s="18">
        <f>$AO761-$V761</f>
        <v/>
      </c>
      <c r="AQ761" s="8">
        <f>IF(ABS($AP761)&lt;=tol_trade_inr,"PASS","FAIL")</f>
        <v/>
      </c>
    </row>
    <row r="762">
      <c r="A762" s="11" t="n">
        <v>44706</v>
      </c>
      <c r="B762" s="7" t="inlineStr">
        <is>
          <t>T02</t>
        </is>
      </c>
      <c r="C762" s="7" t="inlineStr">
        <is>
          <t>BILL_COMMISSION:L2</t>
        </is>
      </c>
      <c r="D762" s="7" t="inlineStr">
        <is>
          <t>BILL_COMMISSION</t>
        </is>
      </c>
      <c r="E762" s="7" t="inlineStr">
        <is>
          <t>physical</t>
        </is>
      </c>
      <c r="F762" s="7" t="inlineStr">
        <is>
          <t>L2</t>
        </is>
      </c>
      <c r="H762" s="7" t="inlineStr">
        <is>
          <t>tense</t>
        </is>
      </c>
      <c r="I762" s="7" t="inlineStr">
        <is>
          <t>JEA_NSA</t>
        </is>
      </c>
      <c r="J762" s="7" t="inlineStr">
        <is>
          <t>USD</t>
        </is>
      </c>
      <c r="K762" s="7" t="inlineStr">
        <is>
          <t>floating</t>
        </is>
      </c>
      <c r="L762" s="7" t="inlineStr">
        <is>
          <t>PNL</t>
        </is>
      </c>
      <c r="M762" s="11" t="n">
        <v>44754</v>
      </c>
      <c r="N762" s="13" t="n">
        <v>0</v>
      </c>
      <c r="O762" s="6" t="n">
        <v>0</v>
      </c>
      <c r="P762" s="13" t="n">
        <v>0</v>
      </c>
      <c r="Q762" s="22" t="n">
        <v>31</v>
      </c>
      <c r="R762" s="6" t="n">
        <v>1</v>
      </c>
      <c r="U762" s="9" t="n">
        <v>-1399.51</v>
      </c>
      <c r="V762" s="9" t="n">
        <v>-109092.87</v>
      </c>
      <c r="X762" s="9" t="n">
        <v>77.9508</v>
      </c>
      <c r="AK762" s="7" t="inlineStr">
        <is>
          <t>PYTHON_LIFECYCLE</t>
        </is>
      </c>
      <c r="AL762" s="8">
        <f>IF($J762="INR",1,IF($M762&lt;$A762,INDEX(Market_Daily!$F$6:$F$256,MATCH($M762,Market_Daily!$A$6:$A$256,1)),IF($M762=$A762,INDEX(Market_Daily!$F$6:$F$256,MATCH($A762,Market_Daily!$A$6:$A$256,0)),(INDEX(Market_Daily!$F$6:$F$256,MATCH($A762,Market_Daily!$A$6:$A$256,0))*(1+INDEX(Market_Daily!$I$6:$I$256,MATCH($A762,Market_Daily!$A$6:$A$256,0))*($M762-$A762)/day_count_inr)/(1+INDEX(Market_Daily!$J$6:$J$256,MATCH($A762,Market_Daily!$A$6:$A$256,0))*($M762-$A762)/day_count_usd)))))</f>
        <v/>
      </c>
      <c r="AM762" s="8">
        <f>IF(OR($J762="INR",$R762&gt;1),"",$AL762-$X762)</f>
        <v/>
      </c>
      <c r="AN762" s="8">
        <f>$U762</f>
        <v/>
      </c>
      <c r="AO762" s="8">
        <f>$AN762*IF($J762="INR",1,$AL762)</f>
        <v/>
      </c>
      <c r="AP762" s="18">
        <f>$AO762-$V762</f>
        <v/>
      </c>
      <c r="AQ762" s="8">
        <f>IF(ABS($AP762)&lt;=tol_trade_inr,"PASS","FAIL")</f>
        <v/>
      </c>
    </row>
    <row r="763">
      <c r="A763" s="11" t="n">
        <v>44706</v>
      </c>
      <c r="B763" s="7" t="inlineStr">
        <is>
          <t>T02</t>
        </is>
      </c>
      <c r="C763" s="7" t="inlineStr">
        <is>
          <t>DUTY:L1</t>
        </is>
      </c>
      <c r="D763" s="7" t="inlineStr">
        <is>
          <t>DUTY</t>
        </is>
      </c>
      <c r="E763" s="7" t="inlineStr">
        <is>
          <t>physical</t>
        </is>
      </c>
      <c r="F763" s="7" t="inlineStr">
        <is>
          <t>L1</t>
        </is>
      </c>
      <c r="H763" s="7" t="inlineStr">
        <is>
          <t>tense</t>
        </is>
      </c>
      <c r="I763" s="7" t="inlineStr">
        <is>
          <t>JEA_NSA</t>
        </is>
      </c>
      <c r="J763" s="7" t="inlineStr">
        <is>
          <t>INR</t>
        </is>
      </c>
      <c r="K763" s="7" t="inlineStr">
        <is>
          <t>partially_fixed</t>
        </is>
      </c>
      <c r="L763" s="7" t="inlineStr">
        <is>
          <t>PNL</t>
        </is>
      </c>
      <c r="M763" s="11" t="n">
        <v>44721</v>
      </c>
      <c r="N763" s="13" t="n">
        <v>600</v>
      </c>
      <c r="O763" s="6" t="n">
        <v>0</v>
      </c>
      <c r="P763" s="13" t="n">
        <v>0</v>
      </c>
      <c r="Q763" s="22" t="n">
        <v>31</v>
      </c>
      <c r="R763" s="6" t="n">
        <v>2</v>
      </c>
      <c r="U763" s="9" t="n">
        <v>476643.96</v>
      </c>
      <c r="V763" s="9" t="n">
        <v>476643.96</v>
      </c>
      <c r="X763" s="9" t="n">
        <v>77.5775</v>
      </c>
      <c r="AK763" s="7" t="inlineStr">
        <is>
          <t>PYTHON_MULTI_FLOW_LEG</t>
        </is>
      </c>
      <c r="AL763" s="8">
        <f>IF($J763="INR",1,IF($M763&lt;$A763,INDEX(Market_Daily!$F$6:$F$256,MATCH($M763,Market_Daily!$A$6:$A$256,1)),IF($M763=$A763,INDEX(Market_Daily!$F$6:$F$256,MATCH($A763,Market_Daily!$A$6:$A$256,0)),(INDEX(Market_Daily!$F$6:$F$256,MATCH($A763,Market_Daily!$A$6:$A$256,0))*(1+INDEX(Market_Daily!$I$6:$I$256,MATCH($A763,Market_Daily!$A$6:$A$256,0))*($M763-$A763)/day_count_inr)/(1+INDEX(Market_Daily!$J$6:$J$256,MATCH($A763,Market_Daily!$A$6:$A$256,0))*($M763-$A763)/day_count_usd)))))</f>
        <v/>
      </c>
      <c r="AM763" s="8">
        <f>IF(OR($J763="INR",$R763&gt;1),"",$AL763-$X763)</f>
        <v/>
      </c>
      <c r="AN763" s="8">
        <f>$U763</f>
        <v/>
      </c>
      <c r="AO763" s="8">
        <f>$V763</f>
        <v/>
      </c>
      <c r="AP763" s="18">
        <f>$AO763-$V763</f>
        <v/>
      </c>
      <c r="AQ763" s="8">
        <f>IF(ABS($AP763)&lt;=tol_trade_inr,"PASS","FAIL")</f>
        <v/>
      </c>
    </row>
    <row r="764">
      <c r="A764" s="11" t="n">
        <v>44706</v>
      </c>
      <c r="B764" s="7" t="inlineStr">
        <is>
          <t>T02</t>
        </is>
      </c>
      <c r="C764" s="7" t="inlineStr">
        <is>
          <t>DUTY:L2</t>
        </is>
      </c>
      <c r="D764" s="7" t="inlineStr">
        <is>
          <t>DUTY</t>
        </is>
      </c>
      <c r="E764" s="7" t="inlineStr">
        <is>
          <t>physical</t>
        </is>
      </c>
      <c r="F764" s="7" t="inlineStr">
        <is>
          <t>L2</t>
        </is>
      </c>
      <c r="H764" s="7" t="inlineStr">
        <is>
          <t>tense</t>
        </is>
      </c>
      <c r="I764" s="7" t="inlineStr">
        <is>
          <t>JEA_NSA</t>
        </is>
      </c>
      <c r="J764" s="7" t="inlineStr">
        <is>
          <t>INR</t>
        </is>
      </c>
      <c r="K764" s="7" t="inlineStr">
        <is>
          <t>partially_fixed</t>
        </is>
      </c>
      <c r="L764" s="7" t="inlineStr">
        <is>
          <t>PNL</t>
        </is>
      </c>
      <c r="M764" s="11" t="n">
        <v>44721</v>
      </c>
      <c r="N764" s="13" t="n">
        <v>600</v>
      </c>
      <c r="O764" s="6" t="n">
        <v>0</v>
      </c>
      <c r="P764" s="13" t="n">
        <v>0</v>
      </c>
      <c r="Q764" s="22" t="n">
        <v>31</v>
      </c>
      <c r="R764" s="6" t="n">
        <v>2</v>
      </c>
      <c r="U764" s="9" t="n">
        <v>308296.47</v>
      </c>
      <c r="V764" s="9" t="n">
        <v>308296.47</v>
      </c>
      <c r="X764" s="9" t="n">
        <v>77.5775</v>
      </c>
      <c r="AK764" s="7" t="inlineStr">
        <is>
          <t>PYTHON_MULTI_FLOW_LEG</t>
        </is>
      </c>
      <c r="AL764" s="8">
        <f>IF($J764="INR",1,IF($M764&lt;$A764,INDEX(Market_Daily!$F$6:$F$256,MATCH($M764,Market_Daily!$A$6:$A$256,1)),IF($M764=$A764,INDEX(Market_Daily!$F$6:$F$256,MATCH($A764,Market_Daily!$A$6:$A$256,0)),(INDEX(Market_Daily!$F$6:$F$256,MATCH($A764,Market_Daily!$A$6:$A$256,0))*(1+INDEX(Market_Daily!$I$6:$I$256,MATCH($A764,Market_Daily!$A$6:$A$256,0))*($M764-$A764)/day_count_inr)/(1+INDEX(Market_Daily!$J$6:$J$256,MATCH($A764,Market_Daily!$A$6:$A$256,0))*($M764-$A764)/day_count_usd)))))</f>
        <v/>
      </c>
      <c r="AM764" s="8">
        <f>IF(OR($J764="INR",$R764&gt;1),"",$AL764-$X764)</f>
        <v/>
      </c>
      <c r="AN764" s="8">
        <f>$U764</f>
        <v/>
      </c>
      <c r="AO764" s="8">
        <f>$V764</f>
        <v/>
      </c>
      <c r="AP764" s="18">
        <f>$AO764-$V764</f>
        <v/>
      </c>
      <c r="AQ764" s="8">
        <f>IF(ABS($AP764)&lt;=tol_trade_inr,"PASS","FAIL")</f>
        <v/>
      </c>
    </row>
    <row r="765">
      <c r="A765" s="11" t="n">
        <v>44706</v>
      </c>
      <c r="B765" s="7" t="inlineStr">
        <is>
          <t>T02</t>
        </is>
      </c>
      <c r="C765" s="7" t="inlineStr">
        <is>
          <t>FX:T02-FX-1</t>
        </is>
      </c>
      <c r="D765" s="7" t="inlineStr">
        <is>
          <t>FX</t>
        </is>
      </c>
      <c r="E765" s="7" t="inlineStr">
        <is>
          <t>fx_forward</t>
        </is>
      </c>
      <c r="H765" s="7" t="inlineStr">
        <is>
          <t>tense</t>
        </is>
      </c>
      <c r="I765" s="7" t="inlineStr">
        <is>
          <t>JEA_NSA</t>
        </is>
      </c>
      <c r="J765" s="7" t="inlineStr">
        <is>
          <t>INR</t>
        </is>
      </c>
      <c r="K765" s="7" t="inlineStr">
        <is>
          <t>floating</t>
        </is>
      </c>
      <c r="L765" s="7" t="inlineStr">
        <is>
          <t>PNL</t>
        </is>
      </c>
      <c r="M765" s="11" t="n">
        <v>44746</v>
      </c>
      <c r="N765" s="13" t="n">
        <v>0</v>
      </c>
      <c r="O765" s="6" t="n">
        <v>0</v>
      </c>
      <c r="P765" s="13" t="n">
        <v>1241900</v>
      </c>
      <c r="Q765" s="22" t="n">
        <v>31</v>
      </c>
      <c r="R765" s="6" t="n">
        <v>1</v>
      </c>
      <c r="S765" s="12" t="n">
        <v>44746</v>
      </c>
      <c r="T765" s="21" t="n">
        <v>76.040598</v>
      </c>
      <c r="U765" s="9" t="n">
        <v>2295113.99</v>
      </c>
      <c r="V765" s="9" t="n">
        <v>2295113.99</v>
      </c>
      <c r="X765" s="9" t="n">
        <v>77.5775</v>
      </c>
      <c r="AK765" s="7" t="inlineStr">
        <is>
          <t>DERIVED_IN_WORKBOOK</t>
        </is>
      </c>
      <c r="AL765" s="8">
        <f>IF($J765="INR",1,IF($M765&lt;$A765,INDEX(Market_Daily!$F$6:$F$256,MATCH($M765,Market_Daily!$A$6:$A$256,1)),IF($M765=$A765,INDEX(Market_Daily!$F$6:$F$256,MATCH($A765,Market_Daily!$A$6:$A$256,0)),(INDEX(Market_Daily!$F$6:$F$256,MATCH($A765,Market_Daily!$A$6:$A$256,0))*(1+INDEX(Market_Daily!$I$6:$I$256,MATCH($A765,Market_Daily!$A$6:$A$256,0))*($M765-$A765)/day_count_inr)/(1+INDEX(Market_Daily!$J$6:$J$256,MATCH($A765,Market_Daily!$A$6:$A$256,0))*($M765-$A765)/day_count_usd)))))</f>
        <v/>
      </c>
      <c r="AM765" s="8">
        <f>IF(OR($J765="INR",$R765&gt;1),"",$AL765-$X765)</f>
        <v/>
      </c>
      <c r="AN765" s="8">
        <f>$P765*(IF($S765&lt;$A765,INDEX(Market_Daily!$F$6:$F$256,MATCH($S765,Market_Daily!$A$6:$A$256,1)),IF($S765=$A765,INDEX(Market_Daily!$F$6:$F$256,MATCH($A765,Market_Daily!$A$6:$A$256,0)),(INDEX(Market_Daily!$F$6:$F$256,MATCH($A765,Market_Daily!$A$6:$A$256,0))*(1+INDEX(Market_Daily!$I$6:$I$256,MATCH($A765,Market_Daily!$A$6:$A$256,0))*($S765-$A765)/day_count_inr)/(1+INDEX(Market_Daily!$J$6:$J$256,MATCH($A765,Market_Daily!$A$6:$A$256,0))*($S765-$A765)/day_count_usd))))-$T765)</f>
        <v/>
      </c>
      <c r="AO765" s="8">
        <f>$AN765</f>
        <v/>
      </c>
      <c r="AP765" s="18">
        <f>$AO765-$V765</f>
        <v/>
      </c>
      <c r="AQ765" s="8">
        <f>IF(ABS($AP765)&lt;=tol_trade_inr,"PASS","FAIL")</f>
        <v/>
      </c>
    </row>
    <row r="766">
      <c r="A766" s="11" t="n">
        <v>44706</v>
      </c>
      <c r="B766" s="7" t="inlineStr">
        <is>
          <t>T02</t>
        </is>
      </c>
      <c r="C766" s="7" t="inlineStr">
        <is>
          <t>FX:T02-FX-2</t>
        </is>
      </c>
      <c r="D766" s="7" t="inlineStr">
        <is>
          <t>FX</t>
        </is>
      </c>
      <c r="E766" s="7" t="inlineStr">
        <is>
          <t>fx_forward</t>
        </is>
      </c>
      <c r="H766" s="7" t="inlineStr">
        <is>
          <t>tense</t>
        </is>
      </c>
      <c r="I766" s="7" t="inlineStr">
        <is>
          <t>JEA_NSA</t>
        </is>
      </c>
      <c r="J766" s="7" t="inlineStr">
        <is>
          <t>INR</t>
        </is>
      </c>
      <c r="K766" s="7" t="inlineStr">
        <is>
          <t>floating</t>
        </is>
      </c>
      <c r="L766" s="7" t="inlineStr">
        <is>
          <t>PNL</t>
        </is>
      </c>
      <c r="M766" s="11" t="n">
        <v>44754</v>
      </c>
      <c r="N766" s="13" t="n">
        <v>0</v>
      </c>
      <c r="O766" s="6" t="n">
        <v>0</v>
      </c>
      <c r="P766" s="13" t="n">
        <v>1166000</v>
      </c>
      <c r="Q766" s="22" t="n">
        <v>31</v>
      </c>
      <c r="R766" s="6" t="n">
        <v>1</v>
      </c>
      <c r="S766" s="12" t="n">
        <v>44754</v>
      </c>
      <c r="T766" s="21" t="n">
        <v>76.878636</v>
      </c>
      <c r="U766" s="9" t="n">
        <v>1250154.4</v>
      </c>
      <c r="V766" s="9" t="n">
        <v>1250154.4</v>
      </c>
      <c r="X766" s="9" t="n">
        <v>77.5775</v>
      </c>
      <c r="AK766" s="7" t="inlineStr">
        <is>
          <t>DERIVED_IN_WORKBOOK</t>
        </is>
      </c>
      <c r="AL766" s="8">
        <f>IF($J766="INR",1,IF($M766&lt;$A766,INDEX(Market_Daily!$F$6:$F$256,MATCH($M766,Market_Daily!$A$6:$A$256,1)),IF($M766=$A766,INDEX(Market_Daily!$F$6:$F$256,MATCH($A766,Market_Daily!$A$6:$A$256,0)),(INDEX(Market_Daily!$F$6:$F$256,MATCH($A766,Market_Daily!$A$6:$A$256,0))*(1+INDEX(Market_Daily!$I$6:$I$256,MATCH($A766,Market_Daily!$A$6:$A$256,0))*($M766-$A766)/day_count_inr)/(1+INDEX(Market_Daily!$J$6:$J$256,MATCH($A766,Market_Daily!$A$6:$A$256,0))*($M766-$A766)/day_count_usd)))))</f>
        <v/>
      </c>
      <c r="AM766" s="8">
        <f>IF(OR($J766="INR",$R766&gt;1),"",$AL766-$X766)</f>
        <v/>
      </c>
      <c r="AN766" s="8">
        <f>$P766*(IF($S766&lt;$A766,INDEX(Market_Daily!$F$6:$F$256,MATCH($S766,Market_Daily!$A$6:$A$256,1)),IF($S766=$A766,INDEX(Market_Daily!$F$6:$F$256,MATCH($A766,Market_Daily!$A$6:$A$256,0)),(INDEX(Market_Daily!$F$6:$F$256,MATCH($A766,Market_Daily!$A$6:$A$256,0))*(1+INDEX(Market_Daily!$I$6:$I$256,MATCH($A766,Market_Daily!$A$6:$A$256,0))*($S766-$A766)/day_count_inr)/(1+INDEX(Market_Daily!$J$6:$J$256,MATCH($A766,Market_Daily!$A$6:$A$256,0))*($S766-$A766)/day_count_usd))))-$T766)</f>
        <v/>
      </c>
      <c r="AO766" s="8">
        <f>$AN766</f>
        <v/>
      </c>
      <c r="AP766" s="18">
        <f>$AO766-$V766</f>
        <v/>
      </c>
      <c r="AQ766" s="8">
        <f>IF(ABS($AP766)&lt;=tol_trade_inr,"PASS","FAIL")</f>
        <v/>
      </c>
    </row>
    <row r="767">
      <c r="A767" s="11" t="n">
        <v>44706</v>
      </c>
      <c r="B767" s="7" t="inlineStr">
        <is>
          <t>T02</t>
        </is>
      </c>
      <c r="C767" s="7" t="inlineStr">
        <is>
          <t>IGST:L1</t>
        </is>
      </c>
      <c r="D767" s="7" t="inlineStr">
        <is>
          <t>IGST</t>
        </is>
      </c>
      <c r="E767" s="7" t="inlineStr">
        <is>
          <t>physical</t>
        </is>
      </c>
      <c r="F767" s="7" t="inlineStr">
        <is>
          <t>L1</t>
        </is>
      </c>
      <c r="H767" s="7" t="inlineStr">
        <is>
          <t>tense</t>
        </is>
      </c>
      <c r="I767" s="7" t="inlineStr">
        <is>
          <t>JEA_NSA</t>
        </is>
      </c>
      <c r="J767" s="7" t="inlineStr">
        <is>
          <t>INR</t>
        </is>
      </c>
      <c r="K767" s="7" t="inlineStr">
        <is>
          <t>fixed_unsettled</t>
        </is>
      </c>
      <c r="L767" s="7" t="inlineStr">
        <is>
          <t>BS</t>
        </is>
      </c>
      <c r="M767" s="11" t="n">
        <v>44707</v>
      </c>
      <c r="N767" s="13" t="n">
        <v>0</v>
      </c>
      <c r="O767" s="6" t="n">
        <v>0</v>
      </c>
      <c r="P767" s="13" t="n">
        <v>0</v>
      </c>
      <c r="Q767" s="22" t="n">
        <v>31</v>
      </c>
      <c r="R767" s="6" t="n">
        <v>2</v>
      </c>
      <c r="U767" s="9" t="n">
        <v>0</v>
      </c>
      <c r="V767" s="9" t="n">
        <v>0</v>
      </c>
      <c r="X767" s="9" t="n">
        <v>77.5775</v>
      </c>
      <c r="AK767" s="7" t="inlineStr">
        <is>
          <t>PYTHON_MULTI_FLOW_LEG</t>
        </is>
      </c>
      <c r="AL767" s="8">
        <f>IF($J767="INR",1,IF($M767&lt;$A767,INDEX(Market_Daily!$F$6:$F$256,MATCH($M767,Market_Daily!$A$6:$A$256,1)),IF($M767=$A767,INDEX(Market_Daily!$F$6:$F$256,MATCH($A767,Market_Daily!$A$6:$A$256,0)),(INDEX(Market_Daily!$F$6:$F$256,MATCH($A767,Market_Daily!$A$6:$A$256,0))*(1+INDEX(Market_Daily!$I$6:$I$256,MATCH($A767,Market_Daily!$A$6:$A$256,0))*($M767-$A767)/day_count_inr)/(1+INDEX(Market_Daily!$J$6:$J$256,MATCH($A767,Market_Daily!$A$6:$A$256,0))*($M767-$A767)/day_count_usd)))))</f>
        <v/>
      </c>
      <c r="AM767" s="8">
        <f>IF(OR($J767="INR",$R767&gt;1),"",$AL767-$X767)</f>
        <v/>
      </c>
      <c r="AN767" s="8">
        <f>$U767</f>
        <v/>
      </c>
      <c r="AO767" s="8">
        <f>$V767</f>
        <v/>
      </c>
      <c r="AP767" s="18">
        <f>$AO767-$V767</f>
        <v/>
      </c>
      <c r="AQ767" s="8">
        <f>IF(ABS($AP767)&lt;=tol_trade_inr,"PASS","FAIL")</f>
        <v/>
      </c>
    </row>
    <row r="768">
      <c r="A768" s="11" t="n">
        <v>44706</v>
      </c>
      <c r="B768" s="7" t="inlineStr">
        <is>
          <t>T02</t>
        </is>
      </c>
      <c r="C768" s="7" t="inlineStr">
        <is>
          <t>IGST:L2</t>
        </is>
      </c>
      <c r="D768" s="7" t="inlineStr">
        <is>
          <t>IGST</t>
        </is>
      </c>
      <c r="E768" s="7" t="inlineStr">
        <is>
          <t>physical</t>
        </is>
      </c>
      <c r="F768" s="7" t="inlineStr">
        <is>
          <t>L2</t>
        </is>
      </c>
      <c r="H768" s="7" t="inlineStr">
        <is>
          <t>tense</t>
        </is>
      </c>
      <c r="I768" s="7" t="inlineStr">
        <is>
          <t>JEA_NSA</t>
        </is>
      </c>
      <c r="J768" s="7" t="inlineStr">
        <is>
          <t>INR</t>
        </is>
      </c>
      <c r="K768" s="7" t="inlineStr">
        <is>
          <t>fixed_unsettled</t>
        </is>
      </c>
      <c r="L768" s="7" t="inlineStr">
        <is>
          <t>BS</t>
        </is>
      </c>
      <c r="M768" s="11" t="n">
        <v>44718</v>
      </c>
      <c r="N768" s="13" t="n">
        <v>0</v>
      </c>
      <c r="O768" s="6" t="n">
        <v>0</v>
      </c>
      <c r="P768" s="13" t="n">
        <v>0</v>
      </c>
      <c r="Q768" s="22" t="n">
        <v>31</v>
      </c>
      <c r="R768" s="6" t="n">
        <v>2</v>
      </c>
      <c r="U768" s="9" t="n">
        <v>0</v>
      </c>
      <c r="V768" s="9" t="n">
        <v>0</v>
      </c>
      <c r="X768" s="9" t="n">
        <v>77.5775</v>
      </c>
      <c r="AK768" s="7" t="inlineStr">
        <is>
          <t>PYTHON_MULTI_FLOW_LEG</t>
        </is>
      </c>
      <c r="AL768" s="8">
        <f>IF($J768="INR",1,IF($M768&lt;$A768,INDEX(Market_Daily!$F$6:$F$256,MATCH($M768,Market_Daily!$A$6:$A$256,1)),IF($M768=$A768,INDEX(Market_Daily!$F$6:$F$256,MATCH($A768,Market_Daily!$A$6:$A$256,0)),(INDEX(Market_Daily!$F$6:$F$256,MATCH($A768,Market_Daily!$A$6:$A$256,0))*(1+INDEX(Market_Daily!$I$6:$I$256,MATCH($A768,Market_Daily!$A$6:$A$256,0))*($M768-$A768)/day_count_inr)/(1+INDEX(Market_Daily!$J$6:$J$256,MATCH($A768,Market_Daily!$A$6:$A$256,0))*($M768-$A768)/day_count_usd)))))</f>
        <v/>
      </c>
      <c r="AM768" s="8">
        <f>IF(OR($J768="INR",$R768&gt;1),"",$AL768-$X768)</f>
        <v/>
      </c>
      <c r="AN768" s="8">
        <f>$U768</f>
        <v/>
      </c>
      <c r="AO768" s="8">
        <f>$V768</f>
        <v/>
      </c>
      <c r="AP768" s="18">
        <f>$AO768-$V768</f>
        <v/>
      </c>
      <c r="AQ768" s="8">
        <f>IF(ABS($AP768)&lt;=tol_trade_inr,"PASS","FAIL")</f>
        <v/>
      </c>
    </row>
    <row r="769">
      <c r="A769" s="11" t="n">
        <v>44706</v>
      </c>
      <c r="B769" s="7" t="inlineStr">
        <is>
          <t>T02</t>
        </is>
      </c>
      <c r="C769" s="7" t="inlineStr">
        <is>
          <t>PURCHASE:L1</t>
        </is>
      </c>
      <c r="D769" s="7" t="inlineStr">
        <is>
          <t>PURCHASE</t>
        </is>
      </c>
      <c r="E769" s="7" t="inlineStr">
        <is>
          <t>physical</t>
        </is>
      </c>
      <c r="F769" s="7" t="inlineStr">
        <is>
          <t>L1</t>
        </is>
      </c>
      <c r="G769" s="7" t="inlineStr">
        <is>
          <t>SUP_JEA_01</t>
        </is>
      </c>
      <c r="H769" s="7" t="inlineStr">
        <is>
          <t>tense</t>
        </is>
      </c>
      <c r="I769" s="7" t="inlineStr">
        <is>
          <t>JEA_NSA</t>
        </is>
      </c>
      <c r="J769" s="7" t="inlineStr">
        <is>
          <t>USD</t>
        </is>
      </c>
      <c r="K769" s="7" t="inlineStr">
        <is>
          <t>partially_fixed</t>
        </is>
      </c>
      <c r="L769" s="7" t="inlineStr">
        <is>
          <t>PNL</t>
        </is>
      </c>
      <c r="M769" s="11" t="n">
        <v>44746</v>
      </c>
      <c r="N769" s="13" t="n">
        <v>1200</v>
      </c>
      <c r="O769" s="6" t="n">
        <v>0</v>
      </c>
      <c r="P769" s="13" t="n">
        <v>0</v>
      </c>
      <c r="Q769" s="22" t="n">
        <v>31</v>
      </c>
      <c r="R769" s="6" t="n">
        <v>2</v>
      </c>
      <c r="U769" s="9" t="n">
        <v>-1081826.29</v>
      </c>
      <c r="V769" s="9" t="n">
        <v>-84293121.5</v>
      </c>
      <c r="X769" s="9" t="n">
        <v>77.8887</v>
      </c>
      <c r="AK769" s="7" t="inlineStr">
        <is>
          <t>PYTHON_MULTI_FLOW_LEG</t>
        </is>
      </c>
      <c r="AL769" s="8">
        <f>IF($J769="INR",1,IF($M769&lt;$A769,INDEX(Market_Daily!$F$6:$F$256,MATCH($M769,Market_Daily!$A$6:$A$256,1)),IF($M769=$A769,INDEX(Market_Daily!$F$6:$F$256,MATCH($A769,Market_Daily!$A$6:$A$256,0)),(INDEX(Market_Daily!$F$6:$F$256,MATCH($A769,Market_Daily!$A$6:$A$256,0))*(1+INDEX(Market_Daily!$I$6:$I$256,MATCH($A769,Market_Daily!$A$6:$A$256,0))*($M769-$A769)/day_count_inr)/(1+INDEX(Market_Daily!$J$6:$J$256,MATCH($A769,Market_Daily!$A$6:$A$256,0))*($M769-$A769)/day_count_usd)))))</f>
        <v/>
      </c>
      <c r="AM769" s="8">
        <f>IF(OR($J769="INR",$R769&gt;1),"",$AL769-$X769)</f>
        <v/>
      </c>
      <c r="AN769" s="8">
        <f>$U769</f>
        <v/>
      </c>
      <c r="AO769" s="8">
        <f>$V769</f>
        <v/>
      </c>
      <c r="AP769" s="18">
        <f>$AO769-$V769</f>
        <v/>
      </c>
      <c r="AQ769" s="8">
        <f>IF(ABS($AP769)&lt;=tol_trade_inr,"PASS","FAIL")</f>
        <v/>
      </c>
    </row>
    <row r="770">
      <c r="A770" s="11" t="n">
        <v>44706</v>
      </c>
      <c r="B770" s="7" t="inlineStr">
        <is>
          <t>T02</t>
        </is>
      </c>
      <c r="C770" s="7" t="inlineStr">
        <is>
          <t>PURCHASE:L2</t>
        </is>
      </c>
      <c r="D770" s="7" t="inlineStr">
        <is>
          <t>PURCHASE</t>
        </is>
      </c>
      <c r="E770" s="7" t="inlineStr">
        <is>
          <t>physical</t>
        </is>
      </c>
      <c r="F770" s="7" t="inlineStr">
        <is>
          <t>L2</t>
        </is>
      </c>
      <c r="G770" s="7" t="inlineStr">
        <is>
          <t>SUP_JEA_01</t>
        </is>
      </c>
      <c r="H770" s="7" t="inlineStr">
        <is>
          <t>tense</t>
        </is>
      </c>
      <c r="I770" s="7" t="inlineStr">
        <is>
          <t>JEA_NSA</t>
        </is>
      </c>
      <c r="J770" s="7" t="inlineStr">
        <is>
          <t>USD</t>
        </is>
      </c>
      <c r="K770" s="7" t="inlineStr">
        <is>
          <t>partially_fixed</t>
        </is>
      </c>
      <c r="L770" s="7" t="inlineStr">
        <is>
          <t>PNL</t>
        </is>
      </c>
      <c r="M770" s="11" t="n">
        <v>44754</v>
      </c>
      <c r="N770" s="13" t="n">
        <v>1200</v>
      </c>
      <c r="O770" s="6" t="n">
        <v>0</v>
      </c>
      <c r="P770" s="13" t="n">
        <v>0</v>
      </c>
      <c r="Q770" s="22" t="n">
        <v>31</v>
      </c>
      <c r="R770" s="6" t="n">
        <v>2</v>
      </c>
      <c r="U770" s="9" t="n">
        <v>-1081826.29</v>
      </c>
      <c r="V770" s="9" t="n">
        <v>-84350895.04000001</v>
      </c>
      <c r="X770" s="9" t="n">
        <v>77.9508</v>
      </c>
      <c r="AK770" s="7" t="inlineStr">
        <is>
          <t>PYTHON_MULTI_FLOW_LEG</t>
        </is>
      </c>
      <c r="AL770" s="8">
        <f>IF($J770="INR",1,IF($M770&lt;$A770,INDEX(Market_Daily!$F$6:$F$256,MATCH($M770,Market_Daily!$A$6:$A$256,1)),IF($M770=$A770,INDEX(Market_Daily!$F$6:$F$256,MATCH($A770,Market_Daily!$A$6:$A$256,0)),(INDEX(Market_Daily!$F$6:$F$256,MATCH($A770,Market_Daily!$A$6:$A$256,0))*(1+INDEX(Market_Daily!$I$6:$I$256,MATCH($A770,Market_Daily!$A$6:$A$256,0))*($M770-$A770)/day_count_inr)/(1+INDEX(Market_Daily!$J$6:$J$256,MATCH($A770,Market_Daily!$A$6:$A$256,0))*($M770-$A770)/day_count_usd)))))</f>
        <v/>
      </c>
      <c r="AM770" s="8">
        <f>IF(OR($J770="INR",$R770&gt;1),"",$AL770-$X770)</f>
        <v/>
      </c>
      <c r="AN770" s="8">
        <f>$U770</f>
        <v/>
      </c>
      <c r="AO770" s="8">
        <f>$V770</f>
        <v/>
      </c>
      <c r="AP770" s="18">
        <f>$AO770-$V770</f>
        <v/>
      </c>
      <c r="AQ770" s="8">
        <f>IF(ABS($AP770)&lt;=tol_trade_inr,"PASS","FAIL")</f>
        <v/>
      </c>
    </row>
    <row r="771">
      <c r="A771" s="11" t="n">
        <v>44706</v>
      </c>
      <c r="B771" s="7" t="inlineStr">
        <is>
          <t>T02</t>
        </is>
      </c>
      <c r="C771" s="7" t="inlineStr">
        <is>
          <t>SALE:S1</t>
        </is>
      </c>
      <c r="D771" s="7" t="inlineStr">
        <is>
          <t>SALE</t>
        </is>
      </c>
      <c r="E771" s="7" t="inlineStr">
        <is>
          <t>physical</t>
        </is>
      </c>
      <c r="G771" s="7" t="inlineStr">
        <is>
          <t>BUY_JNPT_01</t>
        </is>
      </c>
      <c r="H771" s="7" t="inlineStr">
        <is>
          <t>tense</t>
        </is>
      </c>
      <c r="I771" s="7" t="inlineStr">
        <is>
          <t>JEA_NSA</t>
        </is>
      </c>
      <c r="J771" s="7" t="inlineStr">
        <is>
          <t>INR</t>
        </is>
      </c>
      <c r="K771" s="7" t="inlineStr">
        <is>
          <t>fixed_unsettled</t>
        </is>
      </c>
      <c r="L771" s="7" t="inlineStr">
        <is>
          <t>PNL</t>
        </is>
      </c>
      <c r="M771" s="11" t="n">
        <v>44711</v>
      </c>
      <c r="N771" s="13" t="n">
        <v>1200</v>
      </c>
      <c r="O771" s="6" t="n">
        <v>0</v>
      </c>
      <c r="P771" s="13" t="n">
        <v>0</v>
      </c>
      <c r="Q771" s="22" t="n">
        <v>31</v>
      </c>
      <c r="R771" s="6" t="n">
        <v>1</v>
      </c>
      <c r="U771" s="9" t="n">
        <v>225595288.67</v>
      </c>
      <c r="V771" s="9" t="n">
        <v>225595288.67</v>
      </c>
      <c r="W771" s="9" t="n">
        <v>187996.0739</v>
      </c>
      <c r="X771" s="9" t="n">
        <v>77.5775</v>
      </c>
      <c r="AK771" s="7" t="inlineStr">
        <is>
          <t>PYTHON_LIFECYCLE</t>
        </is>
      </c>
      <c r="AL771" s="8">
        <f>IF($J771="INR",1,IF($M771&lt;$A771,INDEX(Market_Daily!$F$6:$F$256,MATCH($M771,Market_Daily!$A$6:$A$256,1)),IF($M771=$A771,INDEX(Market_Daily!$F$6:$F$256,MATCH($A771,Market_Daily!$A$6:$A$256,0)),(INDEX(Market_Daily!$F$6:$F$256,MATCH($A771,Market_Daily!$A$6:$A$256,0))*(1+INDEX(Market_Daily!$I$6:$I$256,MATCH($A771,Market_Daily!$A$6:$A$256,0))*($M771-$A771)/day_count_inr)/(1+INDEX(Market_Daily!$J$6:$J$256,MATCH($A771,Market_Daily!$A$6:$A$256,0))*($M771-$A771)/day_count_usd)))))</f>
        <v/>
      </c>
      <c r="AM771" s="8">
        <f>IF(OR($J771="INR",$R771&gt;1),"",$AL771-$X771)</f>
        <v/>
      </c>
      <c r="AN771" s="8">
        <f>$U771</f>
        <v/>
      </c>
      <c r="AO771" s="8">
        <f>$AN771*IF($J771="INR",1,$AL771)</f>
        <v/>
      </c>
      <c r="AP771" s="18">
        <f>$AO771-$V771</f>
        <v/>
      </c>
      <c r="AQ771" s="8">
        <f>IF(ABS($AP771)&lt;=tol_trade_inr,"PASS","FAIL")</f>
        <v/>
      </c>
    </row>
    <row r="772">
      <c r="A772" s="11" t="n">
        <v>44706</v>
      </c>
      <c r="B772" s="7" t="inlineStr">
        <is>
          <t>T02</t>
        </is>
      </c>
      <c r="C772" s="7" t="inlineStr">
        <is>
          <t>USANCE_INTEREST:L1</t>
        </is>
      </c>
      <c r="D772" s="7" t="inlineStr">
        <is>
          <t>USANCE_INTEREST</t>
        </is>
      </c>
      <c r="E772" s="7" t="inlineStr">
        <is>
          <t>physical</t>
        </is>
      </c>
      <c r="F772" s="7" t="inlineStr">
        <is>
          <t>L1</t>
        </is>
      </c>
      <c r="H772" s="7" t="inlineStr">
        <is>
          <t>tense</t>
        </is>
      </c>
      <c r="I772" s="7" t="inlineStr">
        <is>
          <t>JEA_NSA</t>
        </is>
      </c>
      <c r="J772" s="7" t="inlineStr">
        <is>
          <t>USD</t>
        </is>
      </c>
      <c r="K772" s="7" t="inlineStr">
        <is>
          <t>fixed_unsettled</t>
        </is>
      </c>
      <c r="L772" s="7" t="inlineStr">
        <is>
          <t>PNL</t>
        </is>
      </c>
      <c r="M772" s="11" t="n">
        <v>44746</v>
      </c>
      <c r="N772" s="13" t="n">
        <v>0</v>
      </c>
      <c r="O772" s="6" t="n">
        <v>0</v>
      </c>
      <c r="P772" s="13" t="n">
        <v>0</v>
      </c>
      <c r="Q772" s="22" t="n">
        <v>31</v>
      </c>
      <c r="R772" s="6" t="n">
        <v>1</v>
      </c>
      <c r="U772" s="9" t="n">
        <v>-6953.7</v>
      </c>
      <c r="V772" s="9" t="n">
        <v>-541614.59</v>
      </c>
      <c r="X772" s="9" t="n">
        <v>77.8887</v>
      </c>
      <c r="AK772" s="7" t="inlineStr">
        <is>
          <t>PYTHON_LIFECYCLE</t>
        </is>
      </c>
      <c r="AL772" s="8">
        <f>IF($J772="INR",1,IF($M772&lt;$A772,INDEX(Market_Daily!$F$6:$F$256,MATCH($M772,Market_Daily!$A$6:$A$256,1)),IF($M772=$A772,INDEX(Market_Daily!$F$6:$F$256,MATCH($A772,Market_Daily!$A$6:$A$256,0)),(INDEX(Market_Daily!$F$6:$F$256,MATCH($A772,Market_Daily!$A$6:$A$256,0))*(1+INDEX(Market_Daily!$I$6:$I$256,MATCH($A772,Market_Daily!$A$6:$A$256,0))*($M772-$A772)/day_count_inr)/(1+INDEX(Market_Daily!$J$6:$J$256,MATCH($A772,Market_Daily!$A$6:$A$256,0))*($M772-$A772)/day_count_usd)))))</f>
        <v/>
      </c>
      <c r="AM772" s="8">
        <f>IF(OR($J772="INR",$R772&gt;1),"",$AL772-$X772)</f>
        <v/>
      </c>
      <c r="AN772" s="8">
        <f>$U772</f>
        <v/>
      </c>
      <c r="AO772" s="8">
        <f>$AN772*IF($J772="INR",1,$AL772)</f>
        <v/>
      </c>
      <c r="AP772" s="18">
        <f>$AO772-$V772</f>
        <v/>
      </c>
      <c r="AQ772" s="8">
        <f>IF(ABS($AP772)&lt;=tol_trade_inr,"PASS","FAIL")</f>
        <v/>
      </c>
    </row>
    <row r="773">
      <c r="A773" s="11" t="n">
        <v>44706</v>
      </c>
      <c r="B773" s="7" t="inlineStr">
        <is>
          <t>T02</t>
        </is>
      </c>
      <c r="C773" s="7" t="inlineStr">
        <is>
          <t>USANCE_INTEREST:L2</t>
        </is>
      </c>
      <c r="D773" s="7" t="inlineStr">
        <is>
          <t>USANCE_INTEREST</t>
        </is>
      </c>
      <c r="E773" s="7" t="inlineStr">
        <is>
          <t>physical</t>
        </is>
      </c>
      <c r="F773" s="7" t="inlineStr">
        <is>
          <t>L2</t>
        </is>
      </c>
      <c r="H773" s="7" t="inlineStr">
        <is>
          <t>tense</t>
        </is>
      </c>
      <c r="I773" s="7" t="inlineStr">
        <is>
          <t>JEA_NSA</t>
        </is>
      </c>
      <c r="J773" s="7" t="inlineStr">
        <is>
          <t>USD</t>
        </is>
      </c>
      <c r="K773" s="7" t="inlineStr">
        <is>
          <t>fixed_unsettled</t>
        </is>
      </c>
      <c r="L773" s="7" t="inlineStr">
        <is>
          <t>PNL</t>
        </is>
      </c>
      <c r="M773" s="11" t="n">
        <v>44754</v>
      </c>
      <c r="N773" s="13" t="n">
        <v>0</v>
      </c>
      <c r="O773" s="6" t="n">
        <v>0</v>
      </c>
      <c r="P773" s="13" t="n">
        <v>0</v>
      </c>
      <c r="Q773" s="22" t="n">
        <v>31</v>
      </c>
      <c r="R773" s="6" t="n">
        <v>1</v>
      </c>
      <c r="U773" s="9" t="n">
        <v>-6760.21</v>
      </c>
      <c r="V773" s="9" t="n">
        <v>-526964.02</v>
      </c>
      <c r="X773" s="9" t="n">
        <v>77.9508</v>
      </c>
      <c r="AK773" s="7" t="inlineStr">
        <is>
          <t>PYTHON_LIFECYCLE</t>
        </is>
      </c>
      <c r="AL773" s="8">
        <f>IF($J773="INR",1,IF($M773&lt;$A773,INDEX(Market_Daily!$F$6:$F$256,MATCH($M773,Market_Daily!$A$6:$A$256,1)),IF($M773=$A773,INDEX(Market_Daily!$F$6:$F$256,MATCH($A773,Market_Daily!$A$6:$A$256,0)),(INDEX(Market_Daily!$F$6:$F$256,MATCH($A773,Market_Daily!$A$6:$A$256,0))*(1+INDEX(Market_Daily!$I$6:$I$256,MATCH($A773,Market_Daily!$A$6:$A$256,0))*($M773-$A773)/day_count_inr)/(1+INDEX(Market_Daily!$J$6:$J$256,MATCH($A773,Market_Daily!$A$6:$A$256,0))*($M773-$A773)/day_count_usd)))))</f>
        <v/>
      </c>
      <c r="AM773" s="8">
        <f>IF(OR($J773="INR",$R773&gt;1),"",$AL773-$X773)</f>
        <v/>
      </c>
      <c r="AN773" s="8">
        <f>$U773</f>
        <v/>
      </c>
      <c r="AO773" s="8">
        <f>$AN773*IF($J773="INR",1,$AL773)</f>
        <v/>
      </c>
      <c r="AP773" s="18">
        <f>$AO773-$V773</f>
        <v/>
      </c>
      <c r="AQ773" s="8">
        <f>IF(ABS($AP773)&lt;=tol_trade_inr,"PASS","FAIL")</f>
        <v/>
      </c>
    </row>
    <row r="774">
      <c r="A774" s="11" t="n">
        <v>44706</v>
      </c>
      <c r="B774" s="7" t="inlineStr">
        <is>
          <t>T03</t>
        </is>
      </c>
      <c r="C774" s="7" t="inlineStr">
        <is>
          <t>IGST:L1</t>
        </is>
      </c>
      <c r="D774" s="7" t="inlineStr">
        <is>
          <t>IGST</t>
        </is>
      </c>
      <c r="E774" s="7" t="inlineStr">
        <is>
          <t>physical</t>
        </is>
      </c>
      <c r="F774" s="7" t="inlineStr">
        <is>
          <t>L1</t>
        </is>
      </c>
      <c r="H774" s="7" t="inlineStr">
        <is>
          <t>taint_tabor</t>
        </is>
      </c>
      <c r="I774" s="7" t="inlineStr">
        <is>
          <t>JEA_NSA</t>
        </is>
      </c>
      <c r="J774" s="7" t="inlineStr">
        <is>
          <t>INR</t>
        </is>
      </c>
      <c r="K774" s="7" t="inlineStr">
        <is>
          <t>fixed_unsettled</t>
        </is>
      </c>
      <c r="L774" s="7" t="inlineStr">
        <is>
          <t>BS</t>
        </is>
      </c>
      <c r="M774" s="11" t="n">
        <v>44718</v>
      </c>
      <c r="N774" s="13" t="n">
        <v>0</v>
      </c>
      <c r="O774" s="6" t="n">
        <v>0</v>
      </c>
      <c r="P774" s="13" t="n">
        <v>0</v>
      </c>
      <c r="Q774" s="22" t="n">
        <v>31</v>
      </c>
      <c r="R774" s="6" t="n">
        <v>2</v>
      </c>
      <c r="U774" s="9" t="n">
        <v>0</v>
      </c>
      <c r="V774" s="9" t="n">
        <v>0</v>
      </c>
      <c r="X774" s="9" t="n">
        <v>77.5775</v>
      </c>
      <c r="AK774" s="7" t="inlineStr">
        <is>
          <t>PYTHON_MULTI_FLOW_LEG</t>
        </is>
      </c>
      <c r="AL774" s="8">
        <f>IF($J774="INR",1,IF($M774&lt;$A774,INDEX(Market_Daily!$F$6:$F$256,MATCH($M774,Market_Daily!$A$6:$A$256,1)),IF($M774=$A774,INDEX(Market_Daily!$F$6:$F$256,MATCH($A774,Market_Daily!$A$6:$A$256,0)),(INDEX(Market_Daily!$F$6:$F$256,MATCH($A774,Market_Daily!$A$6:$A$256,0))*(1+INDEX(Market_Daily!$I$6:$I$256,MATCH($A774,Market_Daily!$A$6:$A$256,0))*($M774-$A774)/day_count_inr)/(1+INDEX(Market_Daily!$J$6:$J$256,MATCH($A774,Market_Daily!$A$6:$A$256,0))*($M774-$A774)/day_count_usd)))))</f>
        <v/>
      </c>
      <c r="AM774" s="8">
        <f>IF(OR($J774="INR",$R774&gt;1),"",$AL774-$X774)</f>
        <v/>
      </c>
      <c r="AN774" s="8">
        <f>$U774</f>
        <v/>
      </c>
      <c r="AO774" s="8">
        <f>$V774</f>
        <v/>
      </c>
      <c r="AP774" s="18">
        <f>$AO774-$V774</f>
        <v/>
      </c>
      <c r="AQ774" s="8">
        <f>IF(ABS($AP774)&lt;=tol_trade_inr,"PASS","FAIL")</f>
        <v/>
      </c>
    </row>
    <row r="775">
      <c r="A775" s="11" t="n">
        <v>44706</v>
      </c>
      <c r="B775" s="7" t="inlineStr">
        <is>
          <t>T03</t>
        </is>
      </c>
      <c r="C775" s="7" t="inlineStr">
        <is>
          <t>IGST:L2</t>
        </is>
      </c>
      <c r="D775" s="7" t="inlineStr">
        <is>
          <t>IGST</t>
        </is>
      </c>
      <c r="E775" s="7" t="inlineStr">
        <is>
          <t>physical</t>
        </is>
      </c>
      <c r="F775" s="7" t="inlineStr">
        <is>
          <t>L2</t>
        </is>
      </c>
      <c r="H775" s="7" t="inlineStr">
        <is>
          <t>taint_tabor</t>
        </is>
      </c>
      <c r="I775" s="7" t="inlineStr">
        <is>
          <t>JEA_NSA</t>
        </is>
      </c>
      <c r="J775" s="7" t="inlineStr">
        <is>
          <t>INR</t>
        </is>
      </c>
      <c r="K775" s="7" t="inlineStr">
        <is>
          <t>fixed_unsettled</t>
        </is>
      </c>
      <c r="L775" s="7" t="inlineStr">
        <is>
          <t>BS</t>
        </is>
      </c>
      <c r="M775" s="11" t="n">
        <v>44725</v>
      </c>
      <c r="N775" s="13" t="n">
        <v>0</v>
      </c>
      <c r="O775" s="6" t="n">
        <v>0</v>
      </c>
      <c r="P775" s="13" t="n">
        <v>0</v>
      </c>
      <c r="Q775" s="22" t="n">
        <v>31</v>
      </c>
      <c r="R775" s="6" t="n">
        <v>2</v>
      </c>
      <c r="U775" s="9" t="n">
        <v>0</v>
      </c>
      <c r="V775" s="9" t="n">
        <v>0</v>
      </c>
      <c r="X775" s="9" t="n">
        <v>77.5775</v>
      </c>
      <c r="AK775" s="7" t="inlineStr">
        <is>
          <t>PYTHON_MULTI_FLOW_LEG</t>
        </is>
      </c>
      <c r="AL775" s="8">
        <f>IF($J775="INR",1,IF($M775&lt;$A775,INDEX(Market_Daily!$F$6:$F$256,MATCH($M775,Market_Daily!$A$6:$A$256,1)),IF($M775=$A775,INDEX(Market_Daily!$F$6:$F$256,MATCH($A775,Market_Daily!$A$6:$A$256,0)),(INDEX(Market_Daily!$F$6:$F$256,MATCH($A775,Market_Daily!$A$6:$A$256,0))*(1+INDEX(Market_Daily!$I$6:$I$256,MATCH($A775,Market_Daily!$A$6:$A$256,0))*($M775-$A775)/day_count_inr)/(1+INDEX(Market_Daily!$J$6:$J$256,MATCH($A775,Market_Daily!$A$6:$A$256,0))*($M775-$A775)/day_count_usd)))))</f>
        <v/>
      </c>
      <c r="AM775" s="8">
        <f>IF(OR($J775="INR",$R775&gt;1),"",$AL775-$X775)</f>
        <v/>
      </c>
      <c r="AN775" s="8">
        <f>$U775</f>
        <v/>
      </c>
      <c r="AO775" s="8">
        <f>$V775</f>
        <v/>
      </c>
      <c r="AP775" s="18">
        <f>$AO775-$V775</f>
        <v/>
      </c>
      <c r="AQ775" s="8">
        <f>IF(ABS($AP775)&lt;=tol_trade_inr,"PASS","FAIL")</f>
        <v/>
      </c>
    </row>
    <row r="776">
      <c r="A776" s="11" t="n">
        <v>44706</v>
      </c>
      <c r="B776" s="7" t="inlineStr">
        <is>
          <t>T03</t>
        </is>
      </c>
      <c r="C776" s="7" t="inlineStr">
        <is>
          <t>SALE:S1</t>
        </is>
      </c>
      <c r="D776" s="7" t="inlineStr">
        <is>
          <t>SALE</t>
        </is>
      </c>
      <c r="E776" s="7" t="inlineStr">
        <is>
          <t>physical</t>
        </is>
      </c>
      <c r="G776" s="7" t="inlineStr">
        <is>
          <t>BUY_JNPT_01</t>
        </is>
      </c>
      <c r="H776" s="7" t="inlineStr">
        <is>
          <t>taint_tabor</t>
        </is>
      </c>
      <c r="I776" s="7" t="inlineStr">
        <is>
          <t>JEA_NSA</t>
        </is>
      </c>
      <c r="J776" s="7" t="inlineStr">
        <is>
          <t>INR</t>
        </is>
      </c>
      <c r="K776" s="7" t="inlineStr">
        <is>
          <t>fixed_unsettled</t>
        </is>
      </c>
      <c r="L776" s="7" t="inlineStr">
        <is>
          <t>PNL</t>
        </is>
      </c>
      <c r="M776" s="11" t="n">
        <v>44720</v>
      </c>
      <c r="N776" s="13" t="n">
        <v>1200</v>
      </c>
      <c r="O776" s="6" t="n">
        <v>0</v>
      </c>
      <c r="P776" s="13" t="n">
        <v>0</v>
      </c>
      <c r="Q776" s="22" t="n">
        <v>31</v>
      </c>
      <c r="R776" s="6" t="n">
        <v>1</v>
      </c>
      <c r="U776" s="9" t="n">
        <v>241500000</v>
      </c>
      <c r="V776" s="9" t="n">
        <v>241500000</v>
      </c>
      <c r="W776" s="9" t="n">
        <v>201250</v>
      </c>
      <c r="X776" s="9" t="n">
        <v>77.5775</v>
      </c>
      <c r="AK776" s="7" t="inlineStr">
        <is>
          <t>PYTHON_LIFECYCLE</t>
        </is>
      </c>
      <c r="AL776" s="8">
        <f>IF($J776="INR",1,IF($M776&lt;$A776,INDEX(Market_Daily!$F$6:$F$256,MATCH($M776,Market_Daily!$A$6:$A$256,1)),IF($M776=$A776,INDEX(Market_Daily!$F$6:$F$256,MATCH($A776,Market_Daily!$A$6:$A$256,0)),(INDEX(Market_Daily!$F$6:$F$256,MATCH($A776,Market_Daily!$A$6:$A$256,0))*(1+INDEX(Market_Daily!$I$6:$I$256,MATCH($A776,Market_Daily!$A$6:$A$256,0))*($M776-$A776)/day_count_inr)/(1+INDEX(Market_Daily!$J$6:$J$256,MATCH($A776,Market_Daily!$A$6:$A$256,0))*($M776-$A776)/day_count_usd)))))</f>
        <v/>
      </c>
      <c r="AM776" s="8">
        <f>IF(OR($J776="INR",$R776&gt;1),"",$AL776-$X776)</f>
        <v/>
      </c>
      <c r="AN776" s="8">
        <f>$U776</f>
        <v/>
      </c>
      <c r="AO776" s="8">
        <f>$AN776*IF($J776="INR",1,$AL776)</f>
        <v/>
      </c>
      <c r="AP776" s="18">
        <f>$AO776-$V776</f>
        <v/>
      </c>
      <c r="AQ776" s="8">
        <f>IF(ABS($AP776)&lt;=tol_trade_inr,"PASS","FAIL")</f>
        <v/>
      </c>
    </row>
    <row r="777">
      <c r="A777" s="11" t="n">
        <v>44706</v>
      </c>
      <c r="B777" s="7" t="inlineStr">
        <is>
          <t>T04</t>
        </is>
      </c>
      <c r="C777" s="7" t="inlineStr">
        <is>
          <t>DUTY:L1</t>
        </is>
      </c>
      <c r="D777" s="7" t="inlineStr">
        <is>
          <t>DUTY</t>
        </is>
      </c>
      <c r="E777" s="7" t="inlineStr">
        <is>
          <t>physical</t>
        </is>
      </c>
      <c r="F777" s="7" t="inlineStr">
        <is>
          <t>L1</t>
        </is>
      </c>
      <c r="H777" s="7" t="inlineStr">
        <is>
          <t>taint_tabor</t>
        </is>
      </c>
      <c r="I777" s="7" t="inlineStr">
        <is>
          <t>USEC_MUN</t>
        </is>
      </c>
      <c r="J777" s="7" t="inlineStr">
        <is>
          <t>INR</t>
        </is>
      </c>
      <c r="K777" s="7" t="inlineStr">
        <is>
          <t>floating</t>
        </is>
      </c>
      <c r="L777" s="7" t="inlineStr">
        <is>
          <t>PNL</t>
        </is>
      </c>
      <c r="M777" s="11" t="n">
        <v>44719</v>
      </c>
      <c r="N777" s="13" t="n">
        <v>630</v>
      </c>
      <c r="O777" s="6" t="n">
        <v>0</v>
      </c>
      <c r="P777" s="13" t="n">
        <v>0</v>
      </c>
      <c r="Q777" s="22" t="n">
        <v>31</v>
      </c>
      <c r="R777" s="6" t="n">
        <v>1</v>
      </c>
      <c r="U777" s="9" t="n">
        <v>-3415572.68</v>
      </c>
      <c r="V777" s="9" t="n">
        <v>-3415572.68</v>
      </c>
      <c r="X777" s="9" t="n">
        <v>77.5775</v>
      </c>
      <c r="AK777" s="7" t="inlineStr">
        <is>
          <t>PYTHON_LIFECYCLE</t>
        </is>
      </c>
      <c r="AL777" s="8">
        <f>IF($J777="INR",1,IF($M777&lt;$A777,INDEX(Market_Daily!$F$6:$F$256,MATCH($M777,Market_Daily!$A$6:$A$256,1)),IF($M777=$A777,INDEX(Market_Daily!$F$6:$F$256,MATCH($A777,Market_Daily!$A$6:$A$256,0)),(INDEX(Market_Daily!$F$6:$F$256,MATCH($A777,Market_Daily!$A$6:$A$256,0))*(1+INDEX(Market_Daily!$I$6:$I$256,MATCH($A777,Market_Daily!$A$6:$A$256,0))*($M777-$A777)/day_count_inr)/(1+INDEX(Market_Daily!$J$6:$J$256,MATCH($A777,Market_Daily!$A$6:$A$256,0))*($M777-$A777)/day_count_usd)))))</f>
        <v/>
      </c>
      <c r="AM777" s="8">
        <f>IF(OR($J777="INR",$R777&gt;1),"",$AL777-$X777)</f>
        <v/>
      </c>
      <c r="AN777" s="8">
        <f>$U777</f>
        <v/>
      </c>
      <c r="AO777" s="8">
        <f>$AN777*IF($J777="INR",1,$AL777)</f>
        <v/>
      </c>
      <c r="AP777" s="18">
        <f>$AO777-$V777</f>
        <v/>
      </c>
      <c r="AQ777" s="8">
        <f>IF(ABS($AP777)&lt;=tol_trade_inr,"PASS","FAIL")</f>
        <v/>
      </c>
    </row>
    <row r="778">
      <c r="A778" s="11" t="n">
        <v>44706</v>
      </c>
      <c r="B778" s="7" t="inlineStr">
        <is>
          <t>T04</t>
        </is>
      </c>
      <c r="C778" s="7" t="inlineStr">
        <is>
          <t>DUTY:L2</t>
        </is>
      </c>
      <c r="D778" s="7" t="inlineStr">
        <is>
          <t>DUTY</t>
        </is>
      </c>
      <c r="E778" s="7" t="inlineStr">
        <is>
          <t>physical</t>
        </is>
      </c>
      <c r="F778" s="7" t="inlineStr">
        <is>
          <t>L2</t>
        </is>
      </c>
      <c r="H778" s="7" t="inlineStr">
        <is>
          <t>taint_tabor</t>
        </is>
      </c>
      <c r="I778" s="7" t="inlineStr">
        <is>
          <t>USEC_MUN</t>
        </is>
      </c>
      <c r="J778" s="7" t="inlineStr">
        <is>
          <t>INR</t>
        </is>
      </c>
      <c r="K778" s="7" t="inlineStr">
        <is>
          <t>floating</t>
        </is>
      </c>
      <c r="L778" s="7" t="inlineStr">
        <is>
          <t>PNL</t>
        </is>
      </c>
      <c r="M778" s="11" t="n">
        <v>44726</v>
      </c>
      <c r="N778" s="13" t="n">
        <v>630</v>
      </c>
      <c r="O778" s="6" t="n">
        <v>0</v>
      </c>
      <c r="P778" s="13" t="n">
        <v>0</v>
      </c>
      <c r="Q778" s="22" t="n">
        <v>31</v>
      </c>
      <c r="R778" s="6" t="n">
        <v>1</v>
      </c>
      <c r="U778" s="9" t="n">
        <v>-3415572.68</v>
      </c>
      <c r="V778" s="9" t="n">
        <v>-3415572.68</v>
      </c>
      <c r="X778" s="9" t="n">
        <v>77.5775</v>
      </c>
      <c r="AK778" s="7" t="inlineStr">
        <is>
          <t>PYTHON_LIFECYCLE</t>
        </is>
      </c>
      <c r="AL778" s="8">
        <f>IF($J778="INR",1,IF($M778&lt;$A778,INDEX(Market_Daily!$F$6:$F$256,MATCH($M778,Market_Daily!$A$6:$A$256,1)),IF($M778=$A778,INDEX(Market_Daily!$F$6:$F$256,MATCH($A778,Market_Daily!$A$6:$A$256,0)),(INDEX(Market_Daily!$F$6:$F$256,MATCH($A778,Market_Daily!$A$6:$A$256,0))*(1+INDEX(Market_Daily!$I$6:$I$256,MATCH($A778,Market_Daily!$A$6:$A$256,0))*($M778-$A778)/day_count_inr)/(1+INDEX(Market_Daily!$J$6:$J$256,MATCH($A778,Market_Daily!$A$6:$A$256,0))*($M778-$A778)/day_count_usd)))))</f>
        <v/>
      </c>
      <c r="AM778" s="8">
        <f>IF(OR($J778="INR",$R778&gt;1),"",$AL778-$X778)</f>
        <v/>
      </c>
      <c r="AN778" s="8">
        <f>$U778</f>
        <v/>
      </c>
      <c r="AO778" s="8">
        <f>$AN778*IF($J778="INR",1,$AL778)</f>
        <v/>
      </c>
      <c r="AP778" s="18">
        <f>$AO778-$V778</f>
        <v/>
      </c>
      <c r="AQ778" s="8">
        <f>IF(ABS($AP778)&lt;=tol_trade_inr,"PASS","FAIL")</f>
        <v/>
      </c>
    </row>
    <row r="779">
      <c r="A779" s="11" t="n">
        <v>44706</v>
      </c>
      <c r="B779" s="7" t="inlineStr">
        <is>
          <t>T04</t>
        </is>
      </c>
      <c r="C779" s="7" t="inlineStr">
        <is>
          <t>IGST:L1</t>
        </is>
      </c>
      <c r="D779" s="7" t="inlineStr">
        <is>
          <t>IGST</t>
        </is>
      </c>
      <c r="E779" s="7" t="inlineStr">
        <is>
          <t>physical</t>
        </is>
      </c>
      <c r="F779" s="7" t="inlineStr">
        <is>
          <t>L1</t>
        </is>
      </c>
      <c r="H779" s="7" t="inlineStr">
        <is>
          <t>taint_tabor</t>
        </is>
      </c>
      <c r="I779" s="7" t="inlineStr">
        <is>
          <t>USEC_MUN</t>
        </is>
      </c>
      <c r="J779" s="7" t="inlineStr">
        <is>
          <t>INR</t>
        </is>
      </c>
      <c r="K779" s="7" t="inlineStr">
        <is>
          <t>floating</t>
        </is>
      </c>
      <c r="L779" s="7" t="inlineStr">
        <is>
          <t>BS</t>
        </is>
      </c>
      <c r="M779" s="11" t="n">
        <v>44764</v>
      </c>
      <c r="N779" s="13" t="n">
        <v>0</v>
      </c>
      <c r="O779" s="6" t="n">
        <v>0</v>
      </c>
      <c r="P779" s="13" t="n">
        <v>0</v>
      </c>
      <c r="Q779" s="22" t="n">
        <v>31</v>
      </c>
      <c r="R779" s="6" t="n">
        <v>2</v>
      </c>
      <c r="U779" s="9" t="n">
        <v>0</v>
      </c>
      <c r="V779" s="9" t="n">
        <v>0</v>
      </c>
      <c r="X779" s="9" t="n">
        <v>77.5775</v>
      </c>
      <c r="AK779" s="7" t="inlineStr">
        <is>
          <t>PYTHON_MULTI_FLOW_LEG</t>
        </is>
      </c>
      <c r="AL779" s="8">
        <f>IF($J779="INR",1,IF($M779&lt;$A779,INDEX(Market_Daily!$F$6:$F$256,MATCH($M779,Market_Daily!$A$6:$A$256,1)),IF($M779=$A779,INDEX(Market_Daily!$F$6:$F$256,MATCH($A779,Market_Daily!$A$6:$A$256,0)),(INDEX(Market_Daily!$F$6:$F$256,MATCH($A779,Market_Daily!$A$6:$A$256,0))*(1+INDEX(Market_Daily!$I$6:$I$256,MATCH($A779,Market_Daily!$A$6:$A$256,0))*($M779-$A779)/day_count_inr)/(1+INDEX(Market_Daily!$J$6:$J$256,MATCH($A779,Market_Daily!$A$6:$A$256,0))*($M779-$A779)/day_count_usd)))))</f>
        <v/>
      </c>
      <c r="AM779" s="8">
        <f>IF(OR($J779="INR",$R779&gt;1),"",$AL779-$X779)</f>
        <v/>
      </c>
      <c r="AN779" s="8">
        <f>$U779</f>
        <v/>
      </c>
      <c r="AO779" s="8">
        <f>$V779</f>
        <v/>
      </c>
      <c r="AP779" s="18">
        <f>$AO779-$V779</f>
        <v/>
      </c>
      <c r="AQ779" s="8">
        <f>IF(ABS($AP779)&lt;=tol_trade_inr,"PASS","FAIL")</f>
        <v/>
      </c>
    </row>
    <row r="780">
      <c r="A780" s="11" t="n">
        <v>44706</v>
      </c>
      <c r="B780" s="7" t="inlineStr">
        <is>
          <t>T04</t>
        </is>
      </c>
      <c r="C780" s="7" t="inlineStr">
        <is>
          <t>IGST:L2</t>
        </is>
      </c>
      <c r="D780" s="7" t="inlineStr">
        <is>
          <t>IGST</t>
        </is>
      </c>
      <c r="E780" s="7" t="inlineStr">
        <is>
          <t>physical</t>
        </is>
      </c>
      <c r="F780" s="7" t="inlineStr">
        <is>
          <t>L2</t>
        </is>
      </c>
      <c r="H780" s="7" t="inlineStr">
        <is>
          <t>taint_tabor</t>
        </is>
      </c>
      <c r="I780" s="7" t="inlineStr">
        <is>
          <t>USEC_MUN</t>
        </is>
      </c>
      <c r="J780" s="7" t="inlineStr">
        <is>
          <t>INR</t>
        </is>
      </c>
      <c r="K780" s="7" t="inlineStr">
        <is>
          <t>floating</t>
        </is>
      </c>
      <c r="L780" s="7" t="inlineStr">
        <is>
          <t>BS</t>
        </is>
      </c>
      <c r="M780" s="11" t="n">
        <v>44771</v>
      </c>
      <c r="N780" s="13" t="n">
        <v>0</v>
      </c>
      <c r="O780" s="6" t="n">
        <v>0</v>
      </c>
      <c r="P780" s="13" t="n">
        <v>0</v>
      </c>
      <c r="Q780" s="22" t="n">
        <v>31</v>
      </c>
      <c r="R780" s="6" t="n">
        <v>2</v>
      </c>
      <c r="U780" s="9" t="n">
        <v>0</v>
      </c>
      <c r="V780" s="9" t="n">
        <v>0</v>
      </c>
      <c r="X780" s="9" t="n">
        <v>77.5775</v>
      </c>
      <c r="AK780" s="7" t="inlineStr">
        <is>
          <t>PYTHON_MULTI_FLOW_LEG</t>
        </is>
      </c>
      <c r="AL780" s="8">
        <f>IF($J780="INR",1,IF($M780&lt;$A780,INDEX(Market_Daily!$F$6:$F$256,MATCH($M780,Market_Daily!$A$6:$A$256,1)),IF($M780=$A780,INDEX(Market_Daily!$F$6:$F$256,MATCH($A780,Market_Daily!$A$6:$A$256,0)),(INDEX(Market_Daily!$F$6:$F$256,MATCH($A780,Market_Daily!$A$6:$A$256,0))*(1+INDEX(Market_Daily!$I$6:$I$256,MATCH($A780,Market_Daily!$A$6:$A$256,0))*($M780-$A780)/day_count_inr)/(1+INDEX(Market_Daily!$J$6:$J$256,MATCH($A780,Market_Daily!$A$6:$A$256,0))*($M780-$A780)/day_count_usd)))))</f>
        <v/>
      </c>
      <c r="AM780" s="8">
        <f>IF(OR($J780="INR",$R780&gt;1),"",$AL780-$X780)</f>
        <v/>
      </c>
      <c r="AN780" s="8">
        <f>$U780</f>
        <v/>
      </c>
      <c r="AO780" s="8">
        <f>$V780</f>
        <v/>
      </c>
      <c r="AP780" s="18">
        <f>$AO780-$V780</f>
        <v/>
      </c>
      <c r="AQ780" s="8">
        <f>IF(ABS($AP780)&lt;=tol_trade_inr,"PASS","FAIL")</f>
        <v/>
      </c>
    </row>
    <row r="781">
      <c r="A781" s="11" t="n">
        <v>44706</v>
      </c>
      <c r="B781" s="7" t="inlineStr">
        <is>
          <t>T04</t>
        </is>
      </c>
      <c r="C781" s="7" t="inlineStr">
        <is>
          <t>PORT:L1</t>
        </is>
      </c>
      <c r="D781" s="7" t="inlineStr">
        <is>
          <t>PORT</t>
        </is>
      </c>
      <c r="E781" s="7" t="inlineStr">
        <is>
          <t>physical</t>
        </is>
      </c>
      <c r="F781" s="7" t="inlineStr">
        <is>
          <t>L1</t>
        </is>
      </c>
      <c r="H781" s="7" t="inlineStr">
        <is>
          <t>taint_tabor</t>
        </is>
      </c>
      <c r="I781" s="7" t="inlineStr">
        <is>
          <t>USEC_MUN</t>
        </is>
      </c>
      <c r="J781" s="7" t="inlineStr">
        <is>
          <t>INR</t>
        </is>
      </c>
      <c r="K781" s="7" t="inlineStr">
        <is>
          <t>fixed_unsettled</t>
        </is>
      </c>
      <c r="L781" s="7" t="inlineStr">
        <is>
          <t>PNL</t>
        </is>
      </c>
      <c r="M781" s="11" t="n">
        <v>44728</v>
      </c>
      <c r="N781" s="13" t="n">
        <v>0</v>
      </c>
      <c r="O781" s="6" t="n">
        <v>0</v>
      </c>
      <c r="P781" s="13" t="n">
        <v>0</v>
      </c>
      <c r="Q781" s="22" t="n">
        <v>31</v>
      </c>
      <c r="R781" s="6" t="n">
        <v>1</v>
      </c>
      <c r="U781" s="9" t="n">
        <v>-1669500</v>
      </c>
      <c r="V781" s="9" t="n">
        <v>-1669500</v>
      </c>
      <c r="X781" s="9" t="n">
        <v>77.5775</v>
      </c>
      <c r="AK781" s="7" t="inlineStr">
        <is>
          <t>PYTHON_LIFECYCLE</t>
        </is>
      </c>
      <c r="AL781" s="8">
        <f>IF($J781="INR",1,IF($M781&lt;$A781,INDEX(Market_Daily!$F$6:$F$256,MATCH($M781,Market_Daily!$A$6:$A$256,1)),IF($M781=$A781,INDEX(Market_Daily!$F$6:$F$256,MATCH($A781,Market_Daily!$A$6:$A$256,0)),(INDEX(Market_Daily!$F$6:$F$256,MATCH($A781,Market_Daily!$A$6:$A$256,0))*(1+INDEX(Market_Daily!$I$6:$I$256,MATCH($A781,Market_Daily!$A$6:$A$256,0))*($M781-$A781)/day_count_inr)/(1+INDEX(Market_Daily!$J$6:$J$256,MATCH($A781,Market_Daily!$A$6:$A$256,0))*($M781-$A781)/day_count_usd)))))</f>
        <v/>
      </c>
      <c r="AM781" s="8">
        <f>IF(OR($J781="INR",$R781&gt;1),"",$AL781-$X781)</f>
        <v/>
      </c>
      <c r="AN781" s="8">
        <f>$U781</f>
        <v/>
      </c>
      <c r="AO781" s="8">
        <f>$AN781*IF($J781="INR",1,$AL781)</f>
        <v/>
      </c>
      <c r="AP781" s="18">
        <f>$AO781-$V781</f>
        <v/>
      </c>
      <c r="AQ781" s="8">
        <f>IF(ABS($AP781)&lt;=tol_trade_inr,"PASS","FAIL")</f>
        <v/>
      </c>
    </row>
    <row r="782">
      <c r="A782" s="11" t="n">
        <v>44706</v>
      </c>
      <c r="B782" s="7" t="inlineStr">
        <is>
          <t>T04</t>
        </is>
      </c>
      <c r="C782" s="7" t="inlineStr">
        <is>
          <t>PORT:L2</t>
        </is>
      </c>
      <c r="D782" s="7" t="inlineStr">
        <is>
          <t>PORT</t>
        </is>
      </c>
      <c r="E782" s="7" t="inlineStr">
        <is>
          <t>physical</t>
        </is>
      </c>
      <c r="F782" s="7" t="inlineStr">
        <is>
          <t>L2</t>
        </is>
      </c>
      <c r="H782" s="7" t="inlineStr">
        <is>
          <t>taint_tabor</t>
        </is>
      </c>
      <c r="I782" s="7" t="inlineStr">
        <is>
          <t>USEC_MUN</t>
        </is>
      </c>
      <c r="J782" s="7" t="inlineStr">
        <is>
          <t>INR</t>
        </is>
      </c>
      <c r="K782" s="7" t="inlineStr">
        <is>
          <t>fixed_unsettled</t>
        </is>
      </c>
      <c r="L782" s="7" t="inlineStr">
        <is>
          <t>PNL</t>
        </is>
      </c>
      <c r="M782" s="11" t="n">
        <v>44735</v>
      </c>
      <c r="N782" s="13" t="n">
        <v>0</v>
      </c>
      <c r="O782" s="6" t="n">
        <v>0</v>
      </c>
      <c r="P782" s="13" t="n">
        <v>0</v>
      </c>
      <c r="Q782" s="22" t="n">
        <v>31</v>
      </c>
      <c r="R782" s="6" t="n">
        <v>1</v>
      </c>
      <c r="U782" s="9" t="n">
        <v>-1669500</v>
      </c>
      <c r="V782" s="9" t="n">
        <v>-1669500</v>
      </c>
      <c r="X782" s="9" t="n">
        <v>77.5775</v>
      </c>
      <c r="AK782" s="7" t="inlineStr">
        <is>
          <t>PYTHON_LIFECYCLE</t>
        </is>
      </c>
      <c r="AL782" s="8">
        <f>IF($J782="INR",1,IF($M782&lt;$A782,INDEX(Market_Daily!$F$6:$F$256,MATCH($M782,Market_Daily!$A$6:$A$256,1)),IF($M782=$A782,INDEX(Market_Daily!$F$6:$F$256,MATCH($A782,Market_Daily!$A$6:$A$256,0)),(INDEX(Market_Daily!$F$6:$F$256,MATCH($A782,Market_Daily!$A$6:$A$256,0))*(1+INDEX(Market_Daily!$I$6:$I$256,MATCH($A782,Market_Daily!$A$6:$A$256,0))*($M782-$A782)/day_count_inr)/(1+INDEX(Market_Daily!$J$6:$J$256,MATCH($A782,Market_Daily!$A$6:$A$256,0))*($M782-$A782)/day_count_usd)))))</f>
        <v/>
      </c>
      <c r="AM782" s="8">
        <f>IF(OR($J782="INR",$R782&gt;1),"",$AL782-$X782)</f>
        <v/>
      </c>
      <c r="AN782" s="8">
        <f>$U782</f>
        <v/>
      </c>
      <c r="AO782" s="8">
        <f>$AN782*IF($J782="INR",1,$AL782)</f>
        <v/>
      </c>
      <c r="AP782" s="18">
        <f>$AO782-$V782</f>
        <v/>
      </c>
      <c r="AQ782" s="8">
        <f>IF(ABS($AP782)&lt;=tol_trade_inr,"PASS","FAIL")</f>
        <v/>
      </c>
    </row>
    <row r="783">
      <c r="A783" s="11" t="n">
        <v>44706</v>
      </c>
      <c r="B783" s="7" t="inlineStr">
        <is>
          <t>T04</t>
        </is>
      </c>
      <c r="C783" s="7" t="inlineStr">
        <is>
          <t>SALE:S1</t>
        </is>
      </c>
      <c r="D783" s="7" t="inlineStr">
        <is>
          <t>SALE</t>
        </is>
      </c>
      <c r="E783" s="7" t="inlineStr">
        <is>
          <t>physical</t>
        </is>
      </c>
      <c r="G783" s="7" t="inlineStr">
        <is>
          <t>BUY_RJK_01</t>
        </is>
      </c>
      <c r="H783" s="7" t="inlineStr">
        <is>
          <t>taint_tabor</t>
        </is>
      </c>
      <c r="I783" s="7" t="inlineStr">
        <is>
          <t>USEC_MUN</t>
        </is>
      </c>
      <c r="J783" s="7" t="inlineStr">
        <is>
          <t>INR</t>
        </is>
      </c>
      <c r="K783" s="7" t="inlineStr">
        <is>
          <t>floating</t>
        </is>
      </c>
      <c r="L783" s="7" t="inlineStr">
        <is>
          <t>PNL</t>
        </is>
      </c>
      <c r="M783" s="11" t="n">
        <v>44767</v>
      </c>
      <c r="N783" s="13" t="n">
        <v>2520</v>
      </c>
      <c r="O783" s="6" t="n">
        <v>0</v>
      </c>
      <c r="P783" s="13" t="n">
        <v>0</v>
      </c>
      <c r="Q783" s="22" t="n">
        <v>31</v>
      </c>
      <c r="R783" s="6" t="n">
        <v>2</v>
      </c>
      <c r="U783" s="9" t="n">
        <v>245070000</v>
      </c>
      <c r="V783" s="9" t="n">
        <v>245070000</v>
      </c>
      <c r="W783" s="9" t="n">
        <v>194500</v>
      </c>
      <c r="X783" s="9" t="n">
        <v>77.5775</v>
      </c>
      <c r="AK783" s="7" t="inlineStr">
        <is>
          <t>PYTHON_MULTI_FLOW_LEG</t>
        </is>
      </c>
      <c r="AL783" s="8">
        <f>IF($J783="INR",1,IF($M783&lt;$A783,INDEX(Market_Daily!$F$6:$F$256,MATCH($M783,Market_Daily!$A$6:$A$256,1)),IF($M783=$A783,INDEX(Market_Daily!$F$6:$F$256,MATCH($A783,Market_Daily!$A$6:$A$256,0)),(INDEX(Market_Daily!$F$6:$F$256,MATCH($A783,Market_Daily!$A$6:$A$256,0))*(1+INDEX(Market_Daily!$I$6:$I$256,MATCH($A783,Market_Daily!$A$6:$A$256,0))*($M783-$A783)/day_count_inr)/(1+INDEX(Market_Daily!$J$6:$J$256,MATCH($A783,Market_Daily!$A$6:$A$256,0))*($M783-$A783)/day_count_usd)))))</f>
        <v/>
      </c>
      <c r="AM783" s="8">
        <f>IF(OR($J783="INR",$R783&gt;1),"",$AL783-$X783)</f>
        <v/>
      </c>
      <c r="AN783" s="8">
        <f>$U783</f>
        <v/>
      </c>
      <c r="AO783" s="8">
        <f>$V783</f>
        <v/>
      </c>
      <c r="AP783" s="18">
        <f>$AO783-$V783</f>
        <v/>
      </c>
      <c r="AQ783" s="8">
        <f>IF(ABS($AP783)&lt;=tol_trade_inr,"PASS","FAIL")</f>
        <v/>
      </c>
    </row>
    <row r="784">
      <c r="A784" s="11" t="n">
        <v>44706</v>
      </c>
      <c r="B784" s="7" t="inlineStr">
        <is>
          <t>T05</t>
        </is>
      </c>
      <c r="C784" s="7" t="inlineStr">
        <is>
          <t>BILL_COMMISSION:L1</t>
        </is>
      </c>
      <c r="D784" s="7" t="inlineStr">
        <is>
          <t>BILL_COMMISSION</t>
        </is>
      </c>
      <c r="E784" s="7" t="inlineStr">
        <is>
          <t>physical</t>
        </is>
      </c>
      <c r="F784" s="7" t="inlineStr">
        <is>
          <t>L1</t>
        </is>
      </c>
      <c r="H784" s="7" t="inlineStr">
        <is>
          <t>tense</t>
        </is>
      </c>
      <c r="I784" s="7" t="inlineStr">
        <is>
          <t>USEC_MUN</t>
        </is>
      </c>
      <c r="J784" s="7" t="inlineStr">
        <is>
          <t>USD</t>
        </is>
      </c>
      <c r="K784" s="7" t="inlineStr">
        <is>
          <t>floating</t>
        </is>
      </c>
      <c r="L784" s="7" t="inlineStr">
        <is>
          <t>PNL</t>
        </is>
      </c>
      <c r="M784" s="11" t="n">
        <v>44753</v>
      </c>
      <c r="N784" s="13" t="n">
        <v>0</v>
      </c>
      <c r="O784" s="6" t="n">
        <v>0</v>
      </c>
      <c r="P784" s="13" t="n">
        <v>0</v>
      </c>
      <c r="Q784" s="22" t="n">
        <v>31</v>
      </c>
      <c r="R784" s="6" t="n">
        <v>1</v>
      </c>
      <c r="U784" s="9" t="n">
        <v>-2249.47</v>
      </c>
      <c r="V784" s="9" t="n">
        <v>-175330.31</v>
      </c>
      <c r="X784" s="9" t="n">
        <v>77.943</v>
      </c>
      <c r="AK784" s="7" t="inlineStr">
        <is>
          <t>PYTHON_LIFECYCLE</t>
        </is>
      </c>
      <c r="AL784" s="8">
        <f>IF($J784="INR",1,IF($M784&lt;$A784,INDEX(Market_Daily!$F$6:$F$256,MATCH($M784,Market_Daily!$A$6:$A$256,1)),IF($M784=$A784,INDEX(Market_Daily!$F$6:$F$256,MATCH($A784,Market_Daily!$A$6:$A$256,0)),(INDEX(Market_Daily!$F$6:$F$256,MATCH($A784,Market_Daily!$A$6:$A$256,0))*(1+INDEX(Market_Daily!$I$6:$I$256,MATCH($A784,Market_Daily!$A$6:$A$256,0))*($M784-$A784)/day_count_inr)/(1+INDEX(Market_Daily!$J$6:$J$256,MATCH($A784,Market_Daily!$A$6:$A$256,0))*($M784-$A784)/day_count_usd)))))</f>
        <v/>
      </c>
      <c r="AM784" s="8">
        <f>IF(OR($J784="INR",$R784&gt;1),"",$AL784-$X784)</f>
        <v/>
      </c>
      <c r="AN784" s="8">
        <f>$U784</f>
        <v/>
      </c>
      <c r="AO784" s="8">
        <f>$AN784*IF($J784="INR",1,$AL784)</f>
        <v/>
      </c>
      <c r="AP784" s="18">
        <f>$AO784-$V784</f>
        <v/>
      </c>
      <c r="AQ784" s="8">
        <f>IF(ABS($AP784)&lt;=tol_trade_inr,"PASS","FAIL")</f>
        <v/>
      </c>
    </row>
    <row r="785">
      <c r="A785" s="11" t="n">
        <v>44706</v>
      </c>
      <c r="B785" s="7" t="inlineStr">
        <is>
          <t>T05</t>
        </is>
      </c>
      <c r="C785" s="7" t="inlineStr">
        <is>
          <t>BILL_COMMISSION:L2</t>
        </is>
      </c>
      <c r="D785" s="7" t="inlineStr">
        <is>
          <t>BILL_COMMISSION</t>
        </is>
      </c>
      <c r="E785" s="7" t="inlineStr">
        <is>
          <t>physical</t>
        </is>
      </c>
      <c r="F785" s="7" t="inlineStr">
        <is>
          <t>L2</t>
        </is>
      </c>
      <c r="H785" s="7" t="inlineStr">
        <is>
          <t>tense</t>
        </is>
      </c>
      <c r="I785" s="7" t="inlineStr">
        <is>
          <t>USEC_MUN</t>
        </is>
      </c>
      <c r="J785" s="7" t="inlineStr">
        <is>
          <t>USD</t>
        </is>
      </c>
      <c r="K785" s="7" t="inlineStr">
        <is>
          <t>floating</t>
        </is>
      </c>
      <c r="L785" s="7" t="inlineStr">
        <is>
          <t>PNL</t>
        </is>
      </c>
      <c r="M785" s="11" t="n">
        <v>44760</v>
      </c>
      <c r="N785" s="13" t="n">
        <v>0</v>
      </c>
      <c r="O785" s="6" t="n">
        <v>0</v>
      </c>
      <c r="P785" s="13" t="n">
        <v>0</v>
      </c>
      <c r="Q785" s="22" t="n">
        <v>31</v>
      </c>
      <c r="R785" s="6" t="n">
        <v>1</v>
      </c>
      <c r="U785" s="9" t="n">
        <v>-2390.64</v>
      </c>
      <c r="V785" s="9" t="n">
        <v>-186463.43</v>
      </c>
      <c r="X785" s="9" t="n">
        <v>77.9974</v>
      </c>
      <c r="AK785" s="7" t="inlineStr">
        <is>
          <t>PYTHON_LIFECYCLE</t>
        </is>
      </c>
      <c r="AL785" s="8">
        <f>IF($J785="INR",1,IF($M785&lt;$A785,INDEX(Market_Daily!$F$6:$F$256,MATCH($M785,Market_Daily!$A$6:$A$256,1)),IF($M785=$A785,INDEX(Market_Daily!$F$6:$F$256,MATCH($A785,Market_Daily!$A$6:$A$256,0)),(INDEX(Market_Daily!$F$6:$F$256,MATCH($A785,Market_Daily!$A$6:$A$256,0))*(1+INDEX(Market_Daily!$I$6:$I$256,MATCH($A785,Market_Daily!$A$6:$A$256,0))*($M785-$A785)/day_count_inr)/(1+INDEX(Market_Daily!$J$6:$J$256,MATCH($A785,Market_Daily!$A$6:$A$256,0))*($M785-$A785)/day_count_usd)))))</f>
        <v/>
      </c>
      <c r="AM785" s="8">
        <f>IF(OR($J785="INR",$R785&gt;1),"",$AL785-$X785)</f>
        <v/>
      </c>
      <c r="AN785" s="8">
        <f>$U785</f>
        <v/>
      </c>
      <c r="AO785" s="8">
        <f>$AN785*IF($J785="INR",1,$AL785)</f>
        <v/>
      </c>
      <c r="AP785" s="18">
        <f>$AO785-$V785</f>
        <v/>
      </c>
      <c r="AQ785" s="8">
        <f>IF(ABS($AP785)&lt;=tol_trade_inr,"PASS","FAIL")</f>
        <v/>
      </c>
    </row>
    <row r="786">
      <c r="A786" s="11" t="n">
        <v>44706</v>
      </c>
      <c r="B786" s="7" t="inlineStr">
        <is>
          <t>T05</t>
        </is>
      </c>
      <c r="C786" s="7" t="inlineStr">
        <is>
          <t>DUTY:L1</t>
        </is>
      </c>
      <c r="D786" s="7" t="inlineStr">
        <is>
          <t>DUTY</t>
        </is>
      </c>
      <c r="E786" s="7" t="inlineStr">
        <is>
          <t>physical</t>
        </is>
      </c>
      <c r="F786" s="7" t="inlineStr">
        <is>
          <t>L1</t>
        </is>
      </c>
      <c r="H786" s="7" t="inlineStr">
        <is>
          <t>tense</t>
        </is>
      </c>
      <c r="I786" s="7" t="inlineStr">
        <is>
          <t>USEC_MUN</t>
        </is>
      </c>
      <c r="J786" s="7" t="inlineStr">
        <is>
          <t>INR</t>
        </is>
      </c>
      <c r="K786" s="7" t="inlineStr">
        <is>
          <t>floating</t>
        </is>
      </c>
      <c r="L786" s="7" t="inlineStr">
        <is>
          <t>PNL</t>
        </is>
      </c>
      <c r="M786" s="11" t="n">
        <v>44749</v>
      </c>
      <c r="N786" s="13" t="n">
        <v>1050</v>
      </c>
      <c r="O786" s="6" t="n">
        <v>0</v>
      </c>
      <c r="P786" s="13" t="n">
        <v>0</v>
      </c>
      <c r="Q786" s="22" t="n">
        <v>31</v>
      </c>
      <c r="R786" s="6" t="n">
        <v>2</v>
      </c>
      <c r="U786" s="9" t="n">
        <v>-4524400.47</v>
      </c>
      <c r="V786" s="9" t="n">
        <v>-4524400.47</v>
      </c>
      <c r="X786" s="9" t="n">
        <v>77.5775</v>
      </c>
      <c r="AK786" s="7" t="inlineStr">
        <is>
          <t>PYTHON_MULTI_FLOW_LEG</t>
        </is>
      </c>
      <c r="AL786" s="8">
        <f>IF($J786="INR",1,IF($M786&lt;$A786,INDEX(Market_Daily!$F$6:$F$256,MATCH($M786,Market_Daily!$A$6:$A$256,1)),IF($M786=$A786,INDEX(Market_Daily!$F$6:$F$256,MATCH($A786,Market_Daily!$A$6:$A$256,0)),(INDEX(Market_Daily!$F$6:$F$256,MATCH($A786,Market_Daily!$A$6:$A$256,0))*(1+INDEX(Market_Daily!$I$6:$I$256,MATCH($A786,Market_Daily!$A$6:$A$256,0))*($M786-$A786)/day_count_inr)/(1+INDEX(Market_Daily!$J$6:$J$256,MATCH($A786,Market_Daily!$A$6:$A$256,0))*($M786-$A786)/day_count_usd)))))</f>
        <v/>
      </c>
      <c r="AM786" s="8">
        <f>IF(OR($J786="INR",$R786&gt;1),"",$AL786-$X786)</f>
        <v/>
      </c>
      <c r="AN786" s="8">
        <f>$U786</f>
        <v/>
      </c>
      <c r="AO786" s="8">
        <f>$V786</f>
        <v/>
      </c>
      <c r="AP786" s="18">
        <f>$AO786-$V786</f>
        <v/>
      </c>
      <c r="AQ786" s="8">
        <f>IF(ABS($AP786)&lt;=tol_trade_inr,"PASS","FAIL")</f>
        <v/>
      </c>
    </row>
    <row r="787">
      <c r="A787" s="11" t="n">
        <v>44706</v>
      </c>
      <c r="B787" s="7" t="inlineStr">
        <is>
          <t>T05</t>
        </is>
      </c>
      <c r="C787" s="7" t="inlineStr">
        <is>
          <t>DUTY:L2</t>
        </is>
      </c>
      <c r="D787" s="7" t="inlineStr">
        <is>
          <t>DUTY</t>
        </is>
      </c>
      <c r="E787" s="7" t="inlineStr">
        <is>
          <t>physical</t>
        </is>
      </c>
      <c r="F787" s="7" t="inlineStr">
        <is>
          <t>L2</t>
        </is>
      </c>
      <c r="H787" s="7" t="inlineStr">
        <is>
          <t>tense</t>
        </is>
      </c>
      <c r="I787" s="7" t="inlineStr">
        <is>
          <t>USEC_MUN</t>
        </is>
      </c>
      <c r="J787" s="7" t="inlineStr">
        <is>
          <t>INR</t>
        </is>
      </c>
      <c r="K787" s="7" t="inlineStr">
        <is>
          <t>floating</t>
        </is>
      </c>
      <c r="L787" s="7" t="inlineStr">
        <is>
          <t>PNL</t>
        </is>
      </c>
      <c r="M787" s="11" t="n">
        <v>44749</v>
      </c>
      <c r="N787" s="13" t="n">
        <v>1050</v>
      </c>
      <c r="O787" s="6" t="n">
        <v>0</v>
      </c>
      <c r="P787" s="13" t="n">
        <v>0</v>
      </c>
      <c r="Q787" s="22" t="n">
        <v>31</v>
      </c>
      <c r="R787" s="6" t="n">
        <v>2</v>
      </c>
      <c r="U787" s="9" t="n">
        <v>-4524400.47</v>
      </c>
      <c r="V787" s="9" t="n">
        <v>-4524400.47</v>
      </c>
      <c r="X787" s="9" t="n">
        <v>77.5775</v>
      </c>
      <c r="AK787" s="7" t="inlineStr">
        <is>
          <t>PYTHON_MULTI_FLOW_LEG</t>
        </is>
      </c>
      <c r="AL787" s="8">
        <f>IF($J787="INR",1,IF($M787&lt;$A787,INDEX(Market_Daily!$F$6:$F$256,MATCH($M787,Market_Daily!$A$6:$A$256,1)),IF($M787=$A787,INDEX(Market_Daily!$F$6:$F$256,MATCH($A787,Market_Daily!$A$6:$A$256,0)),(INDEX(Market_Daily!$F$6:$F$256,MATCH($A787,Market_Daily!$A$6:$A$256,0))*(1+INDEX(Market_Daily!$I$6:$I$256,MATCH($A787,Market_Daily!$A$6:$A$256,0))*($M787-$A787)/day_count_inr)/(1+INDEX(Market_Daily!$J$6:$J$256,MATCH($A787,Market_Daily!$A$6:$A$256,0))*($M787-$A787)/day_count_usd)))))</f>
        <v/>
      </c>
      <c r="AM787" s="8">
        <f>IF(OR($J787="INR",$R787&gt;1),"",$AL787-$X787)</f>
        <v/>
      </c>
      <c r="AN787" s="8">
        <f>$U787</f>
        <v/>
      </c>
      <c r="AO787" s="8">
        <f>$V787</f>
        <v/>
      </c>
      <c r="AP787" s="18">
        <f>$AO787-$V787</f>
        <v/>
      </c>
      <c r="AQ787" s="8">
        <f>IF(ABS($AP787)&lt;=tol_trade_inr,"PASS","FAIL")</f>
        <v/>
      </c>
    </row>
    <row r="788">
      <c r="A788" s="11" t="n">
        <v>44706</v>
      </c>
      <c r="B788" s="7" t="inlineStr">
        <is>
          <t>T05</t>
        </is>
      </c>
      <c r="C788" s="7" t="inlineStr">
        <is>
          <t>FX:T05-FX-1</t>
        </is>
      </c>
      <c r="D788" s="7" t="inlineStr">
        <is>
          <t>FX</t>
        </is>
      </c>
      <c r="E788" s="7" t="inlineStr">
        <is>
          <t>fx_forward</t>
        </is>
      </c>
      <c r="H788" s="7" t="inlineStr">
        <is>
          <t>tense</t>
        </is>
      </c>
      <c r="I788" s="7" t="inlineStr">
        <is>
          <t>USEC_MUN</t>
        </is>
      </c>
      <c r="J788" s="7" t="inlineStr">
        <is>
          <t>INR</t>
        </is>
      </c>
      <c r="K788" s="7" t="inlineStr">
        <is>
          <t>floating</t>
        </is>
      </c>
      <c r="L788" s="7" t="inlineStr">
        <is>
          <t>PNL</t>
        </is>
      </c>
      <c r="M788" s="11" t="n">
        <v>44753</v>
      </c>
      <c r="N788" s="13" t="n">
        <v>0</v>
      </c>
      <c r="O788" s="6" t="n">
        <v>0</v>
      </c>
      <c r="P788" s="13" t="n">
        <v>1874500</v>
      </c>
      <c r="Q788" s="22" t="n">
        <v>31</v>
      </c>
      <c r="R788" s="6" t="n">
        <v>1</v>
      </c>
      <c r="S788" s="12" t="n">
        <v>44753</v>
      </c>
      <c r="T788" s="21" t="n">
        <v>77.86464100000001</v>
      </c>
      <c r="U788" s="9" t="n">
        <v>146964.97</v>
      </c>
      <c r="V788" s="9" t="n">
        <v>146964.97</v>
      </c>
      <c r="X788" s="9" t="n">
        <v>77.5775</v>
      </c>
      <c r="AK788" s="7" t="inlineStr">
        <is>
          <t>DERIVED_IN_WORKBOOK</t>
        </is>
      </c>
      <c r="AL788" s="8">
        <f>IF($J788="INR",1,IF($M788&lt;$A788,INDEX(Market_Daily!$F$6:$F$256,MATCH($M788,Market_Daily!$A$6:$A$256,1)),IF($M788=$A788,INDEX(Market_Daily!$F$6:$F$256,MATCH($A788,Market_Daily!$A$6:$A$256,0)),(INDEX(Market_Daily!$F$6:$F$256,MATCH($A788,Market_Daily!$A$6:$A$256,0))*(1+INDEX(Market_Daily!$I$6:$I$256,MATCH($A788,Market_Daily!$A$6:$A$256,0))*($M788-$A788)/day_count_inr)/(1+INDEX(Market_Daily!$J$6:$J$256,MATCH($A788,Market_Daily!$A$6:$A$256,0))*($M788-$A788)/day_count_usd)))))</f>
        <v/>
      </c>
      <c r="AM788" s="8">
        <f>IF(OR($J788="INR",$R788&gt;1),"",$AL788-$X788)</f>
        <v/>
      </c>
      <c r="AN788" s="8">
        <f>$P788*(IF($S788&lt;$A788,INDEX(Market_Daily!$F$6:$F$256,MATCH($S788,Market_Daily!$A$6:$A$256,1)),IF($S788=$A788,INDEX(Market_Daily!$F$6:$F$256,MATCH($A788,Market_Daily!$A$6:$A$256,0)),(INDEX(Market_Daily!$F$6:$F$256,MATCH($A788,Market_Daily!$A$6:$A$256,0))*(1+INDEX(Market_Daily!$I$6:$I$256,MATCH($A788,Market_Daily!$A$6:$A$256,0))*($S788-$A788)/day_count_inr)/(1+INDEX(Market_Daily!$J$6:$J$256,MATCH($A788,Market_Daily!$A$6:$A$256,0))*($S788-$A788)/day_count_usd))))-$T788)</f>
        <v/>
      </c>
      <c r="AO788" s="8">
        <f>$AN788</f>
        <v/>
      </c>
      <c r="AP788" s="18">
        <f>$AO788-$V788</f>
        <v/>
      </c>
      <c r="AQ788" s="8">
        <f>IF(ABS($AP788)&lt;=tol_trade_inr,"PASS","FAIL")</f>
        <v/>
      </c>
    </row>
    <row r="789">
      <c r="A789" s="11" t="n">
        <v>44706</v>
      </c>
      <c r="B789" s="7" t="inlineStr">
        <is>
          <t>T05</t>
        </is>
      </c>
      <c r="C789" s="7" t="inlineStr">
        <is>
          <t>FX:T05-FX-2</t>
        </is>
      </c>
      <c r="D789" s="7" t="inlineStr">
        <is>
          <t>FX</t>
        </is>
      </c>
      <c r="E789" s="7" t="inlineStr">
        <is>
          <t>fx_forward</t>
        </is>
      </c>
      <c r="H789" s="7" t="inlineStr">
        <is>
          <t>tense</t>
        </is>
      </c>
      <c r="I789" s="7" t="inlineStr">
        <is>
          <t>USEC_MUN</t>
        </is>
      </c>
      <c r="J789" s="7" t="inlineStr">
        <is>
          <t>INR</t>
        </is>
      </c>
      <c r="K789" s="7" t="inlineStr">
        <is>
          <t>floating</t>
        </is>
      </c>
      <c r="L789" s="7" t="inlineStr">
        <is>
          <t>PNL</t>
        </is>
      </c>
      <c r="M789" s="11" t="n">
        <v>44760</v>
      </c>
      <c r="N789" s="13" t="n">
        <v>0</v>
      </c>
      <c r="O789" s="6" t="n">
        <v>0</v>
      </c>
      <c r="P789" s="13" t="n">
        <v>1992200</v>
      </c>
      <c r="Q789" s="22" t="n">
        <v>31</v>
      </c>
      <c r="R789" s="6" t="n">
        <v>1</v>
      </c>
      <c r="S789" s="12" t="n">
        <v>44760</v>
      </c>
      <c r="T789" s="21" t="n">
        <v>78.165892</v>
      </c>
      <c r="U789" s="9" t="n">
        <v>-335669.61</v>
      </c>
      <c r="V789" s="9" t="n">
        <v>-335669.61</v>
      </c>
      <c r="X789" s="9" t="n">
        <v>77.5775</v>
      </c>
      <c r="AK789" s="7" t="inlineStr">
        <is>
          <t>DERIVED_IN_WORKBOOK</t>
        </is>
      </c>
      <c r="AL789" s="8">
        <f>IF($J789="INR",1,IF($M789&lt;$A789,INDEX(Market_Daily!$F$6:$F$256,MATCH($M789,Market_Daily!$A$6:$A$256,1)),IF($M789=$A789,INDEX(Market_Daily!$F$6:$F$256,MATCH($A789,Market_Daily!$A$6:$A$256,0)),(INDEX(Market_Daily!$F$6:$F$256,MATCH($A789,Market_Daily!$A$6:$A$256,0))*(1+INDEX(Market_Daily!$I$6:$I$256,MATCH($A789,Market_Daily!$A$6:$A$256,0))*($M789-$A789)/day_count_inr)/(1+INDEX(Market_Daily!$J$6:$J$256,MATCH($A789,Market_Daily!$A$6:$A$256,0))*($M789-$A789)/day_count_usd)))))</f>
        <v/>
      </c>
      <c r="AM789" s="8">
        <f>IF(OR($J789="INR",$R789&gt;1),"",$AL789-$X789)</f>
        <v/>
      </c>
      <c r="AN789" s="8">
        <f>$P789*(IF($S789&lt;$A789,INDEX(Market_Daily!$F$6:$F$256,MATCH($S789,Market_Daily!$A$6:$A$256,1)),IF($S789=$A789,INDEX(Market_Daily!$F$6:$F$256,MATCH($A789,Market_Daily!$A$6:$A$256,0)),(INDEX(Market_Daily!$F$6:$F$256,MATCH($A789,Market_Daily!$A$6:$A$256,0))*(1+INDEX(Market_Daily!$I$6:$I$256,MATCH($A789,Market_Daily!$A$6:$A$256,0))*($S789-$A789)/day_count_inr)/(1+INDEX(Market_Daily!$J$6:$J$256,MATCH($A789,Market_Daily!$A$6:$A$256,0))*($S789-$A789)/day_count_usd))))-$T789)</f>
        <v/>
      </c>
      <c r="AO789" s="8">
        <f>$AN789</f>
        <v/>
      </c>
      <c r="AP789" s="18">
        <f>$AO789-$V789</f>
        <v/>
      </c>
      <c r="AQ789" s="8">
        <f>IF(ABS($AP789)&lt;=tol_trade_inr,"PASS","FAIL")</f>
        <v/>
      </c>
    </row>
    <row r="790">
      <c r="A790" s="11" t="n">
        <v>44706</v>
      </c>
      <c r="B790" s="7" t="inlineStr">
        <is>
          <t>T05</t>
        </is>
      </c>
      <c r="C790" s="7" t="inlineStr">
        <is>
          <t>IGST:L1</t>
        </is>
      </c>
      <c r="D790" s="7" t="inlineStr">
        <is>
          <t>IGST</t>
        </is>
      </c>
      <c r="E790" s="7" t="inlineStr">
        <is>
          <t>physical</t>
        </is>
      </c>
      <c r="F790" s="7" t="inlineStr">
        <is>
          <t>L1</t>
        </is>
      </c>
      <c r="H790" s="7" t="inlineStr">
        <is>
          <t>tense</t>
        </is>
      </c>
      <c r="I790" s="7" t="inlineStr">
        <is>
          <t>USEC_MUN</t>
        </is>
      </c>
      <c r="J790" s="7" t="inlineStr">
        <is>
          <t>INR</t>
        </is>
      </c>
      <c r="K790" s="7" t="inlineStr">
        <is>
          <t>floating</t>
        </is>
      </c>
      <c r="L790" s="7" t="inlineStr">
        <is>
          <t>BS</t>
        </is>
      </c>
      <c r="M790" s="11" t="n">
        <v>44777</v>
      </c>
      <c r="N790" s="13" t="n">
        <v>0</v>
      </c>
      <c r="O790" s="6" t="n">
        <v>0</v>
      </c>
      <c r="P790" s="13" t="n">
        <v>0</v>
      </c>
      <c r="Q790" s="22" t="n">
        <v>31</v>
      </c>
      <c r="R790" s="6" t="n">
        <v>2</v>
      </c>
      <c r="U790" s="9" t="n">
        <v>0</v>
      </c>
      <c r="V790" s="9" t="n">
        <v>0</v>
      </c>
      <c r="X790" s="9" t="n">
        <v>77.5775</v>
      </c>
      <c r="AK790" s="7" t="inlineStr">
        <is>
          <t>PYTHON_MULTI_FLOW_LEG</t>
        </is>
      </c>
      <c r="AL790" s="8">
        <f>IF($J790="INR",1,IF($M790&lt;$A790,INDEX(Market_Daily!$F$6:$F$256,MATCH($M790,Market_Daily!$A$6:$A$256,1)),IF($M790=$A790,INDEX(Market_Daily!$F$6:$F$256,MATCH($A790,Market_Daily!$A$6:$A$256,0)),(INDEX(Market_Daily!$F$6:$F$256,MATCH($A790,Market_Daily!$A$6:$A$256,0))*(1+INDEX(Market_Daily!$I$6:$I$256,MATCH($A790,Market_Daily!$A$6:$A$256,0))*($M790-$A790)/day_count_inr)/(1+INDEX(Market_Daily!$J$6:$J$256,MATCH($A790,Market_Daily!$A$6:$A$256,0))*($M790-$A790)/day_count_usd)))))</f>
        <v/>
      </c>
      <c r="AM790" s="8">
        <f>IF(OR($J790="INR",$R790&gt;1),"",$AL790-$X790)</f>
        <v/>
      </c>
      <c r="AN790" s="8">
        <f>$U790</f>
        <v/>
      </c>
      <c r="AO790" s="8">
        <f>$V790</f>
        <v/>
      </c>
      <c r="AP790" s="18">
        <f>$AO790-$V790</f>
        <v/>
      </c>
      <c r="AQ790" s="8">
        <f>IF(ABS($AP790)&lt;=tol_trade_inr,"PASS","FAIL")</f>
        <v/>
      </c>
    </row>
    <row r="791">
      <c r="A791" s="11" t="n">
        <v>44706</v>
      </c>
      <c r="B791" s="7" t="inlineStr">
        <is>
          <t>T05</t>
        </is>
      </c>
      <c r="C791" s="7" t="inlineStr">
        <is>
          <t>IGST:L2</t>
        </is>
      </c>
      <c r="D791" s="7" t="inlineStr">
        <is>
          <t>IGST</t>
        </is>
      </c>
      <c r="E791" s="7" t="inlineStr">
        <is>
          <t>physical</t>
        </is>
      </c>
      <c r="F791" s="7" t="inlineStr">
        <is>
          <t>L2</t>
        </is>
      </c>
      <c r="H791" s="7" t="inlineStr">
        <is>
          <t>tense</t>
        </is>
      </c>
      <c r="I791" s="7" t="inlineStr">
        <is>
          <t>USEC_MUN</t>
        </is>
      </c>
      <c r="J791" s="7" t="inlineStr">
        <is>
          <t>INR</t>
        </is>
      </c>
      <c r="K791" s="7" t="inlineStr">
        <is>
          <t>floating</t>
        </is>
      </c>
      <c r="L791" s="7" t="inlineStr">
        <is>
          <t>BS</t>
        </is>
      </c>
      <c r="M791" s="11" t="n">
        <v>44785</v>
      </c>
      <c r="N791" s="13" t="n">
        <v>0</v>
      </c>
      <c r="O791" s="6" t="n">
        <v>0</v>
      </c>
      <c r="P791" s="13" t="n">
        <v>0</v>
      </c>
      <c r="Q791" s="22" t="n">
        <v>31</v>
      </c>
      <c r="R791" s="6" t="n">
        <v>2</v>
      </c>
      <c r="U791" s="9" t="n">
        <v>0</v>
      </c>
      <c r="V791" s="9" t="n">
        <v>0</v>
      </c>
      <c r="X791" s="9" t="n">
        <v>77.5775</v>
      </c>
      <c r="AK791" s="7" t="inlineStr">
        <is>
          <t>PYTHON_MULTI_FLOW_LEG</t>
        </is>
      </c>
      <c r="AL791" s="8">
        <f>IF($J791="INR",1,IF($M791&lt;$A791,INDEX(Market_Daily!$F$6:$F$256,MATCH($M791,Market_Daily!$A$6:$A$256,1)),IF($M791=$A791,INDEX(Market_Daily!$F$6:$F$256,MATCH($A791,Market_Daily!$A$6:$A$256,0)),(INDEX(Market_Daily!$F$6:$F$256,MATCH($A791,Market_Daily!$A$6:$A$256,0))*(1+INDEX(Market_Daily!$I$6:$I$256,MATCH($A791,Market_Daily!$A$6:$A$256,0))*($M791-$A791)/day_count_inr)/(1+INDEX(Market_Daily!$J$6:$J$256,MATCH($A791,Market_Daily!$A$6:$A$256,0))*($M791-$A791)/day_count_usd)))))</f>
        <v/>
      </c>
      <c r="AM791" s="8">
        <f>IF(OR($J791="INR",$R791&gt;1),"",$AL791-$X791)</f>
        <v/>
      </c>
      <c r="AN791" s="8">
        <f>$U791</f>
        <v/>
      </c>
      <c r="AO791" s="8">
        <f>$V791</f>
        <v/>
      </c>
      <c r="AP791" s="18">
        <f>$AO791-$V791</f>
        <v/>
      </c>
      <c r="AQ791" s="8">
        <f>IF(ABS($AP791)&lt;=tol_trade_inr,"PASS","FAIL")</f>
        <v/>
      </c>
    </row>
    <row r="792">
      <c r="A792" s="11" t="n">
        <v>44706</v>
      </c>
      <c r="B792" s="7" t="inlineStr">
        <is>
          <t>T05</t>
        </is>
      </c>
      <c r="C792" s="7" t="inlineStr">
        <is>
          <t>MCX:T05-MCX-2</t>
        </is>
      </c>
      <c r="D792" s="7" t="inlineStr">
        <is>
          <t>MCX</t>
        </is>
      </c>
      <c r="E792" s="7" t="inlineStr">
        <is>
          <t>mcx</t>
        </is>
      </c>
      <c r="H792" s="7" t="inlineStr">
        <is>
          <t>tense</t>
        </is>
      </c>
      <c r="I792" s="7" t="inlineStr">
        <is>
          <t>USEC_MUN</t>
        </is>
      </c>
      <c r="J792" s="7" t="inlineStr">
        <is>
          <t>INR</t>
        </is>
      </c>
      <c r="K792" s="7" t="inlineStr">
        <is>
          <t>partially_fixed</t>
        </is>
      </c>
      <c r="L792" s="7" t="inlineStr">
        <is>
          <t>PNL</t>
        </is>
      </c>
      <c r="M792" s="11" t="n">
        <v>44733</v>
      </c>
      <c r="N792" s="13" t="n">
        <v>0</v>
      </c>
      <c r="O792" s="6" t="n">
        <v>-105</v>
      </c>
      <c r="P792" s="13" t="n">
        <v>0</v>
      </c>
      <c r="Q792" s="22" t="n">
        <v>31</v>
      </c>
      <c r="R792" s="6" t="n">
        <v>21</v>
      </c>
      <c r="U792" s="9" t="n">
        <v>0</v>
      </c>
      <c r="V792" s="9" t="n">
        <v>0</v>
      </c>
      <c r="X792" s="9" t="n">
        <v>77.5775</v>
      </c>
      <c r="AK792" s="7" t="inlineStr">
        <is>
          <t>PYTHON_MULTI_FLOW_LEG</t>
        </is>
      </c>
      <c r="AL792" s="8">
        <f>IF($J792="INR",1,IF($M792&lt;$A792,INDEX(Market_Daily!$F$6:$F$256,MATCH($M792,Market_Daily!$A$6:$A$256,1)),IF($M792=$A792,INDEX(Market_Daily!$F$6:$F$256,MATCH($A792,Market_Daily!$A$6:$A$256,0)),(INDEX(Market_Daily!$F$6:$F$256,MATCH($A792,Market_Daily!$A$6:$A$256,0))*(1+INDEX(Market_Daily!$I$6:$I$256,MATCH($A792,Market_Daily!$A$6:$A$256,0))*($M792-$A792)/day_count_inr)/(1+INDEX(Market_Daily!$J$6:$J$256,MATCH($A792,Market_Daily!$A$6:$A$256,0))*($M792-$A792)/day_count_usd)))))</f>
        <v/>
      </c>
      <c r="AM792" s="8">
        <f>IF(OR($J792="INR",$R792&gt;1),"",$AL792-$X792)</f>
        <v/>
      </c>
      <c r="AN792" s="8">
        <f>$U792</f>
        <v/>
      </c>
      <c r="AO792" s="8">
        <f>$V792</f>
        <v/>
      </c>
      <c r="AP792" s="18">
        <f>$AO792-$V792</f>
        <v/>
      </c>
      <c r="AQ792" s="8">
        <f>IF(ABS($AP792)&lt;=tol_trade_inr,"PASS","FAIL")</f>
        <v/>
      </c>
    </row>
    <row r="793">
      <c r="A793" s="11" t="n">
        <v>44706</v>
      </c>
      <c r="B793" s="7" t="inlineStr">
        <is>
          <t>T05</t>
        </is>
      </c>
      <c r="C793" s="7" t="inlineStr">
        <is>
          <t>PORT:L1</t>
        </is>
      </c>
      <c r="D793" s="7" t="inlineStr">
        <is>
          <t>PORT</t>
        </is>
      </c>
      <c r="E793" s="7" t="inlineStr">
        <is>
          <t>physical</t>
        </is>
      </c>
      <c r="F793" s="7" t="inlineStr">
        <is>
          <t>L1</t>
        </is>
      </c>
      <c r="H793" s="7" t="inlineStr">
        <is>
          <t>tense</t>
        </is>
      </c>
      <c r="I793" s="7" t="inlineStr">
        <is>
          <t>USEC_MUN</t>
        </is>
      </c>
      <c r="J793" s="7" t="inlineStr">
        <is>
          <t>INR</t>
        </is>
      </c>
      <c r="K793" s="7" t="inlineStr">
        <is>
          <t>fixed_unsettled</t>
        </is>
      </c>
      <c r="L793" s="7" t="inlineStr">
        <is>
          <t>PNL</t>
        </is>
      </c>
      <c r="M793" s="11" t="n">
        <v>44741</v>
      </c>
      <c r="N793" s="13" t="n">
        <v>0</v>
      </c>
      <c r="O793" s="6" t="n">
        <v>0</v>
      </c>
      <c r="P793" s="13" t="n">
        <v>0</v>
      </c>
      <c r="Q793" s="22" t="n">
        <v>31</v>
      </c>
      <c r="R793" s="6" t="n">
        <v>1</v>
      </c>
      <c r="U793" s="9" t="n">
        <v>-2782500</v>
      </c>
      <c r="V793" s="9" t="n">
        <v>-2782500</v>
      </c>
      <c r="X793" s="9" t="n">
        <v>77.5775</v>
      </c>
      <c r="AK793" s="7" t="inlineStr">
        <is>
          <t>PYTHON_LIFECYCLE</t>
        </is>
      </c>
      <c r="AL793" s="8">
        <f>IF($J793="INR",1,IF($M793&lt;$A793,INDEX(Market_Daily!$F$6:$F$256,MATCH($M793,Market_Daily!$A$6:$A$256,1)),IF($M793=$A793,INDEX(Market_Daily!$F$6:$F$256,MATCH($A793,Market_Daily!$A$6:$A$256,0)),(INDEX(Market_Daily!$F$6:$F$256,MATCH($A793,Market_Daily!$A$6:$A$256,0))*(1+INDEX(Market_Daily!$I$6:$I$256,MATCH($A793,Market_Daily!$A$6:$A$256,0))*($M793-$A793)/day_count_inr)/(1+INDEX(Market_Daily!$J$6:$J$256,MATCH($A793,Market_Daily!$A$6:$A$256,0))*($M793-$A793)/day_count_usd)))))</f>
        <v/>
      </c>
      <c r="AM793" s="8">
        <f>IF(OR($J793="INR",$R793&gt;1),"",$AL793-$X793)</f>
        <v/>
      </c>
      <c r="AN793" s="8">
        <f>$U793</f>
        <v/>
      </c>
      <c r="AO793" s="8">
        <f>$AN793*IF($J793="INR",1,$AL793)</f>
        <v/>
      </c>
      <c r="AP793" s="18">
        <f>$AO793-$V793</f>
        <v/>
      </c>
      <c r="AQ793" s="8">
        <f>IF(ABS($AP793)&lt;=tol_trade_inr,"PASS","FAIL")</f>
        <v/>
      </c>
    </row>
    <row r="794">
      <c r="A794" s="11" t="n">
        <v>44706</v>
      </c>
      <c r="B794" s="7" t="inlineStr">
        <is>
          <t>T05</t>
        </is>
      </c>
      <c r="C794" s="7" t="inlineStr">
        <is>
          <t>PORT:L2</t>
        </is>
      </c>
      <c r="D794" s="7" t="inlineStr">
        <is>
          <t>PORT</t>
        </is>
      </c>
      <c r="E794" s="7" t="inlineStr">
        <is>
          <t>physical</t>
        </is>
      </c>
      <c r="F794" s="7" t="inlineStr">
        <is>
          <t>L2</t>
        </is>
      </c>
      <c r="H794" s="7" t="inlineStr">
        <is>
          <t>tense</t>
        </is>
      </c>
      <c r="I794" s="7" t="inlineStr">
        <is>
          <t>USEC_MUN</t>
        </is>
      </c>
      <c r="J794" s="7" t="inlineStr">
        <is>
          <t>INR</t>
        </is>
      </c>
      <c r="K794" s="7" t="inlineStr">
        <is>
          <t>fixed_unsettled</t>
        </is>
      </c>
      <c r="L794" s="7" t="inlineStr">
        <is>
          <t>PNL</t>
        </is>
      </c>
      <c r="M794" s="11" t="n">
        <v>44749</v>
      </c>
      <c r="N794" s="13" t="n">
        <v>0</v>
      </c>
      <c r="O794" s="6" t="n">
        <v>0</v>
      </c>
      <c r="P794" s="13" t="n">
        <v>0</v>
      </c>
      <c r="Q794" s="22" t="n">
        <v>31</v>
      </c>
      <c r="R794" s="6" t="n">
        <v>1</v>
      </c>
      <c r="U794" s="9" t="n">
        <v>-2782500</v>
      </c>
      <c r="V794" s="9" t="n">
        <v>-2782500</v>
      </c>
      <c r="X794" s="9" t="n">
        <v>77.5775</v>
      </c>
      <c r="AK794" s="7" t="inlineStr">
        <is>
          <t>PYTHON_LIFECYCLE</t>
        </is>
      </c>
      <c r="AL794" s="8">
        <f>IF($J794="INR",1,IF($M794&lt;$A794,INDEX(Market_Daily!$F$6:$F$256,MATCH($M794,Market_Daily!$A$6:$A$256,1)),IF($M794=$A794,INDEX(Market_Daily!$F$6:$F$256,MATCH($A794,Market_Daily!$A$6:$A$256,0)),(INDEX(Market_Daily!$F$6:$F$256,MATCH($A794,Market_Daily!$A$6:$A$256,0))*(1+INDEX(Market_Daily!$I$6:$I$256,MATCH($A794,Market_Daily!$A$6:$A$256,0))*($M794-$A794)/day_count_inr)/(1+INDEX(Market_Daily!$J$6:$J$256,MATCH($A794,Market_Daily!$A$6:$A$256,0))*($M794-$A794)/day_count_usd)))))</f>
        <v/>
      </c>
      <c r="AM794" s="8">
        <f>IF(OR($J794="INR",$R794&gt;1),"",$AL794-$X794)</f>
        <v/>
      </c>
      <c r="AN794" s="8">
        <f>$U794</f>
        <v/>
      </c>
      <c r="AO794" s="8">
        <f>$AN794*IF($J794="INR",1,$AL794)</f>
        <v/>
      </c>
      <c r="AP794" s="18">
        <f>$AO794-$V794</f>
        <v/>
      </c>
      <c r="AQ794" s="8">
        <f>IF(ABS($AP794)&lt;=tol_trade_inr,"PASS","FAIL")</f>
        <v/>
      </c>
    </row>
    <row r="795">
      <c r="A795" s="11" t="n">
        <v>44706</v>
      </c>
      <c r="B795" s="7" t="inlineStr">
        <is>
          <t>T05</t>
        </is>
      </c>
      <c r="C795" s="7" t="inlineStr">
        <is>
          <t>PURCHASE:L1</t>
        </is>
      </c>
      <c r="D795" s="7" t="inlineStr">
        <is>
          <t>PURCHASE</t>
        </is>
      </c>
      <c r="E795" s="7" t="inlineStr">
        <is>
          <t>physical</t>
        </is>
      </c>
      <c r="F795" s="7" t="inlineStr">
        <is>
          <t>L1</t>
        </is>
      </c>
      <c r="G795" s="7" t="inlineStr">
        <is>
          <t>SUP_USEC_01</t>
        </is>
      </c>
      <c r="H795" s="7" t="inlineStr">
        <is>
          <t>tense</t>
        </is>
      </c>
      <c r="I795" s="7" t="inlineStr">
        <is>
          <t>USEC_MUN</t>
        </is>
      </c>
      <c r="J795" s="7" t="inlineStr">
        <is>
          <t>USD</t>
        </is>
      </c>
      <c r="K795" s="7" t="inlineStr">
        <is>
          <t>partially_fixed</t>
        </is>
      </c>
      <c r="L795" s="7" t="inlineStr">
        <is>
          <t>PNL</t>
        </is>
      </c>
      <c r="M795" s="11" t="n">
        <v>44753</v>
      </c>
      <c r="N795" s="13" t="n">
        <v>2100</v>
      </c>
      <c r="O795" s="6" t="n">
        <v>0</v>
      </c>
      <c r="P795" s="13" t="n">
        <v>0</v>
      </c>
      <c r="Q795" s="22" t="n">
        <v>31</v>
      </c>
      <c r="R795" s="6" t="n">
        <v>2</v>
      </c>
      <c r="U795" s="9" t="n">
        <v>-2090876.29</v>
      </c>
      <c r="V795" s="9" t="n">
        <v>-162962539.97</v>
      </c>
      <c r="X795" s="9" t="n">
        <v>77.943</v>
      </c>
      <c r="AK795" s="7" t="inlineStr">
        <is>
          <t>PYTHON_MULTI_FLOW_LEG</t>
        </is>
      </c>
      <c r="AL795" s="8">
        <f>IF($J795="INR",1,IF($M795&lt;$A795,INDEX(Market_Daily!$F$6:$F$256,MATCH($M795,Market_Daily!$A$6:$A$256,1)),IF($M795=$A795,INDEX(Market_Daily!$F$6:$F$256,MATCH($A795,Market_Daily!$A$6:$A$256,0)),(INDEX(Market_Daily!$F$6:$F$256,MATCH($A795,Market_Daily!$A$6:$A$256,0))*(1+INDEX(Market_Daily!$I$6:$I$256,MATCH($A795,Market_Daily!$A$6:$A$256,0))*($M795-$A795)/day_count_inr)/(1+INDEX(Market_Daily!$J$6:$J$256,MATCH($A795,Market_Daily!$A$6:$A$256,0))*($M795-$A795)/day_count_usd)))))</f>
        <v/>
      </c>
      <c r="AM795" s="8">
        <f>IF(OR($J795="INR",$R795&gt;1),"",$AL795-$X795)</f>
        <v/>
      </c>
      <c r="AN795" s="8">
        <f>$U795</f>
        <v/>
      </c>
      <c r="AO795" s="8">
        <f>$V795</f>
        <v/>
      </c>
      <c r="AP795" s="18">
        <f>$AO795-$V795</f>
        <v/>
      </c>
      <c r="AQ795" s="8">
        <f>IF(ABS($AP795)&lt;=tol_trade_inr,"PASS","FAIL")</f>
        <v/>
      </c>
    </row>
    <row r="796">
      <c r="A796" s="11" t="n">
        <v>44706</v>
      </c>
      <c r="B796" s="7" t="inlineStr">
        <is>
          <t>T05</t>
        </is>
      </c>
      <c r="C796" s="7" t="inlineStr">
        <is>
          <t>PURCHASE:L2</t>
        </is>
      </c>
      <c r="D796" s="7" t="inlineStr">
        <is>
          <t>PURCHASE</t>
        </is>
      </c>
      <c r="E796" s="7" t="inlineStr">
        <is>
          <t>physical</t>
        </is>
      </c>
      <c r="F796" s="7" t="inlineStr">
        <is>
          <t>L2</t>
        </is>
      </c>
      <c r="G796" s="7" t="inlineStr">
        <is>
          <t>SUP_USEC_01</t>
        </is>
      </c>
      <c r="H796" s="7" t="inlineStr">
        <is>
          <t>tense</t>
        </is>
      </c>
      <c r="I796" s="7" t="inlineStr">
        <is>
          <t>USEC_MUN</t>
        </is>
      </c>
      <c r="J796" s="7" t="inlineStr">
        <is>
          <t>USD</t>
        </is>
      </c>
      <c r="K796" s="7" t="inlineStr">
        <is>
          <t>partially_fixed</t>
        </is>
      </c>
      <c r="L796" s="7" t="inlineStr">
        <is>
          <t>PNL</t>
        </is>
      </c>
      <c r="M796" s="11" t="n">
        <v>44760</v>
      </c>
      <c r="N796" s="13" t="n">
        <v>2100</v>
      </c>
      <c r="O796" s="6" t="n">
        <v>0</v>
      </c>
      <c r="P796" s="13" t="n">
        <v>0</v>
      </c>
      <c r="Q796" s="22" t="n">
        <v>31</v>
      </c>
      <c r="R796" s="6" t="n">
        <v>2</v>
      </c>
      <c r="U796" s="9" t="n">
        <v>-2090876.29</v>
      </c>
      <c r="V796" s="9" t="n">
        <v>-163074484.23</v>
      </c>
      <c r="X796" s="9" t="n">
        <v>77.9974</v>
      </c>
      <c r="AK796" s="7" t="inlineStr">
        <is>
          <t>PYTHON_MULTI_FLOW_LEG</t>
        </is>
      </c>
      <c r="AL796" s="8">
        <f>IF($J796="INR",1,IF($M796&lt;$A796,INDEX(Market_Daily!$F$6:$F$256,MATCH($M796,Market_Daily!$A$6:$A$256,1)),IF($M796=$A796,INDEX(Market_Daily!$F$6:$F$256,MATCH($A796,Market_Daily!$A$6:$A$256,0)),(INDEX(Market_Daily!$F$6:$F$256,MATCH($A796,Market_Daily!$A$6:$A$256,0))*(1+INDEX(Market_Daily!$I$6:$I$256,MATCH($A796,Market_Daily!$A$6:$A$256,0))*($M796-$A796)/day_count_inr)/(1+INDEX(Market_Daily!$J$6:$J$256,MATCH($A796,Market_Daily!$A$6:$A$256,0))*($M796-$A796)/day_count_usd)))))</f>
        <v/>
      </c>
      <c r="AM796" s="8">
        <f>IF(OR($J796="INR",$R796&gt;1),"",$AL796-$X796)</f>
        <v/>
      </c>
      <c r="AN796" s="8">
        <f>$U796</f>
        <v/>
      </c>
      <c r="AO796" s="8">
        <f>$V796</f>
        <v/>
      </c>
      <c r="AP796" s="18">
        <f>$AO796-$V796</f>
        <v/>
      </c>
      <c r="AQ796" s="8">
        <f>IF(ABS($AP796)&lt;=tol_trade_inr,"PASS","FAIL")</f>
        <v/>
      </c>
    </row>
    <row r="797">
      <c r="A797" s="11" t="n">
        <v>44706</v>
      </c>
      <c r="B797" s="7" t="inlineStr">
        <is>
          <t>T05</t>
        </is>
      </c>
      <c r="C797" s="7" t="inlineStr">
        <is>
          <t>SALE:S1</t>
        </is>
      </c>
      <c r="D797" s="7" t="inlineStr">
        <is>
          <t>SALE</t>
        </is>
      </c>
      <c r="E797" s="7" t="inlineStr">
        <is>
          <t>physical</t>
        </is>
      </c>
      <c r="G797" s="7" t="inlineStr">
        <is>
          <t>BUY_MUN_01</t>
        </is>
      </c>
      <c r="H797" s="7" t="inlineStr">
        <is>
          <t>tense</t>
        </is>
      </c>
      <c r="I797" s="7" t="inlineStr">
        <is>
          <t>USEC_MUN</t>
        </is>
      </c>
      <c r="J797" s="7" t="inlineStr">
        <is>
          <t>INR</t>
        </is>
      </c>
      <c r="K797" s="7" t="inlineStr">
        <is>
          <t>floating</t>
        </is>
      </c>
      <c r="L797" s="7" t="inlineStr">
        <is>
          <t>PNL</t>
        </is>
      </c>
      <c r="M797" s="11" t="n">
        <v>44781</v>
      </c>
      <c r="N797" s="13" t="n">
        <v>2100</v>
      </c>
      <c r="O797" s="6" t="n">
        <v>0</v>
      </c>
      <c r="P797" s="13" t="n">
        <v>0</v>
      </c>
      <c r="Q797" s="22" t="n">
        <v>31</v>
      </c>
      <c r="R797" s="6" t="n">
        <v>1</v>
      </c>
      <c r="U797" s="9" t="n">
        <v>373979477.54</v>
      </c>
      <c r="V797" s="9" t="n">
        <v>373979477.54</v>
      </c>
      <c r="W797" s="9" t="n">
        <v>178085.4655</v>
      </c>
      <c r="X797" s="9" t="n">
        <v>77.5775</v>
      </c>
      <c r="AK797" s="7" t="inlineStr">
        <is>
          <t>PYTHON_LIFECYCLE</t>
        </is>
      </c>
      <c r="AL797" s="8">
        <f>IF($J797="INR",1,IF($M797&lt;$A797,INDEX(Market_Daily!$F$6:$F$256,MATCH($M797,Market_Daily!$A$6:$A$256,1)),IF($M797=$A797,INDEX(Market_Daily!$F$6:$F$256,MATCH($A797,Market_Daily!$A$6:$A$256,0)),(INDEX(Market_Daily!$F$6:$F$256,MATCH($A797,Market_Daily!$A$6:$A$256,0))*(1+INDEX(Market_Daily!$I$6:$I$256,MATCH($A797,Market_Daily!$A$6:$A$256,0))*($M797-$A797)/day_count_inr)/(1+INDEX(Market_Daily!$J$6:$J$256,MATCH($A797,Market_Daily!$A$6:$A$256,0))*($M797-$A797)/day_count_usd)))))</f>
        <v/>
      </c>
      <c r="AM797" s="8">
        <f>IF(OR($J797="INR",$R797&gt;1),"",$AL797-$X797)</f>
        <v/>
      </c>
      <c r="AN797" s="8">
        <f>$U797</f>
        <v/>
      </c>
      <c r="AO797" s="8">
        <f>$AN797*IF($J797="INR",1,$AL797)</f>
        <v/>
      </c>
      <c r="AP797" s="18">
        <f>$AO797-$V797</f>
        <v/>
      </c>
      <c r="AQ797" s="8">
        <f>IF(ABS($AP797)&lt;=tol_trade_inr,"PASS","FAIL")</f>
        <v/>
      </c>
    </row>
    <row r="798">
      <c r="A798" s="11" t="n">
        <v>44706</v>
      </c>
      <c r="B798" s="7" t="inlineStr">
        <is>
          <t>T05</t>
        </is>
      </c>
      <c r="C798" s="7" t="inlineStr">
        <is>
          <t>USANCE_INTEREST:L1</t>
        </is>
      </c>
      <c r="D798" s="7" t="inlineStr">
        <is>
          <t>USANCE_INTEREST</t>
        </is>
      </c>
      <c r="E798" s="7" t="inlineStr">
        <is>
          <t>physical</t>
        </is>
      </c>
      <c r="F798" s="7" t="inlineStr">
        <is>
          <t>L1</t>
        </is>
      </c>
      <c r="H798" s="7" t="inlineStr">
        <is>
          <t>tense</t>
        </is>
      </c>
      <c r="I798" s="7" t="inlineStr">
        <is>
          <t>USEC_MUN</t>
        </is>
      </c>
      <c r="J798" s="7" t="inlineStr">
        <is>
          <t>USD</t>
        </is>
      </c>
      <c r="K798" s="7" t="inlineStr">
        <is>
          <t>fixed_unsettled</t>
        </is>
      </c>
      <c r="L798" s="7" t="inlineStr">
        <is>
          <t>PNL</t>
        </is>
      </c>
      <c r="M798" s="11" t="n">
        <v>44753</v>
      </c>
      <c r="N798" s="13" t="n">
        <v>0</v>
      </c>
      <c r="O798" s="6" t="n">
        <v>0</v>
      </c>
      <c r="P798" s="13" t="n">
        <v>0</v>
      </c>
      <c r="Q798" s="22" t="n">
        <v>31</v>
      </c>
      <c r="R798" s="6" t="n">
        <v>1</v>
      </c>
      <c r="U798" s="9" t="n">
        <v>-8014.35</v>
      </c>
      <c r="V798" s="9" t="n">
        <v>-624662.92</v>
      </c>
      <c r="X798" s="9" t="n">
        <v>77.943</v>
      </c>
      <c r="AK798" s="7" t="inlineStr">
        <is>
          <t>PYTHON_LIFECYCLE</t>
        </is>
      </c>
      <c r="AL798" s="8">
        <f>IF($J798="INR",1,IF($M798&lt;$A798,INDEX(Market_Daily!$F$6:$F$256,MATCH($M798,Market_Daily!$A$6:$A$256,1)),IF($M798=$A798,INDEX(Market_Daily!$F$6:$F$256,MATCH($A798,Market_Daily!$A$6:$A$256,0)),(INDEX(Market_Daily!$F$6:$F$256,MATCH($A798,Market_Daily!$A$6:$A$256,0))*(1+INDEX(Market_Daily!$I$6:$I$256,MATCH($A798,Market_Daily!$A$6:$A$256,0))*($M798-$A798)/day_count_inr)/(1+INDEX(Market_Daily!$J$6:$J$256,MATCH($A798,Market_Daily!$A$6:$A$256,0))*($M798-$A798)/day_count_usd)))))</f>
        <v/>
      </c>
      <c r="AM798" s="8">
        <f>IF(OR($J798="INR",$R798&gt;1),"",$AL798-$X798)</f>
        <v/>
      </c>
      <c r="AN798" s="8">
        <f>$U798</f>
        <v/>
      </c>
      <c r="AO798" s="8">
        <f>$AN798*IF($J798="INR",1,$AL798)</f>
        <v/>
      </c>
      <c r="AP798" s="18">
        <f>$AO798-$V798</f>
        <v/>
      </c>
      <c r="AQ798" s="8">
        <f>IF(ABS($AP798)&lt;=tol_trade_inr,"PASS","FAIL")</f>
        <v/>
      </c>
    </row>
    <row r="799">
      <c r="A799" s="11" t="n">
        <v>44706</v>
      </c>
      <c r="B799" s="7" t="inlineStr">
        <is>
          <t>T05</t>
        </is>
      </c>
      <c r="C799" s="7" t="inlineStr">
        <is>
          <t>USANCE_INTEREST:L2</t>
        </is>
      </c>
      <c r="D799" s="7" t="inlineStr">
        <is>
          <t>USANCE_INTEREST</t>
        </is>
      </c>
      <c r="E799" s="7" t="inlineStr">
        <is>
          <t>physical</t>
        </is>
      </c>
      <c r="F799" s="7" t="inlineStr">
        <is>
          <t>L2</t>
        </is>
      </c>
      <c r="H799" s="7" t="inlineStr">
        <is>
          <t>tense</t>
        </is>
      </c>
      <c r="I799" s="7" t="inlineStr">
        <is>
          <t>USEC_MUN</t>
        </is>
      </c>
      <c r="J799" s="7" t="inlineStr">
        <is>
          <t>USD</t>
        </is>
      </c>
      <c r="K799" s="7" t="inlineStr">
        <is>
          <t>fixed_unsettled</t>
        </is>
      </c>
      <c r="L799" s="7" t="inlineStr">
        <is>
          <t>PNL</t>
        </is>
      </c>
      <c r="M799" s="11" t="n">
        <v>44760</v>
      </c>
      <c r="N799" s="13" t="n">
        <v>0</v>
      </c>
      <c r="O799" s="6" t="n">
        <v>0</v>
      </c>
      <c r="P799" s="13" t="n">
        <v>0</v>
      </c>
      <c r="Q799" s="22" t="n">
        <v>31</v>
      </c>
      <c r="R799" s="6" t="n">
        <v>1</v>
      </c>
      <c r="U799" s="9" t="n">
        <v>-8484.440000000001</v>
      </c>
      <c r="V799" s="9" t="n">
        <v>-661763.88</v>
      </c>
      <c r="X799" s="9" t="n">
        <v>77.9974</v>
      </c>
      <c r="AK799" s="7" t="inlineStr">
        <is>
          <t>PYTHON_LIFECYCLE</t>
        </is>
      </c>
      <c r="AL799" s="8">
        <f>IF($J799="INR",1,IF($M799&lt;$A799,INDEX(Market_Daily!$F$6:$F$256,MATCH($M799,Market_Daily!$A$6:$A$256,1)),IF($M799=$A799,INDEX(Market_Daily!$F$6:$F$256,MATCH($A799,Market_Daily!$A$6:$A$256,0)),(INDEX(Market_Daily!$F$6:$F$256,MATCH($A799,Market_Daily!$A$6:$A$256,0))*(1+INDEX(Market_Daily!$I$6:$I$256,MATCH($A799,Market_Daily!$A$6:$A$256,0))*($M799-$A799)/day_count_inr)/(1+INDEX(Market_Daily!$J$6:$J$256,MATCH($A799,Market_Daily!$A$6:$A$256,0))*($M799-$A799)/day_count_usd)))))</f>
        <v/>
      </c>
      <c r="AM799" s="8">
        <f>IF(OR($J799="INR",$R799&gt;1),"",$AL799-$X799)</f>
        <v/>
      </c>
      <c r="AN799" s="8">
        <f>$U799</f>
        <v/>
      </c>
      <c r="AO799" s="8">
        <f>$AN799*IF($J799="INR",1,$AL799)</f>
        <v/>
      </c>
      <c r="AP799" s="18">
        <f>$AO799-$V799</f>
        <v/>
      </c>
      <c r="AQ799" s="8">
        <f>IF(ABS($AP799)&lt;=tol_trade_inr,"PASS","FAIL")</f>
        <v/>
      </c>
    </row>
    <row r="800">
      <c r="A800" s="11" t="n">
        <v>44706</v>
      </c>
      <c r="B800" s="7" t="inlineStr">
        <is>
          <t>T06</t>
        </is>
      </c>
      <c r="C800" s="7" t="inlineStr">
        <is>
          <t>BILL_COMMISSION:L1</t>
        </is>
      </c>
      <c r="D800" s="7" t="inlineStr">
        <is>
          <t>BILL_COMMISSION</t>
        </is>
      </c>
      <c r="E800" s="7" t="inlineStr">
        <is>
          <t>physical</t>
        </is>
      </c>
      <c r="F800" s="7" t="inlineStr">
        <is>
          <t>L1</t>
        </is>
      </c>
      <c r="H800" s="7" t="inlineStr">
        <is>
          <t>zorba</t>
        </is>
      </c>
      <c r="I800" s="7" t="inlineStr">
        <is>
          <t>JEA_NSA</t>
        </is>
      </c>
      <c r="J800" s="7" t="inlineStr">
        <is>
          <t>USD</t>
        </is>
      </c>
      <c r="K800" s="7" t="inlineStr">
        <is>
          <t>floating</t>
        </is>
      </c>
      <c r="L800" s="7" t="inlineStr">
        <is>
          <t>PNL</t>
        </is>
      </c>
      <c r="M800" s="11" t="n">
        <v>44713</v>
      </c>
      <c r="N800" s="13" t="n">
        <v>0</v>
      </c>
      <c r="O800" s="6" t="n">
        <v>0</v>
      </c>
      <c r="P800" s="13" t="n">
        <v>0</v>
      </c>
      <c r="Q800" s="22" t="n">
        <v>31</v>
      </c>
      <c r="R800" s="6" t="n">
        <v>1</v>
      </c>
      <c r="U800" s="9" t="n">
        <v>-1667.64</v>
      </c>
      <c r="V800" s="9" t="n">
        <v>-129462.24</v>
      </c>
      <c r="X800" s="9" t="n">
        <v>77.63200000000001</v>
      </c>
      <c r="AK800" s="7" t="inlineStr">
        <is>
          <t>PYTHON_LIFECYCLE</t>
        </is>
      </c>
      <c r="AL800" s="8">
        <f>IF($J800="INR",1,IF($M800&lt;$A800,INDEX(Market_Daily!$F$6:$F$256,MATCH($M800,Market_Daily!$A$6:$A$256,1)),IF($M800=$A800,INDEX(Market_Daily!$F$6:$F$256,MATCH($A800,Market_Daily!$A$6:$A$256,0)),(INDEX(Market_Daily!$F$6:$F$256,MATCH($A800,Market_Daily!$A$6:$A$256,0))*(1+INDEX(Market_Daily!$I$6:$I$256,MATCH($A800,Market_Daily!$A$6:$A$256,0))*($M800-$A800)/day_count_inr)/(1+INDEX(Market_Daily!$J$6:$J$256,MATCH($A800,Market_Daily!$A$6:$A$256,0))*($M800-$A800)/day_count_usd)))))</f>
        <v/>
      </c>
      <c r="AM800" s="8">
        <f>IF(OR($J800="INR",$R800&gt;1),"",$AL800-$X800)</f>
        <v/>
      </c>
      <c r="AN800" s="8">
        <f>$U800</f>
        <v/>
      </c>
      <c r="AO800" s="8">
        <f>$AN800*IF($J800="INR",1,$AL800)</f>
        <v/>
      </c>
      <c r="AP800" s="18">
        <f>$AO800-$V800</f>
        <v/>
      </c>
      <c r="AQ800" s="8">
        <f>IF(ABS($AP800)&lt;=tol_trade_inr,"PASS","FAIL")</f>
        <v/>
      </c>
    </row>
    <row r="801">
      <c r="A801" s="11" t="n">
        <v>44706</v>
      </c>
      <c r="B801" s="7" t="inlineStr">
        <is>
          <t>T06</t>
        </is>
      </c>
      <c r="C801" s="7" t="inlineStr">
        <is>
          <t>BILL_COMMISSION:L2</t>
        </is>
      </c>
      <c r="D801" s="7" t="inlineStr">
        <is>
          <t>BILL_COMMISSION</t>
        </is>
      </c>
      <c r="E801" s="7" t="inlineStr">
        <is>
          <t>physical</t>
        </is>
      </c>
      <c r="F801" s="7" t="inlineStr">
        <is>
          <t>L2</t>
        </is>
      </c>
      <c r="H801" s="7" t="inlineStr">
        <is>
          <t>zorba</t>
        </is>
      </c>
      <c r="I801" s="7" t="inlineStr">
        <is>
          <t>JEA_NSA</t>
        </is>
      </c>
      <c r="J801" s="7" t="inlineStr">
        <is>
          <t>USD</t>
        </is>
      </c>
      <c r="K801" s="7" t="inlineStr">
        <is>
          <t>floating</t>
        </is>
      </c>
      <c r="L801" s="7" t="inlineStr">
        <is>
          <t>PNL</t>
        </is>
      </c>
      <c r="M801" s="11" t="n">
        <v>44726</v>
      </c>
      <c r="N801" s="13" t="n">
        <v>0</v>
      </c>
      <c r="O801" s="6" t="n">
        <v>0</v>
      </c>
      <c r="P801" s="13" t="n">
        <v>0</v>
      </c>
      <c r="Q801" s="22" t="n">
        <v>31</v>
      </c>
      <c r="R801" s="6" t="n">
        <v>1</v>
      </c>
      <c r="U801" s="9" t="n">
        <v>-1667.64</v>
      </c>
      <c r="V801" s="9" t="n">
        <v>-129630.95</v>
      </c>
      <c r="X801" s="9" t="n">
        <v>77.7332</v>
      </c>
      <c r="AK801" s="7" t="inlineStr">
        <is>
          <t>PYTHON_LIFECYCLE</t>
        </is>
      </c>
      <c r="AL801" s="8">
        <f>IF($J801="INR",1,IF($M801&lt;$A801,INDEX(Market_Daily!$F$6:$F$256,MATCH($M801,Market_Daily!$A$6:$A$256,1)),IF($M801=$A801,INDEX(Market_Daily!$F$6:$F$256,MATCH($A801,Market_Daily!$A$6:$A$256,0)),(INDEX(Market_Daily!$F$6:$F$256,MATCH($A801,Market_Daily!$A$6:$A$256,0))*(1+INDEX(Market_Daily!$I$6:$I$256,MATCH($A801,Market_Daily!$A$6:$A$256,0))*($M801-$A801)/day_count_inr)/(1+INDEX(Market_Daily!$J$6:$J$256,MATCH($A801,Market_Daily!$A$6:$A$256,0))*($M801-$A801)/day_count_usd)))))</f>
        <v/>
      </c>
      <c r="AM801" s="8">
        <f>IF(OR($J801="INR",$R801&gt;1),"",$AL801-$X801)</f>
        <v/>
      </c>
      <c r="AN801" s="8">
        <f>$U801</f>
        <v/>
      </c>
      <c r="AO801" s="8">
        <f>$AN801*IF($J801="INR",1,$AL801)</f>
        <v/>
      </c>
      <c r="AP801" s="18">
        <f>$AO801-$V801</f>
        <v/>
      </c>
      <c r="AQ801" s="8">
        <f>IF(ABS($AP801)&lt;=tol_trade_inr,"PASS","FAIL")</f>
        <v/>
      </c>
    </row>
    <row r="802">
      <c r="A802" s="11" t="n">
        <v>44706</v>
      </c>
      <c r="B802" s="7" t="inlineStr">
        <is>
          <t>T06</t>
        </is>
      </c>
      <c r="C802" s="7" t="inlineStr">
        <is>
          <t>DUTY:L1</t>
        </is>
      </c>
      <c r="D802" s="7" t="inlineStr">
        <is>
          <t>DUTY</t>
        </is>
      </c>
      <c r="E802" s="7" t="inlineStr">
        <is>
          <t>physical</t>
        </is>
      </c>
      <c r="F802" s="7" t="inlineStr">
        <is>
          <t>L1</t>
        </is>
      </c>
      <c r="H802" s="7" t="inlineStr">
        <is>
          <t>zorba</t>
        </is>
      </c>
      <c r="I802" s="7" t="inlineStr">
        <is>
          <t>JEA_NSA</t>
        </is>
      </c>
      <c r="J802" s="7" t="inlineStr">
        <is>
          <t>INR</t>
        </is>
      </c>
      <c r="K802" s="7" t="inlineStr">
        <is>
          <t>floating</t>
        </is>
      </c>
      <c r="L802" s="7" t="inlineStr">
        <is>
          <t>PNL</t>
        </is>
      </c>
      <c r="M802" s="11" t="n">
        <v>44712</v>
      </c>
      <c r="N802" s="13" t="n">
        <v>650</v>
      </c>
      <c r="O802" s="6" t="n">
        <v>0</v>
      </c>
      <c r="P802" s="13" t="n">
        <v>0</v>
      </c>
      <c r="Q802" s="22" t="n">
        <v>31</v>
      </c>
      <c r="R802" s="6" t="n">
        <v>1</v>
      </c>
      <c r="U802" s="9" t="n">
        <v>-3007140.77</v>
      </c>
      <c r="V802" s="9" t="n">
        <v>-3007140.77</v>
      </c>
      <c r="X802" s="9" t="n">
        <v>77.5775</v>
      </c>
      <c r="AK802" s="7" t="inlineStr">
        <is>
          <t>PYTHON_LIFECYCLE</t>
        </is>
      </c>
      <c r="AL802" s="8">
        <f>IF($J802="INR",1,IF($M802&lt;$A802,INDEX(Market_Daily!$F$6:$F$256,MATCH($M802,Market_Daily!$A$6:$A$256,1)),IF($M802=$A802,INDEX(Market_Daily!$F$6:$F$256,MATCH($A802,Market_Daily!$A$6:$A$256,0)),(INDEX(Market_Daily!$F$6:$F$256,MATCH($A802,Market_Daily!$A$6:$A$256,0))*(1+INDEX(Market_Daily!$I$6:$I$256,MATCH($A802,Market_Daily!$A$6:$A$256,0))*($M802-$A802)/day_count_inr)/(1+INDEX(Market_Daily!$J$6:$J$256,MATCH($A802,Market_Daily!$A$6:$A$256,0))*($M802-$A802)/day_count_usd)))))</f>
        <v/>
      </c>
      <c r="AM802" s="8">
        <f>IF(OR($J802="INR",$R802&gt;1),"",$AL802-$X802)</f>
        <v/>
      </c>
      <c r="AN802" s="8">
        <f>$U802</f>
        <v/>
      </c>
      <c r="AO802" s="8">
        <f>$AN802*IF($J802="INR",1,$AL802)</f>
        <v/>
      </c>
      <c r="AP802" s="18">
        <f>$AO802-$V802</f>
        <v/>
      </c>
      <c r="AQ802" s="8">
        <f>IF(ABS($AP802)&lt;=tol_trade_inr,"PASS","FAIL")</f>
        <v/>
      </c>
    </row>
    <row r="803">
      <c r="A803" s="11" t="n">
        <v>44706</v>
      </c>
      <c r="B803" s="7" t="inlineStr">
        <is>
          <t>T06</t>
        </is>
      </c>
      <c r="C803" s="7" t="inlineStr">
        <is>
          <t>DUTY:L2</t>
        </is>
      </c>
      <c r="D803" s="7" t="inlineStr">
        <is>
          <t>DUTY</t>
        </is>
      </c>
      <c r="E803" s="7" t="inlineStr">
        <is>
          <t>physical</t>
        </is>
      </c>
      <c r="F803" s="7" t="inlineStr">
        <is>
          <t>L2</t>
        </is>
      </c>
      <c r="H803" s="7" t="inlineStr">
        <is>
          <t>zorba</t>
        </is>
      </c>
      <c r="I803" s="7" t="inlineStr">
        <is>
          <t>JEA_NSA</t>
        </is>
      </c>
      <c r="J803" s="7" t="inlineStr">
        <is>
          <t>INR</t>
        </is>
      </c>
      <c r="K803" s="7" t="inlineStr">
        <is>
          <t>floating</t>
        </is>
      </c>
      <c r="L803" s="7" t="inlineStr">
        <is>
          <t>PNL</t>
        </is>
      </c>
      <c r="M803" s="11" t="n">
        <v>44725</v>
      </c>
      <c r="N803" s="13" t="n">
        <v>650</v>
      </c>
      <c r="O803" s="6" t="n">
        <v>0</v>
      </c>
      <c r="P803" s="13" t="n">
        <v>0</v>
      </c>
      <c r="Q803" s="22" t="n">
        <v>31</v>
      </c>
      <c r="R803" s="6" t="n">
        <v>1</v>
      </c>
      <c r="U803" s="9" t="n">
        <v>-3007140.77</v>
      </c>
      <c r="V803" s="9" t="n">
        <v>-3007140.77</v>
      </c>
      <c r="X803" s="9" t="n">
        <v>77.5775</v>
      </c>
      <c r="AK803" s="7" t="inlineStr">
        <is>
          <t>PYTHON_LIFECYCLE</t>
        </is>
      </c>
      <c r="AL803" s="8">
        <f>IF($J803="INR",1,IF($M803&lt;$A803,INDEX(Market_Daily!$F$6:$F$256,MATCH($M803,Market_Daily!$A$6:$A$256,1)),IF($M803=$A803,INDEX(Market_Daily!$F$6:$F$256,MATCH($A803,Market_Daily!$A$6:$A$256,0)),(INDEX(Market_Daily!$F$6:$F$256,MATCH($A803,Market_Daily!$A$6:$A$256,0))*(1+INDEX(Market_Daily!$I$6:$I$256,MATCH($A803,Market_Daily!$A$6:$A$256,0))*($M803-$A803)/day_count_inr)/(1+INDEX(Market_Daily!$J$6:$J$256,MATCH($A803,Market_Daily!$A$6:$A$256,0))*($M803-$A803)/day_count_usd)))))</f>
        <v/>
      </c>
      <c r="AM803" s="8">
        <f>IF(OR($J803="INR",$R803&gt;1),"",$AL803-$X803)</f>
        <v/>
      </c>
      <c r="AN803" s="8">
        <f>$U803</f>
        <v/>
      </c>
      <c r="AO803" s="8">
        <f>$AN803*IF($J803="INR",1,$AL803)</f>
        <v/>
      </c>
      <c r="AP803" s="18">
        <f>$AO803-$V803</f>
        <v/>
      </c>
      <c r="AQ803" s="8">
        <f>IF(ABS($AP803)&lt;=tol_trade_inr,"PASS","FAIL")</f>
        <v/>
      </c>
    </row>
    <row r="804">
      <c r="A804" s="11" t="n">
        <v>44706</v>
      </c>
      <c r="B804" s="7" t="inlineStr">
        <is>
          <t>T06</t>
        </is>
      </c>
      <c r="C804" s="7" t="inlineStr">
        <is>
          <t>FX:T06-FX-1</t>
        </is>
      </c>
      <c r="D804" s="7" t="inlineStr">
        <is>
          <t>FX</t>
        </is>
      </c>
      <c r="E804" s="7" t="inlineStr">
        <is>
          <t>fx_forward</t>
        </is>
      </c>
      <c r="H804" s="7" t="inlineStr">
        <is>
          <t>zorba</t>
        </is>
      </c>
      <c r="I804" s="7" t="inlineStr">
        <is>
          <t>JEA_NSA</t>
        </is>
      </c>
      <c r="J804" s="7" t="inlineStr">
        <is>
          <t>INR</t>
        </is>
      </c>
      <c r="K804" s="7" t="inlineStr">
        <is>
          <t>floating</t>
        </is>
      </c>
      <c r="L804" s="7" t="inlineStr">
        <is>
          <t>PNL</t>
        </is>
      </c>
      <c r="M804" s="11" t="n">
        <v>44713</v>
      </c>
      <c r="N804" s="13" t="n">
        <v>0</v>
      </c>
      <c r="O804" s="6" t="n">
        <v>0</v>
      </c>
      <c r="P804" s="13" t="n">
        <v>833800</v>
      </c>
      <c r="Q804" s="22" t="n">
        <v>31</v>
      </c>
      <c r="R804" s="6" t="n">
        <v>1</v>
      </c>
      <c r="S804" s="12" t="n">
        <v>44713</v>
      </c>
      <c r="T804" s="21" t="n">
        <v>77.732006</v>
      </c>
      <c r="U804" s="9" t="n">
        <v>-83380</v>
      </c>
      <c r="V804" s="9" t="n">
        <v>-83380</v>
      </c>
      <c r="X804" s="9" t="n">
        <v>77.5775</v>
      </c>
      <c r="AK804" s="7" t="inlineStr">
        <is>
          <t>DERIVED_IN_WORKBOOK</t>
        </is>
      </c>
      <c r="AL804" s="8">
        <f>IF($J804="INR",1,IF($M804&lt;$A804,INDEX(Market_Daily!$F$6:$F$256,MATCH($M804,Market_Daily!$A$6:$A$256,1)),IF($M804=$A804,INDEX(Market_Daily!$F$6:$F$256,MATCH($A804,Market_Daily!$A$6:$A$256,0)),(INDEX(Market_Daily!$F$6:$F$256,MATCH($A804,Market_Daily!$A$6:$A$256,0))*(1+INDEX(Market_Daily!$I$6:$I$256,MATCH($A804,Market_Daily!$A$6:$A$256,0))*($M804-$A804)/day_count_inr)/(1+INDEX(Market_Daily!$J$6:$J$256,MATCH($A804,Market_Daily!$A$6:$A$256,0))*($M804-$A804)/day_count_usd)))))</f>
        <v/>
      </c>
      <c r="AM804" s="8">
        <f>IF(OR($J804="INR",$R804&gt;1),"",$AL804-$X804)</f>
        <v/>
      </c>
      <c r="AN804" s="8">
        <f>$P804*(IF($S804&lt;$A804,INDEX(Market_Daily!$F$6:$F$256,MATCH($S804,Market_Daily!$A$6:$A$256,1)),IF($S804=$A804,INDEX(Market_Daily!$F$6:$F$256,MATCH($A804,Market_Daily!$A$6:$A$256,0)),(INDEX(Market_Daily!$F$6:$F$256,MATCH($A804,Market_Daily!$A$6:$A$256,0))*(1+INDEX(Market_Daily!$I$6:$I$256,MATCH($A804,Market_Daily!$A$6:$A$256,0))*($S804-$A804)/day_count_inr)/(1+INDEX(Market_Daily!$J$6:$J$256,MATCH($A804,Market_Daily!$A$6:$A$256,0))*($S804-$A804)/day_count_usd))))-$T804)</f>
        <v/>
      </c>
      <c r="AO804" s="8">
        <f>$AN804</f>
        <v/>
      </c>
      <c r="AP804" s="18">
        <f>$AO804-$V804</f>
        <v/>
      </c>
      <c r="AQ804" s="8">
        <f>IF(ABS($AP804)&lt;=tol_trade_inr,"PASS","FAIL")</f>
        <v/>
      </c>
    </row>
    <row r="805">
      <c r="A805" s="11" t="n">
        <v>44706</v>
      </c>
      <c r="B805" s="7" t="inlineStr">
        <is>
          <t>T06</t>
        </is>
      </c>
      <c r="C805" s="7" t="inlineStr">
        <is>
          <t>IGST:L1</t>
        </is>
      </c>
      <c r="D805" s="7" t="inlineStr">
        <is>
          <t>IGST</t>
        </is>
      </c>
      <c r="E805" s="7" t="inlineStr">
        <is>
          <t>physical</t>
        </is>
      </c>
      <c r="F805" s="7" t="inlineStr">
        <is>
          <t>L1</t>
        </is>
      </c>
      <c r="H805" s="7" t="inlineStr">
        <is>
          <t>zorba</t>
        </is>
      </c>
      <c r="I805" s="7" t="inlineStr">
        <is>
          <t>JEA_NSA</t>
        </is>
      </c>
      <c r="J805" s="7" t="inlineStr">
        <is>
          <t>INR</t>
        </is>
      </c>
      <c r="K805" s="7" t="inlineStr">
        <is>
          <t>floating</t>
        </is>
      </c>
      <c r="L805" s="7" t="inlineStr">
        <is>
          <t>BS</t>
        </is>
      </c>
      <c r="M805" s="11" t="n">
        <v>44757</v>
      </c>
      <c r="N805" s="13" t="n">
        <v>0</v>
      </c>
      <c r="O805" s="6" t="n">
        <v>0</v>
      </c>
      <c r="P805" s="13" t="n">
        <v>0</v>
      </c>
      <c r="Q805" s="22" t="n">
        <v>31</v>
      </c>
      <c r="R805" s="6" t="n">
        <v>2</v>
      </c>
      <c r="U805" s="9" t="n">
        <v>0</v>
      </c>
      <c r="V805" s="9" t="n">
        <v>0</v>
      </c>
      <c r="X805" s="9" t="n">
        <v>77.5775</v>
      </c>
      <c r="AK805" s="7" t="inlineStr">
        <is>
          <t>PYTHON_MULTI_FLOW_LEG</t>
        </is>
      </c>
      <c r="AL805" s="8">
        <f>IF($J805="INR",1,IF($M805&lt;$A805,INDEX(Market_Daily!$F$6:$F$256,MATCH($M805,Market_Daily!$A$6:$A$256,1)),IF($M805=$A805,INDEX(Market_Daily!$F$6:$F$256,MATCH($A805,Market_Daily!$A$6:$A$256,0)),(INDEX(Market_Daily!$F$6:$F$256,MATCH($A805,Market_Daily!$A$6:$A$256,0))*(1+INDEX(Market_Daily!$I$6:$I$256,MATCH($A805,Market_Daily!$A$6:$A$256,0))*($M805-$A805)/day_count_inr)/(1+INDEX(Market_Daily!$J$6:$J$256,MATCH($A805,Market_Daily!$A$6:$A$256,0))*($M805-$A805)/day_count_usd)))))</f>
        <v/>
      </c>
      <c r="AM805" s="8">
        <f>IF(OR($J805="INR",$R805&gt;1),"",$AL805-$X805)</f>
        <v/>
      </c>
      <c r="AN805" s="8">
        <f>$U805</f>
        <v/>
      </c>
      <c r="AO805" s="8">
        <f>$V805</f>
        <v/>
      </c>
      <c r="AP805" s="18">
        <f>$AO805-$V805</f>
        <v/>
      </c>
      <c r="AQ805" s="8">
        <f>IF(ABS($AP805)&lt;=tol_trade_inr,"PASS","FAIL")</f>
        <v/>
      </c>
    </row>
    <row r="806">
      <c r="A806" s="11" t="n">
        <v>44706</v>
      </c>
      <c r="B806" s="7" t="inlineStr">
        <is>
          <t>T06</t>
        </is>
      </c>
      <c r="C806" s="7" t="inlineStr">
        <is>
          <t>IGST:L2</t>
        </is>
      </c>
      <c r="D806" s="7" t="inlineStr">
        <is>
          <t>IGST</t>
        </is>
      </c>
      <c r="E806" s="7" t="inlineStr">
        <is>
          <t>physical</t>
        </is>
      </c>
      <c r="F806" s="7" t="inlineStr">
        <is>
          <t>L2</t>
        </is>
      </c>
      <c r="H806" s="7" t="inlineStr">
        <is>
          <t>zorba</t>
        </is>
      </c>
      <c r="I806" s="7" t="inlineStr">
        <is>
          <t>JEA_NSA</t>
        </is>
      </c>
      <c r="J806" s="7" t="inlineStr">
        <is>
          <t>INR</t>
        </is>
      </c>
      <c r="K806" s="7" t="inlineStr">
        <is>
          <t>floating</t>
        </is>
      </c>
      <c r="L806" s="7" t="inlineStr">
        <is>
          <t>BS</t>
        </is>
      </c>
      <c r="M806" s="11" t="n">
        <v>44770</v>
      </c>
      <c r="N806" s="13" t="n">
        <v>0</v>
      </c>
      <c r="O806" s="6" t="n">
        <v>0</v>
      </c>
      <c r="P806" s="13" t="n">
        <v>0</v>
      </c>
      <c r="Q806" s="22" t="n">
        <v>31</v>
      </c>
      <c r="R806" s="6" t="n">
        <v>2</v>
      </c>
      <c r="U806" s="9" t="n">
        <v>0</v>
      </c>
      <c r="V806" s="9" t="n">
        <v>0</v>
      </c>
      <c r="X806" s="9" t="n">
        <v>77.5775</v>
      </c>
      <c r="AK806" s="7" t="inlineStr">
        <is>
          <t>PYTHON_MULTI_FLOW_LEG</t>
        </is>
      </c>
      <c r="AL806" s="8">
        <f>IF($J806="INR",1,IF($M806&lt;$A806,INDEX(Market_Daily!$F$6:$F$256,MATCH($M806,Market_Daily!$A$6:$A$256,1)),IF($M806=$A806,INDEX(Market_Daily!$F$6:$F$256,MATCH($A806,Market_Daily!$A$6:$A$256,0)),(INDEX(Market_Daily!$F$6:$F$256,MATCH($A806,Market_Daily!$A$6:$A$256,0))*(1+INDEX(Market_Daily!$I$6:$I$256,MATCH($A806,Market_Daily!$A$6:$A$256,0))*($M806-$A806)/day_count_inr)/(1+INDEX(Market_Daily!$J$6:$J$256,MATCH($A806,Market_Daily!$A$6:$A$256,0))*($M806-$A806)/day_count_usd)))))</f>
        <v/>
      </c>
      <c r="AM806" s="8">
        <f>IF(OR($J806="INR",$R806&gt;1),"",$AL806-$X806)</f>
        <v/>
      </c>
      <c r="AN806" s="8">
        <f>$U806</f>
        <v/>
      </c>
      <c r="AO806" s="8">
        <f>$V806</f>
        <v/>
      </c>
      <c r="AP806" s="18">
        <f>$AO806-$V806</f>
        <v/>
      </c>
      <c r="AQ806" s="8">
        <f>IF(ABS($AP806)&lt;=tol_trade_inr,"PASS","FAIL")</f>
        <v/>
      </c>
    </row>
    <row r="807">
      <c r="A807" s="11" t="n">
        <v>44706</v>
      </c>
      <c r="B807" s="7" t="inlineStr">
        <is>
          <t>T06</t>
        </is>
      </c>
      <c r="C807" s="7" t="inlineStr">
        <is>
          <t>INSURANCE:L2</t>
        </is>
      </c>
      <c r="D807" s="7" t="inlineStr">
        <is>
          <t>INSURANCE</t>
        </is>
      </c>
      <c r="E807" s="7" t="inlineStr">
        <is>
          <t>physical</t>
        </is>
      </c>
      <c r="F807" s="7" t="inlineStr">
        <is>
          <t>L2</t>
        </is>
      </c>
      <c r="H807" s="7" t="inlineStr">
        <is>
          <t>zorba</t>
        </is>
      </c>
      <c r="I807" s="7" t="inlineStr">
        <is>
          <t>JEA_NSA</t>
        </is>
      </c>
      <c r="J807" s="7" t="inlineStr">
        <is>
          <t>USD</t>
        </is>
      </c>
      <c r="K807" s="7" t="inlineStr">
        <is>
          <t>floating</t>
        </is>
      </c>
      <c r="L807" s="7" t="inlineStr">
        <is>
          <t>PNL</t>
        </is>
      </c>
      <c r="M807" s="11" t="n">
        <v>44719</v>
      </c>
      <c r="N807" s="13" t="n">
        <v>650</v>
      </c>
      <c r="O807" s="6" t="n">
        <v>0</v>
      </c>
      <c r="P807" s="13" t="n">
        <v>0</v>
      </c>
      <c r="Q807" s="22" t="n">
        <v>31</v>
      </c>
      <c r="R807" s="6" t="n">
        <v>1</v>
      </c>
      <c r="U807" s="9" t="n">
        <v>-1528.67</v>
      </c>
      <c r="V807" s="9" t="n">
        <v>-118745.11</v>
      </c>
      <c r="X807" s="9" t="n">
        <v>77.67870000000001</v>
      </c>
      <c r="AK807" s="7" t="inlineStr">
        <is>
          <t>PYTHON_LIFECYCLE</t>
        </is>
      </c>
      <c r="AL807" s="8">
        <f>IF($J807="INR",1,IF($M807&lt;$A807,INDEX(Market_Daily!$F$6:$F$256,MATCH($M807,Market_Daily!$A$6:$A$256,1)),IF($M807=$A807,INDEX(Market_Daily!$F$6:$F$256,MATCH($A807,Market_Daily!$A$6:$A$256,0)),(INDEX(Market_Daily!$F$6:$F$256,MATCH($A807,Market_Daily!$A$6:$A$256,0))*(1+INDEX(Market_Daily!$I$6:$I$256,MATCH($A807,Market_Daily!$A$6:$A$256,0))*($M807-$A807)/day_count_inr)/(1+INDEX(Market_Daily!$J$6:$J$256,MATCH($A807,Market_Daily!$A$6:$A$256,0))*($M807-$A807)/day_count_usd)))))</f>
        <v/>
      </c>
      <c r="AM807" s="8">
        <f>IF(OR($J807="INR",$R807&gt;1),"",$AL807-$X807)</f>
        <v/>
      </c>
      <c r="AN807" s="8">
        <f>$U807</f>
        <v/>
      </c>
      <c r="AO807" s="8">
        <f>$AN807*IF($J807="INR",1,$AL807)</f>
        <v/>
      </c>
      <c r="AP807" s="18">
        <f>$AO807-$V807</f>
        <v/>
      </c>
      <c r="AQ807" s="8">
        <f>IF(ABS($AP807)&lt;=tol_trade_inr,"PASS","FAIL")</f>
        <v/>
      </c>
    </row>
    <row r="808">
      <c r="A808" s="11" t="n">
        <v>44706</v>
      </c>
      <c r="B808" s="7" t="inlineStr">
        <is>
          <t>T06</t>
        </is>
      </c>
      <c r="C808" s="7" t="inlineStr">
        <is>
          <t>INVENTORY:L1</t>
        </is>
      </c>
      <c r="D808" s="7" t="inlineStr">
        <is>
          <t>INVENTORY</t>
        </is>
      </c>
      <c r="E808" s="7" t="inlineStr">
        <is>
          <t>physical</t>
        </is>
      </c>
      <c r="F808" s="7" t="inlineStr">
        <is>
          <t>L1</t>
        </is>
      </c>
      <c r="H808" s="7" t="inlineStr">
        <is>
          <t>zorba</t>
        </is>
      </c>
      <c r="I808" s="7" t="inlineStr">
        <is>
          <t>JEA_NSA</t>
        </is>
      </c>
      <c r="J808" s="7" t="inlineStr">
        <is>
          <t>INR</t>
        </is>
      </c>
      <c r="K808" s="7" t="inlineStr">
        <is>
          <t>fixed_unsettled</t>
        </is>
      </c>
      <c r="L808" s="7" t="inlineStr">
        <is>
          <t>PNL</t>
        </is>
      </c>
      <c r="N808" s="13" t="n">
        <v>650</v>
      </c>
      <c r="O808" s="6" t="n">
        <v>0</v>
      </c>
      <c r="P808" s="13" t="n">
        <v>0</v>
      </c>
      <c r="Q808" s="22" t="n">
        <v>31</v>
      </c>
      <c r="R808" s="6" t="n">
        <v>0</v>
      </c>
      <c r="U808" s="9" t="n">
        <v>122379635.86</v>
      </c>
      <c r="V808" s="9" t="n">
        <v>122379635.86</v>
      </c>
      <c r="W808" s="9" t="n">
        <v>188276.3629</v>
      </c>
      <c r="X808" s="9" t="n">
        <v>77.5775</v>
      </c>
      <c r="Y808" s="8">
        <f>IF($I808="JEA_NSA","20ft","40ft")</f>
        <v/>
      </c>
      <c r="Z808" s="8">
        <f>IF($I808="JEA_NSA","nsa","mun")</f>
        <v/>
      </c>
      <c r="AA808" s="8">
        <f>INDEX(param_values,MATCH("container_payload_mt_"&amp;$Y808,param_keys,0))/INDEX(param_values,MATCH("container_payload_mt_"&amp;$Y808&amp;"_"&amp;$H808,param_keys,0))</f>
        <v/>
      </c>
      <c r="AB808" s="16">
        <f>INDEX(Market_Daily!$C$6:$C$256,MATCH($A808,Market_Daily!$A$6:$A$256,0))*INDEX(Market_Daily!$X$6:$Z$256,MATCH($A808,Market_Daily!$A$6:$A$256,0),MATCH("grade_factor_"&amp;$H808,Market_Daily!$X$5:$Z$5,0))</f>
        <v/>
      </c>
      <c r="AC808" s="16">
        <f>$AB808*(1+insurance_rate*insured_value_uplift)</f>
        <v/>
      </c>
      <c r="AD808" s="8">
        <f>(INDEX(Market_Daily!$F$6:$F$256,MATCH($A808,Market_Daily!$A$6:$A$256,0))*(1+INDEX(Market_Daily!$I$6:$I$256,MATCH($A808,Market_Daily!$A$6:$A$256,0))*$Q808/day_count_inr)/(1+INDEX(Market_Daily!$J$6:$J$256,MATCH($A808,Market_Daily!$A$6:$A$256,0))*$Q808/day_count_usd))</f>
        <v/>
      </c>
      <c r="AE808" s="18">
        <f>$AC808*$AD808</f>
        <v/>
      </c>
      <c r="AF808" s="18">
        <f>$AC808*INDEX(Market_Daily!$V$6:$V$256,MATCH($A808,Market_Daily!$A$6:$A$256,0))</f>
        <v/>
      </c>
      <c r="AG808" s="18">
        <f>$AF808*bcd_scrap_hs7602*(1+sws_rate_on_bcd)</f>
        <v/>
      </c>
      <c r="AH808" s="18">
        <f>INDEX(param_values,MATCH("port_cf_charges_inr_t_"&amp;$Z808,param_keys,0))*$AA808+IF(INDEX(param_values,MATCH(IF($I808="JEA_NSA","psic_required_uae_origin","psic_required_safe_origin_designated_port"),param_keys,0)),psic_cost_usd_per_box*INDEX(Market_Daily!$F$6:$F$256,MATCH($A808,Market_Daily!$A$6:$A$256,0))/INDEX(param_values,MATCH("container_payload_mt_20ft_"&amp;$H808,param_keys,0)),0)</f>
        <v/>
      </c>
      <c r="AI808" s="18">
        <f>IF(igst_itc_available,0,($AF808+$AG808)*igst_rate_hs7602)</f>
        <v/>
      </c>
      <c r="AJ808" s="18">
        <f>$AE808+$AG808+$AH808+$AI808</f>
        <v/>
      </c>
      <c r="AK808" s="7" t="inlineStr">
        <is>
          <t>DERIVED_IN_WORKBOOK</t>
        </is>
      </c>
      <c r="AL808" s="8">
        <f>IF($J808="INR",1,IF($M808&lt;$A808,INDEX(Market_Daily!$F$6:$F$256,MATCH($M808,Market_Daily!$A$6:$A$256,1)),IF($M808=$A808,INDEX(Market_Daily!$F$6:$F$256,MATCH($A808,Market_Daily!$A$6:$A$256,0)),(INDEX(Market_Daily!$F$6:$F$256,MATCH($A808,Market_Daily!$A$6:$A$256,0))*(1+INDEX(Market_Daily!$I$6:$I$256,MATCH($A808,Market_Daily!$A$6:$A$256,0))*($M808-$A808)/day_count_inr)/(1+INDEX(Market_Daily!$J$6:$J$256,MATCH($A808,Market_Daily!$A$6:$A$256,0))*($M808-$A808)/day_count_usd)))))</f>
        <v/>
      </c>
      <c r="AM808" s="8">
        <f>IF(OR($J808="INR",$R808&gt;1),"",$AL808-$X808)</f>
        <v/>
      </c>
      <c r="AN808" s="8">
        <f>$N808*$AJ808</f>
        <v/>
      </c>
      <c r="AO808" s="8">
        <f>$AN808</f>
        <v/>
      </c>
      <c r="AP808" s="18">
        <f>$AO808-$V808</f>
        <v/>
      </c>
      <c r="AQ808" s="8">
        <f>IF(ABS($AP808)&lt;=tol_trade_inr,"PASS","FAIL")</f>
        <v/>
      </c>
    </row>
    <row r="809">
      <c r="A809" s="11" t="n">
        <v>44706</v>
      </c>
      <c r="B809" s="7" t="inlineStr">
        <is>
          <t>T06</t>
        </is>
      </c>
      <c r="C809" s="7" t="inlineStr">
        <is>
          <t>INVENTORY:L2</t>
        </is>
      </c>
      <c r="D809" s="7" t="inlineStr">
        <is>
          <t>INVENTORY</t>
        </is>
      </c>
      <c r="E809" s="7" t="inlineStr">
        <is>
          <t>physical</t>
        </is>
      </c>
      <c r="F809" s="7" t="inlineStr">
        <is>
          <t>L2</t>
        </is>
      </c>
      <c r="H809" s="7" t="inlineStr">
        <is>
          <t>zorba</t>
        </is>
      </c>
      <c r="I809" s="7" t="inlineStr">
        <is>
          <t>JEA_NSA</t>
        </is>
      </c>
      <c r="J809" s="7" t="inlineStr">
        <is>
          <t>INR</t>
        </is>
      </c>
      <c r="K809" s="7" t="inlineStr">
        <is>
          <t>fixed_unsettled</t>
        </is>
      </c>
      <c r="L809" s="7" t="inlineStr">
        <is>
          <t>PNL</t>
        </is>
      </c>
      <c r="N809" s="13" t="n">
        <v>650</v>
      </c>
      <c r="O809" s="6" t="n">
        <v>0</v>
      </c>
      <c r="P809" s="13" t="n">
        <v>0</v>
      </c>
      <c r="Q809" s="22" t="n">
        <v>31</v>
      </c>
      <c r="R809" s="6" t="n">
        <v>0</v>
      </c>
      <c r="U809" s="9" t="n">
        <v>122379635.86</v>
      </c>
      <c r="V809" s="9" t="n">
        <v>122379635.86</v>
      </c>
      <c r="W809" s="9" t="n">
        <v>188276.3629</v>
      </c>
      <c r="X809" s="9" t="n">
        <v>77.5775</v>
      </c>
      <c r="Y809" s="8">
        <f>IF($I809="JEA_NSA","20ft","40ft")</f>
        <v/>
      </c>
      <c r="Z809" s="8">
        <f>IF($I809="JEA_NSA","nsa","mun")</f>
        <v/>
      </c>
      <c r="AA809" s="8">
        <f>INDEX(param_values,MATCH("container_payload_mt_"&amp;$Y809,param_keys,0))/INDEX(param_values,MATCH("container_payload_mt_"&amp;$Y809&amp;"_"&amp;$H809,param_keys,0))</f>
        <v/>
      </c>
      <c r="AB809" s="16">
        <f>INDEX(Market_Daily!$C$6:$C$256,MATCH($A809,Market_Daily!$A$6:$A$256,0))*INDEX(Market_Daily!$X$6:$Z$256,MATCH($A809,Market_Daily!$A$6:$A$256,0),MATCH("grade_factor_"&amp;$H809,Market_Daily!$X$5:$Z$5,0))</f>
        <v/>
      </c>
      <c r="AC809" s="16">
        <f>$AB809*(1+insurance_rate*insured_value_uplift)</f>
        <v/>
      </c>
      <c r="AD809" s="8">
        <f>(INDEX(Market_Daily!$F$6:$F$256,MATCH($A809,Market_Daily!$A$6:$A$256,0))*(1+INDEX(Market_Daily!$I$6:$I$256,MATCH($A809,Market_Daily!$A$6:$A$256,0))*$Q809/day_count_inr)/(1+INDEX(Market_Daily!$J$6:$J$256,MATCH($A809,Market_Daily!$A$6:$A$256,0))*$Q809/day_count_usd))</f>
        <v/>
      </c>
      <c r="AE809" s="18">
        <f>$AC809*$AD809</f>
        <v/>
      </c>
      <c r="AF809" s="18">
        <f>$AC809*INDEX(Market_Daily!$V$6:$V$256,MATCH($A809,Market_Daily!$A$6:$A$256,0))</f>
        <v/>
      </c>
      <c r="AG809" s="18">
        <f>$AF809*bcd_scrap_hs7602*(1+sws_rate_on_bcd)</f>
        <v/>
      </c>
      <c r="AH809" s="18">
        <f>INDEX(param_values,MATCH("port_cf_charges_inr_t_"&amp;$Z809,param_keys,0))*$AA809+IF(INDEX(param_values,MATCH(IF($I809="JEA_NSA","psic_required_uae_origin","psic_required_safe_origin_designated_port"),param_keys,0)),psic_cost_usd_per_box*INDEX(Market_Daily!$F$6:$F$256,MATCH($A809,Market_Daily!$A$6:$A$256,0))/INDEX(param_values,MATCH("container_payload_mt_20ft_"&amp;$H809,param_keys,0)),0)</f>
        <v/>
      </c>
      <c r="AI809" s="18">
        <f>IF(igst_itc_available,0,($AF809+$AG809)*igst_rate_hs7602)</f>
        <v/>
      </c>
      <c r="AJ809" s="18">
        <f>$AE809+$AG809+$AH809+$AI809</f>
        <v/>
      </c>
      <c r="AK809" s="7" t="inlineStr">
        <is>
          <t>DERIVED_IN_WORKBOOK</t>
        </is>
      </c>
      <c r="AL809" s="8">
        <f>IF($J809="INR",1,IF($M809&lt;$A809,INDEX(Market_Daily!$F$6:$F$256,MATCH($M809,Market_Daily!$A$6:$A$256,1)),IF($M809=$A809,INDEX(Market_Daily!$F$6:$F$256,MATCH($A809,Market_Daily!$A$6:$A$256,0)),(INDEX(Market_Daily!$F$6:$F$256,MATCH($A809,Market_Daily!$A$6:$A$256,0))*(1+INDEX(Market_Daily!$I$6:$I$256,MATCH($A809,Market_Daily!$A$6:$A$256,0))*($M809-$A809)/day_count_inr)/(1+INDEX(Market_Daily!$J$6:$J$256,MATCH($A809,Market_Daily!$A$6:$A$256,0))*($M809-$A809)/day_count_usd)))))</f>
        <v/>
      </c>
      <c r="AM809" s="8">
        <f>IF(OR($J809="INR",$R809&gt;1),"",$AL809-$X809)</f>
        <v/>
      </c>
      <c r="AN809" s="8">
        <f>$N809*$AJ809</f>
        <v/>
      </c>
      <c r="AO809" s="8">
        <f>$AN809</f>
        <v/>
      </c>
      <c r="AP809" s="18">
        <f>$AO809-$V809</f>
        <v/>
      </c>
      <c r="AQ809" s="8">
        <f>IF(ABS($AP809)&lt;=tol_trade_inr,"PASS","FAIL")</f>
        <v/>
      </c>
    </row>
    <row r="810">
      <c r="A810" s="11" t="n">
        <v>44706</v>
      </c>
      <c r="B810" s="7" t="inlineStr">
        <is>
          <t>T06</t>
        </is>
      </c>
      <c r="C810" s="7" t="inlineStr">
        <is>
          <t>MCX:T06-MCX-2</t>
        </is>
      </c>
      <c r="D810" s="7" t="inlineStr">
        <is>
          <t>MCX</t>
        </is>
      </c>
      <c r="E810" s="7" t="inlineStr">
        <is>
          <t>mcx</t>
        </is>
      </c>
      <c r="H810" s="7" t="inlineStr">
        <is>
          <t>zorba</t>
        </is>
      </c>
      <c r="I810" s="7" t="inlineStr">
        <is>
          <t>JEA_NSA</t>
        </is>
      </c>
      <c r="J810" s="7" t="inlineStr">
        <is>
          <t>INR</t>
        </is>
      </c>
      <c r="K810" s="7" t="inlineStr">
        <is>
          <t>partially_fixed</t>
        </is>
      </c>
      <c r="L810" s="7" t="inlineStr">
        <is>
          <t>PNL</t>
        </is>
      </c>
      <c r="M810" s="11" t="n">
        <v>44713</v>
      </c>
      <c r="N810" s="13" t="n">
        <v>0</v>
      </c>
      <c r="O810" s="6" t="n">
        <v>-176</v>
      </c>
      <c r="P810" s="13" t="n">
        <v>0</v>
      </c>
      <c r="Q810" s="22" t="n">
        <v>31</v>
      </c>
      <c r="R810" s="6" t="n">
        <v>9</v>
      </c>
      <c r="U810" s="9" t="n">
        <v>0</v>
      </c>
      <c r="V810" s="9" t="n">
        <v>0</v>
      </c>
      <c r="X810" s="9" t="n">
        <v>77.5775</v>
      </c>
      <c r="AK810" s="7" t="inlineStr">
        <is>
          <t>PYTHON_MULTI_FLOW_LEG</t>
        </is>
      </c>
      <c r="AL810" s="8">
        <f>IF($J810="INR",1,IF($M810&lt;$A810,INDEX(Market_Daily!$F$6:$F$256,MATCH($M810,Market_Daily!$A$6:$A$256,1)),IF($M810=$A810,INDEX(Market_Daily!$F$6:$F$256,MATCH($A810,Market_Daily!$A$6:$A$256,0)),(INDEX(Market_Daily!$F$6:$F$256,MATCH($A810,Market_Daily!$A$6:$A$256,0))*(1+INDEX(Market_Daily!$I$6:$I$256,MATCH($A810,Market_Daily!$A$6:$A$256,0))*($M810-$A810)/day_count_inr)/(1+INDEX(Market_Daily!$J$6:$J$256,MATCH($A810,Market_Daily!$A$6:$A$256,0))*($M810-$A810)/day_count_usd)))))</f>
        <v/>
      </c>
      <c r="AM810" s="8">
        <f>IF(OR($J810="INR",$R810&gt;1),"",$AL810-$X810)</f>
        <v/>
      </c>
      <c r="AN810" s="8">
        <f>$U810</f>
        <v/>
      </c>
      <c r="AO810" s="8">
        <f>$V810</f>
        <v/>
      </c>
      <c r="AP810" s="18">
        <f>$AO810-$V810</f>
        <v/>
      </c>
      <c r="AQ810" s="8">
        <f>IF(ABS($AP810)&lt;=tol_trade_inr,"PASS","FAIL")</f>
        <v/>
      </c>
    </row>
    <row r="811">
      <c r="A811" s="11" t="n">
        <v>44706</v>
      </c>
      <c r="B811" s="7" t="inlineStr">
        <is>
          <t>T06</t>
        </is>
      </c>
      <c r="C811" s="7" t="inlineStr">
        <is>
          <t>PORT:L1</t>
        </is>
      </c>
      <c r="D811" s="7" t="inlineStr">
        <is>
          <t>PORT</t>
        </is>
      </c>
      <c r="E811" s="7" t="inlineStr">
        <is>
          <t>physical</t>
        </is>
      </c>
      <c r="F811" s="7" t="inlineStr">
        <is>
          <t>L1</t>
        </is>
      </c>
      <c r="H811" s="7" t="inlineStr">
        <is>
          <t>zorba</t>
        </is>
      </c>
      <c r="I811" s="7" t="inlineStr">
        <is>
          <t>JEA_NSA</t>
        </is>
      </c>
      <c r="J811" s="7" t="inlineStr">
        <is>
          <t>INR</t>
        </is>
      </c>
      <c r="K811" s="7" t="inlineStr">
        <is>
          <t>fixed_unsettled</t>
        </is>
      </c>
      <c r="L811" s="7" t="inlineStr">
        <is>
          <t>PNL</t>
        </is>
      </c>
      <c r="M811" s="11" t="n">
        <v>44721</v>
      </c>
      <c r="N811" s="13" t="n">
        <v>0</v>
      </c>
      <c r="O811" s="6" t="n">
        <v>0</v>
      </c>
      <c r="P811" s="13" t="n">
        <v>0</v>
      </c>
      <c r="Q811" s="22" t="n">
        <v>31</v>
      </c>
      <c r="R811" s="6" t="n">
        <v>1</v>
      </c>
      <c r="U811" s="9" t="n">
        <v>-1000000</v>
      </c>
      <c r="V811" s="9" t="n">
        <v>-1000000</v>
      </c>
      <c r="X811" s="9" t="n">
        <v>77.5775</v>
      </c>
      <c r="AK811" s="7" t="inlineStr">
        <is>
          <t>PYTHON_LIFECYCLE</t>
        </is>
      </c>
      <c r="AL811" s="8">
        <f>IF($J811="INR",1,IF($M811&lt;$A811,INDEX(Market_Daily!$F$6:$F$256,MATCH($M811,Market_Daily!$A$6:$A$256,1)),IF($M811=$A811,INDEX(Market_Daily!$F$6:$F$256,MATCH($A811,Market_Daily!$A$6:$A$256,0)),(INDEX(Market_Daily!$F$6:$F$256,MATCH($A811,Market_Daily!$A$6:$A$256,0))*(1+INDEX(Market_Daily!$I$6:$I$256,MATCH($A811,Market_Daily!$A$6:$A$256,0))*($M811-$A811)/day_count_inr)/(1+INDEX(Market_Daily!$J$6:$J$256,MATCH($A811,Market_Daily!$A$6:$A$256,0))*($M811-$A811)/day_count_usd)))))</f>
        <v/>
      </c>
      <c r="AM811" s="8">
        <f>IF(OR($J811="INR",$R811&gt;1),"",$AL811-$X811)</f>
        <v/>
      </c>
      <c r="AN811" s="8">
        <f>$U811</f>
        <v/>
      </c>
      <c r="AO811" s="8">
        <f>$AN811*IF($J811="INR",1,$AL811)</f>
        <v/>
      </c>
      <c r="AP811" s="18">
        <f>$AO811-$V811</f>
        <v/>
      </c>
      <c r="AQ811" s="8">
        <f>IF(ABS($AP811)&lt;=tol_trade_inr,"PASS","FAIL")</f>
        <v/>
      </c>
    </row>
    <row r="812">
      <c r="A812" s="11" t="n">
        <v>44706</v>
      </c>
      <c r="B812" s="7" t="inlineStr">
        <is>
          <t>T06</t>
        </is>
      </c>
      <c r="C812" s="7" t="inlineStr">
        <is>
          <t>PORT:L2</t>
        </is>
      </c>
      <c r="D812" s="7" t="inlineStr">
        <is>
          <t>PORT</t>
        </is>
      </c>
      <c r="E812" s="7" t="inlineStr">
        <is>
          <t>physical</t>
        </is>
      </c>
      <c r="F812" s="7" t="inlineStr">
        <is>
          <t>L2</t>
        </is>
      </c>
      <c r="H812" s="7" t="inlineStr">
        <is>
          <t>zorba</t>
        </is>
      </c>
      <c r="I812" s="7" t="inlineStr">
        <is>
          <t>JEA_NSA</t>
        </is>
      </c>
      <c r="J812" s="7" t="inlineStr">
        <is>
          <t>INR</t>
        </is>
      </c>
      <c r="K812" s="7" t="inlineStr">
        <is>
          <t>fixed_unsettled</t>
        </is>
      </c>
      <c r="L812" s="7" t="inlineStr">
        <is>
          <t>PNL</t>
        </is>
      </c>
      <c r="M812" s="11" t="n">
        <v>44734</v>
      </c>
      <c r="N812" s="13" t="n">
        <v>0</v>
      </c>
      <c r="O812" s="6" t="n">
        <v>0</v>
      </c>
      <c r="P812" s="13" t="n">
        <v>0</v>
      </c>
      <c r="Q812" s="22" t="n">
        <v>31</v>
      </c>
      <c r="R812" s="6" t="n">
        <v>1</v>
      </c>
      <c r="U812" s="9" t="n">
        <v>-1000000</v>
      </c>
      <c r="V812" s="9" t="n">
        <v>-1000000</v>
      </c>
      <c r="X812" s="9" t="n">
        <v>77.5775</v>
      </c>
      <c r="AK812" s="7" t="inlineStr">
        <is>
          <t>PYTHON_LIFECYCLE</t>
        </is>
      </c>
      <c r="AL812" s="8">
        <f>IF($J812="INR",1,IF($M812&lt;$A812,INDEX(Market_Daily!$F$6:$F$256,MATCH($M812,Market_Daily!$A$6:$A$256,1)),IF($M812=$A812,INDEX(Market_Daily!$F$6:$F$256,MATCH($A812,Market_Daily!$A$6:$A$256,0)),(INDEX(Market_Daily!$F$6:$F$256,MATCH($A812,Market_Daily!$A$6:$A$256,0))*(1+INDEX(Market_Daily!$I$6:$I$256,MATCH($A812,Market_Daily!$A$6:$A$256,0))*($M812-$A812)/day_count_inr)/(1+INDEX(Market_Daily!$J$6:$J$256,MATCH($A812,Market_Daily!$A$6:$A$256,0))*($M812-$A812)/day_count_usd)))))</f>
        <v/>
      </c>
      <c r="AM812" s="8">
        <f>IF(OR($J812="INR",$R812&gt;1),"",$AL812-$X812)</f>
        <v/>
      </c>
      <c r="AN812" s="8">
        <f>$U812</f>
        <v/>
      </c>
      <c r="AO812" s="8">
        <f>$AN812*IF($J812="INR",1,$AL812)</f>
        <v/>
      </c>
      <c r="AP812" s="18">
        <f>$AO812-$V812</f>
        <v/>
      </c>
      <c r="AQ812" s="8">
        <f>IF(ABS($AP812)&lt;=tol_trade_inr,"PASS","FAIL")</f>
        <v/>
      </c>
    </row>
    <row r="813">
      <c r="A813" s="11" t="n">
        <v>44706</v>
      </c>
      <c r="B813" s="7" t="inlineStr">
        <is>
          <t>T06</t>
        </is>
      </c>
      <c r="C813" s="7" t="inlineStr">
        <is>
          <t>PSIC:L2</t>
        </is>
      </c>
      <c r="D813" s="7" t="inlineStr">
        <is>
          <t>PSIC</t>
        </is>
      </c>
      <c r="E813" s="7" t="inlineStr">
        <is>
          <t>physical</t>
        </is>
      </c>
      <c r="F813" s="7" t="inlineStr">
        <is>
          <t>L2</t>
        </is>
      </c>
      <c r="H813" s="7" t="inlineStr">
        <is>
          <t>zorba</t>
        </is>
      </c>
      <c r="I813" s="7" t="inlineStr">
        <is>
          <t>JEA_NSA</t>
        </is>
      </c>
      <c r="J813" s="7" t="inlineStr">
        <is>
          <t>USD</t>
        </is>
      </c>
      <c r="K813" s="7" t="inlineStr">
        <is>
          <t>floating</t>
        </is>
      </c>
      <c r="L813" s="7" t="inlineStr">
        <is>
          <t>PNL</t>
        </is>
      </c>
      <c r="M813" s="11" t="n">
        <v>44719</v>
      </c>
      <c r="N813" s="13" t="n">
        <v>0</v>
      </c>
      <c r="O813" s="6" t="n">
        <v>0</v>
      </c>
      <c r="P813" s="13" t="n">
        <v>0</v>
      </c>
      <c r="Q813" s="22" t="n">
        <v>31</v>
      </c>
      <c r="R813" s="6" t="n">
        <v>1</v>
      </c>
      <c r="U813" s="9" t="n">
        <v>-1000</v>
      </c>
      <c r="V813" s="9" t="n">
        <v>-77678.71000000001</v>
      </c>
      <c r="X813" s="9" t="n">
        <v>77.67870000000001</v>
      </c>
      <c r="AK813" s="7" t="inlineStr">
        <is>
          <t>PYTHON_LIFECYCLE</t>
        </is>
      </c>
      <c r="AL813" s="8">
        <f>IF($J813="INR",1,IF($M813&lt;$A813,INDEX(Market_Daily!$F$6:$F$256,MATCH($M813,Market_Daily!$A$6:$A$256,1)),IF($M813=$A813,INDEX(Market_Daily!$F$6:$F$256,MATCH($A813,Market_Daily!$A$6:$A$256,0)),(INDEX(Market_Daily!$F$6:$F$256,MATCH($A813,Market_Daily!$A$6:$A$256,0))*(1+INDEX(Market_Daily!$I$6:$I$256,MATCH($A813,Market_Daily!$A$6:$A$256,0))*($M813-$A813)/day_count_inr)/(1+INDEX(Market_Daily!$J$6:$J$256,MATCH($A813,Market_Daily!$A$6:$A$256,0))*($M813-$A813)/day_count_usd)))))</f>
        <v/>
      </c>
      <c r="AM813" s="8">
        <f>IF(OR($J813="INR",$R813&gt;1),"",$AL813-$X813)</f>
        <v/>
      </c>
      <c r="AN813" s="8">
        <f>$U813</f>
        <v/>
      </c>
      <c r="AO813" s="8">
        <f>$AN813*IF($J813="INR",1,$AL813)</f>
        <v/>
      </c>
      <c r="AP813" s="18">
        <f>$AO813-$V813</f>
        <v/>
      </c>
      <c r="AQ813" s="8">
        <f>IF(ABS($AP813)&lt;=tol_trade_inr,"PASS","FAIL")</f>
        <v/>
      </c>
    </row>
    <row r="814">
      <c r="A814" s="11" t="n">
        <v>44706</v>
      </c>
      <c r="B814" s="7" t="inlineStr">
        <is>
          <t>T06</t>
        </is>
      </c>
      <c r="C814" s="7" t="inlineStr">
        <is>
          <t>PURCHASE:L1</t>
        </is>
      </c>
      <c r="D814" s="7" t="inlineStr">
        <is>
          <t>PURCHASE</t>
        </is>
      </c>
      <c r="E814" s="7" t="inlineStr">
        <is>
          <t>physical</t>
        </is>
      </c>
      <c r="F814" s="7" t="inlineStr">
        <is>
          <t>L1</t>
        </is>
      </c>
      <c r="G814" s="7" t="inlineStr">
        <is>
          <t>SUP_JEA_01</t>
        </is>
      </c>
      <c r="H814" s="7" t="inlineStr">
        <is>
          <t>zorba</t>
        </is>
      </c>
      <c r="I814" s="7" t="inlineStr">
        <is>
          <t>JEA_NSA</t>
        </is>
      </c>
      <c r="J814" s="7" t="inlineStr">
        <is>
          <t>USD</t>
        </is>
      </c>
      <c r="K814" s="7" t="inlineStr">
        <is>
          <t>fixed_unsettled</t>
        </is>
      </c>
      <c r="L814" s="7" t="inlineStr">
        <is>
          <t>PNL</t>
        </is>
      </c>
      <c r="M814" s="11" t="n">
        <v>44713</v>
      </c>
      <c r="N814" s="13" t="n">
        <v>650</v>
      </c>
      <c r="O814" s="6" t="n">
        <v>0</v>
      </c>
      <c r="P814" s="13" t="n">
        <v>0</v>
      </c>
      <c r="Q814" s="22" t="n">
        <v>31</v>
      </c>
      <c r="R814" s="6" t="n">
        <v>1</v>
      </c>
      <c r="U814" s="9" t="n">
        <v>-1389700</v>
      </c>
      <c r="V814" s="9" t="n">
        <v>-107885199.38</v>
      </c>
      <c r="X814" s="9" t="n">
        <v>77.63200000000001</v>
      </c>
      <c r="AK814" s="7" t="inlineStr">
        <is>
          <t>PYTHON_LIFECYCLE</t>
        </is>
      </c>
      <c r="AL814" s="8">
        <f>IF($J814="INR",1,IF($M814&lt;$A814,INDEX(Market_Daily!$F$6:$F$256,MATCH($M814,Market_Daily!$A$6:$A$256,1)),IF($M814=$A814,INDEX(Market_Daily!$F$6:$F$256,MATCH($A814,Market_Daily!$A$6:$A$256,0)),(INDEX(Market_Daily!$F$6:$F$256,MATCH($A814,Market_Daily!$A$6:$A$256,0))*(1+INDEX(Market_Daily!$I$6:$I$256,MATCH($A814,Market_Daily!$A$6:$A$256,0))*($M814-$A814)/day_count_inr)/(1+INDEX(Market_Daily!$J$6:$J$256,MATCH($A814,Market_Daily!$A$6:$A$256,0))*($M814-$A814)/day_count_usd)))))</f>
        <v/>
      </c>
      <c r="AM814" s="8">
        <f>IF(OR($J814="INR",$R814&gt;1),"",$AL814-$X814)</f>
        <v/>
      </c>
      <c r="AN814" s="8">
        <f>$U814</f>
        <v/>
      </c>
      <c r="AO814" s="8">
        <f>$AN814*IF($J814="INR",1,$AL814)</f>
        <v/>
      </c>
      <c r="AP814" s="18">
        <f>$AO814-$V814</f>
        <v/>
      </c>
      <c r="AQ814" s="8">
        <f>IF(ABS($AP814)&lt;=tol_trade_inr,"PASS","FAIL")</f>
        <v/>
      </c>
    </row>
    <row r="815">
      <c r="A815" s="11" t="n">
        <v>44706</v>
      </c>
      <c r="B815" s="7" t="inlineStr">
        <is>
          <t>T06</t>
        </is>
      </c>
      <c r="C815" s="7" t="inlineStr">
        <is>
          <t>PURCHASE:L2</t>
        </is>
      </c>
      <c r="D815" s="7" t="inlineStr">
        <is>
          <t>PURCHASE</t>
        </is>
      </c>
      <c r="E815" s="7" t="inlineStr">
        <is>
          <t>physical</t>
        </is>
      </c>
      <c r="F815" s="7" t="inlineStr">
        <is>
          <t>L2</t>
        </is>
      </c>
      <c r="G815" s="7" t="inlineStr">
        <is>
          <t>SUP_JEA_01</t>
        </is>
      </c>
      <c r="H815" s="7" t="inlineStr">
        <is>
          <t>zorba</t>
        </is>
      </c>
      <c r="I815" s="7" t="inlineStr">
        <is>
          <t>JEA_NSA</t>
        </is>
      </c>
      <c r="J815" s="7" t="inlineStr">
        <is>
          <t>USD</t>
        </is>
      </c>
      <c r="K815" s="7" t="inlineStr">
        <is>
          <t>fixed_unsettled</t>
        </is>
      </c>
      <c r="L815" s="7" t="inlineStr">
        <is>
          <t>PNL</t>
        </is>
      </c>
      <c r="M815" s="11" t="n">
        <v>44726</v>
      </c>
      <c r="N815" s="13" t="n">
        <v>650</v>
      </c>
      <c r="O815" s="6" t="n">
        <v>0</v>
      </c>
      <c r="P815" s="13" t="n">
        <v>0</v>
      </c>
      <c r="Q815" s="22" t="n">
        <v>31</v>
      </c>
      <c r="R815" s="6" t="n">
        <v>1</v>
      </c>
      <c r="U815" s="9" t="n">
        <v>-1389700</v>
      </c>
      <c r="V815" s="9" t="n">
        <v>-108025791.12</v>
      </c>
      <c r="X815" s="9" t="n">
        <v>77.7332</v>
      </c>
      <c r="AK815" s="7" t="inlineStr">
        <is>
          <t>PYTHON_LIFECYCLE</t>
        </is>
      </c>
      <c r="AL815" s="8">
        <f>IF($J815="INR",1,IF($M815&lt;$A815,INDEX(Market_Daily!$F$6:$F$256,MATCH($M815,Market_Daily!$A$6:$A$256,1)),IF($M815=$A815,INDEX(Market_Daily!$F$6:$F$256,MATCH($A815,Market_Daily!$A$6:$A$256,0)),(INDEX(Market_Daily!$F$6:$F$256,MATCH($A815,Market_Daily!$A$6:$A$256,0))*(1+INDEX(Market_Daily!$I$6:$I$256,MATCH($A815,Market_Daily!$A$6:$A$256,0))*($M815-$A815)/day_count_inr)/(1+INDEX(Market_Daily!$J$6:$J$256,MATCH($A815,Market_Daily!$A$6:$A$256,0))*($M815-$A815)/day_count_usd)))))</f>
        <v/>
      </c>
      <c r="AM815" s="8">
        <f>IF(OR($J815="INR",$R815&gt;1),"",$AL815-$X815)</f>
        <v/>
      </c>
      <c r="AN815" s="8">
        <f>$U815</f>
        <v/>
      </c>
      <c r="AO815" s="8">
        <f>$AN815*IF($J815="INR",1,$AL815)</f>
        <v/>
      </c>
      <c r="AP815" s="18">
        <f>$AO815-$V815</f>
        <v/>
      </c>
      <c r="AQ815" s="8">
        <f>IF(ABS($AP815)&lt;=tol_trade_inr,"PASS","FAIL")</f>
        <v/>
      </c>
    </row>
    <row r="816">
      <c r="A816" s="11" t="n">
        <v>44706</v>
      </c>
      <c r="B816" s="7" t="inlineStr">
        <is>
          <t>T07</t>
        </is>
      </c>
      <c r="C816" s="7" t="inlineStr">
        <is>
          <t>BILL_COMMISSION:L1</t>
        </is>
      </c>
      <c r="D816" s="7" t="inlineStr">
        <is>
          <t>BILL_COMMISSION</t>
        </is>
      </c>
      <c r="E816" s="7" t="inlineStr">
        <is>
          <t>physical</t>
        </is>
      </c>
      <c r="F816" s="7" t="inlineStr">
        <is>
          <t>L1</t>
        </is>
      </c>
      <c r="H816" s="7" t="inlineStr">
        <is>
          <t>tense</t>
        </is>
      </c>
      <c r="I816" s="7" t="inlineStr">
        <is>
          <t>USEC_MUN</t>
        </is>
      </c>
      <c r="J816" s="7" t="inlineStr">
        <is>
          <t>USD</t>
        </is>
      </c>
      <c r="K816" s="7" t="inlineStr">
        <is>
          <t>floating</t>
        </is>
      </c>
      <c r="L816" s="7" t="inlineStr">
        <is>
          <t>PNL</t>
        </is>
      </c>
      <c r="M816" s="11" t="n">
        <v>44727</v>
      </c>
      <c r="N816" s="13" t="n">
        <v>0</v>
      </c>
      <c r="O816" s="6" t="n">
        <v>0</v>
      </c>
      <c r="P816" s="13" t="n">
        <v>0</v>
      </c>
      <c r="Q816" s="22" t="n">
        <v>31</v>
      </c>
      <c r="R816" s="6" t="n">
        <v>1</v>
      </c>
      <c r="U816" s="9" t="n">
        <v>-2365.52</v>
      </c>
      <c r="V816" s="9" t="n">
        <v>-183898.09</v>
      </c>
      <c r="X816" s="9" t="n">
        <v>77.741</v>
      </c>
      <c r="AK816" s="7" t="inlineStr">
        <is>
          <t>PYTHON_LIFECYCLE</t>
        </is>
      </c>
      <c r="AL816" s="8">
        <f>IF($J816="INR",1,IF($M816&lt;$A816,INDEX(Market_Daily!$F$6:$F$256,MATCH($M816,Market_Daily!$A$6:$A$256,1)),IF($M816=$A816,INDEX(Market_Daily!$F$6:$F$256,MATCH($A816,Market_Daily!$A$6:$A$256,0)),(INDEX(Market_Daily!$F$6:$F$256,MATCH($A816,Market_Daily!$A$6:$A$256,0))*(1+INDEX(Market_Daily!$I$6:$I$256,MATCH($A816,Market_Daily!$A$6:$A$256,0))*($M816-$A816)/day_count_inr)/(1+INDEX(Market_Daily!$J$6:$J$256,MATCH($A816,Market_Daily!$A$6:$A$256,0))*($M816-$A816)/day_count_usd)))))</f>
        <v/>
      </c>
      <c r="AM816" s="8">
        <f>IF(OR($J816="INR",$R816&gt;1),"",$AL816-$X816)</f>
        <v/>
      </c>
      <c r="AN816" s="8">
        <f>$U816</f>
        <v/>
      </c>
      <c r="AO816" s="8">
        <f>$AN816*IF($J816="INR",1,$AL816)</f>
        <v/>
      </c>
      <c r="AP816" s="18">
        <f>$AO816-$V816</f>
        <v/>
      </c>
      <c r="AQ816" s="8">
        <f>IF(ABS($AP816)&lt;=tol_trade_inr,"PASS","FAIL")</f>
        <v/>
      </c>
    </row>
    <row r="817">
      <c r="A817" s="11" t="n">
        <v>44706</v>
      </c>
      <c r="B817" s="7" t="inlineStr">
        <is>
          <t>T07</t>
        </is>
      </c>
      <c r="C817" s="7" t="inlineStr">
        <is>
          <t>BILL_COMMISSION:L2</t>
        </is>
      </c>
      <c r="D817" s="7" t="inlineStr">
        <is>
          <t>BILL_COMMISSION</t>
        </is>
      </c>
      <c r="E817" s="7" t="inlineStr">
        <is>
          <t>physical</t>
        </is>
      </c>
      <c r="F817" s="7" t="inlineStr">
        <is>
          <t>L2</t>
        </is>
      </c>
      <c r="H817" s="7" t="inlineStr">
        <is>
          <t>tense</t>
        </is>
      </c>
      <c r="I817" s="7" t="inlineStr">
        <is>
          <t>USEC_MUN</t>
        </is>
      </c>
      <c r="J817" s="7" t="inlineStr">
        <is>
          <t>USD</t>
        </is>
      </c>
      <c r="K817" s="7" t="inlineStr">
        <is>
          <t>floating</t>
        </is>
      </c>
      <c r="L817" s="7" t="inlineStr">
        <is>
          <t>PNL</t>
        </is>
      </c>
      <c r="M817" s="11" t="n">
        <v>44734</v>
      </c>
      <c r="N817" s="13" t="n">
        <v>0</v>
      </c>
      <c r="O817" s="6" t="n">
        <v>0</v>
      </c>
      <c r="P817" s="13" t="n">
        <v>0</v>
      </c>
      <c r="Q817" s="22" t="n">
        <v>31</v>
      </c>
      <c r="R817" s="6" t="n">
        <v>1</v>
      </c>
      <c r="U817" s="9" t="n">
        <v>-2365.52</v>
      </c>
      <c r="V817" s="9" t="n">
        <v>-184026.87</v>
      </c>
      <c r="X817" s="9" t="n">
        <v>77.7954</v>
      </c>
      <c r="AK817" s="7" t="inlineStr">
        <is>
          <t>PYTHON_LIFECYCLE</t>
        </is>
      </c>
      <c r="AL817" s="8">
        <f>IF($J817="INR",1,IF($M817&lt;$A817,INDEX(Market_Daily!$F$6:$F$256,MATCH($M817,Market_Daily!$A$6:$A$256,1)),IF($M817=$A817,INDEX(Market_Daily!$F$6:$F$256,MATCH($A817,Market_Daily!$A$6:$A$256,0)),(INDEX(Market_Daily!$F$6:$F$256,MATCH($A817,Market_Daily!$A$6:$A$256,0))*(1+INDEX(Market_Daily!$I$6:$I$256,MATCH($A817,Market_Daily!$A$6:$A$256,0))*($M817-$A817)/day_count_inr)/(1+INDEX(Market_Daily!$J$6:$J$256,MATCH($A817,Market_Daily!$A$6:$A$256,0))*($M817-$A817)/day_count_usd)))))</f>
        <v/>
      </c>
      <c r="AM817" s="8">
        <f>IF(OR($J817="INR",$R817&gt;1),"",$AL817-$X817)</f>
        <v/>
      </c>
      <c r="AN817" s="8">
        <f>$U817</f>
        <v/>
      </c>
      <c r="AO817" s="8">
        <f>$AN817*IF($J817="INR",1,$AL817)</f>
        <v/>
      </c>
      <c r="AP817" s="18">
        <f>$AO817-$V817</f>
        <v/>
      </c>
      <c r="AQ817" s="8">
        <f>IF(ABS($AP817)&lt;=tol_trade_inr,"PASS","FAIL")</f>
        <v/>
      </c>
    </row>
    <row r="818">
      <c r="A818" s="11" t="n">
        <v>44706</v>
      </c>
      <c r="B818" s="7" t="inlineStr">
        <is>
          <t>T07</t>
        </is>
      </c>
      <c r="C818" s="7" t="inlineStr">
        <is>
          <t>DUTY:L1</t>
        </is>
      </c>
      <c r="D818" s="7" t="inlineStr">
        <is>
          <t>DUTY</t>
        </is>
      </c>
      <c r="E818" s="7" t="inlineStr">
        <is>
          <t>physical</t>
        </is>
      </c>
      <c r="F818" s="7" t="inlineStr">
        <is>
          <t>L1</t>
        </is>
      </c>
      <c r="H818" s="7" t="inlineStr">
        <is>
          <t>tense</t>
        </is>
      </c>
      <c r="I818" s="7" t="inlineStr">
        <is>
          <t>USEC_MUN</t>
        </is>
      </c>
      <c r="J818" s="7" t="inlineStr">
        <is>
          <t>INR</t>
        </is>
      </c>
      <c r="K818" s="7" t="inlineStr">
        <is>
          <t>floating</t>
        </is>
      </c>
      <c r="L818" s="7" t="inlineStr">
        <is>
          <t>PNL</t>
        </is>
      </c>
      <c r="M818" s="11" t="n">
        <v>44761</v>
      </c>
      <c r="N818" s="13" t="n">
        <v>945</v>
      </c>
      <c r="O818" s="6" t="n">
        <v>0</v>
      </c>
      <c r="P818" s="13" t="n">
        <v>0</v>
      </c>
      <c r="Q818" s="22" t="n">
        <v>31</v>
      </c>
      <c r="R818" s="6" t="n">
        <v>1</v>
      </c>
      <c r="U818" s="9" t="n">
        <v>-4449522.65</v>
      </c>
      <c r="V818" s="9" t="n">
        <v>-4449522.65</v>
      </c>
      <c r="X818" s="9" t="n">
        <v>77.5775</v>
      </c>
      <c r="AK818" s="7" t="inlineStr">
        <is>
          <t>PYTHON_LIFECYCLE</t>
        </is>
      </c>
      <c r="AL818" s="8">
        <f>IF($J818="INR",1,IF($M818&lt;$A818,INDEX(Market_Daily!$F$6:$F$256,MATCH($M818,Market_Daily!$A$6:$A$256,1)),IF($M818=$A818,INDEX(Market_Daily!$F$6:$F$256,MATCH($A818,Market_Daily!$A$6:$A$256,0)),(INDEX(Market_Daily!$F$6:$F$256,MATCH($A818,Market_Daily!$A$6:$A$256,0))*(1+INDEX(Market_Daily!$I$6:$I$256,MATCH($A818,Market_Daily!$A$6:$A$256,0))*($M818-$A818)/day_count_inr)/(1+INDEX(Market_Daily!$J$6:$J$256,MATCH($A818,Market_Daily!$A$6:$A$256,0))*($M818-$A818)/day_count_usd)))))</f>
        <v/>
      </c>
      <c r="AM818" s="8">
        <f>IF(OR($J818="INR",$R818&gt;1),"",$AL818-$X818)</f>
        <v/>
      </c>
      <c r="AN818" s="8">
        <f>$U818</f>
        <v/>
      </c>
      <c r="AO818" s="8">
        <f>$AN818*IF($J818="INR",1,$AL818)</f>
        <v/>
      </c>
      <c r="AP818" s="18">
        <f>$AO818-$V818</f>
        <v/>
      </c>
      <c r="AQ818" s="8">
        <f>IF(ABS($AP818)&lt;=tol_trade_inr,"PASS","FAIL")</f>
        <v/>
      </c>
    </row>
    <row r="819">
      <c r="A819" s="11" t="n">
        <v>44706</v>
      </c>
      <c r="B819" s="7" t="inlineStr">
        <is>
          <t>T07</t>
        </is>
      </c>
      <c r="C819" s="7" t="inlineStr">
        <is>
          <t>DUTY:L2</t>
        </is>
      </c>
      <c r="D819" s="7" t="inlineStr">
        <is>
          <t>DUTY</t>
        </is>
      </c>
      <c r="E819" s="7" t="inlineStr">
        <is>
          <t>physical</t>
        </is>
      </c>
      <c r="F819" s="7" t="inlineStr">
        <is>
          <t>L2</t>
        </is>
      </c>
      <c r="H819" s="7" t="inlineStr">
        <is>
          <t>tense</t>
        </is>
      </c>
      <c r="I819" s="7" t="inlineStr">
        <is>
          <t>USEC_MUN</t>
        </is>
      </c>
      <c r="J819" s="7" t="inlineStr">
        <is>
          <t>INR</t>
        </is>
      </c>
      <c r="K819" s="7" t="inlineStr">
        <is>
          <t>floating</t>
        </is>
      </c>
      <c r="L819" s="7" t="inlineStr">
        <is>
          <t>PNL</t>
        </is>
      </c>
      <c r="M819" s="11" t="n">
        <v>44768</v>
      </c>
      <c r="N819" s="13" t="n">
        <v>945</v>
      </c>
      <c r="O819" s="6" t="n">
        <v>0</v>
      </c>
      <c r="P819" s="13" t="n">
        <v>0</v>
      </c>
      <c r="Q819" s="22" t="n">
        <v>31</v>
      </c>
      <c r="R819" s="6" t="n">
        <v>1</v>
      </c>
      <c r="U819" s="9" t="n">
        <v>-4449522.65</v>
      </c>
      <c r="V819" s="9" t="n">
        <v>-4449522.65</v>
      </c>
      <c r="X819" s="9" t="n">
        <v>77.5775</v>
      </c>
      <c r="AK819" s="7" t="inlineStr">
        <is>
          <t>PYTHON_LIFECYCLE</t>
        </is>
      </c>
      <c r="AL819" s="8">
        <f>IF($J819="INR",1,IF($M819&lt;$A819,INDEX(Market_Daily!$F$6:$F$256,MATCH($M819,Market_Daily!$A$6:$A$256,1)),IF($M819=$A819,INDEX(Market_Daily!$F$6:$F$256,MATCH($A819,Market_Daily!$A$6:$A$256,0)),(INDEX(Market_Daily!$F$6:$F$256,MATCH($A819,Market_Daily!$A$6:$A$256,0))*(1+INDEX(Market_Daily!$I$6:$I$256,MATCH($A819,Market_Daily!$A$6:$A$256,0))*($M819-$A819)/day_count_inr)/(1+INDEX(Market_Daily!$J$6:$J$256,MATCH($A819,Market_Daily!$A$6:$A$256,0))*($M819-$A819)/day_count_usd)))))</f>
        <v/>
      </c>
      <c r="AM819" s="8">
        <f>IF(OR($J819="INR",$R819&gt;1),"",$AL819-$X819)</f>
        <v/>
      </c>
      <c r="AN819" s="8">
        <f>$U819</f>
        <v/>
      </c>
      <c r="AO819" s="8">
        <f>$AN819*IF($J819="INR",1,$AL819)</f>
        <v/>
      </c>
      <c r="AP819" s="18">
        <f>$AO819-$V819</f>
        <v/>
      </c>
      <c r="AQ819" s="8">
        <f>IF(ABS($AP819)&lt;=tol_trade_inr,"PASS","FAIL")</f>
        <v/>
      </c>
    </row>
    <row r="820">
      <c r="A820" s="11" t="n">
        <v>44706</v>
      </c>
      <c r="B820" s="7" t="inlineStr">
        <is>
          <t>T07</t>
        </is>
      </c>
      <c r="C820" s="7" t="inlineStr">
        <is>
          <t>FREIGHT:L1</t>
        </is>
      </c>
      <c r="D820" s="7" t="inlineStr">
        <is>
          <t>FREIGHT</t>
        </is>
      </c>
      <c r="E820" s="7" t="inlineStr">
        <is>
          <t>physical</t>
        </is>
      </c>
      <c r="F820" s="7" t="inlineStr">
        <is>
          <t>L1</t>
        </is>
      </c>
      <c r="G820" s="7" t="inlineStr">
        <is>
          <t>Konkan Freight Services (SIM)</t>
        </is>
      </c>
      <c r="H820" s="7" t="inlineStr">
        <is>
          <t>tense</t>
        </is>
      </c>
      <c r="I820" s="7" t="inlineStr">
        <is>
          <t>USEC_MUN</t>
        </is>
      </c>
      <c r="J820" s="7" t="inlineStr">
        <is>
          <t>USD</t>
        </is>
      </c>
      <c r="K820" s="7" t="inlineStr">
        <is>
          <t>floating</t>
        </is>
      </c>
      <c r="L820" s="7" t="inlineStr">
        <is>
          <t>PNL</t>
        </is>
      </c>
      <c r="M820" s="11" t="n">
        <v>44720</v>
      </c>
      <c r="N820" s="13" t="n">
        <v>945</v>
      </c>
      <c r="O820" s="6" t="n">
        <v>0</v>
      </c>
      <c r="P820" s="13" t="n">
        <v>0</v>
      </c>
      <c r="Q820" s="22" t="n">
        <v>31</v>
      </c>
      <c r="R820" s="6" t="n">
        <v>1</v>
      </c>
      <c r="U820" s="9" t="n">
        <v>-85002.75</v>
      </c>
      <c r="V820" s="9" t="n">
        <v>-6603565.34</v>
      </c>
      <c r="X820" s="9" t="n">
        <v>77.6865</v>
      </c>
      <c r="AK820" s="7" t="inlineStr">
        <is>
          <t>PYTHON_LIFECYCLE</t>
        </is>
      </c>
      <c r="AL820" s="8">
        <f>IF($J820="INR",1,IF($M820&lt;$A820,INDEX(Market_Daily!$F$6:$F$256,MATCH($M820,Market_Daily!$A$6:$A$256,1)),IF($M820=$A820,INDEX(Market_Daily!$F$6:$F$256,MATCH($A820,Market_Daily!$A$6:$A$256,0)),(INDEX(Market_Daily!$F$6:$F$256,MATCH($A820,Market_Daily!$A$6:$A$256,0))*(1+INDEX(Market_Daily!$I$6:$I$256,MATCH($A820,Market_Daily!$A$6:$A$256,0))*($M820-$A820)/day_count_inr)/(1+INDEX(Market_Daily!$J$6:$J$256,MATCH($A820,Market_Daily!$A$6:$A$256,0))*($M820-$A820)/day_count_usd)))))</f>
        <v/>
      </c>
      <c r="AM820" s="8">
        <f>IF(OR($J820="INR",$R820&gt;1),"",$AL820-$X820)</f>
        <v/>
      </c>
      <c r="AN820" s="8">
        <f>$U820</f>
        <v/>
      </c>
      <c r="AO820" s="8">
        <f>$AN820*IF($J820="INR",1,$AL820)</f>
        <v/>
      </c>
      <c r="AP820" s="18">
        <f>$AO820-$V820</f>
        <v/>
      </c>
      <c r="AQ820" s="8">
        <f>IF(ABS($AP820)&lt;=tol_trade_inr,"PASS","FAIL")</f>
        <v/>
      </c>
    </row>
    <row r="821">
      <c r="A821" s="11" t="n">
        <v>44706</v>
      </c>
      <c r="B821" s="7" t="inlineStr">
        <is>
          <t>T07</t>
        </is>
      </c>
      <c r="C821" s="7" t="inlineStr">
        <is>
          <t>FREIGHT:L2</t>
        </is>
      </c>
      <c r="D821" s="7" t="inlineStr">
        <is>
          <t>FREIGHT</t>
        </is>
      </c>
      <c r="E821" s="7" t="inlineStr">
        <is>
          <t>physical</t>
        </is>
      </c>
      <c r="F821" s="7" t="inlineStr">
        <is>
          <t>L2</t>
        </is>
      </c>
      <c r="G821" s="7" t="inlineStr">
        <is>
          <t>Konkan Freight Services (SIM)</t>
        </is>
      </c>
      <c r="H821" s="7" t="inlineStr">
        <is>
          <t>tense</t>
        </is>
      </c>
      <c r="I821" s="7" t="inlineStr">
        <is>
          <t>USEC_MUN</t>
        </is>
      </c>
      <c r="J821" s="7" t="inlineStr">
        <is>
          <t>USD</t>
        </is>
      </c>
      <c r="K821" s="7" t="inlineStr">
        <is>
          <t>floating</t>
        </is>
      </c>
      <c r="L821" s="7" t="inlineStr">
        <is>
          <t>PNL</t>
        </is>
      </c>
      <c r="M821" s="11" t="n">
        <v>44727</v>
      </c>
      <c r="N821" s="13" t="n">
        <v>945</v>
      </c>
      <c r="O821" s="6" t="n">
        <v>0</v>
      </c>
      <c r="P821" s="13" t="n">
        <v>0</v>
      </c>
      <c r="Q821" s="22" t="n">
        <v>31</v>
      </c>
      <c r="R821" s="6" t="n">
        <v>1</v>
      </c>
      <c r="U821" s="9" t="n">
        <v>-85002.75</v>
      </c>
      <c r="V821" s="9" t="n">
        <v>-6608194.73</v>
      </c>
      <c r="X821" s="9" t="n">
        <v>77.741</v>
      </c>
      <c r="AK821" s="7" t="inlineStr">
        <is>
          <t>PYTHON_LIFECYCLE</t>
        </is>
      </c>
      <c r="AL821" s="8">
        <f>IF($J821="INR",1,IF($M821&lt;$A821,INDEX(Market_Daily!$F$6:$F$256,MATCH($M821,Market_Daily!$A$6:$A$256,1)),IF($M821=$A821,INDEX(Market_Daily!$F$6:$F$256,MATCH($A821,Market_Daily!$A$6:$A$256,0)),(INDEX(Market_Daily!$F$6:$F$256,MATCH($A821,Market_Daily!$A$6:$A$256,0))*(1+INDEX(Market_Daily!$I$6:$I$256,MATCH($A821,Market_Daily!$A$6:$A$256,0))*($M821-$A821)/day_count_inr)/(1+INDEX(Market_Daily!$J$6:$J$256,MATCH($A821,Market_Daily!$A$6:$A$256,0))*($M821-$A821)/day_count_usd)))))</f>
        <v/>
      </c>
      <c r="AM821" s="8">
        <f>IF(OR($J821="INR",$R821&gt;1),"",$AL821-$X821)</f>
        <v/>
      </c>
      <c r="AN821" s="8">
        <f>$U821</f>
        <v/>
      </c>
      <c r="AO821" s="8">
        <f>$AN821*IF($J821="INR",1,$AL821)</f>
        <v/>
      </c>
      <c r="AP821" s="18">
        <f>$AO821-$V821</f>
        <v/>
      </c>
      <c r="AQ821" s="8">
        <f>IF(ABS($AP821)&lt;=tol_trade_inr,"PASS","FAIL")</f>
        <v/>
      </c>
    </row>
    <row r="822">
      <c r="A822" s="11" t="n">
        <v>44706</v>
      </c>
      <c r="B822" s="7" t="inlineStr">
        <is>
          <t>T07</t>
        </is>
      </c>
      <c r="C822" s="7" t="inlineStr">
        <is>
          <t>IGST:L1</t>
        </is>
      </c>
      <c r="D822" s="7" t="inlineStr">
        <is>
          <t>IGST</t>
        </is>
      </c>
      <c r="E822" s="7" t="inlineStr">
        <is>
          <t>physical</t>
        </is>
      </c>
      <c r="F822" s="7" t="inlineStr">
        <is>
          <t>L1</t>
        </is>
      </c>
      <c r="H822" s="7" t="inlineStr">
        <is>
          <t>tense</t>
        </is>
      </c>
      <c r="I822" s="7" t="inlineStr">
        <is>
          <t>USEC_MUN</t>
        </is>
      </c>
      <c r="J822" s="7" t="inlineStr">
        <is>
          <t>INR</t>
        </is>
      </c>
      <c r="K822" s="7" t="inlineStr">
        <is>
          <t>floating</t>
        </is>
      </c>
      <c r="L822" s="7" t="inlineStr">
        <is>
          <t>BS</t>
        </is>
      </c>
      <c r="M822" s="11" t="n">
        <v>44806</v>
      </c>
      <c r="N822" s="13" t="n">
        <v>0</v>
      </c>
      <c r="O822" s="6" t="n">
        <v>0</v>
      </c>
      <c r="P822" s="13" t="n">
        <v>0</v>
      </c>
      <c r="Q822" s="22" t="n">
        <v>31</v>
      </c>
      <c r="R822" s="6" t="n">
        <v>2</v>
      </c>
      <c r="U822" s="9" t="n">
        <v>0</v>
      </c>
      <c r="V822" s="9" t="n">
        <v>0</v>
      </c>
      <c r="X822" s="9" t="n">
        <v>77.5775</v>
      </c>
      <c r="AK822" s="7" t="inlineStr">
        <is>
          <t>PYTHON_MULTI_FLOW_LEG</t>
        </is>
      </c>
      <c r="AL822" s="8">
        <f>IF($J822="INR",1,IF($M822&lt;$A822,INDEX(Market_Daily!$F$6:$F$256,MATCH($M822,Market_Daily!$A$6:$A$256,1)),IF($M822=$A822,INDEX(Market_Daily!$F$6:$F$256,MATCH($A822,Market_Daily!$A$6:$A$256,0)),(INDEX(Market_Daily!$F$6:$F$256,MATCH($A822,Market_Daily!$A$6:$A$256,0))*(1+INDEX(Market_Daily!$I$6:$I$256,MATCH($A822,Market_Daily!$A$6:$A$256,0))*($M822-$A822)/day_count_inr)/(1+INDEX(Market_Daily!$J$6:$J$256,MATCH($A822,Market_Daily!$A$6:$A$256,0))*($M822-$A822)/day_count_usd)))))</f>
        <v/>
      </c>
      <c r="AM822" s="8">
        <f>IF(OR($J822="INR",$R822&gt;1),"",$AL822-$X822)</f>
        <v/>
      </c>
      <c r="AN822" s="8">
        <f>$U822</f>
        <v/>
      </c>
      <c r="AO822" s="8">
        <f>$V822</f>
        <v/>
      </c>
      <c r="AP822" s="18">
        <f>$AO822-$V822</f>
        <v/>
      </c>
      <c r="AQ822" s="8">
        <f>IF(ABS($AP822)&lt;=tol_trade_inr,"PASS","FAIL")</f>
        <v/>
      </c>
    </row>
    <row r="823">
      <c r="A823" s="11" t="n">
        <v>44706</v>
      </c>
      <c r="B823" s="7" t="inlineStr">
        <is>
          <t>T07</t>
        </is>
      </c>
      <c r="C823" s="7" t="inlineStr">
        <is>
          <t>IGST:L2</t>
        </is>
      </c>
      <c r="D823" s="7" t="inlineStr">
        <is>
          <t>IGST</t>
        </is>
      </c>
      <c r="E823" s="7" t="inlineStr">
        <is>
          <t>physical</t>
        </is>
      </c>
      <c r="F823" s="7" t="inlineStr">
        <is>
          <t>L2</t>
        </is>
      </c>
      <c r="H823" s="7" t="inlineStr">
        <is>
          <t>tense</t>
        </is>
      </c>
      <c r="I823" s="7" t="inlineStr">
        <is>
          <t>USEC_MUN</t>
        </is>
      </c>
      <c r="J823" s="7" t="inlineStr">
        <is>
          <t>INR</t>
        </is>
      </c>
      <c r="K823" s="7" t="inlineStr">
        <is>
          <t>floating</t>
        </is>
      </c>
      <c r="L823" s="7" t="inlineStr">
        <is>
          <t>BS</t>
        </is>
      </c>
      <c r="M823" s="11" t="n">
        <v>44813</v>
      </c>
      <c r="N823" s="13" t="n">
        <v>0</v>
      </c>
      <c r="O823" s="6" t="n">
        <v>0</v>
      </c>
      <c r="P823" s="13" t="n">
        <v>0</v>
      </c>
      <c r="Q823" s="22" t="n">
        <v>31</v>
      </c>
      <c r="R823" s="6" t="n">
        <v>2</v>
      </c>
      <c r="U823" s="9" t="n">
        <v>0</v>
      </c>
      <c r="V823" s="9" t="n">
        <v>0</v>
      </c>
      <c r="X823" s="9" t="n">
        <v>77.5775</v>
      </c>
      <c r="AK823" s="7" t="inlineStr">
        <is>
          <t>PYTHON_MULTI_FLOW_LEG</t>
        </is>
      </c>
      <c r="AL823" s="8">
        <f>IF($J823="INR",1,IF($M823&lt;$A823,INDEX(Market_Daily!$F$6:$F$256,MATCH($M823,Market_Daily!$A$6:$A$256,1)),IF($M823=$A823,INDEX(Market_Daily!$F$6:$F$256,MATCH($A823,Market_Daily!$A$6:$A$256,0)),(INDEX(Market_Daily!$F$6:$F$256,MATCH($A823,Market_Daily!$A$6:$A$256,0))*(1+INDEX(Market_Daily!$I$6:$I$256,MATCH($A823,Market_Daily!$A$6:$A$256,0))*($M823-$A823)/day_count_inr)/(1+INDEX(Market_Daily!$J$6:$J$256,MATCH($A823,Market_Daily!$A$6:$A$256,0))*($M823-$A823)/day_count_usd)))))</f>
        <v/>
      </c>
      <c r="AM823" s="8">
        <f>IF(OR($J823="INR",$R823&gt;1),"",$AL823-$X823)</f>
        <v/>
      </c>
      <c r="AN823" s="8">
        <f>$U823</f>
        <v/>
      </c>
      <c r="AO823" s="8">
        <f>$V823</f>
        <v/>
      </c>
      <c r="AP823" s="18">
        <f>$AO823-$V823</f>
        <v/>
      </c>
      <c r="AQ823" s="8">
        <f>IF(ABS($AP823)&lt;=tol_trade_inr,"PASS","FAIL")</f>
        <v/>
      </c>
    </row>
    <row r="824">
      <c r="A824" s="11" t="n">
        <v>44706</v>
      </c>
      <c r="B824" s="7" t="inlineStr">
        <is>
          <t>T07</t>
        </is>
      </c>
      <c r="C824" s="7" t="inlineStr">
        <is>
          <t>INSURANCE:L1</t>
        </is>
      </c>
      <c r="D824" s="7" t="inlineStr">
        <is>
          <t>INSURANCE</t>
        </is>
      </c>
      <c r="E824" s="7" t="inlineStr">
        <is>
          <t>physical</t>
        </is>
      </c>
      <c r="F824" s="7" t="inlineStr">
        <is>
          <t>L1</t>
        </is>
      </c>
      <c r="H824" s="7" t="inlineStr">
        <is>
          <t>tense</t>
        </is>
      </c>
      <c r="I824" s="7" t="inlineStr">
        <is>
          <t>USEC_MUN</t>
        </is>
      </c>
      <c r="J824" s="7" t="inlineStr">
        <is>
          <t>USD</t>
        </is>
      </c>
      <c r="K824" s="7" t="inlineStr">
        <is>
          <t>floating</t>
        </is>
      </c>
      <c r="L824" s="7" t="inlineStr">
        <is>
          <t>PNL</t>
        </is>
      </c>
      <c r="M824" s="11" t="n">
        <v>44720</v>
      </c>
      <c r="N824" s="13" t="n">
        <v>945</v>
      </c>
      <c r="O824" s="6" t="n">
        <v>0</v>
      </c>
      <c r="P824" s="13" t="n">
        <v>0</v>
      </c>
      <c r="Q824" s="22" t="n">
        <v>31</v>
      </c>
      <c r="R824" s="6" t="n">
        <v>1</v>
      </c>
      <c r="U824" s="9" t="n">
        <v>-2261.9</v>
      </c>
      <c r="V824" s="9" t="n">
        <v>-175719.07</v>
      </c>
      <c r="X824" s="9" t="n">
        <v>77.6865</v>
      </c>
      <c r="AK824" s="7" t="inlineStr">
        <is>
          <t>PYTHON_LIFECYCLE</t>
        </is>
      </c>
      <c r="AL824" s="8">
        <f>IF($J824="INR",1,IF($M824&lt;$A824,INDEX(Market_Daily!$F$6:$F$256,MATCH($M824,Market_Daily!$A$6:$A$256,1)),IF($M824=$A824,INDEX(Market_Daily!$F$6:$F$256,MATCH($A824,Market_Daily!$A$6:$A$256,0)),(INDEX(Market_Daily!$F$6:$F$256,MATCH($A824,Market_Daily!$A$6:$A$256,0))*(1+INDEX(Market_Daily!$I$6:$I$256,MATCH($A824,Market_Daily!$A$6:$A$256,0))*($M824-$A824)/day_count_inr)/(1+INDEX(Market_Daily!$J$6:$J$256,MATCH($A824,Market_Daily!$A$6:$A$256,0))*($M824-$A824)/day_count_usd)))))</f>
        <v/>
      </c>
      <c r="AM824" s="8">
        <f>IF(OR($J824="INR",$R824&gt;1),"",$AL824-$X824)</f>
        <v/>
      </c>
      <c r="AN824" s="8">
        <f>$U824</f>
        <v/>
      </c>
      <c r="AO824" s="8">
        <f>$AN824*IF($J824="INR",1,$AL824)</f>
        <v/>
      </c>
      <c r="AP824" s="18">
        <f>$AO824-$V824</f>
        <v/>
      </c>
      <c r="AQ824" s="8">
        <f>IF(ABS($AP824)&lt;=tol_trade_inr,"PASS","FAIL")</f>
        <v/>
      </c>
    </row>
    <row r="825">
      <c r="A825" s="11" t="n">
        <v>44706</v>
      </c>
      <c r="B825" s="7" t="inlineStr">
        <is>
          <t>T07</t>
        </is>
      </c>
      <c r="C825" s="7" t="inlineStr">
        <is>
          <t>INSURANCE:L2</t>
        </is>
      </c>
      <c r="D825" s="7" t="inlineStr">
        <is>
          <t>INSURANCE</t>
        </is>
      </c>
      <c r="E825" s="7" t="inlineStr">
        <is>
          <t>physical</t>
        </is>
      </c>
      <c r="F825" s="7" t="inlineStr">
        <is>
          <t>L2</t>
        </is>
      </c>
      <c r="H825" s="7" t="inlineStr">
        <is>
          <t>tense</t>
        </is>
      </c>
      <c r="I825" s="7" t="inlineStr">
        <is>
          <t>USEC_MUN</t>
        </is>
      </c>
      <c r="J825" s="7" t="inlineStr">
        <is>
          <t>USD</t>
        </is>
      </c>
      <c r="K825" s="7" t="inlineStr">
        <is>
          <t>floating</t>
        </is>
      </c>
      <c r="L825" s="7" t="inlineStr">
        <is>
          <t>PNL</t>
        </is>
      </c>
      <c r="M825" s="11" t="n">
        <v>44727</v>
      </c>
      <c r="N825" s="13" t="n">
        <v>945</v>
      </c>
      <c r="O825" s="6" t="n">
        <v>0</v>
      </c>
      <c r="P825" s="13" t="n">
        <v>0</v>
      </c>
      <c r="Q825" s="22" t="n">
        <v>31</v>
      </c>
      <c r="R825" s="6" t="n">
        <v>1</v>
      </c>
      <c r="U825" s="9" t="n">
        <v>-2261.9</v>
      </c>
      <c r="V825" s="9" t="n">
        <v>-175842.26</v>
      </c>
      <c r="X825" s="9" t="n">
        <v>77.741</v>
      </c>
      <c r="AK825" s="7" t="inlineStr">
        <is>
          <t>PYTHON_LIFECYCLE</t>
        </is>
      </c>
      <c r="AL825" s="8">
        <f>IF($J825="INR",1,IF($M825&lt;$A825,INDEX(Market_Daily!$F$6:$F$256,MATCH($M825,Market_Daily!$A$6:$A$256,1)),IF($M825=$A825,INDEX(Market_Daily!$F$6:$F$256,MATCH($A825,Market_Daily!$A$6:$A$256,0)),(INDEX(Market_Daily!$F$6:$F$256,MATCH($A825,Market_Daily!$A$6:$A$256,0))*(1+INDEX(Market_Daily!$I$6:$I$256,MATCH($A825,Market_Daily!$A$6:$A$256,0))*($M825-$A825)/day_count_inr)/(1+INDEX(Market_Daily!$J$6:$J$256,MATCH($A825,Market_Daily!$A$6:$A$256,0))*($M825-$A825)/day_count_usd)))))</f>
        <v/>
      </c>
      <c r="AM825" s="8">
        <f>IF(OR($J825="INR",$R825&gt;1),"",$AL825-$X825)</f>
        <v/>
      </c>
      <c r="AN825" s="8">
        <f>$U825</f>
        <v/>
      </c>
      <c r="AO825" s="8">
        <f>$AN825*IF($J825="INR",1,$AL825)</f>
        <v/>
      </c>
      <c r="AP825" s="18">
        <f>$AO825-$V825</f>
        <v/>
      </c>
      <c r="AQ825" s="8">
        <f>IF(ABS($AP825)&lt;=tol_trade_inr,"PASS","FAIL")</f>
        <v/>
      </c>
    </row>
    <row r="826">
      <c r="A826" s="11" t="n">
        <v>44706</v>
      </c>
      <c r="B826" s="7" t="inlineStr">
        <is>
          <t>T07</t>
        </is>
      </c>
      <c r="C826" s="7" t="inlineStr">
        <is>
          <t>INVENTORY:L1</t>
        </is>
      </c>
      <c r="D826" s="7" t="inlineStr">
        <is>
          <t>INVENTORY</t>
        </is>
      </c>
      <c r="E826" s="7" t="inlineStr">
        <is>
          <t>physical</t>
        </is>
      </c>
      <c r="F826" s="7" t="inlineStr">
        <is>
          <t>L1</t>
        </is>
      </c>
      <c r="H826" s="7" t="inlineStr">
        <is>
          <t>tense</t>
        </is>
      </c>
      <c r="I826" s="7" t="inlineStr">
        <is>
          <t>USEC_MUN</t>
        </is>
      </c>
      <c r="J826" s="7" t="inlineStr">
        <is>
          <t>INR</t>
        </is>
      </c>
      <c r="K826" s="7" t="inlineStr">
        <is>
          <t>fixed_unsettled</t>
        </is>
      </c>
      <c r="L826" s="7" t="inlineStr">
        <is>
          <t>PNL</t>
        </is>
      </c>
      <c r="N826" s="13" t="n">
        <v>945</v>
      </c>
      <c r="O826" s="6" t="n">
        <v>0</v>
      </c>
      <c r="P826" s="13" t="n">
        <v>0</v>
      </c>
      <c r="Q826" s="22" t="n">
        <v>31</v>
      </c>
      <c r="R826" s="6" t="n">
        <v>0</v>
      </c>
      <c r="U826" s="9" t="n">
        <v>168046332</v>
      </c>
      <c r="V826" s="9" t="n">
        <v>168046332</v>
      </c>
      <c r="W826" s="9" t="n">
        <v>177826.8063</v>
      </c>
      <c r="X826" s="9" t="n">
        <v>77.5775</v>
      </c>
      <c r="Y826" s="8">
        <f>IF($I826="JEA_NSA","20ft","40ft")</f>
        <v/>
      </c>
      <c r="Z826" s="8">
        <f>IF($I826="JEA_NSA","nsa","mun")</f>
        <v/>
      </c>
      <c r="AA826" s="8">
        <f>INDEX(param_values,MATCH("container_payload_mt_"&amp;$Y826,param_keys,0))/INDEX(param_values,MATCH("container_payload_mt_"&amp;$Y826&amp;"_"&amp;$H826,param_keys,0))</f>
        <v/>
      </c>
      <c r="AB826" s="16">
        <f>INDEX(Market_Daily!$C$6:$C$256,MATCH($A826,Market_Daily!$A$6:$A$256,0))*INDEX(Market_Daily!$X$6:$Z$256,MATCH($A826,Market_Daily!$A$6:$A$256,0),MATCH("grade_factor_"&amp;$H826,Market_Daily!$X$5:$Z$5,0))</f>
        <v/>
      </c>
      <c r="AC826" s="16">
        <f>$AB826*(1+insurance_rate*insured_value_uplift)</f>
        <v/>
      </c>
      <c r="AD826" s="8">
        <f>(INDEX(Market_Daily!$F$6:$F$256,MATCH($A826,Market_Daily!$A$6:$A$256,0))*(1+INDEX(Market_Daily!$I$6:$I$256,MATCH($A826,Market_Daily!$A$6:$A$256,0))*$Q826/day_count_inr)/(1+INDEX(Market_Daily!$J$6:$J$256,MATCH($A826,Market_Daily!$A$6:$A$256,0))*$Q826/day_count_usd))</f>
        <v/>
      </c>
      <c r="AE826" s="18">
        <f>$AC826*$AD826</f>
        <v/>
      </c>
      <c r="AF826" s="18">
        <f>$AC826*INDEX(Market_Daily!$V$6:$V$256,MATCH($A826,Market_Daily!$A$6:$A$256,0))</f>
        <v/>
      </c>
      <c r="AG826" s="18">
        <f>$AF826*bcd_scrap_hs7602*(1+sws_rate_on_bcd)</f>
        <v/>
      </c>
      <c r="AH826" s="18">
        <f>INDEX(param_values,MATCH("port_cf_charges_inr_t_"&amp;$Z826,param_keys,0))*$AA826+IF(INDEX(param_values,MATCH(IF($I826="JEA_NSA","psic_required_uae_origin","psic_required_safe_origin_designated_port"),param_keys,0)),psic_cost_usd_per_box*INDEX(Market_Daily!$F$6:$F$256,MATCH($A826,Market_Daily!$A$6:$A$256,0))/INDEX(param_values,MATCH("container_payload_mt_20ft_"&amp;$H826,param_keys,0)),0)</f>
        <v/>
      </c>
      <c r="AI826" s="18">
        <f>IF(igst_itc_available,0,($AF826+$AG826)*igst_rate_hs7602)</f>
        <v/>
      </c>
      <c r="AJ826" s="18">
        <f>$AE826+$AG826+$AH826+$AI826</f>
        <v/>
      </c>
      <c r="AK826" s="7" t="inlineStr">
        <is>
          <t>DERIVED_IN_WORKBOOK</t>
        </is>
      </c>
      <c r="AL826" s="8">
        <f>IF($J826="INR",1,IF($M826&lt;$A826,INDEX(Market_Daily!$F$6:$F$256,MATCH($M826,Market_Daily!$A$6:$A$256,1)),IF($M826=$A826,INDEX(Market_Daily!$F$6:$F$256,MATCH($A826,Market_Daily!$A$6:$A$256,0)),(INDEX(Market_Daily!$F$6:$F$256,MATCH($A826,Market_Daily!$A$6:$A$256,0))*(1+INDEX(Market_Daily!$I$6:$I$256,MATCH($A826,Market_Daily!$A$6:$A$256,0))*($M826-$A826)/day_count_inr)/(1+INDEX(Market_Daily!$J$6:$J$256,MATCH($A826,Market_Daily!$A$6:$A$256,0))*($M826-$A826)/day_count_usd)))))</f>
        <v/>
      </c>
      <c r="AM826" s="8">
        <f>IF(OR($J826="INR",$R826&gt;1),"",$AL826-$X826)</f>
        <v/>
      </c>
      <c r="AN826" s="8">
        <f>$N826*$AJ826</f>
        <v/>
      </c>
      <c r="AO826" s="8">
        <f>$AN826</f>
        <v/>
      </c>
      <c r="AP826" s="18">
        <f>$AO826-$V826</f>
        <v/>
      </c>
      <c r="AQ826" s="8">
        <f>IF(ABS($AP826)&lt;=tol_trade_inr,"PASS","FAIL")</f>
        <v/>
      </c>
    </row>
    <row r="827">
      <c r="A827" s="11" t="n">
        <v>44706</v>
      </c>
      <c r="B827" s="7" t="inlineStr">
        <is>
          <t>T07</t>
        </is>
      </c>
      <c r="C827" s="7" t="inlineStr">
        <is>
          <t>INVENTORY:L2</t>
        </is>
      </c>
      <c r="D827" s="7" t="inlineStr">
        <is>
          <t>INVENTORY</t>
        </is>
      </c>
      <c r="E827" s="7" t="inlineStr">
        <is>
          <t>physical</t>
        </is>
      </c>
      <c r="F827" s="7" t="inlineStr">
        <is>
          <t>L2</t>
        </is>
      </c>
      <c r="H827" s="7" t="inlineStr">
        <is>
          <t>tense</t>
        </is>
      </c>
      <c r="I827" s="7" t="inlineStr">
        <is>
          <t>USEC_MUN</t>
        </is>
      </c>
      <c r="J827" s="7" t="inlineStr">
        <is>
          <t>INR</t>
        </is>
      </c>
      <c r="K827" s="7" t="inlineStr">
        <is>
          <t>fixed_unsettled</t>
        </is>
      </c>
      <c r="L827" s="7" t="inlineStr">
        <is>
          <t>PNL</t>
        </is>
      </c>
      <c r="N827" s="13" t="n">
        <v>945</v>
      </c>
      <c r="O827" s="6" t="n">
        <v>0</v>
      </c>
      <c r="P827" s="13" t="n">
        <v>0</v>
      </c>
      <c r="Q827" s="22" t="n">
        <v>31</v>
      </c>
      <c r="R827" s="6" t="n">
        <v>0</v>
      </c>
      <c r="U827" s="9" t="n">
        <v>168046332</v>
      </c>
      <c r="V827" s="9" t="n">
        <v>168046332</v>
      </c>
      <c r="W827" s="9" t="n">
        <v>177826.8063</v>
      </c>
      <c r="X827" s="9" t="n">
        <v>77.5775</v>
      </c>
      <c r="Y827" s="8">
        <f>IF($I827="JEA_NSA","20ft","40ft")</f>
        <v/>
      </c>
      <c r="Z827" s="8">
        <f>IF($I827="JEA_NSA","nsa","mun")</f>
        <v/>
      </c>
      <c r="AA827" s="8">
        <f>INDEX(param_values,MATCH("container_payload_mt_"&amp;$Y827,param_keys,0))/INDEX(param_values,MATCH("container_payload_mt_"&amp;$Y827&amp;"_"&amp;$H827,param_keys,0))</f>
        <v/>
      </c>
      <c r="AB827" s="16">
        <f>INDEX(Market_Daily!$C$6:$C$256,MATCH($A827,Market_Daily!$A$6:$A$256,0))*INDEX(Market_Daily!$X$6:$Z$256,MATCH($A827,Market_Daily!$A$6:$A$256,0),MATCH("grade_factor_"&amp;$H827,Market_Daily!$X$5:$Z$5,0))</f>
        <v/>
      </c>
      <c r="AC827" s="16">
        <f>$AB827*(1+insurance_rate*insured_value_uplift)</f>
        <v/>
      </c>
      <c r="AD827" s="8">
        <f>(INDEX(Market_Daily!$F$6:$F$256,MATCH($A827,Market_Daily!$A$6:$A$256,0))*(1+INDEX(Market_Daily!$I$6:$I$256,MATCH($A827,Market_Daily!$A$6:$A$256,0))*$Q827/day_count_inr)/(1+INDEX(Market_Daily!$J$6:$J$256,MATCH($A827,Market_Daily!$A$6:$A$256,0))*$Q827/day_count_usd))</f>
        <v/>
      </c>
      <c r="AE827" s="18">
        <f>$AC827*$AD827</f>
        <v/>
      </c>
      <c r="AF827" s="18">
        <f>$AC827*INDEX(Market_Daily!$V$6:$V$256,MATCH($A827,Market_Daily!$A$6:$A$256,0))</f>
        <v/>
      </c>
      <c r="AG827" s="18">
        <f>$AF827*bcd_scrap_hs7602*(1+sws_rate_on_bcd)</f>
        <v/>
      </c>
      <c r="AH827" s="18">
        <f>INDEX(param_values,MATCH("port_cf_charges_inr_t_"&amp;$Z827,param_keys,0))*$AA827+IF(INDEX(param_values,MATCH(IF($I827="JEA_NSA","psic_required_uae_origin","psic_required_safe_origin_designated_port"),param_keys,0)),psic_cost_usd_per_box*INDEX(Market_Daily!$F$6:$F$256,MATCH($A827,Market_Daily!$A$6:$A$256,0))/INDEX(param_values,MATCH("container_payload_mt_20ft_"&amp;$H827,param_keys,0)),0)</f>
        <v/>
      </c>
      <c r="AI827" s="18">
        <f>IF(igst_itc_available,0,($AF827+$AG827)*igst_rate_hs7602)</f>
        <v/>
      </c>
      <c r="AJ827" s="18">
        <f>$AE827+$AG827+$AH827+$AI827</f>
        <v/>
      </c>
      <c r="AK827" s="7" t="inlineStr">
        <is>
          <t>DERIVED_IN_WORKBOOK</t>
        </is>
      </c>
      <c r="AL827" s="8">
        <f>IF($J827="INR",1,IF($M827&lt;$A827,INDEX(Market_Daily!$F$6:$F$256,MATCH($M827,Market_Daily!$A$6:$A$256,1)),IF($M827=$A827,INDEX(Market_Daily!$F$6:$F$256,MATCH($A827,Market_Daily!$A$6:$A$256,0)),(INDEX(Market_Daily!$F$6:$F$256,MATCH($A827,Market_Daily!$A$6:$A$256,0))*(1+INDEX(Market_Daily!$I$6:$I$256,MATCH($A827,Market_Daily!$A$6:$A$256,0))*($M827-$A827)/day_count_inr)/(1+INDEX(Market_Daily!$J$6:$J$256,MATCH($A827,Market_Daily!$A$6:$A$256,0))*($M827-$A827)/day_count_usd)))))</f>
        <v/>
      </c>
      <c r="AM827" s="8">
        <f>IF(OR($J827="INR",$R827&gt;1),"",$AL827-$X827)</f>
        <v/>
      </c>
      <c r="AN827" s="8">
        <f>$N827*$AJ827</f>
        <v/>
      </c>
      <c r="AO827" s="8">
        <f>$AN827</f>
        <v/>
      </c>
      <c r="AP827" s="18">
        <f>$AO827-$V827</f>
        <v/>
      </c>
      <c r="AQ827" s="8">
        <f>IF(ABS($AP827)&lt;=tol_trade_inr,"PASS","FAIL")</f>
        <v/>
      </c>
    </row>
    <row r="828">
      <c r="A828" s="11" t="n">
        <v>44706</v>
      </c>
      <c r="B828" s="7" t="inlineStr">
        <is>
          <t>T07</t>
        </is>
      </c>
      <c r="C828" s="7" t="inlineStr">
        <is>
          <t>MCX:T07-MCX-1</t>
        </is>
      </c>
      <c r="D828" s="7" t="inlineStr">
        <is>
          <t>MCX</t>
        </is>
      </c>
      <c r="E828" s="7" t="inlineStr">
        <is>
          <t>mcx</t>
        </is>
      </c>
      <c r="H828" s="7" t="inlineStr">
        <is>
          <t>tense</t>
        </is>
      </c>
      <c r="I828" s="7" t="inlineStr">
        <is>
          <t>USEC_MUN</t>
        </is>
      </c>
      <c r="J828" s="7" t="inlineStr">
        <is>
          <t>INR</t>
        </is>
      </c>
      <c r="K828" s="7" t="inlineStr">
        <is>
          <t>partially_fixed</t>
        </is>
      </c>
      <c r="L828" s="7" t="inlineStr">
        <is>
          <t>PNL</t>
        </is>
      </c>
      <c r="M828" s="11" t="n">
        <v>44733</v>
      </c>
      <c r="N828" s="13" t="n">
        <v>0</v>
      </c>
      <c r="O828" s="6" t="n">
        <v>-247</v>
      </c>
      <c r="P828" s="13" t="n">
        <v>0</v>
      </c>
      <c r="Q828" s="22" t="n">
        <v>31</v>
      </c>
      <c r="R828" s="6" t="n">
        <v>18</v>
      </c>
      <c r="U828" s="9" t="n">
        <v>0</v>
      </c>
      <c r="V828" s="9" t="n">
        <v>0</v>
      </c>
      <c r="X828" s="9" t="n">
        <v>77.5775</v>
      </c>
      <c r="AK828" s="7" t="inlineStr">
        <is>
          <t>PYTHON_MULTI_FLOW_LEG</t>
        </is>
      </c>
      <c r="AL828" s="8">
        <f>IF($J828="INR",1,IF($M828&lt;$A828,INDEX(Market_Daily!$F$6:$F$256,MATCH($M828,Market_Daily!$A$6:$A$256,1)),IF($M828=$A828,INDEX(Market_Daily!$F$6:$F$256,MATCH($A828,Market_Daily!$A$6:$A$256,0)),(INDEX(Market_Daily!$F$6:$F$256,MATCH($A828,Market_Daily!$A$6:$A$256,0))*(1+INDEX(Market_Daily!$I$6:$I$256,MATCH($A828,Market_Daily!$A$6:$A$256,0))*($M828-$A828)/day_count_inr)/(1+INDEX(Market_Daily!$J$6:$J$256,MATCH($A828,Market_Daily!$A$6:$A$256,0))*($M828-$A828)/day_count_usd)))))</f>
        <v/>
      </c>
      <c r="AM828" s="8">
        <f>IF(OR($J828="INR",$R828&gt;1),"",$AL828-$X828)</f>
        <v/>
      </c>
      <c r="AN828" s="8">
        <f>$U828</f>
        <v/>
      </c>
      <c r="AO828" s="8">
        <f>$V828</f>
        <v/>
      </c>
      <c r="AP828" s="18">
        <f>$AO828-$V828</f>
        <v/>
      </c>
      <c r="AQ828" s="8">
        <f>IF(ABS($AP828)&lt;=tol_trade_inr,"PASS","FAIL")</f>
        <v/>
      </c>
    </row>
    <row r="829">
      <c r="A829" s="11" t="n">
        <v>44706</v>
      </c>
      <c r="B829" s="7" t="inlineStr">
        <is>
          <t>T07</t>
        </is>
      </c>
      <c r="C829" s="7" t="inlineStr">
        <is>
          <t>PORT:L1</t>
        </is>
      </c>
      <c r="D829" s="7" t="inlineStr">
        <is>
          <t>PORT</t>
        </is>
      </c>
      <c r="E829" s="7" t="inlineStr">
        <is>
          <t>physical</t>
        </is>
      </c>
      <c r="F829" s="7" t="inlineStr">
        <is>
          <t>L1</t>
        </is>
      </c>
      <c r="H829" s="7" t="inlineStr">
        <is>
          <t>tense</t>
        </is>
      </c>
      <c r="I829" s="7" t="inlineStr">
        <is>
          <t>USEC_MUN</t>
        </is>
      </c>
      <c r="J829" s="7" t="inlineStr">
        <is>
          <t>INR</t>
        </is>
      </c>
      <c r="K829" s="7" t="inlineStr">
        <is>
          <t>fixed_unsettled</t>
        </is>
      </c>
      <c r="L829" s="7" t="inlineStr">
        <is>
          <t>PNL</t>
        </is>
      </c>
      <c r="M829" s="11" t="n">
        <v>44770</v>
      </c>
      <c r="N829" s="13" t="n">
        <v>0</v>
      </c>
      <c r="O829" s="6" t="n">
        <v>0</v>
      </c>
      <c r="P829" s="13" t="n">
        <v>0</v>
      </c>
      <c r="Q829" s="22" t="n">
        <v>31</v>
      </c>
      <c r="R829" s="6" t="n">
        <v>1</v>
      </c>
      <c r="U829" s="9" t="n">
        <v>-2504250</v>
      </c>
      <c r="V829" s="9" t="n">
        <v>-2504250</v>
      </c>
      <c r="X829" s="9" t="n">
        <v>77.5775</v>
      </c>
      <c r="AK829" s="7" t="inlineStr">
        <is>
          <t>PYTHON_LIFECYCLE</t>
        </is>
      </c>
      <c r="AL829" s="8">
        <f>IF($J829="INR",1,IF($M829&lt;$A829,INDEX(Market_Daily!$F$6:$F$256,MATCH($M829,Market_Daily!$A$6:$A$256,1)),IF($M829=$A829,INDEX(Market_Daily!$F$6:$F$256,MATCH($A829,Market_Daily!$A$6:$A$256,0)),(INDEX(Market_Daily!$F$6:$F$256,MATCH($A829,Market_Daily!$A$6:$A$256,0))*(1+INDEX(Market_Daily!$I$6:$I$256,MATCH($A829,Market_Daily!$A$6:$A$256,0))*($M829-$A829)/day_count_inr)/(1+INDEX(Market_Daily!$J$6:$J$256,MATCH($A829,Market_Daily!$A$6:$A$256,0))*($M829-$A829)/day_count_usd)))))</f>
        <v/>
      </c>
      <c r="AM829" s="8">
        <f>IF(OR($J829="INR",$R829&gt;1),"",$AL829-$X829)</f>
        <v/>
      </c>
      <c r="AN829" s="8">
        <f>$U829</f>
        <v/>
      </c>
      <c r="AO829" s="8">
        <f>$AN829*IF($J829="INR",1,$AL829)</f>
        <v/>
      </c>
      <c r="AP829" s="18">
        <f>$AO829-$V829</f>
        <v/>
      </c>
      <c r="AQ829" s="8">
        <f>IF(ABS($AP829)&lt;=tol_trade_inr,"PASS","FAIL")</f>
        <v/>
      </c>
    </row>
    <row r="830">
      <c r="A830" s="11" t="n">
        <v>44706</v>
      </c>
      <c r="B830" s="7" t="inlineStr">
        <is>
          <t>T07</t>
        </is>
      </c>
      <c r="C830" s="7" t="inlineStr">
        <is>
          <t>PORT:L2</t>
        </is>
      </c>
      <c r="D830" s="7" t="inlineStr">
        <is>
          <t>PORT</t>
        </is>
      </c>
      <c r="E830" s="7" t="inlineStr">
        <is>
          <t>physical</t>
        </is>
      </c>
      <c r="F830" s="7" t="inlineStr">
        <is>
          <t>L2</t>
        </is>
      </c>
      <c r="H830" s="7" t="inlineStr">
        <is>
          <t>tense</t>
        </is>
      </c>
      <c r="I830" s="7" t="inlineStr">
        <is>
          <t>USEC_MUN</t>
        </is>
      </c>
      <c r="J830" s="7" t="inlineStr">
        <is>
          <t>INR</t>
        </is>
      </c>
      <c r="K830" s="7" t="inlineStr">
        <is>
          <t>fixed_unsettled</t>
        </is>
      </c>
      <c r="L830" s="7" t="inlineStr">
        <is>
          <t>PNL</t>
        </is>
      </c>
      <c r="M830" s="11" t="n">
        <v>44777</v>
      </c>
      <c r="N830" s="13" t="n">
        <v>0</v>
      </c>
      <c r="O830" s="6" t="n">
        <v>0</v>
      </c>
      <c r="P830" s="13" t="n">
        <v>0</v>
      </c>
      <c r="Q830" s="22" t="n">
        <v>31</v>
      </c>
      <c r="R830" s="6" t="n">
        <v>1</v>
      </c>
      <c r="U830" s="9" t="n">
        <v>-2504250</v>
      </c>
      <c r="V830" s="9" t="n">
        <v>-2504250</v>
      </c>
      <c r="X830" s="9" t="n">
        <v>77.5775</v>
      </c>
      <c r="AK830" s="7" t="inlineStr">
        <is>
          <t>PYTHON_LIFECYCLE</t>
        </is>
      </c>
      <c r="AL830" s="8">
        <f>IF($J830="INR",1,IF($M830&lt;$A830,INDEX(Market_Daily!$F$6:$F$256,MATCH($M830,Market_Daily!$A$6:$A$256,1)),IF($M830=$A830,INDEX(Market_Daily!$F$6:$F$256,MATCH($A830,Market_Daily!$A$6:$A$256,0)),(INDEX(Market_Daily!$F$6:$F$256,MATCH($A830,Market_Daily!$A$6:$A$256,0))*(1+INDEX(Market_Daily!$I$6:$I$256,MATCH($A830,Market_Daily!$A$6:$A$256,0))*($M830-$A830)/day_count_inr)/(1+INDEX(Market_Daily!$J$6:$J$256,MATCH($A830,Market_Daily!$A$6:$A$256,0))*($M830-$A830)/day_count_usd)))))</f>
        <v/>
      </c>
      <c r="AM830" s="8">
        <f>IF(OR($J830="INR",$R830&gt;1),"",$AL830-$X830)</f>
        <v/>
      </c>
      <c r="AN830" s="8">
        <f>$U830</f>
        <v/>
      </c>
      <c r="AO830" s="8">
        <f>$AN830*IF($J830="INR",1,$AL830)</f>
        <v/>
      </c>
      <c r="AP830" s="18">
        <f>$AO830-$V830</f>
        <v/>
      </c>
      <c r="AQ830" s="8">
        <f>IF(ABS($AP830)&lt;=tol_trade_inr,"PASS","FAIL")</f>
        <v/>
      </c>
    </row>
    <row r="831">
      <c r="A831" s="11" t="n">
        <v>44706</v>
      </c>
      <c r="B831" s="7" t="inlineStr">
        <is>
          <t>T07</t>
        </is>
      </c>
      <c r="C831" s="7" t="inlineStr">
        <is>
          <t>PURCHASE:L1</t>
        </is>
      </c>
      <c r="D831" s="7" t="inlineStr">
        <is>
          <t>PURCHASE</t>
        </is>
      </c>
      <c r="E831" s="7" t="inlineStr">
        <is>
          <t>physical</t>
        </is>
      </c>
      <c r="F831" s="7" t="inlineStr">
        <is>
          <t>L1</t>
        </is>
      </c>
      <c r="G831" s="7" t="inlineStr">
        <is>
          <t>SUP_USEC_02</t>
        </is>
      </c>
      <c r="H831" s="7" t="inlineStr">
        <is>
          <t>tense</t>
        </is>
      </c>
      <c r="I831" s="7" t="inlineStr">
        <is>
          <t>USEC_MUN</t>
        </is>
      </c>
      <c r="J831" s="7" t="inlineStr">
        <is>
          <t>USD</t>
        </is>
      </c>
      <c r="K831" s="7" t="inlineStr">
        <is>
          <t>fixed_unsettled</t>
        </is>
      </c>
      <c r="L831" s="7" t="inlineStr">
        <is>
          <t>PNL</t>
        </is>
      </c>
      <c r="M831" s="11" t="n">
        <v>44727</v>
      </c>
      <c r="N831" s="13" t="n">
        <v>945</v>
      </c>
      <c r="O831" s="6" t="n">
        <v>0</v>
      </c>
      <c r="P831" s="13" t="n">
        <v>0</v>
      </c>
      <c r="Q831" s="22" t="n">
        <v>31</v>
      </c>
      <c r="R831" s="6" t="n">
        <v>1</v>
      </c>
      <c r="U831" s="9" t="n">
        <v>-1971270</v>
      </c>
      <c r="V831" s="9" t="n">
        <v>-153248407.07</v>
      </c>
      <c r="X831" s="9" t="n">
        <v>77.741</v>
      </c>
      <c r="AK831" s="7" t="inlineStr">
        <is>
          <t>PYTHON_LIFECYCLE</t>
        </is>
      </c>
      <c r="AL831" s="8">
        <f>IF($J831="INR",1,IF($M831&lt;$A831,INDEX(Market_Daily!$F$6:$F$256,MATCH($M831,Market_Daily!$A$6:$A$256,1)),IF($M831=$A831,INDEX(Market_Daily!$F$6:$F$256,MATCH($A831,Market_Daily!$A$6:$A$256,0)),(INDEX(Market_Daily!$F$6:$F$256,MATCH($A831,Market_Daily!$A$6:$A$256,0))*(1+INDEX(Market_Daily!$I$6:$I$256,MATCH($A831,Market_Daily!$A$6:$A$256,0))*($M831-$A831)/day_count_inr)/(1+INDEX(Market_Daily!$J$6:$J$256,MATCH($A831,Market_Daily!$A$6:$A$256,0))*($M831-$A831)/day_count_usd)))))</f>
        <v/>
      </c>
      <c r="AM831" s="8">
        <f>IF(OR($J831="INR",$R831&gt;1),"",$AL831-$X831)</f>
        <v/>
      </c>
      <c r="AN831" s="8">
        <f>$U831</f>
        <v/>
      </c>
      <c r="AO831" s="8">
        <f>$AN831*IF($J831="INR",1,$AL831)</f>
        <v/>
      </c>
      <c r="AP831" s="18">
        <f>$AO831-$V831</f>
        <v/>
      </c>
      <c r="AQ831" s="8">
        <f>IF(ABS($AP831)&lt;=tol_trade_inr,"PASS","FAIL")</f>
        <v/>
      </c>
    </row>
    <row r="832">
      <c r="A832" s="11" t="n">
        <v>44706</v>
      </c>
      <c r="B832" s="7" t="inlineStr">
        <is>
          <t>T07</t>
        </is>
      </c>
      <c r="C832" s="7" t="inlineStr">
        <is>
          <t>PURCHASE:L2</t>
        </is>
      </c>
      <c r="D832" s="7" t="inlineStr">
        <is>
          <t>PURCHASE</t>
        </is>
      </c>
      <c r="E832" s="7" t="inlineStr">
        <is>
          <t>physical</t>
        </is>
      </c>
      <c r="F832" s="7" t="inlineStr">
        <is>
          <t>L2</t>
        </is>
      </c>
      <c r="G832" s="7" t="inlineStr">
        <is>
          <t>SUP_USEC_02</t>
        </is>
      </c>
      <c r="H832" s="7" t="inlineStr">
        <is>
          <t>tense</t>
        </is>
      </c>
      <c r="I832" s="7" t="inlineStr">
        <is>
          <t>USEC_MUN</t>
        </is>
      </c>
      <c r="J832" s="7" t="inlineStr">
        <is>
          <t>USD</t>
        </is>
      </c>
      <c r="K832" s="7" t="inlineStr">
        <is>
          <t>fixed_unsettled</t>
        </is>
      </c>
      <c r="L832" s="7" t="inlineStr">
        <is>
          <t>PNL</t>
        </is>
      </c>
      <c r="M832" s="11" t="n">
        <v>44734</v>
      </c>
      <c r="N832" s="13" t="n">
        <v>945</v>
      </c>
      <c r="O832" s="6" t="n">
        <v>0</v>
      </c>
      <c r="P832" s="13" t="n">
        <v>0</v>
      </c>
      <c r="Q832" s="22" t="n">
        <v>31</v>
      </c>
      <c r="R832" s="6" t="n">
        <v>1</v>
      </c>
      <c r="U832" s="9" t="n">
        <v>-1971270</v>
      </c>
      <c r="V832" s="9" t="n">
        <v>-153355721.86</v>
      </c>
      <c r="X832" s="9" t="n">
        <v>77.7954</v>
      </c>
      <c r="AK832" s="7" t="inlineStr">
        <is>
          <t>PYTHON_LIFECYCLE</t>
        </is>
      </c>
      <c r="AL832" s="8">
        <f>IF($J832="INR",1,IF($M832&lt;$A832,INDEX(Market_Daily!$F$6:$F$256,MATCH($M832,Market_Daily!$A$6:$A$256,1)),IF($M832=$A832,INDEX(Market_Daily!$F$6:$F$256,MATCH($A832,Market_Daily!$A$6:$A$256,0)),(INDEX(Market_Daily!$F$6:$F$256,MATCH($A832,Market_Daily!$A$6:$A$256,0))*(1+INDEX(Market_Daily!$I$6:$I$256,MATCH($A832,Market_Daily!$A$6:$A$256,0))*($M832-$A832)/day_count_inr)/(1+INDEX(Market_Daily!$J$6:$J$256,MATCH($A832,Market_Daily!$A$6:$A$256,0))*($M832-$A832)/day_count_usd)))))</f>
        <v/>
      </c>
      <c r="AM832" s="8">
        <f>IF(OR($J832="INR",$R832&gt;1),"",$AL832-$X832)</f>
        <v/>
      </c>
      <c r="AN832" s="8">
        <f>$U832</f>
        <v/>
      </c>
      <c r="AO832" s="8">
        <f>$AN832*IF($J832="INR",1,$AL832)</f>
        <v/>
      </c>
      <c r="AP832" s="18">
        <f>$AO832-$V832</f>
        <v/>
      </c>
      <c r="AQ832" s="8">
        <f>IF(ABS($AP832)&lt;=tol_trade_inr,"PASS","FAIL")</f>
        <v/>
      </c>
    </row>
    <row r="833">
      <c r="A833" s="11" t="n">
        <v>44712</v>
      </c>
      <c r="B833" s="7" t="inlineStr">
        <is>
          <t>T01</t>
        </is>
      </c>
      <c r="C833" s="7" t="inlineStr">
        <is>
          <t>IGST:L1</t>
        </is>
      </c>
      <c r="D833" s="7" t="inlineStr">
        <is>
          <t>IGST</t>
        </is>
      </c>
      <c r="E833" s="7" t="inlineStr">
        <is>
          <t>physical</t>
        </is>
      </c>
      <c r="F833" s="7" t="inlineStr">
        <is>
          <t>L1</t>
        </is>
      </c>
      <c r="H833" s="7" t="inlineStr">
        <is>
          <t>zorba</t>
        </is>
      </c>
      <c r="I833" s="7" t="inlineStr">
        <is>
          <t>USEC_MUN</t>
        </is>
      </c>
      <c r="J833" s="7" t="inlineStr">
        <is>
          <t>INR</t>
        </is>
      </c>
      <c r="K833" s="7" t="inlineStr">
        <is>
          <t>fixed_unsettled</t>
        </is>
      </c>
      <c r="L833" s="7" t="inlineStr">
        <is>
          <t>BS</t>
        </is>
      </c>
      <c r="M833" s="11" t="n">
        <v>44735</v>
      </c>
      <c r="N833" s="13" t="n">
        <v>0</v>
      </c>
      <c r="O833" s="6" t="n">
        <v>0</v>
      </c>
      <c r="P833" s="13" t="n">
        <v>0</v>
      </c>
      <c r="Q833" s="22" t="n">
        <v>30</v>
      </c>
      <c r="R833" s="6" t="n">
        <v>2</v>
      </c>
      <c r="U833" s="9" t="n">
        <v>0</v>
      </c>
      <c r="V833" s="9" t="n">
        <v>0</v>
      </c>
      <c r="X833" s="9" t="n">
        <v>77.69159999999999</v>
      </c>
      <c r="AK833" s="7" t="inlineStr">
        <is>
          <t>PYTHON_MULTI_FLOW_LEG</t>
        </is>
      </c>
      <c r="AL833" s="8">
        <f>IF($J833="INR",1,IF($M833&lt;$A833,INDEX(Market_Daily!$F$6:$F$256,MATCH($M833,Market_Daily!$A$6:$A$256,1)),IF($M833=$A833,INDEX(Market_Daily!$F$6:$F$256,MATCH($A833,Market_Daily!$A$6:$A$256,0)),(INDEX(Market_Daily!$F$6:$F$256,MATCH($A833,Market_Daily!$A$6:$A$256,0))*(1+INDEX(Market_Daily!$I$6:$I$256,MATCH($A833,Market_Daily!$A$6:$A$256,0))*($M833-$A833)/day_count_inr)/(1+INDEX(Market_Daily!$J$6:$J$256,MATCH($A833,Market_Daily!$A$6:$A$256,0))*($M833-$A833)/day_count_usd)))))</f>
        <v/>
      </c>
      <c r="AM833" s="8">
        <f>IF(OR($J833="INR",$R833&gt;1),"",$AL833-$X833)</f>
        <v/>
      </c>
      <c r="AN833" s="8">
        <f>$U833</f>
        <v/>
      </c>
      <c r="AO833" s="8">
        <f>$V833</f>
        <v/>
      </c>
      <c r="AP833" s="18">
        <f>$AO833-$V833</f>
        <v/>
      </c>
      <c r="AQ833" s="8">
        <f>IF(ABS($AP833)&lt;=tol_trade_inr,"PASS","FAIL")</f>
        <v/>
      </c>
    </row>
    <row r="834">
      <c r="A834" s="11" t="n">
        <v>44712</v>
      </c>
      <c r="B834" s="7" t="inlineStr">
        <is>
          <t>T01</t>
        </is>
      </c>
      <c r="C834" s="7" t="inlineStr">
        <is>
          <t>IGST:L2</t>
        </is>
      </c>
      <c r="D834" s="7" t="inlineStr">
        <is>
          <t>IGST</t>
        </is>
      </c>
      <c r="E834" s="7" t="inlineStr">
        <is>
          <t>physical</t>
        </is>
      </c>
      <c r="F834" s="7" t="inlineStr">
        <is>
          <t>L2</t>
        </is>
      </c>
      <c r="H834" s="7" t="inlineStr">
        <is>
          <t>zorba</t>
        </is>
      </c>
      <c r="I834" s="7" t="inlineStr">
        <is>
          <t>USEC_MUN</t>
        </is>
      </c>
      <c r="J834" s="7" t="inlineStr">
        <is>
          <t>INR</t>
        </is>
      </c>
      <c r="K834" s="7" t="inlineStr">
        <is>
          <t>fixed_unsettled</t>
        </is>
      </c>
      <c r="L834" s="7" t="inlineStr">
        <is>
          <t>BS</t>
        </is>
      </c>
      <c r="M834" s="11" t="n">
        <v>44741</v>
      </c>
      <c r="N834" s="13" t="n">
        <v>0</v>
      </c>
      <c r="O834" s="6" t="n">
        <v>0</v>
      </c>
      <c r="P834" s="13" t="n">
        <v>0</v>
      </c>
      <c r="Q834" s="22" t="n">
        <v>30</v>
      </c>
      <c r="R834" s="6" t="n">
        <v>2</v>
      </c>
      <c r="U834" s="9" t="n">
        <v>0</v>
      </c>
      <c r="V834" s="9" t="n">
        <v>0</v>
      </c>
      <c r="X834" s="9" t="n">
        <v>77.69159999999999</v>
      </c>
      <c r="AK834" s="7" t="inlineStr">
        <is>
          <t>PYTHON_MULTI_FLOW_LEG</t>
        </is>
      </c>
      <c r="AL834" s="8">
        <f>IF($J834="INR",1,IF($M834&lt;$A834,INDEX(Market_Daily!$F$6:$F$256,MATCH($M834,Market_Daily!$A$6:$A$256,1)),IF($M834=$A834,INDEX(Market_Daily!$F$6:$F$256,MATCH($A834,Market_Daily!$A$6:$A$256,0)),(INDEX(Market_Daily!$F$6:$F$256,MATCH($A834,Market_Daily!$A$6:$A$256,0))*(1+INDEX(Market_Daily!$I$6:$I$256,MATCH($A834,Market_Daily!$A$6:$A$256,0))*($M834-$A834)/day_count_inr)/(1+INDEX(Market_Daily!$J$6:$J$256,MATCH($A834,Market_Daily!$A$6:$A$256,0))*($M834-$A834)/day_count_usd)))))</f>
        <v/>
      </c>
      <c r="AM834" s="8">
        <f>IF(OR($J834="INR",$R834&gt;1),"",$AL834-$X834)</f>
        <v/>
      </c>
      <c r="AN834" s="8">
        <f>$U834</f>
        <v/>
      </c>
      <c r="AO834" s="8">
        <f>$V834</f>
        <v/>
      </c>
      <c r="AP834" s="18">
        <f>$AO834-$V834</f>
        <v/>
      </c>
      <c r="AQ834" s="8">
        <f>IF(ABS($AP834)&lt;=tol_trade_inr,"PASS","FAIL")</f>
        <v/>
      </c>
    </row>
    <row r="835">
      <c r="A835" s="11" t="n">
        <v>44712</v>
      </c>
      <c r="B835" s="7" t="inlineStr">
        <is>
          <t>T01</t>
        </is>
      </c>
      <c r="C835" s="7" t="inlineStr">
        <is>
          <t>IGST:L3</t>
        </is>
      </c>
      <c r="D835" s="7" t="inlineStr">
        <is>
          <t>IGST</t>
        </is>
      </c>
      <c r="E835" s="7" t="inlineStr">
        <is>
          <t>physical</t>
        </is>
      </c>
      <c r="F835" s="7" t="inlineStr">
        <is>
          <t>L3</t>
        </is>
      </c>
      <c r="H835" s="7" t="inlineStr">
        <is>
          <t>zorba</t>
        </is>
      </c>
      <c r="I835" s="7" t="inlineStr">
        <is>
          <t>USEC_MUN</t>
        </is>
      </c>
      <c r="J835" s="7" t="inlineStr">
        <is>
          <t>INR</t>
        </is>
      </c>
      <c r="K835" s="7" t="inlineStr">
        <is>
          <t>fixed_unsettled</t>
        </is>
      </c>
      <c r="L835" s="7" t="inlineStr">
        <is>
          <t>BS</t>
        </is>
      </c>
      <c r="M835" s="11" t="n">
        <v>44746</v>
      </c>
      <c r="N835" s="13" t="n">
        <v>0</v>
      </c>
      <c r="O835" s="6" t="n">
        <v>0</v>
      </c>
      <c r="P835" s="13" t="n">
        <v>0</v>
      </c>
      <c r="Q835" s="22" t="n">
        <v>30</v>
      </c>
      <c r="R835" s="6" t="n">
        <v>2</v>
      </c>
      <c r="U835" s="9" t="n">
        <v>0</v>
      </c>
      <c r="V835" s="9" t="n">
        <v>0</v>
      </c>
      <c r="X835" s="9" t="n">
        <v>77.69159999999999</v>
      </c>
      <c r="AK835" s="7" t="inlineStr">
        <is>
          <t>PYTHON_MULTI_FLOW_LEG</t>
        </is>
      </c>
      <c r="AL835" s="8">
        <f>IF($J835="INR",1,IF($M835&lt;$A835,INDEX(Market_Daily!$F$6:$F$256,MATCH($M835,Market_Daily!$A$6:$A$256,1)),IF($M835=$A835,INDEX(Market_Daily!$F$6:$F$256,MATCH($A835,Market_Daily!$A$6:$A$256,0)),(INDEX(Market_Daily!$F$6:$F$256,MATCH($A835,Market_Daily!$A$6:$A$256,0))*(1+INDEX(Market_Daily!$I$6:$I$256,MATCH($A835,Market_Daily!$A$6:$A$256,0))*($M835-$A835)/day_count_inr)/(1+INDEX(Market_Daily!$J$6:$J$256,MATCH($A835,Market_Daily!$A$6:$A$256,0))*($M835-$A835)/day_count_usd)))))</f>
        <v/>
      </c>
      <c r="AM835" s="8">
        <f>IF(OR($J835="INR",$R835&gt;1),"",$AL835-$X835)</f>
        <v/>
      </c>
      <c r="AN835" s="8">
        <f>$U835</f>
        <v/>
      </c>
      <c r="AO835" s="8">
        <f>$V835</f>
        <v/>
      </c>
      <c r="AP835" s="18">
        <f>$AO835-$V835</f>
        <v/>
      </c>
      <c r="AQ835" s="8">
        <f>IF(ABS($AP835)&lt;=tol_trade_inr,"PASS","FAIL")</f>
        <v/>
      </c>
    </row>
    <row r="836">
      <c r="A836" s="11" t="n">
        <v>44712</v>
      </c>
      <c r="B836" s="7" t="inlineStr">
        <is>
          <t>T01</t>
        </is>
      </c>
      <c r="C836" s="7" t="inlineStr">
        <is>
          <t>SALE:S1</t>
        </is>
      </c>
      <c r="D836" s="7" t="inlineStr">
        <is>
          <t>SALE</t>
        </is>
      </c>
      <c r="E836" s="7" t="inlineStr">
        <is>
          <t>physical</t>
        </is>
      </c>
      <c r="G836" s="7" t="inlineStr">
        <is>
          <t>BUY_MUN_01</t>
        </is>
      </c>
      <c r="H836" s="7" t="inlineStr">
        <is>
          <t>zorba</t>
        </is>
      </c>
      <c r="I836" s="7" t="inlineStr">
        <is>
          <t>USEC_MUN</t>
        </is>
      </c>
      <c r="J836" s="7" t="inlineStr">
        <is>
          <t>INR</t>
        </is>
      </c>
      <c r="K836" s="7" t="inlineStr">
        <is>
          <t>fixed_unsettled</t>
        </is>
      </c>
      <c r="L836" s="7" t="inlineStr">
        <is>
          <t>PNL</t>
        </is>
      </c>
      <c r="M836" s="11" t="n">
        <v>44735</v>
      </c>
      <c r="N836" s="13" t="n">
        <v>3360</v>
      </c>
      <c r="O836" s="6" t="n">
        <v>0</v>
      </c>
      <c r="P836" s="13" t="n">
        <v>0</v>
      </c>
      <c r="Q836" s="22" t="n">
        <v>30</v>
      </c>
      <c r="R836" s="6" t="n">
        <v>2</v>
      </c>
      <c r="U836" s="9" t="n">
        <v>168840000</v>
      </c>
      <c r="V836" s="9" t="n">
        <v>168840000</v>
      </c>
      <c r="W836" s="9" t="n">
        <v>201000</v>
      </c>
      <c r="X836" s="9" t="n">
        <v>77.69159999999999</v>
      </c>
      <c r="AK836" s="7" t="inlineStr">
        <is>
          <t>PYTHON_MULTI_FLOW_LEG</t>
        </is>
      </c>
      <c r="AL836" s="8">
        <f>IF($J836="INR",1,IF($M836&lt;$A836,INDEX(Market_Daily!$F$6:$F$256,MATCH($M836,Market_Daily!$A$6:$A$256,1)),IF($M836=$A836,INDEX(Market_Daily!$F$6:$F$256,MATCH($A836,Market_Daily!$A$6:$A$256,0)),(INDEX(Market_Daily!$F$6:$F$256,MATCH($A836,Market_Daily!$A$6:$A$256,0))*(1+INDEX(Market_Daily!$I$6:$I$256,MATCH($A836,Market_Daily!$A$6:$A$256,0))*($M836-$A836)/day_count_inr)/(1+INDEX(Market_Daily!$J$6:$J$256,MATCH($A836,Market_Daily!$A$6:$A$256,0))*($M836-$A836)/day_count_usd)))))</f>
        <v/>
      </c>
      <c r="AM836" s="8">
        <f>IF(OR($J836="INR",$R836&gt;1),"",$AL836-$X836)</f>
        <v/>
      </c>
      <c r="AN836" s="8">
        <f>$U836</f>
        <v/>
      </c>
      <c r="AO836" s="8">
        <f>$V836</f>
        <v/>
      </c>
      <c r="AP836" s="18">
        <f>$AO836-$V836</f>
        <v/>
      </c>
      <c r="AQ836" s="8">
        <f>IF(ABS($AP836)&lt;=tol_trade_inr,"PASS","FAIL")</f>
        <v/>
      </c>
    </row>
    <row r="837">
      <c r="A837" s="11" t="n">
        <v>44712</v>
      </c>
      <c r="B837" s="7" t="inlineStr">
        <is>
          <t>T02</t>
        </is>
      </c>
      <c r="C837" s="7" t="inlineStr">
        <is>
          <t>BILL_COMMISSION:L1</t>
        </is>
      </c>
      <c r="D837" s="7" t="inlineStr">
        <is>
          <t>BILL_COMMISSION</t>
        </is>
      </c>
      <c r="E837" s="7" t="inlineStr">
        <is>
          <t>physical</t>
        </is>
      </c>
      <c r="F837" s="7" t="inlineStr">
        <is>
          <t>L1</t>
        </is>
      </c>
      <c r="H837" s="7" t="inlineStr">
        <is>
          <t>tense</t>
        </is>
      </c>
      <c r="I837" s="7" t="inlineStr">
        <is>
          <t>JEA_NSA</t>
        </is>
      </c>
      <c r="J837" s="7" t="inlineStr">
        <is>
          <t>USD</t>
        </is>
      </c>
      <c r="K837" s="7" t="inlineStr">
        <is>
          <t>floating</t>
        </is>
      </c>
      <c r="L837" s="7" t="inlineStr">
        <is>
          <t>PNL</t>
        </is>
      </c>
      <c r="M837" s="11" t="n">
        <v>44746</v>
      </c>
      <c r="N837" s="13" t="n">
        <v>0</v>
      </c>
      <c r="O837" s="6" t="n">
        <v>0</v>
      </c>
      <c r="P837" s="13" t="n">
        <v>0</v>
      </c>
      <c r="Q837" s="22" t="n">
        <v>30</v>
      </c>
      <c r="R837" s="6" t="n">
        <v>1</v>
      </c>
      <c r="U837" s="9" t="n">
        <v>-1490.28</v>
      </c>
      <c r="V837" s="9" t="n">
        <v>-116168.3</v>
      </c>
      <c r="X837" s="9" t="n">
        <v>77.9507</v>
      </c>
      <c r="AK837" s="7" t="inlineStr">
        <is>
          <t>PYTHON_LIFECYCLE</t>
        </is>
      </c>
      <c r="AL837" s="8">
        <f>IF($J837="INR",1,IF($M837&lt;$A837,INDEX(Market_Daily!$F$6:$F$256,MATCH($M837,Market_Daily!$A$6:$A$256,1)),IF($M837=$A837,INDEX(Market_Daily!$F$6:$F$256,MATCH($A837,Market_Daily!$A$6:$A$256,0)),(INDEX(Market_Daily!$F$6:$F$256,MATCH($A837,Market_Daily!$A$6:$A$256,0))*(1+INDEX(Market_Daily!$I$6:$I$256,MATCH($A837,Market_Daily!$A$6:$A$256,0))*($M837-$A837)/day_count_inr)/(1+INDEX(Market_Daily!$J$6:$J$256,MATCH($A837,Market_Daily!$A$6:$A$256,0))*($M837-$A837)/day_count_usd)))))</f>
        <v/>
      </c>
      <c r="AM837" s="8">
        <f>IF(OR($J837="INR",$R837&gt;1),"",$AL837-$X837)</f>
        <v/>
      </c>
      <c r="AN837" s="8">
        <f>$U837</f>
        <v/>
      </c>
      <c r="AO837" s="8">
        <f>$AN837*IF($J837="INR",1,$AL837)</f>
        <v/>
      </c>
      <c r="AP837" s="18">
        <f>$AO837-$V837</f>
        <v/>
      </c>
      <c r="AQ837" s="8">
        <f>IF(ABS($AP837)&lt;=tol_trade_inr,"PASS","FAIL")</f>
        <v/>
      </c>
    </row>
    <row r="838">
      <c r="A838" s="11" t="n">
        <v>44712</v>
      </c>
      <c r="B838" s="7" t="inlineStr">
        <is>
          <t>T02</t>
        </is>
      </c>
      <c r="C838" s="7" t="inlineStr">
        <is>
          <t>BILL_COMMISSION:L2</t>
        </is>
      </c>
      <c r="D838" s="7" t="inlineStr">
        <is>
          <t>BILL_COMMISSION</t>
        </is>
      </c>
      <c r="E838" s="7" t="inlineStr">
        <is>
          <t>physical</t>
        </is>
      </c>
      <c r="F838" s="7" t="inlineStr">
        <is>
          <t>L2</t>
        </is>
      </c>
      <c r="H838" s="7" t="inlineStr">
        <is>
          <t>tense</t>
        </is>
      </c>
      <c r="I838" s="7" t="inlineStr">
        <is>
          <t>JEA_NSA</t>
        </is>
      </c>
      <c r="J838" s="7" t="inlineStr">
        <is>
          <t>USD</t>
        </is>
      </c>
      <c r="K838" s="7" t="inlineStr">
        <is>
          <t>floating</t>
        </is>
      </c>
      <c r="L838" s="7" t="inlineStr">
        <is>
          <t>PNL</t>
        </is>
      </c>
      <c r="M838" s="11" t="n">
        <v>44754</v>
      </c>
      <c r="N838" s="13" t="n">
        <v>0</v>
      </c>
      <c r="O838" s="6" t="n">
        <v>0</v>
      </c>
      <c r="P838" s="13" t="n">
        <v>0</v>
      </c>
      <c r="Q838" s="22" t="n">
        <v>30</v>
      </c>
      <c r="R838" s="6" t="n">
        <v>1</v>
      </c>
      <c r="U838" s="9" t="n">
        <v>-1399.51</v>
      </c>
      <c r="V838" s="9" t="n">
        <v>-109177.96</v>
      </c>
      <c r="X838" s="9" t="n">
        <v>78.0116</v>
      </c>
      <c r="AK838" s="7" t="inlineStr">
        <is>
          <t>PYTHON_LIFECYCLE</t>
        </is>
      </c>
      <c r="AL838" s="8">
        <f>IF($J838="INR",1,IF($M838&lt;$A838,INDEX(Market_Daily!$F$6:$F$256,MATCH($M838,Market_Daily!$A$6:$A$256,1)),IF($M838=$A838,INDEX(Market_Daily!$F$6:$F$256,MATCH($A838,Market_Daily!$A$6:$A$256,0)),(INDEX(Market_Daily!$F$6:$F$256,MATCH($A838,Market_Daily!$A$6:$A$256,0))*(1+INDEX(Market_Daily!$I$6:$I$256,MATCH($A838,Market_Daily!$A$6:$A$256,0))*($M838-$A838)/day_count_inr)/(1+INDEX(Market_Daily!$J$6:$J$256,MATCH($A838,Market_Daily!$A$6:$A$256,0))*($M838-$A838)/day_count_usd)))))</f>
        <v/>
      </c>
      <c r="AM838" s="8">
        <f>IF(OR($J838="INR",$R838&gt;1),"",$AL838-$X838)</f>
        <v/>
      </c>
      <c r="AN838" s="8">
        <f>$U838</f>
        <v/>
      </c>
      <c r="AO838" s="8">
        <f>$AN838*IF($J838="INR",1,$AL838)</f>
        <v/>
      </c>
      <c r="AP838" s="18">
        <f>$AO838-$V838</f>
        <v/>
      </c>
      <c r="AQ838" s="8">
        <f>IF(ABS($AP838)&lt;=tol_trade_inr,"PASS","FAIL")</f>
        <v/>
      </c>
    </row>
    <row r="839">
      <c r="A839" s="11" t="n">
        <v>44712</v>
      </c>
      <c r="B839" s="7" t="inlineStr">
        <is>
          <t>T02</t>
        </is>
      </c>
      <c r="C839" s="7" t="inlineStr">
        <is>
          <t>DUTY:L1</t>
        </is>
      </c>
      <c r="D839" s="7" t="inlineStr">
        <is>
          <t>DUTY</t>
        </is>
      </c>
      <c r="E839" s="7" t="inlineStr">
        <is>
          <t>physical</t>
        </is>
      </c>
      <c r="F839" s="7" t="inlineStr">
        <is>
          <t>L1</t>
        </is>
      </c>
      <c r="H839" s="7" t="inlineStr">
        <is>
          <t>tense</t>
        </is>
      </c>
      <c r="I839" s="7" t="inlineStr">
        <is>
          <t>JEA_NSA</t>
        </is>
      </c>
      <c r="J839" s="7" t="inlineStr">
        <is>
          <t>INR</t>
        </is>
      </c>
      <c r="K839" s="7" t="inlineStr">
        <is>
          <t>partially_fixed</t>
        </is>
      </c>
      <c r="L839" s="7" t="inlineStr">
        <is>
          <t>PNL</t>
        </is>
      </c>
      <c r="M839" s="11" t="n">
        <v>44721</v>
      </c>
      <c r="N839" s="13" t="n">
        <v>600</v>
      </c>
      <c r="O839" s="6" t="n">
        <v>0</v>
      </c>
      <c r="P839" s="13" t="n">
        <v>0</v>
      </c>
      <c r="Q839" s="22" t="n">
        <v>30</v>
      </c>
      <c r="R839" s="6" t="n">
        <v>2</v>
      </c>
      <c r="U839" s="9" t="n">
        <v>476425.7</v>
      </c>
      <c r="V839" s="9" t="n">
        <v>476425.7</v>
      </c>
      <c r="X839" s="9" t="n">
        <v>77.69159999999999</v>
      </c>
      <c r="AK839" s="7" t="inlineStr">
        <is>
          <t>PYTHON_MULTI_FLOW_LEG</t>
        </is>
      </c>
      <c r="AL839" s="8">
        <f>IF($J839="INR",1,IF($M839&lt;$A839,INDEX(Market_Daily!$F$6:$F$256,MATCH($M839,Market_Daily!$A$6:$A$256,1)),IF($M839=$A839,INDEX(Market_Daily!$F$6:$F$256,MATCH($A839,Market_Daily!$A$6:$A$256,0)),(INDEX(Market_Daily!$F$6:$F$256,MATCH($A839,Market_Daily!$A$6:$A$256,0))*(1+INDEX(Market_Daily!$I$6:$I$256,MATCH($A839,Market_Daily!$A$6:$A$256,0))*($M839-$A839)/day_count_inr)/(1+INDEX(Market_Daily!$J$6:$J$256,MATCH($A839,Market_Daily!$A$6:$A$256,0))*($M839-$A839)/day_count_usd)))))</f>
        <v/>
      </c>
      <c r="AM839" s="8">
        <f>IF(OR($J839="INR",$R839&gt;1),"",$AL839-$X839)</f>
        <v/>
      </c>
      <c r="AN839" s="8">
        <f>$U839</f>
        <v/>
      </c>
      <c r="AO839" s="8">
        <f>$V839</f>
        <v/>
      </c>
      <c r="AP839" s="18">
        <f>$AO839-$V839</f>
        <v/>
      </c>
      <c r="AQ839" s="8">
        <f>IF(ABS($AP839)&lt;=tol_trade_inr,"PASS","FAIL")</f>
        <v/>
      </c>
    </row>
    <row r="840">
      <c r="A840" s="11" t="n">
        <v>44712</v>
      </c>
      <c r="B840" s="7" t="inlineStr">
        <is>
          <t>T02</t>
        </is>
      </c>
      <c r="C840" s="7" t="inlineStr">
        <is>
          <t>DUTY:L2</t>
        </is>
      </c>
      <c r="D840" s="7" t="inlineStr">
        <is>
          <t>DUTY</t>
        </is>
      </c>
      <c r="E840" s="7" t="inlineStr">
        <is>
          <t>physical</t>
        </is>
      </c>
      <c r="F840" s="7" t="inlineStr">
        <is>
          <t>L2</t>
        </is>
      </c>
      <c r="H840" s="7" t="inlineStr">
        <is>
          <t>tense</t>
        </is>
      </c>
      <c r="I840" s="7" t="inlineStr">
        <is>
          <t>JEA_NSA</t>
        </is>
      </c>
      <c r="J840" s="7" t="inlineStr">
        <is>
          <t>INR</t>
        </is>
      </c>
      <c r="K840" s="7" t="inlineStr">
        <is>
          <t>partially_fixed</t>
        </is>
      </c>
      <c r="L840" s="7" t="inlineStr">
        <is>
          <t>PNL</t>
        </is>
      </c>
      <c r="M840" s="11" t="n">
        <v>44721</v>
      </c>
      <c r="N840" s="13" t="n">
        <v>600</v>
      </c>
      <c r="O840" s="6" t="n">
        <v>0</v>
      </c>
      <c r="P840" s="13" t="n">
        <v>0</v>
      </c>
      <c r="Q840" s="22" t="n">
        <v>30</v>
      </c>
      <c r="R840" s="6" t="n">
        <v>2</v>
      </c>
      <c r="U840" s="9" t="n">
        <v>308078.21</v>
      </c>
      <c r="V840" s="9" t="n">
        <v>308078.21</v>
      </c>
      <c r="X840" s="9" t="n">
        <v>77.69159999999999</v>
      </c>
      <c r="AK840" s="7" t="inlineStr">
        <is>
          <t>PYTHON_MULTI_FLOW_LEG</t>
        </is>
      </c>
      <c r="AL840" s="8">
        <f>IF($J840="INR",1,IF($M840&lt;$A840,INDEX(Market_Daily!$F$6:$F$256,MATCH($M840,Market_Daily!$A$6:$A$256,1)),IF($M840=$A840,INDEX(Market_Daily!$F$6:$F$256,MATCH($A840,Market_Daily!$A$6:$A$256,0)),(INDEX(Market_Daily!$F$6:$F$256,MATCH($A840,Market_Daily!$A$6:$A$256,0))*(1+INDEX(Market_Daily!$I$6:$I$256,MATCH($A840,Market_Daily!$A$6:$A$256,0))*($M840-$A840)/day_count_inr)/(1+INDEX(Market_Daily!$J$6:$J$256,MATCH($A840,Market_Daily!$A$6:$A$256,0))*($M840-$A840)/day_count_usd)))))</f>
        <v/>
      </c>
      <c r="AM840" s="8">
        <f>IF(OR($J840="INR",$R840&gt;1),"",$AL840-$X840)</f>
        <v/>
      </c>
      <c r="AN840" s="8">
        <f>$U840</f>
        <v/>
      </c>
      <c r="AO840" s="8">
        <f>$V840</f>
        <v/>
      </c>
      <c r="AP840" s="18">
        <f>$AO840-$V840</f>
        <v/>
      </c>
      <c r="AQ840" s="8">
        <f>IF(ABS($AP840)&lt;=tol_trade_inr,"PASS","FAIL")</f>
        <v/>
      </c>
    </row>
    <row r="841">
      <c r="A841" s="11" t="n">
        <v>44712</v>
      </c>
      <c r="B841" s="7" t="inlineStr">
        <is>
          <t>T02</t>
        </is>
      </c>
      <c r="C841" s="7" t="inlineStr">
        <is>
          <t>FX:T02-FX-1</t>
        </is>
      </c>
      <c r="D841" s="7" t="inlineStr">
        <is>
          <t>FX</t>
        </is>
      </c>
      <c r="E841" s="7" t="inlineStr">
        <is>
          <t>fx_forward</t>
        </is>
      </c>
      <c r="H841" s="7" t="inlineStr">
        <is>
          <t>tense</t>
        </is>
      </c>
      <c r="I841" s="7" t="inlineStr">
        <is>
          <t>JEA_NSA</t>
        </is>
      </c>
      <c r="J841" s="7" t="inlineStr">
        <is>
          <t>INR</t>
        </is>
      </c>
      <c r="K841" s="7" t="inlineStr">
        <is>
          <t>floating</t>
        </is>
      </c>
      <c r="L841" s="7" t="inlineStr">
        <is>
          <t>PNL</t>
        </is>
      </c>
      <c r="M841" s="11" t="n">
        <v>44746</v>
      </c>
      <c r="N841" s="13" t="n">
        <v>0</v>
      </c>
      <c r="O841" s="6" t="n">
        <v>0</v>
      </c>
      <c r="P841" s="13" t="n">
        <v>1241900</v>
      </c>
      <c r="Q841" s="22" t="n">
        <v>30</v>
      </c>
      <c r="R841" s="6" t="n">
        <v>1</v>
      </c>
      <c r="S841" s="12" t="n">
        <v>44746</v>
      </c>
      <c r="T841" s="21" t="n">
        <v>76.040598</v>
      </c>
      <c r="U841" s="9" t="n">
        <v>2372183.85</v>
      </c>
      <c r="V841" s="9" t="n">
        <v>2372183.85</v>
      </c>
      <c r="X841" s="9" t="n">
        <v>77.69159999999999</v>
      </c>
      <c r="AK841" s="7" t="inlineStr">
        <is>
          <t>DERIVED_IN_WORKBOOK</t>
        </is>
      </c>
      <c r="AL841" s="8">
        <f>IF($J841="INR",1,IF($M841&lt;$A841,INDEX(Market_Daily!$F$6:$F$256,MATCH($M841,Market_Daily!$A$6:$A$256,1)),IF($M841=$A841,INDEX(Market_Daily!$F$6:$F$256,MATCH($A841,Market_Daily!$A$6:$A$256,0)),(INDEX(Market_Daily!$F$6:$F$256,MATCH($A841,Market_Daily!$A$6:$A$256,0))*(1+INDEX(Market_Daily!$I$6:$I$256,MATCH($A841,Market_Daily!$A$6:$A$256,0))*($M841-$A841)/day_count_inr)/(1+INDEX(Market_Daily!$J$6:$J$256,MATCH($A841,Market_Daily!$A$6:$A$256,0))*($M841-$A841)/day_count_usd)))))</f>
        <v/>
      </c>
      <c r="AM841" s="8">
        <f>IF(OR($J841="INR",$R841&gt;1),"",$AL841-$X841)</f>
        <v/>
      </c>
      <c r="AN841" s="8">
        <f>$P841*(IF($S841&lt;$A841,INDEX(Market_Daily!$F$6:$F$256,MATCH($S841,Market_Daily!$A$6:$A$256,1)),IF($S841=$A841,INDEX(Market_Daily!$F$6:$F$256,MATCH($A841,Market_Daily!$A$6:$A$256,0)),(INDEX(Market_Daily!$F$6:$F$256,MATCH($A841,Market_Daily!$A$6:$A$256,0))*(1+INDEX(Market_Daily!$I$6:$I$256,MATCH($A841,Market_Daily!$A$6:$A$256,0))*($S841-$A841)/day_count_inr)/(1+INDEX(Market_Daily!$J$6:$J$256,MATCH($A841,Market_Daily!$A$6:$A$256,0))*($S841-$A841)/day_count_usd))))-$T841)</f>
        <v/>
      </c>
      <c r="AO841" s="8">
        <f>$AN841</f>
        <v/>
      </c>
      <c r="AP841" s="18">
        <f>$AO841-$V841</f>
        <v/>
      </c>
      <c r="AQ841" s="8">
        <f>IF(ABS($AP841)&lt;=tol_trade_inr,"PASS","FAIL")</f>
        <v/>
      </c>
    </row>
    <row r="842">
      <c r="A842" s="11" t="n">
        <v>44712</v>
      </c>
      <c r="B842" s="7" t="inlineStr">
        <is>
          <t>T02</t>
        </is>
      </c>
      <c r="C842" s="7" t="inlineStr">
        <is>
          <t>FX:T02-FX-2</t>
        </is>
      </c>
      <c r="D842" s="7" t="inlineStr">
        <is>
          <t>FX</t>
        </is>
      </c>
      <c r="E842" s="7" t="inlineStr">
        <is>
          <t>fx_forward</t>
        </is>
      </c>
      <c r="H842" s="7" t="inlineStr">
        <is>
          <t>tense</t>
        </is>
      </c>
      <c r="I842" s="7" t="inlineStr">
        <is>
          <t>JEA_NSA</t>
        </is>
      </c>
      <c r="J842" s="7" t="inlineStr">
        <is>
          <t>INR</t>
        </is>
      </c>
      <c r="K842" s="7" t="inlineStr">
        <is>
          <t>floating</t>
        </is>
      </c>
      <c r="L842" s="7" t="inlineStr">
        <is>
          <t>PNL</t>
        </is>
      </c>
      <c r="M842" s="11" t="n">
        <v>44754</v>
      </c>
      <c r="N842" s="13" t="n">
        <v>0</v>
      </c>
      <c r="O842" s="6" t="n">
        <v>0</v>
      </c>
      <c r="P842" s="13" t="n">
        <v>1166000</v>
      </c>
      <c r="Q842" s="22" t="n">
        <v>30</v>
      </c>
      <c r="R842" s="6" t="n">
        <v>1</v>
      </c>
      <c r="S842" s="12" t="n">
        <v>44754</v>
      </c>
      <c r="T842" s="21" t="n">
        <v>76.878636</v>
      </c>
      <c r="U842" s="9" t="n">
        <v>1321049.53</v>
      </c>
      <c r="V842" s="9" t="n">
        <v>1321049.53</v>
      </c>
      <c r="X842" s="9" t="n">
        <v>77.69159999999999</v>
      </c>
      <c r="AK842" s="7" t="inlineStr">
        <is>
          <t>DERIVED_IN_WORKBOOK</t>
        </is>
      </c>
      <c r="AL842" s="8">
        <f>IF($J842="INR",1,IF($M842&lt;$A842,INDEX(Market_Daily!$F$6:$F$256,MATCH($M842,Market_Daily!$A$6:$A$256,1)),IF($M842=$A842,INDEX(Market_Daily!$F$6:$F$256,MATCH($A842,Market_Daily!$A$6:$A$256,0)),(INDEX(Market_Daily!$F$6:$F$256,MATCH($A842,Market_Daily!$A$6:$A$256,0))*(1+INDEX(Market_Daily!$I$6:$I$256,MATCH($A842,Market_Daily!$A$6:$A$256,0))*($M842-$A842)/day_count_inr)/(1+INDEX(Market_Daily!$J$6:$J$256,MATCH($A842,Market_Daily!$A$6:$A$256,0))*($M842-$A842)/day_count_usd)))))</f>
        <v/>
      </c>
      <c r="AM842" s="8">
        <f>IF(OR($J842="INR",$R842&gt;1),"",$AL842-$X842)</f>
        <v/>
      </c>
      <c r="AN842" s="8">
        <f>$P842*(IF($S842&lt;$A842,INDEX(Market_Daily!$F$6:$F$256,MATCH($S842,Market_Daily!$A$6:$A$256,1)),IF($S842=$A842,INDEX(Market_Daily!$F$6:$F$256,MATCH($A842,Market_Daily!$A$6:$A$256,0)),(INDEX(Market_Daily!$F$6:$F$256,MATCH($A842,Market_Daily!$A$6:$A$256,0))*(1+INDEX(Market_Daily!$I$6:$I$256,MATCH($A842,Market_Daily!$A$6:$A$256,0))*($S842-$A842)/day_count_inr)/(1+INDEX(Market_Daily!$J$6:$J$256,MATCH($A842,Market_Daily!$A$6:$A$256,0))*($S842-$A842)/day_count_usd))))-$T842)</f>
        <v/>
      </c>
      <c r="AO842" s="8">
        <f>$AN842</f>
        <v/>
      </c>
      <c r="AP842" s="18">
        <f>$AO842-$V842</f>
        <v/>
      </c>
      <c r="AQ842" s="8">
        <f>IF(ABS($AP842)&lt;=tol_trade_inr,"PASS","FAIL")</f>
        <v/>
      </c>
    </row>
    <row r="843">
      <c r="A843" s="11" t="n">
        <v>44712</v>
      </c>
      <c r="B843" s="7" t="inlineStr">
        <is>
          <t>T02</t>
        </is>
      </c>
      <c r="C843" s="7" t="inlineStr">
        <is>
          <t>IGST:L2</t>
        </is>
      </c>
      <c r="D843" s="7" t="inlineStr">
        <is>
          <t>IGST</t>
        </is>
      </c>
      <c r="E843" s="7" t="inlineStr">
        <is>
          <t>physical</t>
        </is>
      </c>
      <c r="F843" s="7" t="inlineStr">
        <is>
          <t>L2</t>
        </is>
      </c>
      <c r="H843" s="7" t="inlineStr">
        <is>
          <t>tense</t>
        </is>
      </c>
      <c r="I843" s="7" t="inlineStr">
        <is>
          <t>JEA_NSA</t>
        </is>
      </c>
      <c r="J843" s="7" t="inlineStr">
        <is>
          <t>INR</t>
        </is>
      </c>
      <c r="K843" s="7" t="inlineStr">
        <is>
          <t>fixed_unsettled</t>
        </is>
      </c>
      <c r="L843" s="7" t="inlineStr">
        <is>
          <t>BS</t>
        </is>
      </c>
      <c r="M843" s="11" t="n">
        <v>44718</v>
      </c>
      <c r="N843" s="13" t="n">
        <v>0</v>
      </c>
      <c r="O843" s="6" t="n">
        <v>0</v>
      </c>
      <c r="P843" s="13" t="n">
        <v>0</v>
      </c>
      <c r="Q843" s="22" t="n">
        <v>30</v>
      </c>
      <c r="R843" s="6" t="n">
        <v>2</v>
      </c>
      <c r="U843" s="9" t="n">
        <v>0</v>
      </c>
      <c r="V843" s="9" t="n">
        <v>0</v>
      </c>
      <c r="X843" s="9" t="n">
        <v>77.69159999999999</v>
      </c>
      <c r="AK843" s="7" t="inlineStr">
        <is>
          <t>PYTHON_MULTI_FLOW_LEG</t>
        </is>
      </c>
      <c r="AL843" s="8">
        <f>IF($J843="INR",1,IF($M843&lt;$A843,INDEX(Market_Daily!$F$6:$F$256,MATCH($M843,Market_Daily!$A$6:$A$256,1)),IF($M843=$A843,INDEX(Market_Daily!$F$6:$F$256,MATCH($A843,Market_Daily!$A$6:$A$256,0)),(INDEX(Market_Daily!$F$6:$F$256,MATCH($A843,Market_Daily!$A$6:$A$256,0))*(1+INDEX(Market_Daily!$I$6:$I$256,MATCH($A843,Market_Daily!$A$6:$A$256,0))*($M843-$A843)/day_count_inr)/(1+INDEX(Market_Daily!$J$6:$J$256,MATCH($A843,Market_Daily!$A$6:$A$256,0))*($M843-$A843)/day_count_usd)))))</f>
        <v/>
      </c>
      <c r="AM843" s="8">
        <f>IF(OR($J843="INR",$R843&gt;1),"",$AL843-$X843)</f>
        <v/>
      </c>
      <c r="AN843" s="8">
        <f>$U843</f>
        <v/>
      </c>
      <c r="AO843" s="8">
        <f>$V843</f>
        <v/>
      </c>
      <c r="AP843" s="18">
        <f>$AO843-$V843</f>
        <v/>
      </c>
      <c r="AQ843" s="8">
        <f>IF(ABS($AP843)&lt;=tol_trade_inr,"PASS","FAIL")</f>
        <v/>
      </c>
    </row>
    <row r="844">
      <c r="A844" s="11" t="n">
        <v>44712</v>
      </c>
      <c r="B844" s="7" t="inlineStr">
        <is>
          <t>T02</t>
        </is>
      </c>
      <c r="C844" s="7" t="inlineStr">
        <is>
          <t>PURCHASE:L1</t>
        </is>
      </c>
      <c r="D844" s="7" t="inlineStr">
        <is>
          <t>PURCHASE</t>
        </is>
      </c>
      <c r="E844" s="7" t="inlineStr">
        <is>
          <t>physical</t>
        </is>
      </c>
      <c r="F844" s="7" t="inlineStr">
        <is>
          <t>L1</t>
        </is>
      </c>
      <c r="G844" s="7" t="inlineStr">
        <is>
          <t>SUP_JEA_01</t>
        </is>
      </c>
      <c r="H844" s="7" t="inlineStr">
        <is>
          <t>tense</t>
        </is>
      </c>
      <c r="I844" s="7" t="inlineStr">
        <is>
          <t>JEA_NSA</t>
        </is>
      </c>
      <c r="J844" s="7" t="inlineStr">
        <is>
          <t>USD</t>
        </is>
      </c>
      <c r="K844" s="7" t="inlineStr">
        <is>
          <t>fixed_unsettled</t>
        </is>
      </c>
      <c r="L844" s="7" t="inlineStr">
        <is>
          <t>PNL</t>
        </is>
      </c>
      <c r="M844" s="11" t="n">
        <v>44746</v>
      </c>
      <c r="N844" s="13" t="n">
        <v>1200</v>
      </c>
      <c r="O844" s="6" t="n">
        <v>0</v>
      </c>
      <c r="P844" s="13" t="n">
        <v>0</v>
      </c>
      <c r="Q844" s="22" t="n">
        <v>30</v>
      </c>
      <c r="R844" s="6" t="n">
        <v>2</v>
      </c>
      <c r="U844" s="9" t="n">
        <v>-1081929.51</v>
      </c>
      <c r="V844" s="9" t="n">
        <v>-84367657.93000001</v>
      </c>
      <c r="X844" s="9" t="n">
        <v>77.9507</v>
      </c>
      <c r="AK844" s="7" t="inlineStr">
        <is>
          <t>PYTHON_MULTI_FLOW_LEG</t>
        </is>
      </c>
      <c r="AL844" s="8">
        <f>IF($J844="INR",1,IF($M844&lt;$A844,INDEX(Market_Daily!$F$6:$F$256,MATCH($M844,Market_Daily!$A$6:$A$256,1)),IF($M844=$A844,INDEX(Market_Daily!$F$6:$F$256,MATCH($A844,Market_Daily!$A$6:$A$256,0)),(INDEX(Market_Daily!$F$6:$F$256,MATCH($A844,Market_Daily!$A$6:$A$256,0))*(1+INDEX(Market_Daily!$I$6:$I$256,MATCH($A844,Market_Daily!$A$6:$A$256,0))*($M844-$A844)/day_count_inr)/(1+INDEX(Market_Daily!$J$6:$J$256,MATCH($A844,Market_Daily!$A$6:$A$256,0))*($M844-$A844)/day_count_usd)))))</f>
        <v/>
      </c>
      <c r="AM844" s="8">
        <f>IF(OR($J844="INR",$R844&gt;1),"",$AL844-$X844)</f>
        <v/>
      </c>
      <c r="AN844" s="8">
        <f>$U844</f>
        <v/>
      </c>
      <c r="AO844" s="8">
        <f>$V844</f>
        <v/>
      </c>
      <c r="AP844" s="18">
        <f>$AO844-$V844</f>
        <v/>
      </c>
      <c r="AQ844" s="8">
        <f>IF(ABS($AP844)&lt;=tol_trade_inr,"PASS","FAIL")</f>
        <v/>
      </c>
    </row>
    <row r="845">
      <c r="A845" s="11" t="n">
        <v>44712</v>
      </c>
      <c r="B845" s="7" t="inlineStr">
        <is>
          <t>T02</t>
        </is>
      </c>
      <c r="C845" s="7" t="inlineStr">
        <is>
          <t>PURCHASE:L2</t>
        </is>
      </c>
      <c r="D845" s="7" t="inlineStr">
        <is>
          <t>PURCHASE</t>
        </is>
      </c>
      <c r="E845" s="7" t="inlineStr">
        <is>
          <t>physical</t>
        </is>
      </c>
      <c r="F845" s="7" t="inlineStr">
        <is>
          <t>L2</t>
        </is>
      </c>
      <c r="G845" s="7" t="inlineStr">
        <is>
          <t>SUP_JEA_01</t>
        </is>
      </c>
      <c r="H845" s="7" t="inlineStr">
        <is>
          <t>tense</t>
        </is>
      </c>
      <c r="I845" s="7" t="inlineStr">
        <is>
          <t>JEA_NSA</t>
        </is>
      </c>
      <c r="J845" s="7" t="inlineStr">
        <is>
          <t>USD</t>
        </is>
      </c>
      <c r="K845" s="7" t="inlineStr">
        <is>
          <t>fixed_unsettled</t>
        </is>
      </c>
      <c r="L845" s="7" t="inlineStr">
        <is>
          <t>PNL</t>
        </is>
      </c>
      <c r="M845" s="11" t="n">
        <v>44754</v>
      </c>
      <c r="N845" s="13" t="n">
        <v>1200</v>
      </c>
      <c r="O845" s="6" t="n">
        <v>0</v>
      </c>
      <c r="P845" s="13" t="n">
        <v>0</v>
      </c>
      <c r="Q845" s="22" t="n">
        <v>30</v>
      </c>
      <c r="R845" s="6" t="n">
        <v>2</v>
      </c>
      <c r="U845" s="9" t="n">
        <v>-1081929.51</v>
      </c>
      <c r="V845" s="9" t="n">
        <v>-84424262.77</v>
      </c>
      <c r="X845" s="9" t="n">
        <v>78.0116</v>
      </c>
      <c r="AK845" s="7" t="inlineStr">
        <is>
          <t>PYTHON_MULTI_FLOW_LEG</t>
        </is>
      </c>
      <c r="AL845" s="8">
        <f>IF($J845="INR",1,IF($M845&lt;$A845,INDEX(Market_Daily!$F$6:$F$256,MATCH($M845,Market_Daily!$A$6:$A$256,1)),IF($M845=$A845,INDEX(Market_Daily!$F$6:$F$256,MATCH($A845,Market_Daily!$A$6:$A$256,0)),(INDEX(Market_Daily!$F$6:$F$256,MATCH($A845,Market_Daily!$A$6:$A$256,0))*(1+INDEX(Market_Daily!$I$6:$I$256,MATCH($A845,Market_Daily!$A$6:$A$256,0))*($M845-$A845)/day_count_inr)/(1+INDEX(Market_Daily!$J$6:$J$256,MATCH($A845,Market_Daily!$A$6:$A$256,0))*($M845-$A845)/day_count_usd)))))</f>
        <v/>
      </c>
      <c r="AM845" s="8">
        <f>IF(OR($J845="INR",$R845&gt;1),"",$AL845-$X845)</f>
        <v/>
      </c>
      <c r="AN845" s="8">
        <f>$U845</f>
        <v/>
      </c>
      <c r="AO845" s="8">
        <f>$V845</f>
        <v/>
      </c>
      <c r="AP845" s="18">
        <f>$AO845-$V845</f>
        <v/>
      </c>
      <c r="AQ845" s="8">
        <f>IF(ABS($AP845)&lt;=tol_trade_inr,"PASS","FAIL")</f>
        <v/>
      </c>
    </row>
    <row r="846">
      <c r="A846" s="11" t="n">
        <v>44712</v>
      </c>
      <c r="B846" s="7" t="inlineStr">
        <is>
          <t>T02</t>
        </is>
      </c>
      <c r="C846" s="7" t="inlineStr">
        <is>
          <t>USANCE_INTEREST:L1</t>
        </is>
      </c>
      <c r="D846" s="7" t="inlineStr">
        <is>
          <t>USANCE_INTEREST</t>
        </is>
      </c>
      <c r="E846" s="7" t="inlineStr">
        <is>
          <t>physical</t>
        </is>
      </c>
      <c r="F846" s="7" t="inlineStr">
        <is>
          <t>L1</t>
        </is>
      </c>
      <c r="H846" s="7" t="inlineStr">
        <is>
          <t>tense</t>
        </is>
      </c>
      <c r="I846" s="7" t="inlineStr">
        <is>
          <t>JEA_NSA</t>
        </is>
      </c>
      <c r="J846" s="7" t="inlineStr">
        <is>
          <t>USD</t>
        </is>
      </c>
      <c r="K846" s="7" t="inlineStr">
        <is>
          <t>fixed_unsettled</t>
        </is>
      </c>
      <c r="L846" s="7" t="inlineStr">
        <is>
          <t>PNL</t>
        </is>
      </c>
      <c r="M846" s="11" t="n">
        <v>44746</v>
      </c>
      <c r="N846" s="13" t="n">
        <v>0</v>
      </c>
      <c r="O846" s="6" t="n">
        <v>0</v>
      </c>
      <c r="P846" s="13" t="n">
        <v>0</v>
      </c>
      <c r="Q846" s="22" t="n">
        <v>30</v>
      </c>
      <c r="R846" s="6" t="n">
        <v>1</v>
      </c>
      <c r="U846" s="9" t="n">
        <v>-6953.7</v>
      </c>
      <c r="V846" s="9" t="n">
        <v>-542046.13</v>
      </c>
      <c r="X846" s="9" t="n">
        <v>77.9507</v>
      </c>
      <c r="AK846" s="7" t="inlineStr">
        <is>
          <t>PYTHON_LIFECYCLE</t>
        </is>
      </c>
      <c r="AL846" s="8">
        <f>IF($J846="INR",1,IF($M846&lt;$A846,INDEX(Market_Daily!$F$6:$F$256,MATCH($M846,Market_Daily!$A$6:$A$256,1)),IF($M846=$A846,INDEX(Market_Daily!$F$6:$F$256,MATCH($A846,Market_Daily!$A$6:$A$256,0)),(INDEX(Market_Daily!$F$6:$F$256,MATCH($A846,Market_Daily!$A$6:$A$256,0))*(1+INDEX(Market_Daily!$I$6:$I$256,MATCH($A846,Market_Daily!$A$6:$A$256,0))*($M846-$A846)/day_count_inr)/(1+INDEX(Market_Daily!$J$6:$J$256,MATCH($A846,Market_Daily!$A$6:$A$256,0))*($M846-$A846)/day_count_usd)))))</f>
        <v/>
      </c>
      <c r="AM846" s="8">
        <f>IF(OR($J846="INR",$R846&gt;1),"",$AL846-$X846)</f>
        <v/>
      </c>
      <c r="AN846" s="8">
        <f>$U846</f>
        <v/>
      </c>
      <c r="AO846" s="8">
        <f>$AN846*IF($J846="INR",1,$AL846)</f>
        <v/>
      </c>
      <c r="AP846" s="18">
        <f>$AO846-$V846</f>
        <v/>
      </c>
      <c r="AQ846" s="8">
        <f>IF(ABS($AP846)&lt;=tol_trade_inr,"PASS","FAIL")</f>
        <v/>
      </c>
    </row>
    <row r="847">
      <c r="A847" s="11" t="n">
        <v>44712</v>
      </c>
      <c r="B847" s="7" t="inlineStr">
        <is>
          <t>T02</t>
        </is>
      </c>
      <c r="C847" s="7" t="inlineStr">
        <is>
          <t>USANCE_INTEREST:L2</t>
        </is>
      </c>
      <c r="D847" s="7" t="inlineStr">
        <is>
          <t>USANCE_INTEREST</t>
        </is>
      </c>
      <c r="E847" s="7" t="inlineStr">
        <is>
          <t>physical</t>
        </is>
      </c>
      <c r="F847" s="7" t="inlineStr">
        <is>
          <t>L2</t>
        </is>
      </c>
      <c r="H847" s="7" t="inlineStr">
        <is>
          <t>tense</t>
        </is>
      </c>
      <c r="I847" s="7" t="inlineStr">
        <is>
          <t>JEA_NSA</t>
        </is>
      </c>
      <c r="J847" s="7" t="inlineStr">
        <is>
          <t>USD</t>
        </is>
      </c>
      <c r="K847" s="7" t="inlineStr">
        <is>
          <t>fixed_unsettled</t>
        </is>
      </c>
      <c r="L847" s="7" t="inlineStr">
        <is>
          <t>PNL</t>
        </is>
      </c>
      <c r="M847" s="11" t="n">
        <v>44754</v>
      </c>
      <c r="N847" s="13" t="n">
        <v>0</v>
      </c>
      <c r="O847" s="6" t="n">
        <v>0</v>
      </c>
      <c r="P847" s="13" t="n">
        <v>0</v>
      </c>
      <c r="Q847" s="22" t="n">
        <v>30</v>
      </c>
      <c r="R847" s="6" t="n">
        <v>1</v>
      </c>
      <c r="U847" s="9" t="n">
        <v>-6760.21</v>
      </c>
      <c r="V847" s="9" t="n">
        <v>-527375.0600000001</v>
      </c>
      <c r="X847" s="9" t="n">
        <v>78.0116</v>
      </c>
      <c r="AK847" s="7" t="inlineStr">
        <is>
          <t>PYTHON_LIFECYCLE</t>
        </is>
      </c>
      <c r="AL847" s="8">
        <f>IF($J847="INR",1,IF($M847&lt;$A847,INDEX(Market_Daily!$F$6:$F$256,MATCH($M847,Market_Daily!$A$6:$A$256,1)),IF($M847=$A847,INDEX(Market_Daily!$F$6:$F$256,MATCH($A847,Market_Daily!$A$6:$A$256,0)),(INDEX(Market_Daily!$F$6:$F$256,MATCH($A847,Market_Daily!$A$6:$A$256,0))*(1+INDEX(Market_Daily!$I$6:$I$256,MATCH($A847,Market_Daily!$A$6:$A$256,0))*($M847-$A847)/day_count_inr)/(1+INDEX(Market_Daily!$J$6:$J$256,MATCH($A847,Market_Daily!$A$6:$A$256,0))*($M847-$A847)/day_count_usd)))))</f>
        <v/>
      </c>
      <c r="AM847" s="8">
        <f>IF(OR($J847="INR",$R847&gt;1),"",$AL847-$X847)</f>
        <v/>
      </c>
      <c r="AN847" s="8">
        <f>$U847</f>
        <v/>
      </c>
      <c r="AO847" s="8">
        <f>$AN847*IF($J847="INR",1,$AL847)</f>
        <v/>
      </c>
      <c r="AP847" s="18">
        <f>$AO847-$V847</f>
        <v/>
      </c>
      <c r="AQ847" s="8">
        <f>IF(ABS($AP847)&lt;=tol_trade_inr,"PASS","FAIL")</f>
        <v/>
      </c>
    </row>
    <row r="848">
      <c r="A848" s="11" t="n">
        <v>44712</v>
      </c>
      <c r="B848" s="7" t="inlineStr">
        <is>
          <t>T03</t>
        </is>
      </c>
      <c r="C848" s="7" t="inlineStr">
        <is>
          <t>IGST:L1</t>
        </is>
      </c>
      <c r="D848" s="7" t="inlineStr">
        <is>
          <t>IGST</t>
        </is>
      </c>
      <c r="E848" s="7" t="inlineStr">
        <is>
          <t>physical</t>
        </is>
      </c>
      <c r="F848" s="7" t="inlineStr">
        <is>
          <t>L1</t>
        </is>
      </c>
      <c r="H848" s="7" t="inlineStr">
        <is>
          <t>taint_tabor</t>
        </is>
      </c>
      <c r="I848" s="7" t="inlineStr">
        <is>
          <t>JEA_NSA</t>
        </is>
      </c>
      <c r="J848" s="7" t="inlineStr">
        <is>
          <t>INR</t>
        </is>
      </c>
      <c r="K848" s="7" t="inlineStr">
        <is>
          <t>fixed_unsettled</t>
        </is>
      </c>
      <c r="L848" s="7" t="inlineStr">
        <is>
          <t>BS</t>
        </is>
      </c>
      <c r="M848" s="11" t="n">
        <v>44718</v>
      </c>
      <c r="N848" s="13" t="n">
        <v>0</v>
      </c>
      <c r="O848" s="6" t="n">
        <v>0</v>
      </c>
      <c r="P848" s="13" t="n">
        <v>0</v>
      </c>
      <c r="Q848" s="22" t="n">
        <v>30</v>
      </c>
      <c r="R848" s="6" t="n">
        <v>2</v>
      </c>
      <c r="U848" s="9" t="n">
        <v>0</v>
      </c>
      <c r="V848" s="9" t="n">
        <v>0</v>
      </c>
      <c r="X848" s="9" t="n">
        <v>77.69159999999999</v>
      </c>
      <c r="AK848" s="7" t="inlineStr">
        <is>
          <t>PYTHON_MULTI_FLOW_LEG</t>
        </is>
      </c>
      <c r="AL848" s="8">
        <f>IF($J848="INR",1,IF($M848&lt;$A848,INDEX(Market_Daily!$F$6:$F$256,MATCH($M848,Market_Daily!$A$6:$A$256,1)),IF($M848=$A848,INDEX(Market_Daily!$F$6:$F$256,MATCH($A848,Market_Daily!$A$6:$A$256,0)),(INDEX(Market_Daily!$F$6:$F$256,MATCH($A848,Market_Daily!$A$6:$A$256,0))*(1+INDEX(Market_Daily!$I$6:$I$256,MATCH($A848,Market_Daily!$A$6:$A$256,0))*($M848-$A848)/day_count_inr)/(1+INDEX(Market_Daily!$J$6:$J$256,MATCH($A848,Market_Daily!$A$6:$A$256,0))*($M848-$A848)/day_count_usd)))))</f>
        <v/>
      </c>
      <c r="AM848" s="8">
        <f>IF(OR($J848="INR",$R848&gt;1),"",$AL848-$X848)</f>
        <v/>
      </c>
      <c r="AN848" s="8">
        <f>$U848</f>
        <v/>
      </c>
      <c r="AO848" s="8">
        <f>$V848</f>
        <v/>
      </c>
      <c r="AP848" s="18">
        <f>$AO848-$V848</f>
        <v/>
      </c>
      <c r="AQ848" s="8">
        <f>IF(ABS($AP848)&lt;=tol_trade_inr,"PASS","FAIL")</f>
        <v/>
      </c>
    </row>
    <row r="849">
      <c r="A849" s="11" t="n">
        <v>44712</v>
      </c>
      <c r="B849" s="7" t="inlineStr">
        <is>
          <t>T03</t>
        </is>
      </c>
      <c r="C849" s="7" t="inlineStr">
        <is>
          <t>IGST:L2</t>
        </is>
      </c>
      <c r="D849" s="7" t="inlineStr">
        <is>
          <t>IGST</t>
        </is>
      </c>
      <c r="E849" s="7" t="inlineStr">
        <is>
          <t>physical</t>
        </is>
      </c>
      <c r="F849" s="7" t="inlineStr">
        <is>
          <t>L2</t>
        </is>
      </c>
      <c r="H849" s="7" t="inlineStr">
        <is>
          <t>taint_tabor</t>
        </is>
      </c>
      <c r="I849" s="7" t="inlineStr">
        <is>
          <t>JEA_NSA</t>
        </is>
      </c>
      <c r="J849" s="7" t="inlineStr">
        <is>
          <t>INR</t>
        </is>
      </c>
      <c r="K849" s="7" t="inlineStr">
        <is>
          <t>fixed_unsettled</t>
        </is>
      </c>
      <c r="L849" s="7" t="inlineStr">
        <is>
          <t>BS</t>
        </is>
      </c>
      <c r="M849" s="11" t="n">
        <v>44725</v>
      </c>
      <c r="N849" s="13" t="n">
        <v>0</v>
      </c>
      <c r="O849" s="6" t="n">
        <v>0</v>
      </c>
      <c r="P849" s="13" t="n">
        <v>0</v>
      </c>
      <c r="Q849" s="22" t="n">
        <v>30</v>
      </c>
      <c r="R849" s="6" t="n">
        <v>2</v>
      </c>
      <c r="U849" s="9" t="n">
        <v>0</v>
      </c>
      <c r="V849" s="9" t="n">
        <v>0</v>
      </c>
      <c r="X849" s="9" t="n">
        <v>77.69159999999999</v>
      </c>
      <c r="AK849" s="7" t="inlineStr">
        <is>
          <t>PYTHON_MULTI_FLOW_LEG</t>
        </is>
      </c>
      <c r="AL849" s="8">
        <f>IF($J849="INR",1,IF($M849&lt;$A849,INDEX(Market_Daily!$F$6:$F$256,MATCH($M849,Market_Daily!$A$6:$A$256,1)),IF($M849=$A849,INDEX(Market_Daily!$F$6:$F$256,MATCH($A849,Market_Daily!$A$6:$A$256,0)),(INDEX(Market_Daily!$F$6:$F$256,MATCH($A849,Market_Daily!$A$6:$A$256,0))*(1+INDEX(Market_Daily!$I$6:$I$256,MATCH($A849,Market_Daily!$A$6:$A$256,0))*($M849-$A849)/day_count_inr)/(1+INDEX(Market_Daily!$J$6:$J$256,MATCH($A849,Market_Daily!$A$6:$A$256,0))*($M849-$A849)/day_count_usd)))))</f>
        <v/>
      </c>
      <c r="AM849" s="8">
        <f>IF(OR($J849="INR",$R849&gt;1),"",$AL849-$X849)</f>
        <v/>
      </c>
      <c r="AN849" s="8">
        <f>$U849</f>
        <v/>
      </c>
      <c r="AO849" s="8">
        <f>$V849</f>
        <v/>
      </c>
      <c r="AP849" s="18">
        <f>$AO849-$V849</f>
        <v/>
      </c>
      <c r="AQ849" s="8">
        <f>IF(ABS($AP849)&lt;=tol_trade_inr,"PASS","FAIL")</f>
        <v/>
      </c>
    </row>
    <row r="850">
      <c r="A850" s="11" t="n">
        <v>44712</v>
      </c>
      <c r="B850" s="7" t="inlineStr">
        <is>
          <t>T03</t>
        </is>
      </c>
      <c r="C850" s="7" t="inlineStr">
        <is>
          <t>SALE:S1</t>
        </is>
      </c>
      <c r="D850" s="7" t="inlineStr">
        <is>
          <t>SALE</t>
        </is>
      </c>
      <c r="E850" s="7" t="inlineStr">
        <is>
          <t>physical</t>
        </is>
      </c>
      <c r="G850" s="7" t="inlineStr">
        <is>
          <t>BUY_JNPT_01</t>
        </is>
      </c>
      <c r="H850" s="7" t="inlineStr">
        <is>
          <t>taint_tabor</t>
        </is>
      </c>
      <c r="I850" s="7" t="inlineStr">
        <is>
          <t>JEA_NSA</t>
        </is>
      </c>
      <c r="J850" s="7" t="inlineStr">
        <is>
          <t>INR</t>
        </is>
      </c>
      <c r="K850" s="7" t="inlineStr">
        <is>
          <t>fixed_unsettled</t>
        </is>
      </c>
      <c r="L850" s="7" t="inlineStr">
        <is>
          <t>PNL</t>
        </is>
      </c>
      <c r="M850" s="11" t="n">
        <v>44720</v>
      </c>
      <c r="N850" s="13" t="n">
        <v>1200</v>
      </c>
      <c r="O850" s="6" t="n">
        <v>0</v>
      </c>
      <c r="P850" s="13" t="n">
        <v>0</v>
      </c>
      <c r="Q850" s="22" t="n">
        <v>30</v>
      </c>
      <c r="R850" s="6" t="n">
        <v>1</v>
      </c>
      <c r="U850" s="9" t="n">
        <v>241500000</v>
      </c>
      <c r="V850" s="9" t="n">
        <v>241500000</v>
      </c>
      <c r="W850" s="9" t="n">
        <v>201250</v>
      </c>
      <c r="X850" s="9" t="n">
        <v>77.69159999999999</v>
      </c>
      <c r="AK850" s="7" t="inlineStr">
        <is>
          <t>PYTHON_LIFECYCLE</t>
        </is>
      </c>
      <c r="AL850" s="8">
        <f>IF($J850="INR",1,IF($M850&lt;$A850,INDEX(Market_Daily!$F$6:$F$256,MATCH($M850,Market_Daily!$A$6:$A$256,1)),IF($M850=$A850,INDEX(Market_Daily!$F$6:$F$256,MATCH($A850,Market_Daily!$A$6:$A$256,0)),(INDEX(Market_Daily!$F$6:$F$256,MATCH($A850,Market_Daily!$A$6:$A$256,0))*(1+INDEX(Market_Daily!$I$6:$I$256,MATCH($A850,Market_Daily!$A$6:$A$256,0))*($M850-$A850)/day_count_inr)/(1+INDEX(Market_Daily!$J$6:$J$256,MATCH($A850,Market_Daily!$A$6:$A$256,0))*($M850-$A850)/day_count_usd)))))</f>
        <v/>
      </c>
      <c r="AM850" s="8">
        <f>IF(OR($J850="INR",$R850&gt;1),"",$AL850-$X850)</f>
        <v/>
      </c>
      <c r="AN850" s="8">
        <f>$U850</f>
        <v/>
      </c>
      <c r="AO850" s="8">
        <f>$AN850*IF($J850="INR",1,$AL850)</f>
        <v/>
      </c>
      <c r="AP850" s="18">
        <f>$AO850-$V850</f>
        <v/>
      </c>
      <c r="AQ850" s="8">
        <f>IF(ABS($AP850)&lt;=tol_trade_inr,"PASS","FAIL")</f>
        <v/>
      </c>
    </row>
    <row r="851">
      <c r="A851" s="11" t="n">
        <v>44712</v>
      </c>
      <c r="B851" s="7" t="inlineStr">
        <is>
          <t>T04</t>
        </is>
      </c>
      <c r="C851" s="7" t="inlineStr">
        <is>
          <t>DUTY:L1</t>
        </is>
      </c>
      <c r="D851" s="7" t="inlineStr">
        <is>
          <t>DUTY</t>
        </is>
      </c>
      <c r="E851" s="7" t="inlineStr">
        <is>
          <t>physical</t>
        </is>
      </c>
      <c r="F851" s="7" t="inlineStr">
        <is>
          <t>L1</t>
        </is>
      </c>
      <c r="H851" s="7" t="inlineStr">
        <is>
          <t>taint_tabor</t>
        </is>
      </c>
      <c r="I851" s="7" t="inlineStr">
        <is>
          <t>USEC_MUN</t>
        </is>
      </c>
      <c r="J851" s="7" t="inlineStr">
        <is>
          <t>INR</t>
        </is>
      </c>
      <c r="K851" s="7" t="inlineStr">
        <is>
          <t>floating</t>
        </is>
      </c>
      <c r="L851" s="7" t="inlineStr">
        <is>
          <t>PNL</t>
        </is>
      </c>
      <c r="M851" s="11" t="n">
        <v>44719</v>
      </c>
      <c r="N851" s="13" t="n">
        <v>630</v>
      </c>
      <c r="O851" s="6" t="n">
        <v>0</v>
      </c>
      <c r="P851" s="13" t="n">
        <v>0</v>
      </c>
      <c r="Q851" s="22" t="n">
        <v>30</v>
      </c>
      <c r="R851" s="6" t="n">
        <v>1</v>
      </c>
      <c r="U851" s="9" t="n">
        <v>-3415572.68</v>
      </c>
      <c r="V851" s="9" t="n">
        <v>-3415572.68</v>
      </c>
      <c r="X851" s="9" t="n">
        <v>77.69159999999999</v>
      </c>
      <c r="AK851" s="7" t="inlineStr">
        <is>
          <t>PYTHON_LIFECYCLE</t>
        </is>
      </c>
      <c r="AL851" s="8">
        <f>IF($J851="INR",1,IF($M851&lt;$A851,INDEX(Market_Daily!$F$6:$F$256,MATCH($M851,Market_Daily!$A$6:$A$256,1)),IF($M851=$A851,INDEX(Market_Daily!$F$6:$F$256,MATCH($A851,Market_Daily!$A$6:$A$256,0)),(INDEX(Market_Daily!$F$6:$F$256,MATCH($A851,Market_Daily!$A$6:$A$256,0))*(1+INDEX(Market_Daily!$I$6:$I$256,MATCH($A851,Market_Daily!$A$6:$A$256,0))*($M851-$A851)/day_count_inr)/(1+INDEX(Market_Daily!$J$6:$J$256,MATCH($A851,Market_Daily!$A$6:$A$256,0))*($M851-$A851)/day_count_usd)))))</f>
        <v/>
      </c>
      <c r="AM851" s="8">
        <f>IF(OR($J851="INR",$R851&gt;1),"",$AL851-$X851)</f>
        <v/>
      </c>
      <c r="AN851" s="8">
        <f>$U851</f>
        <v/>
      </c>
      <c r="AO851" s="8">
        <f>$AN851*IF($J851="INR",1,$AL851)</f>
        <v/>
      </c>
      <c r="AP851" s="18">
        <f>$AO851-$V851</f>
        <v/>
      </c>
      <c r="AQ851" s="8">
        <f>IF(ABS($AP851)&lt;=tol_trade_inr,"PASS","FAIL")</f>
        <v/>
      </c>
    </row>
    <row r="852">
      <c r="A852" s="11" t="n">
        <v>44712</v>
      </c>
      <c r="B852" s="7" t="inlineStr">
        <is>
          <t>T04</t>
        </is>
      </c>
      <c r="C852" s="7" t="inlineStr">
        <is>
          <t>DUTY:L2</t>
        </is>
      </c>
      <c r="D852" s="7" t="inlineStr">
        <is>
          <t>DUTY</t>
        </is>
      </c>
      <c r="E852" s="7" t="inlineStr">
        <is>
          <t>physical</t>
        </is>
      </c>
      <c r="F852" s="7" t="inlineStr">
        <is>
          <t>L2</t>
        </is>
      </c>
      <c r="H852" s="7" t="inlineStr">
        <is>
          <t>taint_tabor</t>
        </is>
      </c>
      <c r="I852" s="7" t="inlineStr">
        <is>
          <t>USEC_MUN</t>
        </is>
      </c>
      <c r="J852" s="7" t="inlineStr">
        <is>
          <t>INR</t>
        </is>
      </c>
      <c r="K852" s="7" t="inlineStr">
        <is>
          <t>floating</t>
        </is>
      </c>
      <c r="L852" s="7" t="inlineStr">
        <is>
          <t>PNL</t>
        </is>
      </c>
      <c r="M852" s="11" t="n">
        <v>44726</v>
      </c>
      <c r="N852" s="13" t="n">
        <v>630</v>
      </c>
      <c r="O852" s="6" t="n">
        <v>0</v>
      </c>
      <c r="P852" s="13" t="n">
        <v>0</v>
      </c>
      <c r="Q852" s="22" t="n">
        <v>30</v>
      </c>
      <c r="R852" s="6" t="n">
        <v>1</v>
      </c>
      <c r="U852" s="9" t="n">
        <v>-3415572.68</v>
      </c>
      <c r="V852" s="9" t="n">
        <v>-3415572.68</v>
      </c>
      <c r="X852" s="9" t="n">
        <v>77.69159999999999</v>
      </c>
      <c r="AK852" s="7" t="inlineStr">
        <is>
          <t>PYTHON_LIFECYCLE</t>
        </is>
      </c>
      <c r="AL852" s="8">
        <f>IF($J852="INR",1,IF($M852&lt;$A852,INDEX(Market_Daily!$F$6:$F$256,MATCH($M852,Market_Daily!$A$6:$A$256,1)),IF($M852=$A852,INDEX(Market_Daily!$F$6:$F$256,MATCH($A852,Market_Daily!$A$6:$A$256,0)),(INDEX(Market_Daily!$F$6:$F$256,MATCH($A852,Market_Daily!$A$6:$A$256,0))*(1+INDEX(Market_Daily!$I$6:$I$256,MATCH($A852,Market_Daily!$A$6:$A$256,0))*($M852-$A852)/day_count_inr)/(1+INDEX(Market_Daily!$J$6:$J$256,MATCH($A852,Market_Daily!$A$6:$A$256,0))*($M852-$A852)/day_count_usd)))))</f>
        <v/>
      </c>
      <c r="AM852" s="8">
        <f>IF(OR($J852="INR",$R852&gt;1),"",$AL852-$X852)</f>
        <v/>
      </c>
      <c r="AN852" s="8">
        <f>$U852</f>
        <v/>
      </c>
      <c r="AO852" s="8">
        <f>$AN852*IF($J852="INR",1,$AL852)</f>
        <v/>
      </c>
      <c r="AP852" s="18">
        <f>$AO852-$V852</f>
        <v/>
      </c>
      <c r="AQ852" s="8">
        <f>IF(ABS($AP852)&lt;=tol_trade_inr,"PASS","FAIL")</f>
        <v/>
      </c>
    </row>
    <row r="853">
      <c r="A853" s="11" t="n">
        <v>44712</v>
      </c>
      <c r="B853" s="7" t="inlineStr">
        <is>
          <t>T04</t>
        </is>
      </c>
      <c r="C853" s="7" t="inlineStr">
        <is>
          <t>IGST:L1</t>
        </is>
      </c>
      <c r="D853" s="7" t="inlineStr">
        <is>
          <t>IGST</t>
        </is>
      </c>
      <c r="E853" s="7" t="inlineStr">
        <is>
          <t>physical</t>
        </is>
      </c>
      <c r="F853" s="7" t="inlineStr">
        <is>
          <t>L1</t>
        </is>
      </c>
      <c r="H853" s="7" t="inlineStr">
        <is>
          <t>taint_tabor</t>
        </is>
      </c>
      <c r="I853" s="7" t="inlineStr">
        <is>
          <t>USEC_MUN</t>
        </is>
      </c>
      <c r="J853" s="7" t="inlineStr">
        <is>
          <t>INR</t>
        </is>
      </c>
      <c r="K853" s="7" t="inlineStr">
        <is>
          <t>floating</t>
        </is>
      </c>
      <c r="L853" s="7" t="inlineStr">
        <is>
          <t>BS</t>
        </is>
      </c>
      <c r="M853" s="11" t="n">
        <v>44764</v>
      </c>
      <c r="N853" s="13" t="n">
        <v>0</v>
      </c>
      <c r="O853" s="6" t="n">
        <v>0</v>
      </c>
      <c r="P853" s="13" t="n">
        <v>0</v>
      </c>
      <c r="Q853" s="22" t="n">
        <v>30</v>
      </c>
      <c r="R853" s="6" t="n">
        <v>2</v>
      </c>
      <c r="U853" s="9" t="n">
        <v>0</v>
      </c>
      <c r="V853" s="9" t="n">
        <v>0</v>
      </c>
      <c r="X853" s="9" t="n">
        <v>77.69159999999999</v>
      </c>
      <c r="AK853" s="7" t="inlineStr">
        <is>
          <t>PYTHON_MULTI_FLOW_LEG</t>
        </is>
      </c>
      <c r="AL853" s="8">
        <f>IF($J853="INR",1,IF($M853&lt;$A853,INDEX(Market_Daily!$F$6:$F$256,MATCH($M853,Market_Daily!$A$6:$A$256,1)),IF($M853=$A853,INDEX(Market_Daily!$F$6:$F$256,MATCH($A853,Market_Daily!$A$6:$A$256,0)),(INDEX(Market_Daily!$F$6:$F$256,MATCH($A853,Market_Daily!$A$6:$A$256,0))*(1+INDEX(Market_Daily!$I$6:$I$256,MATCH($A853,Market_Daily!$A$6:$A$256,0))*($M853-$A853)/day_count_inr)/(1+INDEX(Market_Daily!$J$6:$J$256,MATCH($A853,Market_Daily!$A$6:$A$256,0))*($M853-$A853)/day_count_usd)))))</f>
        <v/>
      </c>
      <c r="AM853" s="8">
        <f>IF(OR($J853="INR",$R853&gt;1),"",$AL853-$X853)</f>
        <v/>
      </c>
      <c r="AN853" s="8">
        <f>$U853</f>
        <v/>
      </c>
      <c r="AO853" s="8">
        <f>$V853</f>
        <v/>
      </c>
      <c r="AP853" s="18">
        <f>$AO853-$V853</f>
        <v/>
      </c>
      <c r="AQ853" s="8">
        <f>IF(ABS($AP853)&lt;=tol_trade_inr,"PASS","FAIL")</f>
        <v/>
      </c>
    </row>
    <row r="854">
      <c r="A854" s="11" t="n">
        <v>44712</v>
      </c>
      <c r="B854" s="7" t="inlineStr">
        <is>
          <t>T04</t>
        </is>
      </c>
      <c r="C854" s="7" t="inlineStr">
        <is>
          <t>IGST:L2</t>
        </is>
      </c>
      <c r="D854" s="7" t="inlineStr">
        <is>
          <t>IGST</t>
        </is>
      </c>
      <c r="E854" s="7" t="inlineStr">
        <is>
          <t>physical</t>
        </is>
      </c>
      <c r="F854" s="7" t="inlineStr">
        <is>
          <t>L2</t>
        </is>
      </c>
      <c r="H854" s="7" t="inlineStr">
        <is>
          <t>taint_tabor</t>
        </is>
      </c>
      <c r="I854" s="7" t="inlineStr">
        <is>
          <t>USEC_MUN</t>
        </is>
      </c>
      <c r="J854" s="7" t="inlineStr">
        <is>
          <t>INR</t>
        </is>
      </c>
      <c r="K854" s="7" t="inlineStr">
        <is>
          <t>floating</t>
        </is>
      </c>
      <c r="L854" s="7" t="inlineStr">
        <is>
          <t>BS</t>
        </is>
      </c>
      <c r="M854" s="11" t="n">
        <v>44771</v>
      </c>
      <c r="N854" s="13" t="n">
        <v>0</v>
      </c>
      <c r="O854" s="6" t="n">
        <v>0</v>
      </c>
      <c r="P854" s="13" t="n">
        <v>0</v>
      </c>
      <c r="Q854" s="22" t="n">
        <v>30</v>
      </c>
      <c r="R854" s="6" t="n">
        <v>2</v>
      </c>
      <c r="U854" s="9" t="n">
        <v>0</v>
      </c>
      <c r="V854" s="9" t="n">
        <v>0</v>
      </c>
      <c r="X854" s="9" t="n">
        <v>77.69159999999999</v>
      </c>
      <c r="AK854" s="7" t="inlineStr">
        <is>
          <t>PYTHON_MULTI_FLOW_LEG</t>
        </is>
      </c>
      <c r="AL854" s="8">
        <f>IF($J854="INR",1,IF($M854&lt;$A854,INDEX(Market_Daily!$F$6:$F$256,MATCH($M854,Market_Daily!$A$6:$A$256,1)),IF($M854=$A854,INDEX(Market_Daily!$F$6:$F$256,MATCH($A854,Market_Daily!$A$6:$A$256,0)),(INDEX(Market_Daily!$F$6:$F$256,MATCH($A854,Market_Daily!$A$6:$A$256,0))*(1+INDEX(Market_Daily!$I$6:$I$256,MATCH($A854,Market_Daily!$A$6:$A$256,0))*($M854-$A854)/day_count_inr)/(1+INDEX(Market_Daily!$J$6:$J$256,MATCH($A854,Market_Daily!$A$6:$A$256,0))*($M854-$A854)/day_count_usd)))))</f>
        <v/>
      </c>
      <c r="AM854" s="8">
        <f>IF(OR($J854="INR",$R854&gt;1),"",$AL854-$X854)</f>
        <v/>
      </c>
      <c r="AN854" s="8">
        <f>$U854</f>
        <v/>
      </c>
      <c r="AO854" s="8">
        <f>$V854</f>
        <v/>
      </c>
      <c r="AP854" s="18">
        <f>$AO854-$V854</f>
        <v/>
      </c>
      <c r="AQ854" s="8">
        <f>IF(ABS($AP854)&lt;=tol_trade_inr,"PASS","FAIL")</f>
        <v/>
      </c>
    </row>
    <row r="855">
      <c r="A855" s="11" t="n">
        <v>44712</v>
      </c>
      <c r="B855" s="7" t="inlineStr">
        <is>
          <t>T04</t>
        </is>
      </c>
      <c r="C855" s="7" t="inlineStr">
        <is>
          <t>PORT:L1</t>
        </is>
      </c>
      <c r="D855" s="7" t="inlineStr">
        <is>
          <t>PORT</t>
        </is>
      </c>
      <c r="E855" s="7" t="inlineStr">
        <is>
          <t>physical</t>
        </is>
      </c>
      <c r="F855" s="7" t="inlineStr">
        <is>
          <t>L1</t>
        </is>
      </c>
      <c r="H855" s="7" t="inlineStr">
        <is>
          <t>taint_tabor</t>
        </is>
      </c>
      <c r="I855" s="7" t="inlineStr">
        <is>
          <t>USEC_MUN</t>
        </is>
      </c>
      <c r="J855" s="7" t="inlineStr">
        <is>
          <t>INR</t>
        </is>
      </c>
      <c r="K855" s="7" t="inlineStr">
        <is>
          <t>fixed_unsettled</t>
        </is>
      </c>
      <c r="L855" s="7" t="inlineStr">
        <is>
          <t>PNL</t>
        </is>
      </c>
      <c r="M855" s="11" t="n">
        <v>44728</v>
      </c>
      <c r="N855" s="13" t="n">
        <v>0</v>
      </c>
      <c r="O855" s="6" t="n">
        <v>0</v>
      </c>
      <c r="P855" s="13" t="n">
        <v>0</v>
      </c>
      <c r="Q855" s="22" t="n">
        <v>30</v>
      </c>
      <c r="R855" s="6" t="n">
        <v>1</v>
      </c>
      <c r="U855" s="9" t="n">
        <v>-1669500</v>
      </c>
      <c r="V855" s="9" t="n">
        <v>-1669500</v>
      </c>
      <c r="X855" s="9" t="n">
        <v>77.69159999999999</v>
      </c>
      <c r="AK855" s="7" t="inlineStr">
        <is>
          <t>PYTHON_LIFECYCLE</t>
        </is>
      </c>
      <c r="AL855" s="8">
        <f>IF($J855="INR",1,IF($M855&lt;$A855,INDEX(Market_Daily!$F$6:$F$256,MATCH($M855,Market_Daily!$A$6:$A$256,1)),IF($M855=$A855,INDEX(Market_Daily!$F$6:$F$256,MATCH($A855,Market_Daily!$A$6:$A$256,0)),(INDEX(Market_Daily!$F$6:$F$256,MATCH($A855,Market_Daily!$A$6:$A$256,0))*(1+INDEX(Market_Daily!$I$6:$I$256,MATCH($A855,Market_Daily!$A$6:$A$256,0))*($M855-$A855)/day_count_inr)/(1+INDEX(Market_Daily!$J$6:$J$256,MATCH($A855,Market_Daily!$A$6:$A$256,0))*($M855-$A855)/day_count_usd)))))</f>
        <v/>
      </c>
      <c r="AM855" s="8">
        <f>IF(OR($J855="INR",$R855&gt;1),"",$AL855-$X855)</f>
        <v/>
      </c>
      <c r="AN855" s="8">
        <f>$U855</f>
        <v/>
      </c>
      <c r="AO855" s="8">
        <f>$AN855*IF($J855="INR",1,$AL855)</f>
        <v/>
      </c>
      <c r="AP855" s="18">
        <f>$AO855-$V855</f>
        <v/>
      </c>
      <c r="AQ855" s="8">
        <f>IF(ABS($AP855)&lt;=tol_trade_inr,"PASS","FAIL")</f>
        <v/>
      </c>
    </row>
    <row r="856">
      <c r="A856" s="11" t="n">
        <v>44712</v>
      </c>
      <c r="B856" s="7" t="inlineStr">
        <is>
          <t>T04</t>
        </is>
      </c>
      <c r="C856" s="7" t="inlineStr">
        <is>
          <t>PORT:L2</t>
        </is>
      </c>
      <c r="D856" s="7" t="inlineStr">
        <is>
          <t>PORT</t>
        </is>
      </c>
      <c r="E856" s="7" t="inlineStr">
        <is>
          <t>physical</t>
        </is>
      </c>
      <c r="F856" s="7" t="inlineStr">
        <is>
          <t>L2</t>
        </is>
      </c>
      <c r="H856" s="7" t="inlineStr">
        <is>
          <t>taint_tabor</t>
        </is>
      </c>
      <c r="I856" s="7" t="inlineStr">
        <is>
          <t>USEC_MUN</t>
        </is>
      </c>
      <c r="J856" s="7" t="inlineStr">
        <is>
          <t>INR</t>
        </is>
      </c>
      <c r="K856" s="7" t="inlineStr">
        <is>
          <t>fixed_unsettled</t>
        </is>
      </c>
      <c r="L856" s="7" t="inlineStr">
        <is>
          <t>PNL</t>
        </is>
      </c>
      <c r="M856" s="11" t="n">
        <v>44735</v>
      </c>
      <c r="N856" s="13" t="n">
        <v>0</v>
      </c>
      <c r="O856" s="6" t="n">
        <v>0</v>
      </c>
      <c r="P856" s="13" t="n">
        <v>0</v>
      </c>
      <c r="Q856" s="22" t="n">
        <v>30</v>
      </c>
      <c r="R856" s="6" t="n">
        <v>1</v>
      </c>
      <c r="U856" s="9" t="n">
        <v>-1669500</v>
      </c>
      <c r="V856" s="9" t="n">
        <v>-1669500</v>
      </c>
      <c r="X856" s="9" t="n">
        <v>77.69159999999999</v>
      </c>
      <c r="AK856" s="7" t="inlineStr">
        <is>
          <t>PYTHON_LIFECYCLE</t>
        </is>
      </c>
      <c r="AL856" s="8">
        <f>IF($J856="INR",1,IF($M856&lt;$A856,INDEX(Market_Daily!$F$6:$F$256,MATCH($M856,Market_Daily!$A$6:$A$256,1)),IF($M856=$A856,INDEX(Market_Daily!$F$6:$F$256,MATCH($A856,Market_Daily!$A$6:$A$256,0)),(INDEX(Market_Daily!$F$6:$F$256,MATCH($A856,Market_Daily!$A$6:$A$256,0))*(1+INDEX(Market_Daily!$I$6:$I$256,MATCH($A856,Market_Daily!$A$6:$A$256,0))*($M856-$A856)/day_count_inr)/(1+INDEX(Market_Daily!$J$6:$J$256,MATCH($A856,Market_Daily!$A$6:$A$256,0))*($M856-$A856)/day_count_usd)))))</f>
        <v/>
      </c>
      <c r="AM856" s="8">
        <f>IF(OR($J856="INR",$R856&gt;1),"",$AL856-$X856)</f>
        <v/>
      </c>
      <c r="AN856" s="8">
        <f>$U856</f>
        <v/>
      </c>
      <c r="AO856" s="8">
        <f>$AN856*IF($J856="INR",1,$AL856)</f>
        <v/>
      </c>
      <c r="AP856" s="18">
        <f>$AO856-$V856</f>
        <v/>
      </c>
      <c r="AQ856" s="8">
        <f>IF(ABS($AP856)&lt;=tol_trade_inr,"PASS","FAIL")</f>
        <v/>
      </c>
    </row>
    <row r="857">
      <c r="A857" s="11" t="n">
        <v>44712</v>
      </c>
      <c r="B857" s="7" t="inlineStr">
        <is>
          <t>T04</t>
        </is>
      </c>
      <c r="C857" s="7" t="inlineStr">
        <is>
          <t>SALE:S1</t>
        </is>
      </c>
      <c r="D857" s="7" t="inlineStr">
        <is>
          <t>SALE</t>
        </is>
      </c>
      <c r="E857" s="7" t="inlineStr">
        <is>
          <t>physical</t>
        </is>
      </c>
      <c r="G857" s="7" t="inlineStr">
        <is>
          <t>BUY_RJK_01</t>
        </is>
      </c>
      <c r="H857" s="7" t="inlineStr">
        <is>
          <t>taint_tabor</t>
        </is>
      </c>
      <c r="I857" s="7" t="inlineStr">
        <is>
          <t>USEC_MUN</t>
        </is>
      </c>
      <c r="J857" s="7" t="inlineStr">
        <is>
          <t>INR</t>
        </is>
      </c>
      <c r="K857" s="7" t="inlineStr">
        <is>
          <t>floating</t>
        </is>
      </c>
      <c r="L857" s="7" t="inlineStr">
        <is>
          <t>PNL</t>
        </is>
      </c>
      <c r="M857" s="11" t="n">
        <v>44767</v>
      </c>
      <c r="N857" s="13" t="n">
        <v>2520</v>
      </c>
      <c r="O857" s="6" t="n">
        <v>0</v>
      </c>
      <c r="P857" s="13" t="n">
        <v>0</v>
      </c>
      <c r="Q857" s="22" t="n">
        <v>30</v>
      </c>
      <c r="R857" s="6" t="n">
        <v>2</v>
      </c>
      <c r="U857" s="9" t="n">
        <v>245070000</v>
      </c>
      <c r="V857" s="9" t="n">
        <v>245070000</v>
      </c>
      <c r="W857" s="9" t="n">
        <v>194500</v>
      </c>
      <c r="X857" s="9" t="n">
        <v>77.69159999999999</v>
      </c>
      <c r="AK857" s="7" t="inlineStr">
        <is>
          <t>PYTHON_MULTI_FLOW_LEG</t>
        </is>
      </c>
      <c r="AL857" s="8">
        <f>IF($J857="INR",1,IF($M857&lt;$A857,INDEX(Market_Daily!$F$6:$F$256,MATCH($M857,Market_Daily!$A$6:$A$256,1)),IF($M857=$A857,INDEX(Market_Daily!$F$6:$F$256,MATCH($A857,Market_Daily!$A$6:$A$256,0)),(INDEX(Market_Daily!$F$6:$F$256,MATCH($A857,Market_Daily!$A$6:$A$256,0))*(1+INDEX(Market_Daily!$I$6:$I$256,MATCH($A857,Market_Daily!$A$6:$A$256,0))*($M857-$A857)/day_count_inr)/(1+INDEX(Market_Daily!$J$6:$J$256,MATCH($A857,Market_Daily!$A$6:$A$256,0))*($M857-$A857)/day_count_usd)))))</f>
        <v/>
      </c>
      <c r="AM857" s="8">
        <f>IF(OR($J857="INR",$R857&gt;1),"",$AL857-$X857)</f>
        <v/>
      </c>
      <c r="AN857" s="8">
        <f>$U857</f>
        <v/>
      </c>
      <c r="AO857" s="8">
        <f>$V857</f>
        <v/>
      </c>
      <c r="AP857" s="18">
        <f>$AO857-$V857</f>
        <v/>
      </c>
      <c r="AQ857" s="8">
        <f>IF(ABS($AP857)&lt;=tol_trade_inr,"PASS","FAIL")</f>
        <v/>
      </c>
    </row>
    <row r="858">
      <c r="A858" s="11" t="n">
        <v>44712</v>
      </c>
      <c r="B858" s="7" t="inlineStr">
        <is>
          <t>T05</t>
        </is>
      </c>
      <c r="C858" s="7" t="inlineStr">
        <is>
          <t>BILL_COMMISSION:L1</t>
        </is>
      </c>
      <c r="D858" s="7" t="inlineStr">
        <is>
          <t>BILL_COMMISSION</t>
        </is>
      </c>
      <c r="E858" s="7" t="inlineStr">
        <is>
          <t>physical</t>
        </is>
      </c>
      <c r="F858" s="7" t="inlineStr">
        <is>
          <t>L1</t>
        </is>
      </c>
      <c r="H858" s="7" t="inlineStr">
        <is>
          <t>tense</t>
        </is>
      </c>
      <c r="I858" s="7" t="inlineStr">
        <is>
          <t>USEC_MUN</t>
        </is>
      </c>
      <c r="J858" s="7" t="inlineStr">
        <is>
          <t>USD</t>
        </is>
      </c>
      <c r="K858" s="7" t="inlineStr">
        <is>
          <t>floating</t>
        </is>
      </c>
      <c r="L858" s="7" t="inlineStr">
        <is>
          <t>PNL</t>
        </is>
      </c>
      <c r="M858" s="11" t="n">
        <v>44753</v>
      </c>
      <c r="N858" s="13" t="n">
        <v>0</v>
      </c>
      <c r="O858" s="6" t="n">
        <v>0</v>
      </c>
      <c r="P858" s="13" t="n">
        <v>0</v>
      </c>
      <c r="Q858" s="22" t="n">
        <v>30</v>
      </c>
      <c r="R858" s="6" t="n">
        <v>1</v>
      </c>
      <c r="U858" s="9" t="n">
        <v>-2249.47</v>
      </c>
      <c r="V858" s="9" t="n">
        <v>-175467.43</v>
      </c>
      <c r="X858" s="9" t="n">
        <v>78.004</v>
      </c>
      <c r="AK858" s="7" t="inlineStr">
        <is>
          <t>PYTHON_LIFECYCLE</t>
        </is>
      </c>
      <c r="AL858" s="8">
        <f>IF($J858="INR",1,IF($M858&lt;$A858,INDEX(Market_Daily!$F$6:$F$256,MATCH($M858,Market_Daily!$A$6:$A$256,1)),IF($M858=$A858,INDEX(Market_Daily!$F$6:$F$256,MATCH($A858,Market_Daily!$A$6:$A$256,0)),(INDEX(Market_Daily!$F$6:$F$256,MATCH($A858,Market_Daily!$A$6:$A$256,0))*(1+INDEX(Market_Daily!$I$6:$I$256,MATCH($A858,Market_Daily!$A$6:$A$256,0))*($M858-$A858)/day_count_inr)/(1+INDEX(Market_Daily!$J$6:$J$256,MATCH($A858,Market_Daily!$A$6:$A$256,0))*($M858-$A858)/day_count_usd)))))</f>
        <v/>
      </c>
      <c r="AM858" s="8">
        <f>IF(OR($J858="INR",$R858&gt;1),"",$AL858-$X858)</f>
        <v/>
      </c>
      <c r="AN858" s="8">
        <f>$U858</f>
        <v/>
      </c>
      <c r="AO858" s="8">
        <f>$AN858*IF($J858="INR",1,$AL858)</f>
        <v/>
      </c>
      <c r="AP858" s="18">
        <f>$AO858-$V858</f>
        <v/>
      </c>
      <c r="AQ858" s="8">
        <f>IF(ABS($AP858)&lt;=tol_trade_inr,"PASS","FAIL")</f>
        <v/>
      </c>
    </row>
    <row r="859">
      <c r="A859" s="11" t="n">
        <v>44712</v>
      </c>
      <c r="B859" s="7" t="inlineStr">
        <is>
          <t>T05</t>
        </is>
      </c>
      <c r="C859" s="7" t="inlineStr">
        <is>
          <t>BILL_COMMISSION:L2</t>
        </is>
      </c>
      <c r="D859" s="7" t="inlineStr">
        <is>
          <t>BILL_COMMISSION</t>
        </is>
      </c>
      <c r="E859" s="7" t="inlineStr">
        <is>
          <t>physical</t>
        </is>
      </c>
      <c r="F859" s="7" t="inlineStr">
        <is>
          <t>L2</t>
        </is>
      </c>
      <c r="H859" s="7" t="inlineStr">
        <is>
          <t>tense</t>
        </is>
      </c>
      <c r="I859" s="7" t="inlineStr">
        <is>
          <t>USEC_MUN</t>
        </is>
      </c>
      <c r="J859" s="7" t="inlineStr">
        <is>
          <t>USD</t>
        </is>
      </c>
      <c r="K859" s="7" t="inlineStr">
        <is>
          <t>floating</t>
        </is>
      </c>
      <c r="L859" s="7" t="inlineStr">
        <is>
          <t>PNL</t>
        </is>
      </c>
      <c r="M859" s="11" t="n">
        <v>44760</v>
      </c>
      <c r="N859" s="13" t="n">
        <v>0</v>
      </c>
      <c r="O859" s="6" t="n">
        <v>0</v>
      </c>
      <c r="P859" s="13" t="n">
        <v>0</v>
      </c>
      <c r="Q859" s="22" t="n">
        <v>30</v>
      </c>
      <c r="R859" s="6" t="n">
        <v>1</v>
      </c>
      <c r="U859" s="9" t="n">
        <v>-2390.64</v>
      </c>
      <c r="V859" s="9" t="n">
        <v>-186606.53</v>
      </c>
      <c r="X859" s="9" t="n">
        <v>78.0573</v>
      </c>
      <c r="AK859" s="7" t="inlineStr">
        <is>
          <t>PYTHON_LIFECYCLE</t>
        </is>
      </c>
      <c r="AL859" s="8">
        <f>IF($J859="INR",1,IF($M859&lt;$A859,INDEX(Market_Daily!$F$6:$F$256,MATCH($M859,Market_Daily!$A$6:$A$256,1)),IF($M859=$A859,INDEX(Market_Daily!$F$6:$F$256,MATCH($A859,Market_Daily!$A$6:$A$256,0)),(INDEX(Market_Daily!$F$6:$F$256,MATCH($A859,Market_Daily!$A$6:$A$256,0))*(1+INDEX(Market_Daily!$I$6:$I$256,MATCH($A859,Market_Daily!$A$6:$A$256,0))*($M859-$A859)/day_count_inr)/(1+INDEX(Market_Daily!$J$6:$J$256,MATCH($A859,Market_Daily!$A$6:$A$256,0))*($M859-$A859)/day_count_usd)))))</f>
        <v/>
      </c>
      <c r="AM859" s="8">
        <f>IF(OR($J859="INR",$R859&gt;1),"",$AL859-$X859)</f>
        <v/>
      </c>
      <c r="AN859" s="8">
        <f>$U859</f>
        <v/>
      </c>
      <c r="AO859" s="8">
        <f>$AN859*IF($J859="INR",1,$AL859)</f>
        <v/>
      </c>
      <c r="AP859" s="18">
        <f>$AO859-$V859</f>
        <v/>
      </c>
      <c r="AQ859" s="8">
        <f>IF(ABS($AP859)&lt;=tol_trade_inr,"PASS","FAIL")</f>
        <v/>
      </c>
    </row>
    <row r="860">
      <c r="A860" s="11" t="n">
        <v>44712</v>
      </c>
      <c r="B860" s="7" t="inlineStr">
        <is>
          <t>T05</t>
        </is>
      </c>
      <c r="C860" s="7" t="inlineStr">
        <is>
          <t>DUTY:L1</t>
        </is>
      </c>
      <c r="D860" s="7" t="inlineStr">
        <is>
          <t>DUTY</t>
        </is>
      </c>
      <c r="E860" s="7" t="inlineStr">
        <is>
          <t>physical</t>
        </is>
      </c>
      <c r="F860" s="7" t="inlineStr">
        <is>
          <t>L1</t>
        </is>
      </c>
      <c r="H860" s="7" t="inlineStr">
        <is>
          <t>tense</t>
        </is>
      </c>
      <c r="I860" s="7" t="inlineStr">
        <is>
          <t>USEC_MUN</t>
        </is>
      </c>
      <c r="J860" s="7" t="inlineStr">
        <is>
          <t>INR</t>
        </is>
      </c>
      <c r="K860" s="7" t="inlineStr">
        <is>
          <t>floating</t>
        </is>
      </c>
      <c r="L860" s="7" t="inlineStr">
        <is>
          <t>PNL</t>
        </is>
      </c>
      <c r="M860" s="11" t="n">
        <v>44749</v>
      </c>
      <c r="N860" s="13" t="n">
        <v>1050</v>
      </c>
      <c r="O860" s="6" t="n">
        <v>0</v>
      </c>
      <c r="P860" s="13" t="n">
        <v>0</v>
      </c>
      <c r="Q860" s="22" t="n">
        <v>30</v>
      </c>
      <c r="R860" s="6" t="n">
        <v>2</v>
      </c>
      <c r="U860" s="9" t="n">
        <v>-4502174.57</v>
      </c>
      <c r="V860" s="9" t="n">
        <v>-4502174.57</v>
      </c>
      <c r="X860" s="9" t="n">
        <v>77.69159999999999</v>
      </c>
      <c r="AK860" s="7" t="inlineStr">
        <is>
          <t>PYTHON_MULTI_FLOW_LEG</t>
        </is>
      </c>
      <c r="AL860" s="8">
        <f>IF($J860="INR",1,IF($M860&lt;$A860,INDEX(Market_Daily!$F$6:$F$256,MATCH($M860,Market_Daily!$A$6:$A$256,1)),IF($M860=$A860,INDEX(Market_Daily!$F$6:$F$256,MATCH($A860,Market_Daily!$A$6:$A$256,0)),(INDEX(Market_Daily!$F$6:$F$256,MATCH($A860,Market_Daily!$A$6:$A$256,0))*(1+INDEX(Market_Daily!$I$6:$I$256,MATCH($A860,Market_Daily!$A$6:$A$256,0))*($M860-$A860)/day_count_inr)/(1+INDEX(Market_Daily!$J$6:$J$256,MATCH($A860,Market_Daily!$A$6:$A$256,0))*($M860-$A860)/day_count_usd)))))</f>
        <v/>
      </c>
      <c r="AM860" s="8">
        <f>IF(OR($J860="INR",$R860&gt;1),"",$AL860-$X860)</f>
        <v/>
      </c>
      <c r="AN860" s="8">
        <f>$U860</f>
        <v/>
      </c>
      <c r="AO860" s="8">
        <f>$V860</f>
        <v/>
      </c>
      <c r="AP860" s="18">
        <f>$AO860-$V860</f>
        <v/>
      </c>
      <c r="AQ860" s="8">
        <f>IF(ABS($AP860)&lt;=tol_trade_inr,"PASS","FAIL")</f>
        <v/>
      </c>
    </row>
    <row r="861">
      <c r="A861" s="11" t="n">
        <v>44712</v>
      </c>
      <c r="B861" s="7" t="inlineStr">
        <is>
          <t>T05</t>
        </is>
      </c>
      <c r="C861" s="7" t="inlineStr">
        <is>
          <t>DUTY:L2</t>
        </is>
      </c>
      <c r="D861" s="7" t="inlineStr">
        <is>
          <t>DUTY</t>
        </is>
      </c>
      <c r="E861" s="7" t="inlineStr">
        <is>
          <t>physical</t>
        </is>
      </c>
      <c r="F861" s="7" t="inlineStr">
        <is>
          <t>L2</t>
        </is>
      </c>
      <c r="H861" s="7" t="inlineStr">
        <is>
          <t>tense</t>
        </is>
      </c>
      <c r="I861" s="7" t="inlineStr">
        <is>
          <t>USEC_MUN</t>
        </is>
      </c>
      <c r="J861" s="7" t="inlineStr">
        <is>
          <t>INR</t>
        </is>
      </c>
      <c r="K861" s="7" t="inlineStr">
        <is>
          <t>floating</t>
        </is>
      </c>
      <c r="L861" s="7" t="inlineStr">
        <is>
          <t>PNL</t>
        </is>
      </c>
      <c r="M861" s="11" t="n">
        <v>44749</v>
      </c>
      <c r="N861" s="13" t="n">
        <v>1050</v>
      </c>
      <c r="O861" s="6" t="n">
        <v>0</v>
      </c>
      <c r="P861" s="13" t="n">
        <v>0</v>
      </c>
      <c r="Q861" s="22" t="n">
        <v>30</v>
      </c>
      <c r="R861" s="6" t="n">
        <v>2</v>
      </c>
      <c r="U861" s="9" t="n">
        <v>-4502174.57</v>
      </c>
      <c r="V861" s="9" t="n">
        <v>-4502174.57</v>
      </c>
      <c r="X861" s="9" t="n">
        <v>77.69159999999999</v>
      </c>
      <c r="AK861" s="7" t="inlineStr">
        <is>
          <t>PYTHON_MULTI_FLOW_LEG</t>
        </is>
      </c>
      <c r="AL861" s="8">
        <f>IF($J861="INR",1,IF($M861&lt;$A861,INDEX(Market_Daily!$F$6:$F$256,MATCH($M861,Market_Daily!$A$6:$A$256,1)),IF($M861=$A861,INDEX(Market_Daily!$F$6:$F$256,MATCH($A861,Market_Daily!$A$6:$A$256,0)),(INDEX(Market_Daily!$F$6:$F$256,MATCH($A861,Market_Daily!$A$6:$A$256,0))*(1+INDEX(Market_Daily!$I$6:$I$256,MATCH($A861,Market_Daily!$A$6:$A$256,0))*($M861-$A861)/day_count_inr)/(1+INDEX(Market_Daily!$J$6:$J$256,MATCH($A861,Market_Daily!$A$6:$A$256,0))*($M861-$A861)/day_count_usd)))))</f>
        <v/>
      </c>
      <c r="AM861" s="8">
        <f>IF(OR($J861="INR",$R861&gt;1),"",$AL861-$X861)</f>
        <v/>
      </c>
      <c r="AN861" s="8">
        <f>$U861</f>
        <v/>
      </c>
      <c r="AO861" s="8">
        <f>$V861</f>
        <v/>
      </c>
      <c r="AP861" s="18">
        <f>$AO861-$V861</f>
        <v/>
      </c>
      <c r="AQ861" s="8">
        <f>IF(ABS($AP861)&lt;=tol_trade_inr,"PASS","FAIL")</f>
        <v/>
      </c>
    </row>
    <row r="862">
      <c r="A862" s="11" t="n">
        <v>44712</v>
      </c>
      <c r="B862" s="7" t="inlineStr">
        <is>
          <t>T05</t>
        </is>
      </c>
      <c r="C862" s="7" t="inlineStr">
        <is>
          <t>FX:T05-FX-1</t>
        </is>
      </c>
      <c r="D862" s="7" t="inlineStr">
        <is>
          <t>FX</t>
        </is>
      </c>
      <c r="E862" s="7" t="inlineStr">
        <is>
          <t>fx_forward</t>
        </is>
      </c>
      <c r="H862" s="7" t="inlineStr">
        <is>
          <t>tense</t>
        </is>
      </c>
      <c r="I862" s="7" t="inlineStr">
        <is>
          <t>USEC_MUN</t>
        </is>
      </c>
      <c r="J862" s="7" t="inlineStr">
        <is>
          <t>INR</t>
        </is>
      </c>
      <c r="K862" s="7" t="inlineStr">
        <is>
          <t>floating</t>
        </is>
      </c>
      <c r="L862" s="7" t="inlineStr">
        <is>
          <t>PNL</t>
        </is>
      </c>
      <c r="M862" s="11" t="n">
        <v>44753</v>
      </c>
      <c r="N862" s="13" t="n">
        <v>0</v>
      </c>
      <c r="O862" s="6" t="n">
        <v>0</v>
      </c>
      <c r="P862" s="13" t="n">
        <v>1874500</v>
      </c>
      <c r="Q862" s="22" t="n">
        <v>30</v>
      </c>
      <c r="R862" s="6" t="n">
        <v>1</v>
      </c>
      <c r="S862" s="12" t="n">
        <v>44753</v>
      </c>
      <c r="T862" s="21" t="n">
        <v>77.86464100000001</v>
      </c>
      <c r="U862" s="9" t="n">
        <v>261232.79</v>
      </c>
      <c r="V862" s="9" t="n">
        <v>261232.79</v>
      </c>
      <c r="X862" s="9" t="n">
        <v>77.69159999999999</v>
      </c>
      <c r="AK862" s="7" t="inlineStr">
        <is>
          <t>DERIVED_IN_WORKBOOK</t>
        </is>
      </c>
      <c r="AL862" s="8">
        <f>IF($J862="INR",1,IF($M862&lt;$A862,INDEX(Market_Daily!$F$6:$F$256,MATCH($M862,Market_Daily!$A$6:$A$256,1)),IF($M862=$A862,INDEX(Market_Daily!$F$6:$F$256,MATCH($A862,Market_Daily!$A$6:$A$256,0)),(INDEX(Market_Daily!$F$6:$F$256,MATCH($A862,Market_Daily!$A$6:$A$256,0))*(1+INDEX(Market_Daily!$I$6:$I$256,MATCH($A862,Market_Daily!$A$6:$A$256,0))*($M862-$A862)/day_count_inr)/(1+INDEX(Market_Daily!$J$6:$J$256,MATCH($A862,Market_Daily!$A$6:$A$256,0))*($M862-$A862)/day_count_usd)))))</f>
        <v/>
      </c>
      <c r="AM862" s="8">
        <f>IF(OR($J862="INR",$R862&gt;1),"",$AL862-$X862)</f>
        <v/>
      </c>
      <c r="AN862" s="8">
        <f>$P862*(IF($S862&lt;$A862,INDEX(Market_Daily!$F$6:$F$256,MATCH($S862,Market_Daily!$A$6:$A$256,1)),IF($S862=$A862,INDEX(Market_Daily!$F$6:$F$256,MATCH($A862,Market_Daily!$A$6:$A$256,0)),(INDEX(Market_Daily!$F$6:$F$256,MATCH($A862,Market_Daily!$A$6:$A$256,0))*(1+INDEX(Market_Daily!$I$6:$I$256,MATCH($A862,Market_Daily!$A$6:$A$256,0))*($S862-$A862)/day_count_inr)/(1+INDEX(Market_Daily!$J$6:$J$256,MATCH($A862,Market_Daily!$A$6:$A$256,0))*($S862-$A862)/day_count_usd))))-$T862)</f>
        <v/>
      </c>
      <c r="AO862" s="8">
        <f>$AN862</f>
        <v/>
      </c>
      <c r="AP862" s="18">
        <f>$AO862-$V862</f>
        <v/>
      </c>
      <c r="AQ862" s="8">
        <f>IF(ABS($AP862)&lt;=tol_trade_inr,"PASS","FAIL")</f>
        <v/>
      </c>
    </row>
    <row r="863">
      <c r="A863" s="11" t="n">
        <v>44712</v>
      </c>
      <c r="B863" s="7" t="inlineStr">
        <is>
          <t>T05</t>
        </is>
      </c>
      <c r="C863" s="7" t="inlineStr">
        <is>
          <t>FX:T05-FX-2</t>
        </is>
      </c>
      <c r="D863" s="7" t="inlineStr">
        <is>
          <t>FX</t>
        </is>
      </c>
      <c r="E863" s="7" t="inlineStr">
        <is>
          <t>fx_forward</t>
        </is>
      </c>
      <c r="H863" s="7" t="inlineStr">
        <is>
          <t>tense</t>
        </is>
      </c>
      <c r="I863" s="7" t="inlineStr">
        <is>
          <t>USEC_MUN</t>
        </is>
      </c>
      <c r="J863" s="7" t="inlineStr">
        <is>
          <t>INR</t>
        </is>
      </c>
      <c r="K863" s="7" t="inlineStr">
        <is>
          <t>floating</t>
        </is>
      </c>
      <c r="L863" s="7" t="inlineStr">
        <is>
          <t>PNL</t>
        </is>
      </c>
      <c r="M863" s="11" t="n">
        <v>44760</v>
      </c>
      <c r="N863" s="13" t="n">
        <v>0</v>
      </c>
      <c r="O863" s="6" t="n">
        <v>0</v>
      </c>
      <c r="P863" s="13" t="n">
        <v>1992200</v>
      </c>
      <c r="Q863" s="22" t="n">
        <v>30</v>
      </c>
      <c r="R863" s="6" t="n">
        <v>1</v>
      </c>
      <c r="S863" s="12" t="n">
        <v>44760</v>
      </c>
      <c r="T863" s="21" t="n">
        <v>78.165892</v>
      </c>
      <c r="U863" s="9" t="n">
        <v>-216418.56</v>
      </c>
      <c r="V863" s="9" t="n">
        <v>-216418.56</v>
      </c>
      <c r="X863" s="9" t="n">
        <v>77.69159999999999</v>
      </c>
      <c r="AK863" s="7" t="inlineStr">
        <is>
          <t>DERIVED_IN_WORKBOOK</t>
        </is>
      </c>
      <c r="AL863" s="8">
        <f>IF($J863="INR",1,IF($M863&lt;$A863,INDEX(Market_Daily!$F$6:$F$256,MATCH($M863,Market_Daily!$A$6:$A$256,1)),IF($M863=$A863,INDEX(Market_Daily!$F$6:$F$256,MATCH($A863,Market_Daily!$A$6:$A$256,0)),(INDEX(Market_Daily!$F$6:$F$256,MATCH($A863,Market_Daily!$A$6:$A$256,0))*(1+INDEX(Market_Daily!$I$6:$I$256,MATCH($A863,Market_Daily!$A$6:$A$256,0))*($M863-$A863)/day_count_inr)/(1+INDEX(Market_Daily!$J$6:$J$256,MATCH($A863,Market_Daily!$A$6:$A$256,0))*($M863-$A863)/day_count_usd)))))</f>
        <v/>
      </c>
      <c r="AM863" s="8">
        <f>IF(OR($J863="INR",$R863&gt;1),"",$AL863-$X863)</f>
        <v/>
      </c>
      <c r="AN863" s="8">
        <f>$P863*(IF($S863&lt;$A863,INDEX(Market_Daily!$F$6:$F$256,MATCH($S863,Market_Daily!$A$6:$A$256,1)),IF($S863=$A863,INDEX(Market_Daily!$F$6:$F$256,MATCH($A863,Market_Daily!$A$6:$A$256,0)),(INDEX(Market_Daily!$F$6:$F$256,MATCH($A863,Market_Daily!$A$6:$A$256,0))*(1+INDEX(Market_Daily!$I$6:$I$256,MATCH($A863,Market_Daily!$A$6:$A$256,0))*($S863-$A863)/day_count_inr)/(1+INDEX(Market_Daily!$J$6:$J$256,MATCH($A863,Market_Daily!$A$6:$A$256,0))*($S863-$A863)/day_count_usd))))-$T863)</f>
        <v/>
      </c>
      <c r="AO863" s="8">
        <f>$AN863</f>
        <v/>
      </c>
      <c r="AP863" s="18">
        <f>$AO863-$V863</f>
        <v/>
      </c>
      <c r="AQ863" s="8">
        <f>IF(ABS($AP863)&lt;=tol_trade_inr,"PASS","FAIL")</f>
        <v/>
      </c>
    </row>
    <row r="864">
      <c r="A864" s="11" t="n">
        <v>44712</v>
      </c>
      <c r="B864" s="7" t="inlineStr">
        <is>
          <t>T05</t>
        </is>
      </c>
      <c r="C864" s="7" t="inlineStr">
        <is>
          <t>IGST:L1</t>
        </is>
      </c>
      <c r="D864" s="7" t="inlineStr">
        <is>
          <t>IGST</t>
        </is>
      </c>
      <c r="E864" s="7" t="inlineStr">
        <is>
          <t>physical</t>
        </is>
      </c>
      <c r="F864" s="7" t="inlineStr">
        <is>
          <t>L1</t>
        </is>
      </c>
      <c r="H864" s="7" t="inlineStr">
        <is>
          <t>tense</t>
        </is>
      </c>
      <c r="I864" s="7" t="inlineStr">
        <is>
          <t>USEC_MUN</t>
        </is>
      </c>
      <c r="J864" s="7" t="inlineStr">
        <is>
          <t>INR</t>
        </is>
      </c>
      <c r="K864" s="7" t="inlineStr">
        <is>
          <t>floating</t>
        </is>
      </c>
      <c r="L864" s="7" t="inlineStr">
        <is>
          <t>BS</t>
        </is>
      </c>
      <c r="M864" s="11" t="n">
        <v>44777</v>
      </c>
      <c r="N864" s="13" t="n">
        <v>0</v>
      </c>
      <c r="O864" s="6" t="n">
        <v>0</v>
      </c>
      <c r="P864" s="13" t="n">
        <v>0</v>
      </c>
      <c r="Q864" s="22" t="n">
        <v>30</v>
      </c>
      <c r="R864" s="6" t="n">
        <v>2</v>
      </c>
      <c r="U864" s="9" t="n">
        <v>0</v>
      </c>
      <c r="V864" s="9" t="n">
        <v>0</v>
      </c>
      <c r="X864" s="9" t="n">
        <v>77.69159999999999</v>
      </c>
      <c r="AK864" s="7" t="inlineStr">
        <is>
          <t>PYTHON_MULTI_FLOW_LEG</t>
        </is>
      </c>
      <c r="AL864" s="8">
        <f>IF($J864="INR",1,IF($M864&lt;$A864,INDEX(Market_Daily!$F$6:$F$256,MATCH($M864,Market_Daily!$A$6:$A$256,1)),IF($M864=$A864,INDEX(Market_Daily!$F$6:$F$256,MATCH($A864,Market_Daily!$A$6:$A$256,0)),(INDEX(Market_Daily!$F$6:$F$256,MATCH($A864,Market_Daily!$A$6:$A$256,0))*(1+INDEX(Market_Daily!$I$6:$I$256,MATCH($A864,Market_Daily!$A$6:$A$256,0))*($M864-$A864)/day_count_inr)/(1+INDEX(Market_Daily!$J$6:$J$256,MATCH($A864,Market_Daily!$A$6:$A$256,0))*($M864-$A864)/day_count_usd)))))</f>
        <v/>
      </c>
      <c r="AM864" s="8">
        <f>IF(OR($J864="INR",$R864&gt;1),"",$AL864-$X864)</f>
        <v/>
      </c>
      <c r="AN864" s="8">
        <f>$U864</f>
        <v/>
      </c>
      <c r="AO864" s="8">
        <f>$V864</f>
        <v/>
      </c>
      <c r="AP864" s="18">
        <f>$AO864-$V864</f>
        <v/>
      </c>
      <c r="AQ864" s="8">
        <f>IF(ABS($AP864)&lt;=tol_trade_inr,"PASS","FAIL")</f>
        <v/>
      </c>
    </row>
    <row r="865">
      <c r="A865" s="11" t="n">
        <v>44712</v>
      </c>
      <c r="B865" s="7" t="inlineStr">
        <is>
          <t>T05</t>
        </is>
      </c>
      <c r="C865" s="7" t="inlineStr">
        <is>
          <t>IGST:L2</t>
        </is>
      </c>
      <c r="D865" s="7" t="inlineStr">
        <is>
          <t>IGST</t>
        </is>
      </c>
      <c r="E865" s="7" t="inlineStr">
        <is>
          <t>physical</t>
        </is>
      </c>
      <c r="F865" s="7" t="inlineStr">
        <is>
          <t>L2</t>
        </is>
      </c>
      <c r="H865" s="7" t="inlineStr">
        <is>
          <t>tense</t>
        </is>
      </c>
      <c r="I865" s="7" t="inlineStr">
        <is>
          <t>USEC_MUN</t>
        </is>
      </c>
      <c r="J865" s="7" t="inlineStr">
        <is>
          <t>INR</t>
        </is>
      </c>
      <c r="K865" s="7" t="inlineStr">
        <is>
          <t>floating</t>
        </is>
      </c>
      <c r="L865" s="7" t="inlineStr">
        <is>
          <t>BS</t>
        </is>
      </c>
      <c r="M865" s="11" t="n">
        <v>44785</v>
      </c>
      <c r="N865" s="13" t="n">
        <v>0</v>
      </c>
      <c r="O865" s="6" t="n">
        <v>0</v>
      </c>
      <c r="P865" s="13" t="n">
        <v>0</v>
      </c>
      <c r="Q865" s="22" t="n">
        <v>30</v>
      </c>
      <c r="R865" s="6" t="n">
        <v>2</v>
      </c>
      <c r="U865" s="9" t="n">
        <v>0</v>
      </c>
      <c r="V865" s="9" t="n">
        <v>0</v>
      </c>
      <c r="X865" s="9" t="n">
        <v>77.69159999999999</v>
      </c>
      <c r="AK865" s="7" t="inlineStr">
        <is>
          <t>PYTHON_MULTI_FLOW_LEG</t>
        </is>
      </c>
      <c r="AL865" s="8">
        <f>IF($J865="INR",1,IF($M865&lt;$A865,INDEX(Market_Daily!$F$6:$F$256,MATCH($M865,Market_Daily!$A$6:$A$256,1)),IF($M865=$A865,INDEX(Market_Daily!$F$6:$F$256,MATCH($A865,Market_Daily!$A$6:$A$256,0)),(INDEX(Market_Daily!$F$6:$F$256,MATCH($A865,Market_Daily!$A$6:$A$256,0))*(1+INDEX(Market_Daily!$I$6:$I$256,MATCH($A865,Market_Daily!$A$6:$A$256,0))*($M865-$A865)/day_count_inr)/(1+INDEX(Market_Daily!$J$6:$J$256,MATCH($A865,Market_Daily!$A$6:$A$256,0))*($M865-$A865)/day_count_usd)))))</f>
        <v/>
      </c>
      <c r="AM865" s="8">
        <f>IF(OR($J865="INR",$R865&gt;1),"",$AL865-$X865)</f>
        <v/>
      </c>
      <c r="AN865" s="8">
        <f>$U865</f>
        <v/>
      </c>
      <c r="AO865" s="8">
        <f>$V865</f>
        <v/>
      </c>
      <c r="AP865" s="18">
        <f>$AO865-$V865</f>
        <v/>
      </c>
      <c r="AQ865" s="8">
        <f>IF(ABS($AP865)&lt;=tol_trade_inr,"PASS","FAIL")</f>
        <v/>
      </c>
    </row>
    <row r="866">
      <c r="A866" s="11" t="n">
        <v>44712</v>
      </c>
      <c r="B866" s="7" t="inlineStr">
        <is>
          <t>T05</t>
        </is>
      </c>
      <c r="C866" s="7" t="inlineStr">
        <is>
          <t>MCX:T05-MCX-2</t>
        </is>
      </c>
      <c r="D866" s="7" t="inlineStr">
        <is>
          <t>MCX</t>
        </is>
      </c>
      <c r="E866" s="7" t="inlineStr">
        <is>
          <t>mcx</t>
        </is>
      </c>
      <c r="H866" s="7" t="inlineStr">
        <is>
          <t>tense</t>
        </is>
      </c>
      <c r="I866" s="7" t="inlineStr">
        <is>
          <t>USEC_MUN</t>
        </is>
      </c>
      <c r="J866" s="7" t="inlineStr">
        <is>
          <t>INR</t>
        </is>
      </c>
      <c r="K866" s="7" t="inlineStr">
        <is>
          <t>partially_fixed</t>
        </is>
      </c>
      <c r="L866" s="7" t="inlineStr">
        <is>
          <t>PNL</t>
        </is>
      </c>
      <c r="M866" s="11" t="n">
        <v>44733</v>
      </c>
      <c r="N866" s="13" t="n">
        <v>0</v>
      </c>
      <c r="O866" s="6" t="n">
        <v>-105</v>
      </c>
      <c r="P866" s="13" t="n">
        <v>0</v>
      </c>
      <c r="Q866" s="22" t="n">
        <v>30</v>
      </c>
      <c r="R866" s="6" t="n">
        <v>21</v>
      </c>
      <c r="U866" s="9" t="n">
        <v>0</v>
      </c>
      <c r="V866" s="9" t="n">
        <v>0</v>
      </c>
      <c r="X866" s="9" t="n">
        <v>77.69159999999999</v>
      </c>
      <c r="AK866" s="7" t="inlineStr">
        <is>
          <t>PYTHON_MULTI_FLOW_LEG</t>
        </is>
      </c>
      <c r="AL866" s="8">
        <f>IF($J866="INR",1,IF($M866&lt;$A866,INDEX(Market_Daily!$F$6:$F$256,MATCH($M866,Market_Daily!$A$6:$A$256,1)),IF($M866=$A866,INDEX(Market_Daily!$F$6:$F$256,MATCH($A866,Market_Daily!$A$6:$A$256,0)),(INDEX(Market_Daily!$F$6:$F$256,MATCH($A866,Market_Daily!$A$6:$A$256,0))*(1+INDEX(Market_Daily!$I$6:$I$256,MATCH($A866,Market_Daily!$A$6:$A$256,0))*($M866-$A866)/day_count_inr)/(1+INDEX(Market_Daily!$J$6:$J$256,MATCH($A866,Market_Daily!$A$6:$A$256,0))*($M866-$A866)/day_count_usd)))))</f>
        <v/>
      </c>
      <c r="AM866" s="8">
        <f>IF(OR($J866="INR",$R866&gt;1),"",$AL866-$X866)</f>
        <v/>
      </c>
      <c r="AN866" s="8">
        <f>$U866</f>
        <v/>
      </c>
      <c r="AO866" s="8">
        <f>$V866</f>
        <v/>
      </c>
      <c r="AP866" s="18">
        <f>$AO866-$V866</f>
        <v/>
      </c>
      <c r="AQ866" s="8">
        <f>IF(ABS($AP866)&lt;=tol_trade_inr,"PASS","FAIL")</f>
        <v/>
      </c>
    </row>
    <row r="867">
      <c r="A867" s="11" t="n">
        <v>44712</v>
      </c>
      <c r="B867" s="7" t="inlineStr">
        <is>
          <t>T05</t>
        </is>
      </c>
      <c r="C867" s="7" t="inlineStr">
        <is>
          <t>PORT:L1</t>
        </is>
      </c>
      <c r="D867" s="7" t="inlineStr">
        <is>
          <t>PORT</t>
        </is>
      </c>
      <c r="E867" s="7" t="inlineStr">
        <is>
          <t>physical</t>
        </is>
      </c>
      <c r="F867" s="7" t="inlineStr">
        <is>
          <t>L1</t>
        </is>
      </c>
      <c r="H867" s="7" t="inlineStr">
        <is>
          <t>tense</t>
        </is>
      </c>
      <c r="I867" s="7" t="inlineStr">
        <is>
          <t>USEC_MUN</t>
        </is>
      </c>
      <c r="J867" s="7" t="inlineStr">
        <is>
          <t>INR</t>
        </is>
      </c>
      <c r="K867" s="7" t="inlineStr">
        <is>
          <t>fixed_unsettled</t>
        </is>
      </c>
      <c r="L867" s="7" t="inlineStr">
        <is>
          <t>PNL</t>
        </is>
      </c>
      <c r="M867" s="11" t="n">
        <v>44741</v>
      </c>
      <c r="N867" s="13" t="n">
        <v>0</v>
      </c>
      <c r="O867" s="6" t="n">
        <v>0</v>
      </c>
      <c r="P867" s="13" t="n">
        <v>0</v>
      </c>
      <c r="Q867" s="22" t="n">
        <v>30</v>
      </c>
      <c r="R867" s="6" t="n">
        <v>1</v>
      </c>
      <c r="U867" s="9" t="n">
        <v>-2782500</v>
      </c>
      <c r="V867" s="9" t="n">
        <v>-2782500</v>
      </c>
      <c r="X867" s="9" t="n">
        <v>77.69159999999999</v>
      </c>
      <c r="AK867" s="7" t="inlineStr">
        <is>
          <t>PYTHON_LIFECYCLE</t>
        </is>
      </c>
      <c r="AL867" s="8">
        <f>IF($J867="INR",1,IF($M867&lt;$A867,INDEX(Market_Daily!$F$6:$F$256,MATCH($M867,Market_Daily!$A$6:$A$256,1)),IF($M867=$A867,INDEX(Market_Daily!$F$6:$F$256,MATCH($A867,Market_Daily!$A$6:$A$256,0)),(INDEX(Market_Daily!$F$6:$F$256,MATCH($A867,Market_Daily!$A$6:$A$256,0))*(1+INDEX(Market_Daily!$I$6:$I$256,MATCH($A867,Market_Daily!$A$6:$A$256,0))*($M867-$A867)/day_count_inr)/(1+INDEX(Market_Daily!$J$6:$J$256,MATCH($A867,Market_Daily!$A$6:$A$256,0))*($M867-$A867)/day_count_usd)))))</f>
        <v/>
      </c>
      <c r="AM867" s="8">
        <f>IF(OR($J867="INR",$R867&gt;1),"",$AL867-$X867)</f>
        <v/>
      </c>
      <c r="AN867" s="8">
        <f>$U867</f>
        <v/>
      </c>
      <c r="AO867" s="8">
        <f>$AN867*IF($J867="INR",1,$AL867)</f>
        <v/>
      </c>
      <c r="AP867" s="18">
        <f>$AO867-$V867</f>
        <v/>
      </c>
      <c r="AQ867" s="8">
        <f>IF(ABS($AP867)&lt;=tol_trade_inr,"PASS","FAIL")</f>
        <v/>
      </c>
    </row>
    <row r="868">
      <c r="A868" s="11" t="n">
        <v>44712</v>
      </c>
      <c r="B868" s="7" t="inlineStr">
        <is>
          <t>T05</t>
        </is>
      </c>
      <c r="C868" s="7" t="inlineStr">
        <is>
          <t>PORT:L2</t>
        </is>
      </c>
      <c r="D868" s="7" t="inlineStr">
        <is>
          <t>PORT</t>
        </is>
      </c>
      <c r="E868" s="7" t="inlineStr">
        <is>
          <t>physical</t>
        </is>
      </c>
      <c r="F868" s="7" t="inlineStr">
        <is>
          <t>L2</t>
        </is>
      </c>
      <c r="H868" s="7" t="inlineStr">
        <is>
          <t>tense</t>
        </is>
      </c>
      <c r="I868" s="7" t="inlineStr">
        <is>
          <t>USEC_MUN</t>
        </is>
      </c>
      <c r="J868" s="7" t="inlineStr">
        <is>
          <t>INR</t>
        </is>
      </c>
      <c r="K868" s="7" t="inlineStr">
        <is>
          <t>fixed_unsettled</t>
        </is>
      </c>
      <c r="L868" s="7" t="inlineStr">
        <is>
          <t>PNL</t>
        </is>
      </c>
      <c r="M868" s="11" t="n">
        <v>44749</v>
      </c>
      <c r="N868" s="13" t="n">
        <v>0</v>
      </c>
      <c r="O868" s="6" t="n">
        <v>0</v>
      </c>
      <c r="P868" s="13" t="n">
        <v>0</v>
      </c>
      <c r="Q868" s="22" t="n">
        <v>30</v>
      </c>
      <c r="R868" s="6" t="n">
        <v>1</v>
      </c>
      <c r="U868" s="9" t="n">
        <v>-2782500</v>
      </c>
      <c r="V868" s="9" t="n">
        <v>-2782500</v>
      </c>
      <c r="X868" s="9" t="n">
        <v>77.69159999999999</v>
      </c>
      <c r="AK868" s="7" t="inlineStr">
        <is>
          <t>PYTHON_LIFECYCLE</t>
        </is>
      </c>
      <c r="AL868" s="8">
        <f>IF($J868="INR",1,IF($M868&lt;$A868,INDEX(Market_Daily!$F$6:$F$256,MATCH($M868,Market_Daily!$A$6:$A$256,1)),IF($M868=$A868,INDEX(Market_Daily!$F$6:$F$256,MATCH($A868,Market_Daily!$A$6:$A$256,0)),(INDEX(Market_Daily!$F$6:$F$256,MATCH($A868,Market_Daily!$A$6:$A$256,0))*(1+INDEX(Market_Daily!$I$6:$I$256,MATCH($A868,Market_Daily!$A$6:$A$256,0))*($M868-$A868)/day_count_inr)/(1+INDEX(Market_Daily!$J$6:$J$256,MATCH($A868,Market_Daily!$A$6:$A$256,0))*($M868-$A868)/day_count_usd)))))</f>
        <v/>
      </c>
      <c r="AM868" s="8">
        <f>IF(OR($J868="INR",$R868&gt;1),"",$AL868-$X868)</f>
        <v/>
      </c>
      <c r="AN868" s="8">
        <f>$U868</f>
        <v/>
      </c>
      <c r="AO868" s="8">
        <f>$AN868*IF($J868="INR",1,$AL868)</f>
        <v/>
      </c>
      <c r="AP868" s="18">
        <f>$AO868-$V868</f>
        <v/>
      </c>
      <c r="AQ868" s="8">
        <f>IF(ABS($AP868)&lt;=tol_trade_inr,"PASS","FAIL")</f>
        <v/>
      </c>
    </row>
    <row r="869">
      <c r="A869" s="11" t="n">
        <v>44712</v>
      </c>
      <c r="B869" s="7" t="inlineStr">
        <is>
          <t>T05</t>
        </is>
      </c>
      <c r="C869" s="7" t="inlineStr">
        <is>
          <t>PURCHASE:L1</t>
        </is>
      </c>
      <c r="D869" s="7" t="inlineStr">
        <is>
          <t>PURCHASE</t>
        </is>
      </c>
      <c r="E869" s="7" t="inlineStr">
        <is>
          <t>physical</t>
        </is>
      </c>
      <c r="F869" s="7" t="inlineStr">
        <is>
          <t>L1</t>
        </is>
      </c>
      <c r="G869" s="7" t="inlineStr">
        <is>
          <t>SUP_USEC_01</t>
        </is>
      </c>
      <c r="H869" s="7" t="inlineStr">
        <is>
          <t>tense</t>
        </is>
      </c>
      <c r="I869" s="7" t="inlineStr">
        <is>
          <t>USEC_MUN</t>
        </is>
      </c>
      <c r="J869" s="7" t="inlineStr">
        <is>
          <t>USD</t>
        </is>
      </c>
      <c r="K869" s="7" t="inlineStr">
        <is>
          <t>partially_fixed</t>
        </is>
      </c>
      <c r="L869" s="7" t="inlineStr">
        <is>
          <t>PNL</t>
        </is>
      </c>
      <c r="M869" s="11" t="n">
        <v>44753</v>
      </c>
      <c r="N869" s="13" t="n">
        <v>2100</v>
      </c>
      <c r="O869" s="6" t="n">
        <v>0</v>
      </c>
      <c r="P869" s="13" t="n">
        <v>0</v>
      </c>
      <c r="Q869" s="22" t="n">
        <v>30</v>
      </c>
      <c r="R869" s="6" t="n">
        <v>2</v>
      </c>
      <c r="U869" s="9" t="n">
        <v>-2080604.96</v>
      </c>
      <c r="V869" s="9" t="n">
        <v>-162289241.73</v>
      </c>
      <c r="X869" s="9" t="n">
        <v>78.004</v>
      </c>
      <c r="AK869" s="7" t="inlineStr">
        <is>
          <t>PYTHON_MULTI_FLOW_LEG</t>
        </is>
      </c>
      <c r="AL869" s="8">
        <f>IF($J869="INR",1,IF($M869&lt;$A869,INDEX(Market_Daily!$F$6:$F$256,MATCH($M869,Market_Daily!$A$6:$A$256,1)),IF($M869=$A869,INDEX(Market_Daily!$F$6:$F$256,MATCH($A869,Market_Daily!$A$6:$A$256,0)),(INDEX(Market_Daily!$F$6:$F$256,MATCH($A869,Market_Daily!$A$6:$A$256,0))*(1+INDEX(Market_Daily!$I$6:$I$256,MATCH($A869,Market_Daily!$A$6:$A$256,0))*($M869-$A869)/day_count_inr)/(1+INDEX(Market_Daily!$J$6:$J$256,MATCH($A869,Market_Daily!$A$6:$A$256,0))*($M869-$A869)/day_count_usd)))))</f>
        <v/>
      </c>
      <c r="AM869" s="8">
        <f>IF(OR($J869="INR",$R869&gt;1),"",$AL869-$X869)</f>
        <v/>
      </c>
      <c r="AN869" s="8">
        <f>$U869</f>
        <v/>
      </c>
      <c r="AO869" s="8">
        <f>$V869</f>
        <v/>
      </c>
      <c r="AP869" s="18">
        <f>$AO869-$V869</f>
        <v/>
      </c>
      <c r="AQ869" s="8">
        <f>IF(ABS($AP869)&lt;=tol_trade_inr,"PASS","FAIL")</f>
        <v/>
      </c>
    </row>
    <row r="870">
      <c r="A870" s="11" t="n">
        <v>44712</v>
      </c>
      <c r="B870" s="7" t="inlineStr">
        <is>
          <t>T05</t>
        </is>
      </c>
      <c r="C870" s="7" t="inlineStr">
        <is>
          <t>PURCHASE:L2</t>
        </is>
      </c>
      <c r="D870" s="7" t="inlineStr">
        <is>
          <t>PURCHASE</t>
        </is>
      </c>
      <c r="E870" s="7" t="inlineStr">
        <is>
          <t>physical</t>
        </is>
      </c>
      <c r="F870" s="7" t="inlineStr">
        <is>
          <t>L2</t>
        </is>
      </c>
      <c r="G870" s="7" t="inlineStr">
        <is>
          <t>SUP_USEC_01</t>
        </is>
      </c>
      <c r="H870" s="7" t="inlineStr">
        <is>
          <t>tense</t>
        </is>
      </c>
      <c r="I870" s="7" t="inlineStr">
        <is>
          <t>USEC_MUN</t>
        </is>
      </c>
      <c r="J870" s="7" t="inlineStr">
        <is>
          <t>USD</t>
        </is>
      </c>
      <c r="K870" s="7" t="inlineStr">
        <is>
          <t>partially_fixed</t>
        </is>
      </c>
      <c r="L870" s="7" t="inlineStr">
        <is>
          <t>PNL</t>
        </is>
      </c>
      <c r="M870" s="11" t="n">
        <v>44760</v>
      </c>
      <c r="N870" s="13" t="n">
        <v>2100</v>
      </c>
      <c r="O870" s="6" t="n">
        <v>0</v>
      </c>
      <c r="P870" s="13" t="n">
        <v>0</v>
      </c>
      <c r="Q870" s="22" t="n">
        <v>30</v>
      </c>
      <c r="R870" s="6" t="n">
        <v>2</v>
      </c>
      <c r="U870" s="9" t="n">
        <v>-2080604.96</v>
      </c>
      <c r="V870" s="9" t="n">
        <v>-162398920.45</v>
      </c>
      <c r="X870" s="9" t="n">
        <v>78.0573</v>
      </c>
      <c r="AK870" s="7" t="inlineStr">
        <is>
          <t>PYTHON_MULTI_FLOW_LEG</t>
        </is>
      </c>
      <c r="AL870" s="8">
        <f>IF($J870="INR",1,IF($M870&lt;$A870,INDEX(Market_Daily!$F$6:$F$256,MATCH($M870,Market_Daily!$A$6:$A$256,1)),IF($M870=$A870,INDEX(Market_Daily!$F$6:$F$256,MATCH($A870,Market_Daily!$A$6:$A$256,0)),(INDEX(Market_Daily!$F$6:$F$256,MATCH($A870,Market_Daily!$A$6:$A$256,0))*(1+INDEX(Market_Daily!$I$6:$I$256,MATCH($A870,Market_Daily!$A$6:$A$256,0))*($M870-$A870)/day_count_inr)/(1+INDEX(Market_Daily!$J$6:$J$256,MATCH($A870,Market_Daily!$A$6:$A$256,0))*($M870-$A870)/day_count_usd)))))</f>
        <v/>
      </c>
      <c r="AM870" s="8">
        <f>IF(OR($J870="INR",$R870&gt;1),"",$AL870-$X870)</f>
        <v/>
      </c>
      <c r="AN870" s="8">
        <f>$U870</f>
        <v/>
      </c>
      <c r="AO870" s="8">
        <f>$V870</f>
        <v/>
      </c>
      <c r="AP870" s="18">
        <f>$AO870-$V870</f>
        <v/>
      </c>
      <c r="AQ870" s="8">
        <f>IF(ABS($AP870)&lt;=tol_trade_inr,"PASS","FAIL")</f>
        <v/>
      </c>
    </row>
    <row r="871">
      <c r="A871" s="11" t="n">
        <v>44712</v>
      </c>
      <c r="B871" s="7" t="inlineStr">
        <is>
          <t>T05</t>
        </is>
      </c>
      <c r="C871" s="7" t="inlineStr">
        <is>
          <t>SALE:S1</t>
        </is>
      </c>
      <c r="D871" s="7" t="inlineStr">
        <is>
          <t>SALE</t>
        </is>
      </c>
      <c r="E871" s="7" t="inlineStr">
        <is>
          <t>physical</t>
        </is>
      </c>
      <c r="G871" s="7" t="inlineStr">
        <is>
          <t>BUY_MUN_01</t>
        </is>
      </c>
      <c r="H871" s="7" t="inlineStr">
        <is>
          <t>tense</t>
        </is>
      </c>
      <c r="I871" s="7" t="inlineStr">
        <is>
          <t>USEC_MUN</t>
        </is>
      </c>
      <c r="J871" s="7" t="inlineStr">
        <is>
          <t>INR</t>
        </is>
      </c>
      <c r="K871" s="7" t="inlineStr">
        <is>
          <t>floating</t>
        </is>
      </c>
      <c r="L871" s="7" t="inlineStr">
        <is>
          <t>PNL</t>
        </is>
      </c>
      <c r="M871" s="11" t="n">
        <v>44781</v>
      </c>
      <c r="N871" s="13" t="n">
        <v>2100</v>
      </c>
      <c r="O871" s="6" t="n">
        <v>0</v>
      </c>
      <c r="P871" s="13" t="n">
        <v>0</v>
      </c>
      <c r="Q871" s="22" t="n">
        <v>30</v>
      </c>
      <c r="R871" s="6" t="n">
        <v>1</v>
      </c>
      <c r="U871" s="9" t="n">
        <v>372183318.5</v>
      </c>
      <c r="V871" s="9" t="n">
        <v>372183318.5</v>
      </c>
      <c r="W871" s="9" t="n">
        <v>177230.1517</v>
      </c>
      <c r="X871" s="9" t="n">
        <v>77.69159999999999</v>
      </c>
      <c r="AK871" s="7" t="inlineStr">
        <is>
          <t>PYTHON_LIFECYCLE</t>
        </is>
      </c>
      <c r="AL871" s="8">
        <f>IF($J871="INR",1,IF($M871&lt;$A871,INDEX(Market_Daily!$F$6:$F$256,MATCH($M871,Market_Daily!$A$6:$A$256,1)),IF($M871=$A871,INDEX(Market_Daily!$F$6:$F$256,MATCH($A871,Market_Daily!$A$6:$A$256,0)),(INDEX(Market_Daily!$F$6:$F$256,MATCH($A871,Market_Daily!$A$6:$A$256,0))*(1+INDEX(Market_Daily!$I$6:$I$256,MATCH($A871,Market_Daily!$A$6:$A$256,0))*($M871-$A871)/day_count_inr)/(1+INDEX(Market_Daily!$J$6:$J$256,MATCH($A871,Market_Daily!$A$6:$A$256,0))*($M871-$A871)/day_count_usd)))))</f>
        <v/>
      </c>
      <c r="AM871" s="8">
        <f>IF(OR($J871="INR",$R871&gt;1),"",$AL871-$X871)</f>
        <v/>
      </c>
      <c r="AN871" s="8">
        <f>$U871</f>
        <v/>
      </c>
      <c r="AO871" s="8">
        <f>$AN871*IF($J871="INR",1,$AL871)</f>
        <v/>
      </c>
      <c r="AP871" s="18">
        <f>$AO871-$V871</f>
        <v/>
      </c>
      <c r="AQ871" s="8">
        <f>IF(ABS($AP871)&lt;=tol_trade_inr,"PASS","FAIL")</f>
        <v/>
      </c>
    </row>
    <row r="872">
      <c r="A872" s="11" t="n">
        <v>44712</v>
      </c>
      <c r="B872" s="7" t="inlineStr">
        <is>
          <t>T05</t>
        </is>
      </c>
      <c r="C872" s="7" t="inlineStr">
        <is>
          <t>USANCE_INTEREST:L1</t>
        </is>
      </c>
      <c r="D872" s="7" t="inlineStr">
        <is>
          <t>USANCE_INTEREST</t>
        </is>
      </c>
      <c r="E872" s="7" t="inlineStr">
        <is>
          <t>physical</t>
        </is>
      </c>
      <c r="F872" s="7" t="inlineStr">
        <is>
          <t>L1</t>
        </is>
      </c>
      <c r="H872" s="7" t="inlineStr">
        <is>
          <t>tense</t>
        </is>
      </c>
      <c r="I872" s="7" t="inlineStr">
        <is>
          <t>USEC_MUN</t>
        </is>
      </c>
      <c r="J872" s="7" t="inlineStr">
        <is>
          <t>USD</t>
        </is>
      </c>
      <c r="K872" s="7" t="inlineStr">
        <is>
          <t>fixed_unsettled</t>
        </is>
      </c>
      <c r="L872" s="7" t="inlineStr">
        <is>
          <t>PNL</t>
        </is>
      </c>
      <c r="M872" s="11" t="n">
        <v>44753</v>
      </c>
      <c r="N872" s="13" t="n">
        <v>0</v>
      </c>
      <c r="O872" s="6" t="n">
        <v>0</v>
      </c>
      <c r="P872" s="13" t="n">
        <v>0</v>
      </c>
      <c r="Q872" s="22" t="n">
        <v>30</v>
      </c>
      <c r="R872" s="6" t="n">
        <v>1</v>
      </c>
      <c r="U872" s="9" t="n">
        <v>-8014.35</v>
      </c>
      <c r="V872" s="9" t="n">
        <v>-625151.47</v>
      </c>
      <c r="X872" s="9" t="n">
        <v>78.004</v>
      </c>
      <c r="AK872" s="7" t="inlineStr">
        <is>
          <t>PYTHON_LIFECYCLE</t>
        </is>
      </c>
      <c r="AL872" s="8">
        <f>IF($J872="INR",1,IF($M872&lt;$A872,INDEX(Market_Daily!$F$6:$F$256,MATCH($M872,Market_Daily!$A$6:$A$256,1)),IF($M872=$A872,INDEX(Market_Daily!$F$6:$F$256,MATCH($A872,Market_Daily!$A$6:$A$256,0)),(INDEX(Market_Daily!$F$6:$F$256,MATCH($A872,Market_Daily!$A$6:$A$256,0))*(1+INDEX(Market_Daily!$I$6:$I$256,MATCH($A872,Market_Daily!$A$6:$A$256,0))*($M872-$A872)/day_count_inr)/(1+INDEX(Market_Daily!$J$6:$J$256,MATCH($A872,Market_Daily!$A$6:$A$256,0))*($M872-$A872)/day_count_usd)))))</f>
        <v/>
      </c>
      <c r="AM872" s="8">
        <f>IF(OR($J872="INR",$R872&gt;1),"",$AL872-$X872)</f>
        <v/>
      </c>
      <c r="AN872" s="8">
        <f>$U872</f>
        <v/>
      </c>
      <c r="AO872" s="8">
        <f>$AN872*IF($J872="INR",1,$AL872)</f>
        <v/>
      </c>
      <c r="AP872" s="18">
        <f>$AO872-$V872</f>
        <v/>
      </c>
      <c r="AQ872" s="8">
        <f>IF(ABS($AP872)&lt;=tol_trade_inr,"PASS","FAIL")</f>
        <v/>
      </c>
    </row>
    <row r="873">
      <c r="A873" s="11" t="n">
        <v>44712</v>
      </c>
      <c r="B873" s="7" t="inlineStr">
        <is>
          <t>T05</t>
        </is>
      </c>
      <c r="C873" s="7" t="inlineStr">
        <is>
          <t>USANCE_INTEREST:L2</t>
        </is>
      </c>
      <c r="D873" s="7" t="inlineStr">
        <is>
          <t>USANCE_INTEREST</t>
        </is>
      </c>
      <c r="E873" s="7" t="inlineStr">
        <is>
          <t>physical</t>
        </is>
      </c>
      <c r="F873" s="7" t="inlineStr">
        <is>
          <t>L2</t>
        </is>
      </c>
      <c r="H873" s="7" t="inlineStr">
        <is>
          <t>tense</t>
        </is>
      </c>
      <c r="I873" s="7" t="inlineStr">
        <is>
          <t>USEC_MUN</t>
        </is>
      </c>
      <c r="J873" s="7" t="inlineStr">
        <is>
          <t>USD</t>
        </is>
      </c>
      <c r="K873" s="7" t="inlineStr">
        <is>
          <t>fixed_unsettled</t>
        </is>
      </c>
      <c r="L873" s="7" t="inlineStr">
        <is>
          <t>PNL</t>
        </is>
      </c>
      <c r="M873" s="11" t="n">
        <v>44760</v>
      </c>
      <c r="N873" s="13" t="n">
        <v>0</v>
      </c>
      <c r="O873" s="6" t="n">
        <v>0</v>
      </c>
      <c r="P873" s="13" t="n">
        <v>0</v>
      </c>
      <c r="Q873" s="22" t="n">
        <v>30</v>
      </c>
      <c r="R873" s="6" t="n">
        <v>1</v>
      </c>
      <c r="U873" s="9" t="n">
        <v>-8484.440000000001</v>
      </c>
      <c r="V873" s="9" t="n">
        <v>-662271.75</v>
      </c>
      <c r="X873" s="9" t="n">
        <v>78.0573</v>
      </c>
      <c r="AK873" s="7" t="inlineStr">
        <is>
          <t>PYTHON_LIFECYCLE</t>
        </is>
      </c>
      <c r="AL873" s="8">
        <f>IF($J873="INR",1,IF($M873&lt;$A873,INDEX(Market_Daily!$F$6:$F$256,MATCH($M873,Market_Daily!$A$6:$A$256,1)),IF($M873=$A873,INDEX(Market_Daily!$F$6:$F$256,MATCH($A873,Market_Daily!$A$6:$A$256,0)),(INDEX(Market_Daily!$F$6:$F$256,MATCH($A873,Market_Daily!$A$6:$A$256,0))*(1+INDEX(Market_Daily!$I$6:$I$256,MATCH($A873,Market_Daily!$A$6:$A$256,0))*($M873-$A873)/day_count_inr)/(1+INDEX(Market_Daily!$J$6:$J$256,MATCH($A873,Market_Daily!$A$6:$A$256,0))*($M873-$A873)/day_count_usd)))))</f>
        <v/>
      </c>
      <c r="AM873" s="8">
        <f>IF(OR($J873="INR",$R873&gt;1),"",$AL873-$X873)</f>
        <v/>
      </c>
      <c r="AN873" s="8">
        <f>$U873</f>
        <v/>
      </c>
      <c r="AO873" s="8">
        <f>$AN873*IF($J873="INR",1,$AL873)</f>
        <v/>
      </c>
      <c r="AP873" s="18">
        <f>$AO873-$V873</f>
        <v/>
      </c>
      <c r="AQ873" s="8">
        <f>IF(ABS($AP873)&lt;=tol_trade_inr,"PASS","FAIL")</f>
        <v/>
      </c>
    </row>
    <row r="874">
      <c r="A874" s="11" t="n">
        <v>44712</v>
      </c>
      <c r="B874" s="7" t="inlineStr">
        <is>
          <t>T06</t>
        </is>
      </c>
      <c r="C874" s="7" t="inlineStr">
        <is>
          <t>BILL_COMMISSION:L1</t>
        </is>
      </c>
      <c r="D874" s="7" t="inlineStr">
        <is>
          <t>BILL_COMMISSION</t>
        </is>
      </c>
      <c r="E874" s="7" t="inlineStr">
        <is>
          <t>physical</t>
        </is>
      </c>
      <c r="F874" s="7" t="inlineStr">
        <is>
          <t>L1</t>
        </is>
      </c>
      <c r="H874" s="7" t="inlineStr">
        <is>
          <t>zorba</t>
        </is>
      </c>
      <c r="I874" s="7" t="inlineStr">
        <is>
          <t>JEA_NSA</t>
        </is>
      </c>
      <c r="J874" s="7" t="inlineStr">
        <is>
          <t>USD</t>
        </is>
      </c>
      <c r="K874" s="7" t="inlineStr">
        <is>
          <t>floating</t>
        </is>
      </c>
      <c r="L874" s="7" t="inlineStr">
        <is>
          <t>PNL</t>
        </is>
      </c>
      <c r="M874" s="11" t="n">
        <v>44713</v>
      </c>
      <c r="N874" s="13" t="n">
        <v>0</v>
      </c>
      <c r="O874" s="6" t="n">
        <v>0</v>
      </c>
      <c r="P874" s="13" t="n">
        <v>0</v>
      </c>
      <c r="Q874" s="22" t="n">
        <v>30</v>
      </c>
      <c r="R874" s="6" t="n">
        <v>1</v>
      </c>
      <c r="U874" s="9" t="n">
        <v>-1667.64</v>
      </c>
      <c r="V874" s="9" t="n">
        <v>-129574.34</v>
      </c>
      <c r="X874" s="9" t="n">
        <v>77.6992</v>
      </c>
      <c r="AK874" s="7" t="inlineStr">
        <is>
          <t>PYTHON_LIFECYCLE</t>
        </is>
      </c>
      <c r="AL874" s="8">
        <f>IF($J874="INR",1,IF($M874&lt;$A874,INDEX(Market_Daily!$F$6:$F$256,MATCH($M874,Market_Daily!$A$6:$A$256,1)),IF($M874=$A874,INDEX(Market_Daily!$F$6:$F$256,MATCH($A874,Market_Daily!$A$6:$A$256,0)),(INDEX(Market_Daily!$F$6:$F$256,MATCH($A874,Market_Daily!$A$6:$A$256,0))*(1+INDEX(Market_Daily!$I$6:$I$256,MATCH($A874,Market_Daily!$A$6:$A$256,0))*($M874-$A874)/day_count_inr)/(1+INDEX(Market_Daily!$J$6:$J$256,MATCH($A874,Market_Daily!$A$6:$A$256,0))*($M874-$A874)/day_count_usd)))))</f>
        <v/>
      </c>
      <c r="AM874" s="8">
        <f>IF(OR($J874="INR",$R874&gt;1),"",$AL874-$X874)</f>
        <v/>
      </c>
      <c r="AN874" s="8">
        <f>$U874</f>
        <v/>
      </c>
      <c r="AO874" s="8">
        <f>$AN874*IF($J874="INR",1,$AL874)</f>
        <v/>
      </c>
      <c r="AP874" s="18">
        <f>$AO874-$V874</f>
        <v/>
      </c>
      <c r="AQ874" s="8">
        <f>IF(ABS($AP874)&lt;=tol_trade_inr,"PASS","FAIL")</f>
        <v/>
      </c>
    </row>
    <row r="875">
      <c r="A875" s="11" t="n">
        <v>44712</v>
      </c>
      <c r="B875" s="7" t="inlineStr">
        <is>
          <t>T06</t>
        </is>
      </c>
      <c r="C875" s="7" t="inlineStr">
        <is>
          <t>BILL_COMMISSION:L2</t>
        </is>
      </c>
      <c r="D875" s="7" t="inlineStr">
        <is>
          <t>BILL_COMMISSION</t>
        </is>
      </c>
      <c r="E875" s="7" t="inlineStr">
        <is>
          <t>physical</t>
        </is>
      </c>
      <c r="F875" s="7" t="inlineStr">
        <is>
          <t>L2</t>
        </is>
      </c>
      <c r="H875" s="7" t="inlineStr">
        <is>
          <t>zorba</t>
        </is>
      </c>
      <c r="I875" s="7" t="inlineStr">
        <is>
          <t>JEA_NSA</t>
        </is>
      </c>
      <c r="J875" s="7" t="inlineStr">
        <is>
          <t>USD</t>
        </is>
      </c>
      <c r="K875" s="7" t="inlineStr">
        <is>
          <t>floating</t>
        </is>
      </c>
      <c r="L875" s="7" t="inlineStr">
        <is>
          <t>PNL</t>
        </is>
      </c>
      <c r="M875" s="11" t="n">
        <v>44726</v>
      </c>
      <c r="N875" s="13" t="n">
        <v>0</v>
      </c>
      <c r="O875" s="6" t="n">
        <v>0</v>
      </c>
      <c r="P875" s="13" t="n">
        <v>0</v>
      </c>
      <c r="Q875" s="22" t="n">
        <v>30</v>
      </c>
      <c r="R875" s="6" t="n">
        <v>1</v>
      </c>
      <c r="U875" s="9" t="n">
        <v>-1667.64</v>
      </c>
      <c r="V875" s="9" t="n">
        <v>-129739.66</v>
      </c>
      <c r="X875" s="9" t="n">
        <v>77.7984</v>
      </c>
      <c r="AK875" s="7" t="inlineStr">
        <is>
          <t>PYTHON_LIFECYCLE</t>
        </is>
      </c>
      <c r="AL875" s="8">
        <f>IF($J875="INR",1,IF($M875&lt;$A875,INDEX(Market_Daily!$F$6:$F$256,MATCH($M875,Market_Daily!$A$6:$A$256,1)),IF($M875=$A875,INDEX(Market_Daily!$F$6:$F$256,MATCH($A875,Market_Daily!$A$6:$A$256,0)),(INDEX(Market_Daily!$F$6:$F$256,MATCH($A875,Market_Daily!$A$6:$A$256,0))*(1+INDEX(Market_Daily!$I$6:$I$256,MATCH($A875,Market_Daily!$A$6:$A$256,0))*($M875-$A875)/day_count_inr)/(1+INDEX(Market_Daily!$J$6:$J$256,MATCH($A875,Market_Daily!$A$6:$A$256,0))*($M875-$A875)/day_count_usd)))))</f>
        <v/>
      </c>
      <c r="AM875" s="8">
        <f>IF(OR($J875="INR",$R875&gt;1),"",$AL875-$X875)</f>
        <v/>
      </c>
      <c r="AN875" s="8">
        <f>$U875</f>
        <v/>
      </c>
      <c r="AO875" s="8">
        <f>$AN875*IF($J875="INR",1,$AL875)</f>
        <v/>
      </c>
      <c r="AP875" s="18">
        <f>$AO875-$V875</f>
        <v/>
      </c>
      <c r="AQ875" s="8">
        <f>IF(ABS($AP875)&lt;=tol_trade_inr,"PASS","FAIL")</f>
        <v/>
      </c>
    </row>
    <row r="876">
      <c r="A876" s="11" t="n">
        <v>44712</v>
      </c>
      <c r="B876" s="7" t="inlineStr">
        <is>
          <t>T06</t>
        </is>
      </c>
      <c r="C876" s="7" t="inlineStr">
        <is>
          <t>DUTY:L2</t>
        </is>
      </c>
      <c r="D876" s="7" t="inlineStr">
        <is>
          <t>DUTY</t>
        </is>
      </c>
      <c r="E876" s="7" t="inlineStr">
        <is>
          <t>physical</t>
        </is>
      </c>
      <c r="F876" s="7" t="inlineStr">
        <is>
          <t>L2</t>
        </is>
      </c>
      <c r="H876" s="7" t="inlineStr">
        <is>
          <t>zorba</t>
        </is>
      </c>
      <c r="I876" s="7" t="inlineStr">
        <is>
          <t>JEA_NSA</t>
        </is>
      </c>
      <c r="J876" s="7" t="inlineStr">
        <is>
          <t>INR</t>
        </is>
      </c>
      <c r="K876" s="7" t="inlineStr">
        <is>
          <t>floating</t>
        </is>
      </c>
      <c r="L876" s="7" t="inlineStr">
        <is>
          <t>PNL</t>
        </is>
      </c>
      <c r="M876" s="11" t="n">
        <v>44725</v>
      </c>
      <c r="N876" s="13" t="n">
        <v>650</v>
      </c>
      <c r="O876" s="6" t="n">
        <v>0</v>
      </c>
      <c r="P876" s="13" t="n">
        <v>0</v>
      </c>
      <c r="Q876" s="22" t="n">
        <v>30</v>
      </c>
      <c r="R876" s="6" t="n">
        <v>1</v>
      </c>
      <c r="U876" s="9" t="n">
        <v>-3007140.77</v>
      </c>
      <c r="V876" s="9" t="n">
        <v>-3007140.77</v>
      </c>
      <c r="X876" s="9" t="n">
        <v>77.69159999999999</v>
      </c>
      <c r="AK876" s="7" t="inlineStr">
        <is>
          <t>PYTHON_LIFECYCLE</t>
        </is>
      </c>
      <c r="AL876" s="8">
        <f>IF($J876="INR",1,IF($M876&lt;$A876,INDEX(Market_Daily!$F$6:$F$256,MATCH($M876,Market_Daily!$A$6:$A$256,1)),IF($M876=$A876,INDEX(Market_Daily!$F$6:$F$256,MATCH($A876,Market_Daily!$A$6:$A$256,0)),(INDEX(Market_Daily!$F$6:$F$256,MATCH($A876,Market_Daily!$A$6:$A$256,0))*(1+INDEX(Market_Daily!$I$6:$I$256,MATCH($A876,Market_Daily!$A$6:$A$256,0))*($M876-$A876)/day_count_inr)/(1+INDEX(Market_Daily!$J$6:$J$256,MATCH($A876,Market_Daily!$A$6:$A$256,0))*($M876-$A876)/day_count_usd)))))</f>
        <v/>
      </c>
      <c r="AM876" s="8">
        <f>IF(OR($J876="INR",$R876&gt;1),"",$AL876-$X876)</f>
        <v/>
      </c>
      <c r="AN876" s="8">
        <f>$U876</f>
        <v/>
      </c>
      <c r="AO876" s="8">
        <f>$AN876*IF($J876="INR",1,$AL876)</f>
        <v/>
      </c>
      <c r="AP876" s="18">
        <f>$AO876-$V876</f>
        <v/>
      </c>
      <c r="AQ876" s="8">
        <f>IF(ABS($AP876)&lt;=tol_trade_inr,"PASS","FAIL")</f>
        <v/>
      </c>
    </row>
    <row r="877">
      <c r="A877" s="11" t="n">
        <v>44712</v>
      </c>
      <c r="B877" s="7" t="inlineStr">
        <is>
          <t>T06</t>
        </is>
      </c>
      <c r="C877" s="7" t="inlineStr">
        <is>
          <t>FX:T06-FX-1</t>
        </is>
      </c>
      <c r="D877" s="7" t="inlineStr">
        <is>
          <t>FX</t>
        </is>
      </c>
      <c r="E877" s="7" t="inlineStr">
        <is>
          <t>fx_forward</t>
        </is>
      </c>
      <c r="H877" s="7" t="inlineStr">
        <is>
          <t>zorba</t>
        </is>
      </c>
      <c r="I877" s="7" t="inlineStr">
        <is>
          <t>JEA_NSA</t>
        </is>
      </c>
      <c r="J877" s="7" t="inlineStr">
        <is>
          <t>INR</t>
        </is>
      </c>
      <c r="K877" s="7" t="inlineStr">
        <is>
          <t>floating</t>
        </is>
      </c>
      <c r="L877" s="7" t="inlineStr">
        <is>
          <t>PNL</t>
        </is>
      </c>
      <c r="M877" s="11" t="n">
        <v>44713</v>
      </c>
      <c r="N877" s="13" t="n">
        <v>0</v>
      </c>
      <c r="O877" s="6" t="n">
        <v>0</v>
      </c>
      <c r="P877" s="13" t="n">
        <v>833800</v>
      </c>
      <c r="Q877" s="22" t="n">
        <v>30</v>
      </c>
      <c r="R877" s="6" t="n">
        <v>1</v>
      </c>
      <c r="S877" s="12" t="n">
        <v>44713</v>
      </c>
      <c r="T877" s="21" t="n">
        <v>77.732006</v>
      </c>
      <c r="U877" s="9" t="n">
        <v>-27329.7</v>
      </c>
      <c r="V877" s="9" t="n">
        <v>-27329.7</v>
      </c>
      <c r="X877" s="9" t="n">
        <v>77.69159999999999</v>
      </c>
      <c r="AK877" s="7" t="inlineStr">
        <is>
          <t>DERIVED_IN_WORKBOOK</t>
        </is>
      </c>
      <c r="AL877" s="8">
        <f>IF($J877="INR",1,IF($M877&lt;$A877,INDEX(Market_Daily!$F$6:$F$256,MATCH($M877,Market_Daily!$A$6:$A$256,1)),IF($M877=$A877,INDEX(Market_Daily!$F$6:$F$256,MATCH($A877,Market_Daily!$A$6:$A$256,0)),(INDEX(Market_Daily!$F$6:$F$256,MATCH($A877,Market_Daily!$A$6:$A$256,0))*(1+INDEX(Market_Daily!$I$6:$I$256,MATCH($A877,Market_Daily!$A$6:$A$256,0))*($M877-$A877)/day_count_inr)/(1+INDEX(Market_Daily!$J$6:$J$256,MATCH($A877,Market_Daily!$A$6:$A$256,0))*($M877-$A877)/day_count_usd)))))</f>
        <v/>
      </c>
      <c r="AM877" s="8">
        <f>IF(OR($J877="INR",$R877&gt;1),"",$AL877-$X877)</f>
        <v/>
      </c>
      <c r="AN877" s="8">
        <f>$P877*(IF($S877&lt;$A877,INDEX(Market_Daily!$F$6:$F$256,MATCH($S877,Market_Daily!$A$6:$A$256,1)),IF($S877=$A877,INDEX(Market_Daily!$F$6:$F$256,MATCH($A877,Market_Daily!$A$6:$A$256,0)),(INDEX(Market_Daily!$F$6:$F$256,MATCH($A877,Market_Daily!$A$6:$A$256,0))*(1+INDEX(Market_Daily!$I$6:$I$256,MATCH($A877,Market_Daily!$A$6:$A$256,0))*($S877-$A877)/day_count_inr)/(1+INDEX(Market_Daily!$J$6:$J$256,MATCH($A877,Market_Daily!$A$6:$A$256,0))*($S877-$A877)/day_count_usd))))-$T877)</f>
        <v/>
      </c>
      <c r="AO877" s="8">
        <f>$AN877</f>
        <v/>
      </c>
      <c r="AP877" s="18">
        <f>$AO877-$V877</f>
        <v/>
      </c>
      <c r="AQ877" s="8">
        <f>IF(ABS($AP877)&lt;=tol_trade_inr,"PASS","FAIL")</f>
        <v/>
      </c>
    </row>
    <row r="878">
      <c r="A878" s="11" t="n">
        <v>44712</v>
      </c>
      <c r="B878" s="7" t="inlineStr">
        <is>
          <t>T06</t>
        </is>
      </c>
      <c r="C878" s="7" t="inlineStr">
        <is>
          <t>IGST:L1</t>
        </is>
      </c>
      <c r="D878" s="7" t="inlineStr">
        <is>
          <t>IGST</t>
        </is>
      </c>
      <c r="E878" s="7" t="inlineStr">
        <is>
          <t>physical</t>
        </is>
      </c>
      <c r="F878" s="7" t="inlineStr">
        <is>
          <t>L1</t>
        </is>
      </c>
      <c r="H878" s="7" t="inlineStr">
        <is>
          <t>zorba</t>
        </is>
      </c>
      <c r="I878" s="7" t="inlineStr">
        <is>
          <t>JEA_NSA</t>
        </is>
      </c>
      <c r="J878" s="7" t="inlineStr">
        <is>
          <t>INR</t>
        </is>
      </c>
      <c r="K878" s="7" t="inlineStr">
        <is>
          <t>fixed_unsettled</t>
        </is>
      </c>
      <c r="L878" s="7" t="inlineStr">
        <is>
          <t>BS</t>
        </is>
      </c>
      <c r="M878" s="11" t="n">
        <v>44757</v>
      </c>
      <c r="N878" s="13" t="n">
        <v>0</v>
      </c>
      <c r="O878" s="6" t="n">
        <v>0</v>
      </c>
      <c r="P878" s="13" t="n">
        <v>0</v>
      </c>
      <c r="Q878" s="22" t="n">
        <v>30</v>
      </c>
      <c r="R878" s="6" t="n">
        <v>2</v>
      </c>
      <c r="U878" s="9" t="n">
        <v>0</v>
      </c>
      <c r="V878" s="9" t="n">
        <v>0</v>
      </c>
      <c r="X878" s="9" t="n">
        <v>77.69159999999999</v>
      </c>
      <c r="AK878" s="7" t="inlineStr">
        <is>
          <t>PYTHON_MULTI_FLOW_LEG</t>
        </is>
      </c>
      <c r="AL878" s="8">
        <f>IF($J878="INR",1,IF($M878&lt;$A878,INDEX(Market_Daily!$F$6:$F$256,MATCH($M878,Market_Daily!$A$6:$A$256,1)),IF($M878=$A878,INDEX(Market_Daily!$F$6:$F$256,MATCH($A878,Market_Daily!$A$6:$A$256,0)),(INDEX(Market_Daily!$F$6:$F$256,MATCH($A878,Market_Daily!$A$6:$A$256,0))*(1+INDEX(Market_Daily!$I$6:$I$256,MATCH($A878,Market_Daily!$A$6:$A$256,0))*($M878-$A878)/day_count_inr)/(1+INDEX(Market_Daily!$J$6:$J$256,MATCH($A878,Market_Daily!$A$6:$A$256,0))*($M878-$A878)/day_count_usd)))))</f>
        <v/>
      </c>
      <c r="AM878" s="8">
        <f>IF(OR($J878="INR",$R878&gt;1),"",$AL878-$X878)</f>
        <v/>
      </c>
      <c r="AN878" s="8">
        <f>$U878</f>
        <v/>
      </c>
      <c r="AO878" s="8">
        <f>$V878</f>
        <v/>
      </c>
      <c r="AP878" s="18">
        <f>$AO878-$V878</f>
        <v/>
      </c>
      <c r="AQ878" s="8">
        <f>IF(ABS($AP878)&lt;=tol_trade_inr,"PASS","FAIL")</f>
        <v/>
      </c>
    </row>
    <row r="879">
      <c r="A879" s="11" t="n">
        <v>44712</v>
      </c>
      <c r="B879" s="7" t="inlineStr">
        <is>
          <t>T06</t>
        </is>
      </c>
      <c r="C879" s="7" t="inlineStr">
        <is>
          <t>IGST:L2</t>
        </is>
      </c>
      <c r="D879" s="7" t="inlineStr">
        <is>
          <t>IGST</t>
        </is>
      </c>
      <c r="E879" s="7" t="inlineStr">
        <is>
          <t>physical</t>
        </is>
      </c>
      <c r="F879" s="7" t="inlineStr">
        <is>
          <t>L2</t>
        </is>
      </c>
      <c r="H879" s="7" t="inlineStr">
        <is>
          <t>zorba</t>
        </is>
      </c>
      <c r="I879" s="7" t="inlineStr">
        <is>
          <t>JEA_NSA</t>
        </is>
      </c>
      <c r="J879" s="7" t="inlineStr">
        <is>
          <t>INR</t>
        </is>
      </c>
      <c r="K879" s="7" t="inlineStr">
        <is>
          <t>floating</t>
        </is>
      </c>
      <c r="L879" s="7" t="inlineStr">
        <is>
          <t>BS</t>
        </is>
      </c>
      <c r="M879" s="11" t="n">
        <v>44770</v>
      </c>
      <c r="N879" s="13" t="n">
        <v>0</v>
      </c>
      <c r="O879" s="6" t="n">
        <v>0</v>
      </c>
      <c r="P879" s="13" t="n">
        <v>0</v>
      </c>
      <c r="Q879" s="22" t="n">
        <v>30</v>
      </c>
      <c r="R879" s="6" t="n">
        <v>2</v>
      </c>
      <c r="U879" s="9" t="n">
        <v>0</v>
      </c>
      <c r="V879" s="9" t="n">
        <v>0</v>
      </c>
      <c r="X879" s="9" t="n">
        <v>77.69159999999999</v>
      </c>
      <c r="AK879" s="7" t="inlineStr">
        <is>
          <t>PYTHON_MULTI_FLOW_LEG</t>
        </is>
      </c>
      <c r="AL879" s="8">
        <f>IF($J879="INR",1,IF($M879&lt;$A879,INDEX(Market_Daily!$F$6:$F$256,MATCH($M879,Market_Daily!$A$6:$A$256,1)),IF($M879=$A879,INDEX(Market_Daily!$F$6:$F$256,MATCH($A879,Market_Daily!$A$6:$A$256,0)),(INDEX(Market_Daily!$F$6:$F$256,MATCH($A879,Market_Daily!$A$6:$A$256,0))*(1+INDEX(Market_Daily!$I$6:$I$256,MATCH($A879,Market_Daily!$A$6:$A$256,0))*($M879-$A879)/day_count_inr)/(1+INDEX(Market_Daily!$J$6:$J$256,MATCH($A879,Market_Daily!$A$6:$A$256,0))*($M879-$A879)/day_count_usd)))))</f>
        <v/>
      </c>
      <c r="AM879" s="8">
        <f>IF(OR($J879="INR",$R879&gt;1),"",$AL879-$X879)</f>
        <v/>
      </c>
      <c r="AN879" s="8">
        <f>$U879</f>
        <v/>
      </c>
      <c r="AO879" s="8">
        <f>$V879</f>
        <v/>
      </c>
      <c r="AP879" s="18">
        <f>$AO879-$V879</f>
        <v/>
      </c>
      <c r="AQ879" s="8">
        <f>IF(ABS($AP879)&lt;=tol_trade_inr,"PASS","FAIL")</f>
        <v/>
      </c>
    </row>
    <row r="880">
      <c r="A880" s="11" t="n">
        <v>44712</v>
      </c>
      <c r="B880" s="7" t="inlineStr">
        <is>
          <t>T06</t>
        </is>
      </c>
      <c r="C880" s="7" t="inlineStr">
        <is>
          <t>INSURANCE:L2</t>
        </is>
      </c>
      <c r="D880" s="7" t="inlineStr">
        <is>
          <t>INSURANCE</t>
        </is>
      </c>
      <c r="E880" s="7" t="inlineStr">
        <is>
          <t>physical</t>
        </is>
      </c>
      <c r="F880" s="7" t="inlineStr">
        <is>
          <t>L2</t>
        </is>
      </c>
      <c r="H880" s="7" t="inlineStr">
        <is>
          <t>zorba</t>
        </is>
      </c>
      <c r="I880" s="7" t="inlineStr">
        <is>
          <t>JEA_NSA</t>
        </is>
      </c>
      <c r="J880" s="7" t="inlineStr">
        <is>
          <t>USD</t>
        </is>
      </c>
      <c r="K880" s="7" t="inlineStr">
        <is>
          <t>floating</t>
        </is>
      </c>
      <c r="L880" s="7" t="inlineStr">
        <is>
          <t>PNL</t>
        </is>
      </c>
      <c r="M880" s="11" t="n">
        <v>44719</v>
      </c>
      <c r="N880" s="13" t="n">
        <v>650</v>
      </c>
      <c r="O880" s="6" t="n">
        <v>0</v>
      </c>
      <c r="P880" s="13" t="n">
        <v>0</v>
      </c>
      <c r="Q880" s="22" t="n">
        <v>30</v>
      </c>
      <c r="R880" s="6" t="n">
        <v>1</v>
      </c>
      <c r="U880" s="9" t="n">
        <v>-1528.67</v>
      </c>
      <c r="V880" s="9" t="n">
        <v>-118846.44</v>
      </c>
      <c r="X880" s="9" t="n">
        <v>77.745</v>
      </c>
      <c r="AK880" s="7" t="inlineStr">
        <is>
          <t>PYTHON_LIFECYCLE</t>
        </is>
      </c>
      <c r="AL880" s="8">
        <f>IF($J880="INR",1,IF($M880&lt;$A880,INDEX(Market_Daily!$F$6:$F$256,MATCH($M880,Market_Daily!$A$6:$A$256,1)),IF($M880=$A880,INDEX(Market_Daily!$F$6:$F$256,MATCH($A880,Market_Daily!$A$6:$A$256,0)),(INDEX(Market_Daily!$F$6:$F$256,MATCH($A880,Market_Daily!$A$6:$A$256,0))*(1+INDEX(Market_Daily!$I$6:$I$256,MATCH($A880,Market_Daily!$A$6:$A$256,0))*($M880-$A880)/day_count_inr)/(1+INDEX(Market_Daily!$J$6:$J$256,MATCH($A880,Market_Daily!$A$6:$A$256,0))*($M880-$A880)/day_count_usd)))))</f>
        <v/>
      </c>
      <c r="AM880" s="8">
        <f>IF(OR($J880="INR",$R880&gt;1),"",$AL880-$X880)</f>
        <v/>
      </c>
      <c r="AN880" s="8">
        <f>$U880</f>
        <v/>
      </c>
      <c r="AO880" s="8">
        <f>$AN880*IF($J880="INR",1,$AL880)</f>
        <v/>
      </c>
      <c r="AP880" s="18">
        <f>$AO880-$V880</f>
        <v/>
      </c>
      <c r="AQ880" s="8">
        <f>IF(ABS($AP880)&lt;=tol_trade_inr,"PASS","FAIL")</f>
        <v/>
      </c>
    </row>
    <row r="881">
      <c r="A881" s="11" t="n">
        <v>44712</v>
      </c>
      <c r="B881" s="7" t="inlineStr">
        <is>
          <t>T06</t>
        </is>
      </c>
      <c r="C881" s="7" t="inlineStr">
        <is>
          <t>INVENTORY:L1</t>
        </is>
      </c>
      <c r="D881" s="7" t="inlineStr">
        <is>
          <t>INVENTORY</t>
        </is>
      </c>
      <c r="E881" s="7" t="inlineStr">
        <is>
          <t>physical</t>
        </is>
      </c>
      <c r="F881" s="7" t="inlineStr">
        <is>
          <t>L1</t>
        </is>
      </c>
      <c r="H881" s="7" t="inlineStr">
        <is>
          <t>zorba</t>
        </is>
      </c>
      <c r="I881" s="7" t="inlineStr">
        <is>
          <t>JEA_NSA</t>
        </is>
      </c>
      <c r="J881" s="7" t="inlineStr">
        <is>
          <t>INR</t>
        </is>
      </c>
      <c r="K881" s="7" t="inlineStr">
        <is>
          <t>fixed_unsettled</t>
        </is>
      </c>
      <c r="L881" s="7" t="inlineStr">
        <is>
          <t>PNL</t>
        </is>
      </c>
      <c r="N881" s="13" t="n">
        <v>650</v>
      </c>
      <c r="O881" s="6" t="n">
        <v>0</v>
      </c>
      <c r="P881" s="13" t="n">
        <v>0</v>
      </c>
      <c r="Q881" s="22" t="n">
        <v>30</v>
      </c>
      <c r="R881" s="6" t="n">
        <v>0</v>
      </c>
      <c r="U881" s="9" t="n">
        <v>123487305.99</v>
      </c>
      <c r="V881" s="9" t="n">
        <v>123487305.99</v>
      </c>
      <c r="W881" s="9" t="n">
        <v>189980.4708</v>
      </c>
      <c r="X881" s="9" t="n">
        <v>77.69159999999999</v>
      </c>
      <c r="Y881" s="8">
        <f>IF($I881="JEA_NSA","20ft","40ft")</f>
        <v/>
      </c>
      <c r="Z881" s="8">
        <f>IF($I881="JEA_NSA","nsa","mun")</f>
        <v/>
      </c>
      <c r="AA881" s="8">
        <f>INDEX(param_values,MATCH("container_payload_mt_"&amp;$Y881,param_keys,0))/INDEX(param_values,MATCH("container_payload_mt_"&amp;$Y881&amp;"_"&amp;$H881,param_keys,0))</f>
        <v/>
      </c>
      <c r="AB881" s="16">
        <f>INDEX(Market_Daily!$C$6:$C$256,MATCH($A881,Market_Daily!$A$6:$A$256,0))*INDEX(Market_Daily!$X$6:$Z$256,MATCH($A881,Market_Daily!$A$6:$A$256,0),MATCH("grade_factor_"&amp;$H881,Market_Daily!$X$5:$Z$5,0))</f>
        <v/>
      </c>
      <c r="AC881" s="16">
        <f>$AB881*(1+insurance_rate*insured_value_uplift)</f>
        <v/>
      </c>
      <c r="AD881" s="8">
        <f>(INDEX(Market_Daily!$F$6:$F$256,MATCH($A881,Market_Daily!$A$6:$A$256,0))*(1+INDEX(Market_Daily!$I$6:$I$256,MATCH($A881,Market_Daily!$A$6:$A$256,0))*$Q881/day_count_inr)/(1+INDEX(Market_Daily!$J$6:$J$256,MATCH($A881,Market_Daily!$A$6:$A$256,0))*$Q881/day_count_usd))</f>
        <v/>
      </c>
      <c r="AE881" s="18">
        <f>$AC881*$AD881</f>
        <v/>
      </c>
      <c r="AF881" s="18">
        <f>$AC881*INDEX(Market_Daily!$V$6:$V$256,MATCH($A881,Market_Daily!$A$6:$A$256,0))</f>
        <v/>
      </c>
      <c r="AG881" s="18">
        <f>$AF881*bcd_scrap_hs7602*(1+sws_rate_on_bcd)</f>
        <v/>
      </c>
      <c r="AH881" s="18">
        <f>INDEX(param_values,MATCH("port_cf_charges_inr_t_"&amp;$Z881,param_keys,0))*$AA881+IF(INDEX(param_values,MATCH(IF($I881="JEA_NSA","psic_required_uae_origin","psic_required_safe_origin_designated_port"),param_keys,0)),psic_cost_usd_per_box*INDEX(Market_Daily!$F$6:$F$256,MATCH($A881,Market_Daily!$A$6:$A$256,0))/INDEX(param_values,MATCH("container_payload_mt_20ft_"&amp;$H881,param_keys,0)),0)</f>
        <v/>
      </c>
      <c r="AI881" s="18">
        <f>IF(igst_itc_available,0,($AF881+$AG881)*igst_rate_hs7602)</f>
        <v/>
      </c>
      <c r="AJ881" s="18">
        <f>$AE881+$AG881+$AH881+$AI881</f>
        <v/>
      </c>
      <c r="AK881" s="7" t="inlineStr">
        <is>
          <t>DERIVED_IN_WORKBOOK</t>
        </is>
      </c>
      <c r="AL881" s="8">
        <f>IF($J881="INR",1,IF($M881&lt;$A881,INDEX(Market_Daily!$F$6:$F$256,MATCH($M881,Market_Daily!$A$6:$A$256,1)),IF($M881=$A881,INDEX(Market_Daily!$F$6:$F$256,MATCH($A881,Market_Daily!$A$6:$A$256,0)),(INDEX(Market_Daily!$F$6:$F$256,MATCH($A881,Market_Daily!$A$6:$A$256,0))*(1+INDEX(Market_Daily!$I$6:$I$256,MATCH($A881,Market_Daily!$A$6:$A$256,0))*($M881-$A881)/day_count_inr)/(1+INDEX(Market_Daily!$J$6:$J$256,MATCH($A881,Market_Daily!$A$6:$A$256,0))*($M881-$A881)/day_count_usd)))))</f>
        <v/>
      </c>
      <c r="AM881" s="8">
        <f>IF(OR($J881="INR",$R881&gt;1),"",$AL881-$X881)</f>
        <v/>
      </c>
      <c r="AN881" s="8">
        <f>$N881*$AJ881</f>
        <v/>
      </c>
      <c r="AO881" s="8">
        <f>$AN881</f>
        <v/>
      </c>
      <c r="AP881" s="18">
        <f>$AO881-$V881</f>
        <v/>
      </c>
      <c r="AQ881" s="8">
        <f>IF(ABS($AP881)&lt;=tol_trade_inr,"PASS","FAIL")</f>
        <v/>
      </c>
    </row>
    <row r="882">
      <c r="A882" s="11" t="n">
        <v>44712</v>
      </c>
      <c r="B882" s="7" t="inlineStr">
        <is>
          <t>T06</t>
        </is>
      </c>
      <c r="C882" s="7" t="inlineStr">
        <is>
          <t>INVENTORY:L2</t>
        </is>
      </c>
      <c r="D882" s="7" t="inlineStr">
        <is>
          <t>INVENTORY</t>
        </is>
      </c>
      <c r="E882" s="7" t="inlineStr">
        <is>
          <t>physical</t>
        </is>
      </c>
      <c r="F882" s="7" t="inlineStr">
        <is>
          <t>L2</t>
        </is>
      </c>
      <c r="H882" s="7" t="inlineStr">
        <is>
          <t>zorba</t>
        </is>
      </c>
      <c r="I882" s="7" t="inlineStr">
        <is>
          <t>JEA_NSA</t>
        </is>
      </c>
      <c r="J882" s="7" t="inlineStr">
        <is>
          <t>INR</t>
        </is>
      </c>
      <c r="K882" s="7" t="inlineStr">
        <is>
          <t>fixed_unsettled</t>
        </is>
      </c>
      <c r="L882" s="7" t="inlineStr">
        <is>
          <t>PNL</t>
        </is>
      </c>
      <c r="N882" s="13" t="n">
        <v>650</v>
      </c>
      <c r="O882" s="6" t="n">
        <v>0</v>
      </c>
      <c r="P882" s="13" t="n">
        <v>0</v>
      </c>
      <c r="Q882" s="22" t="n">
        <v>30</v>
      </c>
      <c r="R882" s="6" t="n">
        <v>0</v>
      </c>
      <c r="U882" s="9" t="n">
        <v>123487305.99</v>
      </c>
      <c r="V882" s="9" t="n">
        <v>123487305.99</v>
      </c>
      <c r="W882" s="9" t="n">
        <v>189980.4708</v>
      </c>
      <c r="X882" s="9" t="n">
        <v>77.69159999999999</v>
      </c>
      <c r="Y882" s="8">
        <f>IF($I882="JEA_NSA","20ft","40ft")</f>
        <v/>
      </c>
      <c r="Z882" s="8">
        <f>IF($I882="JEA_NSA","nsa","mun")</f>
        <v/>
      </c>
      <c r="AA882" s="8">
        <f>INDEX(param_values,MATCH("container_payload_mt_"&amp;$Y882,param_keys,0))/INDEX(param_values,MATCH("container_payload_mt_"&amp;$Y882&amp;"_"&amp;$H882,param_keys,0))</f>
        <v/>
      </c>
      <c r="AB882" s="16">
        <f>INDEX(Market_Daily!$C$6:$C$256,MATCH($A882,Market_Daily!$A$6:$A$256,0))*INDEX(Market_Daily!$X$6:$Z$256,MATCH($A882,Market_Daily!$A$6:$A$256,0),MATCH("grade_factor_"&amp;$H882,Market_Daily!$X$5:$Z$5,0))</f>
        <v/>
      </c>
      <c r="AC882" s="16">
        <f>$AB882*(1+insurance_rate*insured_value_uplift)</f>
        <v/>
      </c>
      <c r="AD882" s="8">
        <f>(INDEX(Market_Daily!$F$6:$F$256,MATCH($A882,Market_Daily!$A$6:$A$256,0))*(1+INDEX(Market_Daily!$I$6:$I$256,MATCH($A882,Market_Daily!$A$6:$A$256,0))*$Q882/day_count_inr)/(1+INDEX(Market_Daily!$J$6:$J$256,MATCH($A882,Market_Daily!$A$6:$A$256,0))*$Q882/day_count_usd))</f>
        <v/>
      </c>
      <c r="AE882" s="18">
        <f>$AC882*$AD882</f>
        <v/>
      </c>
      <c r="AF882" s="18">
        <f>$AC882*INDEX(Market_Daily!$V$6:$V$256,MATCH($A882,Market_Daily!$A$6:$A$256,0))</f>
        <v/>
      </c>
      <c r="AG882" s="18">
        <f>$AF882*bcd_scrap_hs7602*(1+sws_rate_on_bcd)</f>
        <v/>
      </c>
      <c r="AH882" s="18">
        <f>INDEX(param_values,MATCH("port_cf_charges_inr_t_"&amp;$Z882,param_keys,0))*$AA882+IF(INDEX(param_values,MATCH(IF($I882="JEA_NSA","psic_required_uae_origin","psic_required_safe_origin_designated_port"),param_keys,0)),psic_cost_usd_per_box*INDEX(Market_Daily!$F$6:$F$256,MATCH($A882,Market_Daily!$A$6:$A$256,0))/INDEX(param_values,MATCH("container_payload_mt_20ft_"&amp;$H882,param_keys,0)),0)</f>
        <v/>
      </c>
      <c r="AI882" s="18">
        <f>IF(igst_itc_available,0,($AF882+$AG882)*igst_rate_hs7602)</f>
        <v/>
      </c>
      <c r="AJ882" s="18">
        <f>$AE882+$AG882+$AH882+$AI882</f>
        <v/>
      </c>
      <c r="AK882" s="7" t="inlineStr">
        <is>
          <t>DERIVED_IN_WORKBOOK</t>
        </is>
      </c>
      <c r="AL882" s="8">
        <f>IF($J882="INR",1,IF($M882&lt;$A882,INDEX(Market_Daily!$F$6:$F$256,MATCH($M882,Market_Daily!$A$6:$A$256,1)),IF($M882=$A882,INDEX(Market_Daily!$F$6:$F$256,MATCH($A882,Market_Daily!$A$6:$A$256,0)),(INDEX(Market_Daily!$F$6:$F$256,MATCH($A882,Market_Daily!$A$6:$A$256,0))*(1+INDEX(Market_Daily!$I$6:$I$256,MATCH($A882,Market_Daily!$A$6:$A$256,0))*($M882-$A882)/day_count_inr)/(1+INDEX(Market_Daily!$J$6:$J$256,MATCH($A882,Market_Daily!$A$6:$A$256,0))*($M882-$A882)/day_count_usd)))))</f>
        <v/>
      </c>
      <c r="AM882" s="8">
        <f>IF(OR($J882="INR",$R882&gt;1),"",$AL882-$X882)</f>
        <v/>
      </c>
      <c r="AN882" s="8">
        <f>$N882*$AJ882</f>
        <v/>
      </c>
      <c r="AO882" s="8">
        <f>$AN882</f>
        <v/>
      </c>
      <c r="AP882" s="18">
        <f>$AO882-$V882</f>
        <v/>
      </c>
      <c r="AQ882" s="8">
        <f>IF(ABS($AP882)&lt;=tol_trade_inr,"PASS","FAIL")</f>
        <v/>
      </c>
    </row>
    <row r="883">
      <c r="A883" s="11" t="n">
        <v>44712</v>
      </c>
      <c r="B883" s="7" t="inlineStr">
        <is>
          <t>T06</t>
        </is>
      </c>
      <c r="C883" s="7" t="inlineStr">
        <is>
          <t>MCX:T06-MCX-2</t>
        </is>
      </c>
      <c r="D883" s="7" t="inlineStr">
        <is>
          <t>MCX</t>
        </is>
      </c>
      <c r="E883" s="7" t="inlineStr">
        <is>
          <t>mcx</t>
        </is>
      </c>
      <c r="H883" s="7" t="inlineStr">
        <is>
          <t>zorba</t>
        </is>
      </c>
      <c r="I883" s="7" t="inlineStr">
        <is>
          <t>JEA_NSA</t>
        </is>
      </c>
      <c r="J883" s="7" t="inlineStr">
        <is>
          <t>INR</t>
        </is>
      </c>
      <c r="K883" s="7" t="inlineStr">
        <is>
          <t>partially_fixed</t>
        </is>
      </c>
      <c r="L883" s="7" t="inlineStr">
        <is>
          <t>PNL</t>
        </is>
      </c>
      <c r="M883" s="11" t="n">
        <v>44713</v>
      </c>
      <c r="N883" s="13" t="n">
        <v>0</v>
      </c>
      <c r="O883" s="6" t="n">
        <v>-176</v>
      </c>
      <c r="P883" s="13" t="n">
        <v>0</v>
      </c>
      <c r="Q883" s="22" t="n">
        <v>30</v>
      </c>
      <c r="R883" s="6" t="n">
        <v>9</v>
      </c>
      <c r="U883" s="9" t="n">
        <v>0</v>
      </c>
      <c r="V883" s="9" t="n">
        <v>0</v>
      </c>
      <c r="X883" s="9" t="n">
        <v>77.69159999999999</v>
      </c>
      <c r="AK883" s="7" t="inlineStr">
        <is>
          <t>PYTHON_MULTI_FLOW_LEG</t>
        </is>
      </c>
      <c r="AL883" s="8">
        <f>IF($J883="INR",1,IF($M883&lt;$A883,INDEX(Market_Daily!$F$6:$F$256,MATCH($M883,Market_Daily!$A$6:$A$256,1)),IF($M883=$A883,INDEX(Market_Daily!$F$6:$F$256,MATCH($A883,Market_Daily!$A$6:$A$256,0)),(INDEX(Market_Daily!$F$6:$F$256,MATCH($A883,Market_Daily!$A$6:$A$256,0))*(1+INDEX(Market_Daily!$I$6:$I$256,MATCH($A883,Market_Daily!$A$6:$A$256,0))*($M883-$A883)/day_count_inr)/(1+INDEX(Market_Daily!$J$6:$J$256,MATCH($A883,Market_Daily!$A$6:$A$256,0))*($M883-$A883)/day_count_usd)))))</f>
        <v/>
      </c>
      <c r="AM883" s="8">
        <f>IF(OR($J883="INR",$R883&gt;1),"",$AL883-$X883)</f>
        <v/>
      </c>
      <c r="AN883" s="8">
        <f>$U883</f>
        <v/>
      </c>
      <c r="AO883" s="8">
        <f>$V883</f>
        <v/>
      </c>
      <c r="AP883" s="18">
        <f>$AO883-$V883</f>
        <v/>
      </c>
      <c r="AQ883" s="8">
        <f>IF(ABS($AP883)&lt;=tol_trade_inr,"PASS","FAIL")</f>
        <v/>
      </c>
    </row>
    <row r="884">
      <c r="A884" s="11" t="n">
        <v>44712</v>
      </c>
      <c r="B884" s="7" t="inlineStr">
        <is>
          <t>T06</t>
        </is>
      </c>
      <c r="C884" s="7" t="inlineStr">
        <is>
          <t>PORT:L1</t>
        </is>
      </c>
      <c r="D884" s="7" t="inlineStr">
        <is>
          <t>PORT</t>
        </is>
      </c>
      <c r="E884" s="7" t="inlineStr">
        <is>
          <t>physical</t>
        </is>
      </c>
      <c r="F884" s="7" t="inlineStr">
        <is>
          <t>L1</t>
        </is>
      </c>
      <c r="H884" s="7" t="inlineStr">
        <is>
          <t>zorba</t>
        </is>
      </c>
      <c r="I884" s="7" t="inlineStr">
        <is>
          <t>JEA_NSA</t>
        </is>
      </c>
      <c r="J884" s="7" t="inlineStr">
        <is>
          <t>INR</t>
        </is>
      </c>
      <c r="K884" s="7" t="inlineStr">
        <is>
          <t>fixed_unsettled</t>
        </is>
      </c>
      <c r="L884" s="7" t="inlineStr">
        <is>
          <t>PNL</t>
        </is>
      </c>
      <c r="M884" s="11" t="n">
        <v>44721</v>
      </c>
      <c r="N884" s="13" t="n">
        <v>0</v>
      </c>
      <c r="O884" s="6" t="n">
        <v>0</v>
      </c>
      <c r="P884" s="13" t="n">
        <v>0</v>
      </c>
      <c r="Q884" s="22" t="n">
        <v>30</v>
      </c>
      <c r="R884" s="6" t="n">
        <v>1</v>
      </c>
      <c r="U884" s="9" t="n">
        <v>-1000000</v>
      </c>
      <c r="V884" s="9" t="n">
        <v>-1000000</v>
      </c>
      <c r="X884" s="9" t="n">
        <v>77.69159999999999</v>
      </c>
      <c r="AK884" s="7" t="inlineStr">
        <is>
          <t>PYTHON_LIFECYCLE</t>
        </is>
      </c>
      <c r="AL884" s="8">
        <f>IF($J884="INR",1,IF($M884&lt;$A884,INDEX(Market_Daily!$F$6:$F$256,MATCH($M884,Market_Daily!$A$6:$A$256,1)),IF($M884=$A884,INDEX(Market_Daily!$F$6:$F$256,MATCH($A884,Market_Daily!$A$6:$A$256,0)),(INDEX(Market_Daily!$F$6:$F$256,MATCH($A884,Market_Daily!$A$6:$A$256,0))*(1+INDEX(Market_Daily!$I$6:$I$256,MATCH($A884,Market_Daily!$A$6:$A$256,0))*($M884-$A884)/day_count_inr)/(1+INDEX(Market_Daily!$J$6:$J$256,MATCH($A884,Market_Daily!$A$6:$A$256,0))*($M884-$A884)/day_count_usd)))))</f>
        <v/>
      </c>
      <c r="AM884" s="8">
        <f>IF(OR($J884="INR",$R884&gt;1),"",$AL884-$X884)</f>
        <v/>
      </c>
      <c r="AN884" s="8">
        <f>$U884</f>
        <v/>
      </c>
      <c r="AO884" s="8">
        <f>$AN884*IF($J884="INR",1,$AL884)</f>
        <v/>
      </c>
      <c r="AP884" s="18">
        <f>$AO884-$V884</f>
        <v/>
      </c>
      <c r="AQ884" s="8">
        <f>IF(ABS($AP884)&lt;=tol_trade_inr,"PASS","FAIL")</f>
        <v/>
      </c>
    </row>
    <row r="885">
      <c r="A885" s="11" t="n">
        <v>44712</v>
      </c>
      <c r="B885" s="7" t="inlineStr">
        <is>
          <t>T06</t>
        </is>
      </c>
      <c r="C885" s="7" t="inlineStr">
        <is>
          <t>PORT:L2</t>
        </is>
      </c>
      <c r="D885" s="7" t="inlineStr">
        <is>
          <t>PORT</t>
        </is>
      </c>
      <c r="E885" s="7" t="inlineStr">
        <is>
          <t>physical</t>
        </is>
      </c>
      <c r="F885" s="7" t="inlineStr">
        <is>
          <t>L2</t>
        </is>
      </c>
      <c r="H885" s="7" t="inlineStr">
        <is>
          <t>zorba</t>
        </is>
      </c>
      <c r="I885" s="7" t="inlineStr">
        <is>
          <t>JEA_NSA</t>
        </is>
      </c>
      <c r="J885" s="7" t="inlineStr">
        <is>
          <t>INR</t>
        </is>
      </c>
      <c r="K885" s="7" t="inlineStr">
        <is>
          <t>fixed_unsettled</t>
        </is>
      </c>
      <c r="L885" s="7" t="inlineStr">
        <is>
          <t>PNL</t>
        </is>
      </c>
      <c r="M885" s="11" t="n">
        <v>44734</v>
      </c>
      <c r="N885" s="13" t="n">
        <v>0</v>
      </c>
      <c r="O885" s="6" t="n">
        <v>0</v>
      </c>
      <c r="P885" s="13" t="n">
        <v>0</v>
      </c>
      <c r="Q885" s="22" t="n">
        <v>30</v>
      </c>
      <c r="R885" s="6" t="n">
        <v>1</v>
      </c>
      <c r="U885" s="9" t="n">
        <v>-1000000</v>
      </c>
      <c r="V885" s="9" t="n">
        <v>-1000000</v>
      </c>
      <c r="X885" s="9" t="n">
        <v>77.69159999999999</v>
      </c>
      <c r="AK885" s="7" t="inlineStr">
        <is>
          <t>PYTHON_LIFECYCLE</t>
        </is>
      </c>
      <c r="AL885" s="8">
        <f>IF($J885="INR",1,IF($M885&lt;$A885,INDEX(Market_Daily!$F$6:$F$256,MATCH($M885,Market_Daily!$A$6:$A$256,1)),IF($M885=$A885,INDEX(Market_Daily!$F$6:$F$256,MATCH($A885,Market_Daily!$A$6:$A$256,0)),(INDEX(Market_Daily!$F$6:$F$256,MATCH($A885,Market_Daily!$A$6:$A$256,0))*(1+INDEX(Market_Daily!$I$6:$I$256,MATCH($A885,Market_Daily!$A$6:$A$256,0))*($M885-$A885)/day_count_inr)/(1+INDEX(Market_Daily!$J$6:$J$256,MATCH($A885,Market_Daily!$A$6:$A$256,0))*($M885-$A885)/day_count_usd)))))</f>
        <v/>
      </c>
      <c r="AM885" s="8">
        <f>IF(OR($J885="INR",$R885&gt;1),"",$AL885-$X885)</f>
        <v/>
      </c>
      <c r="AN885" s="8">
        <f>$U885</f>
        <v/>
      </c>
      <c r="AO885" s="8">
        <f>$AN885*IF($J885="INR",1,$AL885)</f>
        <v/>
      </c>
      <c r="AP885" s="18">
        <f>$AO885-$V885</f>
        <v/>
      </c>
      <c r="AQ885" s="8">
        <f>IF(ABS($AP885)&lt;=tol_trade_inr,"PASS","FAIL")</f>
        <v/>
      </c>
    </row>
    <row r="886">
      <c r="A886" s="11" t="n">
        <v>44712</v>
      </c>
      <c r="B886" s="7" t="inlineStr">
        <is>
          <t>T06</t>
        </is>
      </c>
      <c r="C886" s="7" t="inlineStr">
        <is>
          <t>PSIC:L2</t>
        </is>
      </c>
      <c r="D886" s="7" t="inlineStr">
        <is>
          <t>PSIC</t>
        </is>
      </c>
      <c r="E886" s="7" t="inlineStr">
        <is>
          <t>physical</t>
        </is>
      </c>
      <c r="F886" s="7" t="inlineStr">
        <is>
          <t>L2</t>
        </is>
      </c>
      <c r="H886" s="7" t="inlineStr">
        <is>
          <t>zorba</t>
        </is>
      </c>
      <c r="I886" s="7" t="inlineStr">
        <is>
          <t>JEA_NSA</t>
        </is>
      </c>
      <c r="J886" s="7" t="inlineStr">
        <is>
          <t>USD</t>
        </is>
      </c>
      <c r="K886" s="7" t="inlineStr">
        <is>
          <t>floating</t>
        </is>
      </c>
      <c r="L886" s="7" t="inlineStr">
        <is>
          <t>PNL</t>
        </is>
      </c>
      <c r="M886" s="11" t="n">
        <v>44719</v>
      </c>
      <c r="N886" s="13" t="n">
        <v>0</v>
      </c>
      <c r="O886" s="6" t="n">
        <v>0</v>
      </c>
      <c r="P886" s="13" t="n">
        <v>0</v>
      </c>
      <c r="Q886" s="22" t="n">
        <v>30</v>
      </c>
      <c r="R886" s="6" t="n">
        <v>1</v>
      </c>
      <c r="U886" s="9" t="n">
        <v>-1000</v>
      </c>
      <c r="V886" s="9" t="n">
        <v>-77744.99000000001</v>
      </c>
      <c r="X886" s="9" t="n">
        <v>77.745</v>
      </c>
      <c r="AK886" s="7" t="inlineStr">
        <is>
          <t>PYTHON_LIFECYCLE</t>
        </is>
      </c>
      <c r="AL886" s="8">
        <f>IF($J886="INR",1,IF($M886&lt;$A886,INDEX(Market_Daily!$F$6:$F$256,MATCH($M886,Market_Daily!$A$6:$A$256,1)),IF($M886=$A886,INDEX(Market_Daily!$F$6:$F$256,MATCH($A886,Market_Daily!$A$6:$A$256,0)),(INDEX(Market_Daily!$F$6:$F$256,MATCH($A886,Market_Daily!$A$6:$A$256,0))*(1+INDEX(Market_Daily!$I$6:$I$256,MATCH($A886,Market_Daily!$A$6:$A$256,0))*($M886-$A886)/day_count_inr)/(1+INDEX(Market_Daily!$J$6:$J$256,MATCH($A886,Market_Daily!$A$6:$A$256,0))*($M886-$A886)/day_count_usd)))))</f>
        <v/>
      </c>
      <c r="AM886" s="8">
        <f>IF(OR($J886="INR",$R886&gt;1),"",$AL886-$X886)</f>
        <v/>
      </c>
      <c r="AN886" s="8">
        <f>$U886</f>
        <v/>
      </c>
      <c r="AO886" s="8">
        <f>$AN886*IF($J886="INR",1,$AL886)</f>
        <v/>
      </c>
      <c r="AP886" s="18">
        <f>$AO886-$V886</f>
        <v/>
      </c>
      <c r="AQ886" s="8">
        <f>IF(ABS($AP886)&lt;=tol_trade_inr,"PASS","FAIL")</f>
        <v/>
      </c>
    </row>
    <row r="887">
      <c r="A887" s="11" t="n">
        <v>44712</v>
      </c>
      <c r="B887" s="7" t="inlineStr">
        <is>
          <t>T06</t>
        </is>
      </c>
      <c r="C887" s="7" t="inlineStr">
        <is>
          <t>PURCHASE:L1</t>
        </is>
      </c>
      <c r="D887" s="7" t="inlineStr">
        <is>
          <t>PURCHASE</t>
        </is>
      </c>
      <c r="E887" s="7" t="inlineStr">
        <is>
          <t>physical</t>
        </is>
      </c>
      <c r="F887" s="7" t="inlineStr">
        <is>
          <t>L1</t>
        </is>
      </c>
      <c r="G887" s="7" t="inlineStr">
        <is>
          <t>SUP_JEA_01</t>
        </is>
      </c>
      <c r="H887" s="7" t="inlineStr">
        <is>
          <t>zorba</t>
        </is>
      </c>
      <c r="I887" s="7" t="inlineStr">
        <is>
          <t>JEA_NSA</t>
        </is>
      </c>
      <c r="J887" s="7" t="inlineStr">
        <is>
          <t>USD</t>
        </is>
      </c>
      <c r="K887" s="7" t="inlineStr">
        <is>
          <t>fixed_unsettled</t>
        </is>
      </c>
      <c r="L887" s="7" t="inlineStr">
        <is>
          <t>PNL</t>
        </is>
      </c>
      <c r="M887" s="11" t="n">
        <v>44713</v>
      </c>
      <c r="N887" s="13" t="n">
        <v>650</v>
      </c>
      <c r="O887" s="6" t="n">
        <v>0</v>
      </c>
      <c r="P887" s="13" t="n">
        <v>0</v>
      </c>
      <c r="Q887" s="22" t="n">
        <v>30</v>
      </c>
      <c r="R887" s="6" t="n">
        <v>1</v>
      </c>
      <c r="U887" s="9" t="n">
        <v>-1389700</v>
      </c>
      <c r="V887" s="9" t="n">
        <v>-107978618.78</v>
      </c>
      <c r="X887" s="9" t="n">
        <v>77.6992</v>
      </c>
      <c r="AK887" s="7" t="inlineStr">
        <is>
          <t>PYTHON_LIFECYCLE</t>
        </is>
      </c>
      <c r="AL887" s="8">
        <f>IF($J887="INR",1,IF($M887&lt;$A887,INDEX(Market_Daily!$F$6:$F$256,MATCH($M887,Market_Daily!$A$6:$A$256,1)),IF($M887=$A887,INDEX(Market_Daily!$F$6:$F$256,MATCH($A887,Market_Daily!$A$6:$A$256,0)),(INDEX(Market_Daily!$F$6:$F$256,MATCH($A887,Market_Daily!$A$6:$A$256,0))*(1+INDEX(Market_Daily!$I$6:$I$256,MATCH($A887,Market_Daily!$A$6:$A$256,0))*($M887-$A887)/day_count_inr)/(1+INDEX(Market_Daily!$J$6:$J$256,MATCH($A887,Market_Daily!$A$6:$A$256,0))*($M887-$A887)/day_count_usd)))))</f>
        <v/>
      </c>
      <c r="AM887" s="8">
        <f>IF(OR($J887="INR",$R887&gt;1),"",$AL887-$X887)</f>
        <v/>
      </c>
      <c r="AN887" s="8">
        <f>$U887</f>
        <v/>
      </c>
      <c r="AO887" s="8">
        <f>$AN887*IF($J887="INR",1,$AL887)</f>
        <v/>
      </c>
      <c r="AP887" s="18">
        <f>$AO887-$V887</f>
        <v/>
      </c>
      <c r="AQ887" s="8">
        <f>IF(ABS($AP887)&lt;=tol_trade_inr,"PASS","FAIL")</f>
        <v/>
      </c>
    </row>
    <row r="888">
      <c r="A888" s="11" t="n">
        <v>44712</v>
      </c>
      <c r="B888" s="7" t="inlineStr">
        <is>
          <t>T06</t>
        </is>
      </c>
      <c r="C888" s="7" t="inlineStr">
        <is>
          <t>PURCHASE:L2</t>
        </is>
      </c>
      <c r="D888" s="7" t="inlineStr">
        <is>
          <t>PURCHASE</t>
        </is>
      </c>
      <c r="E888" s="7" t="inlineStr">
        <is>
          <t>physical</t>
        </is>
      </c>
      <c r="F888" s="7" t="inlineStr">
        <is>
          <t>L2</t>
        </is>
      </c>
      <c r="G888" s="7" t="inlineStr">
        <is>
          <t>SUP_JEA_01</t>
        </is>
      </c>
      <c r="H888" s="7" t="inlineStr">
        <is>
          <t>zorba</t>
        </is>
      </c>
      <c r="I888" s="7" t="inlineStr">
        <is>
          <t>JEA_NSA</t>
        </is>
      </c>
      <c r="J888" s="7" t="inlineStr">
        <is>
          <t>USD</t>
        </is>
      </c>
      <c r="K888" s="7" t="inlineStr">
        <is>
          <t>fixed_unsettled</t>
        </is>
      </c>
      <c r="L888" s="7" t="inlineStr">
        <is>
          <t>PNL</t>
        </is>
      </c>
      <c r="M888" s="11" t="n">
        <v>44726</v>
      </c>
      <c r="N888" s="13" t="n">
        <v>650</v>
      </c>
      <c r="O888" s="6" t="n">
        <v>0</v>
      </c>
      <c r="P888" s="13" t="n">
        <v>0</v>
      </c>
      <c r="Q888" s="22" t="n">
        <v>30</v>
      </c>
      <c r="R888" s="6" t="n">
        <v>1</v>
      </c>
      <c r="U888" s="9" t="n">
        <v>-1389700</v>
      </c>
      <c r="V888" s="9" t="n">
        <v>-108116387.46</v>
      </c>
      <c r="X888" s="9" t="n">
        <v>77.7984</v>
      </c>
      <c r="AK888" s="7" t="inlineStr">
        <is>
          <t>PYTHON_LIFECYCLE</t>
        </is>
      </c>
      <c r="AL888" s="8">
        <f>IF($J888="INR",1,IF($M888&lt;$A888,INDEX(Market_Daily!$F$6:$F$256,MATCH($M888,Market_Daily!$A$6:$A$256,1)),IF($M888=$A888,INDEX(Market_Daily!$F$6:$F$256,MATCH($A888,Market_Daily!$A$6:$A$256,0)),(INDEX(Market_Daily!$F$6:$F$256,MATCH($A888,Market_Daily!$A$6:$A$256,0))*(1+INDEX(Market_Daily!$I$6:$I$256,MATCH($A888,Market_Daily!$A$6:$A$256,0))*($M888-$A888)/day_count_inr)/(1+INDEX(Market_Daily!$J$6:$J$256,MATCH($A888,Market_Daily!$A$6:$A$256,0))*($M888-$A888)/day_count_usd)))))</f>
        <v/>
      </c>
      <c r="AM888" s="8">
        <f>IF(OR($J888="INR",$R888&gt;1),"",$AL888-$X888)</f>
        <v/>
      </c>
      <c r="AN888" s="8">
        <f>$U888</f>
        <v/>
      </c>
      <c r="AO888" s="8">
        <f>$AN888*IF($J888="INR",1,$AL888)</f>
        <v/>
      </c>
      <c r="AP888" s="18">
        <f>$AO888-$V888</f>
        <v/>
      </c>
      <c r="AQ888" s="8">
        <f>IF(ABS($AP888)&lt;=tol_trade_inr,"PASS","FAIL")</f>
        <v/>
      </c>
    </row>
    <row r="889">
      <c r="A889" s="11" t="n">
        <v>44712</v>
      </c>
      <c r="B889" s="7" t="inlineStr">
        <is>
          <t>T07</t>
        </is>
      </c>
      <c r="C889" s="7" t="inlineStr">
        <is>
          <t>BILL_COMMISSION:L1</t>
        </is>
      </c>
      <c r="D889" s="7" t="inlineStr">
        <is>
          <t>BILL_COMMISSION</t>
        </is>
      </c>
      <c r="E889" s="7" t="inlineStr">
        <is>
          <t>physical</t>
        </is>
      </c>
      <c r="F889" s="7" t="inlineStr">
        <is>
          <t>L1</t>
        </is>
      </c>
      <c r="H889" s="7" t="inlineStr">
        <is>
          <t>tense</t>
        </is>
      </c>
      <c r="I889" s="7" t="inlineStr">
        <is>
          <t>USEC_MUN</t>
        </is>
      </c>
      <c r="J889" s="7" t="inlineStr">
        <is>
          <t>USD</t>
        </is>
      </c>
      <c r="K889" s="7" t="inlineStr">
        <is>
          <t>floating</t>
        </is>
      </c>
      <c r="L889" s="7" t="inlineStr">
        <is>
          <t>PNL</t>
        </is>
      </c>
      <c r="M889" s="11" t="n">
        <v>44727</v>
      </c>
      <c r="N889" s="13" t="n">
        <v>0</v>
      </c>
      <c r="O889" s="6" t="n">
        <v>0</v>
      </c>
      <c r="P889" s="13" t="n">
        <v>0</v>
      </c>
      <c r="Q889" s="22" t="n">
        <v>30</v>
      </c>
      <c r="R889" s="6" t="n">
        <v>1</v>
      </c>
      <c r="U889" s="9" t="n">
        <v>-2365.52</v>
      </c>
      <c r="V889" s="9" t="n">
        <v>-184051.93</v>
      </c>
      <c r="X889" s="9" t="n">
        <v>77.806</v>
      </c>
      <c r="AK889" s="7" t="inlineStr">
        <is>
          <t>PYTHON_LIFECYCLE</t>
        </is>
      </c>
      <c r="AL889" s="8">
        <f>IF($J889="INR",1,IF($M889&lt;$A889,INDEX(Market_Daily!$F$6:$F$256,MATCH($M889,Market_Daily!$A$6:$A$256,1)),IF($M889=$A889,INDEX(Market_Daily!$F$6:$F$256,MATCH($A889,Market_Daily!$A$6:$A$256,0)),(INDEX(Market_Daily!$F$6:$F$256,MATCH($A889,Market_Daily!$A$6:$A$256,0))*(1+INDEX(Market_Daily!$I$6:$I$256,MATCH($A889,Market_Daily!$A$6:$A$256,0))*($M889-$A889)/day_count_inr)/(1+INDEX(Market_Daily!$J$6:$J$256,MATCH($A889,Market_Daily!$A$6:$A$256,0))*($M889-$A889)/day_count_usd)))))</f>
        <v/>
      </c>
      <c r="AM889" s="8">
        <f>IF(OR($J889="INR",$R889&gt;1),"",$AL889-$X889)</f>
        <v/>
      </c>
      <c r="AN889" s="8">
        <f>$U889</f>
        <v/>
      </c>
      <c r="AO889" s="8">
        <f>$AN889*IF($J889="INR",1,$AL889)</f>
        <v/>
      </c>
      <c r="AP889" s="18">
        <f>$AO889-$V889</f>
        <v/>
      </c>
      <c r="AQ889" s="8">
        <f>IF(ABS($AP889)&lt;=tol_trade_inr,"PASS","FAIL")</f>
        <v/>
      </c>
    </row>
    <row r="890">
      <c r="A890" s="11" t="n">
        <v>44712</v>
      </c>
      <c r="B890" s="7" t="inlineStr">
        <is>
          <t>T07</t>
        </is>
      </c>
      <c r="C890" s="7" t="inlineStr">
        <is>
          <t>BILL_COMMISSION:L2</t>
        </is>
      </c>
      <c r="D890" s="7" t="inlineStr">
        <is>
          <t>BILL_COMMISSION</t>
        </is>
      </c>
      <c r="E890" s="7" t="inlineStr">
        <is>
          <t>physical</t>
        </is>
      </c>
      <c r="F890" s="7" t="inlineStr">
        <is>
          <t>L2</t>
        </is>
      </c>
      <c r="H890" s="7" t="inlineStr">
        <is>
          <t>tense</t>
        </is>
      </c>
      <c r="I890" s="7" t="inlineStr">
        <is>
          <t>USEC_MUN</t>
        </is>
      </c>
      <c r="J890" s="7" t="inlineStr">
        <is>
          <t>USD</t>
        </is>
      </c>
      <c r="K890" s="7" t="inlineStr">
        <is>
          <t>floating</t>
        </is>
      </c>
      <c r="L890" s="7" t="inlineStr">
        <is>
          <t>PNL</t>
        </is>
      </c>
      <c r="M890" s="11" t="n">
        <v>44734</v>
      </c>
      <c r="N890" s="13" t="n">
        <v>0</v>
      </c>
      <c r="O890" s="6" t="n">
        <v>0</v>
      </c>
      <c r="P890" s="13" t="n">
        <v>0</v>
      </c>
      <c r="Q890" s="22" t="n">
        <v>30</v>
      </c>
      <c r="R890" s="6" t="n">
        <v>1</v>
      </c>
      <c r="U890" s="9" t="n">
        <v>-2365.52</v>
      </c>
      <c r="V890" s="9" t="n">
        <v>-184178.12</v>
      </c>
      <c r="X890" s="9" t="n">
        <v>77.8593</v>
      </c>
      <c r="AK890" s="7" t="inlineStr">
        <is>
          <t>PYTHON_LIFECYCLE</t>
        </is>
      </c>
      <c r="AL890" s="8">
        <f>IF($J890="INR",1,IF($M890&lt;$A890,INDEX(Market_Daily!$F$6:$F$256,MATCH($M890,Market_Daily!$A$6:$A$256,1)),IF($M890=$A890,INDEX(Market_Daily!$F$6:$F$256,MATCH($A890,Market_Daily!$A$6:$A$256,0)),(INDEX(Market_Daily!$F$6:$F$256,MATCH($A890,Market_Daily!$A$6:$A$256,0))*(1+INDEX(Market_Daily!$I$6:$I$256,MATCH($A890,Market_Daily!$A$6:$A$256,0))*($M890-$A890)/day_count_inr)/(1+INDEX(Market_Daily!$J$6:$J$256,MATCH($A890,Market_Daily!$A$6:$A$256,0))*($M890-$A890)/day_count_usd)))))</f>
        <v/>
      </c>
      <c r="AM890" s="8">
        <f>IF(OR($J890="INR",$R890&gt;1),"",$AL890-$X890)</f>
        <v/>
      </c>
      <c r="AN890" s="8">
        <f>$U890</f>
        <v/>
      </c>
      <c r="AO890" s="8">
        <f>$AN890*IF($J890="INR",1,$AL890)</f>
        <v/>
      </c>
      <c r="AP890" s="18">
        <f>$AO890-$V890</f>
        <v/>
      </c>
      <c r="AQ890" s="8">
        <f>IF(ABS($AP890)&lt;=tol_trade_inr,"PASS","FAIL")</f>
        <v/>
      </c>
    </row>
    <row r="891">
      <c r="A891" s="11" t="n">
        <v>44712</v>
      </c>
      <c r="B891" s="7" t="inlineStr">
        <is>
          <t>T07</t>
        </is>
      </c>
      <c r="C891" s="7" t="inlineStr">
        <is>
          <t>DUTY:L1</t>
        </is>
      </c>
      <c r="D891" s="7" t="inlineStr">
        <is>
          <t>DUTY</t>
        </is>
      </c>
      <c r="E891" s="7" t="inlineStr">
        <is>
          <t>physical</t>
        </is>
      </c>
      <c r="F891" s="7" t="inlineStr">
        <is>
          <t>L1</t>
        </is>
      </c>
      <c r="H891" s="7" t="inlineStr">
        <is>
          <t>tense</t>
        </is>
      </c>
      <c r="I891" s="7" t="inlineStr">
        <is>
          <t>USEC_MUN</t>
        </is>
      </c>
      <c r="J891" s="7" t="inlineStr">
        <is>
          <t>INR</t>
        </is>
      </c>
      <c r="K891" s="7" t="inlineStr">
        <is>
          <t>floating</t>
        </is>
      </c>
      <c r="L891" s="7" t="inlineStr">
        <is>
          <t>PNL</t>
        </is>
      </c>
      <c r="M891" s="11" t="n">
        <v>44761</v>
      </c>
      <c r="N891" s="13" t="n">
        <v>945</v>
      </c>
      <c r="O891" s="6" t="n">
        <v>0</v>
      </c>
      <c r="P891" s="13" t="n">
        <v>0</v>
      </c>
      <c r="Q891" s="22" t="n">
        <v>30</v>
      </c>
      <c r="R891" s="6" t="n">
        <v>1</v>
      </c>
      <c r="U891" s="9" t="n">
        <v>-4450598.63</v>
      </c>
      <c r="V891" s="9" t="n">
        <v>-4450598.63</v>
      </c>
      <c r="X891" s="9" t="n">
        <v>77.69159999999999</v>
      </c>
      <c r="AK891" s="7" t="inlineStr">
        <is>
          <t>PYTHON_LIFECYCLE</t>
        </is>
      </c>
      <c r="AL891" s="8">
        <f>IF($J891="INR",1,IF($M891&lt;$A891,INDEX(Market_Daily!$F$6:$F$256,MATCH($M891,Market_Daily!$A$6:$A$256,1)),IF($M891=$A891,INDEX(Market_Daily!$F$6:$F$256,MATCH($A891,Market_Daily!$A$6:$A$256,0)),(INDEX(Market_Daily!$F$6:$F$256,MATCH($A891,Market_Daily!$A$6:$A$256,0))*(1+INDEX(Market_Daily!$I$6:$I$256,MATCH($A891,Market_Daily!$A$6:$A$256,0))*($M891-$A891)/day_count_inr)/(1+INDEX(Market_Daily!$J$6:$J$256,MATCH($A891,Market_Daily!$A$6:$A$256,0))*($M891-$A891)/day_count_usd)))))</f>
        <v/>
      </c>
      <c r="AM891" s="8">
        <f>IF(OR($J891="INR",$R891&gt;1),"",$AL891-$X891)</f>
        <v/>
      </c>
      <c r="AN891" s="8">
        <f>$U891</f>
        <v/>
      </c>
      <c r="AO891" s="8">
        <f>$AN891*IF($J891="INR",1,$AL891)</f>
        <v/>
      </c>
      <c r="AP891" s="18">
        <f>$AO891-$V891</f>
        <v/>
      </c>
      <c r="AQ891" s="8">
        <f>IF(ABS($AP891)&lt;=tol_trade_inr,"PASS","FAIL")</f>
        <v/>
      </c>
    </row>
    <row r="892">
      <c r="A892" s="11" t="n">
        <v>44712</v>
      </c>
      <c r="B892" s="7" t="inlineStr">
        <is>
          <t>T07</t>
        </is>
      </c>
      <c r="C892" s="7" t="inlineStr">
        <is>
          <t>DUTY:L2</t>
        </is>
      </c>
      <c r="D892" s="7" t="inlineStr">
        <is>
          <t>DUTY</t>
        </is>
      </c>
      <c r="E892" s="7" t="inlineStr">
        <is>
          <t>physical</t>
        </is>
      </c>
      <c r="F892" s="7" t="inlineStr">
        <is>
          <t>L2</t>
        </is>
      </c>
      <c r="H892" s="7" t="inlineStr">
        <is>
          <t>tense</t>
        </is>
      </c>
      <c r="I892" s="7" t="inlineStr">
        <is>
          <t>USEC_MUN</t>
        </is>
      </c>
      <c r="J892" s="7" t="inlineStr">
        <is>
          <t>INR</t>
        </is>
      </c>
      <c r="K892" s="7" t="inlineStr">
        <is>
          <t>floating</t>
        </is>
      </c>
      <c r="L892" s="7" t="inlineStr">
        <is>
          <t>PNL</t>
        </is>
      </c>
      <c r="M892" s="11" t="n">
        <v>44768</v>
      </c>
      <c r="N892" s="13" t="n">
        <v>945</v>
      </c>
      <c r="O892" s="6" t="n">
        <v>0</v>
      </c>
      <c r="P892" s="13" t="n">
        <v>0</v>
      </c>
      <c r="Q892" s="22" t="n">
        <v>30</v>
      </c>
      <c r="R892" s="6" t="n">
        <v>1</v>
      </c>
      <c r="U892" s="9" t="n">
        <v>-4450598.63</v>
      </c>
      <c r="V892" s="9" t="n">
        <v>-4450598.63</v>
      </c>
      <c r="X892" s="9" t="n">
        <v>77.69159999999999</v>
      </c>
      <c r="AK892" s="7" t="inlineStr">
        <is>
          <t>PYTHON_LIFECYCLE</t>
        </is>
      </c>
      <c r="AL892" s="8">
        <f>IF($J892="INR",1,IF($M892&lt;$A892,INDEX(Market_Daily!$F$6:$F$256,MATCH($M892,Market_Daily!$A$6:$A$256,1)),IF($M892=$A892,INDEX(Market_Daily!$F$6:$F$256,MATCH($A892,Market_Daily!$A$6:$A$256,0)),(INDEX(Market_Daily!$F$6:$F$256,MATCH($A892,Market_Daily!$A$6:$A$256,0))*(1+INDEX(Market_Daily!$I$6:$I$256,MATCH($A892,Market_Daily!$A$6:$A$256,0))*($M892-$A892)/day_count_inr)/(1+INDEX(Market_Daily!$J$6:$J$256,MATCH($A892,Market_Daily!$A$6:$A$256,0))*($M892-$A892)/day_count_usd)))))</f>
        <v/>
      </c>
      <c r="AM892" s="8">
        <f>IF(OR($J892="INR",$R892&gt;1),"",$AL892-$X892)</f>
        <v/>
      </c>
      <c r="AN892" s="8">
        <f>$U892</f>
        <v/>
      </c>
      <c r="AO892" s="8">
        <f>$AN892*IF($J892="INR",1,$AL892)</f>
        <v/>
      </c>
      <c r="AP892" s="18">
        <f>$AO892-$V892</f>
        <v/>
      </c>
      <c r="AQ892" s="8">
        <f>IF(ABS($AP892)&lt;=tol_trade_inr,"PASS","FAIL")</f>
        <v/>
      </c>
    </row>
    <row r="893">
      <c r="A893" s="11" t="n">
        <v>44712</v>
      </c>
      <c r="B893" s="7" t="inlineStr">
        <is>
          <t>T07</t>
        </is>
      </c>
      <c r="C893" s="7" t="inlineStr">
        <is>
          <t>FREIGHT:L1</t>
        </is>
      </c>
      <c r="D893" s="7" t="inlineStr">
        <is>
          <t>FREIGHT</t>
        </is>
      </c>
      <c r="E893" s="7" t="inlineStr">
        <is>
          <t>physical</t>
        </is>
      </c>
      <c r="F893" s="7" t="inlineStr">
        <is>
          <t>L1</t>
        </is>
      </c>
      <c r="G893" s="7" t="inlineStr">
        <is>
          <t>Konkan Freight Services (SIM)</t>
        </is>
      </c>
      <c r="H893" s="7" t="inlineStr">
        <is>
          <t>tense</t>
        </is>
      </c>
      <c r="I893" s="7" t="inlineStr">
        <is>
          <t>USEC_MUN</t>
        </is>
      </c>
      <c r="J893" s="7" t="inlineStr">
        <is>
          <t>USD</t>
        </is>
      </c>
      <c r="K893" s="7" t="inlineStr">
        <is>
          <t>fixed_unsettled</t>
        </is>
      </c>
      <c r="L893" s="7" t="inlineStr">
        <is>
          <t>PNL</t>
        </is>
      </c>
      <c r="M893" s="11" t="n">
        <v>44720</v>
      </c>
      <c r="N893" s="13" t="n">
        <v>945</v>
      </c>
      <c r="O893" s="6" t="n">
        <v>0</v>
      </c>
      <c r="P893" s="13" t="n">
        <v>0</v>
      </c>
      <c r="Q893" s="22" t="n">
        <v>30</v>
      </c>
      <c r="R893" s="6" t="n">
        <v>1</v>
      </c>
      <c r="U893" s="9" t="n">
        <v>-85500</v>
      </c>
      <c r="V893" s="9" t="n">
        <v>-6647849.01</v>
      </c>
      <c r="X893" s="9" t="n">
        <v>77.7526</v>
      </c>
      <c r="AK893" s="7" t="inlineStr">
        <is>
          <t>PYTHON_LIFECYCLE</t>
        </is>
      </c>
      <c r="AL893" s="8">
        <f>IF($J893="INR",1,IF($M893&lt;$A893,INDEX(Market_Daily!$F$6:$F$256,MATCH($M893,Market_Daily!$A$6:$A$256,1)),IF($M893=$A893,INDEX(Market_Daily!$F$6:$F$256,MATCH($A893,Market_Daily!$A$6:$A$256,0)),(INDEX(Market_Daily!$F$6:$F$256,MATCH($A893,Market_Daily!$A$6:$A$256,0))*(1+INDEX(Market_Daily!$I$6:$I$256,MATCH($A893,Market_Daily!$A$6:$A$256,0))*($M893-$A893)/day_count_inr)/(1+INDEX(Market_Daily!$J$6:$J$256,MATCH($A893,Market_Daily!$A$6:$A$256,0))*($M893-$A893)/day_count_usd)))))</f>
        <v/>
      </c>
      <c r="AM893" s="8">
        <f>IF(OR($J893="INR",$R893&gt;1),"",$AL893-$X893)</f>
        <v/>
      </c>
      <c r="AN893" s="8">
        <f>$U893</f>
        <v/>
      </c>
      <c r="AO893" s="8">
        <f>$AN893*IF($J893="INR",1,$AL893)</f>
        <v/>
      </c>
      <c r="AP893" s="18">
        <f>$AO893-$V893</f>
        <v/>
      </c>
      <c r="AQ893" s="8">
        <f>IF(ABS($AP893)&lt;=tol_trade_inr,"PASS","FAIL")</f>
        <v/>
      </c>
    </row>
    <row r="894">
      <c r="A894" s="11" t="n">
        <v>44712</v>
      </c>
      <c r="B894" s="7" t="inlineStr">
        <is>
          <t>T07</t>
        </is>
      </c>
      <c r="C894" s="7" t="inlineStr">
        <is>
          <t>FREIGHT:L2</t>
        </is>
      </c>
      <c r="D894" s="7" t="inlineStr">
        <is>
          <t>FREIGHT</t>
        </is>
      </c>
      <c r="E894" s="7" t="inlineStr">
        <is>
          <t>physical</t>
        </is>
      </c>
      <c r="F894" s="7" t="inlineStr">
        <is>
          <t>L2</t>
        </is>
      </c>
      <c r="G894" s="7" t="inlineStr">
        <is>
          <t>Konkan Freight Services (SIM)</t>
        </is>
      </c>
      <c r="H894" s="7" t="inlineStr">
        <is>
          <t>tense</t>
        </is>
      </c>
      <c r="I894" s="7" t="inlineStr">
        <is>
          <t>USEC_MUN</t>
        </is>
      </c>
      <c r="J894" s="7" t="inlineStr">
        <is>
          <t>USD</t>
        </is>
      </c>
      <c r="K894" s="7" t="inlineStr">
        <is>
          <t>fixed_unsettled</t>
        </is>
      </c>
      <c r="L894" s="7" t="inlineStr">
        <is>
          <t>PNL</t>
        </is>
      </c>
      <c r="M894" s="11" t="n">
        <v>44727</v>
      </c>
      <c r="N894" s="13" t="n">
        <v>945</v>
      </c>
      <c r="O894" s="6" t="n">
        <v>0</v>
      </c>
      <c r="P894" s="13" t="n">
        <v>0</v>
      </c>
      <c r="Q894" s="22" t="n">
        <v>30</v>
      </c>
      <c r="R894" s="6" t="n">
        <v>1</v>
      </c>
      <c r="U894" s="9" t="n">
        <v>-85500</v>
      </c>
      <c r="V894" s="9" t="n">
        <v>-6652411.9</v>
      </c>
      <c r="X894" s="9" t="n">
        <v>77.806</v>
      </c>
      <c r="AK894" s="7" t="inlineStr">
        <is>
          <t>PYTHON_LIFECYCLE</t>
        </is>
      </c>
      <c r="AL894" s="8">
        <f>IF($J894="INR",1,IF($M894&lt;$A894,INDEX(Market_Daily!$F$6:$F$256,MATCH($M894,Market_Daily!$A$6:$A$256,1)),IF($M894=$A894,INDEX(Market_Daily!$F$6:$F$256,MATCH($A894,Market_Daily!$A$6:$A$256,0)),(INDEX(Market_Daily!$F$6:$F$256,MATCH($A894,Market_Daily!$A$6:$A$256,0))*(1+INDEX(Market_Daily!$I$6:$I$256,MATCH($A894,Market_Daily!$A$6:$A$256,0))*($M894-$A894)/day_count_inr)/(1+INDEX(Market_Daily!$J$6:$J$256,MATCH($A894,Market_Daily!$A$6:$A$256,0))*($M894-$A894)/day_count_usd)))))</f>
        <v/>
      </c>
      <c r="AM894" s="8">
        <f>IF(OR($J894="INR",$R894&gt;1),"",$AL894-$X894)</f>
        <v/>
      </c>
      <c r="AN894" s="8">
        <f>$U894</f>
        <v/>
      </c>
      <c r="AO894" s="8">
        <f>$AN894*IF($J894="INR",1,$AL894)</f>
        <v/>
      </c>
      <c r="AP894" s="18">
        <f>$AO894-$V894</f>
        <v/>
      </c>
      <c r="AQ894" s="8">
        <f>IF(ABS($AP894)&lt;=tol_trade_inr,"PASS","FAIL")</f>
        <v/>
      </c>
    </row>
    <row r="895">
      <c r="A895" s="11" t="n">
        <v>44712</v>
      </c>
      <c r="B895" s="7" t="inlineStr">
        <is>
          <t>T07</t>
        </is>
      </c>
      <c r="C895" s="7" t="inlineStr">
        <is>
          <t>FX:T07-FX-3</t>
        </is>
      </c>
      <c r="D895" s="7" t="inlineStr">
        <is>
          <t>FX</t>
        </is>
      </c>
      <c r="E895" s="7" t="inlineStr">
        <is>
          <t>fx_forward</t>
        </is>
      </c>
      <c r="H895" s="7" t="inlineStr">
        <is>
          <t>tense</t>
        </is>
      </c>
      <c r="I895" s="7" t="inlineStr">
        <is>
          <t>USEC_MUN</t>
        </is>
      </c>
      <c r="J895" s="7" t="inlineStr">
        <is>
          <t>INR</t>
        </is>
      </c>
      <c r="K895" s="7" t="inlineStr">
        <is>
          <t>floating</t>
        </is>
      </c>
      <c r="L895" s="7" t="inlineStr">
        <is>
          <t>PNL</t>
        </is>
      </c>
      <c r="M895" s="11" t="n">
        <v>44727</v>
      </c>
      <c r="N895" s="13" t="n">
        <v>0</v>
      </c>
      <c r="O895" s="6" t="n">
        <v>0</v>
      </c>
      <c r="P895" s="13" t="n">
        <v>171000</v>
      </c>
      <c r="Q895" s="22" t="n">
        <v>30</v>
      </c>
      <c r="R895" s="6" t="n">
        <v>1</v>
      </c>
      <c r="S895" s="12" t="n">
        <v>44727</v>
      </c>
      <c r="T895" s="21" t="n">
        <v>77.837011</v>
      </c>
      <c r="U895" s="9" t="n">
        <v>-5305.08</v>
      </c>
      <c r="V895" s="9" t="n">
        <v>-5305.08</v>
      </c>
      <c r="X895" s="9" t="n">
        <v>77.69159999999999</v>
      </c>
      <c r="AK895" s="7" t="inlineStr">
        <is>
          <t>DERIVED_IN_WORKBOOK</t>
        </is>
      </c>
      <c r="AL895" s="8">
        <f>IF($J895="INR",1,IF($M895&lt;$A895,INDEX(Market_Daily!$F$6:$F$256,MATCH($M895,Market_Daily!$A$6:$A$256,1)),IF($M895=$A895,INDEX(Market_Daily!$F$6:$F$256,MATCH($A895,Market_Daily!$A$6:$A$256,0)),(INDEX(Market_Daily!$F$6:$F$256,MATCH($A895,Market_Daily!$A$6:$A$256,0))*(1+INDEX(Market_Daily!$I$6:$I$256,MATCH($A895,Market_Daily!$A$6:$A$256,0))*($M895-$A895)/day_count_inr)/(1+INDEX(Market_Daily!$J$6:$J$256,MATCH($A895,Market_Daily!$A$6:$A$256,0))*($M895-$A895)/day_count_usd)))))</f>
        <v/>
      </c>
      <c r="AM895" s="8">
        <f>IF(OR($J895="INR",$R895&gt;1),"",$AL895-$X895)</f>
        <v/>
      </c>
      <c r="AN895" s="8">
        <f>$P895*(IF($S895&lt;$A895,INDEX(Market_Daily!$F$6:$F$256,MATCH($S895,Market_Daily!$A$6:$A$256,1)),IF($S895=$A895,INDEX(Market_Daily!$F$6:$F$256,MATCH($A895,Market_Daily!$A$6:$A$256,0)),(INDEX(Market_Daily!$F$6:$F$256,MATCH($A895,Market_Daily!$A$6:$A$256,0))*(1+INDEX(Market_Daily!$I$6:$I$256,MATCH($A895,Market_Daily!$A$6:$A$256,0))*($S895-$A895)/day_count_inr)/(1+INDEX(Market_Daily!$J$6:$J$256,MATCH($A895,Market_Daily!$A$6:$A$256,0))*($S895-$A895)/day_count_usd))))-$T895)</f>
        <v/>
      </c>
      <c r="AO895" s="8">
        <f>$AN895</f>
        <v/>
      </c>
      <c r="AP895" s="18">
        <f>$AO895-$V895</f>
        <v/>
      </c>
      <c r="AQ895" s="8">
        <f>IF(ABS($AP895)&lt;=tol_trade_inr,"PASS","FAIL")</f>
        <v/>
      </c>
    </row>
    <row r="896">
      <c r="A896" s="11" t="n">
        <v>44712</v>
      </c>
      <c r="B896" s="7" t="inlineStr">
        <is>
          <t>T07</t>
        </is>
      </c>
      <c r="C896" s="7" t="inlineStr">
        <is>
          <t>IGST:L1</t>
        </is>
      </c>
      <c r="D896" s="7" t="inlineStr">
        <is>
          <t>IGST</t>
        </is>
      </c>
      <c r="E896" s="7" t="inlineStr">
        <is>
          <t>physical</t>
        </is>
      </c>
      <c r="F896" s="7" t="inlineStr">
        <is>
          <t>L1</t>
        </is>
      </c>
      <c r="H896" s="7" t="inlineStr">
        <is>
          <t>tense</t>
        </is>
      </c>
      <c r="I896" s="7" t="inlineStr">
        <is>
          <t>USEC_MUN</t>
        </is>
      </c>
      <c r="J896" s="7" t="inlineStr">
        <is>
          <t>INR</t>
        </is>
      </c>
      <c r="K896" s="7" t="inlineStr">
        <is>
          <t>floating</t>
        </is>
      </c>
      <c r="L896" s="7" t="inlineStr">
        <is>
          <t>BS</t>
        </is>
      </c>
      <c r="M896" s="11" t="n">
        <v>44806</v>
      </c>
      <c r="N896" s="13" t="n">
        <v>0</v>
      </c>
      <c r="O896" s="6" t="n">
        <v>0</v>
      </c>
      <c r="P896" s="13" t="n">
        <v>0</v>
      </c>
      <c r="Q896" s="22" t="n">
        <v>30</v>
      </c>
      <c r="R896" s="6" t="n">
        <v>2</v>
      </c>
      <c r="U896" s="9" t="n">
        <v>0</v>
      </c>
      <c r="V896" s="9" t="n">
        <v>0</v>
      </c>
      <c r="X896" s="9" t="n">
        <v>77.69159999999999</v>
      </c>
      <c r="AK896" s="7" t="inlineStr">
        <is>
          <t>PYTHON_MULTI_FLOW_LEG</t>
        </is>
      </c>
      <c r="AL896" s="8">
        <f>IF($J896="INR",1,IF($M896&lt;$A896,INDEX(Market_Daily!$F$6:$F$256,MATCH($M896,Market_Daily!$A$6:$A$256,1)),IF($M896=$A896,INDEX(Market_Daily!$F$6:$F$256,MATCH($A896,Market_Daily!$A$6:$A$256,0)),(INDEX(Market_Daily!$F$6:$F$256,MATCH($A896,Market_Daily!$A$6:$A$256,0))*(1+INDEX(Market_Daily!$I$6:$I$256,MATCH($A896,Market_Daily!$A$6:$A$256,0))*($M896-$A896)/day_count_inr)/(1+INDEX(Market_Daily!$J$6:$J$256,MATCH($A896,Market_Daily!$A$6:$A$256,0))*($M896-$A896)/day_count_usd)))))</f>
        <v/>
      </c>
      <c r="AM896" s="8">
        <f>IF(OR($J896="INR",$R896&gt;1),"",$AL896-$X896)</f>
        <v/>
      </c>
      <c r="AN896" s="8">
        <f>$U896</f>
        <v/>
      </c>
      <c r="AO896" s="8">
        <f>$V896</f>
        <v/>
      </c>
      <c r="AP896" s="18">
        <f>$AO896-$V896</f>
        <v/>
      </c>
      <c r="AQ896" s="8">
        <f>IF(ABS($AP896)&lt;=tol_trade_inr,"PASS","FAIL")</f>
        <v/>
      </c>
    </row>
    <row r="897">
      <c r="A897" s="11" t="n">
        <v>44712</v>
      </c>
      <c r="B897" s="7" t="inlineStr">
        <is>
          <t>T07</t>
        </is>
      </c>
      <c r="C897" s="7" t="inlineStr">
        <is>
          <t>IGST:L2</t>
        </is>
      </c>
      <c r="D897" s="7" t="inlineStr">
        <is>
          <t>IGST</t>
        </is>
      </c>
      <c r="E897" s="7" t="inlineStr">
        <is>
          <t>physical</t>
        </is>
      </c>
      <c r="F897" s="7" t="inlineStr">
        <is>
          <t>L2</t>
        </is>
      </c>
      <c r="H897" s="7" t="inlineStr">
        <is>
          <t>tense</t>
        </is>
      </c>
      <c r="I897" s="7" t="inlineStr">
        <is>
          <t>USEC_MUN</t>
        </is>
      </c>
      <c r="J897" s="7" t="inlineStr">
        <is>
          <t>INR</t>
        </is>
      </c>
      <c r="K897" s="7" t="inlineStr">
        <is>
          <t>floating</t>
        </is>
      </c>
      <c r="L897" s="7" t="inlineStr">
        <is>
          <t>BS</t>
        </is>
      </c>
      <c r="M897" s="11" t="n">
        <v>44813</v>
      </c>
      <c r="N897" s="13" t="n">
        <v>0</v>
      </c>
      <c r="O897" s="6" t="n">
        <v>0</v>
      </c>
      <c r="P897" s="13" t="n">
        <v>0</v>
      </c>
      <c r="Q897" s="22" t="n">
        <v>30</v>
      </c>
      <c r="R897" s="6" t="n">
        <v>2</v>
      </c>
      <c r="U897" s="9" t="n">
        <v>0</v>
      </c>
      <c r="V897" s="9" t="n">
        <v>0</v>
      </c>
      <c r="X897" s="9" t="n">
        <v>77.69159999999999</v>
      </c>
      <c r="AK897" s="7" t="inlineStr">
        <is>
          <t>PYTHON_MULTI_FLOW_LEG</t>
        </is>
      </c>
      <c r="AL897" s="8">
        <f>IF($J897="INR",1,IF($M897&lt;$A897,INDEX(Market_Daily!$F$6:$F$256,MATCH($M897,Market_Daily!$A$6:$A$256,1)),IF($M897=$A897,INDEX(Market_Daily!$F$6:$F$256,MATCH($A897,Market_Daily!$A$6:$A$256,0)),(INDEX(Market_Daily!$F$6:$F$256,MATCH($A897,Market_Daily!$A$6:$A$256,0))*(1+INDEX(Market_Daily!$I$6:$I$256,MATCH($A897,Market_Daily!$A$6:$A$256,0))*($M897-$A897)/day_count_inr)/(1+INDEX(Market_Daily!$J$6:$J$256,MATCH($A897,Market_Daily!$A$6:$A$256,0))*($M897-$A897)/day_count_usd)))))</f>
        <v/>
      </c>
      <c r="AM897" s="8">
        <f>IF(OR($J897="INR",$R897&gt;1),"",$AL897-$X897)</f>
        <v/>
      </c>
      <c r="AN897" s="8">
        <f>$U897</f>
        <v/>
      </c>
      <c r="AO897" s="8">
        <f>$V897</f>
        <v/>
      </c>
      <c r="AP897" s="18">
        <f>$AO897-$V897</f>
        <v/>
      </c>
      <c r="AQ897" s="8">
        <f>IF(ABS($AP897)&lt;=tol_trade_inr,"PASS","FAIL")</f>
        <v/>
      </c>
    </row>
    <row r="898">
      <c r="A898" s="11" t="n">
        <v>44712</v>
      </c>
      <c r="B898" s="7" t="inlineStr">
        <is>
          <t>T07</t>
        </is>
      </c>
      <c r="C898" s="7" t="inlineStr">
        <is>
          <t>INSURANCE:L1</t>
        </is>
      </c>
      <c r="D898" s="7" t="inlineStr">
        <is>
          <t>INSURANCE</t>
        </is>
      </c>
      <c r="E898" s="7" t="inlineStr">
        <is>
          <t>physical</t>
        </is>
      </c>
      <c r="F898" s="7" t="inlineStr">
        <is>
          <t>L1</t>
        </is>
      </c>
      <c r="H898" s="7" t="inlineStr">
        <is>
          <t>tense</t>
        </is>
      </c>
      <c r="I898" s="7" t="inlineStr">
        <is>
          <t>USEC_MUN</t>
        </is>
      </c>
      <c r="J898" s="7" t="inlineStr">
        <is>
          <t>USD</t>
        </is>
      </c>
      <c r="K898" s="7" t="inlineStr">
        <is>
          <t>floating</t>
        </is>
      </c>
      <c r="L898" s="7" t="inlineStr">
        <is>
          <t>PNL</t>
        </is>
      </c>
      <c r="M898" s="11" t="n">
        <v>44720</v>
      </c>
      <c r="N898" s="13" t="n">
        <v>945</v>
      </c>
      <c r="O898" s="6" t="n">
        <v>0</v>
      </c>
      <c r="P898" s="13" t="n">
        <v>0</v>
      </c>
      <c r="Q898" s="22" t="n">
        <v>30</v>
      </c>
      <c r="R898" s="6" t="n">
        <v>1</v>
      </c>
      <c r="U898" s="9" t="n">
        <v>-2262.45</v>
      </c>
      <c r="V898" s="9" t="n">
        <v>-175911.18</v>
      </c>
      <c r="X898" s="9" t="n">
        <v>77.7526</v>
      </c>
      <c r="AK898" s="7" t="inlineStr">
        <is>
          <t>PYTHON_LIFECYCLE</t>
        </is>
      </c>
      <c r="AL898" s="8">
        <f>IF($J898="INR",1,IF($M898&lt;$A898,INDEX(Market_Daily!$F$6:$F$256,MATCH($M898,Market_Daily!$A$6:$A$256,1)),IF($M898=$A898,INDEX(Market_Daily!$F$6:$F$256,MATCH($A898,Market_Daily!$A$6:$A$256,0)),(INDEX(Market_Daily!$F$6:$F$256,MATCH($A898,Market_Daily!$A$6:$A$256,0))*(1+INDEX(Market_Daily!$I$6:$I$256,MATCH($A898,Market_Daily!$A$6:$A$256,0))*($M898-$A898)/day_count_inr)/(1+INDEX(Market_Daily!$J$6:$J$256,MATCH($A898,Market_Daily!$A$6:$A$256,0))*($M898-$A898)/day_count_usd)))))</f>
        <v/>
      </c>
      <c r="AM898" s="8">
        <f>IF(OR($J898="INR",$R898&gt;1),"",$AL898-$X898)</f>
        <v/>
      </c>
      <c r="AN898" s="8">
        <f>$U898</f>
        <v/>
      </c>
      <c r="AO898" s="8">
        <f>$AN898*IF($J898="INR",1,$AL898)</f>
        <v/>
      </c>
      <c r="AP898" s="18">
        <f>$AO898-$V898</f>
        <v/>
      </c>
      <c r="AQ898" s="8">
        <f>IF(ABS($AP898)&lt;=tol_trade_inr,"PASS","FAIL")</f>
        <v/>
      </c>
    </row>
    <row r="899">
      <c r="A899" s="11" t="n">
        <v>44712</v>
      </c>
      <c r="B899" s="7" t="inlineStr">
        <is>
          <t>T07</t>
        </is>
      </c>
      <c r="C899" s="7" t="inlineStr">
        <is>
          <t>INSURANCE:L2</t>
        </is>
      </c>
      <c r="D899" s="7" t="inlineStr">
        <is>
          <t>INSURANCE</t>
        </is>
      </c>
      <c r="E899" s="7" t="inlineStr">
        <is>
          <t>physical</t>
        </is>
      </c>
      <c r="F899" s="7" t="inlineStr">
        <is>
          <t>L2</t>
        </is>
      </c>
      <c r="H899" s="7" t="inlineStr">
        <is>
          <t>tense</t>
        </is>
      </c>
      <c r="I899" s="7" t="inlineStr">
        <is>
          <t>USEC_MUN</t>
        </is>
      </c>
      <c r="J899" s="7" t="inlineStr">
        <is>
          <t>USD</t>
        </is>
      </c>
      <c r="K899" s="7" t="inlineStr">
        <is>
          <t>floating</t>
        </is>
      </c>
      <c r="L899" s="7" t="inlineStr">
        <is>
          <t>PNL</t>
        </is>
      </c>
      <c r="M899" s="11" t="n">
        <v>44727</v>
      </c>
      <c r="N899" s="13" t="n">
        <v>945</v>
      </c>
      <c r="O899" s="6" t="n">
        <v>0</v>
      </c>
      <c r="P899" s="13" t="n">
        <v>0</v>
      </c>
      <c r="Q899" s="22" t="n">
        <v>30</v>
      </c>
      <c r="R899" s="6" t="n">
        <v>1</v>
      </c>
      <c r="U899" s="9" t="n">
        <v>-2262.45</v>
      </c>
      <c r="V899" s="9" t="n">
        <v>-176031.92</v>
      </c>
      <c r="X899" s="9" t="n">
        <v>77.806</v>
      </c>
      <c r="AK899" s="7" t="inlineStr">
        <is>
          <t>PYTHON_LIFECYCLE</t>
        </is>
      </c>
      <c r="AL899" s="8">
        <f>IF($J899="INR",1,IF($M899&lt;$A899,INDEX(Market_Daily!$F$6:$F$256,MATCH($M899,Market_Daily!$A$6:$A$256,1)),IF($M899=$A899,INDEX(Market_Daily!$F$6:$F$256,MATCH($A899,Market_Daily!$A$6:$A$256,0)),(INDEX(Market_Daily!$F$6:$F$256,MATCH($A899,Market_Daily!$A$6:$A$256,0))*(1+INDEX(Market_Daily!$I$6:$I$256,MATCH($A899,Market_Daily!$A$6:$A$256,0))*($M899-$A899)/day_count_inr)/(1+INDEX(Market_Daily!$J$6:$J$256,MATCH($A899,Market_Daily!$A$6:$A$256,0))*($M899-$A899)/day_count_usd)))))</f>
        <v/>
      </c>
      <c r="AM899" s="8">
        <f>IF(OR($J899="INR",$R899&gt;1),"",$AL899-$X899)</f>
        <v/>
      </c>
      <c r="AN899" s="8">
        <f>$U899</f>
        <v/>
      </c>
      <c r="AO899" s="8">
        <f>$AN899*IF($J899="INR",1,$AL899)</f>
        <v/>
      </c>
      <c r="AP899" s="18">
        <f>$AO899-$V899</f>
        <v/>
      </c>
      <c r="AQ899" s="8">
        <f>IF(ABS($AP899)&lt;=tol_trade_inr,"PASS","FAIL")</f>
        <v/>
      </c>
    </row>
    <row r="900">
      <c r="A900" s="11" t="n">
        <v>44712</v>
      </c>
      <c r="B900" s="7" t="inlineStr">
        <is>
          <t>T07</t>
        </is>
      </c>
      <c r="C900" s="7" t="inlineStr">
        <is>
          <t>INVENTORY:L1</t>
        </is>
      </c>
      <c r="D900" s="7" t="inlineStr">
        <is>
          <t>INVENTORY</t>
        </is>
      </c>
      <c r="E900" s="7" t="inlineStr">
        <is>
          <t>physical</t>
        </is>
      </c>
      <c r="F900" s="7" t="inlineStr">
        <is>
          <t>L1</t>
        </is>
      </c>
      <c r="H900" s="7" t="inlineStr">
        <is>
          <t>tense</t>
        </is>
      </c>
      <c r="I900" s="7" t="inlineStr">
        <is>
          <t>USEC_MUN</t>
        </is>
      </c>
      <c r="J900" s="7" t="inlineStr">
        <is>
          <t>INR</t>
        </is>
      </c>
      <c r="K900" s="7" t="inlineStr">
        <is>
          <t>fixed_unsettled</t>
        </is>
      </c>
      <c r="L900" s="7" t="inlineStr">
        <is>
          <t>PNL</t>
        </is>
      </c>
      <c r="N900" s="13" t="n">
        <v>945</v>
      </c>
      <c r="O900" s="6" t="n">
        <v>0</v>
      </c>
      <c r="P900" s="13" t="n">
        <v>0</v>
      </c>
      <c r="Q900" s="22" t="n">
        <v>30</v>
      </c>
      <c r="R900" s="6" t="n">
        <v>0</v>
      </c>
      <c r="U900" s="9" t="n">
        <v>169673123.81</v>
      </c>
      <c r="V900" s="9" t="n">
        <v>169673123.81</v>
      </c>
      <c r="W900" s="9" t="n">
        <v>179548.2792</v>
      </c>
      <c r="X900" s="9" t="n">
        <v>77.69159999999999</v>
      </c>
      <c r="Y900" s="8">
        <f>IF($I900="JEA_NSA","20ft","40ft")</f>
        <v/>
      </c>
      <c r="Z900" s="8">
        <f>IF($I900="JEA_NSA","nsa","mun")</f>
        <v/>
      </c>
      <c r="AA900" s="8">
        <f>INDEX(param_values,MATCH("container_payload_mt_"&amp;$Y900,param_keys,0))/INDEX(param_values,MATCH("container_payload_mt_"&amp;$Y900&amp;"_"&amp;$H900,param_keys,0))</f>
        <v/>
      </c>
      <c r="AB900" s="16">
        <f>INDEX(Market_Daily!$C$6:$C$256,MATCH($A900,Market_Daily!$A$6:$A$256,0))*INDEX(Market_Daily!$X$6:$Z$256,MATCH($A900,Market_Daily!$A$6:$A$256,0),MATCH("grade_factor_"&amp;$H900,Market_Daily!$X$5:$Z$5,0))</f>
        <v/>
      </c>
      <c r="AC900" s="16">
        <f>$AB900*(1+insurance_rate*insured_value_uplift)</f>
        <v/>
      </c>
      <c r="AD900" s="8">
        <f>(INDEX(Market_Daily!$F$6:$F$256,MATCH($A900,Market_Daily!$A$6:$A$256,0))*(1+INDEX(Market_Daily!$I$6:$I$256,MATCH($A900,Market_Daily!$A$6:$A$256,0))*$Q900/day_count_inr)/(1+INDEX(Market_Daily!$J$6:$J$256,MATCH($A900,Market_Daily!$A$6:$A$256,0))*$Q900/day_count_usd))</f>
        <v/>
      </c>
      <c r="AE900" s="18">
        <f>$AC900*$AD900</f>
        <v/>
      </c>
      <c r="AF900" s="18">
        <f>$AC900*INDEX(Market_Daily!$V$6:$V$256,MATCH($A900,Market_Daily!$A$6:$A$256,0))</f>
        <v/>
      </c>
      <c r="AG900" s="18">
        <f>$AF900*bcd_scrap_hs7602*(1+sws_rate_on_bcd)</f>
        <v/>
      </c>
      <c r="AH900" s="18">
        <f>INDEX(param_values,MATCH("port_cf_charges_inr_t_"&amp;$Z900,param_keys,0))*$AA900+IF(INDEX(param_values,MATCH(IF($I900="JEA_NSA","psic_required_uae_origin","psic_required_safe_origin_designated_port"),param_keys,0)),psic_cost_usd_per_box*INDEX(Market_Daily!$F$6:$F$256,MATCH($A900,Market_Daily!$A$6:$A$256,0))/INDEX(param_values,MATCH("container_payload_mt_20ft_"&amp;$H900,param_keys,0)),0)</f>
        <v/>
      </c>
      <c r="AI900" s="18">
        <f>IF(igst_itc_available,0,($AF900+$AG900)*igst_rate_hs7602)</f>
        <v/>
      </c>
      <c r="AJ900" s="18">
        <f>$AE900+$AG900+$AH900+$AI900</f>
        <v/>
      </c>
      <c r="AK900" s="7" t="inlineStr">
        <is>
          <t>DERIVED_IN_WORKBOOK</t>
        </is>
      </c>
      <c r="AL900" s="8">
        <f>IF($J900="INR",1,IF($M900&lt;$A900,INDEX(Market_Daily!$F$6:$F$256,MATCH($M900,Market_Daily!$A$6:$A$256,1)),IF($M900=$A900,INDEX(Market_Daily!$F$6:$F$256,MATCH($A900,Market_Daily!$A$6:$A$256,0)),(INDEX(Market_Daily!$F$6:$F$256,MATCH($A900,Market_Daily!$A$6:$A$256,0))*(1+INDEX(Market_Daily!$I$6:$I$256,MATCH($A900,Market_Daily!$A$6:$A$256,0))*($M900-$A900)/day_count_inr)/(1+INDEX(Market_Daily!$J$6:$J$256,MATCH($A900,Market_Daily!$A$6:$A$256,0))*($M900-$A900)/day_count_usd)))))</f>
        <v/>
      </c>
      <c r="AM900" s="8">
        <f>IF(OR($J900="INR",$R900&gt;1),"",$AL900-$X900)</f>
        <v/>
      </c>
      <c r="AN900" s="8">
        <f>$N900*$AJ900</f>
        <v/>
      </c>
      <c r="AO900" s="8">
        <f>$AN900</f>
        <v/>
      </c>
      <c r="AP900" s="18">
        <f>$AO900-$V900</f>
        <v/>
      </c>
      <c r="AQ900" s="8">
        <f>IF(ABS($AP900)&lt;=tol_trade_inr,"PASS","FAIL")</f>
        <v/>
      </c>
    </row>
    <row r="901">
      <c r="A901" s="11" t="n">
        <v>44712</v>
      </c>
      <c r="B901" s="7" t="inlineStr">
        <is>
          <t>T07</t>
        </is>
      </c>
      <c r="C901" s="7" t="inlineStr">
        <is>
          <t>INVENTORY:L2</t>
        </is>
      </c>
      <c r="D901" s="7" t="inlineStr">
        <is>
          <t>INVENTORY</t>
        </is>
      </c>
      <c r="E901" s="7" t="inlineStr">
        <is>
          <t>physical</t>
        </is>
      </c>
      <c r="F901" s="7" t="inlineStr">
        <is>
          <t>L2</t>
        </is>
      </c>
      <c r="H901" s="7" t="inlineStr">
        <is>
          <t>tense</t>
        </is>
      </c>
      <c r="I901" s="7" t="inlineStr">
        <is>
          <t>USEC_MUN</t>
        </is>
      </c>
      <c r="J901" s="7" t="inlineStr">
        <is>
          <t>INR</t>
        </is>
      </c>
      <c r="K901" s="7" t="inlineStr">
        <is>
          <t>fixed_unsettled</t>
        </is>
      </c>
      <c r="L901" s="7" t="inlineStr">
        <is>
          <t>PNL</t>
        </is>
      </c>
      <c r="N901" s="13" t="n">
        <v>945</v>
      </c>
      <c r="O901" s="6" t="n">
        <v>0</v>
      </c>
      <c r="P901" s="13" t="n">
        <v>0</v>
      </c>
      <c r="Q901" s="22" t="n">
        <v>30</v>
      </c>
      <c r="R901" s="6" t="n">
        <v>0</v>
      </c>
      <c r="U901" s="9" t="n">
        <v>169673123.81</v>
      </c>
      <c r="V901" s="9" t="n">
        <v>169673123.81</v>
      </c>
      <c r="W901" s="9" t="n">
        <v>179548.2792</v>
      </c>
      <c r="X901" s="9" t="n">
        <v>77.69159999999999</v>
      </c>
      <c r="Y901" s="8">
        <f>IF($I901="JEA_NSA","20ft","40ft")</f>
        <v/>
      </c>
      <c r="Z901" s="8">
        <f>IF($I901="JEA_NSA","nsa","mun")</f>
        <v/>
      </c>
      <c r="AA901" s="8">
        <f>INDEX(param_values,MATCH("container_payload_mt_"&amp;$Y901,param_keys,0))/INDEX(param_values,MATCH("container_payload_mt_"&amp;$Y901&amp;"_"&amp;$H901,param_keys,0))</f>
        <v/>
      </c>
      <c r="AB901" s="16">
        <f>INDEX(Market_Daily!$C$6:$C$256,MATCH($A901,Market_Daily!$A$6:$A$256,0))*INDEX(Market_Daily!$X$6:$Z$256,MATCH($A901,Market_Daily!$A$6:$A$256,0),MATCH("grade_factor_"&amp;$H901,Market_Daily!$X$5:$Z$5,0))</f>
        <v/>
      </c>
      <c r="AC901" s="16">
        <f>$AB901*(1+insurance_rate*insured_value_uplift)</f>
        <v/>
      </c>
      <c r="AD901" s="8">
        <f>(INDEX(Market_Daily!$F$6:$F$256,MATCH($A901,Market_Daily!$A$6:$A$256,0))*(1+INDEX(Market_Daily!$I$6:$I$256,MATCH($A901,Market_Daily!$A$6:$A$256,0))*$Q901/day_count_inr)/(1+INDEX(Market_Daily!$J$6:$J$256,MATCH($A901,Market_Daily!$A$6:$A$256,0))*$Q901/day_count_usd))</f>
        <v/>
      </c>
      <c r="AE901" s="18">
        <f>$AC901*$AD901</f>
        <v/>
      </c>
      <c r="AF901" s="18">
        <f>$AC901*INDEX(Market_Daily!$V$6:$V$256,MATCH($A901,Market_Daily!$A$6:$A$256,0))</f>
        <v/>
      </c>
      <c r="AG901" s="18">
        <f>$AF901*bcd_scrap_hs7602*(1+sws_rate_on_bcd)</f>
        <v/>
      </c>
      <c r="AH901" s="18">
        <f>INDEX(param_values,MATCH("port_cf_charges_inr_t_"&amp;$Z901,param_keys,0))*$AA901+IF(INDEX(param_values,MATCH(IF($I901="JEA_NSA","psic_required_uae_origin","psic_required_safe_origin_designated_port"),param_keys,0)),psic_cost_usd_per_box*INDEX(Market_Daily!$F$6:$F$256,MATCH($A901,Market_Daily!$A$6:$A$256,0))/INDEX(param_values,MATCH("container_payload_mt_20ft_"&amp;$H901,param_keys,0)),0)</f>
        <v/>
      </c>
      <c r="AI901" s="18">
        <f>IF(igst_itc_available,0,($AF901+$AG901)*igst_rate_hs7602)</f>
        <v/>
      </c>
      <c r="AJ901" s="18">
        <f>$AE901+$AG901+$AH901+$AI901</f>
        <v/>
      </c>
      <c r="AK901" s="7" t="inlineStr">
        <is>
          <t>DERIVED_IN_WORKBOOK</t>
        </is>
      </c>
      <c r="AL901" s="8">
        <f>IF($J901="INR",1,IF($M901&lt;$A901,INDEX(Market_Daily!$F$6:$F$256,MATCH($M901,Market_Daily!$A$6:$A$256,1)),IF($M901=$A901,INDEX(Market_Daily!$F$6:$F$256,MATCH($A901,Market_Daily!$A$6:$A$256,0)),(INDEX(Market_Daily!$F$6:$F$256,MATCH($A901,Market_Daily!$A$6:$A$256,0))*(1+INDEX(Market_Daily!$I$6:$I$256,MATCH($A901,Market_Daily!$A$6:$A$256,0))*($M901-$A901)/day_count_inr)/(1+INDEX(Market_Daily!$J$6:$J$256,MATCH($A901,Market_Daily!$A$6:$A$256,0))*($M901-$A901)/day_count_usd)))))</f>
        <v/>
      </c>
      <c r="AM901" s="8">
        <f>IF(OR($J901="INR",$R901&gt;1),"",$AL901-$X901)</f>
        <v/>
      </c>
      <c r="AN901" s="8">
        <f>$N901*$AJ901</f>
        <v/>
      </c>
      <c r="AO901" s="8">
        <f>$AN901</f>
        <v/>
      </c>
      <c r="AP901" s="18">
        <f>$AO901-$V901</f>
        <v/>
      </c>
      <c r="AQ901" s="8">
        <f>IF(ABS($AP901)&lt;=tol_trade_inr,"PASS","FAIL")</f>
        <v/>
      </c>
    </row>
    <row r="902">
      <c r="A902" s="11" t="n">
        <v>44712</v>
      </c>
      <c r="B902" s="7" t="inlineStr">
        <is>
          <t>T07</t>
        </is>
      </c>
      <c r="C902" s="7" t="inlineStr">
        <is>
          <t>MCX:T07-MCX-1</t>
        </is>
      </c>
      <c r="D902" s="7" t="inlineStr">
        <is>
          <t>MCX</t>
        </is>
      </c>
      <c r="E902" s="7" t="inlineStr">
        <is>
          <t>mcx</t>
        </is>
      </c>
      <c r="H902" s="7" t="inlineStr">
        <is>
          <t>tense</t>
        </is>
      </c>
      <c r="I902" s="7" t="inlineStr">
        <is>
          <t>USEC_MUN</t>
        </is>
      </c>
      <c r="J902" s="7" t="inlineStr">
        <is>
          <t>INR</t>
        </is>
      </c>
      <c r="K902" s="7" t="inlineStr">
        <is>
          <t>partially_fixed</t>
        </is>
      </c>
      <c r="L902" s="7" t="inlineStr">
        <is>
          <t>PNL</t>
        </is>
      </c>
      <c r="M902" s="11" t="n">
        <v>44733</v>
      </c>
      <c r="N902" s="13" t="n">
        <v>0</v>
      </c>
      <c r="O902" s="6" t="n">
        <v>-247</v>
      </c>
      <c r="P902" s="13" t="n">
        <v>0</v>
      </c>
      <c r="Q902" s="22" t="n">
        <v>30</v>
      </c>
      <c r="R902" s="6" t="n">
        <v>18</v>
      </c>
      <c r="U902" s="9" t="n">
        <v>0</v>
      </c>
      <c r="V902" s="9" t="n">
        <v>0</v>
      </c>
      <c r="X902" s="9" t="n">
        <v>77.69159999999999</v>
      </c>
      <c r="AK902" s="7" t="inlineStr">
        <is>
          <t>PYTHON_MULTI_FLOW_LEG</t>
        </is>
      </c>
      <c r="AL902" s="8">
        <f>IF($J902="INR",1,IF($M902&lt;$A902,INDEX(Market_Daily!$F$6:$F$256,MATCH($M902,Market_Daily!$A$6:$A$256,1)),IF($M902=$A902,INDEX(Market_Daily!$F$6:$F$256,MATCH($A902,Market_Daily!$A$6:$A$256,0)),(INDEX(Market_Daily!$F$6:$F$256,MATCH($A902,Market_Daily!$A$6:$A$256,0))*(1+INDEX(Market_Daily!$I$6:$I$256,MATCH($A902,Market_Daily!$A$6:$A$256,0))*($M902-$A902)/day_count_inr)/(1+INDEX(Market_Daily!$J$6:$J$256,MATCH($A902,Market_Daily!$A$6:$A$256,0))*($M902-$A902)/day_count_usd)))))</f>
        <v/>
      </c>
      <c r="AM902" s="8">
        <f>IF(OR($J902="INR",$R902&gt;1),"",$AL902-$X902)</f>
        <v/>
      </c>
      <c r="AN902" s="8">
        <f>$U902</f>
        <v/>
      </c>
      <c r="AO902" s="8">
        <f>$V902</f>
        <v/>
      </c>
      <c r="AP902" s="18">
        <f>$AO902-$V902</f>
        <v/>
      </c>
      <c r="AQ902" s="8">
        <f>IF(ABS($AP902)&lt;=tol_trade_inr,"PASS","FAIL")</f>
        <v/>
      </c>
    </row>
    <row r="903">
      <c r="A903" s="11" t="n">
        <v>44712</v>
      </c>
      <c r="B903" s="7" t="inlineStr">
        <is>
          <t>T07</t>
        </is>
      </c>
      <c r="C903" s="7" t="inlineStr">
        <is>
          <t>PORT:L1</t>
        </is>
      </c>
      <c r="D903" s="7" t="inlineStr">
        <is>
          <t>PORT</t>
        </is>
      </c>
      <c r="E903" s="7" t="inlineStr">
        <is>
          <t>physical</t>
        </is>
      </c>
      <c r="F903" s="7" t="inlineStr">
        <is>
          <t>L1</t>
        </is>
      </c>
      <c r="H903" s="7" t="inlineStr">
        <is>
          <t>tense</t>
        </is>
      </c>
      <c r="I903" s="7" t="inlineStr">
        <is>
          <t>USEC_MUN</t>
        </is>
      </c>
      <c r="J903" s="7" t="inlineStr">
        <is>
          <t>INR</t>
        </is>
      </c>
      <c r="K903" s="7" t="inlineStr">
        <is>
          <t>fixed_unsettled</t>
        </is>
      </c>
      <c r="L903" s="7" t="inlineStr">
        <is>
          <t>PNL</t>
        </is>
      </c>
      <c r="M903" s="11" t="n">
        <v>44770</v>
      </c>
      <c r="N903" s="13" t="n">
        <v>0</v>
      </c>
      <c r="O903" s="6" t="n">
        <v>0</v>
      </c>
      <c r="P903" s="13" t="n">
        <v>0</v>
      </c>
      <c r="Q903" s="22" t="n">
        <v>30</v>
      </c>
      <c r="R903" s="6" t="n">
        <v>1</v>
      </c>
      <c r="U903" s="9" t="n">
        <v>-2504250</v>
      </c>
      <c r="V903" s="9" t="n">
        <v>-2504250</v>
      </c>
      <c r="X903" s="9" t="n">
        <v>77.69159999999999</v>
      </c>
      <c r="AK903" s="7" t="inlineStr">
        <is>
          <t>PYTHON_LIFECYCLE</t>
        </is>
      </c>
      <c r="AL903" s="8">
        <f>IF($J903="INR",1,IF($M903&lt;$A903,INDEX(Market_Daily!$F$6:$F$256,MATCH($M903,Market_Daily!$A$6:$A$256,1)),IF($M903=$A903,INDEX(Market_Daily!$F$6:$F$256,MATCH($A903,Market_Daily!$A$6:$A$256,0)),(INDEX(Market_Daily!$F$6:$F$256,MATCH($A903,Market_Daily!$A$6:$A$256,0))*(1+INDEX(Market_Daily!$I$6:$I$256,MATCH($A903,Market_Daily!$A$6:$A$256,0))*($M903-$A903)/day_count_inr)/(1+INDEX(Market_Daily!$J$6:$J$256,MATCH($A903,Market_Daily!$A$6:$A$256,0))*($M903-$A903)/day_count_usd)))))</f>
        <v/>
      </c>
      <c r="AM903" s="8">
        <f>IF(OR($J903="INR",$R903&gt;1),"",$AL903-$X903)</f>
        <v/>
      </c>
      <c r="AN903" s="8">
        <f>$U903</f>
        <v/>
      </c>
      <c r="AO903" s="8">
        <f>$AN903*IF($J903="INR",1,$AL903)</f>
        <v/>
      </c>
      <c r="AP903" s="18">
        <f>$AO903-$V903</f>
        <v/>
      </c>
      <c r="AQ903" s="8">
        <f>IF(ABS($AP903)&lt;=tol_trade_inr,"PASS","FAIL")</f>
        <v/>
      </c>
    </row>
    <row r="904">
      <c r="A904" s="11" t="n">
        <v>44712</v>
      </c>
      <c r="B904" s="7" t="inlineStr">
        <is>
          <t>T07</t>
        </is>
      </c>
      <c r="C904" s="7" t="inlineStr">
        <is>
          <t>PORT:L2</t>
        </is>
      </c>
      <c r="D904" s="7" t="inlineStr">
        <is>
          <t>PORT</t>
        </is>
      </c>
      <c r="E904" s="7" t="inlineStr">
        <is>
          <t>physical</t>
        </is>
      </c>
      <c r="F904" s="7" t="inlineStr">
        <is>
          <t>L2</t>
        </is>
      </c>
      <c r="H904" s="7" t="inlineStr">
        <is>
          <t>tense</t>
        </is>
      </c>
      <c r="I904" s="7" t="inlineStr">
        <is>
          <t>USEC_MUN</t>
        </is>
      </c>
      <c r="J904" s="7" t="inlineStr">
        <is>
          <t>INR</t>
        </is>
      </c>
      <c r="K904" s="7" t="inlineStr">
        <is>
          <t>fixed_unsettled</t>
        </is>
      </c>
      <c r="L904" s="7" t="inlineStr">
        <is>
          <t>PNL</t>
        </is>
      </c>
      <c r="M904" s="11" t="n">
        <v>44777</v>
      </c>
      <c r="N904" s="13" t="n">
        <v>0</v>
      </c>
      <c r="O904" s="6" t="n">
        <v>0</v>
      </c>
      <c r="P904" s="13" t="n">
        <v>0</v>
      </c>
      <c r="Q904" s="22" t="n">
        <v>30</v>
      </c>
      <c r="R904" s="6" t="n">
        <v>1</v>
      </c>
      <c r="U904" s="9" t="n">
        <v>-2504250</v>
      </c>
      <c r="V904" s="9" t="n">
        <v>-2504250</v>
      </c>
      <c r="X904" s="9" t="n">
        <v>77.69159999999999</v>
      </c>
      <c r="AK904" s="7" t="inlineStr">
        <is>
          <t>PYTHON_LIFECYCLE</t>
        </is>
      </c>
      <c r="AL904" s="8">
        <f>IF($J904="INR",1,IF($M904&lt;$A904,INDEX(Market_Daily!$F$6:$F$256,MATCH($M904,Market_Daily!$A$6:$A$256,1)),IF($M904=$A904,INDEX(Market_Daily!$F$6:$F$256,MATCH($A904,Market_Daily!$A$6:$A$256,0)),(INDEX(Market_Daily!$F$6:$F$256,MATCH($A904,Market_Daily!$A$6:$A$256,0))*(1+INDEX(Market_Daily!$I$6:$I$256,MATCH($A904,Market_Daily!$A$6:$A$256,0))*($M904-$A904)/day_count_inr)/(1+INDEX(Market_Daily!$J$6:$J$256,MATCH($A904,Market_Daily!$A$6:$A$256,0))*($M904-$A904)/day_count_usd)))))</f>
        <v/>
      </c>
      <c r="AM904" s="8">
        <f>IF(OR($J904="INR",$R904&gt;1),"",$AL904-$X904)</f>
        <v/>
      </c>
      <c r="AN904" s="8">
        <f>$U904</f>
        <v/>
      </c>
      <c r="AO904" s="8">
        <f>$AN904*IF($J904="INR",1,$AL904)</f>
        <v/>
      </c>
      <c r="AP904" s="18">
        <f>$AO904-$V904</f>
        <v/>
      </c>
      <c r="AQ904" s="8">
        <f>IF(ABS($AP904)&lt;=tol_trade_inr,"PASS","FAIL")</f>
        <v/>
      </c>
    </row>
    <row r="905">
      <c r="A905" s="11" t="n">
        <v>44712</v>
      </c>
      <c r="B905" s="7" t="inlineStr">
        <is>
          <t>T07</t>
        </is>
      </c>
      <c r="C905" s="7" t="inlineStr">
        <is>
          <t>PURCHASE:L1</t>
        </is>
      </c>
      <c r="D905" s="7" t="inlineStr">
        <is>
          <t>PURCHASE</t>
        </is>
      </c>
      <c r="E905" s="7" t="inlineStr">
        <is>
          <t>physical</t>
        </is>
      </c>
      <c r="F905" s="7" t="inlineStr">
        <is>
          <t>L1</t>
        </is>
      </c>
      <c r="G905" s="7" t="inlineStr">
        <is>
          <t>SUP_USEC_02</t>
        </is>
      </c>
      <c r="H905" s="7" t="inlineStr">
        <is>
          <t>tense</t>
        </is>
      </c>
      <c r="I905" s="7" t="inlineStr">
        <is>
          <t>USEC_MUN</t>
        </is>
      </c>
      <c r="J905" s="7" t="inlineStr">
        <is>
          <t>USD</t>
        </is>
      </c>
      <c r="K905" s="7" t="inlineStr">
        <is>
          <t>fixed_unsettled</t>
        </is>
      </c>
      <c r="L905" s="7" t="inlineStr">
        <is>
          <t>PNL</t>
        </is>
      </c>
      <c r="M905" s="11" t="n">
        <v>44727</v>
      </c>
      <c r="N905" s="13" t="n">
        <v>945</v>
      </c>
      <c r="O905" s="6" t="n">
        <v>0</v>
      </c>
      <c r="P905" s="13" t="n">
        <v>0</v>
      </c>
      <c r="Q905" s="22" t="n">
        <v>30</v>
      </c>
      <c r="R905" s="6" t="n">
        <v>1</v>
      </c>
      <c r="U905" s="9" t="n">
        <v>-1971270</v>
      </c>
      <c r="V905" s="9" t="n">
        <v>-153376608.34</v>
      </c>
      <c r="X905" s="9" t="n">
        <v>77.806</v>
      </c>
      <c r="AK905" s="7" t="inlineStr">
        <is>
          <t>PYTHON_LIFECYCLE</t>
        </is>
      </c>
      <c r="AL905" s="8">
        <f>IF($J905="INR",1,IF($M905&lt;$A905,INDEX(Market_Daily!$F$6:$F$256,MATCH($M905,Market_Daily!$A$6:$A$256,1)),IF($M905=$A905,INDEX(Market_Daily!$F$6:$F$256,MATCH($A905,Market_Daily!$A$6:$A$256,0)),(INDEX(Market_Daily!$F$6:$F$256,MATCH($A905,Market_Daily!$A$6:$A$256,0))*(1+INDEX(Market_Daily!$I$6:$I$256,MATCH($A905,Market_Daily!$A$6:$A$256,0))*($M905-$A905)/day_count_inr)/(1+INDEX(Market_Daily!$J$6:$J$256,MATCH($A905,Market_Daily!$A$6:$A$256,0))*($M905-$A905)/day_count_usd)))))</f>
        <v/>
      </c>
      <c r="AM905" s="8">
        <f>IF(OR($J905="INR",$R905&gt;1),"",$AL905-$X905)</f>
        <v/>
      </c>
      <c r="AN905" s="8">
        <f>$U905</f>
        <v/>
      </c>
      <c r="AO905" s="8">
        <f>$AN905*IF($J905="INR",1,$AL905)</f>
        <v/>
      </c>
      <c r="AP905" s="18">
        <f>$AO905-$V905</f>
        <v/>
      </c>
      <c r="AQ905" s="8">
        <f>IF(ABS($AP905)&lt;=tol_trade_inr,"PASS","FAIL")</f>
        <v/>
      </c>
    </row>
    <row r="906">
      <c r="A906" s="11" t="n">
        <v>44712</v>
      </c>
      <c r="B906" s="7" t="inlineStr">
        <is>
          <t>T07</t>
        </is>
      </c>
      <c r="C906" s="7" t="inlineStr">
        <is>
          <t>PURCHASE:L2</t>
        </is>
      </c>
      <c r="D906" s="7" t="inlineStr">
        <is>
          <t>PURCHASE</t>
        </is>
      </c>
      <c r="E906" s="7" t="inlineStr">
        <is>
          <t>physical</t>
        </is>
      </c>
      <c r="F906" s="7" t="inlineStr">
        <is>
          <t>L2</t>
        </is>
      </c>
      <c r="G906" s="7" t="inlineStr">
        <is>
          <t>SUP_USEC_02</t>
        </is>
      </c>
      <c r="H906" s="7" t="inlineStr">
        <is>
          <t>tense</t>
        </is>
      </c>
      <c r="I906" s="7" t="inlineStr">
        <is>
          <t>USEC_MUN</t>
        </is>
      </c>
      <c r="J906" s="7" t="inlineStr">
        <is>
          <t>USD</t>
        </is>
      </c>
      <c r="K906" s="7" t="inlineStr">
        <is>
          <t>fixed_unsettled</t>
        </is>
      </c>
      <c r="L906" s="7" t="inlineStr">
        <is>
          <t>PNL</t>
        </is>
      </c>
      <c r="M906" s="11" t="n">
        <v>44734</v>
      </c>
      <c r="N906" s="13" t="n">
        <v>945</v>
      </c>
      <c r="O906" s="6" t="n">
        <v>0</v>
      </c>
      <c r="P906" s="13" t="n">
        <v>0</v>
      </c>
      <c r="Q906" s="22" t="n">
        <v>30</v>
      </c>
      <c r="R906" s="6" t="n">
        <v>1</v>
      </c>
      <c r="U906" s="9" t="n">
        <v>-1971270</v>
      </c>
      <c r="V906" s="9" t="n">
        <v>-153481763.2</v>
      </c>
      <c r="X906" s="9" t="n">
        <v>77.8593</v>
      </c>
      <c r="AK906" s="7" t="inlineStr">
        <is>
          <t>PYTHON_LIFECYCLE</t>
        </is>
      </c>
      <c r="AL906" s="8">
        <f>IF($J906="INR",1,IF($M906&lt;$A906,INDEX(Market_Daily!$F$6:$F$256,MATCH($M906,Market_Daily!$A$6:$A$256,1)),IF($M906=$A906,INDEX(Market_Daily!$F$6:$F$256,MATCH($A906,Market_Daily!$A$6:$A$256,0)),(INDEX(Market_Daily!$F$6:$F$256,MATCH($A906,Market_Daily!$A$6:$A$256,0))*(1+INDEX(Market_Daily!$I$6:$I$256,MATCH($A906,Market_Daily!$A$6:$A$256,0))*($M906-$A906)/day_count_inr)/(1+INDEX(Market_Daily!$J$6:$J$256,MATCH($A906,Market_Daily!$A$6:$A$256,0))*($M906-$A906)/day_count_usd)))))</f>
        <v/>
      </c>
      <c r="AM906" s="8">
        <f>IF(OR($J906="INR",$R906&gt;1),"",$AL906-$X906)</f>
        <v/>
      </c>
      <c r="AN906" s="8">
        <f>$U906</f>
        <v/>
      </c>
      <c r="AO906" s="8">
        <f>$AN906*IF($J906="INR",1,$AL906)</f>
        <v/>
      </c>
      <c r="AP906" s="18">
        <f>$AO906-$V906</f>
        <v/>
      </c>
      <c r="AQ906" s="8">
        <f>IF(ABS($AP906)&lt;=tol_trade_inr,"PASS","FAIL")</f>
        <v/>
      </c>
    </row>
    <row r="907">
      <c r="A907" s="11" t="n">
        <v>44720</v>
      </c>
      <c r="B907" s="7" t="inlineStr">
        <is>
          <t>T01</t>
        </is>
      </c>
      <c r="C907" s="7" t="inlineStr">
        <is>
          <t>IGST:L1</t>
        </is>
      </c>
      <c r="D907" s="7" t="inlineStr">
        <is>
          <t>IGST</t>
        </is>
      </c>
      <c r="E907" s="7" t="inlineStr">
        <is>
          <t>physical</t>
        </is>
      </c>
      <c r="F907" s="7" t="inlineStr">
        <is>
          <t>L1</t>
        </is>
      </c>
      <c r="H907" s="7" t="inlineStr">
        <is>
          <t>zorba</t>
        </is>
      </c>
      <c r="I907" s="7" t="inlineStr">
        <is>
          <t>USEC_MUN</t>
        </is>
      </c>
      <c r="J907" s="7" t="inlineStr">
        <is>
          <t>INR</t>
        </is>
      </c>
      <c r="K907" s="7" t="inlineStr">
        <is>
          <t>fixed_unsettled</t>
        </is>
      </c>
      <c r="L907" s="7" t="inlineStr">
        <is>
          <t>BS</t>
        </is>
      </c>
      <c r="M907" s="11" t="n">
        <v>44735</v>
      </c>
      <c r="N907" s="13" t="n">
        <v>0</v>
      </c>
      <c r="O907" s="6" t="n">
        <v>0</v>
      </c>
      <c r="P907" s="13" t="n">
        <v>0</v>
      </c>
      <c r="Q907" s="22" t="n">
        <v>30</v>
      </c>
      <c r="R907" s="6" t="n">
        <v>2</v>
      </c>
      <c r="U907" s="9" t="n">
        <v>0</v>
      </c>
      <c r="V907" s="9" t="n">
        <v>0</v>
      </c>
      <c r="X907" s="9" t="n">
        <v>77.6739</v>
      </c>
      <c r="AK907" s="7" t="inlineStr">
        <is>
          <t>PYTHON_MULTI_FLOW_LEG</t>
        </is>
      </c>
      <c r="AL907" s="8">
        <f>IF($J907="INR",1,IF($M907&lt;$A907,INDEX(Market_Daily!$F$6:$F$256,MATCH($M907,Market_Daily!$A$6:$A$256,1)),IF($M907=$A907,INDEX(Market_Daily!$F$6:$F$256,MATCH($A907,Market_Daily!$A$6:$A$256,0)),(INDEX(Market_Daily!$F$6:$F$256,MATCH($A907,Market_Daily!$A$6:$A$256,0))*(1+INDEX(Market_Daily!$I$6:$I$256,MATCH($A907,Market_Daily!$A$6:$A$256,0))*($M907-$A907)/day_count_inr)/(1+INDEX(Market_Daily!$J$6:$J$256,MATCH($A907,Market_Daily!$A$6:$A$256,0))*($M907-$A907)/day_count_usd)))))</f>
        <v/>
      </c>
      <c r="AM907" s="8">
        <f>IF(OR($J907="INR",$R907&gt;1),"",$AL907-$X907)</f>
        <v/>
      </c>
      <c r="AN907" s="8">
        <f>$U907</f>
        <v/>
      </c>
      <c r="AO907" s="8">
        <f>$V907</f>
        <v/>
      </c>
      <c r="AP907" s="18">
        <f>$AO907-$V907</f>
        <v/>
      </c>
      <c r="AQ907" s="8">
        <f>IF(ABS($AP907)&lt;=tol_trade_inr,"PASS","FAIL")</f>
        <v/>
      </c>
    </row>
    <row r="908">
      <c r="A908" s="11" t="n">
        <v>44720</v>
      </c>
      <c r="B908" s="7" t="inlineStr">
        <is>
          <t>T01</t>
        </is>
      </c>
      <c r="C908" s="7" t="inlineStr">
        <is>
          <t>IGST:L2</t>
        </is>
      </c>
      <c r="D908" s="7" t="inlineStr">
        <is>
          <t>IGST</t>
        </is>
      </c>
      <c r="E908" s="7" t="inlineStr">
        <is>
          <t>physical</t>
        </is>
      </c>
      <c r="F908" s="7" t="inlineStr">
        <is>
          <t>L2</t>
        </is>
      </c>
      <c r="H908" s="7" t="inlineStr">
        <is>
          <t>zorba</t>
        </is>
      </c>
      <c r="I908" s="7" t="inlineStr">
        <is>
          <t>USEC_MUN</t>
        </is>
      </c>
      <c r="J908" s="7" t="inlineStr">
        <is>
          <t>INR</t>
        </is>
      </c>
      <c r="K908" s="7" t="inlineStr">
        <is>
          <t>fixed_unsettled</t>
        </is>
      </c>
      <c r="L908" s="7" t="inlineStr">
        <is>
          <t>BS</t>
        </is>
      </c>
      <c r="M908" s="11" t="n">
        <v>44741</v>
      </c>
      <c r="N908" s="13" t="n">
        <v>0</v>
      </c>
      <c r="O908" s="6" t="n">
        <v>0</v>
      </c>
      <c r="P908" s="13" t="n">
        <v>0</v>
      </c>
      <c r="Q908" s="22" t="n">
        <v>30</v>
      </c>
      <c r="R908" s="6" t="n">
        <v>2</v>
      </c>
      <c r="U908" s="9" t="n">
        <v>0</v>
      </c>
      <c r="V908" s="9" t="n">
        <v>0</v>
      </c>
      <c r="X908" s="9" t="n">
        <v>77.6739</v>
      </c>
      <c r="AK908" s="7" t="inlineStr">
        <is>
          <t>PYTHON_MULTI_FLOW_LEG</t>
        </is>
      </c>
      <c r="AL908" s="8">
        <f>IF($J908="INR",1,IF($M908&lt;$A908,INDEX(Market_Daily!$F$6:$F$256,MATCH($M908,Market_Daily!$A$6:$A$256,1)),IF($M908=$A908,INDEX(Market_Daily!$F$6:$F$256,MATCH($A908,Market_Daily!$A$6:$A$256,0)),(INDEX(Market_Daily!$F$6:$F$256,MATCH($A908,Market_Daily!$A$6:$A$256,0))*(1+INDEX(Market_Daily!$I$6:$I$256,MATCH($A908,Market_Daily!$A$6:$A$256,0))*($M908-$A908)/day_count_inr)/(1+INDEX(Market_Daily!$J$6:$J$256,MATCH($A908,Market_Daily!$A$6:$A$256,0))*($M908-$A908)/day_count_usd)))))</f>
        <v/>
      </c>
      <c r="AM908" s="8">
        <f>IF(OR($J908="INR",$R908&gt;1),"",$AL908-$X908)</f>
        <v/>
      </c>
      <c r="AN908" s="8">
        <f>$U908</f>
        <v/>
      </c>
      <c r="AO908" s="8">
        <f>$V908</f>
        <v/>
      </c>
      <c r="AP908" s="18">
        <f>$AO908-$V908</f>
        <v/>
      </c>
      <c r="AQ908" s="8">
        <f>IF(ABS($AP908)&lt;=tol_trade_inr,"PASS","FAIL")</f>
        <v/>
      </c>
    </row>
    <row r="909">
      <c r="A909" s="11" t="n">
        <v>44720</v>
      </c>
      <c r="B909" s="7" t="inlineStr">
        <is>
          <t>T01</t>
        </is>
      </c>
      <c r="C909" s="7" t="inlineStr">
        <is>
          <t>IGST:L3</t>
        </is>
      </c>
      <c r="D909" s="7" t="inlineStr">
        <is>
          <t>IGST</t>
        </is>
      </c>
      <c r="E909" s="7" t="inlineStr">
        <is>
          <t>physical</t>
        </is>
      </c>
      <c r="F909" s="7" t="inlineStr">
        <is>
          <t>L3</t>
        </is>
      </c>
      <c r="H909" s="7" t="inlineStr">
        <is>
          <t>zorba</t>
        </is>
      </c>
      <c r="I909" s="7" t="inlineStr">
        <is>
          <t>USEC_MUN</t>
        </is>
      </c>
      <c r="J909" s="7" t="inlineStr">
        <is>
          <t>INR</t>
        </is>
      </c>
      <c r="K909" s="7" t="inlineStr">
        <is>
          <t>fixed_unsettled</t>
        </is>
      </c>
      <c r="L909" s="7" t="inlineStr">
        <is>
          <t>BS</t>
        </is>
      </c>
      <c r="M909" s="11" t="n">
        <v>44746</v>
      </c>
      <c r="N909" s="13" t="n">
        <v>0</v>
      </c>
      <c r="O909" s="6" t="n">
        <v>0</v>
      </c>
      <c r="P909" s="13" t="n">
        <v>0</v>
      </c>
      <c r="Q909" s="22" t="n">
        <v>30</v>
      </c>
      <c r="R909" s="6" t="n">
        <v>2</v>
      </c>
      <c r="U909" s="9" t="n">
        <v>0</v>
      </c>
      <c r="V909" s="9" t="n">
        <v>0</v>
      </c>
      <c r="X909" s="9" t="n">
        <v>77.6739</v>
      </c>
      <c r="AK909" s="7" t="inlineStr">
        <is>
          <t>PYTHON_MULTI_FLOW_LEG</t>
        </is>
      </c>
      <c r="AL909" s="8">
        <f>IF($J909="INR",1,IF($M909&lt;$A909,INDEX(Market_Daily!$F$6:$F$256,MATCH($M909,Market_Daily!$A$6:$A$256,1)),IF($M909=$A909,INDEX(Market_Daily!$F$6:$F$256,MATCH($A909,Market_Daily!$A$6:$A$256,0)),(INDEX(Market_Daily!$F$6:$F$256,MATCH($A909,Market_Daily!$A$6:$A$256,0))*(1+INDEX(Market_Daily!$I$6:$I$256,MATCH($A909,Market_Daily!$A$6:$A$256,0))*($M909-$A909)/day_count_inr)/(1+INDEX(Market_Daily!$J$6:$J$256,MATCH($A909,Market_Daily!$A$6:$A$256,0))*($M909-$A909)/day_count_usd)))))</f>
        <v/>
      </c>
      <c r="AM909" s="8">
        <f>IF(OR($J909="INR",$R909&gt;1),"",$AL909-$X909)</f>
        <v/>
      </c>
      <c r="AN909" s="8">
        <f>$U909</f>
        <v/>
      </c>
      <c r="AO909" s="8">
        <f>$V909</f>
        <v/>
      </c>
      <c r="AP909" s="18">
        <f>$AO909-$V909</f>
        <v/>
      </c>
      <c r="AQ909" s="8">
        <f>IF(ABS($AP909)&lt;=tol_trade_inr,"PASS","FAIL")</f>
        <v/>
      </c>
    </row>
    <row r="910">
      <c r="A910" s="11" t="n">
        <v>44720</v>
      </c>
      <c r="B910" s="7" t="inlineStr">
        <is>
          <t>T01</t>
        </is>
      </c>
      <c r="C910" s="7" t="inlineStr">
        <is>
          <t>SALE:S1</t>
        </is>
      </c>
      <c r="D910" s="7" t="inlineStr">
        <is>
          <t>SALE</t>
        </is>
      </c>
      <c r="E910" s="7" t="inlineStr">
        <is>
          <t>physical</t>
        </is>
      </c>
      <c r="G910" s="7" t="inlineStr">
        <is>
          <t>BUY_MUN_01</t>
        </is>
      </c>
      <c r="H910" s="7" t="inlineStr">
        <is>
          <t>zorba</t>
        </is>
      </c>
      <c r="I910" s="7" t="inlineStr">
        <is>
          <t>USEC_MUN</t>
        </is>
      </c>
      <c r="J910" s="7" t="inlineStr">
        <is>
          <t>INR</t>
        </is>
      </c>
      <c r="K910" s="7" t="inlineStr">
        <is>
          <t>fixed_unsettled</t>
        </is>
      </c>
      <c r="L910" s="7" t="inlineStr">
        <is>
          <t>PNL</t>
        </is>
      </c>
      <c r="M910" s="11" t="n">
        <v>44735</v>
      </c>
      <c r="N910" s="13" t="n">
        <v>3360</v>
      </c>
      <c r="O910" s="6" t="n">
        <v>0</v>
      </c>
      <c r="P910" s="13" t="n">
        <v>0</v>
      </c>
      <c r="Q910" s="22" t="n">
        <v>30</v>
      </c>
      <c r="R910" s="6" t="n">
        <v>2</v>
      </c>
      <c r="U910" s="9" t="n">
        <v>168840000</v>
      </c>
      <c r="V910" s="9" t="n">
        <v>168840000</v>
      </c>
      <c r="W910" s="9" t="n">
        <v>201000</v>
      </c>
      <c r="X910" s="9" t="n">
        <v>77.6739</v>
      </c>
      <c r="AK910" s="7" t="inlineStr">
        <is>
          <t>PYTHON_MULTI_FLOW_LEG</t>
        </is>
      </c>
      <c r="AL910" s="8">
        <f>IF($J910="INR",1,IF($M910&lt;$A910,INDEX(Market_Daily!$F$6:$F$256,MATCH($M910,Market_Daily!$A$6:$A$256,1)),IF($M910=$A910,INDEX(Market_Daily!$F$6:$F$256,MATCH($A910,Market_Daily!$A$6:$A$256,0)),(INDEX(Market_Daily!$F$6:$F$256,MATCH($A910,Market_Daily!$A$6:$A$256,0))*(1+INDEX(Market_Daily!$I$6:$I$256,MATCH($A910,Market_Daily!$A$6:$A$256,0))*($M910-$A910)/day_count_inr)/(1+INDEX(Market_Daily!$J$6:$J$256,MATCH($A910,Market_Daily!$A$6:$A$256,0))*($M910-$A910)/day_count_usd)))))</f>
        <v/>
      </c>
      <c r="AM910" s="8">
        <f>IF(OR($J910="INR",$R910&gt;1),"",$AL910-$X910)</f>
        <v/>
      </c>
      <c r="AN910" s="8">
        <f>$U910</f>
        <v/>
      </c>
      <c r="AO910" s="8">
        <f>$V910</f>
        <v/>
      </c>
      <c r="AP910" s="18">
        <f>$AO910-$V910</f>
        <v/>
      </c>
      <c r="AQ910" s="8">
        <f>IF(ABS($AP910)&lt;=tol_trade_inr,"PASS","FAIL")</f>
        <v/>
      </c>
    </row>
    <row r="911">
      <c r="A911" s="11" t="n">
        <v>44720</v>
      </c>
      <c r="B911" s="7" t="inlineStr">
        <is>
          <t>T02</t>
        </is>
      </c>
      <c r="C911" s="7" t="inlineStr">
        <is>
          <t>BILL_COMMISSION:L1</t>
        </is>
      </c>
      <c r="D911" s="7" t="inlineStr">
        <is>
          <t>BILL_COMMISSION</t>
        </is>
      </c>
      <c r="E911" s="7" t="inlineStr">
        <is>
          <t>physical</t>
        </is>
      </c>
      <c r="F911" s="7" t="inlineStr">
        <is>
          <t>L1</t>
        </is>
      </c>
      <c r="H911" s="7" t="inlineStr">
        <is>
          <t>tense</t>
        </is>
      </c>
      <c r="I911" s="7" t="inlineStr">
        <is>
          <t>JEA_NSA</t>
        </is>
      </c>
      <c r="J911" s="7" t="inlineStr">
        <is>
          <t>USD</t>
        </is>
      </c>
      <c r="K911" s="7" t="inlineStr">
        <is>
          <t>floating</t>
        </is>
      </c>
      <c r="L911" s="7" t="inlineStr">
        <is>
          <t>PNL</t>
        </is>
      </c>
      <c r="M911" s="11" t="n">
        <v>44746</v>
      </c>
      <c r="N911" s="13" t="n">
        <v>0</v>
      </c>
      <c r="O911" s="6" t="n">
        <v>0</v>
      </c>
      <c r="P911" s="13" t="n">
        <v>0</v>
      </c>
      <c r="Q911" s="22" t="n">
        <v>30</v>
      </c>
      <c r="R911" s="6" t="n">
        <v>1</v>
      </c>
      <c r="U911" s="9" t="n">
        <v>-1490.28</v>
      </c>
      <c r="V911" s="9" t="n">
        <v>-116074.65</v>
      </c>
      <c r="X911" s="9" t="n">
        <v>77.8879</v>
      </c>
      <c r="AK911" s="7" t="inlineStr">
        <is>
          <t>PYTHON_LIFECYCLE</t>
        </is>
      </c>
      <c r="AL911" s="8">
        <f>IF($J911="INR",1,IF($M911&lt;$A911,INDEX(Market_Daily!$F$6:$F$256,MATCH($M911,Market_Daily!$A$6:$A$256,1)),IF($M911=$A911,INDEX(Market_Daily!$F$6:$F$256,MATCH($A911,Market_Daily!$A$6:$A$256,0)),(INDEX(Market_Daily!$F$6:$F$256,MATCH($A911,Market_Daily!$A$6:$A$256,0))*(1+INDEX(Market_Daily!$I$6:$I$256,MATCH($A911,Market_Daily!$A$6:$A$256,0))*($M911-$A911)/day_count_inr)/(1+INDEX(Market_Daily!$J$6:$J$256,MATCH($A911,Market_Daily!$A$6:$A$256,0))*($M911-$A911)/day_count_usd)))))</f>
        <v/>
      </c>
      <c r="AM911" s="8">
        <f>IF(OR($J911="INR",$R911&gt;1),"",$AL911-$X911)</f>
        <v/>
      </c>
      <c r="AN911" s="8">
        <f>$U911</f>
        <v/>
      </c>
      <c r="AO911" s="8">
        <f>$AN911*IF($J911="INR",1,$AL911)</f>
        <v/>
      </c>
      <c r="AP911" s="18">
        <f>$AO911-$V911</f>
        <v/>
      </c>
      <c r="AQ911" s="8">
        <f>IF(ABS($AP911)&lt;=tol_trade_inr,"PASS","FAIL")</f>
        <v/>
      </c>
    </row>
    <row r="912">
      <c r="A912" s="11" t="n">
        <v>44720</v>
      </c>
      <c r="B912" s="7" t="inlineStr">
        <is>
          <t>T02</t>
        </is>
      </c>
      <c r="C912" s="7" t="inlineStr">
        <is>
          <t>BILL_COMMISSION:L2</t>
        </is>
      </c>
      <c r="D912" s="7" t="inlineStr">
        <is>
          <t>BILL_COMMISSION</t>
        </is>
      </c>
      <c r="E912" s="7" t="inlineStr">
        <is>
          <t>physical</t>
        </is>
      </c>
      <c r="F912" s="7" t="inlineStr">
        <is>
          <t>L2</t>
        </is>
      </c>
      <c r="H912" s="7" t="inlineStr">
        <is>
          <t>tense</t>
        </is>
      </c>
      <c r="I912" s="7" t="inlineStr">
        <is>
          <t>JEA_NSA</t>
        </is>
      </c>
      <c r="J912" s="7" t="inlineStr">
        <is>
          <t>USD</t>
        </is>
      </c>
      <c r="K912" s="7" t="inlineStr">
        <is>
          <t>floating</t>
        </is>
      </c>
      <c r="L912" s="7" t="inlineStr">
        <is>
          <t>PNL</t>
        </is>
      </c>
      <c r="M912" s="11" t="n">
        <v>44754</v>
      </c>
      <c r="N912" s="13" t="n">
        <v>0</v>
      </c>
      <c r="O912" s="6" t="n">
        <v>0</v>
      </c>
      <c r="P912" s="13" t="n">
        <v>0</v>
      </c>
      <c r="Q912" s="22" t="n">
        <v>30</v>
      </c>
      <c r="R912" s="6" t="n">
        <v>1</v>
      </c>
      <c r="U912" s="9" t="n">
        <v>-1399.51</v>
      </c>
      <c r="V912" s="9" t="n">
        <v>-109096.84</v>
      </c>
      <c r="X912" s="9" t="n">
        <v>77.95359999999999</v>
      </c>
      <c r="AK912" s="7" t="inlineStr">
        <is>
          <t>PYTHON_LIFECYCLE</t>
        </is>
      </c>
      <c r="AL912" s="8">
        <f>IF($J912="INR",1,IF($M912&lt;$A912,INDEX(Market_Daily!$F$6:$F$256,MATCH($M912,Market_Daily!$A$6:$A$256,1)),IF($M912=$A912,INDEX(Market_Daily!$F$6:$F$256,MATCH($A912,Market_Daily!$A$6:$A$256,0)),(INDEX(Market_Daily!$F$6:$F$256,MATCH($A912,Market_Daily!$A$6:$A$256,0))*(1+INDEX(Market_Daily!$I$6:$I$256,MATCH($A912,Market_Daily!$A$6:$A$256,0))*($M912-$A912)/day_count_inr)/(1+INDEX(Market_Daily!$J$6:$J$256,MATCH($A912,Market_Daily!$A$6:$A$256,0))*($M912-$A912)/day_count_usd)))))</f>
        <v/>
      </c>
      <c r="AM912" s="8">
        <f>IF(OR($J912="INR",$R912&gt;1),"",$AL912-$X912)</f>
        <v/>
      </c>
      <c r="AN912" s="8">
        <f>$U912</f>
        <v/>
      </c>
      <c r="AO912" s="8">
        <f>$AN912*IF($J912="INR",1,$AL912)</f>
        <v/>
      </c>
      <c r="AP912" s="18">
        <f>$AO912-$V912</f>
        <v/>
      </c>
      <c r="AQ912" s="8">
        <f>IF(ABS($AP912)&lt;=tol_trade_inr,"PASS","FAIL")</f>
        <v/>
      </c>
    </row>
    <row r="913">
      <c r="A913" s="11" t="n">
        <v>44720</v>
      </c>
      <c r="B913" s="7" t="inlineStr">
        <is>
          <t>T02</t>
        </is>
      </c>
      <c r="C913" s="7" t="inlineStr">
        <is>
          <t>DUTY:L1</t>
        </is>
      </c>
      <c r="D913" s="7" t="inlineStr">
        <is>
          <t>DUTY</t>
        </is>
      </c>
      <c r="E913" s="7" t="inlineStr">
        <is>
          <t>physical</t>
        </is>
      </c>
      <c r="F913" s="7" t="inlineStr">
        <is>
          <t>L1</t>
        </is>
      </c>
      <c r="H913" s="7" t="inlineStr">
        <is>
          <t>tense</t>
        </is>
      </c>
      <c r="I913" s="7" t="inlineStr">
        <is>
          <t>JEA_NSA</t>
        </is>
      </c>
      <c r="J913" s="7" t="inlineStr">
        <is>
          <t>INR</t>
        </is>
      </c>
      <c r="K913" s="7" t="inlineStr">
        <is>
          <t>partially_fixed</t>
        </is>
      </c>
      <c r="L913" s="7" t="inlineStr">
        <is>
          <t>PNL</t>
        </is>
      </c>
      <c r="M913" s="11" t="n">
        <v>44721</v>
      </c>
      <c r="N913" s="13" t="n">
        <v>600</v>
      </c>
      <c r="O913" s="6" t="n">
        <v>0</v>
      </c>
      <c r="P913" s="13" t="n">
        <v>0</v>
      </c>
      <c r="Q913" s="22" t="n">
        <v>30</v>
      </c>
      <c r="R913" s="6" t="n">
        <v>2</v>
      </c>
      <c r="U913" s="9" t="n">
        <v>476425.7</v>
      </c>
      <c r="V913" s="9" t="n">
        <v>476425.7</v>
      </c>
      <c r="X913" s="9" t="n">
        <v>77.6739</v>
      </c>
      <c r="AK913" s="7" t="inlineStr">
        <is>
          <t>PYTHON_MULTI_FLOW_LEG</t>
        </is>
      </c>
      <c r="AL913" s="8">
        <f>IF($J913="INR",1,IF($M913&lt;$A913,INDEX(Market_Daily!$F$6:$F$256,MATCH($M913,Market_Daily!$A$6:$A$256,1)),IF($M913=$A913,INDEX(Market_Daily!$F$6:$F$256,MATCH($A913,Market_Daily!$A$6:$A$256,0)),(INDEX(Market_Daily!$F$6:$F$256,MATCH($A913,Market_Daily!$A$6:$A$256,0))*(1+INDEX(Market_Daily!$I$6:$I$256,MATCH($A913,Market_Daily!$A$6:$A$256,0))*($M913-$A913)/day_count_inr)/(1+INDEX(Market_Daily!$J$6:$J$256,MATCH($A913,Market_Daily!$A$6:$A$256,0))*($M913-$A913)/day_count_usd)))))</f>
        <v/>
      </c>
      <c r="AM913" s="8">
        <f>IF(OR($J913="INR",$R913&gt;1),"",$AL913-$X913)</f>
        <v/>
      </c>
      <c r="AN913" s="8">
        <f>$U913</f>
        <v/>
      </c>
      <c r="AO913" s="8">
        <f>$V913</f>
        <v/>
      </c>
      <c r="AP913" s="18">
        <f>$AO913-$V913</f>
        <v/>
      </c>
      <c r="AQ913" s="8">
        <f>IF(ABS($AP913)&lt;=tol_trade_inr,"PASS","FAIL")</f>
        <v/>
      </c>
    </row>
    <row r="914">
      <c r="A914" s="11" t="n">
        <v>44720</v>
      </c>
      <c r="B914" s="7" t="inlineStr">
        <is>
          <t>T02</t>
        </is>
      </c>
      <c r="C914" s="7" t="inlineStr">
        <is>
          <t>DUTY:L2</t>
        </is>
      </c>
      <c r="D914" s="7" t="inlineStr">
        <is>
          <t>DUTY</t>
        </is>
      </c>
      <c r="E914" s="7" t="inlineStr">
        <is>
          <t>physical</t>
        </is>
      </c>
      <c r="F914" s="7" t="inlineStr">
        <is>
          <t>L2</t>
        </is>
      </c>
      <c r="H914" s="7" t="inlineStr">
        <is>
          <t>tense</t>
        </is>
      </c>
      <c r="I914" s="7" t="inlineStr">
        <is>
          <t>JEA_NSA</t>
        </is>
      </c>
      <c r="J914" s="7" t="inlineStr">
        <is>
          <t>INR</t>
        </is>
      </c>
      <c r="K914" s="7" t="inlineStr">
        <is>
          <t>partially_fixed</t>
        </is>
      </c>
      <c r="L914" s="7" t="inlineStr">
        <is>
          <t>PNL</t>
        </is>
      </c>
      <c r="M914" s="11" t="n">
        <v>44721</v>
      </c>
      <c r="N914" s="13" t="n">
        <v>600</v>
      </c>
      <c r="O914" s="6" t="n">
        <v>0</v>
      </c>
      <c r="P914" s="13" t="n">
        <v>0</v>
      </c>
      <c r="Q914" s="22" t="n">
        <v>30</v>
      </c>
      <c r="R914" s="6" t="n">
        <v>2</v>
      </c>
      <c r="U914" s="9" t="n">
        <v>308078.21</v>
      </c>
      <c r="V914" s="9" t="n">
        <v>308078.21</v>
      </c>
      <c r="X914" s="9" t="n">
        <v>77.6739</v>
      </c>
      <c r="AK914" s="7" t="inlineStr">
        <is>
          <t>PYTHON_MULTI_FLOW_LEG</t>
        </is>
      </c>
      <c r="AL914" s="8">
        <f>IF($J914="INR",1,IF($M914&lt;$A914,INDEX(Market_Daily!$F$6:$F$256,MATCH($M914,Market_Daily!$A$6:$A$256,1)),IF($M914=$A914,INDEX(Market_Daily!$F$6:$F$256,MATCH($A914,Market_Daily!$A$6:$A$256,0)),(INDEX(Market_Daily!$F$6:$F$256,MATCH($A914,Market_Daily!$A$6:$A$256,0))*(1+INDEX(Market_Daily!$I$6:$I$256,MATCH($A914,Market_Daily!$A$6:$A$256,0))*($M914-$A914)/day_count_inr)/(1+INDEX(Market_Daily!$J$6:$J$256,MATCH($A914,Market_Daily!$A$6:$A$256,0))*($M914-$A914)/day_count_usd)))))</f>
        <v/>
      </c>
      <c r="AM914" s="8">
        <f>IF(OR($J914="INR",$R914&gt;1),"",$AL914-$X914)</f>
        <v/>
      </c>
      <c r="AN914" s="8">
        <f>$U914</f>
        <v/>
      </c>
      <c r="AO914" s="8">
        <f>$V914</f>
        <v/>
      </c>
      <c r="AP914" s="18">
        <f>$AO914-$V914</f>
        <v/>
      </c>
      <c r="AQ914" s="8">
        <f>IF(ABS($AP914)&lt;=tol_trade_inr,"PASS","FAIL")</f>
        <v/>
      </c>
    </row>
    <row r="915">
      <c r="A915" s="11" t="n">
        <v>44720</v>
      </c>
      <c r="B915" s="7" t="inlineStr">
        <is>
          <t>T02</t>
        </is>
      </c>
      <c r="C915" s="7" t="inlineStr">
        <is>
          <t>FX:T02-FX-1</t>
        </is>
      </c>
      <c r="D915" s="7" t="inlineStr">
        <is>
          <t>FX</t>
        </is>
      </c>
      <c r="E915" s="7" t="inlineStr">
        <is>
          <t>fx_forward</t>
        </is>
      </c>
      <c r="H915" s="7" t="inlineStr">
        <is>
          <t>tense</t>
        </is>
      </c>
      <c r="I915" s="7" t="inlineStr">
        <is>
          <t>JEA_NSA</t>
        </is>
      </c>
      <c r="J915" s="7" t="inlineStr">
        <is>
          <t>INR</t>
        </is>
      </c>
      <c r="K915" s="7" t="inlineStr">
        <is>
          <t>floating</t>
        </is>
      </c>
      <c r="L915" s="7" t="inlineStr">
        <is>
          <t>PNL</t>
        </is>
      </c>
      <c r="M915" s="11" t="n">
        <v>44746</v>
      </c>
      <c r="N915" s="13" t="n">
        <v>0</v>
      </c>
      <c r="O915" s="6" t="n">
        <v>0</v>
      </c>
      <c r="P915" s="13" t="n">
        <v>1241900</v>
      </c>
      <c r="Q915" s="22" t="n">
        <v>30</v>
      </c>
      <c r="R915" s="6" t="n">
        <v>1</v>
      </c>
      <c r="S915" s="12" t="n">
        <v>44746</v>
      </c>
      <c r="T915" s="21" t="n">
        <v>76.040598</v>
      </c>
      <c r="U915" s="9" t="n">
        <v>2294140.87</v>
      </c>
      <c r="V915" s="9" t="n">
        <v>2294140.87</v>
      </c>
      <c r="X915" s="9" t="n">
        <v>77.6739</v>
      </c>
      <c r="AK915" s="7" t="inlineStr">
        <is>
          <t>DERIVED_IN_WORKBOOK</t>
        </is>
      </c>
      <c r="AL915" s="8">
        <f>IF($J915="INR",1,IF($M915&lt;$A915,INDEX(Market_Daily!$F$6:$F$256,MATCH($M915,Market_Daily!$A$6:$A$256,1)),IF($M915=$A915,INDEX(Market_Daily!$F$6:$F$256,MATCH($A915,Market_Daily!$A$6:$A$256,0)),(INDEX(Market_Daily!$F$6:$F$256,MATCH($A915,Market_Daily!$A$6:$A$256,0))*(1+INDEX(Market_Daily!$I$6:$I$256,MATCH($A915,Market_Daily!$A$6:$A$256,0))*($M915-$A915)/day_count_inr)/(1+INDEX(Market_Daily!$J$6:$J$256,MATCH($A915,Market_Daily!$A$6:$A$256,0))*($M915-$A915)/day_count_usd)))))</f>
        <v/>
      </c>
      <c r="AM915" s="8">
        <f>IF(OR($J915="INR",$R915&gt;1),"",$AL915-$X915)</f>
        <v/>
      </c>
      <c r="AN915" s="8">
        <f>$P915*(IF($S915&lt;$A915,INDEX(Market_Daily!$F$6:$F$256,MATCH($S915,Market_Daily!$A$6:$A$256,1)),IF($S915=$A915,INDEX(Market_Daily!$F$6:$F$256,MATCH($A915,Market_Daily!$A$6:$A$256,0)),(INDEX(Market_Daily!$F$6:$F$256,MATCH($A915,Market_Daily!$A$6:$A$256,0))*(1+INDEX(Market_Daily!$I$6:$I$256,MATCH($A915,Market_Daily!$A$6:$A$256,0))*($S915-$A915)/day_count_inr)/(1+INDEX(Market_Daily!$J$6:$J$256,MATCH($A915,Market_Daily!$A$6:$A$256,0))*($S915-$A915)/day_count_usd))))-$T915)</f>
        <v/>
      </c>
      <c r="AO915" s="8">
        <f>$AN915</f>
        <v/>
      </c>
      <c r="AP915" s="18">
        <f>$AO915-$V915</f>
        <v/>
      </c>
      <c r="AQ915" s="8">
        <f>IF(ABS($AP915)&lt;=tol_trade_inr,"PASS","FAIL")</f>
        <v/>
      </c>
    </row>
    <row r="916">
      <c r="A916" s="11" t="n">
        <v>44720</v>
      </c>
      <c r="B916" s="7" t="inlineStr">
        <is>
          <t>T02</t>
        </is>
      </c>
      <c r="C916" s="7" t="inlineStr">
        <is>
          <t>FX:T02-FX-2</t>
        </is>
      </c>
      <c r="D916" s="7" t="inlineStr">
        <is>
          <t>FX</t>
        </is>
      </c>
      <c r="E916" s="7" t="inlineStr">
        <is>
          <t>fx_forward</t>
        </is>
      </c>
      <c r="H916" s="7" t="inlineStr">
        <is>
          <t>tense</t>
        </is>
      </c>
      <c r="I916" s="7" t="inlineStr">
        <is>
          <t>JEA_NSA</t>
        </is>
      </c>
      <c r="J916" s="7" t="inlineStr">
        <is>
          <t>INR</t>
        </is>
      </c>
      <c r="K916" s="7" t="inlineStr">
        <is>
          <t>floating</t>
        </is>
      </c>
      <c r="L916" s="7" t="inlineStr">
        <is>
          <t>PNL</t>
        </is>
      </c>
      <c r="M916" s="11" t="n">
        <v>44754</v>
      </c>
      <c r="N916" s="13" t="n">
        <v>0</v>
      </c>
      <c r="O916" s="6" t="n">
        <v>0</v>
      </c>
      <c r="P916" s="13" t="n">
        <v>1166000</v>
      </c>
      <c r="Q916" s="22" t="n">
        <v>30</v>
      </c>
      <c r="R916" s="6" t="n">
        <v>1</v>
      </c>
      <c r="S916" s="12" t="n">
        <v>44754</v>
      </c>
      <c r="T916" s="21" t="n">
        <v>76.878636</v>
      </c>
      <c r="U916" s="9" t="n">
        <v>1253458.22</v>
      </c>
      <c r="V916" s="9" t="n">
        <v>1253458.22</v>
      </c>
      <c r="X916" s="9" t="n">
        <v>77.6739</v>
      </c>
      <c r="AK916" s="7" t="inlineStr">
        <is>
          <t>DERIVED_IN_WORKBOOK</t>
        </is>
      </c>
      <c r="AL916" s="8">
        <f>IF($J916="INR",1,IF($M916&lt;$A916,INDEX(Market_Daily!$F$6:$F$256,MATCH($M916,Market_Daily!$A$6:$A$256,1)),IF($M916=$A916,INDEX(Market_Daily!$F$6:$F$256,MATCH($A916,Market_Daily!$A$6:$A$256,0)),(INDEX(Market_Daily!$F$6:$F$256,MATCH($A916,Market_Daily!$A$6:$A$256,0))*(1+INDEX(Market_Daily!$I$6:$I$256,MATCH($A916,Market_Daily!$A$6:$A$256,0))*($M916-$A916)/day_count_inr)/(1+INDEX(Market_Daily!$J$6:$J$256,MATCH($A916,Market_Daily!$A$6:$A$256,0))*($M916-$A916)/day_count_usd)))))</f>
        <v/>
      </c>
      <c r="AM916" s="8">
        <f>IF(OR($J916="INR",$R916&gt;1),"",$AL916-$X916)</f>
        <v/>
      </c>
      <c r="AN916" s="8">
        <f>$P916*(IF($S916&lt;$A916,INDEX(Market_Daily!$F$6:$F$256,MATCH($S916,Market_Daily!$A$6:$A$256,1)),IF($S916=$A916,INDEX(Market_Daily!$F$6:$F$256,MATCH($A916,Market_Daily!$A$6:$A$256,0)),(INDEX(Market_Daily!$F$6:$F$256,MATCH($A916,Market_Daily!$A$6:$A$256,0))*(1+INDEX(Market_Daily!$I$6:$I$256,MATCH($A916,Market_Daily!$A$6:$A$256,0))*($S916-$A916)/day_count_inr)/(1+INDEX(Market_Daily!$J$6:$J$256,MATCH($A916,Market_Daily!$A$6:$A$256,0))*($S916-$A916)/day_count_usd))))-$T916)</f>
        <v/>
      </c>
      <c r="AO916" s="8">
        <f>$AN916</f>
        <v/>
      </c>
      <c r="AP916" s="18">
        <f>$AO916-$V916</f>
        <v/>
      </c>
      <c r="AQ916" s="8">
        <f>IF(ABS($AP916)&lt;=tol_trade_inr,"PASS","FAIL")</f>
        <v/>
      </c>
    </row>
    <row r="917">
      <c r="A917" s="11" t="n">
        <v>44720</v>
      </c>
      <c r="B917" s="7" t="inlineStr">
        <is>
          <t>T02</t>
        </is>
      </c>
      <c r="C917" s="7" t="inlineStr">
        <is>
          <t>FX:T02-FX-3</t>
        </is>
      </c>
      <c r="D917" s="7" t="inlineStr">
        <is>
          <t>FX</t>
        </is>
      </c>
      <c r="E917" s="7" t="inlineStr">
        <is>
          <t>fx_forward</t>
        </is>
      </c>
      <c r="H917" s="7" t="inlineStr">
        <is>
          <t>tense</t>
        </is>
      </c>
      <c r="I917" s="7" t="inlineStr">
        <is>
          <t>JEA_NSA</t>
        </is>
      </c>
      <c r="J917" s="7" t="inlineStr">
        <is>
          <t>INR</t>
        </is>
      </c>
      <c r="K917" s="7" t="inlineStr">
        <is>
          <t>floating</t>
        </is>
      </c>
      <c r="L917" s="7" t="inlineStr">
        <is>
          <t>PNL</t>
        </is>
      </c>
      <c r="M917" s="11" t="n">
        <v>44746</v>
      </c>
      <c r="N917" s="13" t="n">
        <v>0</v>
      </c>
      <c r="O917" s="6" t="n">
        <v>0</v>
      </c>
      <c r="P917" s="13" t="n">
        <v>-240000</v>
      </c>
      <c r="Q917" s="22" t="n">
        <v>30</v>
      </c>
      <c r="R917" s="6" t="n">
        <v>1</v>
      </c>
      <c r="S917" s="12" t="n">
        <v>44746</v>
      </c>
      <c r="T917" s="21" t="n">
        <v>77.675946</v>
      </c>
      <c r="U917" s="9" t="n">
        <v>-50864.29</v>
      </c>
      <c r="V917" s="9" t="n">
        <v>-50864.29</v>
      </c>
      <c r="X917" s="9" t="n">
        <v>77.6739</v>
      </c>
      <c r="AK917" s="7" t="inlineStr">
        <is>
          <t>DERIVED_IN_WORKBOOK</t>
        </is>
      </c>
      <c r="AL917" s="8">
        <f>IF($J917="INR",1,IF($M917&lt;$A917,INDEX(Market_Daily!$F$6:$F$256,MATCH($M917,Market_Daily!$A$6:$A$256,1)),IF($M917=$A917,INDEX(Market_Daily!$F$6:$F$256,MATCH($A917,Market_Daily!$A$6:$A$256,0)),(INDEX(Market_Daily!$F$6:$F$256,MATCH($A917,Market_Daily!$A$6:$A$256,0))*(1+INDEX(Market_Daily!$I$6:$I$256,MATCH($A917,Market_Daily!$A$6:$A$256,0))*($M917-$A917)/day_count_inr)/(1+INDEX(Market_Daily!$J$6:$J$256,MATCH($A917,Market_Daily!$A$6:$A$256,0))*($M917-$A917)/day_count_usd)))))</f>
        <v/>
      </c>
      <c r="AM917" s="8">
        <f>IF(OR($J917="INR",$R917&gt;1),"",$AL917-$X917)</f>
        <v/>
      </c>
      <c r="AN917" s="8">
        <f>$P917*(IF($S917&lt;$A917,INDEX(Market_Daily!$F$6:$F$256,MATCH($S917,Market_Daily!$A$6:$A$256,1)),IF($S917=$A917,INDEX(Market_Daily!$F$6:$F$256,MATCH($A917,Market_Daily!$A$6:$A$256,0)),(INDEX(Market_Daily!$F$6:$F$256,MATCH($A917,Market_Daily!$A$6:$A$256,0))*(1+INDEX(Market_Daily!$I$6:$I$256,MATCH($A917,Market_Daily!$A$6:$A$256,0))*($S917-$A917)/day_count_inr)/(1+INDEX(Market_Daily!$J$6:$J$256,MATCH($A917,Market_Daily!$A$6:$A$256,0))*($S917-$A917)/day_count_usd))))-$T917)</f>
        <v/>
      </c>
      <c r="AO917" s="8">
        <f>$AN917</f>
        <v/>
      </c>
      <c r="AP917" s="18">
        <f>$AO917-$V917</f>
        <v/>
      </c>
      <c r="AQ917" s="8">
        <f>IF(ABS($AP917)&lt;=tol_trade_inr,"PASS","FAIL")</f>
        <v/>
      </c>
    </row>
    <row r="918">
      <c r="A918" s="11" t="n">
        <v>44720</v>
      </c>
      <c r="B918" s="7" t="inlineStr">
        <is>
          <t>T02</t>
        </is>
      </c>
      <c r="C918" s="7" t="inlineStr">
        <is>
          <t>PURCHASE:L1</t>
        </is>
      </c>
      <c r="D918" s="7" t="inlineStr">
        <is>
          <t>PURCHASE</t>
        </is>
      </c>
      <c r="E918" s="7" t="inlineStr">
        <is>
          <t>physical</t>
        </is>
      </c>
      <c r="F918" s="7" t="inlineStr">
        <is>
          <t>L1</t>
        </is>
      </c>
      <c r="G918" s="7" t="inlineStr">
        <is>
          <t>SUP_JEA_01</t>
        </is>
      </c>
      <c r="H918" s="7" t="inlineStr">
        <is>
          <t>tense</t>
        </is>
      </c>
      <c r="I918" s="7" t="inlineStr">
        <is>
          <t>JEA_NSA</t>
        </is>
      </c>
      <c r="J918" s="7" t="inlineStr">
        <is>
          <t>USD</t>
        </is>
      </c>
      <c r="K918" s="7" t="inlineStr">
        <is>
          <t>fixed_unsettled</t>
        </is>
      </c>
      <c r="L918" s="7" t="inlineStr">
        <is>
          <t>PNL</t>
        </is>
      </c>
      <c r="M918" s="11" t="n">
        <v>44746</v>
      </c>
      <c r="N918" s="13" t="n">
        <v>1200</v>
      </c>
      <c r="O918" s="6" t="n">
        <v>0</v>
      </c>
      <c r="P918" s="13" t="n">
        <v>0</v>
      </c>
      <c r="Q918" s="22" t="n">
        <v>30</v>
      </c>
      <c r="R918" s="6" t="n">
        <v>2</v>
      </c>
      <c r="U918" s="9" t="n">
        <v>-1081929.51</v>
      </c>
      <c r="V918" s="9" t="n">
        <v>-84302109.93000001</v>
      </c>
      <c r="X918" s="9" t="n">
        <v>77.8879</v>
      </c>
      <c r="AK918" s="7" t="inlineStr">
        <is>
          <t>PYTHON_MULTI_FLOW_LEG</t>
        </is>
      </c>
      <c r="AL918" s="8">
        <f>IF($J918="INR",1,IF($M918&lt;$A918,INDEX(Market_Daily!$F$6:$F$256,MATCH($M918,Market_Daily!$A$6:$A$256,1)),IF($M918=$A918,INDEX(Market_Daily!$F$6:$F$256,MATCH($A918,Market_Daily!$A$6:$A$256,0)),(INDEX(Market_Daily!$F$6:$F$256,MATCH($A918,Market_Daily!$A$6:$A$256,0))*(1+INDEX(Market_Daily!$I$6:$I$256,MATCH($A918,Market_Daily!$A$6:$A$256,0))*($M918-$A918)/day_count_inr)/(1+INDEX(Market_Daily!$J$6:$J$256,MATCH($A918,Market_Daily!$A$6:$A$256,0))*($M918-$A918)/day_count_usd)))))</f>
        <v/>
      </c>
      <c r="AM918" s="8">
        <f>IF(OR($J918="INR",$R918&gt;1),"",$AL918-$X918)</f>
        <v/>
      </c>
      <c r="AN918" s="8">
        <f>$U918</f>
        <v/>
      </c>
      <c r="AO918" s="8">
        <f>$V918</f>
        <v/>
      </c>
      <c r="AP918" s="18">
        <f>$AO918-$V918</f>
        <v/>
      </c>
      <c r="AQ918" s="8">
        <f>IF(ABS($AP918)&lt;=tol_trade_inr,"PASS","FAIL")</f>
        <v/>
      </c>
    </row>
    <row r="919">
      <c r="A919" s="11" t="n">
        <v>44720</v>
      </c>
      <c r="B919" s="7" t="inlineStr">
        <is>
          <t>T02</t>
        </is>
      </c>
      <c r="C919" s="7" t="inlineStr">
        <is>
          <t>PURCHASE:L2</t>
        </is>
      </c>
      <c r="D919" s="7" t="inlineStr">
        <is>
          <t>PURCHASE</t>
        </is>
      </c>
      <c r="E919" s="7" t="inlineStr">
        <is>
          <t>physical</t>
        </is>
      </c>
      <c r="F919" s="7" t="inlineStr">
        <is>
          <t>L2</t>
        </is>
      </c>
      <c r="G919" s="7" t="inlineStr">
        <is>
          <t>SUP_JEA_01</t>
        </is>
      </c>
      <c r="H919" s="7" t="inlineStr">
        <is>
          <t>tense</t>
        </is>
      </c>
      <c r="I919" s="7" t="inlineStr">
        <is>
          <t>JEA_NSA</t>
        </is>
      </c>
      <c r="J919" s="7" t="inlineStr">
        <is>
          <t>USD</t>
        </is>
      </c>
      <c r="K919" s="7" t="inlineStr">
        <is>
          <t>fixed_unsettled</t>
        </is>
      </c>
      <c r="L919" s="7" t="inlineStr">
        <is>
          <t>PNL</t>
        </is>
      </c>
      <c r="M919" s="11" t="n">
        <v>44754</v>
      </c>
      <c r="N919" s="13" t="n">
        <v>1200</v>
      </c>
      <c r="O919" s="6" t="n">
        <v>0</v>
      </c>
      <c r="P919" s="13" t="n">
        <v>0</v>
      </c>
      <c r="Q919" s="22" t="n">
        <v>30</v>
      </c>
      <c r="R919" s="6" t="n">
        <v>2</v>
      </c>
      <c r="U919" s="9" t="n">
        <v>-1081929.51</v>
      </c>
      <c r="V919" s="9" t="n">
        <v>-84363243.23</v>
      </c>
      <c r="X919" s="9" t="n">
        <v>77.95359999999999</v>
      </c>
      <c r="AK919" s="7" t="inlineStr">
        <is>
          <t>PYTHON_MULTI_FLOW_LEG</t>
        </is>
      </c>
      <c r="AL919" s="8">
        <f>IF($J919="INR",1,IF($M919&lt;$A919,INDEX(Market_Daily!$F$6:$F$256,MATCH($M919,Market_Daily!$A$6:$A$256,1)),IF($M919=$A919,INDEX(Market_Daily!$F$6:$F$256,MATCH($A919,Market_Daily!$A$6:$A$256,0)),(INDEX(Market_Daily!$F$6:$F$256,MATCH($A919,Market_Daily!$A$6:$A$256,0))*(1+INDEX(Market_Daily!$I$6:$I$256,MATCH($A919,Market_Daily!$A$6:$A$256,0))*($M919-$A919)/day_count_inr)/(1+INDEX(Market_Daily!$J$6:$J$256,MATCH($A919,Market_Daily!$A$6:$A$256,0))*($M919-$A919)/day_count_usd)))))</f>
        <v/>
      </c>
      <c r="AM919" s="8">
        <f>IF(OR($J919="INR",$R919&gt;1),"",$AL919-$X919)</f>
        <v/>
      </c>
      <c r="AN919" s="8">
        <f>$U919</f>
        <v/>
      </c>
      <c r="AO919" s="8">
        <f>$V919</f>
        <v/>
      </c>
      <c r="AP919" s="18">
        <f>$AO919-$V919</f>
        <v/>
      </c>
      <c r="AQ919" s="8">
        <f>IF(ABS($AP919)&lt;=tol_trade_inr,"PASS","FAIL")</f>
        <v/>
      </c>
    </row>
    <row r="920">
      <c r="A920" s="11" t="n">
        <v>44720</v>
      </c>
      <c r="B920" s="7" t="inlineStr">
        <is>
          <t>T02</t>
        </is>
      </c>
      <c r="C920" s="7" t="inlineStr">
        <is>
          <t>USANCE_INTEREST:L1</t>
        </is>
      </c>
      <c r="D920" s="7" t="inlineStr">
        <is>
          <t>USANCE_INTEREST</t>
        </is>
      </c>
      <c r="E920" s="7" t="inlineStr">
        <is>
          <t>physical</t>
        </is>
      </c>
      <c r="F920" s="7" t="inlineStr">
        <is>
          <t>L1</t>
        </is>
      </c>
      <c r="H920" s="7" t="inlineStr">
        <is>
          <t>tense</t>
        </is>
      </c>
      <c r="I920" s="7" t="inlineStr">
        <is>
          <t>JEA_NSA</t>
        </is>
      </c>
      <c r="J920" s="7" t="inlineStr">
        <is>
          <t>USD</t>
        </is>
      </c>
      <c r="K920" s="7" t="inlineStr">
        <is>
          <t>fixed_unsettled</t>
        </is>
      </c>
      <c r="L920" s="7" t="inlineStr">
        <is>
          <t>PNL</t>
        </is>
      </c>
      <c r="M920" s="11" t="n">
        <v>44746</v>
      </c>
      <c r="N920" s="13" t="n">
        <v>0</v>
      </c>
      <c r="O920" s="6" t="n">
        <v>0</v>
      </c>
      <c r="P920" s="13" t="n">
        <v>0</v>
      </c>
      <c r="Q920" s="22" t="n">
        <v>30</v>
      </c>
      <c r="R920" s="6" t="n">
        <v>1</v>
      </c>
      <c r="U920" s="9" t="n">
        <v>-6953.7</v>
      </c>
      <c r="V920" s="9" t="n">
        <v>-541609.15</v>
      </c>
      <c r="X920" s="9" t="n">
        <v>77.8879</v>
      </c>
      <c r="AK920" s="7" t="inlineStr">
        <is>
          <t>PYTHON_LIFECYCLE</t>
        </is>
      </c>
      <c r="AL920" s="8">
        <f>IF($J920="INR",1,IF($M920&lt;$A920,INDEX(Market_Daily!$F$6:$F$256,MATCH($M920,Market_Daily!$A$6:$A$256,1)),IF($M920=$A920,INDEX(Market_Daily!$F$6:$F$256,MATCH($A920,Market_Daily!$A$6:$A$256,0)),(INDEX(Market_Daily!$F$6:$F$256,MATCH($A920,Market_Daily!$A$6:$A$256,0))*(1+INDEX(Market_Daily!$I$6:$I$256,MATCH($A920,Market_Daily!$A$6:$A$256,0))*($M920-$A920)/day_count_inr)/(1+INDEX(Market_Daily!$J$6:$J$256,MATCH($A920,Market_Daily!$A$6:$A$256,0))*($M920-$A920)/day_count_usd)))))</f>
        <v/>
      </c>
      <c r="AM920" s="8">
        <f>IF(OR($J920="INR",$R920&gt;1),"",$AL920-$X920)</f>
        <v/>
      </c>
      <c r="AN920" s="8">
        <f>$U920</f>
        <v/>
      </c>
      <c r="AO920" s="8">
        <f>$AN920*IF($J920="INR",1,$AL920)</f>
        <v/>
      </c>
      <c r="AP920" s="18">
        <f>$AO920-$V920</f>
        <v/>
      </c>
      <c r="AQ920" s="8">
        <f>IF(ABS($AP920)&lt;=tol_trade_inr,"PASS","FAIL")</f>
        <v/>
      </c>
    </row>
    <row r="921">
      <c r="A921" s="11" t="n">
        <v>44720</v>
      </c>
      <c r="B921" s="7" t="inlineStr">
        <is>
          <t>T02</t>
        </is>
      </c>
      <c r="C921" s="7" t="inlineStr">
        <is>
          <t>USANCE_INTEREST:L2</t>
        </is>
      </c>
      <c r="D921" s="7" t="inlineStr">
        <is>
          <t>USANCE_INTEREST</t>
        </is>
      </c>
      <c r="E921" s="7" t="inlineStr">
        <is>
          <t>physical</t>
        </is>
      </c>
      <c r="F921" s="7" t="inlineStr">
        <is>
          <t>L2</t>
        </is>
      </c>
      <c r="H921" s="7" t="inlineStr">
        <is>
          <t>tense</t>
        </is>
      </c>
      <c r="I921" s="7" t="inlineStr">
        <is>
          <t>JEA_NSA</t>
        </is>
      </c>
      <c r="J921" s="7" t="inlineStr">
        <is>
          <t>USD</t>
        </is>
      </c>
      <c r="K921" s="7" t="inlineStr">
        <is>
          <t>fixed_unsettled</t>
        </is>
      </c>
      <c r="L921" s="7" t="inlineStr">
        <is>
          <t>PNL</t>
        </is>
      </c>
      <c r="M921" s="11" t="n">
        <v>44754</v>
      </c>
      <c r="N921" s="13" t="n">
        <v>0</v>
      </c>
      <c r="O921" s="6" t="n">
        <v>0</v>
      </c>
      <c r="P921" s="13" t="n">
        <v>0</v>
      </c>
      <c r="Q921" s="22" t="n">
        <v>30</v>
      </c>
      <c r="R921" s="6" t="n">
        <v>1</v>
      </c>
      <c r="U921" s="9" t="n">
        <v>-6760.21</v>
      </c>
      <c r="V921" s="9" t="n">
        <v>-526983.1800000001</v>
      </c>
      <c r="X921" s="9" t="n">
        <v>77.95359999999999</v>
      </c>
      <c r="AK921" s="7" t="inlineStr">
        <is>
          <t>PYTHON_LIFECYCLE</t>
        </is>
      </c>
      <c r="AL921" s="8">
        <f>IF($J921="INR",1,IF($M921&lt;$A921,INDEX(Market_Daily!$F$6:$F$256,MATCH($M921,Market_Daily!$A$6:$A$256,1)),IF($M921=$A921,INDEX(Market_Daily!$F$6:$F$256,MATCH($A921,Market_Daily!$A$6:$A$256,0)),(INDEX(Market_Daily!$F$6:$F$256,MATCH($A921,Market_Daily!$A$6:$A$256,0))*(1+INDEX(Market_Daily!$I$6:$I$256,MATCH($A921,Market_Daily!$A$6:$A$256,0))*($M921-$A921)/day_count_inr)/(1+INDEX(Market_Daily!$J$6:$J$256,MATCH($A921,Market_Daily!$A$6:$A$256,0))*($M921-$A921)/day_count_usd)))))</f>
        <v/>
      </c>
      <c r="AM921" s="8">
        <f>IF(OR($J921="INR",$R921&gt;1),"",$AL921-$X921)</f>
        <v/>
      </c>
      <c r="AN921" s="8">
        <f>$U921</f>
        <v/>
      </c>
      <c r="AO921" s="8">
        <f>$AN921*IF($J921="INR",1,$AL921)</f>
        <v/>
      </c>
      <c r="AP921" s="18">
        <f>$AO921-$V921</f>
        <v/>
      </c>
      <c r="AQ921" s="8">
        <f>IF(ABS($AP921)&lt;=tol_trade_inr,"PASS","FAIL")</f>
        <v/>
      </c>
    </row>
    <row r="922">
      <c r="A922" s="11" t="n">
        <v>44720</v>
      </c>
      <c r="B922" s="7" t="inlineStr">
        <is>
          <t>T03</t>
        </is>
      </c>
      <c r="C922" s="7" t="inlineStr">
        <is>
          <t>IGST:L2</t>
        </is>
      </c>
      <c r="D922" s="7" t="inlineStr">
        <is>
          <t>IGST</t>
        </is>
      </c>
      <c r="E922" s="7" t="inlineStr">
        <is>
          <t>physical</t>
        </is>
      </c>
      <c r="F922" s="7" t="inlineStr">
        <is>
          <t>L2</t>
        </is>
      </c>
      <c r="H922" s="7" t="inlineStr">
        <is>
          <t>taint_tabor</t>
        </is>
      </c>
      <c r="I922" s="7" t="inlineStr">
        <is>
          <t>JEA_NSA</t>
        </is>
      </c>
      <c r="J922" s="7" t="inlineStr">
        <is>
          <t>INR</t>
        </is>
      </c>
      <c r="K922" s="7" t="inlineStr">
        <is>
          <t>fixed_unsettled</t>
        </is>
      </c>
      <c r="L922" s="7" t="inlineStr">
        <is>
          <t>BS</t>
        </is>
      </c>
      <c r="M922" s="11" t="n">
        <v>44725</v>
      </c>
      <c r="N922" s="13" t="n">
        <v>0</v>
      </c>
      <c r="O922" s="6" t="n">
        <v>0</v>
      </c>
      <c r="P922" s="13" t="n">
        <v>0</v>
      </c>
      <c r="Q922" s="22" t="n">
        <v>30</v>
      </c>
      <c r="R922" s="6" t="n">
        <v>2</v>
      </c>
      <c r="U922" s="9" t="n">
        <v>0</v>
      </c>
      <c r="V922" s="9" t="n">
        <v>0</v>
      </c>
      <c r="X922" s="9" t="n">
        <v>77.6739</v>
      </c>
      <c r="AK922" s="7" t="inlineStr">
        <is>
          <t>PYTHON_MULTI_FLOW_LEG</t>
        </is>
      </c>
      <c r="AL922" s="8">
        <f>IF($J922="INR",1,IF($M922&lt;$A922,INDEX(Market_Daily!$F$6:$F$256,MATCH($M922,Market_Daily!$A$6:$A$256,1)),IF($M922=$A922,INDEX(Market_Daily!$F$6:$F$256,MATCH($A922,Market_Daily!$A$6:$A$256,0)),(INDEX(Market_Daily!$F$6:$F$256,MATCH($A922,Market_Daily!$A$6:$A$256,0))*(1+INDEX(Market_Daily!$I$6:$I$256,MATCH($A922,Market_Daily!$A$6:$A$256,0))*($M922-$A922)/day_count_inr)/(1+INDEX(Market_Daily!$J$6:$J$256,MATCH($A922,Market_Daily!$A$6:$A$256,0))*($M922-$A922)/day_count_usd)))))</f>
        <v/>
      </c>
      <c r="AM922" s="8">
        <f>IF(OR($J922="INR",$R922&gt;1),"",$AL922-$X922)</f>
        <v/>
      </c>
      <c r="AN922" s="8">
        <f>$U922</f>
        <v/>
      </c>
      <c r="AO922" s="8">
        <f>$V922</f>
        <v/>
      </c>
      <c r="AP922" s="18">
        <f>$AO922-$V922</f>
        <v/>
      </c>
      <c r="AQ922" s="8">
        <f>IF(ABS($AP922)&lt;=tol_trade_inr,"PASS","FAIL")</f>
        <v/>
      </c>
    </row>
    <row r="923">
      <c r="A923" s="11" t="n">
        <v>44720</v>
      </c>
      <c r="B923" s="7" t="inlineStr">
        <is>
          <t>T04</t>
        </is>
      </c>
      <c r="C923" s="7" t="inlineStr">
        <is>
          <t>DUTY:L2</t>
        </is>
      </c>
      <c r="D923" s="7" t="inlineStr">
        <is>
          <t>DUTY</t>
        </is>
      </c>
      <c r="E923" s="7" t="inlineStr">
        <is>
          <t>physical</t>
        </is>
      </c>
      <c r="F923" s="7" t="inlineStr">
        <is>
          <t>L2</t>
        </is>
      </c>
      <c r="H923" s="7" t="inlineStr">
        <is>
          <t>taint_tabor</t>
        </is>
      </c>
      <c r="I923" s="7" t="inlineStr">
        <is>
          <t>USEC_MUN</t>
        </is>
      </c>
      <c r="J923" s="7" t="inlineStr">
        <is>
          <t>INR</t>
        </is>
      </c>
      <c r="K923" s="7" t="inlineStr">
        <is>
          <t>floating</t>
        </is>
      </c>
      <c r="L923" s="7" t="inlineStr">
        <is>
          <t>PNL</t>
        </is>
      </c>
      <c r="M923" s="11" t="n">
        <v>44726</v>
      </c>
      <c r="N923" s="13" t="n">
        <v>630</v>
      </c>
      <c r="O923" s="6" t="n">
        <v>0</v>
      </c>
      <c r="P923" s="13" t="n">
        <v>0</v>
      </c>
      <c r="Q923" s="22" t="n">
        <v>30</v>
      </c>
      <c r="R923" s="6" t="n">
        <v>1</v>
      </c>
      <c r="U923" s="9" t="n">
        <v>-3411227.16</v>
      </c>
      <c r="V923" s="9" t="n">
        <v>-3411227.16</v>
      </c>
      <c r="X923" s="9" t="n">
        <v>77.6739</v>
      </c>
      <c r="AK923" s="7" t="inlineStr">
        <is>
          <t>PYTHON_LIFECYCLE</t>
        </is>
      </c>
      <c r="AL923" s="8">
        <f>IF($J923="INR",1,IF($M923&lt;$A923,INDEX(Market_Daily!$F$6:$F$256,MATCH($M923,Market_Daily!$A$6:$A$256,1)),IF($M923=$A923,INDEX(Market_Daily!$F$6:$F$256,MATCH($A923,Market_Daily!$A$6:$A$256,0)),(INDEX(Market_Daily!$F$6:$F$256,MATCH($A923,Market_Daily!$A$6:$A$256,0))*(1+INDEX(Market_Daily!$I$6:$I$256,MATCH($A923,Market_Daily!$A$6:$A$256,0))*($M923-$A923)/day_count_inr)/(1+INDEX(Market_Daily!$J$6:$J$256,MATCH($A923,Market_Daily!$A$6:$A$256,0))*($M923-$A923)/day_count_usd)))))</f>
        <v/>
      </c>
      <c r="AM923" s="8">
        <f>IF(OR($J923="INR",$R923&gt;1),"",$AL923-$X923)</f>
        <v/>
      </c>
      <c r="AN923" s="8">
        <f>$U923</f>
        <v/>
      </c>
      <c r="AO923" s="8">
        <f>$AN923*IF($J923="INR",1,$AL923)</f>
        <v/>
      </c>
      <c r="AP923" s="18">
        <f>$AO923-$V923</f>
        <v/>
      </c>
      <c r="AQ923" s="8">
        <f>IF(ABS($AP923)&lt;=tol_trade_inr,"PASS","FAIL")</f>
        <v/>
      </c>
    </row>
    <row r="924">
      <c r="A924" s="11" t="n">
        <v>44720</v>
      </c>
      <c r="B924" s="7" t="inlineStr">
        <is>
          <t>T04</t>
        </is>
      </c>
      <c r="C924" s="7" t="inlineStr">
        <is>
          <t>IGST:L1</t>
        </is>
      </c>
      <c r="D924" s="7" t="inlineStr">
        <is>
          <t>IGST</t>
        </is>
      </c>
      <c r="E924" s="7" t="inlineStr">
        <is>
          <t>physical</t>
        </is>
      </c>
      <c r="F924" s="7" t="inlineStr">
        <is>
          <t>L1</t>
        </is>
      </c>
      <c r="H924" s="7" t="inlineStr">
        <is>
          <t>taint_tabor</t>
        </is>
      </c>
      <c r="I924" s="7" t="inlineStr">
        <is>
          <t>USEC_MUN</t>
        </is>
      </c>
      <c r="J924" s="7" t="inlineStr">
        <is>
          <t>INR</t>
        </is>
      </c>
      <c r="K924" s="7" t="inlineStr">
        <is>
          <t>fixed_unsettled</t>
        </is>
      </c>
      <c r="L924" s="7" t="inlineStr">
        <is>
          <t>BS</t>
        </is>
      </c>
      <c r="M924" s="11" t="n">
        <v>44764</v>
      </c>
      <c r="N924" s="13" t="n">
        <v>0</v>
      </c>
      <c r="O924" s="6" t="n">
        <v>0</v>
      </c>
      <c r="P924" s="13" t="n">
        <v>0</v>
      </c>
      <c r="Q924" s="22" t="n">
        <v>30</v>
      </c>
      <c r="R924" s="6" t="n">
        <v>2</v>
      </c>
      <c r="U924" s="9" t="n">
        <v>0</v>
      </c>
      <c r="V924" s="9" t="n">
        <v>0</v>
      </c>
      <c r="X924" s="9" t="n">
        <v>77.6739</v>
      </c>
      <c r="AK924" s="7" t="inlineStr">
        <is>
          <t>PYTHON_MULTI_FLOW_LEG</t>
        </is>
      </c>
      <c r="AL924" s="8">
        <f>IF($J924="INR",1,IF($M924&lt;$A924,INDEX(Market_Daily!$F$6:$F$256,MATCH($M924,Market_Daily!$A$6:$A$256,1)),IF($M924=$A924,INDEX(Market_Daily!$F$6:$F$256,MATCH($A924,Market_Daily!$A$6:$A$256,0)),(INDEX(Market_Daily!$F$6:$F$256,MATCH($A924,Market_Daily!$A$6:$A$256,0))*(1+INDEX(Market_Daily!$I$6:$I$256,MATCH($A924,Market_Daily!$A$6:$A$256,0))*($M924-$A924)/day_count_inr)/(1+INDEX(Market_Daily!$J$6:$J$256,MATCH($A924,Market_Daily!$A$6:$A$256,0))*($M924-$A924)/day_count_usd)))))</f>
        <v/>
      </c>
      <c r="AM924" s="8">
        <f>IF(OR($J924="INR",$R924&gt;1),"",$AL924-$X924)</f>
        <v/>
      </c>
      <c r="AN924" s="8">
        <f>$U924</f>
        <v/>
      </c>
      <c r="AO924" s="8">
        <f>$V924</f>
        <v/>
      </c>
      <c r="AP924" s="18">
        <f>$AO924-$V924</f>
        <v/>
      </c>
      <c r="AQ924" s="8">
        <f>IF(ABS($AP924)&lt;=tol_trade_inr,"PASS","FAIL")</f>
        <v/>
      </c>
    </row>
    <row r="925">
      <c r="A925" s="11" t="n">
        <v>44720</v>
      </c>
      <c r="B925" s="7" t="inlineStr">
        <is>
          <t>T04</t>
        </is>
      </c>
      <c r="C925" s="7" t="inlineStr">
        <is>
          <t>IGST:L2</t>
        </is>
      </c>
      <c r="D925" s="7" t="inlineStr">
        <is>
          <t>IGST</t>
        </is>
      </c>
      <c r="E925" s="7" t="inlineStr">
        <is>
          <t>physical</t>
        </is>
      </c>
      <c r="F925" s="7" t="inlineStr">
        <is>
          <t>L2</t>
        </is>
      </c>
      <c r="H925" s="7" t="inlineStr">
        <is>
          <t>taint_tabor</t>
        </is>
      </c>
      <c r="I925" s="7" t="inlineStr">
        <is>
          <t>USEC_MUN</t>
        </is>
      </c>
      <c r="J925" s="7" t="inlineStr">
        <is>
          <t>INR</t>
        </is>
      </c>
      <c r="K925" s="7" t="inlineStr">
        <is>
          <t>floating</t>
        </is>
      </c>
      <c r="L925" s="7" t="inlineStr">
        <is>
          <t>BS</t>
        </is>
      </c>
      <c r="M925" s="11" t="n">
        <v>44771</v>
      </c>
      <c r="N925" s="13" t="n">
        <v>0</v>
      </c>
      <c r="O925" s="6" t="n">
        <v>0</v>
      </c>
      <c r="P925" s="13" t="n">
        <v>0</v>
      </c>
      <c r="Q925" s="22" t="n">
        <v>30</v>
      </c>
      <c r="R925" s="6" t="n">
        <v>2</v>
      </c>
      <c r="U925" s="9" t="n">
        <v>0</v>
      </c>
      <c r="V925" s="9" t="n">
        <v>0</v>
      </c>
      <c r="X925" s="9" t="n">
        <v>77.6739</v>
      </c>
      <c r="AK925" s="7" t="inlineStr">
        <is>
          <t>PYTHON_MULTI_FLOW_LEG</t>
        </is>
      </c>
      <c r="AL925" s="8">
        <f>IF($J925="INR",1,IF($M925&lt;$A925,INDEX(Market_Daily!$F$6:$F$256,MATCH($M925,Market_Daily!$A$6:$A$256,1)),IF($M925=$A925,INDEX(Market_Daily!$F$6:$F$256,MATCH($A925,Market_Daily!$A$6:$A$256,0)),(INDEX(Market_Daily!$F$6:$F$256,MATCH($A925,Market_Daily!$A$6:$A$256,0))*(1+INDEX(Market_Daily!$I$6:$I$256,MATCH($A925,Market_Daily!$A$6:$A$256,0))*($M925-$A925)/day_count_inr)/(1+INDEX(Market_Daily!$J$6:$J$256,MATCH($A925,Market_Daily!$A$6:$A$256,0))*($M925-$A925)/day_count_usd)))))</f>
        <v/>
      </c>
      <c r="AM925" s="8">
        <f>IF(OR($J925="INR",$R925&gt;1),"",$AL925-$X925)</f>
        <v/>
      </c>
      <c r="AN925" s="8">
        <f>$U925</f>
        <v/>
      </c>
      <c r="AO925" s="8">
        <f>$V925</f>
        <v/>
      </c>
      <c r="AP925" s="18">
        <f>$AO925-$V925</f>
        <v/>
      </c>
      <c r="AQ925" s="8">
        <f>IF(ABS($AP925)&lt;=tol_trade_inr,"PASS","FAIL")</f>
        <v/>
      </c>
    </row>
    <row r="926">
      <c r="A926" s="11" t="n">
        <v>44720</v>
      </c>
      <c r="B926" s="7" t="inlineStr">
        <is>
          <t>T04</t>
        </is>
      </c>
      <c r="C926" s="7" t="inlineStr">
        <is>
          <t>PORT:L1</t>
        </is>
      </c>
      <c r="D926" s="7" t="inlineStr">
        <is>
          <t>PORT</t>
        </is>
      </c>
      <c r="E926" s="7" t="inlineStr">
        <is>
          <t>physical</t>
        </is>
      </c>
      <c r="F926" s="7" t="inlineStr">
        <is>
          <t>L1</t>
        </is>
      </c>
      <c r="H926" s="7" t="inlineStr">
        <is>
          <t>taint_tabor</t>
        </is>
      </c>
      <c r="I926" s="7" t="inlineStr">
        <is>
          <t>USEC_MUN</t>
        </is>
      </c>
      <c r="J926" s="7" t="inlineStr">
        <is>
          <t>INR</t>
        </is>
      </c>
      <c r="K926" s="7" t="inlineStr">
        <is>
          <t>fixed_unsettled</t>
        </is>
      </c>
      <c r="L926" s="7" t="inlineStr">
        <is>
          <t>PNL</t>
        </is>
      </c>
      <c r="M926" s="11" t="n">
        <v>44728</v>
      </c>
      <c r="N926" s="13" t="n">
        <v>0</v>
      </c>
      <c r="O926" s="6" t="n">
        <v>0</v>
      </c>
      <c r="P926" s="13" t="n">
        <v>0</v>
      </c>
      <c r="Q926" s="22" t="n">
        <v>30</v>
      </c>
      <c r="R926" s="6" t="n">
        <v>1</v>
      </c>
      <c r="U926" s="9" t="n">
        <v>-1669500</v>
      </c>
      <c r="V926" s="9" t="n">
        <v>-1669500</v>
      </c>
      <c r="X926" s="9" t="n">
        <v>77.6739</v>
      </c>
      <c r="AK926" s="7" t="inlineStr">
        <is>
          <t>PYTHON_LIFECYCLE</t>
        </is>
      </c>
      <c r="AL926" s="8">
        <f>IF($J926="INR",1,IF($M926&lt;$A926,INDEX(Market_Daily!$F$6:$F$256,MATCH($M926,Market_Daily!$A$6:$A$256,1)),IF($M926=$A926,INDEX(Market_Daily!$F$6:$F$256,MATCH($A926,Market_Daily!$A$6:$A$256,0)),(INDEX(Market_Daily!$F$6:$F$256,MATCH($A926,Market_Daily!$A$6:$A$256,0))*(1+INDEX(Market_Daily!$I$6:$I$256,MATCH($A926,Market_Daily!$A$6:$A$256,0))*($M926-$A926)/day_count_inr)/(1+INDEX(Market_Daily!$J$6:$J$256,MATCH($A926,Market_Daily!$A$6:$A$256,0))*($M926-$A926)/day_count_usd)))))</f>
        <v/>
      </c>
      <c r="AM926" s="8">
        <f>IF(OR($J926="INR",$R926&gt;1),"",$AL926-$X926)</f>
        <v/>
      </c>
      <c r="AN926" s="8">
        <f>$U926</f>
        <v/>
      </c>
      <c r="AO926" s="8">
        <f>$AN926*IF($J926="INR",1,$AL926)</f>
        <v/>
      </c>
      <c r="AP926" s="18">
        <f>$AO926-$V926</f>
        <v/>
      </c>
      <c r="AQ926" s="8">
        <f>IF(ABS($AP926)&lt;=tol_trade_inr,"PASS","FAIL")</f>
        <v/>
      </c>
    </row>
    <row r="927">
      <c r="A927" s="11" t="n">
        <v>44720</v>
      </c>
      <c r="B927" s="7" t="inlineStr">
        <is>
          <t>T04</t>
        </is>
      </c>
      <c r="C927" s="7" t="inlineStr">
        <is>
          <t>PORT:L2</t>
        </is>
      </c>
      <c r="D927" s="7" t="inlineStr">
        <is>
          <t>PORT</t>
        </is>
      </c>
      <c r="E927" s="7" t="inlineStr">
        <is>
          <t>physical</t>
        </is>
      </c>
      <c r="F927" s="7" t="inlineStr">
        <is>
          <t>L2</t>
        </is>
      </c>
      <c r="H927" s="7" t="inlineStr">
        <is>
          <t>taint_tabor</t>
        </is>
      </c>
      <c r="I927" s="7" t="inlineStr">
        <is>
          <t>USEC_MUN</t>
        </is>
      </c>
      <c r="J927" s="7" t="inlineStr">
        <is>
          <t>INR</t>
        </is>
      </c>
      <c r="K927" s="7" t="inlineStr">
        <is>
          <t>fixed_unsettled</t>
        </is>
      </c>
      <c r="L927" s="7" t="inlineStr">
        <is>
          <t>PNL</t>
        </is>
      </c>
      <c r="M927" s="11" t="n">
        <v>44735</v>
      </c>
      <c r="N927" s="13" t="n">
        <v>0</v>
      </c>
      <c r="O927" s="6" t="n">
        <v>0</v>
      </c>
      <c r="P927" s="13" t="n">
        <v>0</v>
      </c>
      <c r="Q927" s="22" t="n">
        <v>30</v>
      </c>
      <c r="R927" s="6" t="n">
        <v>1</v>
      </c>
      <c r="U927" s="9" t="n">
        <v>-1669500</v>
      </c>
      <c r="V927" s="9" t="n">
        <v>-1669500</v>
      </c>
      <c r="X927" s="9" t="n">
        <v>77.6739</v>
      </c>
      <c r="AK927" s="7" t="inlineStr">
        <is>
          <t>PYTHON_LIFECYCLE</t>
        </is>
      </c>
      <c r="AL927" s="8">
        <f>IF($J927="INR",1,IF($M927&lt;$A927,INDEX(Market_Daily!$F$6:$F$256,MATCH($M927,Market_Daily!$A$6:$A$256,1)),IF($M927=$A927,INDEX(Market_Daily!$F$6:$F$256,MATCH($A927,Market_Daily!$A$6:$A$256,0)),(INDEX(Market_Daily!$F$6:$F$256,MATCH($A927,Market_Daily!$A$6:$A$256,0))*(1+INDEX(Market_Daily!$I$6:$I$256,MATCH($A927,Market_Daily!$A$6:$A$256,0))*($M927-$A927)/day_count_inr)/(1+INDEX(Market_Daily!$J$6:$J$256,MATCH($A927,Market_Daily!$A$6:$A$256,0))*($M927-$A927)/day_count_usd)))))</f>
        <v/>
      </c>
      <c r="AM927" s="8">
        <f>IF(OR($J927="INR",$R927&gt;1),"",$AL927-$X927)</f>
        <v/>
      </c>
      <c r="AN927" s="8">
        <f>$U927</f>
        <v/>
      </c>
      <c r="AO927" s="8">
        <f>$AN927*IF($J927="INR",1,$AL927)</f>
        <v/>
      </c>
      <c r="AP927" s="18">
        <f>$AO927-$V927</f>
        <v/>
      </c>
      <c r="AQ927" s="8">
        <f>IF(ABS($AP927)&lt;=tol_trade_inr,"PASS","FAIL")</f>
        <v/>
      </c>
    </row>
    <row r="928">
      <c r="A928" s="11" t="n">
        <v>44720</v>
      </c>
      <c r="B928" s="7" t="inlineStr">
        <is>
          <t>T04</t>
        </is>
      </c>
      <c r="C928" s="7" t="inlineStr">
        <is>
          <t>SALE:S1</t>
        </is>
      </c>
      <c r="D928" s="7" t="inlineStr">
        <is>
          <t>SALE</t>
        </is>
      </c>
      <c r="E928" s="7" t="inlineStr">
        <is>
          <t>physical</t>
        </is>
      </c>
      <c r="G928" s="7" t="inlineStr">
        <is>
          <t>BUY_RJK_01</t>
        </is>
      </c>
      <c r="H928" s="7" t="inlineStr">
        <is>
          <t>taint_tabor</t>
        </is>
      </c>
      <c r="I928" s="7" t="inlineStr">
        <is>
          <t>USEC_MUN</t>
        </is>
      </c>
      <c r="J928" s="7" t="inlineStr">
        <is>
          <t>INR</t>
        </is>
      </c>
      <c r="K928" s="7" t="inlineStr">
        <is>
          <t>floating</t>
        </is>
      </c>
      <c r="L928" s="7" t="inlineStr">
        <is>
          <t>PNL</t>
        </is>
      </c>
      <c r="M928" s="11" t="n">
        <v>44767</v>
      </c>
      <c r="N928" s="13" t="n">
        <v>2520</v>
      </c>
      <c r="O928" s="6" t="n">
        <v>0</v>
      </c>
      <c r="P928" s="13" t="n">
        <v>0</v>
      </c>
      <c r="Q928" s="22" t="n">
        <v>30</v>
      </c>
      <c r="R928" s="6" t="n">
        <v>2</v>
      </c>
      <c r="U928" s="9" t="n">
        <v>245070000</v>
      </c>
      <c r="V928" s="9" t="n">
        <v>245070000</v>
      </c>
      <c r="W928" s="9" t="n">
        <v>194500</v>
      </c>
      <c r="X928" s="9" t="n">
        <v>77.6739</v>
      </c>
      <c r="AK928" s="7" t="inlineStr">
        <is>
          <t>PYTHON_MULTI_FLOW_LEG</t>
        </is>
      </c>
      <c r="AL928" s="8">
        <f>IF($J928="INR",1,IF($M928&lt;$A928,INDEX(Market_Daily!$F$6:$F$256,MATCH($M928,Market_Daily!$A$6:$A$256,1)),IF($M928=$A928,INDEX(Market_Daily!$F$6:$F$256,MATCH($A928,Market_Daily!$A$6:$A$256,0)),(INDEX(Market_Daily!$F$6:$F$256,MATCH($A928,Market_Daily!$A$6:$A$256,0))*(1+INDEX(Market_Daily!$I$6:$I$256,MATCH($A928,Market_Daily!$A$6:$A$256,0))*($M928-$A928)/day_count_inr)/(1+INDEX(Market_Daily!$J$6:$J$256,MATCH($A928,Market_Daily!$A$6:$A$256,0))*($M928-$A928)/day_count_usd)))))</f>
        <v/>
      </c>
      <c r="AM928" s="8">
        <f>IF(OR($J928="INR",$R928&gt;1),"",$AL928-$X928)</f>
        <v/>
      </c>
      <c r="AN928" s="8">
        <f>$U928</f>
        <v/>
      </c>
      <c r="AO928" s="8">
        <f>$V928</f>
        <v/>
      </c>
      <c r="AP928" s="18">
        <f>$AO928-$V928</f>
        <v/>
      </c>
      <c r="AQ928" s="8">
        <f>IF(ABS($AP928)&lt;=tol_trade_inr,"PASS","FAIL")</f>
        <v/>
      </c>
    </row>
    <row r="929">
      <c r="A929" s="11" t="n">
        <v>44720</v>
      </c>
      <c r="B929" s="7" t="inlineStr">
        <is>
          <t>T05</t>
        </is>
      </c>
      <c r="C929" s="7" t="inlineStr">
        <is>
          <t>BILL_COMMISSION:L1</t>
        </is>
      </c>
      <c r="D929" s="7" t="inlineStr">
        <is>
          <t>BILL_COMMISSION</t>
        </is>
      </c>
      <c r="E929" s="7" t="inlineStr">
        <is>
          <t>physical</t>
        </is>
      </c>
      <c r="F929" s="7" t="inlineStr">
        <is>
          <t>L1</t>
        </is>
      </c>
      <c r="H929" s="7" t="inlineStr">
        <is>
          <t>tense</t>
        </is>
      </c>
      <c r="I929" s="7" t="inlineStr">
        <is>
          <t>USEC_MUN</t>
        </is>
      </c>
      <c r="J929" s="7" t="inlineStr">
        <is>
          <t>USD</t>
        </is>
      </c>
      <c r="K929" s="7" t="inlineStr">
        <is>
          <t>floating</t>
        </is>
      </c>
      <c r="L929" s="7" t="inlineStr">
        <is>
          <t>PNL</t>
        </is>
      </c>
      <c r="M929" s="11" t="n">
        <v>44753</v>
      </c>
      <c r="N929" s="13" t="n">
        <v>0</v>
      </c>
      <c r="O929" s="6" t="n">
        <v>0</v>
      </c>
      <c r="P929" s="13" t="n">
        <v>0</v>
      </c>
      <c r="Q929" s="22" t="n">
        <v>30</v>
      </c>
      <c r="R929" s="6" t="n">
        <v>1</v>
      </c>
      <c r="U929" s="9" t="n">
        <v>-2249.47</v>
      </c>
      <c r="V929" s="9" t="n">
        <v>-175335.66</v>
      </c>
      <c r="X929" s="9" t="n">
        <v>77.94540000000001</v>
      </c>
      <c r="AK929" s="7" t="inlineStr">
        <is>
          <t>PYTHON_LIFECYCLE</t>
        </is>
      </c>
      <c r="AL929" s="8">
        <f>IF($J929="INR",1,IF($M929&lt;$A929,INDEX(Market_Daily!$F$6:$F$256,MATCH($M929,Market_Daily!$A$6:$A$256,1)),IF($M929=$A929,INDEX(Market_Daily!$F$6:$F$256,MATCH($A929,Market_Daily!$A$6:$A$256,0)),(INDEX(Market_Daily!$F$6:$F$256,MATCH($A929,Market_Daily!$A$6:$A$256,0))*(1+INDEX(Market_Daily!$I$6:$I$256,MATCH($A929,Market_Daily!$A$6:$A$256,0))*($M929-$A929)/day_count_inr)/(1+INDEX(Market_Daily!$J$6:$J$256,MATCH($A929,Market_Daily!$A$6:$A$256,0))*($M929-$A929)/day_count_usd)))))</f>
        <v/>
      </c>
      <c r="AM929" s="8">
        <f>IF(OR($J929="INR",$R929&gt;1),"",$AL929-$X929)</f>
        <v/>
      </c>
      <c r="AN929" s="8">
        <f>$U929</f>
        <v/>
      </c>
      <c r="AO929" s="8">
        <f>$AN929*IF($J929="INR",1,$AL929)</f>
        <v/>
      </c>
      <c r="AP929" s="18">
        <f>$AO929-$V929</f>
        <v/>
      </c>
      <c r="AQ929" s="8">
        <f>IF(ABS($AP929)&lt;=tol_trade_inr,"PASS","FAIL")</f>
        <v/>
      </c>
    </row>
    <row r="930">
      <c r="A930" s="11" t="n">
        <v>44720</v>
      </c>
      <c r="B930" s="7" t="inlineStr">
        <is>
          <t>T05</t>
        </is>
      </c>
      <c r="C930" s="7" t="inlineStr">
        <is>
          <t>BILL_COMMISSION:L2</t>
        </is>
      </c>
      <c r="D930" s="7" t="inlineStr">
        <is>
          <t>BILL_COMMISSION</t>
        </is>
      </c>
      <c r="E930" s="7" t="inlineStr">
        <is>
          <t>physical</t>
        </is>
      </c>
      <c r="F930" s="7" t="inlineStr">
        <is>
          <t>L2</t>
        </is>
      </c>
      <c r="H930" s="7" t="inlineStr">
        <is>
          <t>tense</t>
        </is>
      </c>
      <c r="I930" s="7" t="inlineStr">
        <is>
          <t>USEC_MUN</t>
        </is>
      </c>
      <c r="J930" s="7" t="inlineStr">
        <is>
          <t>USD</t>
        </is>
      </c>
      <c r="K930" s="7" t="inlineStr">
        <is>
          <t>floating</t>
        </is>
      </c>
      <c r="L930" s="7" t="inlineStr">
        <is>
          <t>PNL</t>
        </is>
      </c>
      <c r="M930" s="11" t="n">
        <v>44760</v>
      </c>
      <c r="N930" s="13" t="n">
        <v>0</v>
      </c>
      <c r="O930" s="6" t="n">
        <v>0</v>
      </c>
      <c r="P930" s="13" t="n">
        <v>0</v>
      </c>
      <c r="Q930" s="22" t="n">
        <v>30</v>
      </c>
      <c r="R930" s="6" t="n">
        <v>1</v>
      </c>
      <c r="U930" s="9" t="n">
        <v>-2390.64</v>
      </c>
      <c r="V930" s="9" t="n">
        <v>-186476.67</v>
      </c>
      <c r="X930" s="9" t="n">
        <v>78.0029</v>
      </c>
      <c r="AK930" s="7" t="inlineStr">
        <is>
          <t>PYTHON_LIFECYCLE</t>
        </is>
      </c>
      <c r="AL930" s="8">
        <f>IF($J930="INR",1,IF($M930&lt;$A930,INDEX(Market_Daily!$F$6:$F$256,MATCH($M930,Market_Daily!$A$6:$A$256,1)),IF($M930=$A930,INDEX(Market_Daily!$F$6:$F$256,MATCH($A930,Market_Daily!$A$6:$A$256,0)),(INDEX(Market_Daily!$F$6:$F$256,MATCH($A930,Market_Daily!$A$6:$A$256,0))*(1+INDEX(Market_Daily!$I$6:$I$256,MATCH($A930,Market_Daily!$A$6:$A$256,0))*($M930-$A930)/day_count_inr)/(1+INDEX(Market_Daily!$J$6:$J$256,MATCH($A930,Market_Daily!$A$6:$A$256,0))*($M930-$A930)/day_count_usd)))))</f>
        <v/>
      </c>
      <c r="AM930" s="8">
        <f>IF(OR($J930="INR",$R930&gt;1),"",$AL930-$X930)</f>
        <v/>
      </c>
      <c r="AN930" s="8">
        <f>$U930</f>
        <v/>
      </c>
      <c r="AO930" s="8">
        <f>$AN930*IF($J930="INR",1,$AL930)</f>
        <v/>
      </c>
      <c r="AP930" s="18">
        <f>$AO930-$V930</f>
        <v/>
      </c>
      <c r="AQ930" s="8">
        <f>IF(ABS($AP930)&lt;=tol_trade_inr,"PASS","FAIL")</f>
        <v/>
      </c>
    </row>
    <row r="931">
      <c r="A931" s="11" t="n">
        <v>44720</v>
      </c>
      <c r="B931" s="7" t="inlineStr">
        <is>
          <t>T05</t>
        </is>
      </c>
      <c r="C931" s="7" t="inlineStr">
        <is>
          <t>DUTY:L1</t>
        </is>
      </c>
      <c r="D931" s="7" t="inlineStr">
        <is>
          <t>DUTY</t>
        </is>
      </c>
      <c r="E931" s="7" t="inlineStr">
        <is>
          <t>physical</t>
        </is>
      </c>
      <c r="F931" s="7" t="inlineStr">
        <is>
          <t>L1</t>
        </is>
      </c>
      <c r="H931" s="7" t="inlineStr">
        <is>
          <t>tense</t>
        </is>
      </c>
      <c r="I931" s="7" t="inlineStr">
        <is>
          <t>USEC_MUN</t>
        </is>
      </c>
      <c r="J931" s="7" t="inlineStr">
        <is>
          <t>INR</t>
        </is>
      </c>
      <c r="K931" s="7" t="inlineStr">
        <is>
          <t>floating</t>
        </is>
      </c>
      <c r="L931" s="7" t="inlineStr">
        <is>
          <t>PNL</t>
        </is>
      </c>
      <c r="M931" s="11" t="n">
        <v>44749</v>
      </c>
      <c r="N931" s="13" t="n">
        <v>1050</v>
      </c>
      <c r="O931" s="6" t="n">
        <v>0</v>
      </c>
      <c r="P931" s="13" t="n">
        <v>0</v>
      </c>
      <c r="Q931" s="22" t="n">
        <v>30</v>
      </c>
      <c r="R931" s="6" t="n">
        <v>2</v>
      </c>
      <c r="U931" s="9" t="n">
        <v>-4399699.1</v>
      </c>
      <c r="V931" s="9" t="n">
        <v>-4399699.1</v>
      </c>
      <c r="X931" s="9" t="n">
        <v>77.6739</v>
      </c>
      <c r="AK931" s="7" t="inlineStr">
        <is>
          <t>PYTHON_MULTI_FLOW_LEG</t>
        </is>
      </c>
      <c r="AL931" s="8">
        <f>IF($J931="INR",1,IF($M931&lt;$A931,INDEX(Market_Daily!$F$6:$F$256,MATCH($M931,Market_Daily!$A$6:$A$256,1)),IF($M931=$A931,INDEX(Market_Daily!$F$6:$F$256,MATCH($A931,Market_Daily!$A$6:$A$256,0)),(INDEX(Market_Daily!$F$6:$F$256,MATCH($A931,Market_Daily!$A$6:$A$256,0))*(1+INDEX(Market_Daily!$I$6:$I$256,MATCH($A931,Market_Daily!$A$6:$A$256,0))*($M931-$A931)/day_count_inr)/(1+INDEX(Market_Daily!$J$6:$J$256,MATCH($A931,Market_Daily!$A$6:$A$256,0))*($M931-$A931)/day_count_usd)))))</f>
        <v/>
      </c>
      <c r="AM931" s="8">
        <f>IF(OR($J931="INR",$R931&gt;1),"",$AL931-$X931)</f>
        <v/>
      </c>
      <c r="AN931" s="8">
        <f>$U931</f>
        <v/>
      </c>
      <c r="AO931" s="8">
        <f>$V931</f>
        <v/>
      </c>
      <c r="AP931" s="18">
        <f>$AO931-$V931</f>
        <v/>
      </c>
      <c r="AQ931" s="8">
        <f>IF(ABS($AP931)&lt;=tol_trade_inr,"PASS","FAIL")</f>
        <v/>
      </c>
    </row>
    <row r="932">
      <c r="A932" s="11" t="n">
        <v>44720</v>
      </c>
      <c r="B932" s="7" t="inlineStr">
        <is>
          <t>T05</t>
        </is>
      </c>
      <c r="C932" s="7" t="inlineStr">
        <is>
          <t>DUTY:L2</t>
        </is>
      </c>
      <c r="D932" s="7" t="inlineStr">
        <is>
          <t>DUTY</t>
        </is>
      </c>
      <c r="E932" s="7" t="inlineStr">
        <is>
          <t>physical</t>
        </is>
      </c>
      <c r="F932" s="7" t="inlineStr">
        <is>
          <t>L2</t>
        </is>
      </c>
      <c r="H932" s="7" t="inlineStr">
        <is>
          <t>tense</t>
        </is>
      </c>
      <c r="I932" s="7" t="inlineStr">
        <is>
          <t>USEC_MUN</t>
        </is>
      </c>
      <c r="J932" s="7" t="inlineStr">
        <is>
          <t>INR</t>
        </is>
      </c>
      <c r="K932" s="7" t="inlineStr">
        <is>
          <t>floating</t>
        </is>
      </c>
      <c r="L932" s="7" t="inlineStr">
        <is>
          <t>PNL</t>
        </is>
      </c>
      <c r="M932" s="11" t="n">
        <v>44749</v>
      </c>
      <c r="N932" s="13" t="n">
        <v>1050</v>
      </c>
      <c r="O932" s="6" t="n">
        <v>0</v>
      </c>
      <c r="P932" s="13" t="n">
        <v>0</v>
      </c>
      <c r="Q932" s="22" t="n">
        <v>30</v>
      </c>
      <c r="R932" s="6" t="n">
        <v>2</v>
      </c>
      <c r="U932" s="9" t="n">
        <v>-4399699.1</v>
      </c>
      <c r="V932" s="9" t="n">
        <v>-4399699.1</v>
      </c>
      <c r="X932" s="9" t="n">
        <v>77.6739</v>
      </c>
      <c r="AK932" s="7" t="inlineStr">
        <is>
          <t>PYTHON_MULTI_FLOW_LEG</t>
        </is>
      </c>
      <c r="AL932" s="8">
        <f>IF($J932="INR",1,IF($M932&lt;$A932,INDEX(Market_Daily!$F$6:$F$256,MATCH($M932,Market_Daily!$A$6:$A$256,1)),IF($M932=$A932,INDEX(Market_Daily!$F$6:$F$256,MATCH($A932,Market_Daily!$A$6:$A$256,0)),(INDEX(Market_Daily!$F$6:$F$256,MATCH($A932,Market_Daily!$A$6:$A$256,0))*(1+INDEX(Market_Daily!$I$6:$I$256,MATCH($A932,Market_Daily!$A$6:$A$256,0))*($M932-$A932)/day_count_inr)/(1+INDEX(Market_Daily!$J$6:$J$256,MATCH($A932,Market_Daily!$A$6:$A$256,0))*($M932-$A932)/day_count_usd)))))</f>
        <v/>
      </c>
      <c r="AM932" s="8">
        <f>IF(OR($J932="INR",$R932&gt;1),"",$AL932-$X932)</f>
        <v/>
      </c>
      <c r="AN932" s="8">
        <f>$U932</f>
        <v/>
      </c>
      <c r="AO932" s="8">
        <f>$V932</f>
        <v/>
      </c>
      <c r="AP932" s="18">
        <f>$AO932-$V932</f>
        <v/>
      </c>
      <c r="AQ932" s="8">
        <f>IF(ABS($AP932)&lt;=tol_trade_inr,"PASS","FAIL")</f>
        <v/>
      </c>
    </row>
    <row r="933">
      <c r="A933" s="11" t="n">
        <v>44720</v>
      </c>
      <c r="B933" s="7" t="inlineStr">
        <is>
          <t>T05</t>
        </is>
      </c>
      <c r="C933" s="7" t="inlineStr">
        <is>
          <t>FX:T05-FX-1</t>
        </is>
      </c>
      <c r="D933" s="7" t="inlineStr">
        <is>
          <t>FX</t>
        </is>
      </c>
      <c r="E933" s="7" t="inlineStr">
        <is>
          <t>fx_forward</t>
        </is>
      </c>
      <c r="H933" s="7" t="inlineStr">
        <is>
          <t>tense</t>
        </is>
      </c>
      <c r="I933" s="7" t="inlineStr">
        <is>
          <t>USEC_MUN</t>
        </is>
      </c>
      <c r="J933" s="7" t="inlineStr">
        <is>
          <t>INR</t>
        </is>
      </c>
      <c r="K933" s="7" t="inlineStr">
        <is>
          <t>floating</t>
        </is>
      </c>
      <c r="L933" s="7" t="inlineStr">
        <is>
          <t>PNL</t>
        </is>
      </c>
      <c r="M933" s="11" t="n">
        <v>44753</v>
      </c>
      <c r="N933" s="13" t="n">
        <v>0</v>
      </c>
      <c r="O933" s="6" t="n">
        <v>0</v>
      </c>
      <c r="P933" s="13" t="n">
        <v>1874500</v>
      </c>
      <c r="Q933" s="22" t="n">
        <v>30</v>
      </c>
      <c r="R933" s="6" t="n">
        <v>1</v>
      </c>
      <c r="S933" s="12" t="n">
        <v>44753</v>
      </c>
      <c r="T933" s="21" t="n">
        <v>77.86464100000001</v>
      </c>
      <c r="U933" s="9" t="n">
        <v>151429.55</v>
      </c>
      <c r="V933" s="9" t="n">
        <v>151429.55</v>
      </c>
      <c r="X933" s="9" t="n">
        <v>77.6739</v>
      </c>
      <c r="AK933" s="7" t="inlineStr">
        <is>
          <t>DERIVED_IN_WORKBOOK</t>
        </is>
      </c>
      <c r="AL933" s="8">
        <f>IF($J933="INR",1,IF($M933&lt;$A933,INDEX(Market_Daily!$F$6:$F$256,MATCH($M933,Market_Daily!$A$6:$A$256,1)),IF($M933=$A933,INDEX(Market_Daily!$F$6:$F$256,MATCH($A933,Market_Daily!$A$6:$A$256,0)),(INDEX(Market_Daily!$F$6:$F$256,MATCH($A933,Market_Daily!$A$6:$A$256,0))*(1+INDEX(Market_Daily!$I$6:$I$256,MATCH($A933,Market_Daily!$A$6:$A$256,0))*($M933-$A933)/day_count_inr)/(1+INDEX(Market_Daily!$J$6:$J$256,MATCH($A933,Market_Daily!$A$6:$A$256,0))*($M933-$A933)/day_count_usd)))))</f>
        <v/>
      </c>
      <c r="AM933" s="8">
        <f>IF(OR($J933="INR",$R933&gt;1),"",$AL933-$X933)</f>
        <v/>
      </c>
      <c r="AN933" s="8">
        <f>$P933*(IF($S933&lt;$A933,INDEX(Market_Daily!$F$6:$F$256,MATCH($S933,Market_Daily!$A$6:$A$256,1)),IF($S933=$A933,INDEX(Market_Daily!$F$6:$F$256,MATCH($A933,Market_Daily!$A$6:$A$256,0)),(INDEX(Market_Daily!$F$6:$F$256,MATCH($A933,Market_Daily!$A$6:$A$256,0))*(1+INDEX(Market_Daily!$I$6:$I$256,MATCH($A933,Market_Daily!$A$6:$A$256,0))*($S933-$A933)/day_count_inr)/(1+INDEX(Market_Daily!$J$6:$J$256,MATCH($A933,Market_Daily!$A$6:$A$256,0))*($S933-$A933)/day_count_usd))))-$T933)</f>
        <v/>
      </c>
      <c r="AO933" s="8">
        <f>$AN933</f>
        <v/>
      </c>
      <c r="AP933" s="18">
        <f>$AO933-$V933</f>
        <v/>
      </c>
      <c r="AQ933" s="8">
        <f>IF(ABS($AP933)&lt;=tol_trade_inr,"PASS","FAIL")</f>
        <v/>
      </c>
    </row>
    <row r="934">
      <c r="A934" s="11" t="n">
        <v>44720</v>
      </c>
      <c r="B934" s="7" t="inlineStr">
        <is>
          <t>T05</t>
        </is>
      </c>
      <c r="C934" s="7" t="inlineStr">
        <is>
          <t>FX:T05-FX-2</t>
        </is>
      </c>
      <c r="D934" s="7" t="inlineStr">
        <is>
          <t>FX</t>
        </is>
      </c>
      <c r="E934" s="7" t="inlineStr">
        <is>
          <t>fx_forward</t>
        </is>
      </c>
      <c r="H934" s="7" t="inlineStr">
        <is>
          <t>tense</t>
        </is>
      </c>
      <c r="I934" s="7" t="inlineStr">
        <is>
          <t>USEC_MUN</t>
        </is>
      </c>
      <c r="J934" s="7" t="inlineStr">
        <is>
          <t>INR</t>
        </is>
      </c>
      <c r="K934" s="7" t="inlineStr">
        <is>
          <t>floating</t>
        </is>
      </c>
      <c r="L934" s="7" t="inlineStr">
        <is>
          <t>PNL</t>
        </is>
      </c>
      <c r="M934" s="11" t="n">
        <v>44760</v>
      </c>
      <c r="N934" s="13" t="n">
        <v>0</v>
      </c>
      <c r="O934" s="6" t="n">
        <v>0</v>
      </c>
      <c r="P934" s="13" t="n">
        <v>1992200</v>
      </c>
      <c r="Q934" s="22" t="n">
        <v>30</v>
      </c>
      <c r="R934" s="6" t="n">
        <v>1</v>
      </c>
      <c r="S934" s="12" t="n">
        <v>44760</v>
      </c>
      <c r="T934" s="21" t="n">
        <v>78.165892</v>
      </c>
      <c r="U934" s="9" t="n">
        <v>-324630.13</v>
      </c>
      <c r="V934" s="9" t="n">
        <v>-324630.13</v>
      </c>
      <c r="X934" s="9" t="n">
        <v>77.6739</v>
      </c>
      <c r="AK934" s="7" t="inlineStr">
        <is>
          <t>DERIVED_IN_WORKBOOK</t>
        </is>
      </c>
      <c r="AL934" s="8">
        <f>IF($J934="INR",1,IF($M934&lt;$A934,INDEX(Market_Daily!$F$6:$F$256,MATCH($M934,Market_Daily!$A$6:$A$256,1)),IF($M934=$A934,INDEX(Market_Daily!$F$6:$F$256,MATCH($A934,Market_Daily!$A$6:$A$256,0)),(INDEX(Market_Daily!$F$6:$F$256,MATCH($A934,Market_Daily!$A$6:$A$256,0))*(1+INDEX(Market_Daily!$I$6:$I$256,MATCH($A934,Market_Daily!$A$6:$A$256,0))*($M934-$A934)/day_count_inr)/(1+INDEX(Market_Daily!$J$6:$J$256,MATCH($A934,Market_Daily!$A$6:$A$256,0))*($M934-$A934)/day_count_usd)))))</f>
        <v/>
      </c>
      <c r="AM934" s="8">
        <f>IF(OR($J934="INR",$R934&gt;1),"",$AL934-$X934)</f>
        <v/>
      </c>
      <c r="AN934" s="8">
        <f>$P934*(IF($S934&lt;$A934,INDEX(Market_Daily!$F$6:$F$256,MATCH($S934,Market_Daily!$A$6:$A$256,1)),IF($S934=$A934,INDEX(Market_Daily!$F$6:$F$256,MATCH($A934,Market_Daily!$A$6:$A$256,0)),(INDEX(Market_Daily!$F$6:$F$256,MATCH($A934,Market_Daily!$A$6:$A$256,0))*(1+INDEX(Market_Daily!$I$6:$I$256,MATCH($A934,Market_Daily!$A$6:$A$256,0))*($S934-$A934)/day_count_inr)/(1+INDEX(Market_Daily!$J$6:$J$256,MATCH($A934,Market_Daily!$A$6:$A$256,0))*($S934-$A934)/day_count_usd))))-$T934)</f>
        <v/>
      </c>
      <c r="AO934" s="8">
        <f>$AN934</f>
        <v/>
      </c>
      <c r="AP934" s="18">
        <f>$AO934-$V934</f>
        <v/>
      </c>
      <c r="AQ934" s="8">
        <f>IF(ABS($AP934)&lt;=tol_trade_inr,"PASS","FAIL")</f>
        <v/>
      </c>
    </row>
    <row r="935">
      <c r="A935" s="11" t="n">
        <v>44720</v>
      </c>
      <c r="B935" s="7" t="inlineStr">
        <is>
          <t>T05</t>
        </is>
      </c>
      <c r="C935" s="7" t="inlineStr">
        <is>
          <t>IGST:L1</t>
        </is>
      </c>
      <c r="D935" s="7" t="inlineStr">
        <is>
          <t>IGST</t>
        </is>
      </c>
      <c r="E935" s="7" t="inlineStr">
        <is>
          <t>physical</t>
        </is>
      </c>
      <c r="F935" s="7" t="inlineStr">
        <is>
          <t>L1</t>
        </is>
      </c>
      <c r="H935" s="7" t="inlineStr">
        <is>
          <t>tense</t>
        </is>
      </c>
      <c r="I935" s="7" t="inlineStr">
        <is>
          <t>USEC_MUN</t>
        </is>
      </c>
      <c r="J935" s="7" t="inlineStr">
        <is>
          <t>INR</t>
        </is>
      </c>
      <c r="K935" s="7" t="inlineStr">
        <is>
          <t>floating</t>
        </is>
      </c>
      <c r="L935" s="7" t="inlineStr">
        <is>
          <t>BS</t>
        </is>
      </c>
      <c r="M935" s="11" t="n">
        <v>44777</v>
      </c>
      <c r="N935" s="13" t="n">
        <v>0</v>
      </c>
      <c r="O935" s="6" t="n">
        <v>0</v>
      </c>
      <c r="P935" s="13" t="n">
        <v>0</v>
      </c>
      <c r="Q935" s="22" t="n">
        <v>30</v>
      </c>
      <c r="R935" s="6" t="n">
        <v>2</v>
      </c>
      <c r="U935" s="9" t="n">
        <v>0</v>
      </c>
      <c r="V935" s="9" t="n">
        <v>0</v>
      </c>
      <c r="X935" s="9" t="n">
        <v>77.6739</v>
      </c>
      <c r="AK935" s="7" t="inlineStr">
        <is>
          <t>PYTHON_MULTI_FLOW_LEG</t>
        </is>
      </c>
      <c r="AL935" s="8">
        <f>IF($J935="INR",1,IF($M935&lt;$A935,INDEX(Market_Daily!$F$6:$F$256,MATCH($M935,Market_Daily!$A$6:$A$256,1)),IF($M935=$A935,INDEX(Market_Daily!$F$6:$F$256,MATCH($A935,Market_Daily!$A$6:$A$256,0)),(INDEX(Market_Daily!$F$6:$F$256,MATCH($A935,Market_Daily!$A$6:$A$256,0))*(1+INDEX(Market_Daily!$I$6:$I$256,MATCH($A935,Market_Daily!$A$6:$A$256,0))*($M935-$A935)/day_count_inr)/(1+INDEX(Market_Daily!$J$6:$J$256,MATCH($A935,Market_Daily!$A$6:$A$256,0))*($M935-$A935)/day_count_usd)))))</f>
        <v/>
      </c>
      <c r="AM935" s="8">
        <f>IF(OR($J935="INR",$R935&gt;1),"",$AL935-$X935)</f>
        <v/>
      </c>
      <c r="AN935" s="8">
        <f>$U935</f>
        <v/>
      </c>
      <c r="AO935" s="8">
        <f>$V935</f>
        <v/>
      </c>
      <c r="AP935" s="18">
        <f>$AO935-$V935</f>
        <v/>
      </c>
      <c r="AQ935" s="8">
        <f>IF(ABS($AP935)&lt;=tol_trade_inr,"PASS","FAIL")</f>
        <v/>
      </c>
    </row>
    <row r="936">
      <c r="A936" s="11" t="n">
        <v>44720</v>
      </c>
      <c r="B936" s="7" t="inlineStr">
        <is>
          <t>T05</t>
        </is>
      </c>
      <c r="C936" s="7" t="inlineStr">
        <is>
          <t>IGST:L2</t>
        </is>
      </c>
      <c r="D936" s="7" t="inlineStr">
        <is>
          <t>IGST</t>
        </is>
      </c>
      <c r="E936" s="7" t="inlineStr">
        <is>
          <t>physical</t>
        </is>
      </c>
      <c r="F936" s="7" t="inlineStr">
        <is>
          <t>L2</t>
        </is>
      </c>
      <c r="H936" s="7" t="inlineStr">
        <is>
          <t>tense</t>
        </is>
      </c>
      <c r="I936" s="7" t="inlineStr">
        <is>
          <t>USEC_MUN</t>
        </is>
      </c>
      <c r="J936" s="7" t="inlineStr">
        <is>
          <t>INR</t>
        </is>
      </c>
      <c r="K936" s="7" t="inlineStr">
        <is>
          <t>floating</t>
        </is>
      </c>
      <c r="L936" s="7" t="inlineStr">
        <is>
          <t>BS</t>
        </is>
      </c>
      <c r="M936" s="11" t="n">
        <v>44785</v>
      </c>
      <c r="N936" s="13" t="n">
        <v>0</v>
      </c>
      <c r="O936" s="6" t="n">
        <v>0</v>
      </c>
      <c r="P936" s="13" t="n">
        <v>0</v>
      </c>
      <c r="Q936" s="22" t="n">
        <v>30</v>
      </c>
      <c r="R936" s="6" t="n">
        <v>2</v>
      </c>
      <c r="U936" s="9" t="n">
        <v>0</v>
      </c>
      <c r="V936" s="9" t="n">
        <v>0</v>
      </c>
      <c r="X936" s="9" t="n">
        <v>77.6739</v>
      </c>
      <c r="AK936" s="7" t="inlineStr">
        <is>
          <t>PYTHON_MULTI_FLOW_LEG</t>
        </is>
      </c>
      <c r="AL936" s="8">
        <f>IF($J936="INR",1,IF($M936&lt;$A936,INDEX(Market_Daily!$F$6:$F$256,MATCH($M936,Market_Daily!$A$6:$A$256,1)),IF($M936=$A936,INDEX(Market_Daily!$F$6:$F$256,MATCH($A936,Market_Daily!$A$6:$A$256,0)),(INDEX(Market_Daily!$F$6:$F$256,MATCH($A936,Market_Daily!$A$6:$A$256,0))*(1+INDEX(Market_Daily!$I$6:$I$256,MATCH($A936,Market_Daily!$A$6:$A$256,0))*($M936-$A936)/day_count_inr)/(1+INDEX(Market_Daily!$J$6:$J$256,MATCH($A936,Market_Daily!$A$6:$A$256,0))*($M936-$A936)/day_count_usd)))))</f>
        <v/>
      </c>
      <c r="AM936" s="8">
        <f>IF(OR($J936="INR",$R936&gt;1),"",$AL936-$X936)</f>
        <v/>
      </c>
      <c r="AN936" s="8">
        <f>$U936</f>
        <v/>
      </c>
      <c r="AO936" s="8">
        <f>$V936</f>
        <v/>
      </c>
      <c r="AP936" s="18">
        <f>$AO936-$V936</f>
        <v/>
      </c>
      <c r="AQ936" s="8">
        <f>IF(ABS($AP936)&lt;=tol_trade_inr,"PASS","FAIL")</f>
        <v/>
      </c>
    </row>
    <row r="937">
      <c r="A937" s="11" t="n">
        <v>44720</v>
      </c>
      <c r="B937" s="7" t="inlineStr">
        <is>
          <t>T05</t>
        </is>
      </c>
      <c r="C937" s="7" t="inlineStr">
        <is>
          <t>MCX:T05-MCX-2</t>
        </is>
      </c>
      <c r="D937" s="7" t="inlineStr">
        <is>
          <t>MCX</t>
        </is>
      </c>
      <c r="E937" s="7" t="inlineStr">
        <is>
          <t>mcx</t>
        </is>
      </c>
      <c r="H937" s="7" t="inlineStr">
        <is>
          <t>tense</t>
        </is>
      </c>
      <c r="I937" s="7" t="inlineStr">
        <is>
          <t>USEC_MUN</t>
        </is>
      </c>
      <c r="J937" s="7" t="inlineStr">
        <is>
          <t>INR</t>
        </is>
      </c>
      <c r="K937" s="7" t="inlineStr">
        <is>
          <t>partially_fixed</t>
        </is>
      </c>
      <c r="L937" s="7" t="inlineStr">
        <is>
          <t>PNL</t>
        </is>
      </c>
      <c r="M937" s="11" t="n">
        <v>44733</v>
      </c>
      <c r="N937" s="13" t="n">
        <v>0</v>
      </c>
      <c r="O937" s="6" t="n">
        <v>-105</v>
      </c>
      <c r="P937" s="13" t="n">
        <v>0</v>
      </c>
      <c r="Q937" s="22" t="n">
        <v>30</v>
      </c>
      <c r="R937" s="6" t="n">
        <v>21</v>
      </c>
      <c r="U937" s="9" t="n">
        <v>0</v>
      </c>
      <c r="V937" s="9" t="n">
        <v>0</v>
      </c>
      <c r="X937" s="9" t="n">
        <v>77.6739</v>
      </c>
      <c r="AK937" s="7" t="inlineStr">
        <is>
          <t>PYTHON_MULTI_FLOW_LEG</t>
        </is>
      </c>
      <c r="AL937" s="8">
        <f>IF($J937="INR",1,IF($M937&lt;$A937,INDEX(Market_Daily!$F$6:$F$256,MATCH($M937,Market_Daily!$A$6:$A$256,1)),IF($M937=$A937,INDEX(Market_Daily!$F$6:$F$256,MATCH($A937,Market_Daily!$A$6:$A$256,0)),(INDEX(Market_Daily!$F$6:$F$256,MATCH($A937,Market_Daily!$A$6:$A$256,0))*(1+INDEX(Market_Daily!$I$6:$I$256,MATCH($A937,Market_Daily!$A$6:$A$256,0))*($M937-$A937)/day_count_inr)/(1+INDEX(Market_Daily!$J$6:$J$256,MATCH($A937,Market_Daily!$A$6:$A$256,0))*($M937-$A937)/day_count_usd)))))</f>
        <v/>
      </c>
      <c r="AM937" s="8">
        <f>IF(OR($J937="INR",$R937&gt;1),"",$AL937-$X937)</f>
        <v/>
      </c>
      <c r="AN937" s="8">
        <f>$U937</f>
        <v/>
      </c>
      <c r="AO937" s="8">
        <f>$V937</f>
        <v/>
      </c>
      <c r="AP937" s="18">
        <f>$AO937-$V937</f>
        <v/>
      </c>
      <c r="AQ937" s="8">
        <f>IF(ABS($AP937)&lt;=tol_trade_inr,"PASS","FAIL")</f>
        <v/>
      </c>
    </row>
    <row r="938">
      <c r="A938" s="11" t="n">
        <v>44720</v>
      </c>
      <c r="B938" s="7" t="inlineStr">
        <is>
          <t>T05</t>
        </is>
      </c>
      <c r="C938" s="7" t="inlineStr">
        <is>
          <t>PORT:L1</t>
        </is>
      </c>
      <c r="D938" s="7" t="inlineStr">
        <is>
          <t>PORT</t>
        </is>
      </c>
      <c r="E938" s="7" t="inlineStr">
        <is>
          <t>physical</t>
        </is>
      </c>
      <c r="F938" s="7" t="inlineStr">
        <is>
          <t>L1</t>
        </is>
      </c>
      <c r="H938" s="7" t="inlineStr">
        <is>
          <t>tense</t>
        </is>
      </c>
      <c r="I938" s="7" t="inlineStr">
        <is>
          <t>USEC_MUN</t>
        </is>
      </c>
      <c r="J938" s="7" t="inlineStr">
        <is>
          <t>INR</t>
        </is>
      </c>
      <c r="K938" s="7" t="inlineStr">
        <is>
          <t>fixed_unsettled</t>
        </is>
      </c>
      <c r="L938" s="7" t="inlineStr">
        <is>
          <t>PNL</t>
        </is>
      </c>
      <c r="M938" s="11" t="n">
        <v>44741</v>
      </c>
      <c r="N938" s="13" t="n">
        <v>0</v>
      </c>
      <c r="O938" s="6" t="n">
        <v>0</v>
      </c>
      <c r="P938" s="13" t="n">
        <v>0</v>
      </c>
      <c r="Q938" s="22" t="n">
        <v>30</v>
      </c>
      <c r="R938" s="6" t="n">
        <v>1</v>
      </c>
      <c r="U938" s="9" t="n">
        <v>-2782500</v>
      </c>
      <c r="V938" s="9" t="n">
        <v>-2782500</v>
      </c>
      <c r="X938" s="9" t="n">
        <v>77.6739</v>
      </c>
      <c r="AK938" s="7" t="inlineStr">
        <is>
          <t>PYTHON_LIFECYCLE</t>
        </is>
      </c>
      <c r="AL938" s="8">
        <f>IF($J938="INR",1,IF($M938&lt;$A938,INDEX(Market_Daily!$F$6:$F$256,MATCH($M938,Market_Daily!$A$6:$A$256,1)),IF($M938=$A938,INDEX(Market_Daily!$F$6:$F$256,MATCH($A938,Market_Daily!$A$6:$A$256,0)),(INDEX(Market_Daily!$F$6:$F$256,MATCH($A938,Market_Daily!$A$6:$A$256,0))*(1+INDEX(Market_Daily!$I$6:$I$256,MATCH($A938,Market_Daily!$A$6:$A$256,0))*($M938-$A938)/day_count_inr)/(1+INDEX(Market_Daily!$J$6:$J$256,MATCH($A938,Market_Daily!$A$6:$A$256,0))*($M938-$A938)/day_count_usd)))))</f>
        <v/>
      </c>
      <c r="AM938" s="8">
        <f>IF(OR($J938="INR",$R938&gt;1),"",$AL938-$X938)</f>
        <v/>
      </c>
      <c r="AN938" s="8">
        <f>$U938</f>
        <v/>
      </c>
      <c r="AO938" s="8">
        <f>$AN938*IF($J938="INR",1,$AL938)</f>
        <v/>
      </c>
      <c r="AP938" s="18">
        <f>$AO938-$V938</f>
        <v/>
      </c>
      <c r="AQ938" s="8">
        <f>IF(ABS($AP938)&lt;=tol_trade_inr,"PASS","FAIL")</f>
        <v/>
      </c>
    </row>
    <row r="939">
      <c r="A939" s="11" t="n">
        <v>44720</v>
      </c>
      <c r="B939" s="7" t="inlineStr">
        <is>
          <t>T05</t>
        </is>
      </c>
      <c r="C939" s="7" t="inlineStr">
        <is>
          <t>PORT:L2</t>
        </is>
      </c>
      <c r="D939" s="7" t="inlineStr">
        <is>
          <t>PORT</t>
        </is>
      </c>
      <c r="E939" s="7" t="inlineStr">
        <is>
          <t>physical</t>
        </is>
      </c>
      <c r="F939" s="7" t="inlineStr">
        <is>
          <t>L2</t>
        </is>
      </c>
      <c r="H939" s="7" t="inlineStr">
        <is>
          <t>tense</t>
        </is>
      </c>
      <c r="I939" s="7" t="inlineStr">
        <is>
          <t>USEC_MUN</t>
        </is>
      </c>
      <c r="J939" s="7" t="inlineStr">
        <is>
          <t>INR</t>
        </is>
      </c>
      <c r="K939" s="7" t="inlineStr">
        <is>
          <t>fixed_unsettled</t>
        </is>
      </c>
      <c r="L939" s="7" t="inlineStr">
        <is>
          <t>PNL</t>
        </is>
      </c>
      <c r="M939" s="11" t="n">
        <v>44749</v>
      </c>
      <c r="N939" s="13" t="n">
        <v>0</v>
      </c>
      <c r="O939" s="6" t="n">
        <v>0</v>
      </c>
      <c r="P939" s="13" t="n">
        <v>0</v>
      </c>
      <c r="Q939" s="22" t="n">
        <v>30</v>
      </c>
      <c r="R939" s="6" t="n">
        <v>1</v>
      </c>
      <c r="U939" s="9" t="n">
        <v>-2782500</v>
      </c>
      <c r="V939" s="9" t="n">
        <v>-2782500</v>
      </c>
      <c r="X939" s="9" t="n">
        <v>77.6739</v>
      </c>
      <c r="AK939" s="7" t="inlineStr">
        <is>
          <t>PYTHON_LIFECYCLE</t>
        </is>
      </c>
      <c r="AL939" s="8">
        <f>IF($J939="INR",1,IF($M939&lt;$A939,INDEX(Market_Daily!$F$6:$F$256,MATCH($M939,Market_Daily!$A$6:$A$256,1)),IF($M939=$A939,INDEX(Market_Daily!$F$6:$F$256,MATCH($A939,Market_Daily!$A$6:$A$256,0)),(INDEX(Market_Daily!$F$6:$F$256,MATCH($A939,Market_Daily!$A$6:$A$256,0))*(1+INDEX(Market_Daily!$I$6:$I$256,MATCH($A939,Market_Daily!$A$6:$A$256,0))*($M939-$A939)/day_count_inr)/(1+INDEX(Market_Daily!$J$6:$J$256,MATCH($A939,Market_Daily!$A$6:$A$256,0))*($M939-$A939)/day_count_usd)))))</f>
        <v/>
      </c>
      <c r="AM939" s="8">
        <f>IF(OR($J939="INR",$R939&gt;1),"",$AL939-$X939)</f>
        <v/>
      </c>
      <c r="AN939" s="8">
        <f>$U939</f>
        <v/>
      </c>
      <c r="AO939" s="8">
        <f>$AN939*IF($J939="INR",1,$AL939)</f>
        <v/>
      </c>
      <c r="AP939" s="18">
        <f>$AO939-$V939</f>
        <v/>
      </c>
      <c r="AQ939" s="8">
        <f>IF(ABS($AP939)&lt;=tol_trade_inr,"PASS","FAIL")</f>
        <v/>
      </c>
    </row>
    <row r="940">
      <c r="A940" s="11" t="n">
        <v>44720</v>
      </c>
      <c r="B940" s="7" t="inlineStr">
        <is>
          <t>T05</t>
        </is>
      </c>
      <c r="C940" s="7" t="inlineStr">
        <is>
          <t>PURCHASE:L1</t>
        </is>
      </c>
      <c r="D940" s="7" t="inlineStr">
        <is>
          <t>PURCHASE</t>
        </is>
      </c>
      <c r="E940" s="7" t="inlineStr">
        <is>
          <t>physical</t>
        </is>
      </c>
      <c r="F940" s="7" t="inlineStr">
        <is>
          <t>L1</t>
        </is>
      </c>
      <c r="G940" s="7" t="inlineStr">
        <is>
          <t>SUP_USEC_01</t>
        </is>
      </c>
      <c r="H940" s="7" t="inlineStr">
        <is>
          <t>tense</t>
        </is>
      </c>
      <c r="I940" s="7" t="inlineStr">
        <is>
          <t>USEC_MUN</t>
        </is>
      </c>
      <c r="J940" s="7" t="inlineStr">
        <is>
          <t>USD</t>
        </is>
      </c>
      <c r="K940" s="7" t="inlineStr">
        <is>
          <t>partially_fixed</t>
        </is>
      </c>
      <c r="L940" s="7" t="inlineStr">
        <is>
          <t>PNL</t>
        </is>
      </c>
      <c r="M940" s="11" t="n">
        <v>44753</v>
      </c>
      <c r="N940" s="13" t="n">
        <v>2100</v>
      </c>
      <c r="O940" s="6" t="n">
        <v>0</v>
      </c>
      <c r="P940" s="13" t="n">
        <v>0</v>
      </c>
      <c r="Q940" s="22" t="n">
        <v>30</v>
      </c>
      <c r="R940" s="6" t="n">
        <v>2</v>
      </c>
      <c r="U940" s="9" t="n">
        <v>-2035837.75</v>
      </c>
      <c r="V940" s="9" t="n">
        <v>-158678936.31</v>
      </c>
      <c r="X940" s="9" t="n">
        <v>77.94540000000001</v>
      </c>
      <c r="AK940" s="7" t="inlineStr">
        <is>
          <t>PYTHON_MULTI_FLOW_LEG</t>
        </is>
      </c>
      <c r="AL940" s="8">
        <f>IF($J940="INR",1,IF($M940&lt;$A940,INDEX(Market_Daily!$F$6:$F$256,MATCH($M940,Market_Daily!$A$6:$A$256,1)),IF($M940=$A940,INDEX(Market_Daily!$F$6:$F$256,MATCH($A940,Market_Daily!$A$6:$A$256,0)),(INDEX(Market_Daily!$F$6:$F$256,MATCH($A940,Market_Daily!$A$6:$A$256,0))*(1+INDEX(Market_Daily!$I$6:$I$256,MATCH($A940,Market_Daily!$A$6:$A$256,0))*($M940-$A940)/day_count_inr)/(1+INDEX(Market_Daily!$J$6:$J$256,MATCH($A940,Market_Daily!$A$6:$A$256,0))*($M940-$A940)/day_count_usd)))))</f>
        <v/>
      </c>
      <c r="AM940" s="8">
        <f>IF(OR($J940="INR",$R940&gt;1),"",$AL940-$X940)</f>
        <v/>
      </c>
      <c r="AN940" s="8">
        <f>$U940</f>
        <v/>
      </c>
      <c r="AO940" s="8">
        <f>$V940</f>
        <v/>
      </c>
      <c r="AP940" s="18">
        <f>$AO940-$V940</f>
        <v/>
      </c>
      <c r="AQ940" s="8">
        <f>IF(ABS($AP940)&lt;=tol_trade_inr,"PASS","FAIL")</f>
        <v/>
      </c>
    </row>
    <row r="941">
      <c r="A941" s="11" t="n">
        <v>44720</v>
      </c>
      <c r="B941" s="7" t="inlineStr">
        <is>
          <t>T05</t>
        </is>
      </c>
      <c r="C941" s="7" t="inlineStr">
        <is>
          <t>PURCHASE:L2</t>
        </is>
      </c>
      <c r="D941" s="7" t="inlineStr">
        <is>
          <t>PURCHASE</t>
        </is>
      </c>
      <c r="E941" s="7" t="inlineStr">
        <is>
          <t>physical</t>
        </is>
      </c>
      <c r="F941" s="7" t="inlineStr">
        <is>
          <t>L2</t>
        </is>
      </c>
      <c r="G941" s="7" t="inlineStr">
        <is>
          <t>SUP_USEC_01</t>
        </is>
      </c>
      <c r="H941" s="7" t="inlineStr">
        <is>
          <t>tense</t>
        </is>
      </c>
      <c r="I941" s="7" t="inlineStr">
        <is>
          <t>USEC_MUN</t>
        </is>
      </c>
      <c r="J941" s="7" t="inlineStr">
        <is>
          <t>USD</t>
        </is>
      </c>
      <c r="K941" s="7" t="inlineStr">
        <is>
          <t>partially_fixed</t>
        </is>
      </c>
      <c r="L941" s="7" t="inlineStr">
        <is>
          <t>PNL</t>
        </is>
      </c>
      <c r="M941" s="11" t="n">
        <v>44760</v>
      </c>
      <c r="N941" s="13" t="n">
        <v>2100</v>
      </c>
      <c r="O941" s="6" t="n">
        <v>0</v>
      </c>
      <c r="P941" s="13" t="n">
        <v>0</v>
      </c>
      <c r="Q941" s="22" t="n">
        <v>30</v>
      </c>
      <c r="R941" s="6" t="n">
        <v>2</v>
      </c>
      <c r="U941" s="9" t="n">
        <v>-2035837.75</v>
      </c>
      <c r="V941" s="9" t="n">
        <v>-158797387.83</v>
      </c>
      <c r="X941" s="9" t="n">
        <v>78.0029</v>
      </c>
      <c r="AK941" s="7" t="inlineStr">
        <is>
          <t>PYTHON_MULTI_FLOW_LEG</t>
        </is>
      </c>
      <c r="AL941" s="8">
        <f>IF($J941="INR",1,IF($M941&lt;$A941,INDEX(Market_Daily!$F$6:$F$256,MATCH($M941,Market_Daily!$A$6:$A$256,1)),IF($M941=$A941,INDEX(Market_Daily!$F$6:$F$256,MATCH($A941,Market_Daily!$A$6:$A$256,0)),(INDEX(Market_Daily!$F$6:$F$256,MATCH($A941,Market_Daily!$A$6:$A$256,0))*(1+INDEX(Market_Daily!$I$6:$I$256,MATCH($A941,Market_Daily!$A$6:$A$256,0))*($M941-$A941)/day_count_inr)/(1+INDEX(Market_Daily!$J$6:$J$256,MATCH($A941,Market_Daily!$A$6:$A$256,0))*($M941-$A941)/day_count_usd)))))</f>
        <v/>
      </c>
      <c r="AM941" s="8">
        <f>IF(OR($J941="INR",$R941&gt;1),"",$AL941-$X941)</f>
        <v/>
      </c>
      <c r="AN941" s="8">
        <f>$U941</f>
        <v/>
      </c>
      <c r="AO941" s="8">
        <f>$V941</f>
        <v/>
      </c>
      <c r="AP941" s="18">
        <f>$AO941-$V941</f>
        <v/>
      </c>
      <c r="AQ941" s="8">
        <f>IF(ABS($AP941)&lt;=tol_trade_inr,"PASS","FAIL")</f>
        <v/>
      </c>
    </row>
    <row r="942">
      <c r="A942" s="11" t="n">
        <v>44720</v>
      </c>
      <c r="B942" s="7" t="inlineStr">
        <is>
          <t>T05</t>
        </is>
      </c>
      <c r="C942" s="7" t="inlineStr">
        <is>
          <t>SALE:S1</t>
        </is>
      </c>
      <c r="D942" s="7" t="inlineStr">
        <is>
          <t>SALE</t>
        </is>
      </c>
      <c r="E942" s="7" t="inlineStr">
        <is>
          <t>physical</t>
        </is>
      </c>
      <c r="G942" s="7" t="inlineStr">
        <is>
          <t>BUY_MUN_01</t>
        </is>
      </c>
      <c r="H942" s="7" t="inlineStr">
        <is>
          <t>tense</t>
        </is>
      </c>
      <c r="I942" s="7" t="inlineStr">
        <is>
          <t>USEC_MUN</t>
        </is>
      </c>
      <c r="J942" s="7" t="inlineStr">
        <is>
          <t>INR</t>
        </is>
      </c>
      <c r="K942" s="7" t="inlineStr">
        <is>
          <t>floating</t>
        </is>
      </c>
      <c r="L942" s="7" t="inlineStr">
        <is>
          <t>PNL</t>
        </is>
      </c>
      <c r="M942" s="11" t="n">
        <v>44781</v>
      </c>
      <c r="N942" s="13" t="n">
        <v>2100</v>
      </c>
      <c r="O942" s="6" t="n">
        <v>0</v>
      </c>
      <c r="P942" s="13" t="n">
        <v>0</v>
      </c>
      <c r="Q942" s="22" t="n">
        <v>30</v>
      </c>
      <c r="R942" s="6" t="n">
        <v>1</v>
      </c>
      <c r="U942" s="9" t="n">
        <v>363528558.77</v>
      </c>
      <c r="V942" s="9" t="n">
        <v>363528558.77</v>
      </c>
      <c r="W942" s="9" t="n">
        <v>173108.8375</v>
      </c>
      <c r="X942" s="9" t="n">
        <v>77.6739</v>
      </c>
      <c r="AK942" s="7" t="inlineStr">
        <is>
          <t>PYTHON_LIFECYCLE</t>
        </is>
      </c>
      <c r="AL942" s="8">
        <f>IF($J942="INR",1,IF($M942&lt;$A942,INDEX(Market_Daily!$F$6:$F$256,MATCH($M942,Market_Daily!$A$6:$A$256,1)),IF($M942=$A942,INDEX(Market_Daily!$F$6:$F$256,MATCH($A942,Market_Daily!$A$6:$A$256,0)),(INDEX(Market_Daily!$F$6:$F$256,MATCH($A942,Market_Daily!$A$6:$A$256,0))*(1+INDEX(Market_Daily!$I$6:$I$256,MATCH($A942,Market_Daily!$A$6:$A$256,0))*($M942-$A942)/day_count_inr)/(1+INDEX(Market_Daily!$J$6:$J$256,MATCH($A942,Market_Daily!$A$6:$A$256,0))*($M942-$A942)/day_count_usd)))))</f>
        <v/>
      </c>
      <c r="AM942" s="8">
        <f>IF(OR($J942="INR",$R942&gt;1),"",$AL942-$X942)</f>
        <v/>
      </c>
      <c r="AN942" s="8">
        <f>$U942</f>
        <v/>
      </c>
      <c r="AO942" s="8">
        <f>$AN942*IF($J942="INR",1,$AL942)</f>
        <v/>
      </c>
      <c r="AP942" s="18">
        <f>$AO942-$V942</f>
        <v/>
      </c>
      <c r="AQ942" s="8">
        <f>IF(ABS($AP942)&lt;=tol_trade_inr,"PASS","FAIL")</f>
        <v/>
      </c>
    </row>
    <row r="943">
      <c r="A943" s="11" t="n">
        <v>44720</v>
      </c>
      <c r="B943" s="7" t="inlineStr">
        <is>
          <t>T05</t>
        </is>
      </c>
      <c r="C943" s="7" t="inlineStr">
        <is>
          <t>USANCE_INTEREST:L1</t>
        </is>
      </c>
      <c r="D943" s="7" t="inlineStr">
        <is>
          <t>USANCE_INTEREST</t>
        </is>
      </c>
      <c r="E943" s="7" t="inlineStr">
        <is>
          <t>physical</t>
        </is>
      </c>
      <c r="F943" s="7" t="inlineStr">
        <is>
          <t>L1</t>
        </is>
      </c>
      <c r="H943" s="7" t="inlineStr">
        <is>
          <t>tense</t>
        </is>
      </c>
      <c r="I943" s="7" t="inlineStr">
        <is>
          <t>USEC_MUN</t>
        </is>
      </c>
      <c r="J943" s="7" t="inlineStr">
        <is>
          <t>USD</t>
        </is>
      </c>
      <c r="K943" s="7" t="inlineStr">
        <is>
          <t>fixed_unsettled</t>
        </is>
      </c>
      <c r="L943" s="7" t="inlineStr">
        <is>
          <t>PNL</t>
        </is>
      </c>
      <c r="M943" s="11" t="n">
        <v>44753</v>
      </c>
      <c r="N943" s="13" t="n">
        <v>0</v>
      </c>
      <c r="O943" s="6" t="n">
        <v>0</v>
      </c>
      <c r="P943" s="13" t="n">
        <v>0</v>
      </c>
      <c r="Q943" s="22" t="n">
        <v>30</v>
      </c>
      <c r="R943" s="6" t="n">
        <v>1</v>
      </c>
      <c r="U943" s="9" t="n">
        <v>-8014.35</v>
      </c>
      <c r="V943" s="9" t="n">
        <v>-624682.01</v>
      </c>
      <c r="X943" s="9" t="n">
        <v>77.94540000000001</v>
      </c>
      <c r="AK943" s="7" t="inlineStr">
        <is>
          <t>PYTHON_LIFECYCLE</t>
        </is>
      </c>
      <c r="AL943" s="8">
        <f>IF($J943="INR",1,IF($M943&lt;$A943,INDEX(Market_Daily!$F$6:$F$256,MATCH($M943,Market_Daily!$A$6:$A$256,1)),IF($M943=$A943,INDEX(Market_Daily!$F$6:$F$256,MATCH($A943,Market_Daily!$A$6:$A$256,0)),(INDEX(Market_Daily!$F$6:$F$256,MATCH($A943,Market_Daily!$A$6:$A$256,0))*(1+INDEX(Market_Daily!$I$6:$I$256,MATCH($A943,Market_Daily!$A$6:$A$256,0))*($M943-$A943)/day_count_inr)/(1+INDEX(Market_Daily!$J$6:$J$256,MATCH($A943,Market_Daily!$A$6:$A$256,0))*($M943-$A943)/day_count_usd)))))</f>
        <v/>
      </c>
      <c r="AM943" s="8">
        <f>IF(OR($J943="INR",$R943&gt;1),"",$AL943-$X943)</f>
        <v/>
      </c>
      <c r="AN943" s="8">
        <f>$U943</f>
        <v/>
      </c>
      <c r="AO943" s="8">
        <f>$AN943*IF($J943="INR",1,$AL943)</f>
        <v/>
      </c>
      <c r="AP943" s="18">
        <f>$AO943-$V943</f>
        <v/>
      </c>
      <c r="AQ943" s="8">
        <f>IF(ABS($AP943)&lt;=tol_trade_inr,"PASS","FAIL")</f>
        <v/>
      </c>
    </row>
    <row r="944">
      <c r="A944" s="11" t="n">
        <v>44720</v>
      </c>
      <c r="B944" s="7" t="inlineStr">
        <is>
          <t>T05</t>
        </is>
      </c>
      <c r="C944" s="7" t="inlineStr">
        <is>
          <t>USANCE_INTEREST:L2</t>
        </is>
      </c>
      <c r="D944" s="7" t="inlineStr">
        <is>
          <t>USANCE_INTEREST</t>
        </is>
      </c>
      <c r="E944" s="7" t="inlineStr">
        <is>
          <t>physical</t>
        </is>
      </c>
      <c r="F944" s="7" t="inlineStr">
        <is>
          <t>L2</t>
        </is>
      </c>
      <c r="H944" s="7" t="inlineStr">
        <is>
          <t>tense</t>
        </is>
      </c>
      <c r="I944" s="7" t="inlineStr">
        <is>
          <t>USEC_MUN</t>
        </is>
      </c>
      <c r="J944" s="7" t="inlineStr">
        <is>
          <t>USD</t>
        </is>
      </c>
      <c r="K944" s="7" t="inlineStr">
        <is>
          <t>fixed_unsettled</t>
        </is>
      </c>
      <c r="L944" s="7" t="inlineStr">
        <is>
          <t>PNL</t>
        </is>
      </c>
      <c r="M944" s="11" t="n">
        <v>44760</v>
      </c>
      <c r="N944" s="13" t="n">
        <v>0</v>
      </c>
      <c r="O944" s="6" t="n">
        <v>0</v>
      </c>
      <c r="P944" s="13" t="n">
        <v>0</v>
      </c>
      <c r="Q944" s="22" t="n">
        <v>30</v>
      </c>
      <c r="R944" s="6" t="n">
        <v>1</v>
      </c>
      <c r="U944" s="9" t="n">
        <v>-8484.440000000001</v>
      </c>
      <c r="V944" s="9" t="n">
        <v>-661810.89</v>
      </c>
      <c r="X944" s="9" t="n">
        <v>78.0029</v>
      </c>
      <c r="AK944" s="7" t="inlineStr">
        <is>
          <t>PYTHON_LIFECYCLE</t>
        </is>
      </c>
      <c r="AL944" s="8">
        <f>IF($J944="INR",1,IF($M944&lt;$A944,INDEX(Market_Daily!$F$6:$F$256,MATCH($M944,Market_Daily!$A$6:$A$256,1)),IF($M944=$A944,INDEX(Market_Daily!$F$6:$F$256,MATCH($A944,Market_Daily!$A$6:$A$256,0)),(INDEX(Market_Daily!$F$6:$F$256,MATCH($A944,Market_Daily!$A$6:$A$256,0))*(1+INDEX(Market_Daily!$I$6:$I$256,MATCH($A944,Market_Daily!$A$6:$A$256,0))*($M944-$A944)/day_count_inr)/(1+INDEX(Market_Daily!$J$6:$J$256,MATCH($A944,Market_Daily!$A$6:$A$256,0))*($M944-$A944)/day_count_usd)))))</f>
        <v/>
      </c>
      <c r="AM944" s="8">
        <f>IF(OR($J944="INR",$R944&gt;1),"",$AL944-$X944)</f>
        <v/>
      </c>
      <c r="AN944" s="8">
        <f>$U944</f>
        <v/>
      </c>
      <c r="AO944" s="8">
        <f>$AN944*IF($J944="INR",1,$AL944)</f>
        <v/>
      </c>
      <c r="AP944" s="18">
        <f>$AO944-$V944</f>
        <v/>
      </c>
      <c r="AQ944" s="8">
        <f>IF(ABS($AP944)&lt;=tol_trade_inr,"PASS","FAIL")</f>
        <v/>
      </c>
    </row>
    <row r="945">
      <c r="A945" s="11" t="n">
        <v>44720</v>
      </c>
      <c r="B945" s="7" t="inlineStr">
        <is>
          <t>T06</t>
        </is>
      </c>
      <c r="C945" s="7" t="inlineStr">
        <is>
          <t>BILL_COMMISSION:L2</t>
        </is>
      </c>
      <c r="D945" s="7" t="inlineStr">
        <is>
          <t>BILL_COMMISSION</t>
        </is>
      </c>
      <c r="E945" s="7" t="inlineStr">
        <is>
          <t>physical</t>
        </is>
      </c>
      <c r="F945" s="7" t="inlineStr">
        <is>
          <t>L2</t>
        </is>
      </c>
      <c r="H945" s="7" t="inlineStr">
        <is>
          <t>zorba</t>
        </is>
      </c>
      <c r="I945" s="7" t="inlineStr">
        <is>
          <t>JEA_NSA</t>
        </is>
      </c>
      <c r="J945" s="7" t="inlineStr">
        <is>
          <t>USD</t>
        </is>
      </c>
      <c r="K945" s="7" t="inlineStr">
        <is>
          <t>floating</t>
        </is>
      </c>
      <c r="L945" s="7" t="inlineStr">
        <is>
          <t>PNL</t>
        </is>
      </c>
      <c r="M945" s="11" t="n">
        <v>44726</v>
      </c>
      <c r="N945" s="13" t="n">
        <v>0</v>
      </c>
      <c r="O945" s="6" t="n">
        <v>0</v>
      </c>
      <c r="P945" s="13" t="n">
        <v>0</v>
      </c>
      <c r="Q945" s="22" t="n">
        <v>30</v>
      </c>
      <c r="R945" s="6" t="n">
        <v>1</v>
      </c>
      <c r="U945" s="9" t="n">
        <v>-1667.64</v>
      </c>
      <c r="V945" s="9" t="n">
        <v>-129614.51</v>
      </c>
      <c r="X945" s="9" t="n">
        <v>77.72329999999999</v>
      </c>
      <c r="AK945" s="7" t="inlineStr">
        <is>
          <t>PYTHON_LIFECYCLE</t>
        </is>
      </c>
      <c r="AL945" s="8">
        <f>IF($J945="INR",1,IF($M945&lt;$A945,INDEX(Market_Daily!$F$6:$F$256,MATCH($M945,Market_Daily!$A$6:$A$256,1)),IF($M945=$A945,INDEX(Market_Daily!$F$6:$F$256,MATCH($A945,Market_Daily!$A$6:$A$256,0)),(INDEX(Market_Daily!$F$6:$F$256,MATCH($A945,Market_Daily!$A$6:$A$256,0))*(1+INDEX(Market_Daily!$I$6:$I$256,MATCH($A945,Market_Daily!$A$6:$A$256,0))*($M945-$A945)/day_count_inr)/(1+INDEX(Market_Daily!$J$6:$J$256,MATCH($A945,Market_Daily!$A$6:$A$256,0))*($M945-$A945)/day_count_usd)))))</f>
        <v/>
      </c>
      <c r="AM945" s="8">
        <f>IF(OR($J945="INR",$R945&gt;1),"",$AL945-$X945)</f>
        <v/>
      </c>
      <c r="AN945" s="8">
        <f>$U945</f>
        <v/>
      </c>
      <c r="AO945" s="8">
        <f>$AN945*IF($J945="INR",1,$AL945)</f>
        <v/>
      </c>
      <c r="AP945" s="18">
        <f>$AO945-$V945</f>
        <v/>
      </c>
      <c r="AQ945" s="8">
        <f>IF(ABS($AP945)&lt;=tol_trade_inr,"PASS","FAIL")</f>
        <v/>
      </c>
    </row>
    <row r="946">
      <c r="A946" s="11" t="n">
        <v>44720</v>
      </c>
      <c r="B946" s="7" t="inlineStr">
        <is>
          <t>T06</t>
        </is>
      </c>
      <c r="C946" s="7" t="inlineStr">
        <is>
          <t>DUTY:L2</t>
        </is>
      </c>
      <c r="D946" s="7" t="inlineStr">
        <is>
          <t>DUTY</t>
        </is>
      </c>
      <c r="E946" s="7" t="inlineStr">
        <is>
          <t>physical</t>
        </is>
      </c>
      <c r="F946" s="7" t="inlineStr">
        <is>
          <t>L2</t>
        </is>
      </c>
      <c r="H946" s="7" t="inlineStr">
        <is>
          <t>zorba</t>
        </is>
      </c>
      <c r="I946" s="7" t="inlineStr">
        <is>
          <t>JEA_NSA</t>
        </is>
      </c>
      <c r="J946" s="7" t="inlineStr">
        <is>
          <t>INR</t>
        </is>
      </c>
      <c r="K946" s="7" t="inlineStr">
        <is>
          <t>floating</t>
        </is>
      </c>
      <c r="L946" s="7" t="inlineStr">
        <is>
          <t>PNL</t>
        </is>
      </c>
      <c r="M946" s="11" t="n">
        <v>44725</v>
      </c>
      <c r="N946" s="13" t="n">
        <v>650</v>
      </c>
      <c r="O946" s="6" t="n">
        <v>0</v>
      </c>
      <c r="P946" s="13" t="n">
        <v>0</v>
      </c>
      <c r="Q946" s="22" t="n">
        <v>30</v>
      </c>
      <c r="R946" s="6" t="n">
        <v>1</v>
      </c>
      <c r="U946" s="9" t="n">
        <v>-3003314.89</v>
      </c>
      <c r="V946" s="9" t="n">
        <v>-3003314.89</v>
      </c>
      <c r="X946" s="9" t="n">
        <v>77.6739</v>
      </c>
      <c r="AK946" s="7" t="inlineStr">
        <is>
          <t>PYTHON_LIFECYCLE</t>
        </is>
      </c>
      <c r="AL946" s="8">
        <f>IF($J946="INR",1,IF($M946&lt;$A946,INDEX(Market_Daily!$F$6:$F$256,MATCH($M946,Market_Daily!$A$6:$A$256,1)),IF($M946=$A946,INDEX(Market_Daily!$F$6:$F$256,MATCH($A946,Market_Daily!$A$6:$A$256,0)),(INDEX(Market_Daily!$F$6:$F$256,MATCH($A946,Market_Daily!$A$6:$A$256,0))*(1+INDEX(Market_Daily!$I$6:$I$256,MATCH($A946,Market_Daily!$A$6:$A$256,0))*($M946-$A946)/day_count_inr)/(1+INDEX(Market_Daily!$J$6:$J$256,MATCH($A946,Market_Daily!$A$6:$A$256,0))*($M946-$A946)/day_count_usd)))))</f>
        <v/>
      </c>
      <c r="AM946" s="8">
        <f>IF(OR($J946="INR",$R946&gt;1),"",$AL946-$X946)</f>
        <v/>
      </c>
      <c r="AN946" s="8">
        <f>$U946</f>
        <v/>
      </c>
      <c r="AO946" s="8">
        <f>$AN946*IF($J946="INR",1,$AL946)</f>
        <v/>
      </c>
      <c r="AP946" s="18">
        <f>$AO946-$V946</f>
        <v/>
      </c>
      <c r="AQ946" s="8">
        <f>IF(ABS($AP946)&lt;=tol_trade_inr,"PASS","FAIL")</f>
        <v/>
      </c>
    </row>
    <row r="947">
      <c r="A947" s="11" t="n">
        <v>44720</v>
      </c>
      <c r="B947" s="7" t="inlineStr">
        <is>
          <t>T06</t>
        </is>
      </c>
      <c r="C947" s="7" t="inlineStr">
        <is>
          <t>FX:T06-FX-2</t>
        </is>
      </c>
      <c r="D947" s="7" t="inlineStr">
        <is>
          <t>FX</t>
        </is>
      </c>
      <c r="E947" s="7" t="inlineStr">
        <is>
          <t>fx_forward</t>
        </is>
      </c>
      <c r="H947" s="7" t="inlineStr">
        <is>
          <t>zorba</t>
        </is>
      </c>
      <c r="I947" s="7" t="inlineStr">
        <is>
          <t>JEA_NSA</t>
        </is>
      </c>
      <c r="J947" s="7" t="inlineStr">
        <is>
          <t>INR</t>
        </is>
      </c>
      <c r="K947" s="7" t="inlineStr">
        <is>
          <t>floating</t>
        </is>
      </c>
      <c r="L947" s="7" t="inlineStr">
        <is>
          <t>PNL</t>
        </is>
      </c>
      <c r="M947" s="11" t="n">
        <v>44726</v>
      </c>
      <c r="N947" s="13" t="n">
        <v>0</v>
      </c>
      <c r="O947" s="6" t="n">
        <v>0</v>
      </c>
      <c r="P947" s="13" t="n">
        <v>833800</v>
      </c>
      <c r="Q947" s="22" t="n">
        <v>30</v>
      </c>
      <c r="R947" s="6" t="n">
        <v>1</v>
      </c>
      <c r="S947" s="12" t="n">
        <v>44726</v>
      </c>
      <c r="T947" s="21" t="n">
        <v>77.877786</v>
      </c>
      <c r="U947" s="9" t="n">
        <v>-128798.46</v>
      </c>
      <c r="V947" s="9" t="n">
        <v>-128798.46</v>
      </c>
      <c r="X947" s="9" t="n">
        <v>77.6739</v>
      </c>
      <c r="AK947" s="7" t="inlineStr">
        <is>
          <t>DERIVED_IN_WORKBOOK</t>
        </is>
      </c>
      <c r="AL947" s="8">
        <f>IF($J947="INR",1,IF($M947&lt;$A947,INDEX(Market_Daily!$F$6:$F$256,MATCH($M947,Market_Daily!$A$6:$A$256,1)),IF($M947=$A947,INDEX(Market_Daily!$F$6:$F$256,MATCH($A947,Market_Daily!$A$6:$A$256,0)),(INDEX(Market_Daily!$F$6:$F$256,MATCH($A947,Market_Daily!$A$6:$A$256,0))*(1+INDEX(Market_Daily!$I$6:$I$256,MATCH($A947,Market_Daily!$A$6:$A$256,0))*($M947-$A947)/day_count_inr)/(1+INDEX(Market_Daily!$J$6:$J$256,MATCH($A947,Market_Daily!$A$6:$A$256,0))*($M947-$A947)/day_count_usd)))))</f>
        <v/>
      </c>
      <c r="AM947" s="8">
        <f>IF(OR($J947="INR",$R947&gt;1),"",$AL947-$X947)</f>
        <v/>
      </c>
      <c r="AN947" s="8">
        <f>$P947*(IF($S947&lt;$A947,INDEX(Market_Daily!$F$6:$F$256,MATCH($S947,Market_Daily!$A$6:$A$256,1)),IF($S947=$A947,INDEX(Market_Daily!$F$6:$F$256,MATCH($A947,Market_Daily!$A$6:$A$256,0)),(INDEX(Market_Daily!$F$6:$F$256,MATCH($A947,Market_Daily!$A$6:$A$256,0))*(1+INDEX(Market_Daily!$I$6:$I$256,MATCH($A947,Market_Daily!$A$6:$A$256,0))*($S947-$A947)/day_count_inr)/(1+INDEX(Market_Daily!$J$6:$J$256,MATCH($A947,Market_Daily!$A$6:$A$256,0))*($S947-$A947)/day_count_usd))))-$T947)</f>
        <v/>
      </c>
      <c r="AO947" s="8">
        <f>$AN947</f>
        <v/>
      </c>
      <c r="AP947" s="18">
        <f>$AO947-$V947</f>
        <v/>
      </c>
      <c r="AQ947" s="8">
        <f>IF(ABS($AP947)&lt;=tol_trade_inr,"PASS","FAIL")</f>
        <v/>
      </c>
    </row>
    <row r="948">
      <c r="A948" s="11" t="n">
        <v>44720</v>
      </c>
      <c r="B948" s="7" t="inlineStr">
        <is>
          <t>T06</t>
        </is>
      </c>
      <c r="C948" s="7" t="inlineStr">
        <is>
          <t>IGST:L1</t>
        </is>
      </c>
      <c r="D948" s="7" t="inlineStr">
        <is>
          <t>IGST</t>
        </is>
      </c>
      <c r="E948" s="7" t="inlineStr">
        <is>
          <t>physical</t>
        </is>
      </c>
      <c r="F948" s="7" t="inlineStr">
        <is>
          <t>L1</t>
        </is>
      </c>
      <c r="H948" s="7" t="inlineStr">
        <is>
          <t>zorba</t>
        </is>
      </c>
      <c r="I948" s="7" t="inlineStr">
        <is>
          <t>JEA_NSA</t>
        </is>
      </c>
      <c r="J948" s="7" t="inlineStr">
        <is>
          <t>INR</t>
        </is>
      </c>
      <c r="K948" s="7" t="inlineStr">
        <is>
          <t>fixed_unsettled</t>
        </is>
      </c>
      <c r="L948" s="7" t="inlineStr">
        <is>
          <t>BS</t>
        </is>
      </c>
      <c r="M948" s="11" t="n">
        <v>44757</v>
      </c>
      <c r="N948" s="13" t="n">
        <v>0</v>
      </c>
      <c r="O948" s="6" t="n">
        <v>0</v>
      </c>
      <c r="P948" s="13" t="n">
        <v>0</v>
      </c>
      <c r="Q948" s="22" t="n">
        <v>30</v>
      </c>
      <c r="R948" s="6" t="n">
        <v>2</v>
      </c>
      <c r="U948" s="9" t="n">
        <v>0</v>
      </c>
      <c r="V948" s="9" t="n">
        <v>0</v>
      </c>
      <c r="X948" s="9" t="n">
        <v>77.6739</v>
      </c>
      <c r="AK948" s="7" t="inlineStr">
        <is>
          <t>PYTHON_MULTI_FLOW_LEG</t>
        </is>
      </c>
      <c r="AL948" s="8">
        <f>IF($J948="INR",1,IF($M948&lt;$A948,INDEX(Market_Daily!$F$6:$F$256,MATCH($M948,Market_Daily!$A$6:$A$256,1)),IF($M948=$A948,INDEX(Market_Daily!$F$6:$F$256,MATCH($A948,Market_Daily!$A$6:$A$256,0)),(INDEX(Market_Daily!$F$6:$F$256,MATCH($A948,Market_Daily!$A$6:$A$256,0))*(1+INDEX(Market_Daily!$I$6:$I$256,MATCH($A948,Market_Daily!$A$6:$A$256,0))*($M948-$A948)/day_count_inr)/(1+INDEX(Market_Daily!$J$6:$J$256,MATCH($A948,Market_Daily!$A$6:$A$256,0))*($M948-$A948)/day_count_usd)))))</f>
        <v/>
      </c>
      <c r="AM948" s="8">
        <f>IF(OR($J948="INR",$R948&gt;1),"",$AL948-$X948)</f>
        <v/>
      </c>
      <c r="AN948" s="8">
        <f>$U948</f>
        <v/>
      </c>
      <c r="AO948" s="8">
        <f>$V948</f>
        <v/>
      </c>
      <c r="AP948" s="18">
        <f>$AO948-$V948</f>
        <v/>
      </c>
      <c r="AQ948" s="8">
        <f>IF(ABS($AP948)&lt;=tol_trade_inr,"PASS","FAIL")</f>
        <v/>
      </c>
    </row>
    <row r="949">
      <c r="A949" s="11" t="n">
        <v>44720</v>
      </c>
      <c r="B949" s="7" t="inlineStr">
        <is>
          <t>T06</t>
        </is>
      </c>
      <c r="C949" s="7" t="inlineStr">
        <is>
          <t>IGST:L2</t>
        </is>
      </c>
      <c r="D949" s="7" t="inlineStr">
        <is>
          <t>IGST</t>
        </is>
      </c>
      <c r="E949" s="7" t="inlineStr">
        <is>
          <t>physical</t>
        </is>
      </c>
      <c r="F949" s="7" t="inlineStr">
        <is>
          <t>L2</t>
        </is>
      </c>
      <c r="H949" s="7" t="inlineStr">
        <is>
          <t>zorba</t>
        </is>
      </c>
      <c r="I949" s="7" t="inlineStr">
        <is>
          <t>JEA_NSA</t>
        </is>
      </c>
      <c r="J949" s="7" t="inlineStr">
        <is>
          <t>INR</t>
        </is>
      </c>
      <c r="K949" s="7" t="inlineStr">
        <is>
          <t>floating</t>
        </is>
      </c>
      <c r="L949" s="7" t="inlineStr">
        <is>
          <t>BS</t>
        </is>
      </c>
      <c r="M949" s="11" t="n">
        <v>44770</v>
      </c>
      <c r="N949" s="13" t="n">
        <v>0</v>
      </c>
      <c r="O949" s="6" t="n">
        <v>0</v>
      </c>
      <c r="P949" s="13" t="n">
        <v>0</v>
      </c>
      <c r="Q949" s="22" t="n">
        <v>30</v>
      </c>
      <c r="R949" s="6" t="n">
        <v>2</v>
      </c>
      <c r="U949" s="9" t="n">
        <v>0</v>
      </c>
      <c r="V949" s="9" t="n">
        <v>0</v>
      </c>
      <c r="X949" s="9" t="n">
        <v>77.6739</v>
      </c>
      <c r="AK949" s="7" t="inlineStr">
        <is>
          <t>PYTHON_MULTI_FLOW_LEG</t>
        </is>
      </c>
      <c r="AL949" s="8">
        <f>IF($J949="INR",1,IF($M949&lt;$A949,INDEX(Market_Daily!$F$6:$F$256,MATCH($M949,Market_Daily!$A$6:$A$256,1)),IF($M949=$A949,INDEX(Market_Daily!$F$6:$F$256,MATCH($A949,Market_Daily!$A$6:$A$256,0)),(INDEX(Market_Daily!$F$6:$F$256,MATCH($A949,Market_Daily!$A$6:$A$256,0))*(1+INDEX(Market_Daily!$I$6:$I$256,MATCH($A949,Market_Daily!$A$6:$A$256,0))*($M949-$A949)/day_count_inr)/(1+INDEX(Market_Daily!$J$6:$J$256,MATCH($A949,Market_Daily!$A$6:$A$256,0))*($M949-$A949)/day_count_usd)))))</f>
        <v/>
      </c>
      <c r="AM949" s="8">
        <f>IF(OR($J949="INR",$R949&gt;1),"",$AL949-$X949)</f>
        <v/>
      </c>
      <c r="AN949" s="8">
        <f>$U949</f>
        <v/>
      </c>
      <c r="AO949" s="8">
        <f>$V949</f>
        <v/>
      </c>
      <c r="AP949" s="18">
        <f>$AO949-$V949</f>
        <v/>
      </c>
      <c r="AQ949" s="8">
        <f>IF(ABS($AP949)&lt;=tol_trade_inr,"PASS","FAIL")</f>
        <v/>
      </c>
    </row>
    <row r="950">
      <c r="A950" s="11" t="n">
        <v>44720</v>
      </c>
      <c r="B950" s="7" t="inlineStr">
        <is>
          <t>T06</t>
        </is>
      </c>
      <c r="C950" s="7" t="inlineStr">
        <is>
          <t>PORT:L1</t>
        </is>
      </c>
      <c r="D950" s="7" t="inlineStr">
        <is>
          <t>PORT</t>
        </is>
      </c>
      <c r="E950" s="7" t="inlineStr">
        <is>
          <t>physical</t>
        </is>
      </c>
      <c r="F950" s="7" t="inlineStr">
        <is>
          <t>L1</t>
        </is>
      </c>
      <c r="H950" s="7" t="inlineStr">
        <is>
          <t>zorba</t>
        </is>
      </c>
      <c r="I950" s="7" t="inlineStr">
        <is>
          <t>JEA_NSA</t>
        </is>
      </c>
      <c r="J950" s="7" t="inlineStr">
        <is>
          <t>INR</t>
        </is>
      </c>
      <c r="K950" s="7" t="inlineStr">
        <is>
          <t>fixed_unsettled</t>
        </is>
      </c>
      <c r="L950" s="7" t="inlineStr">
        <is>
          <t>PNL</t>
        </is>
      </c>
      <c r="M950" s="11" t="n">
        <v>44721</v>
      </c>
      <c r="N950" s="13" t="n">
        <v>0</v>
      </c>
      <c r="O950" s="6" t="n">
        <v>0</v>
      </c>
      <c r="P950" s="13" t="n">
        <v>0</v>
      </c>
      <c r="Q950" s="22" t="n">
        <v>30</v>
      </c>
      <c r="R950" s="6" t="n">
        <v>1</v>
      </c>
      <c r="U950" s="9" t="n">
        <v>-1000000</v>
      </c>
      <c r="V950" s="9" t="n">
        <v>-1000000</v>
      </c>
      <c r="X950" s="9" t="n">
        <v>77.6739</v>
      </c>
      <c r="AK950" s="7" t="inlineStr">
        <is>
          <t>PYTHON_LIFECYCLE</t>
        </is>
      </c>
      <c r="AL950" s="8">
        <f>IF($J950="INR",1,IF($M950&lt;$A950,INDEX(Market_Daily!$F$6:$F$256,MATCH($M950,Market_Daily!$A$6:$A$256,1)),IF($M950=$A950,INDEX(Market_Daily!$F$6:$F$256,MATCH($A950,Market_Daily!$A$6:$A$256,0)),(INDEX(Market_Daily!$F$6:$F$256,MATCH($A950,Market_Daily!$A$6:$A$256,0))*(1+INDEX(Market_Daily!$I$6:$I$256,MATCH($A950,Market_Daily!$A$6:$A$256,0))*($M950-$A950)/day_count_inr)/(1+INDEX(Market_Daily!$J$6:$J$256,MATCH($A950,Market_Daily!$A$6:$A$256,0))*($M950-$A950)/day_count_usd)))))</f>
        <v/>
      </c>
      <c r="AM950" s="8">
        <f>IF(OR($J950="INR",$R950&gt;1),"",$AL950-$X950)</f>
        <v/>
      </c>
      <c r="AN950" s="8">
        <f>$U950</f>
        <v/>
      </c>
      <c r="AO950" s="8">
        <f>$AN950*IF($J950="INR",1,$AL950)</f>
        <v/>
      </c>
      <c r="AP950" s="18">
        <f>$AO950-$V950</f>
        <v/>
      </c>
      <c r="AQ950" s="8">
        <f>IF(ABS($AP950)&lt;=tol_trade_inr,"PASS","FAIL")</f>
        <v/>
      </c>
    </row>
    <row r="951">
      <c r="A951" s="11" t="n">
        <v>44720</v>
      </c>
      <c r="B951" s="7" t="inlineStr">
        <is>
          <t>T06</t>
        </is>
      </c>
      <c r="C951" s="7" t="inlineStr">
        <is>
          <t>PORT:L2</t>
        </is>
      </c>
      <c r="D951" s="7" t="inlineStr">
        <is>
          <t>PORT</t>
        </is>
      </c>
      <c r="E951" s="7" t="inlineStr">
        <is>
          <t>physical</t>
        </is>
      </c>
      <c r="F951" s="7" t="inlineStr">
        <is>
          <t>L2</t>
        </is>
      </c>
      <c r="H951" s="7" t="inlineStr">
        <is>
          <t>zorba</t>
        </is>
      </c>
      <c r="I951" s="7" t="inlineStr">
        <is>
          <t>JEA_NSA</t>
        </is>
      </c>
      <c r="J951" s="7" t="inlineStr">
        <is>
          <t>INR</t>
        </is>
      </c>
      <c r="K951" s="7" t="inlineStr">
        <is>
          <t>fixed_unsettled</t>
        </is>
      </c>
      <c r="L951" s="7" t="inlineStr">
        <is>
          <t>PNL</t>
        </is>
      </c>
      <c r="M951" s="11" t="n">
        <v>44734</v>
      </c>
      <c r="N951" s="13" t="n">
        <v>0</v>
      </c>
      <c r="O951" s="6" t="n">
        <v>0</v>
      </c>
      <c r="P951" s="13" t="n">
        <v>0</v>
      </c>
      <c r="Q951" s="22" t="n">
        <v>30</v>
      </c>
      <c r="R951" s="6" t="n">
        <v>1</v>
      </c>
      <c r="U951" s="9" t="n">
        <v>-1000000</v>
      </c>
      <c r="V951" s="9" t="n">
        <v>-1000000</v>
      </c>
      <c r="X951" s="9" t="n">
        <v>77.6739</v>
      </c>
      <c r="AK951" s="7" t="inlineStr">
        <is>
          <t>PYTHON_LIFECYCLE</t>
        </is>
      </c>
      <c r="AL951" s="8">
        <f>IF($J951="INR",1,IF($M951&lt;$A951,INDEX(Market_Daily!$F$6:$F$256,MATCH($M951,Market_Daily!$A$6:$A$256,1)),IF($M951=$A951,INDEX(Market_Daily!$F$6:$F$256,MATCH($A951,Market_Daily!$A$6:$A$256,0)),(INDEX(Market_Daily!$F$6:$F$256,MATCH($A951,Market_Daily!$A$6:$A$256,0))*(1+INDEX(Market_Daily!$I$6:$I$256,MATCH($A951,Market_Daily!$A$6:$A$256,0))*($M951-$A951)/day_count_inr)/(1+INDEX(Market_Daily!$J$6:$J$256,MATCH($A951,Market_Daily!$A$6:$A$256,0))*($M951-$A951)/day_count_usd)))))</f>
        <v/>
      </c>
      <c r="AM951" s="8">
        <f>IF(OR($J951="INR",$R951&gt;1),"",$AL951-$X951)</f>
        <v/>
      </c>
      <c r="AN951" s="8">
        <f>$U951</f>
        <v/>
      </c>
      <c r="AO951" s="8">
        <f>$AN951*IF($J951="INR",1,$AL951)</f>
        <v/>
      </c>
      <c r="AP951" s="18">
        <f>$AO951-$V951</f>
        <v/>
      </c>
      <c r="AQ951" s="8">
        <f>IF(ABS($AP951)&lt;=tol_trade_inr,"PASS","FAIL")</f>
        <v/>
      </c>
    </row>
    <row r="952">
      <c r="A952" s="11" t="n">
        <v>44720</v>
      </c>
      <c r="B952" s="7" t="inlineStr">
        <is>
          <t>T06</t>
        </is>
      </c>
      <c r="C952" s="7" t="inlineStr">
        <is>
          <t>PURCHASE:L2</t>
        </is>
      </c>
      <c r="D952" s="7" t="inlineStr">
        <is>
          <t>PURCHASE</t>
        </is>
      </c>
      <c r="E952" s="7" t="inlineStr">
        <is>
          <t>physical</t>
        </is>
      </c>
      <c r="F952" s="7" t="inlineStr">
        <is>
          <t>L2</t>
        </is>
      </c>
      <c r="G952" s="7" t="inlineStr">
        <is>
          <t>SUP_JEA_01</t>
        </is>
      </c>
      <c r="H952" s="7" t="inlineStr">
        <is>
          <t>zorba</t>
        </is>
      </c>
      <c r="I952" s="7" t="inlineStr">
        <is>
          <t>JEA_NSA</t>
        </is>
      </c>
      <c r="J952" s="7" t="inlineStr">
        <is>
          <t>USD</t>
        </is>
      </c>
      <c r="K952" s="7" t="inlineStr">
        <is>
          <t>fixed_unsettled</t>
        </is>
      </c>
      <c r="L952" s="7" t="inlineStr">
        <is>
          <t>PNL</t>
        </is>
      </c>
      <c r="M952" s="11" t="n">
        <v>44726</v>
      </c>
      <c r="N952" s="13" t="n">
        <v>650</v>
      </c>
      <c r="O952" s="6" t="n">
        <v>0</v>
      </c>
      <c r="P952" s="13" t="n">
        <v>0</v>
      </c>
      <c r="Q952" s="22" t="n">
        <v>30</v>
      </c>
      <c r="R952" s="6" t="n">
        <v>1</v>
      </c>
      <c r="U952" s="9" t="n">
        <v>-1389700</v>
      </c>
      <c r="V952" s="9" t="n">
        <v>-108012090.27</v>
      </c>
      <c r="X952" s="9" t="n">
        <v>77.72329999999999</v>
      </c>
      <c r="AK952" s="7" t="inlineStr">
        <is>
          <t>PYTHON_LIFECYCLE</t>
        </is>
      </c>
      <c r="AL952" s="8">
        <f>IF($J952="INR",1,IF($M952&lt;$A952,INDEX(Market_Daily!$F$6:$F$256,MATCH($M952,Market_Daily!$A$6:$A$256,1)),IF($M952=$A952,INDEX(Market_Daily!$F$6:$F$256,MATCH($A952,Market_Daily!$A$6:$A$256,0)),(INDEX(Market_Daily!$F$6:$F$256,MATCH($A952,Market_Daily!$A$6:$A$256,0))*(1+INDEX(Market_Daily!$I$6:$I$256,MATCH($A952,Market_Daily!$A$6:$A$256,0))*($M952-$A952)/day_count_inr)/(1+INDEX(Market_Daily!$J$6:$J$256,MATCH($A952,Market_Daily!$A$6:$A$256,0))*($M952-$A952)/day_count_usd)))))</f>
        <v/>
      </c>
      <c r="AM952" s="8">
        <f>IF(OR($J952="INR",$R952&gt;1),"",$AL952-$X952)</f>
        <v/>
      </c>
      <c r="AN952" s="8">
        <f>$U952</f>
        <v/>
      </c>
      <c r="AO952" s="8">
        <f>$AN952*IF($J952="INR",1,$AL952)</f>
        <v/>
      </c>
      <c r="AP952" s="18">
        <f>$AO952-$V952</f>
        <v/>
      </c>
      <c r="AQ952" s="8">
        <f>IF(ABS($AP952)&lt;=tol_trade_inr,"PASS","FAIL")</f>
        <v/>
      </c>
    </row>
    <row r="953">
      <c r="A953" s="11" t="n">
        <v>44720</v>
      </c>
      <c r="B953" s="7" t="inlineStr">
        <is>
          <t>T06</t>
        </is>
      </c>
      <c r="C953" s="7" t="inlineStr">
        <is>
          <t>SALE:S1</t>
        </is>
      </c>
      <c r="D953" s="7" t="inlineStr">
        <is>
          <t>SALE</t>
        </is>
      </c>
      <c r="E953" s="7" t="inlineStr">
        <is>
          <t>physical</t>
        </is>
      </c>
      <c r="G953" s="7" t="inlineStr">
        <is>
          <t>BUY_JNPT_01</t>
        </is>
      </c>
      <c r="H953" s="7" t="inlineStr">
        <is>
          <t>zorba</t>
        </is>
      </c>
      <c r="I953" s="7" t="inlineStr">
        <is>
          <t>JEA_NSA</t>
        </is>
      </c>
      <c r="J953" s="7" t="inlineStr">
        <is>
          <t>INR</t>
        </is>
      </c>
      <c r="K953" s="7" t="inlineStr">
        <is>
          <t>floating</t>
        </is>
      </c>
      <c r="L953" s="7" t="inlineStr">
        <is>
          <t>PNL</t>
        </is>
      </c>
      <c r="M953" s="11" t="n">
        <v>44781</v>
      </c>
      <c r="N953" s="13" t="n">
        <v>1300</v>
      </c>
      <c r="O953" s="6" t="n">
        <v>0</v>
      </c>
      <c r="P953" s="13" t="n">
        <v>0</v>
      </c>
      <c r="Q953" s="22" t="n">
        <v>30</v>
      </c>
      <c r="R953" s="6" t="n">
        <v>1</v>
      </c>
      <c r="U953" s="9" t="n">
        <v>240825000</v>
      </c>
      <c r="V953" s="9" t="n">
        <v>240825000</v>
      </c>
      <c r="W953" s="9" t="n">
        <v>185250</v>
      </c>
      <c r="X953" s="9" t="n">
        <v>77.6739</v>
      </c>
      <c r="AK953" s="7" t="inlineStr">
        <is>
          <t>PYTHON_LIFECYCLE</t>
        </is>
      </c>
      <c r="AL953" s="8">
        <f>IF($J953="INR",1,IF($M953&lt;$A953,INDEX(Market_Daily!$F$6:$F$256,MATCH($M953,Market_Daily!$A$6:$A$256,1)),IF($M953=$A953,INDEX(Market_Daily!$F$6:$F$256,MATCH($A953,Market_Daily!$A$6:$A$256,0)),(INDEX(Market_Daily!$F$6:$F$256,MATCH($A953,Market_Daily!$A$6:$A$256,0))*(1+INDEX(Market_Daily!$I$6:$I$256,MATCH($A953,Market_Daily!$A$6:$A$256,0))*($M953-$A953)/day_count_inr)/(1+INDEX(Market_Daily!$J$6:$J$256,MATCH($A953,Market_Daily!$A$6:$A$256,0))*($M953-$A953)/day_count_usd)))))</f>
        <v/>
      </c>
      <c r="AM953" s="8">
        <f>IF(OR($J953="INR",$R953&gt;1),"",$AL953-$X953)</f>
        <v/>
      </c>
      <c r="AN953" s="8">
        <f>$U953</f>
        <v/>
      </c>
      <c r="AO953" s="8">
        <f>$AN953*IF($J953="INR",1,$AL953)</f>
        <v/>
      </c>
      <c r="AP953" s="18">
        <f>$AO953-$V953</f>
        <v/>
      </c>
      <c r="AQ953" s="8">
        <f>IF(ABS($AP953)&lt;=tol_trade_inr,"PASS","FAIL")</f>
        <v/>
      </c>
    </row>
    <row r="954">
      <c r="A954" s="11" t="n">
        <v>44720</v>
      </c>
      <c r="B954" s="7" t="inlineStr">
        <is>
          <t>T07</t>
        </is>
      </c>
      <c r="C954" s="7" t="inlineStr">
        <is>
          <t>BILL_COMMISSION:L1</t>
        </is>
      </c>
      <c r="D954" s="7" t="inlineStr">
        <is>
          <t>BILL_COMMISSION</t>
        </is>
      </c>
      <c r="E954" s="7" t="inlineStr">
        <is>
          <t>physical</t>
        </is>
      </c>
      <c r="F954" s="7" t="inlineStr">
        <is>
          <t>L1</t>
        </is>
      </c>
      <c r="H954" s="7" t="inlineStr">
        <is>
          <t>tense</t>
        </is>
      </c>
      <c r="I954" s="7" t="inlineStr">
        <is>
          <t>USEC_MUN</t>
        </is>
      </c>
      <c r="J954" s="7" t="inlineStr">
        <is>
          <t>USD</t>
        </is>
      </c>
      <c r="K954" s="7" t="inlineStr">
        <is>
          <t>floating</t>
        </is>
      </c>
      <c r="L954" s="7" t="inlineStr">
        <is>
          <t>PNL</t>
        </is>
      </c>
      <c r="M954" s="11" t="n">
        <v>44727</v>
      </c>
      <c r="N954" s="13" t="n">
        <v>0</v>
      </c>
      <c r="O954" s="6" t="n">
        <v>0</v>
      </c>
      <c r="P954" s="13" t="n">
        <v>0</v>
      </c>
      <c r="Q954" s="22" t="n">
        <v>30</v>
      </c>
      <c r="R954" s="6" t="n">
        <v>1</v>
      </c>
      <c r="U954" s="9" t="n">
        <v>-2365.52</v>
      </c>
      <c r="V954" s="9" t="n">
        <v>-183875.84</v>
      </c>
      <c r="X954" s="9" t="n">
        <v>77.7315</v>
      </c>
      <c r="AK954" s="7" t="inlineStr">
        <is>
          <t>PYTHON_LIFECYCLE</t>
        </is>
      </c>
      <c r="AL954" s="8">
        <f>IF($J954="INR",1,IF($M954&lt;$A954,INDEX(Market_Daily!$F$6:$F$256,MATCH($M954,Market_Daily!$A$6:$A$256,1)),IF($M954=$A954,INDEX(Market_Daily!$F$6:$F$256,MATCH($A954,Market_Daily!$A$6:$A$256,0)),(INDEX(Market_Daily!$F$6:$F$256,MATCH($A954,Market_Daily!$A$6:$A$256,0))*(1+INDEX(Market_Daily!$I$6:$I$256,MATCH($A954,Market_Daily!$A$6:$A$256,0))*($M954-$A954)/day_count_inr)/(1+INDEX(Market_Daily!$J$6:$J$256,MATCH($A954,Market_Daily!$A$6:$A$256,0))*($M954-$A954)/day_count_usd)))))</f>
        <v/>
      </c>
      <c r="AM954" s="8">
        <f>IF(OR($J954="INR",$R954&gt;1),"",$AL954-$X954)</f>
        <v/>
      </c>
      <c r="AN954" s="8">
        <f>$U954</f>
        <v/>
      </c>
      <c r="AO954" s="8">
        <f>$AN954*IF($J954="INR",1,$AL954)</f>
        <v/>
      </c>
      <c r="AP954" s="18">
        <f>$AO954-$V954</f>
        <v/>
      </c>
      <c r="AQ954" s="8">
        <f>IF(ABS($AP954)&lt;=tol_trade_inr,"PASS","FAIL")</f>
        <v/>
      </c>
    </row>
    <row r="955">
      <c r="A955" s="11" t="n">
        <v>44720</v>
      </c>
      <c r="B955" s="7" t="inlineStr">
        <is>
          <t>T07</t>
        </is>
      </c>
      <c r="C955" s="7" t="inlineStr">
        <is>
          <t>BILL_COMMISSION:L2</t>
        </is>
      </c>
      <c r="D955" s="7" t="inlineStr">
        <is>
          <t>BILL_COMMISSION</t>
        </is>
      </c>
      <c r="E955" s="7" t="inlineStr">
        <is>
          <t>physical</t>
        </is>
      </c>
      <c r="F955" s="7" t="inlineStr">
        <is>
          <t>L2</t>
        </is>
      </c>
      <c r="H955" s="7" t="inlineStr">
        <is>
          <t>tense</t>
        </is>
      </c>
      <c r="I955" s="7" t="inlineStr">
        <is>
          <t>USEC_MUN</t>
        </is>
      </c>
      <c r="J955" s="7" t="inlineStr">
        <is>
          <t>USD</t>
        </is>
      </c>
      <c r="K955" s="7" t="inlineStr">
        <is>
          <t>floating</t>
        </is>
      </c>
      <c r="L955" s="7" t="inlineStr">
        <is>
          <t>PNL</t>
        </is>
      </c>
      <c r="M955" s="11" t="n">
        <v>44734</v>
      </c>
      <c r="N955" s="13" t="n">
        <v>0</v>
      </c>
      <c r="O955" s="6" t="n">
        <v>0</v>
      </c>
      <c r="P955" s="13" t="n">
        <v>0</v>
      </c>
      <c r="Q955" s="22" t="n">
        <v>30</v>
      </c>
      <c r="R955" s="6" t="n">
        <v>1</v>
      </c>
      <c r="U955" s="9" t="n">
        <v>-2365.52</v>
      </c>
      <c r="V955" s="9" t="n">
        <v>-184012.15</v>
      </c>
      <c r="X955" s="9" t="n">
        <v>77.78919999999999</v>
      </c>
      <c r="AK955" s="7" t="inlineStr">
        <is>
          <t>PYTHON_LIFECYCLE</t>
        </is>
      </c>
      <c r="AL955" s="8">
        <f>IF($J955="INR",1,IF($M955&lt;$A955,INDEX(Market_Daily!$F$6:$F$256,MATCH($M955,Market_Daily!$A$6:$A$256,1)),IF($M955=$A955,INDEX(Market_Daily!$F$6:$F$256,MATCH($A955,Market_Daily!$A$6:$A$256,0)),(INDEX(Market_Daily!$F$6:$F$256,MATCH($A955,Market_Daily!$A$6:$A$256,0))*(1+INDEX(Market_Daily!$I$6:$I$256,MATCH($A955,Market_Daily!$A$6:$A$256,0))*($M955-$A955)/day_count_inr)/(1+INDEX(Market_Daily!$J$6:$J$256,MATCH($A955,Market_Daily!$A$6:$A$256,0))*($M955-$A955)/day_count_usd)))))</f>
        <v/>
      </c>
      <c r="AM955" s="8">
        <f>IF(OR($J955="INR",$R955&gt;1),"",$AL955-$X955)</f>
        <v/>
      </c>
      <c r="AN955" s="8">
        <f>$U955</f>
        <v/>
      </c>
      <c r="AO955" s="8">
        <f>$AN955*IF($J955="INR",1,$AL955)</f>
        <v/>
      </c>
      <c r="AP955" s="18">
        <f>$AO955-$V955</f>
        <v/>
      </c>
      <c r="AQ955" s="8">
        <f>IF(ABS($AP955)&lt;=tol_trade_inr,"PASS","FAIL")</f>
        <v/>
      </c>
    </row>
    <row r="956">
      <c r="A956" s="11" t="n">
        <v>44720</v>
      </c>
      <c r="B956" s="7" t="inlineStr">
        <is>
          <t>T07</t>
        </is>
      </c>
      <c r="C956" s="7" t="inlineStr">
        <is>
          <t>DUTY:L1</t>
        </is>
      </c>
      <c r="D956" s="7" t="inlineStr">
        <is>
          <t>DUTY</t>
        </is>
      </c>
      <c r="E956" s="7" t="inlineStr">
        <is>
          <t>physical</t>
        </is>
      </c>
      <c r="F956" s="7" t="inlineStr">
        <is>
          <t>L1</t>
        </is>
      </c>
      <c r="H956" s="7" t="inlineStr">
        <is>
          <t>tense</t>
        </is>
      </c>
      <c r="I956" s="7" t="inlineStr">
        <is>
          <t>USEC_MUN</t>
        </is>
      </c>
      <c r="J956" s="7" t="inlineStr">
        <is>
          <t>INR</t>
        </is>
      </c>
      <c r="K956" s="7" t="inlineStr">
        <is>
          <t>floating</t>
        </is>
      </c>
      <c r="L956" s="7" t="inlineStr">
        <is>
          <t>PNL</t>
        </is>
      </c>
      <c r="M956" s="11" t="n">
        <v>44761</v>
      </c>
      <c r="N956" s="13" t="n">
        <v>945</v>
      </c>
      <c r="O956" s="6" t="n">
        <v>0</v>
      </c>
      <c r="P956" s="13" t="n">
        <v>0</v>
      </c>
      <c r="Q956" s="22" t="n">
        <v>30</v>
      </c>
      <c r="R956" s="6" t="n">
        <v>1</v>
      </c>
      <c r="U956" s="9" t="n">
        <v>-4444936.29</v>
      </c>
      <c r="V956" s="9" t="n">
        <v>-4444936.29</v>
      </c>
      <c r="X956" s="9" t="n">
        <v>77.6739</v>
      </c>
      <c r="AK956" s="7" t="inlineStr">
        <is>
          <t>PYTHON_LIFECYCLE</t>
        </is>
      </c>
      <c r="AL956" s="8">
        <f>IF($J956="INR",1,IF($M956&lt;$A956,INDEX(Market_Daily!$F$6:$F$256,MATCH($M956,Market_Daily!$A$6:$A$256,1)),IF($M956=$A956,INDEX(Market_Daily!$F$6:$F$256,MATCH($A956,Market_Daily!$A$6:$A$256,0)),(INDEX(Market_Daily!$F$6:$F$256,MATCH($A956,Market_Daily!$A$6:$A$256,0))*(1+INDEX(Market_Daily!$I$6:$I$256,MATCH($A956,Market_Daily!$A$6:$A$256,0))*($M956-$A956)/day_count_inr)/(1+INDEX(Market_Daily!$J$6:$J$256,MATCH($A956,Market_Daily!$A$6:$A$256,0))*($M956-$A956)/day_count_usd)))))</f>
        <v/>
      </c>
      <c r="AM956" s="8">
        <f>IF(OR($J956="INR",$R956&gt;1),"",$AL956-$X956)</f>
        <v/>
      </c>
      <c r="AN956" s="8">
        <f>$U956</f>
        <v/>
      </c>
      <c r="AO956" s="8">
        <f>$AN956*IF($J956="INR",1,$AL956)</f>
        <v/>
      </c>
      <c r="AP956" s="18">
        <f>$AO956-$V956</f>
        <v/>
      </c>
      <c r="AQ956" s="8">
        <f>IF(ABS($AP956)&lt;=tol_trade_inr,"PASS","FAIL")</f>
        <v/>
      </c>
    </row>
    <row r="957">
      <c r="A957" s="11" t="n">
        <v>44720</v>
      </c>
      <c r="B957" s="7" t="inlineStr">
        <is>
          <t>T07</t>
        </is>
      </c>
      <c r="C957" s="7" t="inlineStr">
        <is>
          <t>DUTY:L2</t>
        </is>
      </c>
      <c r="D957" s="7" t="inlineStr">
        <is>
          <t>DUTY</t>
        </is>
      </c>
      <c r="E957" s="7" t="inlineStr">
        <is>
          <t>physical</t>
        </is>
      </c>
      <c r="F957" s="7" t="inlineStr">
        <is>
          <t>L2</t>
        </is>
      </c>
      <c r="H957" s="7" t="inlineStr">
        <is>
          <t>tense</t>
        </is>
      </c>
      <c r="I957" s="7" t="inlineStr">
        <is>
          <t>USEC_MUN</t>
        </is>
      </c>
      <c r="J957" s="7" t="inlineStr">
        <is>
          <t>INR</t>
        </is>
      </c>
      <c r="K957" s="7" t="inlineStr">
        <is>
          <t>floating</t>
        </is>
      </c>
      <c r="L957" s="7" t="inlineStr">
        <is>
          <t>PNL</t>
        </is>
      </c>
      <c r="M957" s="11" t="n">
        <v>44768</v>
      </c>
      <c r="N957" s="13" t="n">
        <v>945</v>
      </c>
      <c r="O957" s="6" t="n">
        <v>0</v>
      </c>
      <c r="P957" s="13" t="n">
        <v>0</v>
      </c>
      <c r="Q957" s="22" t="n">
        <v>30</v>
      </c>
      <c r="R957" s="6" t="n">
        <v>1</v>
      </c>
      <c r="U957" s="9" t="n">
        <v>-4444936.29</v>
      </c>
      <c r="V957" s="9" t="n">
        <v>-4444936.29</v>
      </c>
      <c r="X957" s="9" t="n">
        <v>77.6739</v>
      </c>
      <c r="AK957" s="7" t="inlineStr">
        <is>
          <t>PYTHON_LIFECYCLE</t>
        </is>
      </c>
      <c r="AL957" s="8">
        <f>IF($J957="INR",1,IF($M957&lt;$A957,INDEX(Market_Daily!$F$6:$F$256,MATCH($M957,Market_Daily!$A$6:$A$256,1)),IF($M957=$A957,INDEX(Market_Daily!$F$6:$F$256,MATCH($A957,Market_Daily!$A$6:$A$256,0)),(INDEX(Market_Daily!$F$6:$F$256,MATCH($A957,Market_Daily!$A$6:$A$256,0))*(1+INDEX(Market_Daily!$I$6:$I$256,MATCH($A957,Market_Daily!$A$6:$A$256,0))*($M957-$A957)/day_count_inr)/(1+INDEX(Market_Daily!$J$6:$J$256,MATCH($A957,Market_Daily!$A$6:$A$256,0))*($M957-$A957)/day_count_usd)))))</f>
        <v/>
      </c>
      <c r="AM957" s="8">
        <f>IF(OR($J957="INR",$R957&gt;1),"",$AL957-$X957)</f>
        <v/>
      </c>
      <c r="AN957" s="8">
        <f>$U957</f>
        <v/>
      </c>
      <c r="AO957" s="8">
        <f>$AN957*IF($J957="INR",1,$AL957)</f>
        <v/>
      </c>
      <c r="AP957" s="18">
        <f>$AO957-$V957</f>
        <v/>
      </c>
      <c r="AQ957" s="8">
        <f>IF(ABS($AP957)&lt;=tol_trade_inr,"PASS","FAIL")</f>
        <v/>
      </c>
    </row>
    <row r="958">
      <c r="A958" s="11" t="n">
        <v>44720</v>
      </c>
      <c r="B958" s="7" t="inlineStr">
        <is>
          <t>T07</t>
        </is>
      </c>
      <c r="C958" s="7" t="inlineStr">
        <is>
          <t>FREIGHT:L2</t>
        </is>
      </c>
      <c r="D958" s="7" t="inlineStr">
        <is>
          <t>FREIGHT</t>
        </is>
      </c>
      <c r="E958" s="7" t="inlineStr">
        <is>
          <t>physical</t>
        </is>
      </c>
      <c r="F958" s="7" t="inlineStr">
        <is>
          <t>L2</t>
        </is>
      </c>
      <c r="G958" s="7" t="inlineStr">
        <is>
          <t>Konkan Freight Services (SIM)</t>
        </is>
      </c>
      <c r="H958" s="7" t="inlineStr">
        <is>
          <t>tense</t>
        </is>
      </c>
      <c r="I958" s="7" t="inlineStr">
        <is>
          <t>USEC_MUN</t>
        </is>
      </c>
      <c r="J958" s="7" t="inlineStr">
        <is>
          <t>USD</t>
        </is>
      </c>
      <c r="K958" s="7" t="inlineStr">
        <is>
          <t>fixed_unsettled</t>
        </is>
      </c>
      <c r="L958" s="7" t="inlineStr">
        <is>
          <t>PNL</t>
        </is>
      </c>
      <c r="M958" s="11" t="n">
        <v>44727</v>
      </c>
      <c r="N958" s="13" t="n">
        <v>945</v>
      </c>
      <c r="O958" s="6" t="n">
        <v>0</v>
      </c>
      <c r="P958" s="13" t="n">
        <v>0</v>
      </c>
      <c r="Q958" s="22" t="n">
        <v>30</v>
      </c>
      <c r="R958" s="6" t="n">
        <v>1</v>
      </c>
      <c r="U958" s="9" t="n">
        <v>-85500</v>
      </c>
      <c r="V958" s="9" t="n">
        <v>-6646047.38</v>
      </c>
      <c r="X958" s="9" t="n">
        <v>77.7315</v>
      </c>
      <c r="AK958" s="7" t="inlineStr">
        <is>
          <t>PYTHON_LIFECYCLE</t>
        </is>
      </c>
      <c r="AL958" s="8">
        <f>IF($J958="INR",1,IF($M958&lt;$A958,INDEX(Market_Daily!$F$6:$F$256,MATCH($M958,Market_Daily!$A$6:$A$256,1)),IF($M958=$A958,INDEX(Market_Daily!$F$6:$F$256,MATCH($A958,Market_Daily!$A$6:$A$256,0)),(INDEX(Market_Daily!$F$6:$F$256,MATCH($A958,Market_Daily!$A$6:$A$256,0))*(1+INDEX(Market_Daily!$I$6:$I$256,MATCH($A958,Market_Daily!$A$6:$A$256,0))*($M958-$A958)/day_count_inr)/(1+INDEX(Market_Daily!$J$6:$J$256,MATCH($A958,Market_Daily!$A$6:$A$256,0))*($M958-$A958)/day_count_usd)))))</f>
        <v/>
      </c>
      <c r="AM958" s="8">
        <f>IF(OR($J958="INR",$R958&gt;1),"",$AL958-$X958)</f>
        <v/>
      </c>
      <c r="AN958" s="8">
        <f>$U958</f>
        <v/>
      </c>
      <c r="AO958" s="8">
        <f>$AN958*IF($J958="INR",1,$AL958)</f>
        <v/>
      </c>
      <c r="AP958" s="18">
        <f>$AO958-$V958</f>
        <v/>
      </c>
      <c r="AQ958" s="8">
        <f>IF(ABS($AP958)&lt;=tol_trade_inr,"PASS","FAIL")</f>
        <v/>
      </c>
    </row>
    <row r="959">
      <c r="A959" s="11" t="n">
        <v>44720</v>
      </c>
      <c r="B959" s="7" t="inlineStr">
        <is>
          <t>T07</t>
        </is>
      </c>
      <c r="C959" s="7" t="inlineStr">
        <is>
          <t>FX:T07-FX-1</t>
        </is>
      </c>
      <c r="D959" s="7" t="inlineStr">
        <is>
          <t>FX</t>
        </is>
      </c>
      <c r="E959" s="7" t="inlineStr">
        <is>
          <t>fx_forward</t>
        </is>
      </c>
      <c r="H959" s="7" t="inlineStr">
        <is>
          <t>tense</t>
        </is>
      </c>
      <c r="I959" s="7" t="inlineStr">
        <is>
          <t>USEC_MUN</t>
        </is>
      </c>
      <c r="J959" s="7" t="inlineStr">
        <is>
          <t>INR</t>
        </is>
      </c>
      <c r="K959" s="7" t="inlineStr">
        <is>
          <t>floating</t>
        </is>
      </c>
      <c r="L959" s="7" t="inlineStr">
        <is>
          <t>PNL</t>
        </is>
      </c>
      <c r="M959" s="11" t="n">
        <v>44727</v>
      </c>
      <c r="N959" s="13" t="n">
        <v>0</v>
      </c>
      <c r="O959" s="6" t="n">
        <v>0</v>
      </c>
      <c r="P959" s="13" t="n">
        <v>1971300</v>
      </c>
      <c r="Q959" s="22" t="n">
        <v>30</v>
      </c>
      <c r="R959" s="6" t="n">
        <v>1</v>
      </c>
      <c r="S959" s="12" t="n">
        <v>44727</v>
      </c>
      <c r="T959" s="21" t="n">
        <v>77.831548</v>
      </c>
      <c r="U959" s="9" t="n">
        <v>-197130</v>
      </c>
      <c r="V959" s="9" t="n">
        <v>-197130</v>
      </c>
      <c r="X959" s="9" t="n">
        <v>77.6739</v>
      </c>
      <c r="AK959" s="7" t="inlineStr">
        <is>
          <t>DERIVED_IN_WORKBOOK</t>
        </is>
      </c>
      <c r="AL959" s="8">
        <f>IF($J959="INR",1,IF($M959&lt;$A959,INDEX(Market_Daily!$F$6:$F$256,MATCH($M959,Market_Daily!$A$6:$A$256,1)),IF($M959=$A959,INDEX(Market_Daily!$F$6:$F$256,MATCH($A959,Market_Daily!$A$6:$A$256,0)),(INDEX(Market_Daily!$F$6:$F$256,MATCH($A959,Market_Daily!$A$6:$A$256,0))*(1+INDEX(Market_Daily!$I$6:$I$256,MATCH($A959,Market_Daily!$A$6:$A$256,0))*($M959-$A959)/day_count_inr)/(1+INDEX(Market_Daily!$J$6:$J$256,MATCH($A959,Market_Daily!$A$6:$A$256,0))*($M959-$A959)/day_count_usd)))))</f>
        <v/>
      </c>
      <c r="AM959" s="8">
        <f>IF(OR($J959="INR",$R959&gt;1),"",$AL959-$X959)</f>
        <v/>
      </c>
      <c r="AN959" s="8">
        <f>$P959*(IF($S959&lt;$A959,INDEX(Market_Daily!$F$6:$F$256,MATCH($S959,Market_Daily!$A$6:$A$256,1)),IF($S959=$A959,INDEX(Market_Daily!$F$6:$F$256,MATCH($A959,Market_Daily!$A$6:$A$256,0)),(INDEX(Market_Daily!$F$6:$F$256,MATCH($A959,Market_Daily!$A$6:$A$256,0))*(1+INDEX(Market_Daily!$I$6:$I$256,MATCH($A959,Market_Daily!$A$6:$A$256,0))*($S959-$A959)/day_count_inr)/(1+INDEX(Market_Daily!$J$6:$J$256,MATCH($A959,Market_Daily!$A$6:$A$256,0))*($S959-$A959)/day_count_usd))))-$T959)</f>
        <v/>
      </c>
      <c r="AO959" s="8">
        <f>$AN959</f>
        <v/>
      </c>
      <c r="AP959" s="18">
        <f>$AO959-$V959</f>
        <v/>
      </c>
      <c r="AQ959" s="8">
        <f>IF(ABS($AP959)&lt;=tol_trade_inr,"PASS","FAIL")</f>
        <v/>
      </c>
    </row>
    <row r="960">
      <c r="A960" s="11" t="n">
        <v>44720</v>
      </c>
      <c r="B960" s="7" t="inlineStr">
        <is>
          <t>T07</t>
        </is>
      </c>
      <c r="C960" s="7" t="inlineStr">
        <is>
          <t>FX:T07-FX-3</t>
        </is>
      </c>
      <c r="D960" s="7" t="inlineStr">
        <is>
          <t>FX</t>
        </is>
      </c>
      <c r="E960" s="7" t="inlineStr">
        <is>
          <t>fx_forward</t>
        </is>
      </c>
      <c r="H960" s="7" t="inlineStr">
        <is>
          <t>tense</t>
        </is>
      </c>
      <c r="I960" s="7" t="inlineStr">
        <is>
          <t>USEC_MUN</t>
        </is>
      </c>
      <c r="J960" s="7" t="inlineStr">
        <is>
          <t>INR</t>
        </is>
      </c>
      <c r="K960" s="7" t="inlineStr">
        <is>
          <t>floating</t>
        </is>
      </c>
      <c r="L960" s="7" t="inlineStr">
        <is>
          <t>PNL</t>
        </is>
      </c>
      <c r="M960" s="11" t="n">
        <v>44727</v>
      </c>
      <c r="N960" s="13" t="n">
        <v>0</v>
      </c>
      <c r="O960" s="6" t="n">
        <v>0</v>
      </c>
      <c r="P960" s="13" t="n">
        <v>171000</v>
      </c>
      <c r="Q960" s="22" t="n">
        <v>30</v>
      </c>
      <c r="R960" s="6" t="n">
        <v>1</v>
      </c>
      <c r="S960" s="12" t="n">
        <v>44727</v>
      </c>
      <c r="T960" s="21" t="n">
        <v>77.837011</v>
      </c>
      <c r="U960" s="9" t="n">
        <v>-18034.12</v>
      </c>
      <c r="V960" s="9" t="n">
        <v>-18034.12</v>
      </c>
      <c r="X960" s="9" t="n">
        <v>77.6739</v>
      </c>
      <c r="AK960" s="7" t="inlineStr">
        <is>
          <t>DERIVED_IN_WORKBOOK</t>
        </is>
      </c>
      <c r="AL960" s="8">
        <f>IF($J960="INR",1,IF($M960&lt;$A960,INDEX(Market_Daily!$F$6:$F$256,MATCH($M960,Market_Daily!$A$6:$A$256,1)),IF($M960=$A960,INDEX(Market_Daily!$F$6:$F$256,MATCH($A960,Market_Daily!$A$6:$A$256,0)),(INDEX(Market_Daily!$F$6:$F$256,MATCH($A960,Market_Daily!$A$6:$A$256,0))*(1+INDEX(Market_Daily!$I$6:$I$256,MATCH($A960,Market_Daily!$A$6:$A$256,0))*($M960-$A960)/day_count_inr)/(1+INDEX(Market_Daily!$J$6:$J$256,MATCH($A960,Market_Daily!$A$6:$A$256,0))*($M960-$A960)/day_count_usd)))))</f>
        <v/>
      </c>
      <c r="AM960" s="8">
        <f>IF(OR($J960="INR",$R960&gt;1),"",$AL960-$X960)</f>
        <v/>
      </c>
      <c r="AN960" s="8">
        <f>$P960*(IF($S960&lt;$A960,INDEX(Market_Daily!$F$6:$F$256,MATCH($S960,Market_Daily!$A$6:$A$256,1)),IF($S960=$A960,INDEX(Market_Daily!$F$6:$F$256,MATCH($A960,Market_Daily!$A$6:$A$256,0)),(INDEX(Market_Daily!$F$6:$F$256,MATCH($A960,Market_Daily!$A$6:$A$256,0))*(1+INDEX(Market_Daily!$I$6:$I$256,MATCH($A960,Market_Daily!$A$6:$A$256,0))*($S960-$A960)/day_count_inr)/(1+INDEX(Market_Daily!$J$6:$J$256,MATCH($A960,Market_Daily!$A$6:$A$256,0))*($S960-$A960)/day_count_usd))))-$T960)</f>
        <v/>
      </c>
      <c r="AO960" s="8">
        <f>$AN960</f>
        <v/>
      </c>
      <c r="AP960" s="18">
        <f>$AO960-$V960</f>
        <v/>
      </c>
      <c r="AQ960" s="8">
        <f>IF(ABS($AP960)&lt;=tol_trade_inr,"PASS","FAIL")</f>
        <v/>
      </c>
    </row>
    <row r="961">
      <c r="A961" s="11" t="n">
        <v>44720</v>
      </c>
      <c r="B961" s="7" t="inlineStr">
        <is>
          <t>T07</t>
        </is>
      </c>
      <c r="C961" s="7" t="inlineStr">
        <is>
          <t>IGST:L1</t>
        </is>
      </c>
      <c r="D961" s="7" t="inlineStr">
        <is>
          <t>IGST</t>
        </is>
      </c>
      <c r="E961" s="7" t="inlineStr">
        <is>
          <t>physical</t>
        </is>
      </c>
      <c r="F961" s="7" t="inlineStr">
        <is>
          <t>L1</t>
        </is>
      </c>
      <c r="H961" s="7" t="inlineStr">
        <is>
          <t>tense</t>
        </is>
      </c>
      <c r="I961" s="7" t="inlineStr">
        <is>
          <t>USEC_MUN</t>
        </is>
      </c>
      <c r="J961" s="7" t="inlineStr">
        <is>
          <t>INR</t>
        </is>
      </c>
      <c r="K961" s="7" t="inlineStr">
        <is>
          <t>floating</t>
        </is>
      </c>
      <c r="L961" s="7" t="inlineStr">
        <is>
          <t>BS</t>
        </is>
      </c>
      <c r="M961" s="11" t="n">
        <v>44806</v>
      </c>
      <c r="N961" s="13" t="n">
        <v>0</v>
      </c>
      <c r="O961" s="6" t="n">
        <v>0</v>
      </c>
      <c r="P961" s="13" t="n">
        <v>0</v>
      </c>
      <c r="Q961" s="22" t="n">
        <v>30</v>
      </c>
      <c r="R961" s="6" t="n">
        <v>2</v>
      </c>
      <c r="U961" s="9" t="n">
        <v>0</v>
      </c>
      <c r="V961" s="9" t="n">
        <v>0</v>
      </c>
      <c r="X961" s="9" t="n">
        <v>77.6739</v>
      </c>
      <c r="AK961" s="7" t="inlineStr">
        <is>
          <t>PYTHON_MULTI_FLOW_LEG</t>
        </is>
      </c>
      <c r="AL961" s="8">
        <f>IF($J961="INR",1,IF($M961&lt;$A961,INDEX(Market_Daily!$F$6:$F$256,MATCH($M961,Market_Daily!$A$6:$A$256,1)),IF($M961=$A961,INDEX(Market_Daily!$F$6:$F$256,MATCH($A961,Market_Daily!$A$6:$A$256,0)),(INDEX(Market_Daily!$F$6:$F$256,MATCH($A961,Market_Daily!$A$6:$A$256,0))*(1+INDEX(Market_Daily!$I$6:$I$256,MATCH($A961,Market_Daily!$A$6:$A$256,0))*($M961-$A961)/day_count_inr)/(1+INDEX(Market_Daily!$J$6:$J$256,MATCH($A961,Market_Daily!$A$6:$A$256,0))*($M961-$A961)/day_count_usd)))))</f>
        <v/>
      </c>
      <c r="AM961" s="8">
        <f>IF(OR($J961="INR",$R961&gt;1),"",$AL961-$X961)</f>
        <v/>
      </c>
      <c r="AN961" s="8">
        <f>$U961</f>
        <v/>
      </c>
      <c r="AO961" s="8">
        <f>$V961</f>
        <v/>
      </c>
      <c r="AP961" s="18">
        <f>$AO961-$V961</f>
        <v/>
      </c>
      <c r="AQ961" s="8">
        <f>IF(ABS($AP961)&lt;=tol_trade_inr,"PASS","FAIL")</f>
        <v/>
      </c>
    </row>
    <row r="962">
      <c r="A962" s="11" t="n">
        <v>44720</v>
      </c>
      <c r="B962" s="7" t="inlineStr">
        <is>
          <t>T07</t>
        </is>
      </c>
      <c r="C962" s="7" t="inlineStr">
        <is>
          <t>IGST:L2</t>
        </is>
      </c>
      <c r="D962" s="7" t="inlineStr">
        <is>
          <t>IGST</t>
        </is>
      </c>
      <c r="E962" s="7" t="inlineStr">
        <is>
          <t>physical</t>
        </is>
      </c>
      <c r="F962" s="7" t="inlineStr">
        <is>
          <t>L2</t>
        </is>
      </c>
      <c r="H962" s="7" t="inlineStr">
        <is>
          <t>tense</t>
        </is>
      </c>
      <c r="I962" s="7" t="inlineStr">
        <is>
          <t>USEC_MUN</t>
        </is>
      </c>
      <c r="J962" s="7" t="inlineStr">
        <is>
          <t>INR</t>
        </is>
      </c>
      <c r="K962" s="7" t="inlineStr">
        <is>
          <t>floating</t>
        </is>
      </c>
      <c r="L962" s="7" t="inlineStr">
        <is>
          <t>BS</t>
        </is>
      </c>
      <c r="M962" s="11" t="n">
        <v>44813</v>
      </c>
      <c r="N962" s="13" t="n">
        <v>0</v>
      </c>
      <c r="O962" s="6" t="n">
        <v>0</v>
      </c>
      <c r="P962" s="13" t="n">
        <v>0</v>
      </c>
      <c r="Q962" s="22" t="n">
        <v>30</v>
      </c>
      <c r="R962" s="6" t="n">
        <v>2</v>
      </c>
      <c r="U962" s="9" t="n">
        <v>0</v>
      </c>
      <c r="V962" s="9" t="n">
        <v>0</v>
      </c>
      <c r="X962" s="9" t="n">
        <v>77.6739</v>
      </c>
      <c r="AK962" s="7" t="inlineStr">
        <is>
          <t>PYTHON_MULTI_FLOW_LEG</t>
        </is>
      </c>
      <c r="AL962" s="8">
        <f>IF($J962="INR",1,IF($M962&lt;$A962,INDEX(Market_Daily!$F$6:$F$256,MATCH($M962,Market_Daily!$A$6:$A$256,1)),IF($M962=$A962,INDEX(Market_Daily!$F$6:$F$256,MATCH($A962,Market_Daily!$A$6:$A$256,0)),(INDEX(Market_Daily!$F$6:$F$256,MATCH($A962,Market_Daily!$A$6:$A$256,0))*(1+INDEX(Market_Daily!$I$6:$I$256,MATCH($A962,Market_Daily!$A$6:$A$256,0))*($M962-$A962)/day_count_inr)/(1+INDEX(Market_Daily!$J$6:$J$256,MATCH($A962,Market_Daily!$A$6:$A$256,0))*($M962-$A962)/day_count_usd)))))</f>
        <v/>
      </c>
      <c r="AM962" s="8">
        <f>IF(OR($J962="INR",$R962&gt;1),"",$AL962-$X962)</f>
        <v/>
      </c>
      <c r="AN962" s="8">
        <f>$U962</f>
        <v/>
      </c>
      <c r="AO962" s="8">
        <f>$V962</f>
        <v/>
      </c>
      <c r="AP962" s="18">
        <f>$AO962-$V962</f>
        <v/>
      </c>
      <c r="AQ962" s="8">
        <f>IF(ABS($AP962)&lt;=tol_trade_inr,"PASS","FAIL")</f>
        <v/>
      </c>
    </row>
    <row r="963">
      <c r="A963" s="11" t="n">
        <v>44720</v>
      </c>
      <c r="B963" s="7" t="inlineStr">
        <is>
          <t>T07</t>
        </is>
      </c>
      <c r="C963" s="7" t="inlineStr">
        <is>
          <t>INSURANCE:L2</t>
        </is>
      </c>
      <c r="D963" s="7" t="inlineStr">
        <is>
          <t>INSURANCE</t>
        </is>
      </c>
      <c r="E963" s="7" t="inlineStr">
        <is>
          <t>physical</t>
        </is>
      </c>
      <c r="F963" s="7" t="inlineStr">
        <is>
          <t>L2</t>
        </is>
      </c>
      <c r="H963" s="7" t="inlineStr">
        <is>
          <t>tense</t>
        </is>
      </c>
      <c r="I963" s="7" t="inlineStr">
        <is>
          <t>USEC_MUN</t>
        </is>
      </c>
      <c r="J963" s="7" t="inlineStr">
        <is>
          <t>USD</t>
        </is>
      </c>
      <c r="K963" s="7" t="inlineStr">
        <is>
          <t>floating</t>
        </is>
      </c>
      <c r="L963" s="7" t="inlineStr">
        <is>
          <t>PNL</t>
        </is>
      </c>
      <c r="M963" s="11" t="n">
        <v>44727</v>
      </c>
      <c r="N963" s="13" t="n">
        <v>945</v>
      </c>
      <c r="O963" s="6" t="n">
        <v>0</v>
      </c>
      <c r="P963" s="13" t="n">
        <v>0</v>
      </c>
      <c r="Q963" s="22" t="n">
        <v>30</v>
      </c>
      <c r="R963" s="6" t="n">
        <v>1</v>
      </c>
      <c r="U963" s="9" t="n">
        <v>-2262.45</v>
      </c>
      <c r="V963" s="9" t="n">
        <v>-175863.51</v>
      </c>
      <c r="X963" s="9" t="n">
        <v>77.7315</v>
      </c>
      <c r="AK963" s="7" t="inlineStr">
        <is>
          <t>PYTHON_LIFECYCLE</t>
        </is>
      </c>
      <c r="AL963" s="8">
        <f>IF($J963="INR",1,IF($M963&lt;$A963,INDEX(Market_Daily!$F$6:$F$256,MATCH($M963,Market_Daily!$A$6:$A$256,1)),IF($M963=$A963,INDEX(Market_Daily!$F$6:$F$256,MATCH($A963,Market_Daily!$A$6:$A$256,0)),(INDEX(Market_Daily!$F$6:$F$256,MATCH($A963,Market_Daily!$A$6:$A$256,0))*(1+INDEX(Market_Daily!$I$6:$I$256,MATCH($A963,Market_Daily!$A$6:$A$256,0))*($M963-$A963)/day_count_inr)/(1+INDEX(Market_Daily!$J$6:$J$256,MATCH($A963,Market_Daily!$A$6:$A$256,0))*($M963-$A963)/day_count_usd)))))</f>
        <v/>
      </c>
      <c r="AM963" s="8">
        <f>IF(OR($J963="INR",$R963&gt;1),"",$AL963-$X963)</f>
        <v/>
      </c>
      <c r="AN963" s="8">
        <f>$U963</f>
        <v/>
      </c>
      <c r="AO963" s="8">
        <f>$AN963*IF($J963="INR",1,$AL963)</f>
        <v/>
      </c>
      <c r="AP963" s="18">
        <f>$AO963-$V963</f>
        <v/>
      </c>
      <c r="AQ963" s="8">
        <f>IF(ABS($AP963)&lt;=tol_trade_inr,"PASS","FAIL")</f>
        <v/>
      </c>
    </row>
    <row r="964">
      <c r="A964" s="11" t="n">
        <v>44720</v>
      </c>
      <c r="B964" s="7" t="inlineStr">
        <is>
          <t>T07</t>
        </is>
      </c>
      <c r="C964" s="7" t="inlineStr">
        <is>
          <t>INVENTORY:L1</t>
        </is>
      </c>
      <c r="D964" s="7" t="inlineStr">
        <is>
          <t>INVENTORY</t>
        </is>
      </c>
      <c r="E964" s="7" t="inlineStr">
        <is>
          <t>physical</t>
        </is>
      </c>
      <c r="F964" s="7" t="inlineStr">
        <is>
          <t>L1</t>
        </is>
      </c>
      <c r="H964" s="7" t="inlineStr">
        <is>
          <t>tense</t>
        </is>
      </c>
      <c r="I964" s="7" t="inlineStr">
        <is>
          <t>USEC_MUN</t>
        </is>
      </c>
      <c r="J964" s="7" t="inlineStr">
        <is>
          <t>INR</t>
        </is>
      </c>
      <c r="K964" s="7" t="inlineStr">
        <is>
          <t>fixed_unsettled</t>
        </is>
      </c>
      <c r="L964" s="7" t="inlineStr">
        <is>
          <t>PNL</t>
        </is>
      </c>
      <c r="N964" s="13" t="n">
        <v>945</v>
      </c>
      <c r="O964" s="6" t="n">
        <v>0</v>
      </c>
      <c r="P964" s="13" t="n">
        <v>0</v>
      </c>
      <c r="Q964" s="22" t="n">
        <v>30</v>
      </c>
      <c r="R964" s="6" t="n">
        <v>0</v>
      </c>
      <c r="U964" s="9" t="n">
        <v>169080024.75</v>
      </c>
      <c r="V964" s="9" t="n">
        <v>169080024.75</v>
      </c>
      <c r="W964" s="9" t="n">
        <v>178920.6611</v>
      </c>
      <c r="X964" s="9" t="n">
        <v>77.6739</v>
      </c>
      <c r="Y964" s="8">
        <f>IF($I964="JEA_NSA","20ft","40ft")</f>
        <v/>
      </c>
      <c r="Z964" s="8">
        <f>IF($I964="JEA_NSA","nsa","mun")</f>
        <v/>
      </c>
      <c r="AA964" s="8">
        <f>INDEX(param_values,MATCH("container_payload_mt_"&amp;$Y964,param_keys,0))/INDEX(param_values,MATCH("container_payload_mt_"&amp;$Y964&amp;"_"&amp;$H964,param_keys,0))</f>
        <v/>
      </c>
      <c r="AB964" s="16">
        <f>INDEX(Market_Daily!$C$6:$C$256,MATCH($A964,Market_Daily!$A$6:$A$256,0))*INDEX(Market_Daily!$X$6:$Z$256,MATCH($A964,Market_Daily!$A$6:$A$256,0),MATCH("grade_factor_"&amp;$H964,Market_Daily!$X$5:$Z$5,0))</f>
        <v/>
      </c>
      <c r="AC964" s="16">
        <f>$AB964*(1+insurance_rate*insured_value_uplift)</f>
        <v/>
      </c>
      <c r="AD964" s="8">
        <f>(INDEX(Market_Daily!$F$6:$F$256,MATCH($A964,Market_Daily!$A$6:$A$256,0))*(1+INDEX(Market_Daily!$I$6:$I$256,MATCH($A964,Market_Daily!$A$6:$A$256,0))*$Q964/day_count_inr)/(1+INDEX(Market_Daily!$J$6:$J$256,MATCH($A964,Market_Daily!$A$6:$A$256,0))*$Q964/day_count_usd))</f>
        <v/>
      </c>
      <c r="AE964" s="18">
        <f>$AC964*$AD964</f>
        <v/>
      </c>
      <c r="AF964" s="18">
        <f>$AC964*INDEX(Market_Daily!$V$6:$V$256,MATCH($A964,Market_Daily!$A$6:$A$256,0))</f>
        <v/>
      </c>
      <c r="AG964" s="18">
        <f>$AF964*bcd_scrap_hs7602*(1+sws_rate_on_bcd)</f>
        <v/>
      </c>
      <c r="AH964" s="18">
        <f>INDEX(param_values,MATCH("port_cf_charges_inr_t_"&amp;$Z964,param_keys,0))*$AA964+IF(INDEX(param_values,MATCH(IF($I964="JEA_NSA","psic_required_uae_origin","psic_required_safe_origin_designated_port"),param_keys,0)),psic_cost_usd_per_box*INDEX(Market_Daily!$F$6:$F$256,MATCH($A964,Market_Daily!$A$6:$A$256,0))/INDEX(param_values,MATCH("container_payload_mt_20ft_"&amp;$H964,param_keys,0)),0)</f>
        <v/>
      </c>
      <c r="AI964" s="18">
        <f>IF(igst_itc_available,0,($AF964+$AG964)*igst_rate_hs7602)</f>
        <v/>
      </c>
      <c r="AJ964" s="18">
        <f>$AE964+$AG964+$AH964+$AI964</f>
        <v/>
      </c>
      <c r="AK964" s="7" t="inlineStr">
        <is>
          <t>DERIVED_IN_WORKBOOK</t>
        </is>
      </c>
      <c r="AL964" s="8">
        <f>IF($J964="INR",1,IF($M964&lt;$A964,INDEX(Market_Daily!$F$6:$F$256,MATCH($M964,Market_Daily!$A$6:$A$256,1)),IF($M964=$A964,INDEX(Market_Daily!$F$6:$F$256,MATCH($A964,Market_Daily!$A$6:$A$256,0)),(INDEX(Market_Daily!$F$6:$F$256,MATCH($A964,Market_Daily!$A$6:$A$256,0))*(1+INDEX(Market_Daily!$I$6:$I$256,MATCH($A964,Market_Daily!$A$6:$A$256,0))*($M964-$A964)/day_count_inr)/(1+INDEX(Market_Daily!$J$6:$J$256,MATCH($A964,Market_Daily!$A$6:$A$256,0))*($M964-$A964)/day_count_usd)))))</f>
        <v/>
      </c>
      <c r="AM964" s="8">
        <f>IF(OR($J964="INR",$R964&gt;1),"",$AL964-$X964)</f>
        <v/>
      </c>
      <c r="AN964" s="8">
        <f>$N964*$AJ964</f>
        <v/>
      </c>
      <c r="AO964" s="8">
        <f>$AN964</f>
        <v/>
      </c>
      <c r="AP964" s="18">
        <f>$AO964-$V964</f>
        <v/>
      </c>
      <c r="AQ964" s="8">
        <f>IF(ABS($AP964)&lt;=tol_trade_inr,"PASS","FAIL")</f>
        <v/>
      </c>
    </row>
    <row r="965">
      <c r="A965" s="11" t="n">
        <v>44720</v>
      </c>
      <c r="B965" s="7" t="inlineStr">
        <is>
          <t>T07</t>
        </is>
      </c>
      <c r="C965" s="7" t="inlineStr">
        <is>
          <t>INVENTORY:L2</t>
        </is>
      </c>
      <c r="D965" s="7" t="inlineStr">
        <is>
          <t>INVENTORY</t>
        </is>
      </c>
      <c r="E965" s="7" t="inlineStr">
        <is>
          <t>physical</t>
        </is>
      </c>
      <c r="F965" s="7" t="inlineStr">
        <is>
          <t>L2</t>
        </is>
      </c>
      <c r="H965" s="7" t="inlineStr">
        <is>
          <t>tense</t>
        </is>
      </c>
      <c r="I965" s="7" t="inlineStr">
        <is>
          <t>USEC_MUN</t>
        </is>
      </c>
      <c r="J965" s="7" t="inlineStr">
        <is>
          <t>INR</t>
        </is>
      </c>
      <c r="K965" s="7" t="inlineStr">
        <is>
          <t>fixed_unsettled</t>
        </is>
      </c>
      <c r="L965" s="7" t="inlineStr">
        <is>
          <t>PNL</t>
        </is>
      </c>
      <c r="N965" s="13" t="n">
        <v>945</v>
      </c>
      <c r="O965" s="6" t="n">
        <v>0</v>
      </c>
      <c r="P965" s="13" t="n">
        <v>0</v>
      </c>
      <c r="Q965" s="22" t="n">
        <v>30</v>
      </c>
      <c r="R965" s="6" t="n">
        <v>0</v>
      </c>
      <c r="U965" s="9" t="n">
        <v>169080024.75</v>
      </c>
      <c r="V965" s="9" t="n">
        <v>169080024.75</v>
      </c>
      <c r="W965" s="9" t="n">
        <v>178920.6611</v>
      </c>
      <c r="X965" s="9" t="n">
        <v>77.6739</v>
      </c>
      <c r="Y965" s="8">
        <f>IF($I965="JEA_NSA","20ft","40ft")</f>
        <v/>
      </c>
      <c r="Z965" s="8">
        <f>IF($I965="JEA_NSA","nsa","mun")</f>
        <v/>
      </c>
      <c r="AA965" s="8">
        <f>INDEX(param_values,MATCH("container_payload_mt_"&amp;$Y965,param_keys,0))/INDEX(param_values,MATCH("container_payload_mt_"&amp;$Y965&amp;"_"&amp;$H965,param_keys,0))</f>
        <v/>
      </c>
      <c r="AB965" s="16">
        <f>INDEX(Market_Daily!$C$6:$C$256,MATCH($A965,Market_Daily!$A$6:$A$256,0))*INDEX(Market_Daily!$X$6:$Z$256,MATCH($A965,Market_Daily!$A$6:$A$256,0),MATCH("grade_factor_"&amp;$H965,Market_Daily!$X$5:$Z$5,0))</f>
        <v/>
      </c>
      <c r="AC965" s="16">
        <f>$AB965*(1+insurance_rate*insured_value_uplift)</f>
        <v/>
      </c>
      <c r="AD965" s="8">
        <f>(INDEX(Market_Daily!$F$6:$F$256,MATCH($A965,Market_Daily!$A$6:$A$256,0))*(1+INDEX(Market_Daily!$I$6:$I$256,MATCH($A965,Market_Daily!$A$6:$A$256,0))*$Q965/day_count_inr)/(1+INDEX(Market_Daily!$J$6:$J$256,MATCH($A965,Market_Daily!$A$6:$A$256,0))*$Q965/day_count_usd))</f>
        <v/>
      </c>
      <c r="AE965" s="18">
        <f>$AC965*$AD965</f>
        <v/>
      </c>
      <c r="AF965" s="18">
        <f>$AC965*INDEX(Market_Daily!$V$6:$V$256,MATCH($A965,Market_Daily!$A$6:$A$256,0))</f>
        <v/>
      </c>
      <c r="AG965" s="18">
        <f>$AF965*bcd_scrap_hs7602*(1+sws_rate_on_bcd)</f>
        <v/>
      </c>
      <c r="AH965" s="18">
        <f>INDEX(param_values,MATCH("port_cf_charges_inr_t_"&amp;$Z965,param_keys,0))*$AA965+IF(INDEX(param_values,MATCH(IF($I965="JEA_NSA","psic_required_uae_origin","psic_required_safe_origin_designated_port"),param_keys,0)),psic_cost_usd_per_box*INDEX(Market_Daily!$F$6:$F$256,MATCH($A965,Market_Daily!$A$6:$A$256,0))/INDEX(param_values,MATCH("container_payload_mt_20ft_"&amp;$H965,param_keys,0)),0)</f>
        <v/>
      </c>
      <c r="AI965" s="18">
        <f>IF(igst_itc_available,0,($AF965+$AG965)*igst_rate_hs7602)</f>
        <v/>
      </c>
      <c r="AJ965" s="18">
        <f>$AE965+$AG965+$AH965+$AI965</f>
        <v/>
      </c>
      <c r="AK965" s="7" t="inlineStr">
        <is>
          <t>DERIVED_IN_WORKBOOK</t>
        </is>
      </c>
      <c r="AL965" s="8">
        <f>IF($J965="INR",1,IF($M965&lt;$A965,INDEX(Market_Daily!$F$6:$F$256,MATCH($M965,Market_Daily!$A$6:$A$256,1)),IF($M965=$A965,INDEX(Market_Daily!$F$6:$F$256,MATCH($A965,Market_Daily!$A$6:$A$256,0)),(INDEX(Market_Daily!$F$6:$F$256,MATCH($A965,Market_Daily!$A$6:$A$256,0))*(1+INDEX(Market_Daily!$I$6:$I$256,MATCH($A965,Market_Daily!$A$6:$A$256,0))*($M965-$A965)/day_count_inr)/(1+INDEX(Market_Daily!$J$6:$J$256,MATCH($A965,Market_Daily!$A$6:$A$256,0))*($M965-$A965)/day_count_usd)))))</f>
        <v/>
      </c>
      <c r="AM965" s="8">
        <f>IF(OR($J965="INR",$R965&gt;1),"",$AL965-$X965)</f>
        <v/>
      </c>
      <c r="AN965" s="8">
        <f>$N965*$AJ965</f>
        <v/>
      </c>
      <c r="AO965" s="8">
        <f>$AN965</f>
        <v/>
      </c>
      <c r="AP965" s="18">
        <f>$AO965-$V965</f>
        <v/>
      </c>
      <c r="AQ965" s="8">
        <f>IF(ABS($AP965)&lt;=tol_trade_inr,"PASS","FAIL")</f>
        <v/>
      </c>
    </row>
    <row r="966">
      <c r="A966" s="11" t="n">
        <v>44720</v>
      </c>
      <c r="B966" s="7" t="inlineStr">
        <is>
          <t>T07</t>
        </is>
      </c>
      <c r="C966" s="7" t="inlineStr">
        <is>
          <t>MCX:T07-MCX-1</t>
        </is>
      </c>
      <c r="D966" s="7" t="inlineStr">
        <is>
          <t>MCX</t>
        </is>
      </c>
      <c r="E966" s="7" t="inlineStr">
        <is>
          <t>mcx</t>
        </is>
      </c>
      <c r="H966" s="7" t="inlineStr">
        <is>
          <t>tense</t>
        </is>
      </c>
      <c r="I966" s="7" t="inlineStr">
        <is>
          <t>USEC_MUN</t>
        </is>
      </c>
      <c r="J966" s="7" t="inlineStr">
        <is>
          <t>INR</t>
        </is>
      </c>
      <c r="K966" s="7" t="inlineStr">
        <is>
          <t>partially_fixed</t>
        </is>
      </c>
      <c r="L966" s="7" t="inlineStr">
        <is>
          <t>PNL</t>
        </is>
      </c>
      <c r="M966" s="11" t="n">
        <v>44733</v>
      </c>
      <c r="N966" s="13" t="n">
        <v>0</v>
      </c>
      <c r="O966" s="6" t="n">
        <v>-247</v>
      </c>
      <c r="P966" s="13" t="n">
        <v>0</v>
      </c>
      <c r="Q966" s="22" t="n">
        <v>30</v>
      </c>
      <c r="R966" s="6" t="n">
        <v>18</v>
      </c>
      <c r="U966" s="9" t="n">
        <v>0</v>
      </c>
      <c r="V966" s="9" t="n">
        <v>0</v>
      </c>
      <c r="X966" s="9" t="n">
        <v>77.6739</v>
      </c>
      <c r="AK966" s="7" t="inlineStr">
        <is>
          <t>PYTHON_MULTI_FLOW_LEG</t>
        </is>
      </c>
      <c r="AL966" s="8">
        <f>IF($J966="INR",1,IF($M966&lt;$A966,INDEX(Market_Daily!$F$6:$F$256,MATCH($M966,Market_Daily!$A$6:$A$256,1)),IF($M966=$A966,INDEX(Market_Daily!$F$6:$F$256,MATCH($A966,Market_Daily!$A$6:$A$256,0)),(INDEX(Market_Daily!$F$6:$F$256,MATCH($A966,Market_Daily!$A$6:$A$256,0))*(1+INDEX(Market_Daily!$I$6:$I$256,MATCH($A966,Market_Daily!$A$6:$A$256,0))*($M966-$A966)/day_count_inr)/(1+INDEX(Market_Daily!$J$6:$J$256,MATCH($A966,Market_Daily!$A$6:$A$256,0))*($M966-$A966)/day_count_usd)))))</f>
        <v/>
      </c>
      <c r="AM966" s="8">
        <f>IF(OR($J966="INR",$R966&gt;1),"",$AL966-$X966)</f>
        <v/>
      </c>
      <c r="AN966" s="8">
        <f>$U966</f>
        <v/>
      </c>
      <c r="AO966" s="8">
        <f>$V966</f>
        <v/>
      </c>
      <c r="AP966" s="18">
        <f>$AO966-$V966</f>
        <v/>
      </c>
      <c r="AQ966" s="8">
        <f>IF(ABS($AP966)&lt;=tol_trade_inr,"PASS","FAIL")</f>
        <v/>
      </c>
    </row>
    <row r="967">
      <c r="A967" s="11" t="n">
        <v>44720</v>
      </c>
      <c r="B967" s="7" t="inlineStr">
        <is>
          <t>T07</t>
        </is>
      </c>
      <c r="C967" s="7" t="inlineStr">
        <is>
          <t>PORT:L1</t>
        </is>
      </c>
      <c r="D967" s="7" t="inlineStr">
        <is>
          <t>PORT</t>
        </is>
      </c>
      <c r="E967" s="7" t="inlineStr">
        <is>
          <t>physical</t>
        </is>
      </c>
      <c r="F967" s="7" t="inlineStr">
        <is>
          <t>L1</t>
        </is>
      </c>
      <c r="H967" s="7" t="inlineStr">
        <is>
          <t>tense</t>
        </is>
      </c>
      <c r="I967" s="7" t="inlineStr">
        <is>
          <t>USEC_MUN</t>
        </is>
      </c>
      <c r="J967" s="7" t="inlineStr">
        <is>
          <t>INR</t>
        </is>
      </c>
      <c r="K967" s="7" t="inlineStr">
        <is>
          <t>fixed_unsettled</t>
        </is>
      </c>
      <c r="L967" s="7" t="inlineStr">
        <is>
          <t>PNL</t>
        </is>
      </c>
      <c r="M967" s="11" t="n">
        <v>44770</v>
      </c>
      <c r="N967" s="13" t="n">
        <v>0</v>
      </c>
      <c r="O967" s="6" t="n">
        <v>0</v>
      </c>
      <c r="P967" s="13" t="n">
        <v>0</v>
      </c>
      <c r="Q967" s="22" t="n">
        <v>30</v>
      </c>
      <c r="R967" s="6" t="n">
        <v>1</v>
      </c>
      <c r="U967" s="9" t="n">
        <v>-2504250</v>
      </c>
      <c r="V967" s="9" t="n">
        <v>-2504250</v>
      </c>
      <c r="X967" s="9" t="n">
        <v>77.6739</v>
      </c>
      <c r="AK967" s="7" t="inlineStr">
        <is>
          <t>PYTHON_LIFECYCLE</t>
        </is>
      </c>
      <c r="AL967" s="8">
        <f>IF($J967="INR",1,IF($M967&lt;$A967,INDEX(Market_Daily!$F$6:$F$256,MATCH($M967,Market_Daily!$A$6:$A$256,1)),IF($M967=$A967,INDEX(Market_Daily!$F$6:$F$256,MATCH($A967,Market_Daily!$A$6:$A$256,0)),(INDEX(Market_Daily!$F$6:$F$256,MATCH($A967,Market_Daily!$A$6:$A$256,0))*(1+INDEX(Market_Daily!$I$6:$I$256,MATCH($A967,Market_Daily!$A$6:$A$256,0))*($M967-$A967)/day_count_inr)/(1+INDEX(Market_Daily!$J$6:$J$256,MATCH($A967,Market_Daily!$A$6:$A$256,0))*($M967-$A967)/day_count_usd)))))</f>
        <v/>
      </c>
      <c r="AM967" s="8">
        <f>IF(OR($J967="INR",$R967&gt;1),"",$AL967-$X967)</f>
        <v/>
      </c>
      <c r="AN967" s="8">
        <f>$U967</f>
        <v/>
      </c>
      <c r="AO967" s="8">
        <f>$AN967*IF($J967="INR",1,$AL967)</f>
        <v/>
      </c>
      <c r="AP967" s="18">
        <f>$AO967-$V967</f>
        <v/>
      </c>
      <c r="AQ967" s="8">
        <f>IF(ABS($AP967)&lt;=tol_trade_inr,"PASS","FAIL")</f>
        <v/>
      </c>
    </row>
    <row r="968">
      <c r="A968" s="11" t="n">
        <v>44720</v>
      </c>
      <c r="B968" s="7" t="inlineStr">
        <is>
          <t>T07</t>
        </is>
      </c>
      <c r="C968" s="7" t="inlineStr">
        <is>
          <t>PORT:L2</t>
        </is>
      </c>
      <c r="D968" s="7" t="inlineStr">
        <is>
          <t>PORT</t>
        </is>
      </c>
      <c r="E968" s="7" t="inlineStr">
        <is>
          <t>physical</t>
        </is>
      </c>
      <c r="F968" s="7" t="inlineStr">
        <is>
          <t>L2</t>
        </is>
      </c>
      <c r="H968" s="7" t="inlineStr">
        <is>
          <t>tense</t>
        </is>
      </c>
      <c r="I968" s="7" t="inlineStr">
        <is>
          <t>USEC_MUN</t>
        </is>
      </c>
      <c r="J968" s="7" t="inlineStr">
        <is>
          <t>INR</t>
        </is>
      </c>
      <c r="K968" s="7" t="inlineStr">
        <is>
          <t>fixed_unsettled</t>
        </is>
      </c>
      <c r="L968" s="7" t="inlineStr">
        <is>
          <t>PNL</t>
        </is>
      </c>
      <c r="M968" s="11" t="n">
        <v>44777</v>
      </c>
      <c r="N968" s="13" t="n">
        <v>0</v>
      </c>
      <c r="O968" s="6" t="n">
        <v>0</v>
      </c>
      <c r="P968" s="13" t="n">
        <v>0</v>
      </c>
      <c r="Q968" s="22" t="n">
        <v>30</v>
      </c>
      <c r="R968" s="6" t="n">
        <v>1</v>
      </c>
      <c r="U968" s="9" t="n">
        <v>-2504250</v>
      </c>
      <c r="V968" s="9" t="n">
        <v>-2504250</v>
      </c>
      <c r="X968" s="9" t="n">
        <v>77.6739</v>
      </c>
      <c r="AK968" s="7" t="inlineStr">
        <is>
          <t>PYTHON_LIFECYCLE</t>
        </is>
      </c>
      <c r="AL968" s="8">
        <f>IF($J968="INR",1,IF($M968&lt;$A968,INDEX(Market_Daily!$F$6:$F$256,MATCH($M968,Market_Daily!$A$6:$A$256,1)),IF($M968=$A968,INDEX(Market_Daily!$F$6:$F$256,MATCH($A968,Market_Daily!$A$6:$A$256,0)),(INDEX(Market_Daily!$F$6:$F$256,MATCH($A968,Market_Daily!$A$6:$A$256,0))*(1+INDEX(Market_Daily!$I$6:$I$256,MATCH($A968,Market_Daily!$A$6:$A$256,0))*($M968-$A968)/day_count_inr)/(1+INDEX(Market_Daily!$J$6:$J$256,MATCH($A968,Market_Daily!$A$6:$A$256,0))*($M968-$A968)/day_count_usd)))))</f>
        <v/>
      </c>
      <c r="AM968" s="8">
        <f>IF(OR($J968="INR",$R968&gt;1),"",$AL968-$X968)</f>
        <v/>
      </c>
      <c r="AN968" s="8">
        <f>$U968</f>
        <v/>
      </c>
      <c r="AO968" s="8">
        <f>$AN968*IF($J968="INR",1,$AL968)</f>
        <v/>
      </c>
      <c r="AP968" s="18">
        <f>$AO968-$V968</f>
        <v/>
      </c>
      <c r="AQ968" s="8">
        <f>IF(ABS($AP968)&lt;=tol_trade_inr,"PASS","FAIL")</f>
        <v/>
      </c>
    </row>
    <row r="969">
      <c r="A969" s="11" t="n">
        <v>44720</v>
      </c>
      <c r="B969" s="7" t="inlineStr">
        <is>
          <t>T07</t>
        </is>
      </c>
      <c r="C969" s="7" t="inlineStr">
        <is>
          <t>PURCHASE:L1</t>
        </is>
      </c>
      <c r="D969" s="7" t="inlineStr">
        <is>
          <t>PURCHASE</t>
        </is>
      </c>
      <c r="E969" s="7" t="inlineStr">
        <is>
          <t>physical</t>
        </is>
      </c>
      <c r="F969" s="7" t="inlineStr">
        <is>
          <t>L1</t>
        </is>
      </c>
      <c r="G969" s="7" t="inlineStr">
        <is>
          <t>SUP_USEC_02</t>
        </is>
      </c>
      <c r="H969" s="7" t="inlineStr">
        <is>
          <t>tense</t>
        </is>
      </c>
      <c r="I969" s="7" t="inlineStr">
        <is>
          <t>USEC_MUN</t>
        </is>
      </c>
      <c r="J969" s="7" t="inlineStr">
        <is>
          <t>USD</t>
        </is>
      </c>
      <c r="K969" s="7" t="inlineStr">
        <is>
          <t>fixed_unsettled</t>
        </is>
      </c>
      <c r="L969" s="7" t="inlineStr">
        <is>
          <t>PNL</t>
        </is>
      </c>
      <c r="M969" s="11" t="n">
        <v>44727</v>
      </c>
      <c r="N969" s="13" t="n">
        <v>945</v>
      </c>
      <c r="O969" s="6" t="n">
        <v>0</v>
      </c>
      <c r="P969" s="13" t="n">
        <v>0</v>
      </c>
      <c r="Q969" s="22" t="n">
        <v>30</v>
      </c>
      <c r="R969" s="6" t="n">
        <v>1</v>
      </c>
      <c r="U969" s="9" t="n">
        <v>-1971270</v>
      </c>
      <c r="V969" s="9" t="n">
        <v>-153229869.29</v>
      </c>
      <c r="X969" s="9" t="n">
        <v>77.7315</v>
      </c>
      <c r="AK969" s="7" t="inlineStr">
        <is>
          <t>PYTHON_LIFECYCLE</t>
        </is>
      </c>
      <c r="AL969" s="8">
        <f>IF($J969="INR",1,IF($M969&lt;$A969,INDEX(Market_Daily!$F$6:$F$256,MATCH($M969,Market_Daily!$A$6:$A$256,1)),IF($M969=$A969,INDEX(Market_Daily!$F$6:$F$256,MATCH($A969,Market_Daily!$A$6:$A$256,0)),(INDEX(Market_Daily!$F$6:$F$256,MATCH($A969,Market_Daily!$A$6:$A$256,0))*(1+INDEX(Market_Daily!$I$6:$I$256,MATCH($A969,Market_Daily!$A$6:$A$256,0))*($M969-$A969)/day_count_inr)/(1+INDEX(Market_Daily!$J$6:$J$256,MATCH($A969,Market_Daily!$A$6:$A$256,0))*($M969-$A969)/day_count_usd)))))</f>
        <v/>
      </c>
      <c r="AM969" s="8">
        <f>IF(OR($J969="INR",$R969&gt;1),"",$AL969-$X969)</f>
        <v/>
      </c>
      <c r="AN969" s="8">
        <f>$U969</f>
        <v/>
      </c>
      <c r="AO969" s="8">
        <f>$AN969*IF($J969="INR",1,$AL969)</f>
        <v/>
      </c>
      <c r="AP969" s="18">
        <f>$AO969-$V969</f>
        <v/>
      </c>
      <c r="AQ969" s="8">
        <f>IF(ABS($AP969)&lt;=tol_trade_inr,"PASS","FAIL")</f>
        <v/>
      </c>
    </row>
    <row r="970">
      <c r="A970" s="11" t="n">
        <v>44720</v>
      </c>
      <c r="B970" s="7" t="inlineStr">
        <is>
          <t>T07</t>
        </is>
      </c>
      <c r="C970" s="7" t="inlineStr">
        <is>
          <t>PURCHASE:L2</t>
        </is>
      </c>
      <c r="D970" s="7" t="inlineStr">
        <is>
          <t>PURCHASE</t>
        </is>
      </c>
      <c r="E970" s="7" t="inlineStr">
        <is>
          <t>physical</t>
        </is>
      </c>
      <c r="F970" s="7" t="inlineStr">
        <is>
          <t>L2</t>
        </is>
      </c>
      <c r="G970" s="7" t="inlineStr">
        <is>
          <t>SUP_USEC_02</t>
        </is>
      </c>
      <c r="H970" s="7" t="inlineStr">
        <is>
          <t>tense</t>
        </is>
      </c>
      <c r="I970" s="7" t="inlineStr">
        <is>
          <t>USEC_MUN</t>
        </is>
      </c>
      <c r="J970" s="7" t="inlineStr">
        <is>
          <t>USD</t>
        </is>
      </c>
      <c r="K970" s="7" t="inlineStr">
        <is>
          <t>fixed_unsettled</t>
        </is>
      </c>
      <c r="L970" s="7" t="inlineStr">
        <is>
          <t>PNL</t>
        </is>
      </c>
      <c r="M970" s="11" t="n">
        <v>44734</v>
      </c>
      <c r="N970" s="13" t="n">
        <v>945</v>
      </c>
      <c r="O970" s="6" t="n">
        <v>0</v>
      </c>
      <c r="P970" s="13" t="n">
        <v>0</v>
      </c>
      <c r="Q970" s="22" t="n">
        <v>30</v>
      </c>
      <c r="R970" s="6" t="n">
        <v>1</v>
      </c>
      <c r="U970" s="9" t="n">
        <v>-1971270</v>
      </c>
      <c r="V970" s="9" t="n">
        <v>-153343454.4</v>
      </c>
      <c r="X970" s="9" t="n">
        <v>77.78919999999999</v>
      </c>
      <c r="AK970" s="7" t="inlineStr">
        <is>
          <t>PYTHON_LIFECYCLE</t>
        </is>
      </c>
      <c r="AL970" s="8">
        <f>IF($J970="INR",1,IF($M970&lt;$A970,INDEX(Market_Daily!$F$6:$F$256,MATCH($M970,Market_Daily!$A$6:$A$256,1)),IF($M970=$A970,INDEX(Market_Daily!$F$6:$F$256,MATCH($A970,Market_Daily!$A$6:$A$256,0)),(INDEX(Market_Daily!$F$6:$F$256,MATCH($A970,Market_Daily!$A$6:$A$256,0))*(1+INDEX(Market_Daily!$I$6:$I$256,MATCH($A970,Market_Daily!$A$6:$A$256,0))*($M970-$A970)/day_count_inr)/(1+INDEX(Market_Daily!$J$6:$J$256,MATCH($A970,Market_Daily!$A$6:$A$256,0))*($M970-$A970)/day_count_usd)))))</f>
        <v/>
      </c>
      <c r="AM970" s="8">
        <f>IF(OR($J970="INR",$R970&gt;1),"",$AL970-$X970)</f>
        <v/>
      </c>
      <c r="AN970" s="8">
        <f>$U970</f>
        <v/>
      </c>
      <c r="AO970" s="8">
        <f>$AN970*IF($J970="INR",1,$AL970)</f>
        <v/>
      </c>
      <c r="AP970" s="18">
        <f>$AO970-$V970</f>
        <v/>
      </c>
      <c r="AQ970" s="8">
        <f>IF(ABS($AP970)&lt;=tol_trade_inr,"PASS","FAIL")</f>
        <v/>
      </c>
    </row>
    <row r="971">
      <c r="A971" s="11" t="n">
        <v>44720</v>
      </c>
      <c r="B971" s="7" t="inlineStr">
        <is>
          <t>T08</t>
        </is>
      </c>
      <c r="C971" s="7" t="inlineStr">
        <is>
          <t>BILL_COMMISSION:L1</t>
        </is>
      </c>
      <c r="D971" s="7" t="inlineStr">
        <is>
          <t>BILL_COMMISSION</t>
        </is>
      </c>
      <c r="E971" s="7" t="inlineStr">
        <is>
          <t>physical</t>
        </is>
      </c>
      <c r="F971" s="7" t="inlineStr">
        <is>
          <t>L1</t>
        </is>
      </c>
      <c r="H971" s="7" t="inlineStr">
        <is>
          <t>tense</t>
        </is>
      </c>
      <c r="I971" s="7" t="inlineStr">
        <is>
          <t>USEC_MUN</t>
        </is>
      </c>
      <c r="J971" s="7" t="inlineStr">
        <is>
          <t>USD</t>
        </is>
      </c>
      <c r="K971" s="7" t="inlineStr">
        <is>
          <t>floating</t>
        </is>
      </c>
      <c r="L971" s="7" t="inlineStr">
        <is>
          <t>PNL</t>
        </is>
      </c>
      <c r="M971" s="11" t="n">
        <v>44741</v>
      </c>
      <c r="N971" s="13" t="n">
        <v>0</v>
      </c>
      <c r="O971" s="6" t="n">
        <v>0</v>
      </c>
      <c r="P971" s="13" t="n">
        <v>0</v>
      </c>
      <c r="Q971" s="22" t="n">
        <v>30</v>
      </c>
      <c r="R971" s="6" t="n">
        <v>1</v>
      </c>
      <c r="U971" s="9" t="n">
        <v>-2074.63</v>
      </c>
      <c r="V971" s="9" t="n">
        <v>-161503.18</v>
      </c>
      <c r="X971" s="9" t="n">
        <v>77.8468</v>
      </c>
      <c r="AK971" s="7" t="inlineStr">
        <is>
          <t>PYTHON_LIFECYCLE</t>
        </is>
      </c>
      <c r="AL971" s="8">
        <f>IF($J971="INR",1,IF($M971&lt;$A971,INDEX(Market_Daily!$F$6:$F$256,MATCH($M971,Market_Daily!$A$6:$A$256,1)),IF($M971=$A971,INDEX(Market_Daily!$F$6:$F$256,MATCH($A971,Market_Daily!$A$6:$A$256,0)),(INDEX(Market_Daily!$F$6:$F$256,MATCH($A971,Market_Daily!$A$6:$A$256,0))*(1+INDEX(Market_Daily!$I$6:$I$256,MATCH($A971,Market_Daily!$A$6:$A$256,0))*($M971-$A971)/day_count_inr)/(1+INDEX(Market_Daily!$J$6:$J$256,MATCH($A971,Market_Daily!$A$6:$A$256,0))*($M971-$A971)/day_count_usd)))))</f>
        <v/>
      </c>
      <c r="AM971" s="8">
        <f>IF(OR($J971="INR",$R971&gt;1),"",$AL971-$X971)</f>
        <v/>
      </c>
      <c r="AN971" s="8">
        <f>$U971</f>
        <v/>
      </c>
      <c r="AO971" s="8">
        <f>$AN971*IF($J971="INR",1,$AL971)</f>
        <v/>
      </c>
      <c r="AP971" s="18">
        <f>$AO971-$V971</f>
        <v/>
      </c>
      <c r="AQ971" s="8">
        <f>IF(ABS($AP971)&lt;=tol_trade_inr,"PASS","FAIL")</f>
        <v/>
      </c>
    </row>
    <row r="972">
      <c r="A972" s="11" t="n">
        <v>44720</v>
      </c>
      <c r="B972" s="7" t="inlineStr">
        <is>
          <t>T08</t>
        </is>
      </c>
      <c r="C972" s="7" t="inlineStr">
        <is>
          <t>BILL_COMMISSION:L2</t>
        </is>
      </c>
      <c r="D972" s="7" t="inlineStr">
        <is>
          <t>BILL_COMMISSION</t>
        </is>
      </c>
      <c r="E972" s="7" t="inlineStr">
        <is>
          <t>physical</t>
        </is>
      </c>
      <c r="F972" s="7" t="inlineStr">
        <is>
          <t>L2</t>
        </is>
      </c>
      <c r="H972" s="7" t="inlineStr">
        <is>
          <t>tense</t>
        </is>
      </c>
      <c r="I972" s="7" t="inlineStr">
        <is>
          <t>USEC_MUN</t>
        </is>
      </c>
      <c r="J972" s="7" t="inlineStr">
        <is>
          <t>USD</t>
        </is>
      </c>
      <c r="K972" s="7" t="inlineStr">
        <is>
          <t>floating</t>
        </is>
      </c>
      <c r="L972" s="7" t="inlineStr">
        <is>
          <t>PNL</t>
        </is>
      </c>
      <c r="M972" s="11" t="n">
        <v>44748</v>
      </c>
      <c r="N972" s="13" t="n">
        <v>0</v>
      </c>
      <c r="O972" s="6" t="n">
        <v>0</v>
      </c>
      <c r="P972" s="13" t="n">
        <v>0</v>
      </c>
      <c r="Q972" s="22" t="n">
        <v>30</v>
      </c>
      <c r="R972" s="6" t="n">
        <v>1</v>
      </c>
      <c r="U972" s="9" t="n">
        <v>-2076.48</v>
      </c>
      <c r="V972" s="9" t="n">
        <v>-161766.86</v>
      </c>
      <c r="X972" s="9" t="n">
        <v>77.90430000000001</v>
      </c>
      <c r="AK972" s="7" t="inlineStr">
        <is>
          <t>PYTHON_LIFECYCLE</t>
        </is>
      </c>
      <c r="AL972" s="8">
        <f>IF($J972="INR",1,IF($M972&lt;$A972,INDEX(Market_Daily!$F$6:$F$256,MATCH($M972,Market_Daily!$A$6:$A$256,1)),IF($M972=$A972,INDEX(Market_Daily!$F$6:$F$256,MATCH($A972,Market_Daily!$A$6:$A$256,0)),(INDEX(Market_Daily!$F$6:$F$256,MATCH($A972,Market_Daily!$A$6:$A$256,0))*(1+INDEX(Market_Daily!$I$6:$I$256,MATCH($A972,Market_Daily!$A$6:$A$256,0))*($M972-$A972)/day_count_inr)/(1+INDEX(Market_Daily!$J$6:$J$256,MATCH($A972,Market_Daily!$A$6:$A$256,0))*($M972-$A972)/day_count_usd)))))</f>
        <v/>
      </c>
      <c r="AM972" s="8">
        <f>IF(OR($J972="INR",$R972&gt;1),"",$AL972-$X972)</f>
        <v/>
      </c>
      <c r="AN972" s="8">
        <f>$U972</f>
        <v/>
      </c>
      <c r="AO972" s="8">
        <f>$AN972*IF($J972="INR",1,$AL972)</f>
        <v/>
      </c>
      <c r="AP972" s="18">
        <f>$AO972-$V972</f>
        <v/>
      </c>
      <c r="AQ972" s="8">
        <f>IF(ABS($AP972)&lt;=tol_trade_inr,"PASS","FAIL")</f>
        <v/>
      </c>
    </row>
    <row r="973">
      <c r="A973" s="11" t="n">
        <v>44720</v>
      </c>
      <c r="B973" s="7" t="inlineStr">
        <is>
          <t>T08</t>
        </is>
      </c>
      <c r="C973" s="7" t="inlineStr">
        <is>
          <t>DUTY:L1</t>
        </is>
      </c>
      <c r="D973" s="7" t="inlineStr">
        <is>
          <t>DUTY</t>
        </is>
      </c>
      <c r="E973" s="7" t="inlineStr">
        <is>
          <t>physical</t>
        </is>
      </c>
      <c r="F973" s="7" t="inlineStr">
        <is>
          <t>L1</t>
        </is>
      </c>
      <c r="H973" s="7" t="inlineStr">
        <is>
          <t>tense</t>
        </is>
      </c>
      <c r="I973" s="7" t="inlineStr">
        <is>
          <t>USEC_MUN</t>
        </is>
      </c>
      <c r="J973" s="7" t="inlineStr">
        <is>
          <t>INR</t>
        </is>
      </c>
      <c r="K973" s="7" t="inlineStr">
        <is>
          <t>floating</t>
        </is>
      </c>
      <c r="L973" s="7" t="inlineStr">
        <is>
          <t>PNL</t>
        </is>
      </c>
      <c r="M973" s="11" t="n">
        <v>44778</v>
      </c>
      <c r="N973" s="13" t="n">
        <v>840</v>
      </c>
      <c r="O973" s="6" t="n">
        <v>0</v>
      </c>
      <c r="P973" s="13" t="n">
        <v>0</v>
      </c>
      <c r="Q973" s="22" t="n">
        <v>30</v>
      </c>
      <c r="R973" s="6" t="n">
        <v>1</v>
      </c>
      <c r="U973" s="9" t="n">
        <v>-3944839.72</v>
      </c>
      <c r="V973" s="9" t="n">
        <v>-3944839.72</v>
      </c>
      <c r="X973" s="9" t="n">
        <v>77.6739</v>
      </c>
      <c r="AK973" s="7" t="inlineStr">
        <is>
          <t>PYTHON_LIFECYCLE</t>
        </is>
      </c>
      <c r="AL973" s="8">
        <f>IF($J973="INR",1,IF($M973&lt;$A973,INDEX(Market_Daily!$F$6:$F$256,MATCH($M973,Market_Daily!$A$6:$A$256,1)),IF($M973=$A973,INDEX(Market_Daily!$F$6:$F$256,MATCH($A973,Market_Daily!$A$6:$A$256,0)),(INDEX(Market_Daily!$F$6:$F$256,MATCH($A973,Market_Daily!$A$6:$A$256,0))*(1+INDEX(Market_Daily!$I$6:$I$256,MATCH($A973,Market_Daily!$A$6:$A$256,0))*($M973-$A973)/day_count_inr)/(1+INDEX(Market_Daily!$J$6:$J$256,MATCH($A973,Market_Daily!$A$6:$A$256,0))*($M973-$A973)/day_count_usd)))))</f>
        <v/>
      </c>
      <c r="AM973" s="8">
        <f>IF(OR($J973="INR",$R973&gt;1),"",$AL973-$X973)</f>
        <v/>
      </c>
      <c r="AN973" s="8">
        <f>$U973</f>
        <v/>
      </c>
      <c r="AO973" s="8">
        <f>$AN973*IF($J973="INR",1,$AL973)</f>
        <v/>
      </c>
      <c r="AP973" s="18">
        <f>$AO973-$V973</f>
        <v/>
      </c>
      <c r="AQ973" s="8">
        <f>IF(ABS($AP973)&lt;=tol_trade_inr,"PASS","FAIL")</f>
        <v/>
      </c>
    </row>
    <row r="974">
      <c r="A974" s="11" t="n">
        <v>44720</v>
      </c>
      <c r="B974" s="7" t="inlineStr">
        <is>
          <t>T08</t>
        </is>
      </c>
      <c r="C974" s="7" t="inlineStr">
        <is>
          <t>DUTY:L2</t>
        </is>
      </c>
      <c r="D974" s="7" t="inlineStr">
        <is>
          <t>DUTY</t>
        </is>
      </c>
      <c r="E974" s="7" t="inlineStr">
        <is>
          <t>physical</t>
        </is>
      </c>
      <c r="F974" s="7" t="inlineStr">
        <is>
          <t>L2</t>
        </is>
      </c>
      <c r="H974" s="7" t="inlineStr">
        <is>
          <t>tense</t>
        </is>
      </c>
      <c r="I974" s="7" t="inlineStr">
        <is>
          <t>USEC_MUN</t>
        </is>
      </c>
      <c r="J974" s="7" t="inlineStr">
        <is>
          <t>INR</t>
        </is>
      </c>
      <c r="K974" s="7" t="inlineStr">
        <is>
          <t>floating</t>
        </is>
      </c>
      <c r="L974" s="7" t="inlineStr">
        <is>
          <t>PNL</t>
        </is>
      </c>
      <c r="M974" s="11" t="n">
        <v>44782</v>
      </c>
      <c r="N974" s="13" t="n">
        <v>840</v>
      </c>
      <c r="O974" s="6" t="n">
        <v>0</v>
      </c>
      <c r="P974" s="13" t="n">
        <v>0</v>
      </c>
      <c r="Q974" s="22" t="n">
        <v>30</v>
      </c>
      <c r="R974" s="6" t="n">
        <v>1</v>
      </c>
      <c r="U974" s="9" t="n">
        <v>-3944839.72</v>
      </c>
      <c r="V974" s="9" t="n">
        <v>-3944839.72</v>
      </c>
      <c r="X974" s="9" t="n">
        <v>77.6739</v>
      </c>
      <c r="AK974" s="7" t="inlineStr">
        <is>
          <t>PYTHON_LIFECYCLE</t>
        </is>
      </c>
      <c r="AL974" s="8">
        <f>IF($J974="INR",1,IF($M974&lt;$A974,INDEX(Market_Daily!$F$6:$F$256,MATCH($M974,Market_Daily!$A$6:$A$256,1)),IF($M974=$A974,INDEX(Market_Daily!$F$6:$F$256,MATCH($A974,Market_Daily!$A$6:$A$256,0)),(INDEX(Market_Daily!$F$6:$F$256,MATCH($A974,Market_Daily!$A$6:$A$256,0))*(1+INDEX(Market_Daily!$I$6:$I$256,MATCH($A974,Market_Daily!$A$6:$A$256,0))*($M974-$A974)/day_count_inr)/(1+INDEX(Market_Daily!$J$6:$J$256,MATCH($A974,Market_Daily!$A$6:$A$256,0))*($M974-$A974)/day_count_usd)))))</f>
        <v/>
      </c>
      <c r="AM974" s="8">
        <f>IF(OR($J974="INR",$R974&gt;1),"",$AL974-$X974)</f>
        <v/>
      </c>
      <c r="AN974" s="8">
        <f>$U974</f>
        <v/>
      </c>
      <c r="AO974" s="8">
        <f>$AN974*IF($J974="INR",1,$AL974)</f>
        <v/>
      </c>
      <c r="AP974" s="18">
        <f>$AO974-$V974</f>
        <v/>
      </c>
      <c r="AQ974" s="8">
        <f>IF(ABS($AP974)&lt;=tol_trade_inr,"PASS","FAIL")</f>
        <v/>
      </c>
    </row>
    <row r="975">
      <c r="A975" s="11" t="n">
        <v>44720</v>
      </c>
      <c r="B975" s="7" t="inlineStr">
        <is>
          <t>T08</t>
        </is>
      </c>
      <c r="C975" s="7" t="inlineStr">
        <is>
          <t>IGST:L1</t>
        </is>
      </c>
      <c r="D975" s="7" t="inlineStr">
        <is>
          <t>IGST</t>
        </is>
      </c>
      <c r="E975" s="7" t="inlineStr">
        <is>
          <t>physical</t>
        </is>
      </c>
      <c r="F975" s="7" t="inlineStr">
        <is>
          <t>L1</t>
        </is>
      </c>
      <c r="H975" s="7" t="inlineStr">
        <is>
          <t>tense</t>
        </is>
      </c>
      <c r="I975" s="7" t="inlineStr">
        <is>
          <t>USEC_MUN</t>
        </is>
      </c>
      <c r="J975" s="7" t="inlineStr">
        <is>
          <t>INR</t>
        </is>
      </c>
      <c r="K975" s="7" t="inlineStr">
        <is>
          <t>floating</t>
        </is>
      </c>
      <c r="L975" s="7" t="inlineStr">
        <is>
          <t>BS</t>
        </is>
      </c>
      <c r="M975" s="11" t="n">
        <v>44820</v>
      </c>
      <c r="N975" s="13" t="n">
        <v>0</v>
      </c>
      <c r="O975" s="6" t="n">
        <v>0</v>
      </c>
      <c r="P975" s="13" t="n">
        <v>0</v>
      </c>
      <c r="Q975" s="22" t="n">
        <v>30</v>
      </c>
      <c r="R975" s="6" t="n">
        <v>2</v>
      </c>
      <c r="U975" s="9" t="n">
        <v>0</v>
      </c>
      <c r="V975" s="9" t="n">
        <v>0</v>
      </c>
      <c r="X975" s="9" t="n">
        <v>77.6739</v>
      </c>
      <c r="AK975" s="7" t="inlineStr">
        <is>
          <t>PYTHON_MULTI_FLOW_LEG</t>
        </is>
      </c>
      <c r="AL975" s="8">
        <f>IF($J975="INR",1,IF($M975&lt;$A975,INDEX(Market_Daily!$F$6:$F$256,MATCH($M975,Market_Daily!$A$6:$A$256,1)),IF($M975=$A975,INDEX(Market_Daily!$F$6:$F$256,MATCH($A975,Market_Daily!$A$6:$A$256,0)),(INDEX(Market_Daily!$F$6:$F$256,MATCH($A975,Market_Daily!$A$6:$A$256,0))*(1+INDEX(Market_Daily!$I$6:$I$256,MATCH($A975,Market_Daily!$A$6:$A$256,0))*($M975-$A975)/day_count_inr)/(1+INDEX(Market_Daily!$J$6:$J$256,MATCH($A975,Market_Daily!$A$6:$A$256,0))*($M975-$A975)/day_count_usd)))))</f>
        <v/>
      </c>
      <c r="AM975" s="8">
        <f>IF(OR($J975="INR",$R975&gt;1),"",$AL975-$X975)</f>
        <v/>
      </c>
      <c r="AN975" s="8">
        <f>$U975</f>
        <v/>
      </c>
      <c r="AO975" s="8">
        <f>$V975</f>
        <v/>
      </c>
      <c r="AP975" s="18">
        <f>$AO975-$V975</f>
        <v/>
      </c>
      <c r="AQ975" s="8">
        <f>IF(ABS($AP975)&lt;=tol_trade_inr,"PASS","FAIL")</f>
        <v/>
      </c>
    </row>
    <row r="976">
      <c r="A976" s="11" t="n">
        <v>44720</v>
      </c>
      <c r="B976" s="7" t="inlineStr">
        <is>
          <t>T08</t>
        </is>
      </c>
      <c r="C976" s="7" t="inlineStr">
        <is>
          <t>IGST:L2</t>
        </is>
      </c>
      <c r="D976" s="7" t="inlineStr">
        <is>
          <t>IGST</t>
        </is>
      </c>
      <c r="E976" s="7" t="inlineStr">
        <is>
          <t>physical</t>
        </is>
      </c>
      <c r="F976" s="7" t="inlineStr">
        <is>
          <t>L2</t>
        </is>
      </c>
      <c r="H976" s="7" t="inlineStr">
        <is>
          <t>tense</t>
        </is>
      </c>
      <c r="I976" s="7" t="inlineStr">
        <is>
          <t>USEC_MUN</t>
        </is>
      </c>
      <c r="J976" s="7" t="inlineStr">
        <is>
          <t>INR</t>
        </is>
      </c>
      <c r="K976" s="7" t="inlineStr">
        <is>
          <t>floating</t>
        </is>
      </c>
      <c r="L976" s="7" t="inlineStr">
        <is>
          <t>BS</t>
        </is>
      </c>
      <c r="M976" s="11" t="n">
        <v>44827</v>
      </c>
      <c r="N976" s="13" t="n">
        <v>0</v>
      </c>
      <c r="O976" s="6" t="n">
        <v>0</v>
      </c>
      <c r="P976" s="13" t="n">
        <v>0</v>
      </c>
      <c r="Q976" s="22" t="n">
        <v>30</v>
      </c>
      <c r="R976" s="6" t="n">
        <v>2</v>
      </c>
      <c r="U976" s="9" t="n">
        <v>0</v>
      </c>
      <c r="V976" s="9" t="n">
        <v>0</v>
      </c>
      <c r="X976" s="9" t="n">
        <v>77.6739</v>
      </c>
      <c r="AK976" s="7" t="inlineStr">
        <is>
          <t>PYTHON_MULTI_FLOW_LEG</t>
        </is>
      </c>
      <c r="AL976" s="8">
        <f>IF($J976="INR",1,IF($M976&lt;$A976,INDEX(Market_Daily!$F$6:$F$256,MATCH($M976,Market_Daily!$A$6:$A$256,1)),IF($M976=$A976,INDEX(Market_Daily!$F$6:$F$256,MATCH($A976,Market_Daily!$A$6:$A$256,0)),(INDEX(Market_Daily!$F$6:$F$256,MATCH($A976,Market_Daily!$A$6:$A$256,0))*(1+INDEX(Market_Daily!$I$6:$I$256,MATCH($A976,Market_Daily!$A$6:$A$256,0))*($M976-$A976)/day_count_inr)/(1+INDEX(Market_Daily!$J$6:$J$256,MATCH($A976,Market_Daily!$A$6:$A$256,0))*($M976-$A976)/day_count_usd)))))</f>
        <v/>
      </c>
      <c r="AM976" s="8">
        <f>IF(OR($J976="INR",$R976&gt;1),"",$AL976-$X976)</f>
        <v/>
      </c>
      <c r="AN976" s="8">
        <f>$U976</f>
        <v/>
      </c>
      <c r="AO976" s="8">
        <f>$V976</f>
        <v/>
      </c>
      <c r="AP976" s="18">
        <f>$AO976-$V976</f>
        <v/>
      </c>
      <c r="AQ976" s="8">
        <f>IF(ABS($AP976)&lt;=tol_trade_inr,"PASS","FAIL")</f>
        <v/>
      </c>
    </row>
    <row r="977">
      <c r="A977" s="11" t="n">
        <v>44720</v>
      </c>
      <c r="B977" s="7" t="inlineStr">
        <is>
          <t>T08</t>
        </is>
      </c>
      <c r="C977" s="7" t="inlineStr">
        <is>
          <t>INSURANCE:L1</t>
        </is>
      </c>
      <c r="D977" s="7" t="inlineStr">
        <is>
          <t>INSURANCE</t>
        </is>
      </c>
      <c r="E977" s="7" t="inlineStr">
        <is>
          <t>physical</t>
        </is>
      </c>
      <c r="F977" s="7" t="inlineStr">
        <is>
          <t>L1</t>
        </is>
      </c>
      <c r="H977" s="7" t="inlineStr">
        <is>
          <t>tense</t>
        </is>
      </c>
      <c r="I977" s="7" t="inlineStr">
        <is>
          <t>USEC_MUN</t>
        </is>
      </c>
      <c r="J977" s="7" t="inlineStr">
        <is>
          <t>USD</t>
        </is>
      </c>
      <c r="K977" s="7" t="inlineStr">
        <is>
          <t>floating</t>
        </is>
      </c>
      <c r="L977" s="7" t="inlineStr">
        <is>
          <t>PNL</t>
        </is>
      </c>
      <c r="M977" s="11" t="n">
        <v>44734</v>
      </c>
      <c r="N977" s="13" t="n">
        <v>840</v>
      </c>
      <c r="O977" s="6" t="n">
        <v>0</v>
      </c>
      <c r="P977" s="13" t="n">
        <v>0</v>
      </c>
      <c r="Q977" s="22" t="n">
        <v>30</v>
      </c>
      <c r="R977" s="6" t="n">
        <v>1</v>
      </c>
      <c r="U977" s="9" t="n">
        <v>-2001.84</v>
      </c>
      <c r="V977" s="9" t="n">
        <v>-155721.11</v>
      </c>
      <c r="X977" s="9" t="n">
        <v>77.78919999999999</v>
      </c>
      <c r="AK977" s="7" t="inlineStr">
        <is>
          <t>PYTHON_LIFECYCLE</t>
        </is>
      </c>
      <c r="AL977" s="8">
        <f>IF($J977="INR",1,IF($M977&lt;$A977,INDEX(Market_Daily!$F$6:$F$256,MATCH($M977,Market_Daily!$A$6:$A$256,1)),IF($M977=$A977,INDEX(Market_Daily!$F$6:$F$256,MATCH($A977,Market_Daily!$A$6:$A$256,0)),(INDEX(Market_Daily!$F$6:$F$256,MATCH($A977,Market_Daily!$A$6:$A$256,0))*(1+INDEX(Market_Daily!$I$6:$I$256,MATCH($A977,Market_Daily!$A$6:$A$256,0))*($M977-$A977)/day_count_inr)/(1+INDEX(Market_Daily!$J$6:$J$256,MATCH($A977,Market_Daily!$A$6:$A$256,0))*($M977-$A977)/day_count_usd)))))</f>
        <v/>
      </c>
      <c r="AM977" s="8">
        <f>IF(OR($J977="INR",$R977&gt;1),"",$AL977-$X977)</f>
        <v/>
      </c>
      <c r="AN977" s="8">
        <f>$U977</f>
        <v/>
      </c>
      <c r="AO977" s="8">
        <f>$AN977*IF($J977="INR",1,$AL977)</f>
        <v/>
      </c>
      <c r="AP977" s="18">
        <f>$AO977-$V977</f>
        <v/>
      </c>
      <c r="AQ977" s="8">
        <f>IF(ABS($AP977)&lt;=tol_trade_inr,"PASS","FAIL")</f>
        <v/>
      </c>
    </row>
    <row r="978">
      <c r="A978" s="11" t="n">
        <v>44720</v>
      </c>
      <c r="B978" s="7" t="inlineStr">
        <is>
          <t>T08</t>
        </is>
      </c>
      <c r="C978" s="7" t="inlineStr">
        <is>
          <t>INSURANCE:L2</t>
        </is>
      </c>
      <c r="D978" s="7" t="inlineStr">
        <is>
          <t>INSURANCE</t>
        </is>
      </c>
      <c r="E978" s="7" t="inlineStr">
        <is>
          <t>physical</t>
        </is>
      </c>
      <c r="F978" s="7" t="inlineStr">
        <is>
          <t>L2</t>
        </is>
      </c>
      <c r="H978" s="7" t="inlineStr">
        <is>
          <t>tense</t>
        </is>
      </c>
      <c r="I978" s="7" t="inlineStr">
        <is>
          <t>USEC_MUN</t>
        </is>
      </c>
      <c r="J978" s="7" t="inlineStr">
        <is>
          <t>USD</t>
        </is>
      </c>
      <c r="K978" s="7" t="inlineStr">
        <is>
          <t>floating</t>
        </is>
      </c>
      <c r="L978" s="7" t="inlineStr">
        <is>
          <t>PNL</t>
        </is>
      </c>
      <c r="M978" s="11" t="n">
        <v>44741</v>
      </c>
      <c r="N978" s="13" t="n">
        <v>840</v>
      </c>
      <c r="O978" s="6" t="n">
        <v>0</v>
      </c>
      <c r="P978" s="13" t="n">
        <v>0</v>
      </c>
      <c r="Q978" s="22" t="n">
        <v>30</v>
      </c>
      <c r="R978" s="6" t="n">
        <v>1</v>
      </c>
      <c r="U978" s="9" t="n">
        <v>-2003.62</v>
      </c>
      <c r="V978" s="9" t="n">
        <v>-155975.5</v>
      </c>
      <c r="X978" s="9" t="n">
        <v>77.8468</v>
      </c>
      <c r="AK978" s="7" t="inlineStr">
        <is>
          <t>PYTHON_LIFECYCLE</t>
        </is>
      </c>
      <c r="AL978" s="8">
        <f>IF($J978="INR",1,IF($M978&lt;$A978,INDEX(Market_Daily!$F$6:$F$256,MATCH($M978,Market_Daily!$A$6:$A$256,1)),IF($M978=$A978,INDEX(Market_Daily!$F$6:$F$256,MATCH($A978,Market_Daily!$A$6:$A$256,0)),(INDEX(Market_Daily!$F$6:$F$256,MATCH($A978,Market_Daily!$A$6:$A$256,0))*(1+INDEX(Market_Daily!$I$6:$I$256,MATCH($A978,Market_Daily!$A$6:$A$256,0))*($M978-$A978)/day_count_inr)/(1+INDEX(Market_Daily!$J$6:$J$256,MATCH($A978,Market_Daily!$A$6:$A$256,0))*($M978-$A978)/day_count_usd)))))</f>
        <v/>
      </c>
      <c r="AM978" s="8">
        <f>IF(OR($J978="INR",$R978&gt;1),"",$AL978-$X978)</f>
        <v/>
      </c>
      <c r="AN978" s="8">
        <f>$U978</f>
        <v/>
      </c>
      <c r="AO978" s="8">
        <f>$AN978*IF($J978="INR",1,$AL978)</f>
        <v/>
      </c>
      <c r="AP978" s="18">
        <f>$AO978-$V978</f>
        <v/>
      </c>
      <c r="AQ978" s="8">
        <f>IF(ABS($AP978)&lt;=tol_trade_inr,"PASS","FAIL")</f>
        <v/>
      </c>
    </row>
    <row r="979">
      <c r="A979" s="11" t="n">
        <v>44720</v>
      </c>
      <c r="B979" s="7" t="inlineStr">
        <is>
          <t>T08</t>
        </is>
      </c>
      <c r="C979" s="7" t="inlineStr">
        <is>
          <t>INVENTORY:L1</t>
        </is>
      </c>
      <c r="D979" s="7" t="inlineStr">
        <is>
          <t>INVENTORY</t>
        </is>
      </c>
      <c r="E979" s="7" t="inlineStr">
        <is>
          <t>physical</t>
        </is>
      </c>
      <c r="F979" s="7" t="inlineStr">
        <is>
          <t>L1</t>
        </is>
      </c>
      <c r="H979" s="7" t="inlineStr">
        <is>
          <t>tense</t>
        </is>
      </c>
      <c r="I979" s="7" t="inlineStr">
        <is>
          <t>USEC_MUN</t>
        </is>
      </c>
      <c r="J979" s="7" t="inlineStr">
        <is>
          <t>INR</t>
        </is>
      </c>
      <c r="K979" s="7" t="inlineStr">
        <is>
          <t>fixed_unsettled</t>
        </is>
      </c>
      <c r="L979" s="7" t="inlineStr">
        <is>
          <t>PNL</t>
        </is>
      </c>
      <c r="N979" s="13" t="n">
        <v>840</v>
      </c>
      <c r="O979" s="6" t="n">
        <v>0</v>
      </c>
      <c r="P979" s="13" t="n">
        <v>0</v>
      </c>
      <c r="Q979" s="22" t="n">
        <v>30</v>
      </c>
      <c r="R979" s="6" t="n">
        <v>0</v>
      </c>
      <c r="U979" s="9" t="n">
        <v>150293355.34</v>
      </c>
      <c r="V979" s="9" t="n">
        <v>150293355.34</v>
      </c>
      <c r="W979" s="9" t="n">
        <v>178920.6611</v>
      </c>
      <c r="X979" s="9" t="n">
        <v>77.6739</v>
      </c>
      <c r="Y979" s="8">
        <f>IF($I979="JEA_NSA","20ft","40ft")</f>
        <v/>
      </c>
      <c r="Z979" s="8">
        <f>IF($I979="JEA_NSA","nsa","mun")</f>
        <v/>
      </c>
      <c r="AA979" s="8">
        <f>INDEX(param_values,MATCH("container_payload_mt_"&amp;$Y979,param_keys,0))/INDEX(param_values,MATCH("container_payload_mt_"&amp;$Y979&amp;"_"&amp;$H979,param_keys,0))</f>
        <v/>
      </c>
      <c r="AB979" s="16">
        <f>INDEX(Market_Daily!$C$6:$C$256,MATCH($A979,Market_Daily!$A$6:$A$256,0))*INDEX(Market_Daily!$X$6:$Z$256,MATCH($A979,Market_Daily!$A$6:$A$256,0),MATCH("grade_factor_"&amp;$H979,Market_Daily!$X$5:$Z$5,0))</f>
        <v/>
      </c>
      <c r="AC979" s="16">
        <f>$AB979*(1+insurance_rate*insured_value_uplift)</f>
        <v/>
      </c>
      <c r="AD979" s="8">
        <f>(INDEX(Market_Daily!$F$6:$F$256,MATCH($A979,Market_Daily!$A$6:$A$256,0))*(1+INDEX(Market_Daily!$I$6:$I$256,MATCH($A979,Market_Daily!$A$6:$A$256,0))*$Q979/day_count_inr)/(1+INDEX(Market_Daily!$J$6:$J$256,MATCH($A979,Market_Daily!$A$6:$A$256,0))*$Q979/day_count_usd))</f>
        <v/>
      </c>
      <c r="AE979" s="18">
        <f>$AC979*$AD979</f>
        <v/>
      </c>
      <c r="AF979" s="18">
        <f>$AC979*INDEX(Market_Daily!$V$6:$V$256,MATCH($A979,Market_Daily!$A$6:$A$256,0))</f>
        <v/>
      </c>
      <c r="AG979" s="18">
        <f>$AF979*bcd_scrap_hs7602*(1+sws_rate_on_bcd)</f>
        <v/>
      </c>
      <c r="AH979" s="18">
        <f>INDEX(param_values,MATCH("port_cf_charges_inr_t_"&amp;$Z979,param_keys,0))*$AA979+IF(INDEX(param_values,MATCH(IF($I979="JEA_NSA","psic_required_uae_origin","psic_required_safe_origin_designated_port"),param_keys,0)),psic_cost_usd_per_box*INDEX(Market_Daily!$F$6:$F$256,MATCH($A979,Market_Daily!$A$6:$A$256,0))/INDEX(param_values,MATCH("container_payload_mt_20ft_"&amp;$H979,param_keys,0)),0)</f>
        <v/>
      </c>
      <c r="AI979" s="18">
        <f>IF(igst_itc_available,0,($AF979+$AG979)*igst_rate_hs7602)</f>
        <v/>
      </c>
      <c r="AJ979" s="18">
        <f>$AE979+$AG979+$AH979+$AI979</f>
        <v/>
      </c>
      <c r="AK979" s="7" t="inlineStr">
        <is>
          <t>DERIVED_IN_WORKBOOK</t>
        </is>
      </c>
      <c r="AL979" s="8">
        <f>IF($J979="INR",1,IF($M979&lt;$A979,INDEX(Market_Daily!$F$6:$F$256,MATCH($M979,Market_Daily!$A$6:$A$256,1)),IF($M979=$A979,INDEX(Market_Daily!$F$6:$F$256,MATCH($A979,Market_Daily!$A$6:$A$256,0)),(INDEX(Market_Daily!$F$6:$F$256,MATCH($A979,Market_Daily!$A$6:$A$256,0))*(1+INDEX(Market_Daily!$I$6:$I$256,MATCH($A979,Market_Daily!$A$6:$A$256,0))*($M979-$A979)/day_count_inr)/(1+INDEX(Market_Daily!$J$6:$J$256,MATCH($A979,Market_Daily!$A$6:$A$256,0))*($M979-$A979)/day_count_usd)))))</f>
        <v/>
      </c>
      <c r="AM979" s="8">
        <f>IF(OR($J979="INR",$R979&gt;1),"",$AL979-$X979)</f>
        <v/>
      </c>
      <c r="AN979" s="8">
        <f>$N979*$AJ979</f>
        <v/>
      </c>
      <c r="AO979" s="8">
        <f>$AN979</f>
        <v/>
      </c>
      <c r="AP979" s="18">
        <f>$AO979-$V979</f>
        <v/>
      </c>
      <c r="AQ979" s="8">
        <f>IF(ABS($AP979)&lt;=tol_trade_inr,"PASS","FAIL")</f>
        <v/>
      </c>
    </row>
    <row r="980">
      <c r="A980" s="11" t="n">
        <v>44720</v>
      </c>
      <c r="B980" s="7" t="inlineStr">
        <is>
          <t>T08</t>
        </is>
      </c>
      <c r="C980" s="7" t="inlineStr">
        <is>
          <t>INVENTORY:L2</t>
        </is>
      </c>
      <c r="D980" s="7" t="inlineStr">
        <is>
          <t>INVENTORY</t>
        </is>
      </c>
      <c r="E980" s="7" t="inlineStr">
        <is>
          <t>physical</t>
        </is>
      </c>
      <c r="F980" s="7" t="inlineStr">
        <is>
          <t>L2</t>
        </is>
      </c>
      <c r="H980" s="7" t="inlineStr">
        <is>
          <t>tense</t>
        </is>
      </c>
      <c r="I980" s="7" t="inlineStr">
        <is>
          <t>USEC_MUN</t>
        </is>
      </c>
      <c r="J980" s="7" t="inlineStr">
        <is>
          <t>INR</t>
        </is>
      </c>
      <c r="K980" s="7" t="inlineStr">
        <is>
          <t>fixed_unsettled</t>
        </is>
      </c>
      <c r="L980" s="7" t="inlineStr">
        <is>
          <t>PNL</t>
        </is>
      </c>
      <c r="N980" s="13" t="n">
        <v>840</v>
      </c>
      <c r="O980" s="6" t="n">
        <v>0</v>
      </c>
      <c r="P980" s="13" t="n">
        <v>0</v>
      </c>
      <c r="Q980" s="22" t="n">
        <v>30</v>
      </c>
      <c r="R980" s="6" t="n">
        <v>0</v>
      </c>
      <c r="U980" s="9" t="n">
        <v>150293355.34</v>
      </c>
      <c r="V980" s="9" t="n">
        <v>150293355.34</v>
      </c>
      <c r="W980" s="9" t="n">
        <v>178920.6611</v>
      </c>
      <c r="X980" s="9" t="n">
        <v>77.6739</v>
      </c>
      <c r="Y980" s="8">
        <f>IF($I980="JEA_NSA","20ft","40ft")</f>
        <v/>
      </c>
      <c r="Z980" s="8">
        <f>IF($I980="JEA_NSA","nsa","mun")</f>
        <v/>
      </c>
      <c r="AA980" s="8">
        <f>INDEX(param_values,MATCH("container_payload_mt_"&amp;$Y980,param_keys,0))/INDEX(param_values,MATCH("container_payload_mt_"&amp;$Y980&amp;"_"&amp;$H980,param_keys,0))</f>
        <v/>
      </c>
      <c r="AB980" s="16">
        <f>INDEX(Market_Daily!$C$6:$C$256,MATCH($A980,Market_Daily!$A$6:$A$256,0))*INDEX(Market_Daily!$X$6:$Z$256,MATCH($A980,Market_Daily!$A$6:$A$256,0),MATCH("grade_factor_"&amp;$H980,Market_Daily!$X$5:$Z$5,0))</f>
        <v/>
      </c>
      <c r="AC980" s="16">
        <f>$AB980*(1+insurance_rate*insured_value_uplift)</f>
        <v/>
      </c>
      <c r="AD980" s="8">
        <f>(INDEX(Market_Daily!$F$6:$F$256,MATCH($A980,Market_Daily!$A$6:$A$256,0))*(1+INDEX(Market_Daily!$I$6:$I$256,MATCH($A980,Market_Daily!$A$6:$A$256,0))*$Q980/day_count_inr)/(1+INDEX(Market_Daily!$J$6:$J$256,MATCH($A980,Market_Daily!$A$6:$A$256,0))*$Q980/day_count_usd))</f>
        <v/>
      </c>
      <c r="AE980" s="18">
        <f>$AC980*$AD980</f>
        <v/>
      </c>
      <c r="AF980" s="18">
        <f>$AC980*INDEX(Market_Daily!$V$6:$V$256,MATCH($A980,Market_Daily!$A$6:$A$256,0))</f>
        <v/>
      </c>
      <c r="AG980" s="18">
        <f>$AF980*bcd_scrap_hs7602*(1+sws_rate_on_bcd)</f>
        <v/>
      </c>
      <c r="AH980" s="18">
        <f>INDEX(param_values,MATCH("port_cf_charges_inr_t_"&amp;$Z980,param_keys,0))*$AA980+IF(INDEX(param_values,MATCH(IF($I980="JEA_NSA","psic_required_uae_origin","psic_required_safe_origin_designated_port"),param_keys,0)),psic_cost_usd_per_box*INDEX(Market_Daily!$F$6:$F$256,MATCH($A980,Market_Daily!$A$6:$A$256,0))/INDEX(param_values,MATCH("container_payload_mt_20ft_"&amp;$H980,param_keys,0)),0)</f>
        <v/>
      </c>
      <c r="AI980" s="18">
        <f>IF(igst_itc_available,0,($AF980+$AG980)*igst_rate_hs7602)</f>
        <v/>
      </c>
      <c r="AJ980" s="18">
        <f>$AE980+$AG980+$AH980+$AI980</f>
        <v/>
      </c>
      <c r="AK980" s="7" t="inlineStr">
        <is>
          <t>DERIVED_IN_WORKBOOK</t>
        </is>
      </c>
      <c r="AL980" s="8">
        <f>IF($J980="INR",1,IF($M980&lt;$A980,INDEX(Market_Daily!$F$6:$F$256,MATCH($M980,Market_Daily!$A$6:$A$256,1)),IF($M980=$A980,INDEX(Market_Daily!$F$6:$F$256,MATCH($A980,Market_Daily!$A$6:$A$256,0)),(INDEX(Market_Daily!$F$6:$F$256,MATCH($A980,Market_Daily!$A$6:$A$256,0))*(1+INDEX(Market_Daily!$I$6:$I$256,MATCH($A980,Market_Daily!$A$6:$A$256,0))*($M980-$A980)/day_count_inr)/(1+INDEX(Market_Daily!$J$6:$J$256,MATCH($A980,Market_Daily!$A$6:$A$256,0))*($M980-$A980)/day_count_usd)))))</f>
        <v/>
      </c>
      <c r="AM980" s="8">
        <f>IF(OR($J980="INR",$R980&gt;1),"",$AL980-$X980)</f>
        <v/>
      </c>
      <c r="AN980" s="8">
        <f>$N980*$AJ980</f>
        <v/>
      </c>
      <c r="AO980" s="8">
        <f>$AN980</f>
        <v/>
      </c>
      <c r="AP980" s="18">
        <f>$AO980-$V980</f>
        <v/>
      </c>
      <c r="AQ980" s="8">
        <f>IF(ABS($AP980)&lt;=tol_trade_inr,"PASS","FAIL")</f>
        <v/>
      </c>
    </row>
    <row r="981">
      <c r="A981" s="11" t="n">
        <v>44720</v>
      </c>
      <c r="B981" s="7" t="inlineStr">
        <is>
          <t>T08</t>
        </is>
      </c>
      <c r="C981" s="7" t="inlineStr">
        <is>
          <t>PORT:L1</t>
        </is>
      </c>
      <c r="D981" s="7" t="inlineStr">
        <is>
          <t>PORT</t>
        </is>
      </c>
      <c r="E981" s="7" t="inlineStr">
        <is>
          <t>physical</t>
        </is>
      </c>
      <c r="F981" s="7" t="inlineStr">
        <is>
          <t>L1</t>
        </is>
      </c>
      <c r="H981" s="7" t="inlineStr">
        <is>
          <t>tense</t>
        </is>
      </c>
      <c r="I981" s="7" t="inlineStr">
        <is>
          <t>USEC_MUN</t>
        </is>
      </c>
      <c r="J981" s="7" t="inlineStr">
        <is>
          <t>INR</t>
        </is>
      </c>
      <c r="K981" s="7" t="inlineStr">
        <is>
          <t>fixed_unsettled</t>
        </is>
      </c>
      <c r="L981" s="7" t="inlineStr">
        <is>
          <t>PNL</t>
        </is>
      </c>
      <c r="M981" s="11" t="n">
        <v>44784</v>
      </c>
      <c r="N981" s="13" t="n">
        <v>0</v>
      </c>
      <c r="O981" s="6" t="n">
        <v>0</v>
      </c>
      <c r="P981" s="13" t="n">
        <v>0</v>
      </c>
      <c r="Q981" s="22" t="n">
        <v>30</v>
      </c>
      <c r="R981" s="6" t="n">
        <v>1</v>
      </c>
      <c r="U981" s="9" t="n">
        <v>-2226000</v>
      </c>
      <c r="V981" s="9" t="n">
        <v>-2226000</v>
      </c>
      <c r="X981" s="9" t="n">
        <v>77.6739</v>
      </c>
      <c r="AK981" s="7" t="inlineStr">
        <is>
          <t>PYTHON_LIFECYCLE</t>
        </is>
      </c>
      <c r="AL981" s="8">
        <f>IF($J981="INR",1,IF($M981&lt;$A981,INDEX(Market_Daily!$F$6:$F$256,MATCH($M981,Market_Daily!$A$6:$A$256,1)),IF($M981=$A981,INDEX(Market_Daily!$F$6:$F$256,MATCH($A981,Market_Daily!$A$6:$A$256,0)),(INDEX(Market_Daily!$F$6:$F$256,MATCH($A981,Market_Daily!$A$6:$A$256,0))*(1+INDEX(Market_Daily!$I$6:$I$256,MATCH($A981,Market_Daily!$A$6:$A$256,0))*($M981-$A981)/day_count_inr)/(1+INDEX(Market_Daily!$J$6:$J$256,MATCH($A981,Market_Daily!$A$6:$A$256,0))*($M981-$A981)/day_count_usd)))))</f>
        <v/>
      </c>
      <c r="AM981" s="8">
        <f>IF(OR($J981="INR",$R981&gt;1),"",$AL981-$X981)</f>
        <v/>
      </c>
      <c r="AN981" s="8">
        <f>$U981</f>
        <v/>
      </c>
      <c r="AO981" s="8">
        <f>$AN981*IF($J981="INR",1,$AL981)</f>
        <v/>
      </c>
      <c r="AP981" s="18">
        <f>$AO981-$V981</f>
        <v/>
      </c>
      <c r="AQ981" s="8">
        <f>IF(ABS($AP981)&lt;=tol_trade_inr,"PASS","FAIL")</f>
        <v/>
      </c>
    </row>
    <row r="982">
      <c r="A982" s="11" t="n">
        <v>44720</v>
      </c>
      <c r="B982" s="7" t="inlineStr">
        <is>
          <t>T08</t>
        </is>
      </c>
      <c r="C982" s="7" t="inlineStr">
        <is>
          <t>PORT:L2</t>
        </is>
      </c>
      <c r="D982" s="7" t="inlineStr">
        <is>
          <t>PORT</t>
        </is>
      </c>
      <c r="E982" s="7" t="inlineStr">
        <is>
          <t>physical</t>
        </is>
      </c>
      <c r="F982" s="7" t="inlineStr">
        <is>
          <t>L2</t>
        </is>
      </c>
      <c r="H982" s="7" t="inlineStr">
        <is>
          <t>tense</t>
        </is>
      </c>
      <c r="I982" s="7" t="inlineStr">
        <is>
          <t>USEC_MUN</t>
        </is>
      </c>
      <c r="J982" s="7" t="inlineStr">
        <is>
          <t>INR</t>
        </is>
      </c>
      <c r="K982" s="7" t="inlineStr">
        <is>
          <t>fixed_unsettled</t>
        </is>
      </c>
      <c r="L982" s="7" t="inlineStr">
        <is>
          <t>PNL</t>
        </is>
      </c>
      <c r="M982" s="11" t="n">
        <v>44791</v>
      </c>
      <c r="N982" s="13" t="n">
        <v>0</v>
      </c>
      <c r="O982" s="6" t="n">
        <v>0</v>
      </c>
      <c r="P982" s="13" t="n">
        <v>0</v>
      </c>
      <c r="Q982" s="22" t="n">
        <v>30</v>
      </c>
      <c r="R982" s="6" t="n">
        <v>1</v>
      </c>
      <c r="U982" s="9" t="n">
        <v>-2226000</v>
      </c>
      <c r="V982" s="9" t="n">
        <v>-2226000</v>
      </c>
      <c r="X982" s="9" t="n">
        <v>77.6739</v>
      </c>
      <c r="AK982" s="7" t="inlineStr">
        <is>
          <t>PYTHON_LIFECYCLE</t>
        </is>
      </c>
      <c r="AL982" s="8">
        <f>IF($J982="INR",1,IF($M982&lt;$A982,INDEX(Market_Daily!$F$6:$F$256,MATCH($M982,Market_Daily!$A$6:$A$256,1)),IF($M982=$A982,INDEX(Market_Daily!$F$6:$F$256,MATCH($A982,Market_Daily!$A$6:$A$256,0)),(INDEX(Market_Daily!$F$6:$F$256,MATCH($A982,Market_Daily!$A$6:$A$256,0))*(1+INDEX(Market_Daily!$I$6:$I$256,MATCH($A982,Market_Daily!$A$6:$A$256,0))*($M982-$A982)/day_count_inr)/(1+INDEX(Market_Daily!$J$6:$J$256,MATCH($A982,Market_Daily!$A$6:$A$256,0))*($M982-$A982)/day_count_usd)))))</f>
        <v/>
      </c>
      <c r="AM982" s="8">
        <f>IF(OR($J982="INR",$R982&gt;1),"",$AL982-$X982)</f>
        <v/>
      </c>
      <c r="AN982" s="8">
        <f>$U982</f>
        <v/>
      </c>
      <c r="AO982" s="8">
        <f>$AN982*IF($J982="INR",1,$AL982)</f>
        <v/>
      </c>
      <c r="AP982" s="18">
        <f>$AO982-$V982</f>
        <v/>
      </c>
      <c r="AQ982" s="8">
        <f>IF(ABS($AP982)&lt;=tol_trade_inr,"PASS","FAIL")</f>
        <v/>
      </c>
    </row>
    <row r="983">
      <c r="A983" s="11" t="n">
        <v>44720</v>
      </c>
      <c r="B983" s="7" t="inlineStr">
        <is>
          <t>T08</t>
        </is>
      </c>
      <c r="C983" s="7" t="inlineStr">
        <is>
          <t>PURCHASE:L1</t>
        </is>
      </c>
      <c r="D983" s="7" t="inlineStr">
        <is>
          <t>PURCHASE</t>
        </is>
      </c>
      <c r="E983" s="7" t="inlineStr">
        <is>
          <t>physical</t>
        </is>
      </c>
      <c r="F983" s="7" t="inlineStr">
        <is>
          <t>L1</t>
        </is>
      </c>
      <c r="G983" s="7" t="inlineStr">
        <is>
          <t>SUP_USEC_02</t>
        </is>
      </c>
      <c r="H983" s="7" t="inlineStr">
        <is>
          <t>tense</t>
        </is>
      </c>
      <c r="I983" s="7" t="inlineStr">
        <is>
          <t>USEC_MUN</t>
        </is>
      </c>
      <c r="J983" s="7" t="inlineStr">
        <is>
          <t>USD</t>
        </is>
      </c>
      <c r="K983" s="7" t="inlineStr">
        <is>
          <t>floating</t>
        </is>
      </c>
      <c r="L983" s="7" t="inlineStr">
        <is>
          <t>PNL</t>
        </is>
      </c>
      <c r="M983" s="11" t="n">
        <v>44778</v>
      </c>
      <c r="N983" s="13" t="n">
        <v>1680</v>
      </c>
      <c r="O983" s="6" t="n">
        <v>0</v>
      </c>
      <c r="P983" s="13" t="n">
        <v>0</v>
      </c>
      <c r="Q983" s="22" t="n">
        <v>30</v>
      </c>
      <c r="R983" s="6" t="n">
        <v>2</v>
      </c>
      <c r="U983" s="9" t="n">
        <v>-1825364.29</v>
      </c>
      <c r="V983" s="9" t="n">
        <v>-142128030.54</v>
      </c>
      <c r="X983" s="9" t="n">
        <v>78.1507</v>
      </c>
      <c r="AK983" s="7" t="inlineStr">
        <is>
          <t>PYTHON_MULTI_FLOW_LEG</t>
        </is>
      </c>
      <c r="AL983" s="8">
        <f>IF($J983="INR",1,IF($M983&lt;$A983,INDEX(Market_Daily!$F$6:$F$256,MATCH($M983,Market_Daily!$A$6:$A$256,1)),IF($M983=$A983,INDEX(Market_Daily!$F$6:$F$256,MATCH($A983,Market_Daily!$A$6:$A$256,0)),(INDEX(Market_Daily!$F$6:$F$256,MATCH($A983,Market_Daily!$A$6:$A$256,0))*(1+INDEX(Market_Daily!$I$6:$I$256,MATCH($A983,Market_Daily!$A$6:$A$256,0))*($M983-$A983)/day_count_inr)/(1+INDEX(Market_Daily!$J$6:$J$256,MATCH($A983,Market_Daily!$A$6:$A$256,0))*($M983-$A983)/day_count_usd)))))</f>
        <v/>
      </c>
      <c r="AM983" s="8">
        <f>IF(OR($J983="INR",$R983&gt;1),"",$AL983-$X983)</f>
        <v/>
      </c>
      <c r="AN983" s="8">
        <f>$U983</f>
        <v/>
      </c>
      <c r="AO983" s="8">
        <f>$V983</f>
        <v/>
      </c>
      <c r="AP983" s="18">
        <f>$AO983-$V983</f>
        <v/>
      </c>
      <c r="AQ983" s="8">
        <f>IF(ABS($AP983)&lt;=tol_trade_inr,"PASS","FAIL")</f>
        <v/>
      </c>
    </row>
    <row r="984">
      <c r="A984" s="11" t="n">
        <v>44720</v>
      </c>
      <c r="B984" s="7" t="inlineStr">
        <is>
          <t>T08</t>
        </is>
      </c>
      <c r="C984" s="7" t="inlineStr">
        <is>
          <t>PURCHASE:L2</t>
        </is>
      </c>
      <c r="D984" s="7" t="inlineStr">
        <is>
          <t>PURCHASE</t>
        </is>
      </c>
      <c r="E984" s="7" t="inlineStr">
        <is>
          <t>physical</t>
        </is>
      </c>
      <c r="F984" s="7" t="inlineStr">
        <is>
          <t>L2</t>
        </is>
      </c>
      <c r="G984" s="7" t="inlineStr">
        <is>
          <t>SUP_USEC_02</t>
        </is>
      </c>
      <c r="H984" s="7" t="inlineStr">
        <is>
          <t>tense</t>
        </is>
      </c>
      <c r="I984" s="7" t="inlineStr">
        <is>
          <t>USEC_MUN</t>
        </is>
      </c>
      <c r="J984" s="7" t="inlineStr">
        <is>
          <t>USD</t>
        </is>
      </c>
      <c r="K984" s="7" t="inlineStr">
        <is>
          <t>floating</t>
        </is>
      </c>
      <c r="L984" s="7" t="inlineStr">
        <is>
          <t>PNL</t>
        </is>
      </c>
      <c r="M984" s="11" t="n">
        <v>44782</v>
      </c>
      <c r="N984" s="13" t="n">
        <v>1680</v>
      </c>
      <c r="O984" s="6" t="n">
        <v>0</v>
      </c>
      <c r="P984" s="13" t="n">
        <v>0</v>
      </c>
      <c r="Q984" s="22" t="n">
        <v>30</v>
      </c>
      <c r="R984" s="6" t="n">
        <v>2</v>
      </c>
      <c r="U984" s="9" t="n">
        <v>-1825364.29</v>
      </c>
      <c r="V984" s="9" t="n">
        <v>-142230286.65</v>
      </c>
      <c r="X984" s="9" t="n">
        <v>78.1835</v>
      </c>
      <c r="AK984" s="7" t="inlineStr">
        <is>
          <t>PYTHON_MULTI_FLOW_LEG</t>
        </is>
      </c>
      <c r="AL984" s="8">
        <f>IF($J984="INR",1,IF($M984&lt;$A984,INDEX(Market_Daily!$F$6:$F$256,MATCH($M984,Market_Daily!$A$6:$A$256,1)),IF($M984=$A984,INDEX(Market_Daily!$F$6:$F$256,MATCH($A984,Market_Daily!$A$6:$A$256,0)),(INDEX(Market_Daily!$F$6:$F$256,MATCH($A984,Market_Daily!$A$6:$A$256,0))*(1+INDEX(Market_Daily!$I$6:$I$256,MATCH($A984,Market_Daily!$A$6:$A$256,0))*($M984-$A984)/day_count_inr)/(1+INDEX(Market_Daily!$J$6:$J$256,MATCH($A984,Market_Daily!$A$6:$A$256,0))*($M984-$A984)/day_count_usd)))))</f>
        <v/>
      </c>
      <c r="AM984" s="8">
        <f>IF(OR($J984="INR",$R984&gt;1),"",$AL984-$X984)</f>
        <v/>
      </c>
      <c r="AN984" s="8">
        <f>$U984</f>
        <v/>
      </c>
      <c r="AO984" s="8">
        <f>$V984</f>
        <v/>
      </c>
      <c r="AP984" s="18">
        <f>$AO984-$V984</f>
        <v/>
      </c>
      <c r="AQ984" s="8">
        <f>IF(ABS($AP984)&lt;=tol_trade_inr,"PASS","FAIL")</f>
        <v/>
      </c>
    </row>
    <row r="985">
      <c r="A985" s="11" t="n">
        <v>44742</v>
      </c>
      <c r="B985" s="7" t="inlineStr">
        <is>
          <t>T01</t>
        </is>
      </c>
      <c r="C985" s="7" t="inlineStr">
        <is>
          <t>IGST:L3</t>
        </is>
      </c>
      <c r="D985" s="7" t="inlineStr">
        <is>
          <t>IGST</t>
        </is>
      </c>
      <c r="E985" s="7" t="inlineStr">
        <is>
          <t>physical</t>
        </is>
      </c>
      <c r="F985" s="7" t="inlineStr">
        <is>
          <t>L3</t>
        </is>
      </c>
      <c r="H985" s="7" t="inlineStr">
        <is>
          <t>zorba</t>
        </is>
      </c>
      <c r="I985" s="7" t="inlineStr">
        <is>
          <t>USEC_MUN</t>
        </is>
      </c>
      <c r="J985" s="7" t="inlineStr">
        <is>
          <t>INR</t>
        </is>
      </c>
      <c r="K985" s="7" t="inlineStr">
        <is>
          <t>fixed_unsettled</t>
        </is>
      </c>
      <c r="L985" s="7" t="inlineStr">
        <is>
          <t>BS</t>
        </is>
      </c>
      <c r="M985" s="11" t="n">
        <v>44746</v>
      </c>
      <c r="N985" s="13" t="n">
        <v>0</v>
      </c>
      <c r="O985" s="6" t="n">
        <v>0</v>
      </c>
      <c r="P985" s="13" t="n">
        <v>0</v>
      </c>
      <c r="Q985" s="22" t="n">
        <v>30</v>
      </c>
      <c r="R985" s="6" t="n">
        <v>2</v>
      </c>
      <c r="U985" s="9" t="n">
        <v>0</v>
      </c>
      <c r="V985" s="9" t="n">
        <v>0</v>
      </c>
      <c r="X985" s="9" t="n">
        <v>79.0536</v>
      </c>
      <c r="AK985" s="7" t="inlineStr">
        <is>
          <t>PYTHON_MULTI_FLOW_LEG</t>
        </is>
      </c>
      <c r="AL985" s="8">
        <f>IF($J985="INR",1,IF($M985&lt;$A985,INDEX(Market_Daily!$F$6:$F$256,MATCH($M985,Market_Daily!$A$6:$A$256,1)),IF($M985=$A985,INDEX(Market_Daily!$F$6:$F$256,MATCH($A985,Market_Daily!$A$6:$A$256,0)),(INDEX(Market_Daily!$F$6:$F$256,MATCH($A985,Market_Daily!$A$6:$A$256,0))*(1+INDEX(Market_Daily!$I$6:$I$256,MATCH($A985,Market_Daily!$A$6:$A$256,0))*($M985-$A985)/day_count_inr)/(1+INDEX(Market_Daily!$J$6:$J$256,MATCH($A985,Market_Daily!$A$6:$A$256,0))*($M985-$A985)/day_count_usd)))))</f>
        <v/>
      </c>
      <c r="AM985" s="8">
        <f>IF(OR($J985="INR",$R985&gt;1),"",$AL985-$X985)</f>
        <v/>
      </c>
      <c r="AN985" s="8">
        <f>$U985</f>
        <v/>
      </c>
      <c r="AO985" s="8">
        <f>$V985</f>
        <v/>
      </c>
      <c r="AP985" s="18">
        <f>$AO985-$V985</f>
        <v/>
      </c>
      <c r="AQ985" s="8">
        <f>IF(ABS($AP985)&lt;=tol_trade_inr,"PASS","FAIL")</f>
        <v/>
      </c>
    </row>
    <row r="986">
      <c r="A986" s="11" t="n">
        <v>44742</v>
      </c>
      <c r="B986" s="7" t="inlineStr">
        <is>
          <t>T02</t>
        </is>
      </c>
      <c r="C986" s="7" t="inlineStr">
        <is>
          <t>BILL_COMMISSION:L1</t>
        </is>
      </c>
      <c r="D986" s="7" t="inlineStr">
        <is>
          <t>BILL_COMMISSION</t>
        </is>
      </c>
      <c r="E986" s="7" t="inlineStr">
        <is>
          <t>physical</t>
        </is>
      </c>
      <c r="F986" s="7" t="inlineStr">
        <is>
          <t>L1</t>
        </is>
      </c>
      <c r="H986" s="7" t="inlineStr">
        <is>
          <t>tense</t>
        </is>
      </c>
      <c r="I986" s="7" t="inlineStr">
        <is>
          <t>JEA_NSA</t>
        </is>
      </c>
      <c r="J986" s="7" t="inlineStr">
        <is>
          <t>USD</t>
        </is>
      </c>
      <c r="K986" s="7" t="inlineStr">
        <is>
          <t>floating</t>
        </is>
      </c>
      <c r="L986" s="7" t="inlineStr">
        <is>
          <t>PNL</t>
        </is>
      </c>
      <c r="M986" s="11" t="n">
        <v>44746</v>
      </c>
      <c r="N986" s="13" t="n">
        <v>0</v>
      </c>
      <c r="O986" s="6" t="n">
        <v>0</v>
      </c>
      <c r="P986" s="13" t="n">
        <v>0</v>
      </c>
      <c r="Q986" s="22" t="n">
        <v>30</v>
      </c>
      <c r="R986" s="6" t="n">
        <v>1</v>
      </c>
      <c r="U986" s="9" t="n">
        <v>-1490.28</v>
      </c>
      <c r="V986" s="9" t="n">
        <v>-117856.44</v>
      </c>
      <c r="X986" s="9" t="n">
        <v>79.0835</v>
      </c>
      <c r="AK986" s="7" t="inlineStr">
        <is>
          <t>PYTHON_LIFECYCLE</t>
        </is>
      </c>
      <c r="AL986" s="8">
        <f>IF($J986="INR",1,IF($M986&lt;$A986,INDEX(Market_Daily!$F$6:$F$256,MATCH($M986,Market_Daily!$A$6:$A$256,1)),IF($M986=$A986,INDEX(Market_Daily!$F$6:$F$256,MATCH($A986,Market_Daily!$A$6:$A$256,0)),(INDEX(Market_Daily!$F$6:$F$256,MATCH($A986,Market_Daily!$A$6:$A$256,0))*(1+INDEX(Market_Daily!$I$6:$I$256,MATCH($A986,Market_Daily!$A$6:$A$256,0))*($M986-$A986)/day_count_inr)/(1+INDEX(Market_Daily!$J$6:$J$256,MATCH($A986,Market_Daily!$A$6:$A$256,0))*($M986-$A986)/day_count_usd)))))</f>
        <v/>
      </c>
      <c r="AM986" s="8">
        <f>IF(OR($J986="INR",$R986&gt;1),"",$AL986-$X986)</f>
        <v/>
      </c>
      <c r="AN986" s="8">
        <f>$U986</f>
        <v/>
      </c>
      <c r="AO986" s="8">
        <f>$AN986*IF($J986="INR",1,$AL986)</f>
        <v/>
      </c>
      <c r="AP986" s="18">
        <f>$AO986-$V986</f>
        <v/>
      </c>
      <c r="AQ986" s="8">
        <f>IF(ABS($AP986)&lt;=tol_trade_inr,"PASS","FAIL")</f>
        <v/>
      </c>
    </row>
    <row r="987">
      <c r="A987" s="11" t="n">
        <v>44742</v>
      </c>
      <c r="B987" s="7" t="inlineStr">
        <is>
          <t>T02</t>
        </is>
      </c>
      <c r="C987" s="7" t="inlineStr">
        <is>
          <t>BILL_COMMISSION:L2</t>
        </is>
      </c>
      <c r="D987" s="7" t="inlineStr">
        <is>
          <t>BILL_COMMISSION</t>
        </is>
      </c>
      <c r="E987" s="7" t="inlineStr">
        <is>
          <t>physical</t>
        </is>
      </c>
      <c r="F987" s="7" t="inlineStr">
        <is>
          <t>L2</t>
        </is>
      </c>
      <c r="H987" s="7" t="inlineStr">
        <is>
          <t>tense</t>
        </is>
      </c>
      <c r="I987" s="7" t="inlineStr">
        <is>
          <t>JEA_NSA</t>
        </is>
      </c>
      <c r="J987" s="7" t="inlineStr">
        <is>
          <t>USD</t>
        </is>
      </c>
      <c r="K987" s="7" t="inlineStr">
        <is>
          <t>floating</t>
        </is>
      </c>
      <c r="L987" s="7" t="inlineStr">
        <is>
          <t>PNL</t>
        </is>
      </c>
      <c r="M987" s="11" t="n">
        <v>44754</v>
      </c>
      <c r="N987" s="13" t="n">
        <v>0</v>
      </c>
      <c r="O987" s="6" t="n">
        <v>0</v>
      </c>
      <c r="P987" s="13" t="n">
        <v>0</v>
      </c>
      <c r="Q987" s="22" t="n">
        <v>30</v>
      </c>
      <c r="R987" s="6" t="n">
        <v>1</v>
      </c>
      <c r="U987" s="9" t="n">
        <v>-1399.51</v>
      </c>
      <c r="V987" s="9" t="n">
        <v>-110761.69</v>
      </c>
      <c r="X987" s="9" t="n">
        <v>79.14319999999999</v>
      </c>
      <c r="AK987" s="7" t="inlineStr">
        <is>
          <t>PYTHON_LIFECYCLE</t>
        </is>
      </c>
      <c r="AL987" s="8">
        <f>IF($J987="INR",1,IF($M987&lt;$A987,INDEX(Market_Daily!$F$6:$F$256,MATCH($M987,Market_Daily!$A$6:$A$256,1)),IF($M987=$A987,INDEX(Market_Daily!$F$6:$F$256,MATCH($A987,Market_Daily!$A$6:$A$256,0)),(INDEX(Market_Daily!$F$6:$F$256,MATCH($A987,Market_Daily!$A$6:$A$256,0))*(1+INDEX(Market_Daily!$I$6:$I$256,MATCH($A987,Market_Daily!$A$6:$A$256,0))*($M987-$A987)/day_count_inr)/(1+INDEX(Market_Daily!$J$6:$J$256,MATCH($A987,Market_Daily!$A$6:$A$256,0))*($M987-$A987)/day_count_usd)))))</f>
        <v/>
      </c>
      <c r="AM987" s="8">
        <f>IF(OR($J987="INR",$R987&gt;1),"",$AL987-$X987)</f>
        <v/>
      </c>
      <c r="AN987" s="8">
        <f>$U987</f>
        <v/>
      </c>
      <c r="AO987" s="8">
        <f>$AN987*IF($J987="INR",1,$AL987)</f>
        <v/>
      </c>
      <c r="AP987" s="18">
        <f>$AO987-$V987</f>
        <v/>
      </c>
      <c r="AQ987" s="8">
        <f>IF(ABS($AP987)&lt;=tol_trade_inr,"PASS","FAIL")</f>
        <v/>
      </c>
    </row>
    <row r="988">
      <c r="A988" s="11" t="n">
        <v>44742</v>
      </c>
      <c r="B988" s="7" t="inlineStr">
        <is>
          <t>T02</t>
        </is>
      </c>
      <c r="C988" s="7" t="inlineStr">
        <is>
          <t>FX:T02-FX-1</t>
        </is>
      </c>
      <c r="D988" s="7" t="inlineStr">
        <is>
          <t>FX</t>
        </is>
      </c>
      <c r="E988" s="7" t="inlineStr">
        <is>
          <t>fx_forward</t>
        </is>
      </c>
      <c r="H988" s="7" t="inlineStr">
        <is>
          <t>tense</t>
        </is>
      </c>
      <c r="I988" s="7" t="inlineStr">
        <is>
          <t>JEA_NSA</t>
        </is>
      </c>
      <c r="J988" s="7" t="inlineStr">
        <is>
          <t>INR</t>
        </is>
      </c>
      <c r="K988" s="7" t="inlineStr">
        <is>
          <t>floating</t>
        </is>
      </c>
      <c r="L988" s="7" t="inlineStr">
        <is>
          <t>PNL</t>
        </is>
      </c>
      <c r="M988" s="11" t="n">
        <v>44746</v>
      </c>
      <c r="N988" s="13" t="n">
        <v>0</v>
      </c>
      <c r="O988" s="6" t="n">
        <v>0</v>
      </c>
      <c r="P988" s="13" t="n">
        <v>1241900</v>
      </c>
      <c r="Q988" s="22" t="n">
        <v>30</v>
      </c>
      <c r="R988" s="6" t="n">
        <v>1</v>
      </c>
      <c r="S988" s="12" t="n">
        <v>44746</v>
      </c>
      <c r="T988" s="21" t="n">
        <v>76.040598</v>
      </c>
      <c r="U988" s="9" t="n">
        <v>3778969.53</v>
      </c>
      <c r="V988" s="9" t="n">
        <v>3778969.53</v>
      </c>
      <c r="X988" s="9" t="n">
        <v>79.0536</v>
      </c>
      <c r="AK988" s="7" t="inlineStr">
        <is>
          <t>DERIVED_IN_WORKBOOK</t>
        </is>
      </c>
      <c r="AL988" s="8">
        <f>IF($J988="INR",1,IF($M988&lt;$A988,INDEX(Market_Daily!$F$6:$F$256,MATCH($M988,Market_Daily!$A$6:$A$256,1)),IF($M988=$A988,INDEX(Market_Daily!$F$6:$F$256,MATCH($A988,Market_Daily!$A$6:$A$256,0)),(INDEX(Market_Daily!$F$6:$F$256,MATCH($A988,Market_Daily!$A$6:$A$256,0))*(1+INDEX(Market_Daily!$I$6:$I$256,MATCH($A988,Market_Daily!$A$6:$A$256,0))*($M988-$A988)/day_count_inr)/(1+INDEX(Market_Daily!$J$6:$J$256,MATCH($A988,Market_Daily!$A$6:$A$256,0))*($M988-$A988)/day_count_usd)))))</f>
        <v/>
      </c>
      <c r="AM988" s="8">
        <f>IF(OR($J988="INR",$R988&gt;1),"",$AL988-$X988)</f>
        <v/>
      </c>
      <c r="AN988" s="8">
        <f>$P988*(IF($S988&lt;$A988,INDEX(Market_Daily!$F$6:$F$256,MATCH($S988,Market_Daily!$A$6:$A$256,1)),IF($S988=$A988,INDEX(Market_Daily!$F$6:$F$256,MATCH($A988,Market_Daily!$A$6:$A$256,0)),(INDEX(Market_Daily!$F$6:$F$256,MATCH($A988,Market_Daily!$A$6:$A$256,0))*(1+INDEX(Market_Daily!$I$6:$I$256,MATCH($A988,Market_Daily!$A$6:$A$256,0))*($S988-$A988)/day_count_inr)/(1+INDEX(Market_Daily!$J$6:$J$256,MATCH($A988,Market_Daily!$A$6:$A$256,0))*($S988-$A988)/day_count_usd))))-$T988)</f>
        <v/>
      </c>
      <c r="AO988" s="8">
        <f>$AN988</f>
        <v/>
      </c>
      <c r="AP988" s="18">
        <f>$AO988-$V988</f>
        <v/>
      </c>
      <c r="AQ988" s="8">
        <f>IF(ABS($AP988)&lt;=tol_trade_inr,"PASS","FAIL")</f>
        <v/>
      </c>
    </row>
    <row r="989">
      <c r="A989" s="11" t="n">
        <v>44742</v>
      </c>
      <c r="B989" s="7" t="inlineStr">
        <is>
          <t>T02</t>
        </is>
      </c>
      <c r="C989" s="7" t="inlineStr">
        <is>
          <t>FX:T02-FX-2</t>
        </is>
      </c>
      <c r="D989" s="7" t="inlineStr">
        <is>
          <t>FX</t>
        </is>
      </c>
      <c r="E989" s="7" t="inlineStr">
        <is>
          <t>fx_forward</t>
        </is>
      </c>
      <c r="H989" s="7" t="inlineStr">
        <is>
          <t>tense</t>
        </is>
      </c>
      <c r="I989" s="7" t="inlineStr">
        <is>
          <t>JEA_NSA</t>
        </is>
      </c>
      <c r="J989" s="7" t="inlineStr">
        <is>
          <t>INR</t>
        </is>
      </c>
      <c r="K989" s="7" t="inlineStr">
        <is>
          <t>floating</t>
        </is>
      </c>
      <c r="L989" s="7" t="inlineStr">
        <is>
          <t>PNL</t>
        </is>
      </c>
      <c r="M989" s="11" t="n">
        <v>44754</v>
      </c>
      <c r="N989" s="13" t="n">
        <v>0</v>
      </c>
      <c r="O989" s="6" t="n">
        <v>0</v>
      </c>
      <c r="P989" s="13" t="n">
        <v>1166000</v>
      </c>
      <c r="Q989" s="22" t="n">
        <v>30</v>
      </c>
      <c r="R989" s="6" t="n">
        <v>1</v>
      </c>
      <c r="S989" s="12" t="n">
        <v>44754</v>
      </c>
      <c r="T989" s="21" t="n">
        <v>76.878636</v>
      </c>
      <c r="U989" s="9" t="n">
        <v>2640529.13</v>
      </c>
      <c r="V989" s="9" t="n">
        <v>2640529.13</v>
      </c>
      <c r="X989" s="9" t="n">
        <v>79.0536</v>
      </c>
      <c r="AK989" s="7" t="inlineStr">
        <is>
          <t>DERIVED_IN_WORKBOOK</t>
        </is>
      </c>
      <c r="AL989" s="8">
        <f>IF($J989="INR",1,IF($M989&lt;$A989,INDEX(Market_Daily!$F$6:$F$256,MATCH($M989,Market_Daily!$A$6:$A$256,1)),IF($M989=$A989,INDEX(Market_Daily!$F$6:$F$256,MATCH($A989,Market_Daily!$A$6:$A$256,0)),(INDEX(Market_Daily!$F$6:$F$256,MATCH($A989,Market_Daily!$A$6:$A$256,0))*(1+INDEX(Market_Daily!$I$6:$I$256,MATCH($A989,Market_Daily!$A$6:$A$256,0))*($M989-$A989)/day_count_inr)/(1+INDEX(Market_Daily!$J$6:$J$256,MATCH($A989,Market_Daily!$A$6:$A$256,0))*($M989-$A989)/day_count_usd)))))</f>
        <v/>
      </c>
      <c r="AM989" s="8">
        <f>IF(OR($J989="INR",$R989&gt;1),"",$AL989-$X989)</f>
        <v/>
      </c>
      <c r="AN989" s="8">
        <f>$P989*(IF($S989&lt;$A989,INDEX(Market_Daily!$F$6:$F$256,MATCH($S989,Market_Daily!$A$6:$A$256,1)),IF($S989=$A989,INDEX(Market_Daily!$F$6:$F$256,MATCH($A989,Market_Daily!$A$6:$A$256,0)),(INDEX(Market_Daily!$F$6:$F$256,MATCH($A989,Market_Daily!$A$6:$A$256,0))*(1+INDEX(Market_Daily!$I$6:$I$256,MATCH($A989,Market_Daily!$A$6:$A$256,0))*($S989-$A989)/day_count_inr)/(1+INDEX(Market_Daily!$J$6:$J$256,MATCH($A989,Market_Daily!$A$6:$A$256,0))*($S989-$A989)/day_count_usd))))-$T989)</f>
        <v/>
      </c>
      <c r="AO989" s="8">
        <f>$AN989</f>
        <v/>
      </c>
      <c r="AP989" s="18">
        <f>$AO989-$V989</f>
        <v/>
      </c>
      <c r="AQ989" s="8">
        <f>IF(ABS($AP989)&lt;=tol_trade_inr,"PASS","FAIL")</f>
        <v/>
      </c>
    </row>
    <row r="990">
      <c r="A990" s="11" t="n">
        <v>44742</v>
      </c>
      <c r="B990" s="7" t="inlineStr">
        <is>
          <t>T02</t>
        </is>
      </c>
      <c r="C990" s="7" t="inlineStr">
        <is>
          <t>FX:T02-FX-3</t>
        </is>
      </c>
      <c r="D990" s="7" t="inlineStr">
        <is>
          <t>FX</t>
        </is>
      </c>
      <c r="E990" s="7" t="inlineStr">
        <is>
          <t>fx_forward</t>
        </is>
      </c>
      <c r="H990" s="7" t="inlineStr">
        <is>
          <t>tense</t>
        </is>
      </c>
      <c r="I990" s="7" t="inlineStr">
        <is>
          <t>JEA_NSA</t>
        </is>
      </c>
      <c r="J990" s="7" t="inlineStr">
        <is>
          <t>INR</t>
        </is>
      </c>
      <c r="K990" s="7" t="inlineStr">
        <is>
          <t>floating</t>
        </is>
      </c>
      <c r="L990" s="7" t="inlineStr">
        <is>
          <t>PNL</t>
        </is>
      </c>
      <c r="M990" s="11" t="n">
        <v>44746</v>
      </c>
      <c r="N990" s="13" t="n">
        <v>0</v>
      </c>
      <c r="O990" s="6" t="n">
        <v>0</v>
      </c>
      <c r="P990" s="13" t="n">
        <v>-240000</v>
      </c>
      <c r="Q990" s="22" t="n">
        <v>30</v>
      </c>
      <c r="R990" s="6" t="n">
        <v>1</v>
      </c>
      <c r="S990" s="12" t="n">
        <v>44746</v>
      </c>
      <c r="T990" s="21" t="n">
        <v>77.675946</v>
      </c>
      <c r="U990" s="9" t="n">
        <v>-337810.8</v>
      </c>
      <c r="V990" s="9" t="n">
        <v>-337810.8</v>
      </c>
      <c r="X990" s="9" t="n">
        <v>79.0536</v>
      </c>
      <c r="AK990" s="7" t="inlineStr">
        <is>
          <t>DERIVED_IN_WORKBOOK</t>
        </is>
      </c>
      <c r="AL990" s="8">
        <f>IF($J990="INR",1,IF($M990&lt;$A990,INDEX(Market_Daily!$F$6:$F$256,MATCH($M990,Market_Daily!$A$6:$A$256,1)),IF($M990=$A990,INDEX(Market_Daily!$F$6:$F$256,MATCH($A990,Market_Daily!$A$6:$A$256,0)),(INDEX(Market_Daily!$F$6:$F$256,MATCH($A990,Market_Daily!$A$6:$A$256,0))*(1+INDEX(Market_Daily!$I$6:$I$256,MATCH($A990,Market_Daily!$A$6:$A$256,0))*($M990-$A990)/day_count_inr)/(1+INDEX(Market_Daily!$J$6:$J$256,MATCH($A990,Market_Daily!$A$6:$A$256,0))*($M990-$A990)/day_count_usd)))))</f>
        <v/>
      </c>
      <c r="AM990" s="8">
        <f>IF(OR($J990="INR",$R990&gt;1),"",$AL990-$X990)</f>
        <v/>
      </c>
      <c r="AN990" s="8">
        <f>$P990*(IF($S990&lt;$A990,INDEX(Market_Daily!$F$6:$F$256,MATCH($S990,Market_Daily!$A$6:$A$256,1)),IF($S990=$A990,INDEX(Market_Daily!$F$6:$F$256,MATCH($A990,Market_Daily!$A$6:$A$256,0)),(INDEX(Market_Daily!$F$6:$F$256,MATCH($A990,Market_Daily!$A$6:$A$256,0))*(1+INDEX(Market_Daily!$I$6:$I$256,MATCH($A990,Market_Daily!$A$6:$A$256,0))*($S990-$A990)/day_count_inr)/(1+INDEX(Market_Daily!$J$6:$J$256,MATCH($A990,Market_Daily!$A$6:$A$256,0))*($S990-$A990)/day_count_usd))))-$T990)</f>
        <v/>
      </c>
      <c r="AO990" s="8">
        <f>$AN990</f>
        <v/>
      </c>
      <c r="AP990" s="18">
        <f>$AO990-$V990</f>
        <v/>
      </c>
      <c r="AQ990" s="8">
        <f>IF(ABS($AP990)&lt;=tol_trade_inr,"PASS","FAIL")</f>
        <v/>
      </c>
    </row>
    <row r="991">
      <c r="A991" s="11" t="n">
        <v>44742</v>
      </c>
      <c r="B991" s="7" t="inlineStr">
        <is>
          <t>T02</t>
        </is>
      </c>
      <c r="C991" s="7" t="inlineStr">
        <is>
          <t>PURCHASE:L1</t>
        </is>
      </c>
      <c r="D991" s="7" t="inlineStr">
        <is>
          <t>PURCHASE</t>
        </is>
      </c>
      <c r="E991" s="7" t="inlineStr">
        <is>
          <t>physical</t>
        </is>
      </c>
      <c r="F991" s="7" t="inlineStr">
        <is>
          <t>L1</t>
        </is>
      </c>
      <c r="G991" s="7" t="inlineStr">
        <is>
          <t>SUP_JEA_01</t>
        </is>
      </c>
      <c r="H991" s="7" t="inlineStr">
        <is>
          <t>tense</t>
        </is>
      </c>
      <c r="I991" s="7" t="inlineStr">
        <is>
          <t>JEA_NSA</t>
        </is>
      </c>
      <c r="J991" s="7" t="inlineStr">
        <is>
          <t>USD</t>
        </is>
      </c>
      <c r="K991" s="7" t="inlineStr">
        <is>
          <t>fixed_unsettled</t>
        </is>
      </c>
      <c r="L991" s="7" t="inlineStr">
        <is>
          <t>PNL</t>
        </is>
      </c>
      <c r="M991" s="11" t="n">
        <v>44746</v>
      </c>
      <c r="N991" s="13" t="n">
        <v>1200</v>
      </c>
      <c r="O991" s="6" t="n">
        <v>0</v>
      </c>
      <c r="P991" s="13" t="n">
        <v>0</v>
      </c>
      <c r="Q991" s="22" t="n">
        <v>30</v>
      </c>
      <c r="R991" s="6" t="n">
        <v>2</v>
      </c>
      <c r="U991" s="9" t="n">
        <v>-1241898.9</v>
      </c>
      <c r="V991" s="9" t="n">
        <v>-98213701.04000001</v>
      </c>
      <c r="X991" s="9" t="n">
        <v>79.0835</v>
      </c>
      <c r="AK991" s="7" t="inlineStr">
        <is>
          <t>PYTHON_MULTI_FLOW_LEG</t>
        </is>
      </c>
      <c r="AL991" s="8">
        <f>IF($J991="INR",1,IF($M991&lt;$A991,INDEX(Market_Daily!$F$6:$F$256,MATCH($M991,Market_Daily!$A$6:$A$256,1)),IF($M991=$A991,INDEX(Market_Daily!$F$6:$F$256,MATCH($A991,Market_Daily!$A$6:$A$256,0)),(INDEX(Market_Daily!$F$6:$F$256,MATCH($A991,Market_Daily!$A$6:$A$256,0))*(1+INDEX(Market_Daily!$I$6:$I$256,MATCH($A991,Market_Daily!$A$6:$A$256,0))*($M991-$A991)/day_count_inr)/(1+INDEX(Market_Daily!$J$6:$J$256,MATCH($A991,Market_Daily!$A$6:$A$256,0))*($M991-$A991)/day_count_usd)))))</f>
        <v/>
      </c>
      <c r="AM991" s="8">
        <f>IF(OR($J991="INR",$R991&gt;1),"",$AL991-$X991)</f>
        <v/>
      </c>
      <c r="AN991" s="8">
        <f>$U991</f>
        <v/>
      </c>
      <c r="AO991" s="8">
        <f>$V991</f>
        <v/>
      </c>
      <c r="AP991" s="18">
        <f>$AO991-$V991</f>
        <v/>
      </c>
      <c r="AQ991" s="8">
        <f>IF(ABS($AP991)&lt;=tol_trade_inr,"PASS","FAIL")</f>
        <v/>
      </c>
    </row>
    <row r="992">
      <c r="A992" s="11" t="n">
        <v>44742</v>
      </c>
      <c r="B992" s="7" t="inlineStr">
        <is>
          <t>T02</t>
        </is>
      </c>
      <c r="C992" s="7" t="inlineStr">
        <is>
          <t>PURCHASE:L2</t>
        </is>
      </c>
      <c r="D992" s="7" t="inlineStr">
        <is>
          <t>PURCHASE</t>
        </is>
      </c>
      <c r="E992" s="7" t="inlineStr">
        <is>
          <t>physical</t>
        </is>
      </c>
      <c r="F992" s="7" t="inlineStr">
        <is>
          <t>L2</t>
        </is>
      </c>
      <c r="G992" s="7" t="inlineStr">
        <is>
          <t>SUP_JEA_01</t>
        </is>
      </c>
      <c r="H992" s="7" t="inlineStr">
        <is>
          <t>tense</t>
        </is>
      </c>
      <c r="I992" s="7" t="inlineStr">
        <is>
          <t>JEA_NSA</t>
        </is>
      </c>
      <c r="J992" s="7" t="inlineStr">
        <is>
          <t>USD</t>
        </is>
      </c>
      <c r="K992" s="7" t="inlineStr">
        <is>
          <t>fixed_unsettled</t>
        </is>
      </c>
      <c r="L992" s="7" t="inlineStr">
        <is>
          <t>PNL</t>
        </is>
      </c>
      <c r="M992" s="11" t="n">
        <v>44754</v>
      </c>
      <c r="N992" s="13" t="n">
        <v>1200</v>
      </c>
      <c r="O992" s="6" t="n">
        <v>0</v>
      </c>
      <c r="P992" s="13" t="n">
        <v>0</v>
      </c>
      <c r="Q992" s="22" t="n">
        <v>30</v>
      </c>
      <c r="R992" s="6" t="n">
        <v>2</v>
      </c>
      <c r="U992" s="9" t="n">
        <v>-1166257.62</v>
      </c>
      <c r="V992" s="9" t="n">
        <v>-92301408.08</v>
      </c>
      <c r="X992" s="9" t="n">
        <v>79.14319999999999</v>
      </c>
      <c r="AK992" s="7" t="inlineStr">
        <is>
          <t>PYTHON_MULTI_FLOW_LEG</t>
        </is>
      </c>
      <c r="AL992" s="8">
        <f>IF($J992="INR",1,IF($M992&lt;$A992,INDEX(Market_Daily!$F$6:$F$256,MATCH($M992,Market_Daily!$A$6:$A$256,1)),IF($M992=$A992,INDEX(Market_Daily!$F$6:$F$256,MATCH($A992,Market_Daily!$A$6:$A$256,0)),(INDEX(Market_Daily!$F$6:$F$256,MATCH($A992,Market_Daily!$A$6:$A$256,0))*(1+INDEX(Market_Daily!$I$6:$I$256,MATCH($A992,Market_Daily!$A$6:$A$256,0))*($M992-$A992)/day_count_inr)/(1+INDEX(Market_Daily!$J$6:$J$256,MATCH($A992,Market_Daily!$A$6:$A$256,0))*($M992-$A992)/day_count_usd)))))</f>
        <v/>
      </c>
      <c r="AM992" s="8">
        <f>IF(OR($J992="INR",$R992&gt;1),"",$AL992-$X992)</f>
        <v/>
      </c>
      <c r="AN992" s="8">
        <f>$U992</f>
        <v/>
      </c>
      <c r="AO992" s="8">
        <f>$V992</f>
        <v/>
      </c>
      <c r="AP992" s="18">
        <f>$AO992-$V992</f>
        <v/>
      </c>
      <c r="AQ992" s="8">
        <f>IF(ABS($AP992)&lt;=tol_trade_inr,"PASS","FAIL")</f>
        <v/>
      </c>
    </row>
    <row r="993">
      <c r="A993" s="11" t="n">
        <v>44742</v>
      </c>
      <c r="B993" s="7" t="inlineStr">
        <is>
          <t>T02</t>
        </is>
      </c>
      <c r="C993" s="7" t="inlineStr">
        <is>
          <t>USANCE_INTEREST:L1</t>
        </is>
      </c>
      <c r="D993" s="7" t="inlineStr">
        <is>
          <t>USANCE_INTEREST</t>
        </is>
      </c>
      <c r="E993" s="7" t="inlineStr">
        <is>
          <t>physical</t>
        </is>
      </c>
      <c r="F993" s="7" t="inlineStr">
        <is>
          <t>L1</t>
        </is>
      </c>
      <c r="H993" s="7" t="inlineStr">
        <is>
          <t>tense</t>
        </is>
      </c>
      <c r="I993" s="7" t="inlineStr">
        <is>
          <t>JEA_NSA</t>
        </is>
      </c>
      <c r="J993" s="7" t="inlineStr">
        <is>
          <t>USD</t>
        </is>
      </c>
      <c r="K993" s="7" t="inlineStr">
        <is>
          <t>fixed_unsettled</t>
        </is>
      </c>
      <c r="L993" s="7" t="inlineStr">
        <is>
          <t>PNL</t>
        </is>
      </c>
      <c r="M993" s="11" t="n">
        <v>44746</v>
      </c>
      <c r="N993" s="13" t="n">
        <v>0</v>
      </c>
      <c r="O993" s="6" t="n">
        <v>0</v>
      </c>
      <c r="P993" s="13" t="n">
        <v>0</v>
      </c>
      <c r="Q993" s="22" t="n">
        <v>30</v>
      </c>
      <c r="R993" s="6" t="n">
        <v>1</v>
      </c>
      <c r="U993" s="9" t="n">
        <v>-6953.7</v>
      </c>
      <c r="V993" s="9" t="n">
        <v>-549923.0699999999</v>
      </c>
      <c r="X993" s="9" t="n">
        <v>79.0835</v>
      </c>
      <c r="AK993" s="7" t="inlineStr">
        <is>
          <t>PYTHON_LIFECYCLE</t>
        </is>
      </c>
      <c r="AL993" s="8">
        <f>IF($J993="INR",1,IF($M993&lt;$A993,INDEX(Market_Daily!$F$6:$F$256,MATCH($M993,Market_Daily!$A$6:$A$256,1)),IF($M993=$A993,INDEX(Market_Daily!$F$6:$F$256,MATCH($A993,Market_Daily!$A$6:$A$256,0)),(INDEX(Market_Daily!$F$6:$F$256,MATCH($A993,Market_Daily!$A$6:$A$256,0))*(1+INDEX(Market_Daily!$I$6:$I$256,MATCH($A993,Market_Daily!$A$6:$A$256,0))*($M993-$A993)/day_count_inr)/(1+INDEX(Market_Daily!$J$6:$J$256,MATCH($A993,Market_Daily!$A$6:$A$256,0))*($M993-$A993)/day_count_usd)))))</f>
        <v/>
      </c>
      <c r="AM993" s="8">
        <f>IF(OR($J993="INR",$R993&gt;1),"",$AL993-$X993)</f>
        <v/>
      </c>
      <c r="AN993" s="8">
        <f>$U993</f>
        <v/>
      </c>
      <c r="AO993" s="8">
        <f>$AN993*IF($J993="INR",1,$AL993)</f>
        <v/>
      </c>
      <c r="AP993" s="18">
        <f>$AO993-$V993</f>
        <v/>
      </c>
      <c r="AQ993" s="8">
        <f>IF(ABS($AP993)&lt;=tol_trade_inr,"PASS","FAIL")</f>
        <v/>
      </c>
    </row>
    <row r="994">
      <c r="A994" s="11" t="n">
        <v>44742</v>
      </c>
      <c r="B994" s="7" t="inlineStr">
        <is>
          <t>T02</t>
        </is>
      </c>
      <c r="C994" s="7" t="inlineStr">
        <is>
          <t>USANCE_INTEREST:L2</t>
        </is>
      </c>
      <c r="D994" s="7" t="inlineStr">
        <is>
          <t>USANCE_INTEREST</t>
        </is>
      </c>
      <c r="E994" s="7" t="inlineStr">
        <is>
          <t>physical</t>
        </is>
      </c>
      <c r="F994" s="7" t="inlineStr">
        <is>
          <t>L2</t>
        </is>
      </c>
      <c r="H994" s="7" t="inlineStr">
        <is>
          <t>tense</t>
        </is>
      </c>
      <c r="I994" s="7" t="inlineStr">
        <is>
          <t>JEA_NSA</t>
        </is>
      </c>
      <c r="J994" s="7" t="inlineStr">
        <is>
          <t>USD</t>
        </is>
      </c>
      <c r="K994" s="7" t="inlineStr">
        <is>
          <t>fixed_unsettled</t>
        </is>
      </c>
      <c r="L994" s="7" t="inlineStr">
        <is>
          <t>PNL</t>
        </is>
      </c>
      <c r="M994" s="11" t="n">
        <v>44754</v>
      </c>
      <c r="N994" s="13" t="n">
        <v>0</v>
      </c>
      <c r="O994" s="6" t="n">
        <v>0</v>
      </c>
      <c r="P994" s="13" t="n">
        <v>0</v>
      </c>
      <c r="Q994" s="22" t="n">
        <v>30</v>
      </c>
      <c r="R994" s="6" t="n">
        <v>1</v>
      </c>
      <c r="U994" s="9" t="n">
        <v>-6760.21</v>
      </c>
      <c r="V994" s="9" t="n">
        <v>-535025.11</v>
      </c>
      <c r="X994" s="9" t="n">
        <v>79.14319999999999</v>
      </c>
      <c r="AK994" s="7" t="inlineStr">
        <is>
          <t>PYTHON_LIFECYCLE</t>
        </is>
      </c>
      <c r="AL994" s="8">
        <f>IF($J994="INR",1,IF($M994&lt;$A994,INDEX(Market_Daily!$F$6:$F$256,MATCH($M994,Market_Daily!$A$6:$A$256,1)),IF($M994=$A994,INDEX(Market_Daily!$F$6:$F$256,MATCH($A994,Market_Daily!$A$6:$A$256,0)),(INDEX(Market_Daily!$F$6:$F$256,MATCH($A994,Market_Daily!$A$6:$A$256,0))*(1+INDEX(Market_Daily!$I$6:$I$256,MATCH($A994,Market_Daily!$A$6:$A$256,0))*($M994-$A994)/day_count_inr)/(1+INDEX(Market_Daily!$J$6:$J$256,MATCH($A994,Market_Daily!$A$6:$A$256,0))*($M994-$A994)/day_count_usd)))))</f>
        <v/>
      </c>
      <c r="AM994" s="8">
        <f>IF(OR($J994="INR",$R994&gt;1),"",$AL994-$X994)</f>
        <v/>
      </c>
      <c r="AN994" s="8">
        <f>$U994</f>
        <v/>
      </c>
      <c r="AO994" s="8">
        <f>$AN994*IF($J994="INR",1,$AL994)</f>
        <v/>
      </c>
      <c r="AP994" s="18">
        <f>$AO994-$V994</f>
        <v/>
      </c>
      <c r="AQ994" s="8">
        <f>IF(ABS($AP994)&lt;=tol_trade_inr,"PASS","FAIL")</f>
        <v/>
      </c>
    </row>
    <row r="995">
      <c r="A995" s="11" t="n">
        <v>44742</v>
      </c>
      <c r="B995" s="7" t="inlineStr">
        <is>
          <t>T04</t>
        </is>
      </c>
      <c r="C995" s="7" t="inlineStr">
        <is>
          <t>IGST:L1</t>
        </is>
      </c>
      <c r="D995" s="7" t="inlineStr">
        <is>
          <t>IGST</t>
        </is>
      </c>
      <c r="E995" s="7" t="inlineStr">
        <is>
          <t>physical</t>
        </is>
      </c>
      <c r="F995" s="7" t="inlineStr">
        <is>
          <t>L1</t>
        </is>
      </c>
      <c r="H995" s="7" t="inlineStr">
        <is>
          <t>taint_tabor</t>
        </is>
      </c>
      <c r="I995" s="7" t="inlineStr">
        <is>
          <t>USEC_MUN</t>
        </is>
      </c>
      <c r="J995" s="7" t="inlineStr">
        <is>
          <t>INR</t>
        </is>
      </c>
      <c r="K995" s="7" t="inlineStr">
        <is>
          <t>fixed_unsettled</t>
        </is>
      </c>
      <c r="L995" s="7" t="inlineStr">
        <is>
          <t>BS</t>
        </is>
      </c>
      <c r="M995" s="11" t="n">
        <v>44764</v>
      </c>
      <c r="N995" s="13" t="n">
        <v>0</v>
      </c>
      <c r="O995" s="6" t="n">
        <v>0</v>
      </c>
      <c r="P995" s="13" t="n">
        <v>0</v>
      </c>
      <c r="Q995" s="22" t="n">
        <v>30</v>
      </c>
      <c r="R995" s="6" t="n">
        <v>2</v>
      </c>
      <c r="U995" s="9" t="n">
        <v>0</v>
      </c>
      <c r="V995" s="9" t="n">
        <v>0</v>
      </c>
      <c r="X995" s="9" t="n">
        <v>79.0536</v>
      </c>
      <c r="AK995" s="7" t="inlineStr">
        <is>
          <t>PYTHON_MULTI_FLOW_LEG</t>
        </is>
      </c>
      <c r="AL995" s="8">
        <f>IF($J995="INR",1,IF($M995&lt;$A995,INDEX(Market_Daily!$F$6:$F$256,MATCH($M995,Market_Daily!$A$6:$A$256,1)),IF($M995=$A995,INDEX(Market_Daily!$F$6:$F$256,MATCH($A995,Market_Daily!$A$6:$A$256,0)),(INDEX(Market_Daily!$F$6:$F$256,MATCH($A995,Market_Daily!$A$6:$A$256,0))*(1+INDEX(Market_Daily!$I$6:$I$256,MATCH($A995,Market_Daily!$A$6:$A$256,0))*($M995-$A995)/day_count_inr)/(1+INDEX(Market_Daily!$J$6:$J$256,MATCH($A995,Market_Daily!$A$6:$A$256,0))*($M995-$A995)/day_count_usd)))))</f>
        <v/>
      </c>
      <c r="AM995" s="8">
        <f>IF(OR($J995="INR",$R995&gt;1),"",$AL995-$X995)</f>
        <v/>
      </c>
      <c r="AN995" s="8">
        <f>$U995</f>
        <v/>
      </c>
      <c r="AO995" s="8">
        <f>$V995</f>
        <v/>
      </c>
      <c r="AP995" s="18">
        <f>$AO995-$V995</f>
        <v/>
      </c>
      <c r="AQ995" s="8">
        <f>IF(ABS($AP995)&lt;=tol_trade_inr,"PASS","FAIL")</f>
        <v/>
      </c>
    </row>
    <row r="996">
      <c r="A996" s="11" t="n">
        <v>44742</v>
      </c>
      <c r="B996" s="7" t="inlineStr">
        <is>
          <t>T04</t>
        </is>
      </c>
      <c r="C996" s="7" t="inlineStr">
        <is>
          <t>IGST:L2</t>
        </is>
      </c>
      <c r="D996" s="7" t="inlineStr">
        <is>
          <t>IGST</t>
        </is>
      </c>
      <c r="E996" s="7" t="inlineStr">
        <is>
          <t>physical</t>
        </is>
      </c>
      <c r="F996" s="7" t="inlineStr">
        <is>
          <t>L2</t>
        </is>
      </c>
      <c r="H996" s="7" t="inlineStr">
        <is>
          <t>taint_tabor</t>
        </is>
      </c>
      <c r="I996" s="7" t="inlineStr">
        <is>
          <t>USEC_MUN</t>
        </is>
      </c>
      <c r="J996" s="7" t="inlineStr">
        <is>
          <t>INR</t>
        </is>
      </c>
      <c r="K996" s="7" t="inlineStr">
        <is>
          <t>fixed_unsettled</t>
        </is>
      </c>
      <c r="L996" s="7" t="inlineStr">
        <is>
          <t>BS</t>
        </is>
      </c>
      <c r="M996" s="11" t="n">
        <v>44771</v>
      </c>
      <c r="N996" s="13" t="n">
        <v>0</v>
      </c>
      <c r="O996" s="6" t="n">
        <v>0</v>
      </c>
      <c r="P996" s="13" t="n">
        <v>0</v>
      </c>
      <c r="Q996" s="22" t="n">
        <v>30</v>
      </c>
      <c r="R996" s="6" t="n">
        <v>2</v>
      </c>
      <c r="U996" s="9" t="n">
        <v>0</v>
      </c>
      <c r="V996" s="9" t="n">
        <v>0</v>
      </c>
      <c r="X996" s="9" t="n">
        <v>79.0536</v>
      </c>
      <c r="AK996" s="7" t="inlineStr">
        <is>
          <t>PYTHON_MULTI_FLOW_LEG</t>
        </is>
      </c>
      <c r="AL996" s="8">
        <f>IF($J996="INR",1,IF($M996&lt;$A996,INDEX(Market_Daily!$F$6:$F$256,MATCH($M996,Market_Daily!$A$6:$A$256,1)),IF($M996=$A996,INDEX(Market_Daily!$F$6:$F$256,MATCH($A996,Market_Daily!$A$6:$A$256,0)),(INDEX(Market_Daily!$F$6:$F$256,MATCH($A996,Market_Daily!$A$6:$A$256,0))*(1+INDEX(Market_Daily!$I$6:$I$256,MATCH($A996,Market_Daily!$A$6:$A$256,0))*($M996-$A996)/day_count_inr)/(1+INDEX(Market_Daily!$J$6:$J$256,MATCH($A996,Market_Daily!$A$6:$A$256,0))*($M996-$A996)/day_count_usd)))))</f>
        <v/>
      </c>
      <c r="AM996" s="8">
        <f>IF(OR($J996="INR",$R996&gt;1),"",$AL996-$X996)</f>
        <v/>
      </c>
      <c r="AN996" s="8">
        <f>$U996</f>
        <v/>
      </c>
      <c r="AO996" s="8">
        <f>$V996</f>
        <v/>
      </c>
      <c r="AP996" s="18">
        <f>$AO996-$V996</f>
        <v/>
      </c>
      <c r="AQ996" s="8">
        <f>IF(ABS($AP996)&lt;=tol_trade_inr,"PASS","FAIL")</f>
        <v/>
      </c>
    </row>
    <row r="997">
      <c r="A997" s="11" t="n">
        <v>44742</v>
      </c>
      <c r="B997" s="7" t="inlineStr">
        <is>
          <t>T04</t>
        </is>
      </c>
      <c r="C997" s="7" t="inlineStr">
        <is>
          <t>SALE:S1</t>
        </is>
      </c>
      <c r="D997" s="7" t="inlineStr">
        <is>
          <t>SALE</t>
        </is>
      </c>
      <c r="E997" s="7" t="inlineStr">
        <is>
          <t>physical</t>
        </is>
      </c>
      <c r="G997" s="7" t="inlineStr">
        <is>
          <t>BUY_RJK_01</t>
        </is>
      </c>
      <c r="H997" s="7" t="inlineStr">
        <is>
          <t>taint_tabor</t>
        </is>
      </c>
      <c r="I997" s="7" t="inlineStr">
        <is>
          <t>USEC_MUN</t>
        </is>
      </c>
      <c r="J997" s="7" t="inlineStr">
        <is>
          <t>INR</t>
        </is>
      </c>
      <c r="K997" s="7" t="inlineStr">
        <is>
          <t>fixed_unsettled</t>
        </is>
      </c>
      <c r="L997" s="7" t="inlineStr">
        <is>
          <t>PNL</t>
        </is>
      </c>
      <c r="M997" s="11" t="n">
        <v>44767</v>
      </c>
      <c r="N997" s="13" t="n">
        <v>2520</v>
      </c>
      <c r="O997" s="6" t="n">
        <v>0</v>
      </c>
      <c r="P997" s="13" t="n">
        <v>0</v>
      </c>
      <c r="Q997" s="22" t="n">
        <v>30</v>
      </c>
      <c r="R997" s="6" t="n">
        <v>2</v>
      </c>
      <c r="U997" s="9" t="n">
        <v>61267500</v>
      </c>
      <c r="V997" s="9" t="n">
        <v>61267500</v>
      </c>
      <c r="W997" s="9" t="n">
        <v>194500</v>
      </c>
      <c r="X997" s="9" t="n">
        <v>79.0536</v>
      </c>
      <c r="AK997" s="7" t="inlineStr">
        <is>
          <t>PYTHON_MULTI_FLOW_LEG</t>
        </is>
      </c>
      <c r="AL997" s="8">
        <f>IF($J997="INR",1,IF($M997&lt;$A997,INDEX(Market_Daily!$F$6:$F$256,MATCH($M997,Market_Daily!$A$6:$A$256,1)),IF($M997=$A997,INDEX(Market_Daily!$F$6:$F$256,MATCH($A997,Market_Daily!$A$6:$A$256,0)),(INDEX(Market_Daily!$F$6:$F$256,MATCH($A997,Market_Daily!$A$6:$A$256,0))*(1+INDEX(Market_Daily!$I$6:$I$256,MATCH($A997,Market_Daily!$A$6:$A$256,0))*($M997-$A997)/day_count_inr)/(1+INDEX(Market_Daily!$J$6:$J$256,MATCH($A997,Market_Daily!$A$6:$A$256,0))*($M997-$A997)/day_count_usd)))))</f>
        <v/>
      </c>
      <c r="AM997" s="8">
        <f>IF(OR($J997="INR",$R997&gt;1),"",$AL997-$X997)</f>
        <v/>
      </c>
      <c r="AN997" s="8">
        <f>$U997</f>
        <v/>
      </c>
      <c r="AO997" s="8">
        <f>$V997</f>
        <v/>
      </c>
      <c r="AP997" s="18">
        <f>$AO997-$V997</f>
        <v/>
      </c>
      <c r="AQ997" s="8">
        <f>IF(ABS($AP997)&lt;=tol_trade_inr,"PASS","FAIL")</f>
        <v/>
      </c>
    </row>
    <row r="998">
      <c r="A998" s="11" t="n">
        <v>44742</v>
      </c>
      <c r="B998" s="7" t="inlineStr">
        <is>
          <t>T05</t>
        </is>
      </c>
      <c r="C998" s="7" t="inlineStr">
        <is>
          <t>BILL_COMMISSION:L1</t>
        </is>
      </c>
      <c r="D998" s="7" t="inlineStr">
        <is>
          <t>BILL_COMMISSION</t>
        </is>
      </c>
      <c r="E998" s="7" t="inlineStr">
        <is>
          <t>physical</t>
        </is>
      </c>
      <c r="F998" s="7" t="inlineStr">
        <is>
          <t>L1</t>
        </is>
      </c>
      <c r="H998" s="7" t="inlineStr">
        <is>
          <t>tense</t>
        </is>
      </c>
      <c r="I998" s="7" t="inlineStr">
        <is>
          <t>USEC_MUN</t>
        </is>
      </c>
      <c r="J998" s="7" t="inlineStr">
        <is>
          <t>USD</t>
        </is>
      </c>
      <c r="K998" s="7" t="inlineStr">
        <is>
          <t>floating</t>
        </is>
      </c>
      <c r="L998" s="7" t="inlineStr">
        <is>
          <t>PNL</t>
        </is>
      </c>
      <c r="M998" s="11" t="n">
        <v>44753</v>
      </c>
      <c r="N998" s="13" t="n">
        <v>0</v>
      </c>
      <c r="O998" s="6" t="n">
        <v>0</v>
      </c>
      <c r="P998" s="13" t="n">
        <v>0</v>
      </c>
      <c r="Q998" s="22" t="n">
        <v>30</v>
      </c>
      <c r="R998" s="6" t="n">
        <v>1</v>
      </c>
      <c r="U998" s="9" t="n">
        <v>-2249.47</v>
      </c>
      <c r="V998" s="9" t="n">
        <v>-178013.32</v>
      </c>
      <c r="X998" s="9" t="n">
        <v>79.1358</v>
      </c>
      <c r="AK998" s="7" t="inlineStr">
        <is>
          <t>PYTHON_LIFECYCLE</t>
        </is>
      </c>
      <c r="AL998" s="8">
        <f>IF($J998="INR",1,IF($M998&lt;$A998,INDEX(Market_Daily!$F$6:$F$256,MATCH($M998,Market_Daily!$A$6:$A$256,1)),IF($M998=$A998,INDEX(Market_Daily!$F$6:$F$256,MATCH($A998,Market_Daily!$A$6:$A$256,0)),(INDEX(Market_Daily!$F$6:$F$256,MATCH($A998,Market_Daily!$A$6:$A$256,0))*(1+INDEX(Market_Daily!$I$6:$I$256,MATCH($A998,Market_Daily!$A$6:$A$256,0))*($M998-$A998)/day_count_inr)/(1+INDEX(Market_Daily!$J$6:$J$256,MATCH($A998,Market_Daily!$A$6:$A$256,0))*($M998-$A998)/day_count_usd)))))</f>
        <v/>
      </c>
      <c r="AM998" s="8">
        <f>IF(OR($J998="INR",$R998&gt;1),"",$AL998-$X998)</f>
        <v/>
      </c>
      <c r="AN998" s="8">
        <f>$U998</f>
        <v/>
      </c>
      <c r="AO998" s="8">
        <f>$AN998*IF($J998="INR",1,$AL998)</f>
        <v/>
      </c>
      <c r="AP998" s="18">
        <f>$AO998-$V998</f>
        <v/>
      </c>
      <c r="AQ998" s="8">
        <f>IF(ABS($AP998)&lt;=tol_trade_inr,"PASS","FAIL")</f>
        <v/>
      </c>
    </row>
    <row r="999">
      <c r="A999" s="11" t="n">
        <v>44742</v>
      </c>
      <c r="B999" s="7" t="inlineStr">
        <is>
          <t>T05</t>
        </is>
      </c>
      <c r="C999" s="7" t="inlineStr">
        <is>
          <t>BILL_COMMISSION:L2</t>
        </is>
      </c>
      <c r="D999" s="7" t="inlineStr">
        <is>
          <t>BILL_COMMISSION</t>
        </is>
      </c>
      <c r="E999" s="7" t="inlineStr">
        <is>
          <t>physical</t>
        </is>
      </c>
      <c r="F999" s="7" t="inlineStr">
        <is>
          <t>L2</t>
        </is>
      </c>
      <c r="H999" s="7" t="inlineStr">
        <is>
          <t>tense</t>
        </is>
      </c>
      <c r="I999" s="7" t="inlineStr">
        <is>
          <t>USEC_MUN</t>
        </is>
      </c>
      <c r="J999" s="7" t="inlineStr">
        <is>
          <t>USD</t>
        </is>
      </c>
      <c r="K999" s="7" t="inlineStr">
        <is>
          <t>floating</t>
        </is>
      </c>
      <c r="L999" s="7" t="inlineStr">
        <is>
          <t>PNL</t>
        </is>
      </c>
      <c r="M999" s="11" t="n">
        <v>44760</v>
      </c>
      <c r="N999" s="13" t="n">
        <v>0</v>
      </c>
      <c r="O999" s="6" t="n">
        <v>0</v>
      </c>
      <c r="P999" s="13" t="n">
        <v>0</v>
      </c>
      <c r="Q999" s="22" t="n">
        <v>30</v>
      </c>
      <c r="R999" s="6" t="n">
        <v>1</v>
      </c>
      <c r="U999" s="9" t="n">
        <v>-2390.64</v>
      </c>
      <c r="V999" s="9" t="n">
        <v>-189309.78</v>
      </c>
      <c r="X999" s="9" t="n">
        <v>79.188</v>
      </c>
      <c r="AK999" s="7" t="inlineStr">
        <is>
          <t>PYTHON_LIFECYCLE</t>
        </is>
      </c>
      <c r="AL999" s="8">
        <f>IF($J999="INR",1,IF($M999&lt;$A999,INDEX(Market_Daily!$F$6:$F$256,MATCH($M999,Market_Daily!$A$6:$A$256,1)),IF($M999=$A999,INDEX(Market_Daily!$F$6:$F$256,MATCH($A999,Market_Daily!$A$6:$A$256,0)),(INDEX(Market_Daily!$F$6:$F$256,MATCH($A999,Market_Daily!$A$6:$A$256,0))*(1+INDEX(Market_Daily!$I$6:$I$256,MATCH($A999,Market_Daily!$A$6:$A$256,0))*($M999-$A999)/day_count_inr)/(1+INDEX(Market_Daily!$J$6:$J$256,MATCH($A999,Market_Daily!$A$6:$A$256,0))*($M999-$A999)/day_count_usd)))))</f>
        <v/>
      </c>
      <c r="AM999" s="8">
        <f>IF(OR($J999="INR",$R999&gt;1),"",$AL999-$X999)</f>
        <v/>
      </c>
      <c r="AN999" s="8">
        <f>$U999</f>
        <v/>
      </c>
      <c r="AO999" s="8">
        <f>$AN999*IF($J999="INR",1,$AL999)</f>
        <v/>
      </c>
      <c r="AP999" s="18">
        <f>$AO999-$V999</f>
        <v/>
      </c>
      <c r="AQ999" s="8">
        <f>IF(ABS($AP999)&lt;=tol_trade_inr,"PASS","FAIL")</f>
        <v/>
      </c>
    </row>
    <row r="1000">
      <c r="A1000" s="11" t="n">
        <v>44742</v>
      </c>
      <c r="B1000" s="7" t="inlineStr">
        <is>
          <t>T05</t>
        </is>
      </c>
      <c r="C1000" s="7" t="inlineStr">
        <is>
          <t>DUTY:L1</t>
        </is>
      </c>
      <c r="D1000" s="7" t="inlineStr">
        <is>
          <t>DUTY</t>
        </is>
      </c>
      <c r="E1000" s="7" t="inlineStr">
        <is>
          <t>physical</t>
        </is>
      </c>
      <c r="F1000" s="7" t="inlineStr">
        <is>
          <t>L1</t>
        </is>
      </c>
      <c r="H1000" s="7" t="inlineStr">
        <is>
          <t>tense</t>
        </is>
      </c>
      <c r="I1000" s="7" t="inlineStr">
        <is>
          <t>USEC_MUN</t>
        </is>
      </c>
      <c r="J1000" s="7" t="inlineStr">
        <is>
          <t>INR</t>
        </is>
      </c>
      <c r="K1000" s="7" t="inlineStr">
        <is>
          <t>partially_fixed</t>
        </is>
      </c>
      <c r="L1000" s="7" t="inlineStr">
        <is>
          <t>PNL</t>
        </is>
      </c>
      <c r="M1000" s="11" t="n">
        <v>44749</v>
      </c>
      <c r="N1000" s="13" t="n">
        <v>1050</v>
      </c>
      <c r="O1000" s="6" t="n">
        <v>0</v>
      </c>
      <c r="P1000" s="13" t="n">
        <v>0</v>
      </c>
      <c r="Q1000" s="22" t="n">
        <v>30</v>
      </c>
      <c r="R1000" s="6" t="n">
        <v>2</v>
      </c>
      <c r="U1000" s="9" t="n">
        <v>182759.17</v>
      </c>
      <c r="V1000" s="9" t="n">
        <v>182759.17</v>
      </c>
      <c r="X1000" s="9" t="n">
        <v>79.0536</v>
      </c>
      <c r="AK1000" s="7" t="inlineStr">
        <is>
          <t>PYTHON_MULTI_FLOW_LEG</t>
        </is>
      </c>
      <c r="AL1000" s="8">
        <f>IF($J1000="INR",1,IF($M1000&lt;$A1000,INDEX(Market_Daily!$F$6:$F$256,MATCH($M1000,Market_Daily!$A$6:$A$256,1)),IF($M1000=$A1000,INDEX(Market_Daily!$F$6:$F$256,MATCH($A1000,Market_Daily!$A$6:$A$256,0)),(INDEX(Market_Daily!$F$6:$F$256,MATCH($A1000,Market_Daily!$A$6:$A$256,0))*(1+INDEX(Market_Daily!$I$6:$I$256,MATCH($A1000,Market_Daily!$A$6:$A$256,0))*($M1000-$A1000)/day_count_inr)/(1+INDEX(Market_Daily!$J$6:$J$256,MATCH($A1000,Market_Daily!$A$6:$A$256,0))*($M1000-$A1000)/day_count_usd)))))</f>
        <v/>
      </c>
      <c r="AM1000" s="8">
        <f>IF(OR($J1000="INR",$R1000&gt;1),"",$AL1000-$X1000)</f>
        <v/>
      </c>
      <c r="AN1000" s="8">
        <f>$U1000</f>
        <v/>
      </c>
      <c r="AO1000" s="8">
        <f>$V1000</f>
        <v/>
      </c>
      <c r="AP1000" s="18">
        <f>$AO1000-$V1000</f>
        <v/>
      </c>
      <c r="AQ1000" s="8">
        <f>IF(ABS($AP1000)&lt;=tol_trade_inr,"PASS","FAIL")</f>
        <v/>
      </c>
    </row>
    <row r="1001">
      <c r="A1001" s="11" t="n">
        <v>44742</v>
      </c>
      <c r="B1001" s="7" t="inlineStr">
        <is>
          <t>T05</t>
        </is>
      </c>
      <c r="C1001" s="7" t="inlineStr">
        <is>
          <t>DUTY:L2</t>
        </is>
      </c>
      <c r="D1001" s="7" t="inlineStr">
        <is>
          <t>DUTY</t>
        </is>
      </c>
      <c r="E1001" s="7" t="inlineStr">
        <is>
          <t>physical</t>
        </is>
      </c>
      <c r="F1001" s="7" t="inlineStr">
        <is>
          <t>L2</t>
        </is>
      </c>
      <c r="H1001" s="7" t="inlineStr">
        <is>
          <t>tense</t>
        </is>
      </c>
      <c r="I1001" s="7" t="inlineStr">
        <is>
          <t>USEC_MUN</t>
        </is>
      </c>
      <c r="J1001" s="7" t="inlineStr">
        <is>
          <t>INR</t>
        </is>
      </c>
      <c r="K1001" s="7" t="inlineStr">
        <is>
          <t>partially_fixed</t>
        </is>
      </c>
      <c r="L1001" s="7" t="inlineStr">
        <is>
          <t>PNL</t>
        </is>
      </c>
      <c r="M1001" s="11" t="n">
        <v>44749</v>
      </c>
      <c r="N1001" s="13" t="n">
        <v>1050</v>
      </c>
      <c r="O1001" s="6" t="n">
        <v>0</v>
      </c>
      <c r="P1001" s="13" t="n">
        <v>0</v>
      </c>
      <c r="Q1001" s="22" t="n">
        <v>30</v>
      </c>
      <c r="R1001" s="6" t="n">
        <v>2</v>
      </c>
      <c r="U1001" s="9" t="n">
        <v>451911.4</v>
      </c>
      <c r="V1001" s="9" t="n">
        <v>451911.4</v>
      </c>
      <c r="X1001" s="9" t="n">
        <v>79.0536</v>
      </c>
      <c r="AK1001" s="7" t="inlineStr">
        <is>
          <t>PYTHON_MULTI_FLOW_LEG</t>
        </is>
      </c>
      <c r="AL1001" s="8">
        <f>IF($J1001="INR",1,IF($M1001&lt;$A1001,INDEX(Market_Daily!$F$6:$F$256,MATCH($M1001,Market_Daily!$A$6:$A$256,1)),IF($M1001=$A1001,INDEX(Market_Daily!$F$6:$F$256,MATCH($A1001,Market_Daily!$A$6:$A$256,0)),(INDEX(Market_Daily!$F$6:$F$256,MATCH($A1001,Market_Daily!$A$6:$A$256,0))*(1+INDEX(Market_Daily!$I$6:$I$256,MATCH($A1001,Market_Daily!$A$6:$A$256,0))*($M1001-$A1001)/day_count_inr)/(1+INDEX(Market_Daily!$J$6:$J$256,MATCH($A1001,Market_Daily!$A$6:$A$256,0))*($M1001-$A1001)/day_count_usd)))))</f>
        <v/>
      </c>
      <c r="AM1001" s="8">
        <f>IF(OR($J1001="INR",$R1001&gt;1),"",$AL1001-$X1001)</f>
        <v/>
      </c>
      <c r="AN1001" s="8">
        <f>$U1001</f>
        <v/>
      </c>
      <c r="AO1001" s="8">
        <f>$V1001</f>
        <v/>
      </c>
      <c r="AP1001" s="18">
        <f>$AO1001-$V1001</f>
        <v/>
      </c>
      <c r="AQ1001" s="8">
        <f>IF(ABS($AP1001)&lt;=tol_trade_inr,"PASS","FAIL")</f>
        <v/>
      </c>
    </row>
    <row r="1002">
      <c r="A1002" s="11" t="n">
        <v>44742</v>
      </c>
      <c r="B1002" s="7" t="inlineStr">
        <is>
          <t>T05</t>
        </is>
      </c>
      <c r="C1002" s="7" t="inlineStr">
        <is>
          <t>FX:T05-FX-1</t>
        </is>
      </c>
      <c r="D1002" s="7" t="inlineStr">
        <is>
          <t>FX</t>
        </is>
      </c>
      <c r="E1002" s="7" t="inlineStr">
        <is>
          <t>fx_forward</t>
        </is>
      </c>
      <c r="H1002" s="7" t="inlineStr">
        <is>
          <t>tense</t>
        </is>
      </c>
      <c r="I1002" s="7" t="inlineStr">
        <is>
          <t>USEC_MUN</t>
        </is>
      </c>
      <c r="J1002" s="7" t="inlineStr">
        <is>
          <t>INR</t>
        </is>
      </c>
      <c r="K1002" s="7" t="inlineStr">
        <is>
          <t>floating</t>
        </is>
      </c>
      <c r="L1002" s="7" t="inlineStr">
        <is>
          <t>PNL</t>
        </is>
      </c>
      <c r="M1002" s="11" t="n">
        <v>44753</v>
      </c>
      <c r="N1002" s="13" t="n">
        <v>0</v>
      </c>
      <c r="O1002" s="6" t="n">
        <v>0</v>
      </c>
      <c r="P1002" s="13" t="n">
        <v>1874500</v>
      </c>
      <c r="Q1002" s="22" t="n">
        <v>30</v>
      </c>
      <c r="R1002" s="6" t="n">
        <v>1</v>
      </c>
      <c r="S1002" s="12" t="n">
        <v>44753</v>
      </c>
      <c r="T1002" s="21" t="n">
        <v>77.86464100000001</v>
      </c>
      <c r="U1002" s="9" t="n">
        <v>2382740.09</v>
      </c>
      <c r="V1002" s="9" t="n">
        <v>2382740.09</v>
      </c>
      <c r="X1002" s="9" t="n">
        <v>79.0536</v>
      </c>
      <c r="AK1002" s="7" t="inlineStr">
        <is>
          <t>DERIVED_IN_WORKBOOK</t>
        </is>
      </c>
      <c r="AL1002" s="8">
        <f>IF($J1002="INR",1,IF($M1002&lt;$A1002,INDEX(Market_Daily!$F$6:$F$256,MATCH($M1002,Market_Daily!$A$6:$A$256,1)),IF($M1002=$A1002,INDEX(Market_Daily!$F$6:$F$256,MATCH($A1002,Market_Daily!$A$6:$A$256,0)),(INDEX(Market_Daily!$F$6:$F$256,MATCH($A1002,Market_Daily!$A$6:$A$256,0))*(1+INDEX(Market_Daily!$I$6:$I$256,MATCH($A1002,Market_Daily!$A$6:$A$256,0))*($M1002-$A1002)/day_count_inr)/(1+INDEX(Market_Daily!$J$6:$J$256,MATCH($A1002,Market_Daily!$A$6:$A$256,0))*($M1002-$A1002)/day_count_usd)))))</f>
        <v/>
      </c>
      <c r="AM1002" s="8">
        <f>IF(OR($J1002="INR",$R1002&gt;1),"",$AL1002-$X1002)</f>
        <v/>
      </c>
      <c r="AN1002" s="8">
        <f>$P1002*(IF($S1002&lt;$A1002,INDEX(Market_Daily!$F$6:$F$256,MATCH($S1002,Market_Daily!$A$6:$A$256,1)),IF($S1002=$A1002,INDEX(Market_Daily!$F$6:$F$256,MATCH($A1002,Market_Daily!$A$6:$A$256,0)),(INDEX(Market_Daily!$F$6:$F$256,MATCH($A1002,Market_Daily!$A$6:$A$256,0))*(1+INDEX(Market_Daily!$I$6:$I$256,MATCH($A1002,Market_Daily!$A$6:$A$256,0))*($S1002-$A1002)/day_count_inr)/(1+INDEX(Market_Daily!$J$6:$J$256,MATCH($A1002,Market_Daily!$A$6:$A$256,0))*($S1002-$A1002)/day_count_usd))))-$T1002)</f>
        <v/>
      </c>
      <c r="AO1002" s="8">
        <f>$AN1002</f>
        <v/>
      </c>
      <c r="AP1002" s="18">
        <f>$AO1002-$V1002</f>
        <v/>
      </c>
      <c r="AQ1002" s="8">
        <f>IF(ABS($AP1002)&lt;=tol_trade_inr,"PASS","FAIL")</f>
        <v/>
      </c>
    </row>
    <row r="1003">
      <c r="A1003" s="11" t="n">
        <v>44742</v>
      </c>
      <c r="B1003" s="7" t="inlineStr">
        <is>
          <t>T05</t>
        </is>
      </c>
      <c r="C1003" s="7" t="inlineStr">
        <is>
          <t>FX:T05-FX-2</t>
        </is>
      </c>
      <c r="D1003" s="7" t="inlineStr">
        <is>
          <t>FX</t>
        </is>
      </c>
      <c r="E1003" s="7" t="inlineStr">
        <is>
          <t>fx_forward</t>
        </is>
      </c>
      <c r="H1003" s="7" t="inlineStr">
        <is>
          <t>tense</t>
        </is>
      </c>
      <c r="I1003" s="7" t="inlineStr">
        <is>
          <t>USEC_MUN</t>
        </is>
      </c>
      <c r="J1003" s="7" t="inlineStr">
        <is>
          <t>INR</t>
        </is>
      </c>
      <c r="K1003" s="7" t="inlineStr">
        <is>
          <t>floating</t>
        </is>
      </c>
      <c r="L1003" s="7" t="inlineStr">
        <is>
          <t>PNL</t>
        </is>
      </c>
      <c r="M1003" s="11" t="n">
        <v>44760</v>
      </c>
      <c r="N1003" s="13" t="n">
        <v>0</v>
      </c>
      <c r="O1003" s="6" t="n">
        <v>0</v>
      </c>
      <c r="P1003" s="13" t="n">
        <v>1992200</v>
      </c>
      <c r="Q1003" s="22" t="n">
        <v>30</v>
      </c>
      <c r="R1003" s="6" t="n">
        <v>1</v>
      </c>
      <c r="S1003" s="12" t="n">
        <v>44760</v>
      </c>
      <c r="T1003" s="21" t="n">
        <v>78.165892</v>
      </c>
      <c r="U1003" s="9" t="n">
        <v>2036292.35</v>
      </c>
      <c r="V1003" s="9" t="n">
        <v>2036292.35</v>
      </c>
      <c r="X1003" s="9" t="n">
        <v>79.0536</v>
      </c>
      <c r="AK1003" s="7" t="inlineStr">
        <is>
          <t>DERIVED_IN_WORKBOOK</t>
        </is>
      </c>
      <c r="AL1003" s="8">
        <f>IF($J1003="INR",1,IF($M1003&lt;$A1003,INDEX(Market_Daily!$F$6:$F$256,MATCH($M1003,Market_Daily!$A$6:$A$256,1)),IF($M1003=$A1003,INDEX(Market_Daily!$F$6:$F$256,MATCH($A1003,Market_Daily!$A$6:$A$256,0)),(INDEX(Market_Daily!$F$6:$F$256,MATCH($A1003,Market_Daily!$A$6:$A$256,0))*(1+INDEX(Market_Daily!$I$6:$I$256,MATCH($A1003,Market_Daily!$A$6:$A$256,0))*($M1003-$A1003)/day_count_inr)/(1+INDEX(Market_Daily!$J$6:$J$256,MATCH($A1003,Market_Daily!$A$6:$A$256,0))*($M1003-$A1003)/day_count_usd)))))</f>
        <v/>
      </c>
      <c r="AM1003" s="8">
        <f>IF(OR($J1003="INR",$R1003&gt;1),"",$AL1003-$X1003)</f>
        <v/>
      </c>
      <c r="AN1003" s="8">
        <f>$P1003*(IF($S1003&lt;$A1003,INDEX(Market_Daily!$F$6:$F$256,MATCH($S1003,Market_Daily!$A$6:$A$256,1)),IF($S1003=$A1003,INDEX(Market_Daily!$F$6:$F$256,MATCH($A1003,Market_Daily!$A$6:$A$256,0)),(INDEX(Market_Daily!$F$6:$F$256,MATCH($A1003,Market_Daily!$A$6:$A$256,0))*(1+INDEX(Market_Daily!$I$6:$I$256,MATCH($A1003,Market_Daily!$A$6:$A$256,0))*($S1003-$A1003)/day_count_inr)/(1+INDEX(Market_Daily!$J$6:$J$256,MATCH($A1003,Market_Daily!$A$6:$A$256,0))*($S1003-$A1003)/day_count_usd))))-$T1003)</f>
        <v/>
      </c>
      <c r="AO1003" s="8">
        <f>$AN1003</f>
        <v/>
      </c>
      <c r="AP1003" s="18">
        <f>$AO1003-$V1003</f>
        <v/>
      </c>
      <c r="AQ1003" s="8">
        <f>IF(ABS($AP1003)&lt;=tol_trade_inr,"PASS","FAIL")</f>
        <v/>
      </c>
    </row>
    <row r="1004">
      <c r="A1004" s="11" t="n">
        <v>44742</v>
      </c>
      <c r="B1004" s="7" t="inlineStr">
        <is>
          <t>T05</t>
        </is>
      </c>
      <c r="C1004" s="7" t="inlineStr">
        <is>
          <t>IGST:L1</t>
        </is>
      </c>
      <c r="D1004" s="7" t="inlineStr">
        <is>
          <t>IGST</t>
        </is>
      </c>
      <c r="E1004" s="7" t="inlineStr">
        <is>
          <t>physical</t>
        </is>
      </c>
      <c r="F1004" s="7" t="inlineStr">
        <is>
          <t>L1</t>
        </is>
      </c>
      <c r="H1004" s="7" t="inlineStr">
        <is>
          <t>tense</t>
        </is>
      </c>
      <c r="I1004" s="7" t="inlineStr">
        <is>
          <t>USEC_MUN</t>
        </is>
      </c>
      <c r="J1004" s="7" t="inlineStr">
        <is>
          <t>INR</t>
        </is>
      </c>
      <c r="K1004" s="7" t="inlineStr">
        <is>
          <t>fixed_unsettled</t>
        </is>
      </c>
      <c r="L1004" s="7" t="inlineStr">
        <is>
          <t>BS</t>
        </is>
      </c>
      <c r="M1004" s="11" t="n">
        <v>44777</v>
      </c>
      <c r="N1004" s="13" t="n">
        <v>0</v>
      </c>
      <c r="O1004" s="6" t="n">
        <v>0</v>
      </c>
      <c r="P1004" s="13" t="n">
        <v>0</v>
      </c>
      <c r="Q1004" s="22" t="n">
        <v>30</v>
      </c>
      <c r="R1004" s="6" t="n">
        <v>2</v>
      </c>
      <c r="U1004" s="9" t="n">
        <v>0</v>
      </c>
      <c r="V1004" s="9" t="n">
        <v>0</v>
      </c>
      <c r="X1004" s="9" t="n">
        <v>79.0536</v>
      </c>
      <c r="AK1004" s="7" t="inlineStr">
        <is>
          <t>PYTHON_MULTI_FLOW_LEG</t>
        </is>
      </c>
      <c r="AL1004" s="8">
        <f>IF($J1004="INR",1,IF($M1004&lt;$A1004,INDEX(Market_Daily!$F$6:$F$256,MATCH($M1004,Market_Daily!$A$6:$A$256,1)),IF($M1004=$A1004,INDEX(Market_Daily!$F$6:$F$256,MATCH($A1004,Market_Daily!$A$6:$A$256,0)),(INDEX(Market_Daily!$F$6:$F$256,MATCH($A1004,Market_Daily!$A$6:$A$256,0))*(1+INDEX(Market_Daily!$I$6:$I$256,MATCH($A1004,Market_Daily!$A$6:$A$256,0))*($M1004-$A1004)/day_count_inr)/(1+INDEX(Market_Daily!$J$6:$J$256,MATCH($A1004,Market_Daily!$A$6:$A$256,0))*($M1004-$A1004)/day_count_usd)))))</f>
        <v/>
      </c>
      <c r="AM1004" s="8">
        <f>IF(OR($J1004="INR",$R1004&gt;1),"",$AL1004-$X1004)</f>
        <v/>
      </c>
      <c r="AN1004" s="8">
        <f>$U1004</f>
        <v/>
      </c>
      <c r="AO1004" s="8">
        <f>$V1004</f>
        <v/>
      </c>
      <c r="AP1004" s="18">
        <f>$AO1004-$V1004</f>
        <v/>
      </c>
      <c r="AQ1004" s="8">
        <f>IF(ABS($AP1004)&lt;=tol_trade_inr,"PASS","FAIL")</f>
        <v/>
      </c>
    </row>
    <row r="1005">
      <c r="A1005" s="11" t="n">
        <v>44742</v>
      </c>
      <c r="B1005" s="7" t="inlineStr">
        <is>
          <t>T05</t>
        </is>
      </c>
      <c r="C1005" s="7" t="inlineStr">
        <is>
          <t>IGST:L2</t>
        </is>
      </c>
      <c r="D1005" s="7" t="inlineStr">
        <is>
          <t>IGST</t>
        </is>
      </c>
      <c r="E1005" s="7" t="inlineStr">
        <is>
          <t>physical</t>
        </is>
      </c>
      <c r="F1005" s="7" t="inlineStr">
        <is>
          <t>L2</t>
        </is>
      </c>
      <c r="H1005" s="7" t="inlineStr">
        <is>
          <t>tense</t>
        </is>
      </c>
      <c r="I1005" s="7" t="inlineStr">
        <is>
          <t>USEC_MUN</t>
        </is>
      </c>
      <c r="J1005" s="7" t="inlineStr">
        <is>
          <t>INR</t>
        </is>
      </c>
      <c r="K1005" s="7" t="inlineStr">
        <is>
          <t>fixed_unsettled</t>
        </is>
      </c>
      <c r="L1005" s="7" t="inlineStr">
        <is>
          <t>BS</t>
        </is>
      </c>
      <c r="M1005" s="11" t="n">
        <v>44785</v>
      </c>
      <c r="N1005" s="13" t="n">
        <v>0</v>
      </c>
      <c r="O1005" s="6" t="n">
        <v>0</v>
      </c>
      <c r="P1005" s="13" t="n">
        <v>0</v>
      </c>
      <c r="Q1005" s="22" t="n">
        <v>30</v>
      </c>
      <c r="R1005" s="6" t="n">
        <v>2</v>
      </c>
      <c r="U1005" s="9" t="n">
        <v>0</v>
      </c>
      <c r="V1005" s="9" t="n">
        <v>0</v>
      </c>
      <c r="X1005" s="9" t="n">
        <v>79.0536</v>
      </c>
      <c r="AK1005" s="7" t="inlineStr">
        <is>
          <t>PYTHON_MULTI_FLOW_LEG</t>
        </is>
      </c>
      <c r="AL1005" s="8">
        <f>IF($J1005="INR",1,IF($M1005&lt;$A1005,INDEX(Market_Daily!$F$6:$F$256,MATCH($M1005,Market_Daily!$A$6:$A$256,1)),IF($M1005=$A1005,INDEX(Market_Daily!$F$6:$F$256,MATCH($A1005,Market_Daily!$A$6:$A$256,0)),(INDEX(Market_Daily!$F$6:$F$256,MATCH($A1005,Market_Daily!$A$6:$A$256,0))*(1+INDEX(Market_Daily!$I$6:$I$256,MATCH($A1005,Market_Daily!$A$6:$A$256,0))*($M1005-$A1005)/day_count_inr)/(1+INDEX(Market_Daily!$J$6:$J$256,MATCH($A1005,Market_Daily!$A$6:$A$256,0))*($M1005-$A1005)/day_count_usd)))))</f>
        <v/>
      </c>
      <c r="AM1005" s="8">
        <f>IF(OR($J1005="INR",$R1005&gt;1),"",$AL1005-$X1005)</f>
        <v/>
      </c>
      <c r="AN1005" s="8">
        <f>$U1005</f>
        <v/>
      </c>
      <c r="AO1005" s="8">
        <f>$V1005</f>
        <v/>
      </c>
      <c r="AP1005" s="18">
        <f>$AO1005-$V1005</f>
        <v/>
      </c>
      <c r="AQ1005" s="8">
        <f>IF(ABS($AP1005)&lt;=tol_trade_inr,"PASS","FAIL")</f>
        <v/>
      </c>
    </row>
    <row r="1006">
      <c r="A1006" s="11" t="n">
        <v>44742</v>
      </c>
      <c r="B1006" s="7" t="inlineStr">
        <is>
          <t>T05</t>
        </is>
      </c>
      <c r="C1006" s="7" t="inlineStr">
        <is>
          <t>MCX:T05-MCX-3</t>
        </is>
      </c>
      <c r="D1006" s="7" t="inlineStr">
        <is>
          <t>MCX</t>
        </is>
      </c>
      <c r="E1006" s="7" t="inlineStr">
        <is>
          <t>mcx</t>
        </is>
      </c>
      <c r="H1006" s="7" t="inlineStr">
        <is>
          <t>tense</t>
        </is>
      </c>
      <c r="I1006" s="7" t="inlineStr">
        <is>
          <t>USEC_MUN</t>
        </is>
      </c>
      <c r="J1006" s="7" t="inlineStr">
        <is>
          <t>INR</t>
        </is>
      </c>
      <c r="K1006" s="7" t="inlineStr">
        <is>
          <t>partially_fixed</t>
        </is>
      </c>
      <c r="L1006" s="7" t="inlineStr">
        <is>
          <t>PNL</t>
        </is>
      </c>
      <c r="M1006" s="11" t="n">
        <v>44746</v>
      </c>
      <c r="N1006" s="13" t="n">
        <v>0</v>
      </c>
      <c r="O1006" s="6" t="n">
        <v>-279</v>
      </c>
      <c r="P1006" s="13" t="n">
        <v>0</v>
      </c>
      <c r="Q1006" s="22" t="n">
        <v>30</v>
      </c>
      <c r="R1006" s="6" t="n">
        <v>13</v>
      </c>
      <c r="U1006" s="9" t="n">
        <v>0</v>
      </c>
      <c r="V1006" s="9" t="n">
        <v>0</v>
      </c>
      <c r="X1006" s="9" t="n">
        <v>79.0536</v>
      </c>
      <c r="AK1006" s="7" t="inlineStr">
        <is>
          <t>PYTHON_MULTI_FLOW_LEG</t>
        </is>
      </c>
      <c r="AL1006" s="8">
        <f>IF($J1006="INR",1,IF($M1006&lt;$A1006,INDEX(Market_Daily!$F$6:$F$256,MATCH($M1006,Market_Daily!$A$6:$A$256,1)),IF($M1006=$A1006,INDEX(Market_Daily!$F$6:$F$256,MATCH($A1006,Market_Daily!$A$6:$A$256,0)),(INDEX(Market_Daily!$F$6:$F$256,MATCH($A1006,Market_Daily!$A$6:$A$256,0))*(1+INDEX(Market_Daily!$I$6:$I$256,MATCH($A1006,Market_Daily!$A$6:$A$256,0))*($M1006-$A1006)/day_count_inr)/(1+INDEX(Market_Daily!$J$6:$J$256,MATCH($A1006,Market_Daily!$A$6:$A$256,0))*($M1006-$A1006)/day_count_usd)))))</f>
        <v/>
      </c>
      <c r="AM1006" s="8">
        <f>IF(OR($J1006="INR",$R1006&gt;1),"",$AL1006-$X1006)</f>
        <v/>
      </c>
      <c r="AN1006" s="8">
        <f>$U1006</f>
        <v/>
      </c>
      <c r="AO1006" s="8">
        <f>$V1006</f>
        <v/>
      </c>
      <c r="AP1006" s="18">
        <f>$AO1006-$V1006</f>
        <v/>
      </c>
      <c r="AQ1006" s="8">
        <f>IF(ABS($AP1006)&lt;=tol_trade_inr,"PASS","FAIL")</f>
        <v/>
      </c>
    </row>
    <row r="1007">
      <c r="A1007" s="11" t="n">
        <v>44742</v>
      </c>
      <c r="B1007" s="7" t="inlineStr">
        <is>
          <t>T05</t>
        </is>
      </c>
      <c r="C1007" s="7" t="inlineStr">
        <is>
          <t>MCX:T05-MCX-4</t>
        </is>
      </c>
      <c r="D1007" s="7" t="inlineStr">
        <is>
          <t>MCX</t>
        </is>
      </c>
      <c r="E1007" s="7" t="inlineStr">
        <is>
          <t>mcx</t>
        </is>
      </c>
      <c r="H1007" s="7" t="inlineStr">
        <is>
          <t>tense</t>
        </is>
      </c>
      <c r="I1007" s="7" t="inlineStr">
        <is>
          <t>USEC_MUN</t>
        </is>
      </c>
      <c r="J1007" s="7" t="inlineStr">
        <is>
          <t>INR</t>
        </is>
      </c>
      <c r="K1007" s="7" t="inlineStr">
        <is>
          <t>partially_fixed</t>
        </is>
      </c>
      <c r="L1007" s="7" t="inlineStr">
        <is>
          <t>PNL</t>
        </is>
      </c>
      <c r="M1007" s="11" t="n">
        <v>44746</v>
      </c>
      <c r="N1007" s="13" t="n">
        <v>0</v>
      </c>
      <c r="O1007" s="6" t="n">
        <v>-105</v>
      </c>
      <c r="P1007" s="13" t="n">
        <v>0</v>
      </c>
      <c r="Q1007" s="22" t="n">
        <v>30</v>
      </c>
      <c r="R1007" s="6" t="n">
        <v>10</v>
      </c>
      <c r="U1007" s="9" t="n">
        <v>0</v>
      </c>
      <c r="V1007" s="9" t="n">
        <v>0</v>
      </c>
      <c r="X1007" s="9" t="n">
        <v>79.0536</v>
      </c>
      <c r="AK1007" s="7" t="inlineStr">
        <is>
          <t>PYTHON_MULTI_FLOW_LEG</t>
        </is>
      </c>
      <c r="AL1007" s="8">
        <f>IF($J1007="INR",1,IF($M1007&lt;$A1007,INDEX(Market_Daily!$F$6:$F$256,MATCH($M1007,Market_Daily!$A$6:$A$256,1)),IF($M1007=$A1007,INDEX(Market_Daily!$F$6:$F$256,MATCH($A1007,Market_Daily!$A$6:$A$256,0)),(INDEX(Market_Daily!$F$6:$F$256,MATCH($A1007,Market_Daily!$A$6:$A$256,0))*(1+INDEX(Market_Daily!$I$6:$I$256,MATCH($A1007,Market_Daily!$A$6:$A$256,0))*($M1007-$A1007)/day_count_inr)/(1+INDEX(Market_Daily!$J$6:$J$256,MATCH($A1007,Market_Daily!$A$6:$A$256,0))*($M1007-$A1007)/day_count_usd)))))</f>
        <v/>
      </c>
      <c r="AM1007" s="8">
        <f>IF(OR($J1007="INR",$R1007&gt;1),"",$AL1007-$X1007)</f>
        <v/>
      </c>
      <c r="AN1007" s="8">
        <f>$U1007</f>
        <v/>
      </c>
      <c r="AO1007" s="8">
        <f>$V1007</f>
        <v/>
      </c>
      <c r="AP1007" s="18">
        <f>$AO1007-$V1007</f>
        <v/>
      </c>
      <c r="AQ1007" s="8">
        <f>IF(ABS($AP1007)&lt;=tol_trade_inr,"PASS","FAIL")</f>
        <v/>
      </c>
    </row>
    <row r="1008">
      <c r="A1008" s="11" t="n">
        <v>44742</v>
      </c>
      <c r="B1008" s="7" t="inlineStr">
        <is>
          <t>T05</t>
        </is>
      </c>
      <c r="C1008" s="7" t="inlineStr">
        <is>
          <t>PORT:L2</t>
        </is>
      </c>
      <c r="D1008" s="7" t="inlineStr">
        <is>
          <t>PORT</t>
        </is>
      </c>
      <c r="E1008" s="7" t="inlineStr">
        <is>
          <t>physical</t>
        </is>
      </c>
      <c r="F1008" s="7" t="inlineStr">
        <is>
          <t>L2</t>
        </is>
      </c>
      <c r="H1008" s="7" t="inlineStr">
        <is>
          <t>tense</t>
        </is>
      </c>
      <c r="I1008" s="7" t="inlineStr">
        <is>
          <t>USEC_MUN</t>
        </is>
      </c>
      <c r="J1008" s="7" t="inlineStr">
        <is>
          <t>INR</t>
        </is>
      </c>
      <c r="K1008" s="7" t="inlineStr">
        <is>
          <t>fixed_unsettled</t>
        </is>
      </c>
      <c r="L1008" s="7" t="inlineStr">
        <is>
          <t>PNL</t>
        </is>
      </c>
      <c r="M1008" s="11" t="n">
        <v>44749</v>
      </c>
      <c r="N1008" s="13" t="n">
        <v>0</v>
      </c>
      <c r="O1008" s="6" t="n">
        <v>0</v>
      </c>
      <c r="P1008" s="13" t="n">
        <v>0</v>
      </c>
      <c r="Q1008" s="22" t="n">
        <v>30</v>
      </c>
      <c r="R1008" s="6" t="n">
        <v>1</v>
      </c>
      <c r="U1008" s="9" t="n">
        <v>-2782500</v>
      </c>
      <c r="V1008" s="9" t="n">
        <v>-2782500</v>
      </c>
      <c r="X1008" s="9" t="n">
        <v>79.0536</v>
      </c>
      <c r="AK1008" s="7" t="inlineStr">
        <is>
          <t>PYTHON_LIFECYCLE</t>
        </is>
      </c>
      <c r="AL1008" s="8">
        <f>IF($J1008="INR",1,IF($M1008&lt;$A1008,INDEX(Market_Daily!$F$6:$F$256,MATCH($M1008,Market_Daily!$A$6:$A$256,1)),IF($M1008=$A1008,INDEX(Market_Daily!$F$6:$F$256,MATCH($A1008,Market_Daily!$A$6:$A$256,0)),(INDEX(Market_Daily!$F$6:$F$256,MATCH($A1008,Market_Daily!$A$6:$A$256,0))*(1+INDEX(Market_Daily!$I$6:$I$256,MATCH($A1008,Market_Daily!$A$6:$A$256,0))*($M1008-$A1008)/day_count_inr)/(1+INDEX(Market_Daily!$J$6:$J$256,MATCH($A1008,Market_Daily!$A$6:$A$256,0))*($M1008-$A1008)/day_count_usd)))))</f>
        <v/>
      </c>
      <c r="AM1008" s="8">
        <f>IF(OR($J1008="INR",$R1008&gt;1),"",$AL1008-$X1008)</f>
        <v/>
      </c>
      <c r="AN1008" s="8">
        <f>$U1008</f>
        <v/>
      </c>
      <c r="AO1008" s="8">
        <f>$AN1008*IF($J1008="INR",1,$AL1008)</f>
        <v/>
      </c>
      <c r="AP1008" s="18">
        <f>$AO1008-$V1008</f>
        <v/>
      </c>
      <c r="AQ1008" s="8">
        <f>IF(ABS($AP1008)&lt;=tol_trade_inr,"PASS","FAIL")</f>
        <v/>
      </c>
    </row>
    <row r="1009">
      <c r="A1009" s="11" t="n">
        <v>44742</v>
      </c>
      <c r="B1009" s="7" t="inlineStr">
        <is>
          <t>T05</t>
        </is>
      </c>
      <c r="C1009" s="7" t="inlineStr">
        <is>
          <t>PURCHASE:L1</t>
        </is>
      </c>
      <c r="D1009" s="7" t="inlineStr">
        <is>
          <t>PURCHASE</t>
        </is>
      </c>
      <c r="E1009" s="7" t="inlineStr">
        <is>
          <t>physical</t>
        </is>
      </c>
      <c r="F1009" s="7" t="inlineStr">
        <is>
          <t>L1</t>
        </is>
      </c>
      <c r="G1009" s="7" t="inlineStr">
        <is>
          <t>SUP_USEC_01</t>
        </is>
      </c>
      <c r="H1009" s="7" t="inlineStr">
        <is>
          <t>tense</t>
        </is>
      </c>
      <c r="I1009" s="7" t="inlineStr">
        <is>
          <t>USEC_MUN</t>
        </is>
      </c>
      <c r="J1009" s="7" t="inlineStr">
        <is>
          <t>USD</t>
        </is>
      </c>
      <c r="K1009" s="7" t="inlineStr">
        <is>
          <t>fixed_unsettled</t>
        </is>
      </c>
      <c r="L1009" s="7" t="inlineStr">
        <is>
          <t>PNL</t>
        </is>
      </c>
      <c r="M1009" s="11" t="n">
        <v>44753</v>
      </c>
      <c r="N1009" s="13" t="n">
        <v>2100</v>
      </c>
      <c r="O1009" s="6" t="n">
        <v>0</v>
      </c>
      <c r="P1009" s="13" t="n">
        <v>0</v>
      </c>
      <c r="Q1009" s="22" t="n">
        <v>30</v>
      </c>
      <c r="R1009" s="6" t="n">
        <v>2</v>
      </c>
      <c r="U1009" s="9" t="n">
        <v>-1889132.02</v>
      </c>
      <c r="V1009" s="9" t="n">
        <v>-149497490.61</v>
      </c>
      <c r="X1009" s="9" t="n">
        <v>79.1358</v>
      </c>
      <c r="AK1009" s="7" t="inlineStr">
        <is>
          <t>PYTHON_MULTI_FLOW_LEG</t>
        </is>
      </c>
      <c r="AL1009" s="8">
        <f>IF($J1009="INR",1,IF($M1009&lt;$A1009,INDEX(Market_Daily!$F$6:$F$256,MATCH($M1009,Market_Daily!$A$6:$A$256,1)),IF($M1009=$A1009,INDEX(Market_Daily!$F$6:$F$256,MATCH($A1009,Market_Daily!$A$6:$A$256,0)),(INDEX(Market_Daily!$F$6:$F$256,MATCH($A1009,Market_Daily!$A$6:$A$256,0))*(1+INDEX(Market_Daily!$I$6:$I$256,MATCH($A1009,Market_Daily!$A$6:$A$256,0))*($M1009-$A1009)/day_count_inr)/(1+INDEX(Market_Daily!$J$6:$J$256,MATCH($A1009,Market_Daily!$A$6:$A$256,0))*($M1009-$A1009)/day_count_usd)))))</f>
        <v/>
      </c>
      <c r="AM1009" s="8">
        <f>IF(OR($J1009="INR",$R1009&gt;1),"",$AL1009-$X1009)</f>
        <v/>
      </c>
      <c r="AN1009" s="8">
        <f>$U1009</f>
        <v/>
      </c>
      <c r="AO1009" s="8">
        <f>$V1009</f>
        <v/>
      </c>
      <c r="AP1009" s="18">
        <f>$AO1009-$V1009</f>
        <v/>
      </c>
      <c r="AQ1009" s="8">
        <f>IF(ABS($AP1009)&lt;=tol_trade_inr,"PASS","FAIL")</f>
        <v/>
      </c>
    </row>
    <row r="1010">
      <c r="A1010" s="11" t="n">
        <v>44742</v>
      </c>
      <c r="B1010" s="7" t="inlineStr">
        <is>
          <t>T05</t>
        </is>
      </c>
      <c r="C1010" s="7" t="inlineStr">
        <is>
          <t>PURCHASE:L2</t>
        </is>
      </c>
      <c r="D1010" s="7" t="inlineStr">
        <is>
          <t>PURCHASE</t>
        </is>
      </c>
      <c r="E1010" s="7" t="inlineStr">
        <is>
          <t>physical</t>
        </is>
      </c>
      <c r="F1010" s="7" t="inlineStr">
        <is>
          <t>L2</t>
        </is>
      </c>
      <c r="G1010" s="7" t="inlineStr">
        <is>
          <t>SUP_USEC_01</t>
        </is>
      </c>
      <c r="H1010" s="7" t="inlineStr">
        <is>
          <t>tense</t>
        </is>
      </c>
      <c r="I1010" s="7" t="inlineStr">
        <is>
          <t>USEC_MUN</t>
        </is>
      </c>
      <c r="J1010" s="7" t="inlineStr">
        <is>
          <t>USD</t>
        </is>
      </c>
      <c r="K1010" s="7" t="inlineStr">
        <is>
          <t>fixed_unsettled</t>
        </is>
      </c>
      <c r="L1010" s="7" t="inlineStr">
        <is>
          <t>PNL</t>
        </is>
      </c>
      <c r="M1010" s="11" t="n">
        <v>44760</v>
      </c>
      <c r="N1010" s="13" t="n">
        <v>2100</v>
      </c>
      <c r="O1010" s="6" t="n">
        <v>0</v>
      </c>
      <c r="P1010" s="13" t="n">
        <v>0</v>
      </c>
      <c r="Q1010" s="22" t="n">
        <v>30</v>
      </c>
      <c r="R1010" s="6" t="n">
        <v>2</v>
      </c>
      <c r="U1010" s="9" t="n">
        <v>-1889132.02</v>
      </c>
      <c r="V1010" s="9" t="n">
        <v>-149605096.2</v>
      </c>
      <c r="X1010" s="9" t="n">
        <v>79.188</v>
      </c>
      <c r="AK1010" s="7" t="inlineStr">
        <is>
          <t>PYTHON_MULTI_FLOW_LEG</t>
        </is>
      </c>
      <c r="AL1010" s="8">
        <f>IF($J1010="INR",1,IF($M1010&lt;$A1010,INDEX(Market_Daily!$F$6:$F$256,MATCH($M1010,Market_Daily!$A$6:$A$256,1)),IF($M1010=$A1010,INDEX(Market_Daily!$F$6:$F$256,MATCH($A1010,Market_Daily!$A$6:$A$256,0)),(INDEX(Market_Daily!$F$6:$F$256,MATCH($A1010,Market_Daily!$A$6:$A$256,0))*(1+INDEX(Market_Daily!$I$6:$I$256,MATCH($A1010,Market_Daily!$A$6:$A$256,0))*($M1010-$A1010)/day_count_inr)/(1+INDEX(Market_Daily!$J$6:$J$256,MATCH($A1010,Market_Daily!$A$6:$A$256,0))*($M1010-$A1010)/day_count_usd)))))</f>
        <v/>
      </c>
      <c r="AM1010" s="8">
        <f>IF(OR($J1010="INR",$R1010&gt;1),"",$AL1010-$X1010)</f>
        <v/>
      </c>
      <c r="AN1010" s="8">
        <f>$U1010</f>
        <v/>
      </c>
      <c r="AO1010" s="8">
        <f>$V1010</f>
        <v/>
      </c>
      <c r="AP1010" s="18">
        <f>$AO1010-$V1010</f>
        <v/>
      </c>
      <c r="AQ1010" s="8">
        <f>IF(ABS($AP1010)&lt;=tol_trade_inr,"PASS","FAIL")</f>
        <v/>
      </c>
    </row>
    <row r="1011">
      <c r="A1011" s="11" t="n">
        <v>44742</v>
      </c>
      <c r="B1011" s="7" t="inlineStr">
        <is>
          <t>T05</t>
        </is>
      </c>
      <c r="C1011" s="7" t="inlineStr">
        <is>
          <t>SALE:S1</t>
        </is>
      </c>
      <c r="D1011" s="7" t="inlineStr">
        <is>
          <t>SALE</t>
        </is>
      </c>
      <c r="E1011" s="7" t="inlineStr">
        <is>
          <t>physical</t>
        </is>
      </c>
      <c r="G1011" s="7" t="inlineStr">
        <is>
          <t>BUY_MUN_01</t>
        </is>
      </c>
      <c r="H1011" s="7" t="inlineStr">
        <is>
          <t>tense</t>
        </is>
      </c>
      <c r="I1011" s="7" t="inlineStr">
        <is>
          <t>USEC_MUN</t>
        </is>
      </c>
      <c r="J1011" s="7" t="inlineStr">
        <is>
          <t>INR</t>
        </is>
      </c>
      <c r="K1011" s="7" t="inlineStr">
        <is>
          <t>floating</t>
        </is>
      </c>
      <c r="L1011" s="7" t="inlineStr">
        <is>
          <t>PNL</t>
        </is>
      </c>
      <c r="M1011" s="11" t="n">
        <v>44781</v>
      </c>
      <c r="N1011" s="13" t="n">
        <v>2100</v>
      </c>
      <c r="O1011" s="6" t="n">
        <v>0</v>
      </c>
      <c r="P1011" s="13" t="n">
        <v>0</v>
      </c>
      <c r="Q1011" s="22" t="n">
        <v>30</v>
      </c>
      <c r="R1011" s="6" t="n">
        <v>1</v>
      </c>
      <c r="U1011" s="9" t="n">
        <v>310342176.02</v>
      </c>
      <c r="V1011" s="9" t="n">
        <v>310342176.02</v>
      </c>
      <c r="W1011" s="9" t="n">
        <v>147781.9886</v>
      </c>
      <c r="X1011" s="9" t="n">
        <v>79.0536</v>
      </c>
      <c r="AK1011" s="7" t="inlineStr">
        <is>
          <t>PYTHON_LIFECYCLE</t>
        </is>
      </c>
      <c r="AL1011" s="8">
        <f>IF($J1011="INR",1,IF($M1011&lt;$A1011,INDEX(Market_Daily!$F$6:$F$256,MATCH($M1011,Market_Daily!$A$6:$A$256,1)),IF($M1011=$A1011,INDEX(Market_Daily!$F$6:$F$256,MATCH($A1011,Market_Daily!$A$6:$A$256,0)),(INDEX(Market_Daily!$F$6:$F$256,MATCH($A1011,Market_Daily!$A$6:$A$256,0))*(1+INDEX(Market_Daily!$I$6:$I$256,MATCH($A1011,Market_Daily!$A$6:$A$256,0))*($M1011-$A1011)/day_count_inr)/(1+INDEX(Market_Daily!$J$6:$J$256,MATCH($A1011,Market_Daily!$A$6:$A$256,0))*($M1011-$A1011)/day_count_usd)))))</f>
        <v/>
      </c>
      <c r="AM1011" s="8">
        <f>IF(OR($J1011="INR",$R1011&gt;1),"",$AL1011-$X1011)</f>
        <v/>
      </c>
      <c r="AN1011" s="8">
        <f>$U1011</f>
        <v/>
      </c>
      <c r="AO1011" s="8">
        <f>$AN1011*IF($J1011="INR",1,$AL1011)</f>
        <v/>
      </c>
      <c r="AP1011" s="18">
        <f>$AO1011-$V1011</f>
        <v/>
      </c>
      <c r="AQ1011" s="8">
        <f>IF(ABS($AP1011)&lt;=tol_trade_inr,"PASS","FAIL")</f>
        <v/>
      </c>
    </row>
    <row r="1012">
      <c r="A1012" s="11" t="n">
        <v>44742</v>
      </c>
      <c r="B1012" s="7" t="inlineStr">
        <is>
          <t>T05</t>
        </is>
      </c>
      <c r="C1012" s="7" t="inlineStr">
        <is>
          <t>USANCE_INTEREST:L1</t>
        </is>
      </c>
      <c r="D1012" s="7" t="inlineStr">
        <is>
          <t>USANCE_INTEREST</t>
        </is>
      </c>
      <c r="E1012" s="7" t="inlineStr">
        <is>
          <t>physical</t>
        </is>
      </c>
      <c r="F1012" s="7" t="inlineStr">
        <is>
          <t>L1</t>
        </is>
      </c>
      <c r="H1012" s="7" t="inlineStr">
        <is>
          <t>tense</t>
        </is>
      </c>
      <c r="I1012" s="7" t="inlineStr">
        <is>
          <t>USEC_MUN</t>
        </is>
      </c>
      <c r="J1012" s="7" t="inlineStr">
        <is>
          <t>USD</t>
        </is>
      </c>
      <c r="K1012" s="7" t="inlineStr">
        <is>
          <t>fixed_unsettled</t>
        </is>
      </c>
      <c r="L1012" s="7" t="inlineStr">
        <is>
          <t>PNL</t>
        </is>
      </c>
      <c r="M1012" s="11" t="n">
        <v>44753</v>
      </c>
      <c r="N1012" s="13" t="n">
        <v>0</v>
      </c>
      <c r="O1012" s="6" t="n">
        <v>0</v>
      </c>
      <c r="P1012" s="13" t="n">
        <v>0</v>
      </c>
      <c r="Q1012" s="22" t="n">
        <v>30</v>
      </c>
      <c r="R1012" s="6" t="n">
        <v>1</v>
      </c>
      <c r="U1012" s="9" t="n">
        <v>-8014.35</v>
      </c>
      <c r="V1012" s="9" t="n">
        <v>-634221.89</v>
      </c>
      <c r="X1012" s="9" t="n">
        <v>79.1358</v>
      </c>
      <c r="AK1012" s="7" t="inlineStr">
        <is>
          <t>PYTHON_LIFECYCLE</t>
        </is>
      </c>
      <c r="AL1012" s="8">
        <f>IF($J1012="INR",1,IF($M1012&lt;$A1012,INDEX(Market_Daily!$F$6:$F$256,MATCH($M1012,Market_Daily!$A$6:$A$256,1)),IF($M1012=$A1012,INDEX(Market_Daily!$F$6:$F$256,MATCH($A1012,Market_Daily!$A$6:$A$256,0)),(INDEX(Market_Daily!$F$6:$F$256,MATCH($A1012,Market_Daily!$A$6:$A$256,0))*(1+INDEX(Market_Daily!$I$6:$I$256,MATCH($A1012,Market_Daily!$A$6:$A$256,0))*($M1012-$A1012)/day_count_inr)/(1+INDEX(Market_Daily!$J$6:$J$256,MATCH($A1012,Market_Daily!$A$6:$A$256,0))*($M1012-$A1012)/day_count_usd)))))</f>
        <v/>
      </c>
      <c r="AM1012" s="8">
        <f>IF(OR($J1012="INR",$R1012&gt;1),"",$AL1012-$X1012)</f>
        <v/>
      </c>
      <c r="AN1012" s="8">
        <f>$U1012</f>
        <v/>
      </c>
      <c r="AO1012" s="8">
        <f>$AN1012*IF($J1012="INR",1,$AL1012)</f>
        <v/>
      </c>
      <c r="AP1012" s="18">
        <f>$AO1012-$V1012</f>
        <v/>
      </c>
      <c r="AQ1012" s="8">
        <f>IF(ABS($AP1012)&lt;=tol_trade_inr,"PASS","FAIL")</f>
        <v/>
      </c>
    </row>
    <row r="1013">
      <c r="A1013" s="11" t="n">
        <v>44742</v>
      </c>
      <c r="B1013" s="7" t="inlineStr">
        <is>
          <t>T05</t>
        </is>
      </c>
      <c r="C1013" s="7" t="inlineStr">
        <is>
          <t>USANCE_INTEREST:L2</t>
        </is>
      </c>
      <c r="D1013" s="7" t="inlineStr">
        <is>
          <t>USANCE_INTEREST</t>
        </is>
      </c>
      <c r="E1013" s="7" t="inlineStr">
        <is>
          <t>physical</t>
        </is>
      </c>
      <c r="F1013" s="7" t="inlineStr">
        <is>
          <t>L2</t>
        </is>
      </c>
      <c r="H1013" s="7" t="inlineStr">
        <is>
          <t>tense</t>
        </is>
      </c>
      <c r="I1013" s="7" t="inlineStr">
        <is>
          <t>USEC_MUN</t>
        </is>
      </c>
      <c r="J1013" s="7" t="inlineStr">
        <is>
          <t>USD</t>
        </is>
      </c>
      <c r="K1013" s="7" t="inlineStr">
        <is>
          <t>fixed_unsettled</t>
        </is>
      </c>
      <c r="L1013" s="7" t="inlineStr">
        <is>
          <t>PNL</t>
        </is>
      </c>
      <c r="M1013" s="11" t="n">
        <v>44760</v>
      </c>
      <c r="N1013" s="13" t="n">
        <v>0</v>
      </c>
      <c r="O1013" s="6" t="n">
        <v>0</v>
      </c>
      <c r="P1013" s="13" t="n">
        <v>0</v>
      </c>
      <c r="Q1013" s="22" t="n">
        <v>30</v>
      </c>
      <c r="R1013" s="6" t="n">
        <v>1</v>
      </c>
      <c r="U1013" s="9" t="n">
        <v>-8484.440000000001</v>
      </c>
      <c r="V1013" s="9" t="n">
        <v>-671865.65</v>
      </c>
      <c r="X1013" s="9" t="n">
        <v>79.188</v>
      </c>
      <c r="AK1013" s="7" t="inlineStr">
        <is>
          <t>PYTHON_LIFECYCLE</t>
        </is>
      </c>
      <c r="AL1013" s="8">
        <f>IF($J1013="INR",1,IF($M1013&lt;$A1013,INDEX(Market_Daily!$F$6:$F$256,MATCH($M1013,Market_Daily!$A$6:$A$256,1)),IF($M1013=$A1013,INDEX(Market_Daily!$F$6:$F$256,MATCH($A1013,Market_Daily!$A$6:$A$256,0)),(INDEX(Market_Daily!$F$6:$F$256,MATCH($A1013,Market_Daily!$A$6:$A$256,0))*(1+INDEX(Market_Daily!$I$6:$I$256,MATCH($A1013,Market_Daily!$A$6:$A$256,0))*($M1013-$A1013)/day_count_inr)/(1+INDEX(Market_Daily!$J$6:$J$256,MATCH($A1013,Market_Daily!$A$6:$A$256,0))*($M1013-$A1013)/day_count_usd)))))</f>
        <v/>
      </c>
      <c r="AM1013" s="8">
        <f>IF(OR($J1013="INR",$R1013&gt;1),"",$AL1013-$X1013)</f>
        <v/>
      </c>
      <c r="AN1013" s="8">
        <f>$U1013</f>
        <v/>
      </c>
      <c r="AO1013" s="8">
        <f>$AN1013*IF($J1013="INR",1,$AL1013)</f>
        <v/>
      </c>
      <c r="AP1013" s="18">
        <f>$AO1013-$V1013</f>
        <v/>
      </c>
      <c r="AQ1013" s="8">
        <f>IF(ABS($AP1013)&lt;=tol_trade_inr,"PASS","FAIL")</f>
        <v/>
      </c>
    </row>
    <row r="1014">
      <c r="A1014" s="11" t="n">
        <v>44742</v>
      </c>
      <c r="B1014" s="7" t="inlineStr">
        <is>
          <t>T06</t>
        </is>
      </c>
      <c r="C1014" s="7" t="inlineStr">
        <is>
          <t>IGST:L1</t>
        </is>
      </c>
      <c r="D1014" s="7" t="inlineStr">
        <is>
          <t>IGST</t>
        </is>
      </c>
      <c r="E1014" s="7" t="inlineStr">
        <is>
          <t>physical</t>
        </is>
      </c>
      <c r="F1014" s="7" t="inlineStr">
        <is>
          <t>L1</t>
        </is>
      </c>
      <c r="H1014" s="7" t="inlineStr">
        <is>
          <t>zorba</t>
        </is>
      </c>
      <c r="I1014" s="7" t="inlineStr">
        <is>
          <t>JEA_NSA</t>
        </is>
      </c>
      <c r="J1014" s="7" t="inlineStr">
        <is>
          <t>INR</t>
        </is>
      </c>
      <c r="K1014" s="7" t="inlineStr">
        <is>
          <t>fixed_unsettled</t>
        </is>
      </c>
      <c r="L1014" s="7" t="inlineStr">
        <is>
          <t>BS</t>
        </is>
      </c>
      <c r="M1014" s="11" t="n">
        <v>44757</v>
      </c>
      <c r="N1014" s="13" t="n">
        <v>0</v>
      </c>
      <c r="O1014" s="6" t="n">
        <v>0</v>
      </c>
      <c r="P1014" s="13" t="n">
        <v>0</v>
      </c>
      <c r="Q1014" s="22" t="n">
        <v>30</v>
      </c>
      <c r="R1014" s="6" t="n">
        <v>2</v>
      </c>
      <c r="U1014" s="9" t="n">
        <v>0</v>
      </c>
      <c r="V1014" s="9" t="n">
        <v>0</v>
      </c>
      <c r="X1014" s="9" t="n">
        <v>79.0536</v>
      </c>
      <c r="AK1014" s="7" t="inlineStr">
        <is>
          <t>PYTHON_MULTI_FLOW_LEG</t>
        </is>
      </c>
      <c r="AL1014" s="8">
        <f>IF($J1014="INR",1,IF($M1014&lt;$A1014,INDEX(Market_Daily!$F$6:$F$256,MATCH($M1014,Market_Daily!$A$6:$A$256,1)),IF($M1014=$A1014,INDEX(Market_Daily!$F$6:$F$256,MATCH($A1014,Market_Daily!$A$6:$A$256,0)),(INDEX(Market_Daily!$F$6:$F$256,MATCH($A1014,Market_Daily!$A$6:$A$256,0))*(1+INDEX(Market_Daily!$I$6:$I$256,MATCH($A1014,Market_Daily!$A$6:$A$256,0))*($M1014-$A1014)/day_count_inr)/(1+INDEX(Market_Daily!$J$6:$J$256,MATCH($A1014,Market_Daily!$A$6:$A$256,0))*($M1014-$A1014)/day_count_usd)))))</f>
        <v/>
      </c>
      <c r="AM1014" s="8">
        <f>IF(OR($J1014="INR",$R1014&gt;1),"",$AL1014-$X1014)</f>
        <v/>
      </c>
      <c r="AN1014" s="8">
        <f>$U1014</f>
        <v/>
      </c>
      <c r="AO1014" s="8">
        <f>$V1014</f>
        <v/>
      </c>
      <c r="AP1014" s="18">
        <f>$AO1014-$V1014</f>
        <v/>
      </c>
      <c r="AQ1014" s="8">
        <f>IF(ABS($AP1014)&lt;=tol_trade_inr,"PASS","FAIL")</f>
        <v/>
      </c>
    </row>
    <row r="1015">
      <c r="A1015" s="11" t="n">
        <v>44742</v>
      </c>
      <c r="B1015" s="7" t="inlineStr">
        <is>
          <t>T06</t>
        </is>
      </c>
      <c r="C1015" s="7" t="inlineStr">
        <is>
          <t>IGST:L2</t>
        </is>
      </c>
      <c r="D1015" s="7" t="inlineStr">
        <is>
          <t>IGST</t>
        </is>
      </c>
      <c r="E1015" s="7" t="inlineStr">
        <is>
          <t>physical</t>
        </is>
      </c>
      <c r="F1015" s="7" t="inlineStr">
        <is>
          <t>L2</t>
        </is>
      </c>
      <c r="H1015" s="7" t="inlineStr">
        <is>
          <t>zorba</t>
        </is>
      </c>
      <c r="I1015" s="7" t="inlineStr">
        <is>
          <t>JEA_NSA</t>
        </is>
      </c>
      <c r="J1015" s="7" t="inlineStr">
        <is>
          <t>INR</t>
        </is>
      </c>
      <c r="K1015" s="7" t="inlineStr">
        <is>
          <t>fixed_unsettled</t>
        </is>
      </c>
      <c r="L1015" s="7" t="inlineStr">
        <is>
          <t>BS</t>
        </is>
      </c>
      <c r="M1015" s="11" t="n">
        <v>44770</v>
      </c>
      <c r="N1015" s="13" t="n">
        <v>0</v>
      </c>
      <c r="O1015" s="6" t="n">
        <v>0</v>
      </c>
      <c r="P1015" s="13" t="n">
        <v>0</v>
      </c>
      <c r="Q1015" s="22" t="n">
        <v>30</v>
      </c>
      <c r="R1015" s="6" t="n">
        <v>2</v>
      </c>
      <c r="U1015" s="9" t="n">
        <v>0</v>
      </c>
      <c r="V1015" s="9" t="n">
        <v>0</v>
      </c>
      <c r="X1015" s="9" t="n">
        <v>79.0536</v>
      </c>
      <c r="AK1015" s="7" t="inlineStr">
        <is>
          <t>PYTHON_MULTI_FLOW_LEG</t>
        </is>
      </c>
      <c r="AL1015" s="8">
        <f>IF($J1015="INR",1,IF($M1015&lt;$A1015,INDEX(Market_Daily!$F$6:$F$256,MATCH($M1015,Market_Daily!$A$6:$A$256,1)),IF($M1015=$A1015,INDEX(Market_Daily!$F$6:$F$256,MATCH($A1015,Market_Daily!$A$6:$A$256,0)),(INDEX(Market_Daily!$F$6:$F$256,MATCH($A1015,Market_Daily!$A$6:$A$256,0))*(1+INDEX(Market_Daily!$I$6:$I$256,MATCH($A1015,Market_Daily!$A$6:$A$256,0))*($M1015-$A1015)/day_count_inr)/(1+INDEX(Market_Daily!$J$6:$J$256,MATCH($A1015,Market_Daily!$A$6:$A$256,0))*($M1015-$A1015)/day_count_usd)))))</f>
        <v/>
      </c>
      <c r="AM1015" s="8">
        <f>IF(OR($J1015="INR",$R1015&gt;1),"",$AL1015-$X1015)</f>
        <v/>
      </c>
      <c r="AN1015" s="8">
        <f>$U1015</f>
        <v/>
      </c>
      <c r="AO1015" s="8">
        <f>$V1015</f>
        <v/>
      </c>
      <c r="AP1015" s="18">
        <f>$AO1015-$V1015</f>
        <v/>
      </c>
      <c r="AQ1015" s="8">
        <f>IF(ABS($AP1015)&lt;=tol_trade_inr,"PASS","FAIL")</f>
        <v/>
      </c>
    </row>
    <row r="1016">
      <c r="A1016" s="11" t="n">
        <v>44742</v>
      </c>
      <c r="B1016" s="7" t="inlineStr">
        <is>
          <t>T06</t>
        </is>
      </c>
      <c r="C1016" s="7" t="inlineStr">
        <is>
          <t>SALE:S1</t>
        </is>
      </c>
      <c r="D1016" s="7" t="inlineStr">
        <is>
          <t>SALE</t>
        </is>
      </c>
      <c r="E1016" s="7" t="inlineStr">
        <is>
          <t>physical</t>
        </is>
      </c>
      <c r="G1016" s="7" t="inlineStr">
        <is>
          <t>BUY_JNPT_01</t>
        </is>
      </c>
      <c r="H1016" s="7" t="inlineStr">
        <is>
          <t>zorba</t>
        </is>
      </c>
      <c r="I1016" s="7" t="inlineStr">
        <is>
          <t>JEA_NSA</t>
        </is>
      </c>
      <c r="J1016" s="7" t="inlineStr">
        <is>
          <t>INR</t>
        </is>
      </c>
      <c r="K1016" s="7" t="inlineStr">
        <is>
          <t>fixed_unsettled</t>
        </is>
      </c>
      <c r="L1016" s="7" t="inlineStr">
        <is>
          <t>PNL</t>
        </is>
      </c>
      <c r="M1016" s="11" t="n">
        <v>44781</v>
      </c>
      <c r="N1016" s="13" t="n">
        <v>1300</v>
      </c>
      <c r="O1016" s="6" t="n">
        <v>0</v>
      </c>
      <c r="P1016" s="13" t="n">
        <v>0</v>
      </c>
      <c r="Q1016" s="22" t="n">
        <v>30</v>
      </c>
      <c r="R1016" s="6" t="n">
        <v>1</v>
      </c>
      <c r="U1016" s="9" t="n">
        <v>240825000</v>
      </c>
      <c r="V1016" s="9" t="n">
        <v>240825000</v>
      </c>
      <c r="W1016" s="9" t="n">
        <v>185250</v>
      </c>
      <c r="X1016" s="9" t="n">
        <v>79.0536</v>
      </c>
      <c r="AK1016" s="7" t="inlineStr">
        <is>
          <t>PYTHON_LIFECYCLE</t>
        </is>
      </c>
      <c r="AL1016" s="8">
        <f>IF($J1016="INR",1,IF($M1016&lt;$A1016,INDEX(Market_Daily!$F$6:$F$256,MATCH($M1016,Market_Daily!$A$6:$A$256,1)),IF($M1016=$A1016,INDEX(Market_Daily!$F$6:$F$256,MATCH($A1016,Market_Daily!$A$6:$A$256,0)),(INDEX(Market_Daily!$F$6:$F$256,MATCH($A1016,Market_Daily!$A$6:$A$256,0))*(1+INDEX(Market_Daily!$I$6:$I$256,MATCH($A1016,Market_Daily!$A$6:$A$256,0))*($M1016-$A1016)/day_count_inr)/(1+INDEX(Market_Daily!$J$6:$J$256,MATCH($A1016,Market_Daily!$A$6:$A$256,0))*($M1016-$A1016)/day_count_usd)))))</f>
        <v/>
      </c>
      <c r="AM1016" s="8">
        <f>IF(OR($J1016="INR",$R1016&gt;1),"",$AL1016-$X1016)</f>
        <v/>
      </c>
      <c r="AN1016" s="8">
        <f>$U1016</f>
        <v/>
      </c>
      <c r="AO1016" s="8">
        <f>$AN1016*IF($J1016="INR",1,$AL1016)</f>
        <v/>
      </c>
      <c r="AP1016" s="18">
        <f>$AO1016-$V1016</f>
        <v/>
      </c>
      <c r="AQ1016" s="8">
        <f>IF(ABS($AP1016)&lt;=tol_trade_inr,"PASS","FAIL")</f>
        <v/>
      </c>
    </row>
    <row r="1017">
      <c r="A1017" s="11" t="n">
        <v>44742</v>
      </c>
      <c r="B1017" s="7" t="inlineStr">
        <is>
          <t>T07</t>
        </is>
      </c>
      <c r="C1017" s="7" t="inlineStr">
        <is>
          <t>DUTY:L1</t>
        </is>
      </c>
      <c r="D1017" s="7" t="inlineStr">
        <is>
          <t>DUTY</t>
        </is>
      </c>
      <c r="E1017" s="7" t="inlineStr">
        <is>
          <t>physical</t>
        </is>
      </c>
      <c r="F1017" s="7" t="inlineStr">
        <is>
          <t>L1</t>
        </is>
      </c>
      <c r="H1017" s="7" t="inlineStr">
        <is>
          <t>tense</t>
        </is>
      </c>
      <c r="I1017" s="7" t="inlineStr">
        <is>
          <t>USEC_MUN</t>
        </is>
      </c>
      <c r="J1017" s="7" t="inlineStr">
        <is>
          <t>INR</t>
        </is>
      </c>
      <c r="K1017" s="7" t="inlineStr">
        <is>
          <t>floating</t>
        </is>
      </c>
      <c r="L1017" s="7" t="inlineStr">
        <is>
          <t>PNL</t>
        </is>
      </c>
      <c r="M1017" s="11" t="n">
        <v>44761</v>
      </c>
      <c r="N1017" s="13" t="n">
        <v>945</v>
      </c>
      <c r="O1017" s="6" t="n">
        <v>0</v>
      </c>
      <c r="P1017" s="13" t="n">
        <v>0</v>
      </c>
      <c r="Q1017" s="22" t="n">
        <v>30</v>
      </c>
      <c r="R1017" s="6" t="n">
        <v>1</v>
      </c>
      <c r="U1017" s="9" t="n">
        <v>-4470416.82</v>
      </c>
      <c r="V1017" s="9" t="n">
        <v>-4470416.82</v>
      </c>
      <c r="X1017" s="9" t="n">
        <v>79.0536</v>
      </c>
      <c r="AK1017" s="7" t="inlineStr">
        <is>
          <t>PYTHON_LIFECYCLE</t>
        </is>
      </c>
      <c r="AL1017" s="8">
        <f>IF($J1017="INR",1,IF($M1017&lt;$A1017,INDEX(Market_Daily!$F$6:$F$256,MATCH($M1017,Market_Daily!$A$6:$A$256,1)),IF($M1017=$A1017,INDEX(Market_Daily!$F$6:$F$256,MATCH($A1017,Market_Daily!$A$6:$A$256,0)),(INDEX(Market_Daily!$F$6:$F$256,MATCH($A1017,Market_Daily!$A$6:$A$256,0))*(1+INDEX(Market_Daily!$I$6:$I$256,MATCH($A1017,Market_Daily!$A$6:$A$256,0))*($M1017-$A1017)/day_count_inr)/(1+INDEX(Market_Daily!$J$6:$J$256,MATCH($A1017,Market_Daily!$A$6:$A$256,0))*($M1017-$A1017)/day_count_usd)))))</f>
        <v/>
      </c>
      <c r="AM1017" s="8">
        <f>IF(OR($J1017="INR",$R1017&gt;1),"",$AL1017-$X1017)</f>
        <v/>
      </c>
      <c r="AN1017" s="8">
        <f>$U1017</f>
        <v/>
      </c>
      <c r="AO1017" s="8">
        <f>$AN1017*IF($J1017="INR",1,$AL1017)</f>
        <v/>
      </c>
      <c r="AP1017" s="18">
        <f>$AO1017-$V1017</f>
        <v/>
      </c>
      <c r="AQ1017" s="8">
        <f>IF(ABS($AP1017)&lt;=tol_trade_inr,"PASS","FAIL")</f>
        <v/>
      </c>
    </row>
    <row r="1018">
      <c r="A1018" s="11" t="n">
        <v>44742</v>
      </c>
      <c r="B1018" s="7" t="inlineStr">
        <is>
          <t>T07</t>
        </is>
      </c>
      <c r="C1018" s="7" t="inlineStr">
        <is>
          <t>DUTY:L2</t>
        </is>
      </c>
      <c r="D1018" s="7" t="inlineStr">
        <is>
          <t>DUTY</t>
        </is>
      </c>
      <c r="E1018" s="7" t="inlineStr">
        <is>
          <t>physical</t>
        </is>
      </c>
      <c r="F1018" s="7" t="inlineStr">
        <is>
          <t>L2</t>
        </is>
      </c>
      <c r="H1018" s="7" t="inlineStr">
        <is>
          <t>tense</t>
        </is>
      </c>
      <c r="I1018" s="7" t="inlineStr">
        <is>
          <t>USEC_MUN</t>
        </is>
      </c>
      <c r="J1018" s="7" t="inlineStr">
        <is>
          <t>INR</t>
        </is>
      </c>
      <c r="K1018" s="7" t="inlineStr">
        <is>
          <t>floating</t>
        </is>
      </c>
      <c r="L1018" s="7" t="inlineStr">
        <is>
          <t>PNL</t>
        </is>
      </c>
      <c r="M1018" s="11" t="n">
        <v>44768</v>
      </c>
      <c r="N1018" s="13" t="n">
        <v>945</v>
      </c>
      <c r="O1018" s="6" t="n">
        <v>0</v>
      </c>
      <c r="P1018" s="13" t="n">
        <v>0</v>
      </c>
      <c r="Q1018" s="22" t="n">
        <v>30</v>
      </c>
      <c r="R1018" s="6" t="n">
        <v>1</v>
      </c>
      <c r="U1018" s="9" t="n">
        <v>-4470416.82</v>
      </c>
      <c r="V1018" s="9" t="n">
        <v>-4470416.82</v>
      </c>
      <c r="X1018" s="9" t="n">
        <v>79.0536</v>
      </c>
      <c r="AK1018" s="7" t="inlineStr">
        <is>
          <t>PYTHON_LIFECYCLE</t>
        </is>
      </c>
      <c r="AL1018" s="8">
        <f>IF($J1018="INR",1,IF($M1018&lt;$A1018,INDEX(Market_Daily!$F$6:$F$256,MATCH($M1018,Market_Daily!$A$6:$A$256,1)),IF($M1018=$A1018,INDEX(Market_Daily!$F$6:$F$256,MATCH($A1018,Market_Daily!$A$6:$A$256,0)),(INDEX(Market_Daily!$F$6:$F$256,MATCH($A1018,Market_Daily!$A$6:$A$256,0))*(1+INDEX(Market_Daily!$I$6:$I$256,MATCH($A1018,Market_Daily!$A$6:$A$256,0))*($M1018-$A1018)/day_count_inr)/(1+INDEX(Market_Daily!$J$6:$J$256,MATCH($A1018,Market_Daily!$A$6:$A$256,0))*($M1018-$A1018)/day_count_usd)))))</f>
        <v/>
      </c>
      <c r="AM1018" s="8">
        <f>IF(OR($J1018="INR",$R1018&gt;1),"",$AL1018-$X1018)</f>
        <v/>
      </c>
      <c r="AN1018" s="8">
        <f>$U1018</f>
        <v/>
      </c>
      <c r="AO1018" s="8">
        <f>$AN1018*IF($J1018="INR",1,$AL1018)</f>
        <v/>
      </c>
      <c r="AP1018" s="18">
        <f>$AO1018-$V1018</f>
        <v/>
      </c>
      <c r="AQ1018" s="8">
        <f>IF(ABS($AP1018)&lt;=tol_trade_inr,"PASS","FAIL")</f>
        <v/>
      </c>
    </row>
    <row r="1019">
      <c r="A1019" s="11" t="n">
        <v>44742</v>
      </c>
      <c r="B1019" s="7" t="inlineStr">
        <is>
          <t>T07</t>
        </is>
      </c>
      <c r="C1019" s="7" t="inlineStr">
        <is>
          <t>IGST:L1</t>
        </is>
      </c>
      <c r="D1019" s="7" t="inlineStr">
        <is>
          <t>IGST</t>
        </is>
      </c>
      <c r="E1019" s="7" t="inlineStr">
        <is>
          <t>physical</t>
        </is>
      </c>
      <c r="F1019" s="7" t="inlineStr">
        <is>
          <t>L1</t>
        </is>
      </c>
      <c r="H1019" s="7" t="inlineStr">
        <is>
          <t>tense</t>
        </is>
      </c>
      <c r="I1019" s="7" t="inlineStr">
        <is>
          <t>USEC_MUN</t>
        </is>
      </c>
      <c r="J1019" s="7" t="inlineStr">
        <is>
          <t>INR</t>
        </is>
      </c>
      <c r="K1019" s="7" t="inlineStr">
        <is>
          <t>floating</t>
        </is>
      </c>
      <c r="L1019" s="7" t="inlineStr">
        <is>
          <t>BS</t>
        </is>
      </c>
      <c r="M1019" s="11" t="n">
        <v>44806</v>
      </c>
      <c r="N1019" s="13" t="n">
        <v>0</v>
      </c>
      <c r="O1019" s="6" t="n">
        <v>0</v>
      </c>
      <c r="P1019" s="13" t="n">
        <v>0</v>
      </c>
      <c r="Q1019" s="22" t="n">
        <v>30</v>
      </c>
      <c r="R1019" s="6" t="n">
        <v>2</v>
      </c>
      <c r="U1019" s="9" t="n">
        <v>0</v>
      </c>
      <c r="V1019" s="9" t="n">
        <v>0</v>
      </c>
      <c r="X1019" s="9" t="n">
        <v>79.0536</v>
      </c>
      <c r="AK1019" s="7" t="inlineStr">
        <is>
          <t>PYTHON_MULTI_FLOW_LEG</t>
        </is>
      </c>
      <c r="AL1019" s="8">
        <f>IF($J1019="INR",1,IF($M1019&lt;$A1019,INDEX(Market_Daily!$F$6:$F$256,MATCH($M1019,Market_Daily!$A$6:$A$256,1)),IF($M1019=$A1019,INDEX(Market_Daily!$F$6:$F$256,MATCH($A1019,Market_Daily!$A$6:$A$256,0)),(INDEX(Market_Daily!$F$6:$F$256,MATCH($A1019,Market_Daily!$A$6:$A$256,0))*(1+INDEX(Market_Daily!$I$6:$I$256,MATCH($A1019,Market_Daily!$A$6:$A$256,0))*($M1019-$A1019)/day_count_inr)/(1+INDEX(Market_Daily!$J$6:$J$256,MATCH($A1019,Market_Daily!$A$6:$A$256,0))*($M1019-$A1019)/day_count_usd)))))</f>
        <v/>
      </c>
      <c r="AM1019" s="8">
        <f>IF(OR($J1019="INR",$R1019&gt;1),"",$AL1019-$X1019)</f>
        <v/>
      </c>
      <c r="AN1019" s="8">
        <f>$U1019</f>
        <v/>
      </c>
      <c r="AO1019" s="8">
        <f>$V1019</f>
        <v/>
      </c>
      <c r="AP1019" s="18">
        <f>$AO1019-$V1019</f>
        <v/>
      </c>
      <c r="AQ1019" s="8">
        <f>IF(ABS($AP1019)&lt;=tol_trade_inr,"PASS","FAIL")</f>
        <v/>
      </c>
    </row>
    <row r="1020">
      <c r="A1020" s="11" t="n">
        <v>44742</v>
      </c>
      <c r="B1020" s="7" t="inlineStr">
        <is>
          <t>T07</t>
        </is>
      </c>
      <c r="C1020" s="7" t="inlineStr">
        <is>
          <t>IGST:L2</t>
        </is>
      </c>
      <c r="D1020" s="7" t="inlineStr">
        <is>
          <t>IGST</t>
        </is>
      </c>
      <c r="E1020" s="7" t="inlineStr">
        <is>
          <t>physical</t>
        </is>
      </c>
      <c r="F1020" s="7" t="inlineStr">
        <is>
          <t>L2</t>
        </is>
      </c>
      <c r="H1020" s="7" t="inlineStr">
        <is>
          <t>tense</t>
        </is>
      </c>
      <c r="I1020" s="7" t="inlineStr">
        <is>
          <t>USEC_MUN</t>
        </is>
      </c>
      <c r="J1020" s="7" t="inlineStr">
        <is>
          <t>INR</t>
        </is>
      </c>
      <c r="K1020" s="7" t="inlineStr">
        <is>
          <t>floating</t>
        </is>
      </c>
      <c r="L1020" s="7" t="inlineStr">
        <is>
          <t>BS</t>
        </is>
      </c>
      <c r="M1020" s="11" t="n">
        <v>44813</v>
      </c>
      <c r="N1020" s="13" t="n">
        <v>0</v>
      </c>
      <c r="O1020" s="6" t="n">
        <v>0</v>
      </c>
      <c r="P1020" s="13" t="n">
        <v>0</v>
      </c>
      <c r="Q1020" s="22" t="n">
        <v>30</v>
      </c>
      <c r="R1020" s="6" t="n">
        <v>2</v>
      </c>
      <c r="U1020" s="9" t="n">
        <v>0</v>
      </c>
      <c r="V1020" s="9" t="n">
        <v>0</v>
      </c>
      <c r="X1020" s="9" t="n">
        <v>79.0536</v>
      </c>
      <c r="AK1020" s="7" t="inlineStr">
        <is>
          <t>PYTHON_MULTI_FLOW_LEG</t>
        </is>
      </c>
      <c r="AL1020" s="8">
        <f>IF($J1020="INR",1,IF($M1020&lt;$A1020,INDEX(Market_Daily!$F$6:$F$256,MATCH($M1020,Market_Daily!$A$6:$A$256,1)),IF($M1020=$A1020,INDEX(Market_Daily!$F$6:$F$256,MATCH($A1020,Market_Daily!$A$6:$A$256,0)),(INDEX(Market_Daily!$F$6:$F$256,MATCH($A1020,Market_Daily!$A$6:$A$256,0))*(1+INDEX(Market_Daily!$I$6:$I$256,MATCH($A1020,Market_Daily!$A$6:$A$256,0))*($M1020-$A1020)/day_count_inr)/(1+INDEX(Market_Daily!$J$6:$J$256,MATCH($A1020,Market_Daily!$A$6:$A$256,0))*($M1020-$A1020)/day_count_usd)))))</f>
        <v/>
      </c>
      <c r="AM1020" s="8">
        <f>IF(OR($J1020="INR",$R1020&gt;1),"",$AL1020-$X1020)</f>
        <v/>
      </c>
      <c r="AN1020" s="8">
        <f>$U1020</f>
        <v/>
      </c>
      <c r="AO1020" s="8">
        <f>$V1020</f>
        <v/>
      </c>
      <c r="AP1020" s="18">
        <f>$AO1020-$V1020</f>
        <v/>
      </c>
      <c r="AQ1020" s="8">
        <f>IF(ABS($AP1020)&lt;=tol_trade_inr,"PASS","FAIL")</f>
        <v/>
      </c>
    </row>
    <row r="1021">
      <c r="A1021" s="11" t="n">
        <v>44742</v>
      </c>
      <c r="B1021" s="7" t="inlineStr">
        <is>
          <t>T07</t>
        </is>
      </c>
      <c r="C1021" s="7" t="inlineStr">
        <is>
          <t>INVENTORY:L1</t>
        </is>
      </c>
      <c r="D1021" s="7" t="inlineStr">
        <is>
          <t>INVENTORY</t>
        </is>
      </c>
      <c r="E1021" s="7" t="inlineStr">
        <is>
          <t>physical</t>
        </is>
      </c>
      <c r="F1021" s="7" t="inlineStr">
        <is>
          <t>L1</t>
        </is>
      </c>
      <c r="H1021" s="7" t="inlineStr">
        <is>
          <t>tense</t>
        </is>
      </c>
      <c r="I1021" s="7" t="inlineStr">
        <is>
          <t>USEC_MUN</t>
        </is>
      </c>
      <c r="J1021" s="7" t="inlineStr">
        <is>
          <t>INR</t>
        </is>
      </c>
      <c r="K1021" s="7" t="inlineStr">
        <is>
          <t>fixed_unsettled</t>
        </is>
      </c>
      <c r="L1021" s="7" t="inlineStr">
        <is>
          <t>PNL</t>
        </is>
      </c>
      <c r="N1021" s="13" t="n">
        <v>945</v>
      </c>
      <c r="O1021" s="6" t="n">
        <v>0</v>
      </c>
      <c r="P1021" s="13" t="n">
        <v>0</v>
      </c>
      <c r="Q1021" s="22" t="n">
        <v>30</v>
      </c>
      <c r="R1021" s="6" t="n">
        <v>0</v>
      </c>
      <c r="U1021" s="9" t="n">
        <v>151834997.84</v>
      </c>
      <c r="V1021" s="9" t="n">
        <v>151834997.84</v>
      </c>
      <c r="W1021" s="9" t="n">
        <v>160671.9554</v>
      </c>
      <c r="X1021" s="9" t="n">
        <v>79.0536</v>
      </c>
      <c r="Y1021" s="8">
        <f>IF($I1021="JEA_NSA","20ft","40ft")</f>
        <v/>
      </c>
      <c r="Z1021" s="8">
        <f>IF($I1021="JEA_NSA","nsa","mun")</f>
        <v/>
      </c>
      <c r="AA1021" s="8">
        <f>INDEX(param_values,MATCH("container_payload_mt_"&amp;$Y1021,param_keys,0))/INDEX(param_values,MATCH("container_payload_mt_"&amp;$Y1021&amp;"_"&amp;$H1021,param_keys,0))</f>
        <v/>
      </c>
      <c r="AB1021" s="16">
        <f>INDEX(Market_Daily!$C$6:$C$256,MATCH($A1021,Market_Daily!$A$6:$A$256,0))*INDEX(Market_Daily!$X$6:$Z$256,MATCH($A1021,Market_Daily!$A$6:$A$256,0),MATCH("grade_factor_"&amp;$H1021,Market_Daily!$X$5:$Z$5,0))</f>
        <v/>
      </c>
      <c r="AC1021" s="16">
        <f>$AB1021*(1+insurance_rate*insured_value_uplift)</f>
        <v/>
      </c>
      <c r="AD1021" s="8">
        <f>(INDEX(Market_Daily!$F$6:$F$256,MATCH($A1021,Market_Daily!$A$6:$A$256,0))*(1+INDEX(Market_Daily!$I$6:$I$256,MATCH($A1021,Market_Daily!$A$6:$A$256,0))*$Q1021/day_count_inr)/(1+INDEX(Market_Daily!$J$6:$J$256,MATCH($A1021,Market_Daily!$A$6:$A$256,0))*$Q1021/day_count_usd))</f>
        <v/>
      </c>
      <c r="AE1021" s="18">
        <f>$AC1021*$AD1021</f>
        <v/>
      </c>
      <c r="AF1021" s="18">
        <f>$AC1021*INDEX(Market_Daily!$V$6:$V$256,MATCH($A1021,Market_Daily!$A$6:$A$256,0))</f>
        <v/>
      </c>
      <c r="AG1021" s="18">
        <f>$AF1021*bcd_scrap_hs7602*(1+sws_rate_on_bcd)</f>
        <v/>
      </c>
      <c r="AH1021" s="18">
        <f>INDEX(param_values,MATCH("port_cf_charges_inr_t_"&amp;$Z1021,param_keys,0))*$AA1021+IF(INDEX(param_values,MATCH(IF($I1021="JEA_NSA","psic_required_uae_origin","psic_required_safe_origin_designated_port"),param_keys,0)),psic_cost_usd_per_box*INDEX(Market_Daily!$F$6:$F$256,MATCH($A1021,Market_Daily!$A$6:$A$256,0))/INDEX(param_values,MATCH("container_payload_mt_20ft_"&amp;$H1021,param_keys,0)),0)</f>
        <v/>
      </c>
      <c r="AI1021" s="18">
        <f>IF(igst_itc_available,0,($AF1021+$AG1021)*igst_rate_hs7602)</f>
        <v/>
      </c>
      <c r="AJ1021" s="18">
        <f>$AE1021+$AG1021+$AH1021+$AI1021</f>
        <v/>
      </c>
      <c r="AK1021" s="7" t="inlineStr">
        <is>
          <t>DERIVED_IN_WORKBOOK</t>
        </is>
      </c>
      <c r="AL1021" s="8">
        <f>IF($J1021="INR",1,IF($M1021&lt;$A1021,INDEX(Market_Daily!$F$6:$F$256,MATCH($M1021,Market_Daily!$A$6:$A$256,1)),IF($M1021=$A1021,INDEX(Market_Daily!$F$6:$F$256,MATCH($A1021,Market_Daily!$A$6:$A$256,0)),(INDEX(Market_Daily!$F$6:$F$256,MATCH($A1021,Market_Daily!$A$6:$A$256,0))*(1+INDEX(Market_Daily!$I$6:$I$256,MATCH($A1021,Market_Daily!$A$6:$A$256,0))*($M1021-$A1021)/day_count_inr)/(1+INDEX(Market_Daily!$J$6:$J$256,MATCH($A1021,Market_Daily!$A$6:$A$256,0))*($M1021-$A1021)/day_count_usd)))))</f>
        <v/>
      </c>
      <c r="AM1021" s="8">
        <f>IF(OR($J1021="INR",$R1021&gt;1),"",$AL1021-$X1021)</f>
        <v/>
      </c>
      <c r="AN1021" s="8">
        <f>$N1021*$AJ1021</f>
        <v/>
      </c>
      <c r="AO1021" s="8">
        <f>$AN1021</f>
        <v/>
      </c>
      <c r="AP1021" s="18">
        <f>$AO1021-$V1021</f>
        <v/>
      </c>
      <c r="AQ1021" s="8">
        <f>IF(ABS($AP1021)&lt;=tol_trade_inr,"PASS","FAIL")</f>
        <v/>
      </c>
    </row>
    <row r="1022">
      <c r="A1022" s="11" t="n">
        <v>44742</v>
      </c>
      <c r="B1022" s="7" t="inlineStr">
        <is>
          <t>T07</t>
        </is>
      </c>
      <c r="C1022" s="7" t="inlineStr">
        <is>
          <t>INVENTORY:L2</t>
        </is>
      </c>
      <c r="D1022" s="7" t="inlineStr">
        <is>
          <t>INVENTORY</t>
        </is>
      </c>
      <c r="E1022" s="7" t="inlineStr">
        <is>
          <t>physical</t>
        </is>
      </c>
      <c r="F1022" s="7" t="inlineStr">
        <is>
          <t>L2</t>
        </is>
      </c>
      <c r="H1022" s="7" t="inlineStr">
        <is>
          <t>tense</t>
        </is>
      </c>
      <c r="I1022" s="7" t="inlineStr">
        <is>
          <t>USEC_MUN</t>
        </is>
      </c>
      <c r="J1022" s="7" t="inlineStr">
        <is>
          <t>INR</t>
        </is>
      </c>
      <c r="K1022" s="7" t="inlineStr">
        <is>
          <t>fixed_unsettled</t>
        </is>
      </c>
      <c r="L1022" s="7" t="inlineStr">
        <is>
          <t>PNL</t>
        </is>
      </c>
      <c r="N1022" s="13" t="n">
        <v>945</v>
      </c>
      <c r="O1022" s="6" t="n">
        <v>0</v>
      </c>
      <c r="P1022" s="13" t="n">
        <v>0</v>
      </c>
      <c r="Q1022" s="22" t="n">
        <v>30</v>
      </c>
      <c r="R1022" s="6" t="n">
        <v>0</v>
      </c>
      <c r="U1022" s="9" t="n">
        <v>151834997.84</v>
      </c>
      <c r="V1022" s="9" t="n">
        <v>151834997.84</v>
      </c>
      <c r="W1022" s="9" t="n">
        <v>160671.9554</v>
      </c>
      <c r="X1022" s="9" t="n">
        <v>79.0536</v>
      </c>
      <c r="Y1022" s="8">
        <f>IF($I1022="JEA_NSA","20ft","40ft")</f>
        <v/>
      </c>
      <c r="Z1022" s="8">
        <f>IF($I1022="JEA_NSA","nsa","mun")</f>
        <v/>
      </c>
      <c r="AA1022" s="8">
        <f>INDEX(param_values,MATCH("container_payload_mt_"&amp;$Y1022,param_keys,0))/INDEX(param_values,MATCH("container_payload_mt_"&amp;$Y1022&amp;"_"&amp;$H1022,param_keys,0))</f>
        <v/>
      </c>
      <c r="AB1022" s="16">
        <f>INDEX(Market_Daily!$C$6:$C$256,MATCH($A1022,Market_Daily!$A$6:$A$256,0))*INDEX(Market_Daily!$X$6:$Z$256,MATCH($A1022,Market_Daily!$A$6:$A$256,0),MATCH("grade_factor_"&amp;$H1022,Market_Daily!$X$5:$Z$5,0))</f>
        <v/>
      </c>
      <c r="AC1022" s="16">
        <f>$AB1022*(1+insurance_rate*insured_value_uplift)</f>
        <v/>
      </c>
      <c r="AD1022" s="8">
        <f>(INDEX(Market_Daily!$F$6:$F$256,MATCH($A1022,Market_Daily!$A$6:$A$256,0))*(1+INDEX(Market_Daily!$I$6:$I$256,MATCH($A1022,Market_Daily!$A$6:$A$256,0))*$Q1022/day_count_inr)/(1+INDEX(Market_Daily!$J$6:$J$256,MATCH($A1022,Market_Daily!$A$6:$A$256,0))*$Q1022/day_count_usd))</f>
        <v/>
      </c>
      <c r="AE1022" s="18">
        <f>$AC1022*$AD1022</f>
        <v/>
      </c>
      <c r="AF1022" s="18">
        <f>$AC1022*INDEX(Market_Daily!$V$6:$V$256,MATCH($A1022,Market_Daily!$A$6:$A$256,0))</f>
        <v/>
      </c>
      <c r="AG1022" s="18">
        <f>$AF1022*bcd_scrap_hs7602*(1+sws_rate_on_bcd)</f>
        <v/>
      </c>
      <c r="AH1022" s="18">
        <f>INDEX(param_values,MATCH("port_cf_charges_inr_t_"&amp;$Z1022,param_keys,0))*$AA1022+IF(INDEX(param_values,MATCH(IF($I1022="JEA_NSA","psic_required_uae_origin","psic_required_safe_origin_designated_port"),param_keys,0)),psic_cost_usd_per_box*INDEX(Market_Daily!$F$6:$F$256,MATCH($A1022,Market_Daily!$A$6:$A$256,0))/INDEX(param_values,MATCH("container_payload_mt_20ft_"&amp;$H1022,param_keys,0)),0)</f>
        <v/>
      </c>
      <c r="AI1022" s="18">
        <f>IF(igst_itc_available,0,($AF1022+$AG1022)*igst_rate_hs7602)</f>
        <v/>
      </c>
      <c r="AJ1022" s="18">
        <f>$AE1022+$AG1022+$AH1022+$AI1022</f>
        <v/>
      </c>
      <c r="AK1022" s="7" t="inlineStr">
        <is>
          <t>DERIVED_IN_WORKBOOK</t>
        </is>
      </c>
      <c r="AL1022" s="8">
        <f>IF($J1022="INR",1,IF($M1022&lt;$A1022,INDEX(Market_Daily!$F$6:$F$256,MATCH($M1022,Market_Daily!$A$6:$A$256,1)),IF($M1022=$A1022,INDEX(Market_Daily!$F$6:$F$256,MATCH($A1022,Market_Daily!$A$6:$A$256,0)),(INDEX(Market_Daily!$F$6:$F$256,MATCH($A1022,Market_Daily!$A$6:$A$256,0))*(1+INDEX(Market_Daily!$I$6:$I$256,MATCH($A1022,Market_Daily!$A$6:$A$256,0))*($M1022-$A1022)/day_count_inr)/(1+INDEX(Market_Daily!$J$6:$J$256,MATCH($A1022,Market_Daily!$A$6:$A$256,0))*($M1022-$A1022)/day_count_usd)))))</f>
        <v/>
      </c>
      <c r="AM1022" s="8">
        <f>IF(OR($J1022="INR",$R1022&gt;1),"",$AL1022-$X1022)</f>
        <v/>
      </c>
      <c r="AN1022" s="8">
        <f>$N1022*$AJ1022</f>
        <v/>
      </c>
      <c r="AO1022" s="8">
        <f>$AN1022</f>
        <v/>
      </c>
      <c r="AP1022" s="18">
        <f>$AO1022-$V1022</f>
        <v/>
      </c>
      <c r="AQ1022" s="8">
        <f>IF(ABS($AP1022)&lt;=tol_trade_inr,"PASS","FAIL")</f>
        <v/>
      </c>
    </row>
    <row r="1023">
      <c r="A1023" s="11" t="n">
        <v>44742</v>
      </c>
      <c r="B1023" s="7" t="inlineStr">
        <is>
          <t>T07</t>
        </is>
      </c>
      <c r="C1023" s="7" t="inlineStr">
        <is>
          <t>MCX:T07-MCX-2</t>
        </is>
      </c>
      <c r="D1023" s="7" t="inlineStr">
        <is>
          <t>MCX</t>
        </is>
      </c>
      <c r="E1023" s="7" t="inlineStr">
        <is>
          <t>mcx</t>
        </is>
      </c>
      <c r="H1023" s="7" t="inlineStr">
        <is>
          <t>tense</t>
        </is>
      </c>
      <c r="I1023" s="7" t="inlineStr">
        <is>
          <t>USEC_MUN</t>
        </is>
      </c>
      <c r="J1023" s="7" t="inlineStr">
        <is>
          <t>INR</t>
        </is>
      </c>
      <c r="K1023" s="7" t="inlineStr">
        <is>
          <t>partially_fixed</t>
        </is>
      </c>
      <c r="L1023" s="7" t="inlineStr">
        <is>
          <t>PNL</t>
        </is>
      </c>
      <c r="M1023" s="11" t="n">
        <v>44762</v>
      </c>
      <c r="N1023" s="13" t="n">
        <v>0</v>
      </c>
      <c r="O1023" s="6" t="n">
        <v>-247</v>
      </c>
      <c r="P1023" s="13" t="n">
        <v>0</v>
      </c>
      <c r="Q1023" s="22" t="n">
        <v>30</v>
      </c>
      <c r="R1023" s="6" t="n">
        <v>22</v>
      </c>
      <c r="U1023" s="9" t="n">
        <v>0</v>
      </c>
      <c r="V1023" s="9" t="n">
        <v>0</v>
      </c>
      <c r="X1023" s="9" t="n">
        <v>79.0536</v>
      </c>
      <c r="AK1023" s="7" t="inlineStr">
        <is>
          <t>PYTHON_MULTI_FLOW_LEG</t>
        </is>
      </c>
      <c r="AL1023" s="8">
        <f>IF($J1023="INR",1,IF($M1023&lt;$A1023,INDEX(Market_Daily!$F$6:$F$256,MATCH($M1023,Market_Daily!$A$6:$A$256,1)),IF($M1023=$A1023,INDEX(Market_Daily!$F$6:$F$256,MATCH($A1023,Market_Daily!$A$6:$A$256,0)),(INDEX(Market_Daily!$F$6:$F$256,MATCH($A1023,Market_Daily!$A$6:$A$256,0))*(1+INDEX(Market_Daily!$I$6:$I$256,MATCH($A1023,Market_Daily!$A$6:$A$256,0))*($M1023-$A1023)/day_count_inr)/(1+INDEX(Market_Daily!$J$6:$J$256,MATCH($A1023,Market_Daily!$A$6:$A$256,0))*($M1023-$A1023)/day_count_usd)))))</f>
        <v/>
      </c>
      <c r="AM1023" s="8">
        <f>IF(OR($J1023="INR",$R1023&gt;1),"",$AL1023-$X1023)</f>
        <v/>
      </c>
      <c r="AN1023" s="8">
        <f>$U1023</f>
        <v/>
      </c>
      <c r="AO1023" s="8">
        <f>$V1023</f>
        <v/>
      </c>
      <c r="AP1023" s="18">
        <f>$AO1023-$V1023</f>
        <v/>
      </c>
      <c r="AQ1023" s="8">
        <f>IF(ABS($AP1023)&lt;=tol_trade_inr,"PASS","FAIL")</f>
        <v/>
      </c>
    </row>
    <row r="1024">
      <c r="A1024" s="11" t="n">
        <v>44742</v>
      </c>
      <c r="B1024" s="7" t="inlineStr">
        <is>
          <t>T07</t>
        </is>
      </c>
      <c r="C1024" s="7" t="inlineStr">
        <is>
          <t>PORT:L1</t>
        </is>
      </c>
      <c r="D1024" s="7" t="inlineStr">
        <is>
          <t>PORT</t>
        </is>
      </c>
      <c r="E1024" s="7" t="inlineStr">
        <is>
          <t>physical</t>
        </is>
      </c>
      <c r="F1024" s="7" t="inlineStr">
        <is>
          <t>L1</t>
        </is>
      </c>
      <c r="H1024" s="7" t="inlineStr">
        <is>
          <t>tense</t>
        </is>
      </c>
      <c r="I1024" s="7" t="inlineStr">
        <is>
          <t>USEC_MUN</t>
        </is>
      </c>
      <c r="J1024" s="7" t="inlineStr">
        <is>
          <t>INR</t>
        </is>
      </c>
      <c r="K1024" s="7" t="inlineStr">
        <is>
          <t>fixed_unsettled</t>
        </is>
      </c>
      <c r="L1024" s="7" t="inlineStr">
        <is>
          <t>PNL</t>
        </is>
      </c>
      <c r="M1024" s="11" t="n">
        <v>44770</v>
      </c>
      <c r="N1024" s="13" t="n">
        <v>0</v>
      </c>
      <c r="O1024" s="6" t="n">
        <v>0</v>
      </c>
      <c r="P1024" s="13" t="n">
        <v>0</v>
      </c>
      <c r="Q1024" s="22" t="n">
        <v>30</v>
      </c>
      <c r="R1024" s="6" t="n">
        <v>1</v>
      </c>
      <c r="U1024" s="9" t="n">
        <v>-2504250</v>
      </c>
      <c r="V1024" s="9" t="n">
        <v>-2504250</v>
      </c>
      <c r="X1024" s="9" t="n">
        <v>79.0536</v>
      </c>
      <c r="AK1024" s="7" t="inlineStr">
        <is>
          <t>PYTHON_LIFECYCLE</t>
        </is>
      </c>
      <c r="AL1024" s="8">
        <f>IF($J1024="INR",1,IF($M1024&lt;$A1024,INDEX(Market_Daily!$F$6:$F$256,MATCH($M1024,Market_Daily!$A$6:$A$256,1)),IF($M1024=$A1024,INDEX(Market_Daily!$F$6:$F$256,MATCH($A1024,Market_Daily!$A$6:$A$256,0)),(INDEX(Market_Daily!$F$6:$F$256,MATCH($A1024,Market_Daily!$A$6:$A$256,0))*(1+INDEX(Market_Daily!$I$6:$I$256,MATCH($A1024,Market_Daily!$A$6:$A$256,0))*($M1024-$A1024)/day_count_inr)/(1+INDEX(Market_Daily!$J$6:$J$256,MATCH($A1024,Market_Daily!$A$6:$A$256,0))*($M1024-$A1024)/day_count_usd)))))</f>
        <v/>
      </c>
      <c r="AM1024" s="8">
        <f>IF(OR($J1024="INR",$R1024&gt;1),"",$AL1024-$X1024)</f>
        <v/>
      </c>
      <c r="AN1024" s="8">
        <f>$U1024</f>
        <v/>
      </c>
      <c r="AO1024" s="8">
        <f>$AN1024*IF($J1024="INR",1,$AL1024)</f>
        <v/>
      </c>
      <c r="AP1024" s="18">
        <f>$AO1024-$V1024</f>
        <v/>
      </c>
      <c r="AQ1024" s="8">
        <f>IF(ABS($AP1024)&lt;=tol_trade_inr,"PASS","FAIL")</f>
        <v/>
      </c>
    </row>
    <row r="1025">
      <c r="A1025" s="11" t="n">
        <v>44742</v>
      </c>
      <c r="B1025" s="7" t="inlineStr">
        <is>
          <t>T07</t>
        </is>
      </c>
      <c r="C1025" s="7" t="inlineStr">
        <is>
          <t>PORT:L2</t>
        </is>
      </c>
      <c r="D1025" s="7" t="inlineStr">
        <is>
          <t>PORT</t>
        </is>
      </c>
      <c r="E1025" s="7" t="inlineStr">
        <is>
          <t>physical</t>
        </is>
      </c>
      <c r="F1025" s="7" t="inlineStr">
        <is>
          <t>L2</t>
        </is>
      </c>
      <c r="H1025" s="7" t="inlineStr">
        <is>
          <t>tense</t>
        </is>
      </c>
      <c r="I1025" s="7" t="inlineStr">
        <is>
          <t>USEC_MUN</t>
        </is>
      </c>
      <c r="J1025" s="7" t="inlineStr">
        <is>
          <t>INR</t>
        </is>
      </c>
      <c r="K1025" s="7" t="inlineStr">
        <is>
          <t>fixed_unsettled</t>
        </is>
      </c>
      <c r="L1025" s="7" t="inlineStr">
        <is>
          <t>PNL</t>
        </is>
      </c>
      <c r="M1025" s="11" t="n">
        <v>44777</v>
      </c>
      <c r="N1025" s="13" t="n">
        <v>0</v>
      </c>
      <c r="O1025" s="6" t="n">
        <v>0</v>
      </c>
      <c r="P1025" s="13" t="n">
        <v>0</v>
      </c>
      <c r="Q1025" s="22" t="n">
        <v>30</v>
      </c>
      <c r="R1025" s="6" t="n">
        <v>1</v>
      </c>
      <c r="U1025" s="9" t="n">
        <v>-2504250</v>
      </c>
      <c r="V1025" s="9" t="n">
        <v>-2504250</v>
      </c>
      <c r="X1025" s="9" t="n">
        <v>79.0536</v>
      </c>
      <c r="AK1025" s="7" t="inlineStr">
        <is>
          <t>PYTHON_LIFECYCLE</t>
        </is>
      </c>
      <c r="AL1025" s="8">
        <f>IF($J1025="INR",1,IF($M1025&lt;$A1025,INDEX(Market_Daily!$F$6:$F$256,MATCH($M1025,Market_Daily!$A$6:$A$256,1)),IF($M1025=$A1025,INDEX(Market_Daily!$F$6:$F$256,MATCH($A1025,Market_Daily!$A$6:$A$256,0)),(INDEX(Market_Daily!$F$6:$F$256,MATCH($A1025,Market_Daily!$A$6:$A$256,0))*(1+INDEX(Market_Daily!$I$6:$I$256,MATCH($A1025,Market_Daily!$A$6:$A$256,0))*($M1025-$A1025)/day_count_inr)/(1+INDEX(Market_Daily!$J$6:$J$256,MATCH($A1025,Market_Daily!$A$6:$A$256,0))*($M1025-$A1025)/day_count_usd)))))</f>
        <v/>
      </c>
      <c r="AM1025" s="8">
        <f>IF(OR($J1025="INR",$R1025&gt;1),"",$AL1025-$X1025)</f>
        <v/>
      </c>
      <c r="AN1025" s="8">
        <f>$U1025</f>
        <v/>
      </c>
      <c r="AO1025" s="8">
        <f>$AN1025*IF($J1025="INR",1,$AL1025)</f>
        <v/>
      </c>
      <c r="AP1025" s="18">
        <f>$AO1025-$V1025</f>
        <v/>
      </c>
      <c r="AQ1025" s="8">
        <f>IF(ABS($AP1025)&lt;=tol_trade_inr,"PASS","FAIL")</f>
        <v/>
      </c>
    </row>
    <row r="1026">
      <c r="A1026" s="11" t="n">
        <v>44742</v>
      </c>
      <c r="B1026" s="7" t="inlineStr">
        <is>
          <t>T08</t>
        </is>
      </c>
      <c r="C1026" s="7" t="inlineStr">
        <is>
          <t>BILL_COMMISSION:L2</t>
        </is>
      </c>
      <c r="D1026" s="7" t="inlineStr">
        <is>
          <t>BILL_COMMISSION</t>
        </is>
      </c>
      <c r="E1026" s="7" t="inlineStr">
        <is>
          <t>physical</t>
        </is>
      </c>
      <c r="F1026" s="7" t="inlineStr">
        <is>
          <t>L2</t>
        </is>
      </c>
      <c r="H1026" s="7" t="inlineStr">
        <is>
          <t>tense</t>
        </is>
      </c>
      <c r="I1026" s="7" t="inlineStr">
        <is>
          <t>USEC_MUN</t>
        </is>
      </c>
      <c r="J1026" s="7" t="inlineStr">
        <is>
          <t>USD</t>
        </is>
      </c>
      <c r="K1026" s="7" t="inlineStr">
        <is>
          <t>floating</t>
        </is>
      </c>
      <c r="L1026" s="7" t="inlineStr">
        <is>
          <t>PNL</t>
        </is>
      </c>
      <c r="M1026" s="11" t="n">
        <v>44748</v>
      </c>
      <c r="N1026" s="13" t="n">
        <v>0</v>
      </c>
      <c r="O1026" s="6" t="n">
        <v>0</v>
      </c>
      <c r="P1026" s="13" t="n">
        <v>0</v>
      </c>
      <c r="Q1026" s="22" t="n">
        <v>30</v>
      </c>
      <c r="R1026" s="6" t="n">
        <v>1</v>
      </c>
      <c r="U1026" s="9" t="n">
        <v>-1836.16</v>
      </c>
      <c r="V1026" s="9" t="n">
        <v>-145237.66</v>
      </c>
      <c r="X1026" s="9" t="n">
        <v>79.0984</v>
      </c>
      <c r="AK1026" s="7" t="inlineStr">
        <is>
          <t>PYTHON_LIFECYCLE</t>
        </is>
      </c>
      <c r="AL1026" s="8">
        <f>IF($J1026="INR",1,IF($M1026&lt;$A1026,INDEX(Market_Daily!$F$6:$F$256,MATCH($M1026,Market_Daily!$A$6:$A$256,1)),IF($M1026=$A1026,INDEX(Market_Daily!$F$6:$F$256,MATCH($A1026,Market_Daily!$A$6:$A$256,0)),(INDEX(Market_Daily!$F$6:$F$256,MATCH($A1026,Market_Daily!$A$6:$A$256,0))*(1+INDEX(Market_Daily!$I$6:$I$256,MATCH($A1026,Market_Daily!$A$6:$A$256,0))*($M1026-$A1026)/day_count_inr)/(1+INDEX(Market_Daily!$J$6:$J$256,MATCH($A1026,Market_Daily!$A$6:$A$256,0))*($M1026-$A1026)/day_count_usd)))))</f>
        <v/>
      </c>
      <c r="AM1026" s="8">
        <f>IF(OR($J1026="INR",$R1026&gt;1),"",$AL1026-$X1026)</f>
        <v/>
      </c>
      <c r="AN1026" s="8">
        <f>$U1026</f>
        <v/>
      </c>
      <c r="AO1026" s="8">
        <f>$AN1026*IF($J1026="INR",1,$AL1026)</f>
        <v/>
      </c>
      <c r="AP1026" s="18">
        <f>$AO1026-$V1026</f>
        <v/>
      </c>
      <c r="AQ1026" s="8">
        <f>IF(ABS($AP1026)&lt;=tol_trade_inr,"PASS","FAIL")</f>
        <v/>
      </c>
    </row>
    <row r="1027">
      <c r="A1027" s="11" t="n">
        <v>44742</v>
      </c>
      <c r="B1027" s="7" t="inlineStr">
        <is>
          <t>T08</t>
        </is>
      </c>
      <c r="C1027" s="7" t="inlineStr">
        <is>
          <t>DUTY:L1</t>
        </is>
      </c>
      <c r="D1027" s="7" t="inlineStr">
        <is>
          <t>DUTY</t>
        </is>
      </c>
      <c r="E1027" s="7" t="inlineStr">
        <is>
          <t>physical</t>
        </is>
      </c>
      <c r="F1027" s="7" t="inlineStr">
        <is>
          <t>L1</t>
        </is>
      </c>
      <c r="H1027" s="7" t="inlineStr">
        <is>
          <t>tense</t>
        </is>
      </c>
      <c r="I1027" s="7" t="inlineStr">
        <is>
          <t>USEC_MUN</t>
        </is>
      </c>
      <c r="J1027" s="7" t="inlineStr">
        <is>
          <t>INR</t>
        </is>
      </c>
      <c r="K1027" s="7" t="inlineStr">
        <is>
          <t>floating</t>
        </is>
      </c>
      <c r="L1027" s="7" t="inlineStr">
        <is>
          <t>PNL</t>
        </is>
      </c>
      <c r="M1027" s="11" t="n">
        <v>44778</v>
      </c>
      <c r="N1027" s="13" t="n">
        <v>840</v>
      </c>
      <c r="O1027" s="6" t="n">
        <v>0</v>
      </c>
      <c r="P1027" s="13" t="n">
        <v>0</v>
      </c>
      <c r="Q1027" s="22" t="n">
        <v>30</v>
      </c>
      <c r="R1027" s="6" t="n">
        <v>1</v>
      </c>
      <c r="U1027" s="9" t="n">
        <v>-3428157.06</v>
      </c>
      <c r="V1027" s="9" t="n">
        <v>-3428157.06</v>
      </c>
      <c r="X1027" s="9" t="n">
        <v>79.0536</v>
      </c>
      <c r="AK1027" s="7" t="inlineStr">
        <is>
          <t>PYTHON_LIFECYCLE</t>
        </is>
      </c>
      <c r="AL1027" s="8">
        <f>IF($J1027="INR",1,IF($M1027&lt;$A1027,INDEX(Market_Daily!$F$6:$F$256,MATCH($M1027,Market_Daily!$A$6:$A$256,1)),IF($M1027=$A1027,INDEX(Market_Daily!$F$6:$F$256,MATCH($A1027,Market_Daily!$A$6:$A$256,0)),(INDEX(Market_Daily!$F$6:$F$256,MATCH($A1027,Market_Daily!$A$6:$A$256,0))*(1+INDEX(Market_Daily!$I$6:$I$256,MATCH($A1027,Market_Daily!$A$6:$A$256,0))*($M1027-$A1027)/day_count_inr)/(1+INDEX(Market_Daily!$J$6:$J$256,MATCH($A1027,Market_Daily!$A$6:$A$256,0))*($M1027-$A1027)/day_count_usd)))))</f>
        <v/>
      </c>
      <c r="AM1027" s="8">
        <f>IF(OR($J1027="INR",$R1027&gt;1),"",$AL1027-$X1027)</f>
        <v/>
      </c>
      <c r="AN1027" s="8">
        <f>$U1027</f>
        <v/>
      </c>
      <c r="AO1027" s="8">
        <f>$AN1027*IF($J1027="INR",1,$AL1027)</f>
        <v/>
      </c>
      <c r="AP1027" s="18">
        <f>$AO1027-$V1027</f>
        <v/>
      </c>
      <c r="AQ1027" s="8">
        <f>IF(ABS($AP1027)&lt;=tol_trade_inr,"PASS","FAIL")</f>
        <v/>
      </c>
    </row>
    <row r="1028">
      <c r="A1028" s="11" t="n">
        <v>44742</v>
      </c>
      <c r="B1028" s="7" t="inlineStr">
        <is>
          <t>T08</t>
        </is>
      </c>
      <c r="C1028" s="7" t="inlineStr">
        <is>
          <t>DUTY:L2</t>
        </is>
      </c>
      <c r="D1028" s="7" t="inlineStr">
        <is>
          <t>DUTY</t>
        </is>
      </c>
      <c r="E1028" s="7" t="inlineStr">
        <is>
          <t>physical</t>
        </is>
      </c>
      <c r="F1028" s="7" t="inlineStr">
        <is>
          <t>L2</t>
        </is>
      </c>
      <c r="H1028" s="7" t="inlineStr">
        <is>
          <t>tense</t>
        </is>
      </c>
      <c r="I1028" s="7" t="inlineStr">
        <is>
          <t>USEC_MUN</t>
        </is>
      </c>
      <c r="J1028" s="7" t="inlineStr">
        <is>
          <t>INR</t>
        </is>
      </c>
      <c r="K1028" s="7" t="inlineStr">
        <is>
          <t>floating</t>
        </is>
      </c>
      <c r="L1028" s="7" t="inlineStr">
        <is>
          <t>PNL</t>
        </is>
      </c>
      <c r="M1028" s="11" t="n">
        <v>44782</v>
      </c>
      <c r="N1028" s="13" t="n">
        <v>840</v>
      </c>
      <c r="O1028" s="6" t="n">
        <v>0</v>
      </c>
      <c r="P1028" s="13" t="n">
        <v>0</v>
      </c>
      <c r="Q1028" s="22" t="n">
        <v>30</v>
      </c>
      <c r="R1028" s="6" t="n">
        <v>1</v>
      </c>
      <c r="U1028" s="9" t="n">
        <v>-3428157.06</v>
      </c>
      <c r="V1028" s="9" t="n">
        <v>-3428157.06</v>
      </c>
      <c r="X1028" s="9" t="n">
        <v>79.0536</v>
      </c>
      <c r="AK1028" s="7" t="inlineStr">
        <is>
          <t>PYTHON_LIFECYCLE</t>
        </is>
      </c>
      <c r="AL1028" s="8">
        <f>IF($J1028="INR",1,IF($M1028&lt;$A1028,INDEX(Market_Daily!$F$6:$F$256,MATCH($M1028,Market_Daily!$A$6:$A$256,1)),IF($M1028=$A1028,INDEX(Market_Daily!$F$6:$F$256,MATCH($A1028,Market_Daily!$A$6:$A$256,0)),(INDEX(Market_Daily!$F$6:$F$256,MATCH($A1028,Market_Daily!$A$6:$A$256,0))*(1+INDEX(Market_Daily!$I$6:$I$256,MATCH($A1028,Market_Daily!$A$6:$A$256,0))*($M1028-$A1028)/day_count_inr)/(1+INDEX(Market_Daily!$J$6:$J$256,MATCH($A1028,Market_Daily!$A$6:$A$256,0))*($M1028-$A1028)/day_count_usd)))))</f>
        <v/>
      </c>
      <c r="AM1028" s="8">
        <f>IF(OR($J1028="INR",$R1028&gt;1),"",$AL1028-$X1028)</f>
        <v/>
      </c>
      <c r="AN1028" s="8">
        <f>$U1028</f>
        <v/>
      </c>
      <c r="AO1028" s="8">
        <f>$AN1028*IF($J1028="INR",1,$AL1028)</f>
        <v/>
      </c>
      <c r="AP1028" s="18">
        <f>$AO1028-$V1028</f>
        <v/>
      </c>
      <c r="AQ1028" s="8">
        <f>IF(ABS($AP1028)&lt;=tol_trade_inr,"PASS","FAIL")</f>
        <v/>
      </c>
    </row>
    <row r="1029">
      <c r="A1029" s="11" t="n">
        <v>44742</v>
      </c>
      <c r="B1029" s="7" t="inlineStr">
        <is>
          <t>T08</t>
        </is>
      </c>
      <c r="C1029" s="7" t="inlineStr">
        <is>
          <t>FX:T08-FX-2</t>
        </is>
      </c>
      <c r="D1029" s="7" t="inlineStr">
        <is>
          <t>FX</t>
        </is>
      </c>
      <c r="E1029" s="7" t="inlineStr">
        <is>
          <t>fx_forward</t>
        </is>
      </c>
      <c r="H1029" s="7" t="inlineStr">
        <is>
          <t>tense</t>
        </is>
      </c>
      <c r="I1029" s="7" t="inlineStr">
        <is>
          <t>USEC_MUN</t>
        </is>
      </c>
      <c r="J1029" s="7" t="inlineStr">
        <is>
          <t>INR</t>
        </is>
      </c>
      <c r="K1029" s="7" t="inlineStr">
        <is>
          <t>floating</t>
        </is>
      </c>
      <c r="L1029" s="7" t="inlineStr">
        <is>
          <t>PNL</t>
        </is>
      </c>
      <c r="M1029" s="11" t="n">
        <v>44748</v>
      </c>
      <c r="N1029" s="13" t="n">
        <v>0</v>
      </c>
      <c r="O1029" s="6" t="n">
        <v>0</v>
      </c>
      <c r="P1029" s="13" t="n">
        <v>1530100</v>
      </c>
      <c r="Q1029" s="22" t="n">
        <v>30</v>
      </c>
      <c r="R1029" s="6" t="n">
        <v>1</v>
      </c>
      <c r="S1029" s="12" t="n">
        <v>44748</v>
      </c>
      <c r="T1029" s="21" t="n">
        <v>79.106176</v>
      </c>
      <c r="U1029" s="9" t="n">
        <v>-11848.06</v>
      </c>
      <c r="V1029" s="9" t="n">
        <v>-11848.06</v>
      </c>
      <c r="X1029" s="9" t="n">
        <v>79.0536</v>
      </c>
      <c r="AK1029" s="7" t="inlineStr">
        <is>
          <t>DERIVED_IN_WORKBOOK</t>
        </is>
      </c>
      <c r="AL1029" s="8">
        <f>IF($J1029="INR",1,IF($M1029&lt;$A1029,INDEX(Market_Daily!$F$6:$F$256,MATCH($M1029,Market_Daily!$A$6:$A$256,1)),IF($M1029=$A1029,INDEX(Market_Daily!$F$6:$F$256,MATCH($A1029,Market_Daily!$A$6:$A$256,0)),(INDEX(Market_Daily!$F$6:$F$256,MATCH($A1029,Market_Daily!$A$6:$A$256,0))*(1+INDEX(Market_Daily!$I$6:$I$256,MATCH($A1029,Market_Daily!$A$6:$A$256,0))*($M1029-$A1029)/day_count_inr)/(1+INDEX(Market_Daily!$J$6:$J$256,MATCH($A1029,Market_Daily!$A$6:$A$256,0))*($M1029-$A1029)/day_count_usd)))))</f>
        <v/>
      </c>
      <c r="AM1029" s="8">
        <f>IF(OR($J1029="INR",$R1029&gt;1),"",$AL1029-$X1029)</f>
        <v/>
      </c>
      <c r="AN1029" s="8">
        <f>$P1029*(IF($S1029&lt;$A1029,INDEX(Market_Daily!$F$6:$F$256,MATCH($S1029,Market_Daily!$A$6:$A$256,1)),IF($S1029=$A1029,INDEX(Market_Daily!$F$6:$F$256,MATCH($A1029,Market_Daily!$A$6:$A$256,0)),(INDEX(Market_Daily!$F$6:$F$256,MATCH($A1029,Market_Daily!$A$6:$A$256,0))*(1+INDEX(Market_Daily!$I$6:$I$256,MATCH($A1029,Market_Daily!$A$6:$A$256,0))*($S1029-$A1029)/day_count_inr)/(1+INDEX(Market_Daily!$J$6:$J$256,MATCH($A1029,Market_Daily!$A$6:$A$256,0))*($S1029-$A1029)/day_count_usd))))-$T1029)</f>
        <v/>
      </c>
      <c r="AO1029" s="8">
        <f>$AN1029</f>
        <v/>
      </c>
      <c r="AP1029" s="18">
        <f>$AO1029-$V1029</f>
        <v/>
      </c>
      <c r="AQ1029" s="8">
        <f>IF(ABS($AP1029)&lt;=tol_trade_inr,"PASS","FAIL")</f>
        <v/>
      </c>
    </row>
    <row r="1030">
      <c r="A1030" s="11" t="n">
        <v>44742</v>
      </c>
      <c r="B1030" s="7" t="inlineStr">
        <is>
          <t>T08</t>
        </is>
      </c>
      <c r="C1030" s="7" t="inlineStr">
        <is>
          <t>IGST:L1</t>
        </is>
      </c>
      <c r="D1030" s="7" t="inlineStr">
        <is>
          <t>IGST</t>
        </is>
      </c>
      <c r="E1030" s="7" t="inlineStr">
        <is>
          <t>physical</t>
        </is>
      </c>
      <c r="F1030" s="7" t="inlineStr">
        <is>
          <t>L1</t>
        </is>
      </c>
      <c r="H1030" s="7" t="inlineStr">
        <is>
          <t>tense</t>
        </is>
      </c>
      <c r="I1030" s="7" t="inlineStr">
        <is>
          <t>USEC_MUN</t>
        </is>
      </c>
      <c r="J1030" s="7" t="inlineStr">
        <is>
          <t>INR</t>
        </is>
      </c>
      <c r="K1030" s="7" t="inlineStr">
        <is>
          <t>floating</t>
        </is>
      </c>
      <c r="L1030" s="7" t="inlineStr">
        <is>
          <t>BS</t>
        </is>
      </c>
      <c r="M1030" s="11" t="n">
        <v>44820</v>
      </c>
      <c r="N1030" s="13" t="n">
        <v>0</v>
      </c>
      <c r="O1030" s="6" t="n">
        <v>0</v>
      </c>
      <c r="P1030" s="13" t="n">
        <v>0</v>
      </c>
      <c r="Q1030" s="22" t="n">
        <v>30</v>
      </c>
      <c r="R1030" s="6" t="n">
        <v>2</v>
      </c>
      <c r="U1030" s="9" t="n">
        <v>0</v>
      </c>
      <c r="V1030" s="9" t="n">
        <v>0</v>
      </c>
      <c r="X1030" s="9" t="n">
        <v>79.0536</v>
      </c>
      <c r="AK1030" s="7" t="inlineStr">
        <is>
          <t>PYTHON_MULTI_FLOW_LEG</t>
        </is>
      </c>
      <c r="AL1030" s="8">
        <f>IF($J1030="INR",1,IF($M1030&lt;$A1030,INDEX(Market_Daily!$F$6:$F$256,MATCH($M1030,Market_Daily!$A$6:$A$256,1)),IF($M1030=$A1030,INDEX(Market_Daily!$F$6:$F$256,MATCH($A1030,Market_Daily!$A$6:$A$256,0)),(INDEX(Market_Daily!$F$6:$F$256,MATCH($A1030,Market_Daily!$A$6:$A$256,0))*(1+INDEX(Market_Daily!$I$6:$I$256,MATCH($A1030,Market_Daily!$A$6:$A$256,0))*($M1030-$A1030)/day_count_inr)/(1+INDEX(Market_Daily!$J$6:$J$256,MATCH($A1030,Market_Daily!$A$6:$A$256,0))*($M1030-$A1030)/day_count_usd)))))</f>
        <v/>
      </c>
      <c r="AM1030" s="8">
        <f>IF(OR($J1030="INR",$R1030&gt;1),"",$AL1030-$X1030)</f>
        <v/>
      </c>
      <c r="AN1030" s="8">
        <f>$U1030</f>
        <v/>
      </c>
      <c r="AO1030" s="8">
        <f>$V1030</f>
        <v/>
      </c>
      <c r="AP1030" s="18">
        <f>$AO1030-$V1030</f>
        <v/>
      </c>
      <c r="AQ1030" s="8">
        <f>IF(ABS($AP1030)&lt;=tol_trade_inr,"PASS","FAIL")</f>
        <v/>
      </c>
    </row>
    <row r="1031">
      <c r="A1031" s="11" t="n">
        <v>44742</v>
      </c>
      <c r="B1031" s="7" t="inlineStr">
        <is>
          <t>T08</t>
        </is>
      </c>
      <c r="C1031" s="7" t="inlineStr">
        <is>
          <t>IGST:L2</t>
        </is>
      </c>
      <c r="D1031" s="7" t="inlineStr">
        <is>
          <t>IGST</t>
        </is>
      </c>
      <c r="E1031" s="7" t="inlineStr">
        <is>
          <t>physical</t>
        </is>
      </c>
      <c r="F1031" s="7" t="inlineStr">
        <is>
          <t>L2</t>
        </is>
      </c>
      <c r="H1031" s="7" t="inlineStr">
        <is>
          <t>tense</t>
        </is>
      </c>
      <c r="I1031" s="7" t="inlineStr">
        <is>
          <t>USEC_MUN</t>
        </is>
      </c>
      <c r="J1031" s="7" t="inlineStr">
        <is>
          <t>INR</t>
        </is>
      </c>
      <c r="K1031" s="7" t="inlineStr">
        <is>
          <t>floating</t>
        </is>
      </c>
      <c r="L1031" s="7" t="inlineStr">
        <is>
          <t>BS</t>
        </is>
      </c>
      <c r="M1031" s="11" t="n">
        <v>44827</v>
      </c>
      <c r="N1031" s="13" t="n">
        <v>0</v>
      </c>
      <c r="O1031" s="6" t="n">
        <v>0</v>
      </c>
      <c r="P1031" s="13" t="n">
        <v>0</v>
      </c>
      <c r="Q1031" s="22" t="n">
        <v>30</v>
      </c>
      <c r="R1031" s="6" t="n">
        <v>2</v>
      </c>
      <c r="U1031" s="9" t="n">
        <v>0</v>
      </c>
      <c r="V1031" s="9" t="n">
        <v>0</v>
      </c>
      <c r="X1031" s="9" t="n">
        <v>79.0536</v>
      </c>
      <c r="AK1031" s="7" t="inlineStr">
        <is>
          <t>PYTHON_MULTI_FLOW_LEG</t>
        </is>
      </c>
      <c r="AL1031" s="8">
        <f>IF($J1031="INR",1,IF($M1031&lt;$A1031,INDEX(Market_Daily!$F$6:$F$256,MATCH($M1031,Market_Daily!$A$6:$A$256,1)),IF($M1031=$A1031,INDEX(Market_Daily!$F$6:$F$256,MATCH($A1031,Market_Daily!$A$6:$A$256,0)),(INDEX(Market_Daily!$F$6:$F$256,MATCH($A1031,Market_Daily!$A$6:$A$256,0))*(1+INDEX(Market_Daily!$I$6:$I$256,MATCH($A1031,Market_Daily!$A$6:$A$256,0))*($M1031-$A1031)/day_count_inr)/(1+INDEX(Market_Daily!$J$6:$J$256,MATCH($A1031,Market_Daily!$A$6:$A$256,0))*($M1031-$A1031)/day_count_usd)))))</f>
        <v/>
      </c>
      <c r="AM1031" s="8">
        <f>IF(OR($J1031="INR",$R1031&gt;1),"",$AL1031-$X1031)</f>
        <v/>
      </c>
      <c r="AN1031" s="8">
        <f>$U1031</f>
        <v/>
      </c>
      <c r="AO1031" s="8">
        <f>$V1031</f>
        <v/>
      </c>
      <c r="AP1031" s="18">
        <f>$AO1031-$V1031</f>
        <v/>
      </c>
      <c r="AQ1031" s="8">
        <f>IF(ABS($AP1031)&lt;=tol_trade_inr,"PASS","FAIL")</f>
        <v/>
      </c>
    </row>
    <row r="1032">
      <c r="A1032" s="11" t="n">
        <v>44742</v>
      </c>
      <c r="B1032" s="7" t="inlineStr">
        <is>
          <t>T08</t>
        </is>
      </c>
      <c r="C1032" s="7" t="inlineStr">
        <is>
          <t>INVENTORY:L1</t>
        </is>
      </c>
      <c r="D1032" s="7" t="inlineStr">
        <is>
          <t>INVENTORY</t>
        </is>
      </c>
      <c r="E1032" s="7" t="inlineStr">
        <is>
          <t>physical</t>
        </is>
      </c>
      <c r="F1032" s="7" t="inlineStr">
        <is>
          <t>L1</t>
        </is>
      </c>
      <c r="H1032" s="7" t="inlineStr">
        <is>
          <t>tense</t>
        </is>
      </c>
      <c r="I1032" s="7" t="inlineStr">
        <is>
          <t>USEC_MUN</t>
        </is>
      </c>
      <c r="J1032" s="7" t="inlineStr">
        <is>
          <t>INR</t>
        </is>
      </c>
      <c r="K1032" s="7" t="inlineStr">
        <is>
          <t>fixed_unsettled</t>
        </is>
      </c>
      <c r="L1032" s="7" t="inlineStr">
        <is>
          <t>PNL</t>
        </is>
      </c>
      <c r="N1032" s="13" t="n">
        <v>840</v>
      </c>
      <c r="O1032" s="6" t="n">
        <v>0</v>
      </c>
      <c r="P1032" s="13" t="n">
        <v>0</v>
      </c>
      <c r="Q1032" s="22" t="n">
        <v>30</v>
      </c>
      <c r="R1032" s="6" t="n">
        <v>0</v>
      </c>
      <c r="U1032" s="9" t="n">
        <v>134964442.53</v>
      </c>
      <c r="V1032" s="9" t="n">
        <v>134964442.53</v>
      </c>
      <c r="W1032" s="9" t="n">
        <v>160671.9554</v>
      </c>
      <c r="X1032" s="9" t="n">
        <v>79.0536</v>
      </c>
      <c r="Y1032" s="8">
        <f>IF($I1032="JEA_NSA","20ft","40ft")</f>
        <v/>
      </c>
      <c r="Z1032" s="8">
        <f>IF($I1032="JEA_NSA","nsa","mun")</f>
        <v/>
      </c>
      <c r="AA1032" s="8">
        <f>INDEX(param_values,MATCH("container_payload_mt_"&amp;$Y1032,param_keys,0))/INDEX(param_values,MATCH("container_payload_mt_"&amp;$Y1032&amp;"_"&amp;$H1032,param_keys,0))</f>
        <v/>
      </c>
      <c r="AB1032" s="16">
        <f>INDEX(Market_Daily!$C$6:$C$256,MATCH($A1032,Market_Daily!$A$6:$A$256,0))*INDEX(Market_Daily!$X$6:$Z$256,MATCH($A1032,Market_Daily!$A$6:$A$256,0),MATCH("grade_factor_"&amp;$H1032,Market_Daily!$X$5:$Z$5,0))</f>
        <v/>
      </c>
      <c r="AC1032" s="16">
        <f>$AB1032*(1+insurance_rate*insured_value_uplift)</f>
        <v/>
      </c>
      <c r="AD1032" s="8">
        <f>(INDEX(Market_Daily!$F$6:$F$256,MATCH($A1032,Market_Daily!$A$6:$A$256,0))*(1+INDEX(Market_Daily!$I$6:$I$256,MATCH($A1032,Market_Daily!$A$6:$A$256,0))*$Q1032/day_count_inr)/(1+INDEX(Market_Daily!$J$6:$J$256,MATCH($A1032,Market_Daily!$A$6:$A$256,0))*$Q1032/day_count_usd))</f>
        <v/>
      </c>
      <c r="AE1032" s="18">
        <f>$AC1032*$AD1032</f>
        <v/>
      </c>
      <c r="AF1032" s="18">
        <f>$AC1032*INDEX(Market_Daily!$V$6:$V$256,MATCH($A1032,Market_Daily!$A$6:$A$256,0))</f>
        <v/>
      </c>
      <c r="AG1032" s="18">
        <f>$AF1032*bcd_scrap_hs7602*(1+sws_rate_on_bcd)</f>
        <v/>
      </c>
      <c r="AH1032" s="18">
        <f>INDEX(param_values,MATCH("port_cf_charges_inr_t_"&amp;$Z1032,param_keys,0))*$AA1032+IF(INDEX(param_values,MATCH(IF($I1032="JEA_NSA","psic_required_uae_origin","psic_required_safe_origin_designated_port"),param_keys,0)),psic_cost_usd_per_box*INDEX(Market_Daily!$F$6:$F$256,MATCH($A1032,Market_Daily!$A$6:$A$256,0))/INDEX(param_values,MATCH("container_payload_mt_20ft_"&amp;$H1032,param_keys,0)),0)</f>
        <v/>
      </c>
      <c r="AI1032" s="18">
        <f>IF(igst_itc_available,0,($AF1032+$AG1032)*igst_rate_hs7602)</f>
        <v/>
      </c>
      <c r="AJ1032" s="18">
        <f>$AE1032+$AG1032+$AH1032+$AI1032</f>
        <v/>
      </c>
      <c r="AK1032" s="7" t="inlineStr">
        <is>
          <t>DERIVED_IN_WORKBOOK</t>
        </is>
      </c>
      <c r="AL1032" s="8">
        <f>IF($J1032="INR",1,IF($M1032&lt;$A1032,INDEX(Market_Daily!$F$6:$F$256,MATCH($M1032,Market_Daily!$A$6:$A$256,1)),IF($M1032=$A1032,INDEX(Market_Daily!$F$6:$F$256,MATCH($A1032,Market_Daily!$A$6:$A$256,0)),(INDEX(Market_Daily!$F$6:$F$256,MATCH($A1032,Market_Daily!$A$6:$A$256,0))*(1+INDEX(Market_Daily!$I$6:$I$256,MATCH($A1032,Market_Daily!$A$6:$A$256,0))*($M1032-$A1032)/day_count_inr)/(1+INDEX(Market_Daily!$J$6:$J$256,MATCH($A1032,Market_Daily!$A$6:$A$256,0))*($M1032-$A1032)/day_count_usd)))))</f>
        <v/>
      </c>
      <c r="AM1032" s="8">
        <f>IF(OR($J1032="INR",$R1032&gt;1),"",$AL1032-$X1032)</f>
        <v/>
      </c>
      <c r="AN1032" s="8">
        <f>$N1032*$AJ1032</f>
        <v/>
      </c>
      <c r="AO1032" s="8">
        <f>$AN1032</f>
        <v/>
      </c>
      <c r="AP1032" s="18">
        <f>$AO1032-$V1032</f>
        <v/>
      </c>
      <c r="AQ1032" s="8">
        <f>IF(ABS($AP1032)&lt;=tol_trade_inr,"PASS","FAIL")</f>
        <v/>
      </c>
    </row>
    <row r="1033">
      <c r="A1033" s="11" t="n">
        <v>44742</v>
      </c>
      <c r="B1033" s="7" t="inlineStr">
        <is>
          <t>T08</t>
        </is>
      </c>
      <c r="C1033" s="7" t="inlineStr">
        <is>
          <t>INVENTORY:L2</t>
        </is>
      </c>
      <c r="D1033" s="7" t="inlineStr">
        <is>
          <t>INVENTORY</t>
        </is>
      </c>
      <c r="E1033" s="7" t="inlineStr">
        <is>
          <t>physical</t>
        </is>
      </c>
      <c r="F1033" s="7" t="inlineStr">
        <is>
          <t>L2</t>
        </is>
      </c>
      <c r="H1033" s="7" t="inlineStr">
        <is>
          <t>tense</t>
        </is>
      </c>
      <c r="I1033" s="7" t="inlineStr">
        <is>
          <t>USEC_MUN</t>
        </is>
      </c>
      <c r="J1033" s="7" t="inlineStr">
        <is>
          <t>INR</t>
        </is>
      </c>
      <c r="K1033" s="7" t="inlineStr">
        <is>
          <t>fixed_unsettled</t>
        </is>
      </c>
      <c r="L1033" s="7" t="inlineStr">
        <is>
          <t>PNL</t>
        </is>
      </c>
      <c r="N1033" s="13" t="n">
        <v>840</v>
      </c>
      <c r="O1033" s="6" t="n">
        <v>0</v>
      </c>
      <c r="P1033" s="13" t="n">
        <v>0</v>
      </c>
      <c r="Q1033" s="22" t="n">
        <v>30</v>
      </c>
      <c r="R1033" s="6" t="n">
        <v>0</v>
      </c>
      <c r="U1033" s="9" t="n">
        <v>134964442.53</v>
      </c>
      <c r="V1033" s="9" t="n">
        <v>134964442.53</v>
      </c>
      <c r="W1033" s="9" t="n">
        <v>160671.9554</v>
      </c>
      <c r="X1033" s="9" t="n">
        <v>79.0536</v>
      </c>
      <c r="Y1033" s="8">
        <f>IF($I1033="JEA_NSA","20ft","40ft")</f>
        <v/>
      </c>
      <c r="Z1033" s="8">
        <f>IF($I1033="JEA_NSA","nsa","mun")</f>
        <v/>
      </c>
      <c r="AA1033" s="8">
        <f>INDEX(param_values,MATCH("container_payload_mt_"&amp;$Y1033,param_keys,0))/INDEX(param_values,MATCH("container_payload_mt_"&amp;$Y1033&amp;"_"&amp;$H1033,param_keys,0))</f>
        <v/>
      </c>
      <c r="AB1033" s="16">
        <f>INDEX(Market_Daily!$C$6:$C$256,MATCH($A1033,Market_Daily!$A$6:$A$256,0))*INDEX(Market_Daily!$X$6:$Z$256,MATCH($A1033,Market_Daily!$A$6:$A$256,0),MATCH("grade_factor_"&amp;$H1033,Market_Daily!$X$5:$Z$5,0))</f>
        <v/>
      </c>
      <c r="AC1033" s="16">
        <f>$AB1033*(1+insurance_rate*insured_value_uplift)</f>
        <v/>
      </c>
      <c r="AD1033" s="8">
        <f>(INDEX(Market_Daily!$F$6:$F$256,MATCH($A1033,Market_Daily!$A$6:$A$256,0))*(1+INDEX(Market_Daily!$I$6:$I$256,MATCH($A1033,Market_Daily!$A$6:$A$256,0))*$Q1033/day_count_inr)/(1+INDEX(Market_Daily!$J$6:$J$256,MATCH($A1033,Market_Daily!$A$6:$A$256,0))*$Q1033/day_count_usd))</f>
        <v/>
      </c>
      <c r="AE1033" s="18">
        <f>$AC1033*$AD1033</f>
        <v/>
      </c>
      <c r="AF1033" s="18">
        <f>$AC1033*INDEX(Market_Daily!$V$6:$V$256,MATCH($A1033,Market_Daily!$A$6:$A$256,0))</f>
        <v/>
      </c>
      <c r="AG1033" s="18">
        <f>$AF1033*bcd_scrap_hs7602*(1+sws_rate_on_bcd)</f>
        <v/>
      </c>
      <c r="AH1033" s="18">
        <f>INDEX(param_values,MATCH("port_cf_charges_inr_t_"&amp;$Z1033,param_keys,0))*$AA1033+IF(INDEX(param_values,MATCH(IF($I1033="JEA_NSA","psic_required_uae_origin","psic_required_safe_origin_designated_port"),param_keys,0)),psic_cost_usd_per_box*INDEX(Market_Daily!$F$6:$F$256,MATCH($A1033,Market_Daily!$A$6:$A$256,0))/INDEX(param_values,MATCH("container_payload_mt_20ft_"&amp;$H1033,param_keys,0)),0)</f>
        <v/>
      </c>
      <c r="AI1033" s="18">
        <f>IF(igst_itc_available,0,($AF1033+$AG1033)*igst_rate_hs7602)</f>
        <v/>
      </c>
      <c r="AJ1033" s="18">
        <f>$AE1033+$AG1033+$AH1033+$AI1033</f>
        <v/>
      </c>
      <c r="AK1033" s="7" t="inlineStr">
        <is>
          <t>DERIVED_IN_WORKBOOK</t>
        </is>
      </c>
      <c r="AL1033" s="8">
        <f>IF($J1033="INR",1,IF($M1033&lt;$A1033,INDEX(Market_Daily!$F$6:$F$256,MATCH($M1033,Market_Daily!$A$6:$A$256,1)),IF($M1033=$A1033,INDEX(Market_Daily!$F$6:$F$256,MATCH($A1033,Market_Daily!$A$6:$A$256,0)),(INDEX(Market_Daily!$F$6:$F$256,MATCH($A1033,Market_Daily!$A$6:$A$256,0))*(1+INDEX(Market_Daily!$I$6:$I$256,MATCH($A1033,Market_Daily!$A$6:$A$256,0))*($M1033-$A1033)/day_count_inr)/(1+INDEX(Market_Daily!$J$6:$J$256,MATCH($A1033,Market_Daily!$A$6:$A$256,0))*($M1033-$A1033)/day_count_usd)))))</f>
        <v/>
      </c>
      <c r="AM1033" s="8">
        <f>IF(OR($J1033="INR",$R1033&gt;1),"",$AL1033-$X1033)</f>
        <v/>
      </c>
      <c r="AN1033" s="8">
        <f>$N1033*$AJ1033</f>
        <v/>
      </c>
      <c r="AO1033" s="8">
        <f>$AN1033</f>
        <v/>
      </c>
      <c r="AP1033" s="18">
        <f>$AO1033-$V1033</f>
        <v/>
      </c>
      <c r="AQ1033" s="8">
        <f>IF(ABS($AP1033)&lt;=tol_trade_inr,"PASS","FAIL")</f>
        <v/>
      </c>
    </row>
    <row r="1034">
      <c r="A1034" s="11" t="n">
        <v>44742</v>
      </c>
      <c r="B1034" s="7" t="inlineStr">
        <is>
          <t>T08</t>
        </is>
      </c>
      <c r="C1034" s="7" t="inlineStr">
        <is>
          <t>PORT:L1</t>
        </is>
      </c>
      <c r="D1034" s="7" t="inlineStr">
        <is>
          <t>PORT</t>
        </is>
      </c>
      <c r="E1034" s="7" t="inlineStr">
        <is>
          <t>physical</t>
        </is>
      </c>
      <c r="F1034" s="7" t="inlineStr">
        <is>
          <t>L1</t>
        </is>
      </c>
      <c r="H1034" s="7" t="inlineStr">
        <is>
          <t>tense</t>
        </is>
      </c>
      <c r="I1034" s="7" t="inlineStr">
        <is>
          <t>USEC_MUN</t>
        </is>
      </c>
      <c r="J1034" s="7" t="inlineStr">
        <is>
          <t>INR</t>
        </is>
      </c>
      <c r="K1034" s="7" t="inlineStr">
        <is>
          <t>fixed_unsettled</t>
        </is>
      </c>
      <c r="L1034" s="7" t="inlineStr">
        <is>
          <t>PNL</t>
        </is>
      </c>
      <c r="M1034" s="11" t="n">
        <v>44784</v>
      </c>
      <c r="N1034" s="13" t="n">
        <v>0</v>
      </c>
      <c r="O1034" s="6" t="n">
        <v>0</v>
      </c>
      <c r="P1034" s="13" t="n">
        <v>0</v>
      </c>
      <c r="Q1034" s="22" t="n">
        <v>30</v>
      </c>
      <c r="R1034" s="6" t="n">
        <v>1</v>
      </c>
      <c r="U1034" s="9" t="n">
        <v>-2226000</v>
      </c>
      <c r="V1034" s="9" t="n">
        <v>-2226000</v>
      </c>
      <c r="X1034" s="9" t="n">
        <v>79.0536</v>
      </c>
      <c r="AK1034" s="7" t="inlineStr">
        <is>
          <t>PYTHON_LIFECYCLE</t>
        </is>
      </c>
      <c r="AL1034" s="8">
        <f>IF($J1034="INR",1,IF($M1034&lt;$A1034,INDEX(Market_Daily!$F$6:$F$256,MATCH($M1034,Market_Daily!$A$6:$A$256,1)),IF($M1034=$A1034,INDEX(Market_Daily!$F$6:$F$256,MATCH($A1034,Market_Daily!$A$6:$A$256,0)),(INDEX(Market_Daily!$F$6:$F$256,MATCH($A1034,Market_Daily!$A$6:$A$256,0))*(1+INDEX(Market_Daily!$I$6:$I$256,MATCH($A1034,Market_Daily!$A$6:$A$256,0))*($M1034-$A1034)/day_count_inr)/(1+INDEX(Market_Daily!$J$6:$J$256,MATCH($A1034,Market_Daily!$A$6:$A$256,0))*($M1034-$A1034)/day_count_usd)))))</f>
        <v/>
      </c>
      <c r="AM1034" s="8">
        <f>IF(OR($J1034="INR",$R1034&gt;1),"",$AL1034-$X1034)</f>
        <v/>
      </c>
      <c r="AN1034" s="8">
        <f>$U1034</f>
        <v/>
      </c>
      <c r="AO1034" s="8">
        <f>$AN1034*IF($J1034="INR",1,$AL1034)</f>
        <v/>
      </c>
      <c r="AP1034" s="18">
        <f>$AO1034-$V1034</f>
        <v/>
      </c>
      <c r="AQ1034" s="8">
        <f>IF(ABS($AP1034)&lt;=tol_trade_inr,"PASS","FAIL")</f>
        <v/>
      </c>
    </row>
    <row r="1035">
      <c r="A1035" s="11" t="n">
        <v>44742</v>
      </c>
      <c r="B1035" s="7" t="inlineStr">
        <is>
          <t>T08</t>
        </is>
      </c>
      <c r="C1035" s="7" t="inlineStr">
        <is>
          <t>PORT:L2</t>
        </is>
      </c>
      <c r="D1035" s="7" t="inlineStr">
        <is>
          <t>PORT</t>
        </is>
      </c>
      <c r="E1035" s="7" t="inlineStr">
        <is>
          <t>physical</t>
        </is>
      </c>
      <c r="F1035" s="7" t="inlineStr">
        <is>
          <t>L2</t>
        </is>
      </c>
      <c r="H1035" s="7" t="inlineStr">
        <is>
          <t>tense</t>
        </is>
      </c>
      <c r="I1035" s="7" t="inlineStr">
        <is>
          <t>USEC_MUN</t>
        </is>
      </c>
      <c r="J1035" s="7" t="inlineStr">
        <is>
          <t>INR</t>
        </is>
      </c>
      <c r="K1035" s="7" t="inlineStr">
        <is>
          <t>fixed_unsettled</t>
        </is>
      </c>
      <c r="L1035" s="7" t="inlineStr">
        <is>
          <t>PNL</t>
        </is>
      </c>
      <c r="M1035" s="11" t="n">
        <v>44791</v>
      </c>
      <c r="N1035" s="13" t="n">
        <v>0</v>
      </c>
      <c r="O1035" s="6" t="n">
        <v>0</v>
      </c>
      <c r="P1035" s="13" t="n">
        <v>0</v>
      </c>
      <c r="Q1035" s="22" t="n">
        <v>30</v>
      </c>
      <c r="R1035" s="6" t="n">
        <v>1</v>
      </c>
      <c r="U1035" s="9" t="n">
        <v>-2226000</v>
      </c>
      <c r="V1035" s="9" t="n">
        <v>-2226000</v>
      </c>
      <c r="X1035" s="9" t="n">
        <v>79.0536</v>
      </c>
      <c r="AK1035" s="7" t="inlineStr">
        <is>
          <t>PYTHON_LIFECYCLE</t>
        </is>
      </c>
      <c r="AL1035" s="8">
        <f>IF($J1035="INR",1,IF($M1035&lt;$A1035,INDEX(Market_Daily!$F$6:$F$256,MATCH($M1035,Market_Daily!$A$6:$A$256,1)),IF($M1035=$A1035,INDEX(Market_Daily!$F$6:$F$256,MATCH($A1035,Market_Daily!$A$6:$A$256,0)),(INDEX(Market_Daily!$F$6:$F$256,MATCH($A1035,Market_Daily!$A$6:$A$256,0))*(1+INDEX(Market_Daily!$I$6:$I$256,MATCH($A1035,Market_Daily!$A$6:$A$256,0))*($M1035-$A1035)/day_count_inr)/(1+INDEX(Market_Daily!$J$6:$J$256,MATCH($A1035,Market_Daily!$A$6:$A$256,0))*($M1035-$A1035)/day_count_usd)))))</f>
        <v/>
      </c>
      <c r="AM1035" s="8">
        <f>IF(OR($J1035="INR",$R1035&gt;1),"",$AL1035-$X1035)</f>
        <v/>
      </c>
      <c r="AN1035" s="8">
        <f>$U1035</f>
        <v/>
      </c>
      <c r="AO1035" s="8">
        <f>$AN1035*IF($J1035="INR",1,$AL1035)</f>
        <v/>
      </c>
      <c r="AP1035" s="18">
        <f>$AO1035-$V1035</f>
        <v/>
      </c>
      <c r="AQ1035" s="8">
        <f>IF(ABS($AP1035)&lt;=tol_trade_inr,"PASS","FAIL")</f>
        <v/>
      </c>
    </row>
    <row r="1036">
      <c r="A1036" s="11" t="n">
        <v>44742</v>
      </c>
      <c r="B1036" s="7" t="inlineStr">
        <is>
          <t>T08</t>
        </is>
      </c>
      <c r="C1036" s="7" t="inlineStr">
        <is>
          <t>PURCHASE:L1</t>
        </is>
      </c>
      <c r="D1036" s="7" t="inlineStr">
        <is>
          <t>PURCHASE</t>
        </is>
      </c>
      <c r="E1036" s="7" t="inlineStr">
        <is>
          <t>physical</t>
        </is>
      </c>
      <c r="F1036" s="7" t="inlineStr">
        <is>
          <t>L1</t>
        </is>
      </c>
      <c r="G1036" s="7" t="inlineStr">
        <is>
          <t>SUP_USEC_02</t>
        </is>
      </c>
      <c r="H1036" s="7" t="inlineStr">
        <is>
          <t>tense</t>
        </is>
      </c>
      <c r="I1036" s="7" t="inlineStr">
        <is>
          <t>USEC_MUN</t>
        </is>
      </c>
      <c r="J1036" s="7" t="inlineStr">
        <is>
          <t>USD</t>
        </is>
      </c>
      <c r="K1036" s="7" t="inlineStr">
        <is>
          <t>partially_fixed</t>
        </is>
      </c>
      <c r="L1036" s="7" t="inlineStr">
        <is>
          <t>PNL</t>
        </is>
      </c>
      <c r="M1036" s="11" t="n">
        <v>44778</v>
      </c>
      <c r="N1036" s="13" t="n">
        <v>1680</v>
      </c>
      <c r="O1036" s="6" t="n">
        <v>0</v>
      </c>
      <c r="P1036" s="13" t="n">
        <v>0</v>
      </c>
      <c r="Q1036" s="22" t="n">
        <v>30</v>
      </c>
      <c r="R1036" s="6" t="n">
        <v>2</v>
      </c>
      <c r="U1036" s="9" t="n">
        <v>-44921.92</v>
      </c>
      <c r="V1036" s="9" t="n">
        <v>-3563306.81</v>
      </c>
      <c r="X1036" s="9" t="n">
        <v>79.3222</v>
      </c>
      <c r="AK1036" s="7" t="inlineStr">
        <is>
          <t>PYTHON_MULTI_FLOW_LEG</t>
        </is>
      </c>
      <c r="AL1036" s="8">
        <f>IF($J1036="INR",1,IF($M1036&lt;$A1036,INDEX(Market_Daily!$F$6:$F$256,MATCH($M1036,Market_Daily!$A$6:$A$256,1)),IF($M1036=$A1036,INDEX(Market_Daily!$F$6:$F$256,MATCH($A1036,Market_Daily!$A$6:$A$256,0)),(INDEX(Market_Daily!$F$6:$F$256,MATCH($A1036,Market_Daily!$A$6:$A$256,0))*(1+INDEX(Market_Daily!$I$6:$I$256,MATCH($A1036,Market_Daily!$A$6:$A$256,0))*($M1036-$A1036)/day_count_inr)/(1+INDEX(Market_Daily!$J$6:$J$256,MATCH($A1036,Market_Daily!$A$6:$A$256,0))*($M1036-$A1036)/day_count_usd)))))</f>
        <v/>
      </c>
      <c r="AM1036" s="8">
        <f>IF(OR($J1036="INR",$R1036&gt;1),"",$AL1036-$X1036)</f>
        <v/>
      </c>
      <c r="AN1036" s="8">
        <f>$U1036</f>
        <v/>
      </c>
      <c r="AO1036" s="8">
        <f>$V1036</f>
        <v/>
      </c>
      <c r="AP1036" s="18">
        <f>$AO1036-$V1036</f>
        <v/>
      </c>
      <c r="AQ1036" s="8">
        <f>IF(ABS($AP1036)&lt;=tol_trade_inr,"PASS","FAIL")</f>
        <v/>
      </c>
    </row>
    <row r="1037">
      <c r="A1037" s="11" t="n">
        <v>44742</v>
      </c>
      <c r="B1037" s="7" t="inlineStr">
        <is>
          <t>T08</t>
        </is>
      </c>
      <c r="C1037" s="7" t="inlineStr">
        <is>
          <t>PURCHASE:L2</t>
        </is>
      </c>
      <c r="D1037" s="7" t="inlineStr">
        <is>
          <t>PURCHASE</t>
        </is>
      </c>
      <c r="E1037" s="7" t="inlineStr">
        <is>
          <t>physical</t>
        </is>
      </c>
      <c r="F1037" s="7" t="inlineStr">
        <is>
          <t>L2</t>
        </is>
      </c>
      <c r="G1037" s="7" t="inlineStr">
        <is>
          <t>SUP_USEC_02</t>
        </is>
      </c>
      <c r="H1037" s="7" t="inlineStr">
        <is>
          <t>tense</t>
        </is>
      </c>
      <c r="I1037" s="7" t="inlineStr">
        <is>
          <t>USEC_MUN</t>
        </is>
      </c>
      <c r="J1037" s="7" t="inlineStr">
        <is>
          <t>USD</t>
        </is>
      </c>
      <c r="K1037" s="7" t="inlineStr">
        <is>
          <t>partially_fixed</t>
        </is>
      </c>
      <c r="L1037" s="7" t="inlineStr">
        <is>
          <t>PNL</t>
        </is>
      </c>
      <c r="M1037" s="11" t="n">
        <v>44782</v>
      </c>
      <c r="N1037" s="13" t="n">
        <v>1680</v>
      </c>
      <c r="O1037" s="6" t="n">
        <v>0</v>
      </c>
      <c r="P1037" s="13" t="n">
        <v>0</v>
      </c>
      <c r="Q1037" s="22" t="n">
        <v>30</v>
      </c>
      <c r="R1037" s="6" t="n">
        <v>2</v>
      </c>
      <c r="U1037" s="9" t="n">
        <v>-1577242.32</v>
      </c>
      <c r="V1037" s="9" t="n">
        <v>-124769341.37</v>
      </c>
      <c r="X1037" s="9" t="n">
        <v>79.352</v>
      </c>
      <c r="AK1037" s="7" t="inlineStr">
        <is>
          <t>PYTHON_MULTI_FLOW_LEG</t>
        </is>
      </c>
      <c r="AL1037" s="8">
        <f>IF($J1037="INR",1,IF($M1037&lt;$A1037,INDEX(Market_Daily!$F$6:$F$256,MATCH($M1037,Market_Daily!$A$6:$A$256,1)),IF($M1037=$A1037,INDEX(Market_Daily!$F$6:$F$256,MATCH($A1037,Market_Daily!$A$6:$A$256,0)),(INDEX(Market_Daily!$F$6:$F$256,MATCH($A1037,Market_Daily!$A$6:$A$256,0))*(1+INDEX(Market_Daily!$I$6:$I$256,MATCH($A1037,Market_Daily!$A$6:$A$256,0))*($M1037-$A1037)/day_count_inr)/(1+INDEX(Market_Daily!$J$6:$J$256,MATCH($A1037,Market_Daily!$A$6:$A$256,0))*($M1037-$A1037)/day_count_usd)))))</f>
        <v/>
      </c>
      <c r="AM1037" s="8">
        <f>IF(OR($J1037="INR",$R1037&gt;1),"",$AL1037-$X1037)</f>
        <v/>
      </c>
      <c r="AN1037" s="8">
        <f>$U1037</f>
        <v/>
      </c>
      <c r="AO1037" s="8">
        <f>$V1037</f>
        <v/>
      </c>
      <c r="AP1037" s="18">
        <f>$AO1037-$V1037</f>
        <v/>
      </c>
      <c r="AQ1037" s="8">
        <f>IF(ABS($AP1037)&lt;=tol_trade_inr,"PASS","FAIL")</f>
        <v/>
      </c>
    </row>
    <row r="1038">
      <c r="A1038" s="11" t="n">
        <v>44756</v>
      </c>
      <c r="B1038" s="7" t="inlineStr">
        <is>
          <t>T04</t>
        </is>
      </c>
      <c r="C1038" s="7" t="inlineStr">
        <is>
          <t>IGST:L1</t>
        </is>
      </c>
      <c r="D1038" s="7" t="inlineStr">
        <is>
          <t>IGST</t>
        </is>
      </c>
      <c r="E1038" s="7" t="inlineStr">
        <is>
          <t>physical</t>
        </is>
      </c>
      <c r="F1038" s="7" t="inlineStr">
        <is>
          <t>L1</t>
        </is>
      </c>
      <c r="H1038" s="7" t="inlineStr">
        <is>
          <t>taint_tabor</t>
        </is>
      </c>
      <c r="I1038" s="7" t="inlineStr">
        <is>
          <t>USEC_MUN</t>
        </is>
      </c>
      <c r="J1038" s="7" t="inlineStr">
        <is>
          <t>INR</t>
        </is>
      </c>
      <c r="K1038" s="7" t="inlineStr">
        <is>
          <t>fixed_unsettled</t>
        </is>
      </c>
      <c r="L1038" s="7" t="inlineStr">
        <is>
          <t>BS</t>
        </is>
      </c>
      <c r="M1038" s="11" t="n">
        <v>44764</v>
      </c>
      <c r="N1038" s="13" t="n">
        <v>0</v>
      </c>
      <c r="O1038" s="6" t="n">
        <v>0</v>
      </c>
      <c r="P1038" s="13" t="n">
        <v>0</v>
      </c>
      <c r="Q1038" s="22" t="n">
        <v>31</v>
      </c>
      <c r="R1038" s="6" t="n">
        <v>2</v>
      </c>
      <c r="U1038" s="9" t="n">
        <v>0</v>
      </c>
      <c r="V1038" s="9" t="n">
        <v>0</v>
      </c>
      <c r="X1038" s="9" t="n">
        <v>80.0352</v>
      </c>
      <c r="AK1038" s="7" t="inlineStr">
        <is>
          <t>PYTHON_MULTI_FLOW_LEG</t>
        </is>
      </c>
      <c r="AL1038" s="8">
        <f>IF($J1038="INR",1,IF($M1038&lt;$A1038,INDEX(Market_Daily!$F$6:$F$256,MATCH($M1038,Market_Daily!$A$6:$A$256,1)),IF($M1038=$A1038,INDEX(Market_Daily!$F$6:$F$256,MATCH($A1038,Market_Daily!$A$6:$A$256,0)),(INDEX(Market_Daily!$F$6:$F$256,MATCH($A1038,Market_Daily!$A$6:$A$256,0))*(1+INDEX(Market_Daily!$I$6:$I$256,MATCH($A1038,Market_Daily!$A$6:$A$256,0))*($M1038-$A1038)/day_count_inr)/(1+INDEX(Market_Daily!$J$6:$J$256,MATCH($A1038,Market_Daily!$A$6:$A$256,0))*($M1038-$A1038)/day_count_usd)))))</f>
        <v/>
      </c>
      <c r="AM1038" s="8">
        <f>IF(OR($J1038="INR",$R1038&gt;1),"",$AL1038-$X1038)</f>
        <v/>
      </c>
      <c r="AN1038" s="8">
        <f>$U1038</f>
        <v/>
      </c>
      <c r="AO1038" s="8">
        <f>$V1038</f>
        <v/>
      </c>
      <c r="AP1038" s="18">
        <f>$AO1038-$V1038</f>
        <v/>
      </c>
      <c r="AQ1038" s="8">
        <f>IF(ABS($AP1038)&lt;=tol_trade_inr,"PASS","FAIL")</f>
        <v/>
      </c>
    </row>
    <row r="1039">
      <c r="A1039" s="11" t="n">
        <v>44756</v>
      </c>
      <c r="B1039" s="7" t="inlineStr">
        <is>
          <t>T04</t>
        </is>
      </c>
      <c r="C1039" s="7" t="inlineStr">
        <is>
          <t>IGST:L2</t>
        </is>
      </c>
      <c r="D1039" s="7" t="inlineStr">
        <is>
          <t>IGST</t>
        </is>
      </c>
      <c r="E1039" s="7" t="inlineStr">
        <is>
          <t>physical</t>
        </is>
      </c>
      <c r="F1039" s="7" t="inlineStr">
        <is>
          <t>L2</t>
        </is>
      </c>
      <c r="H1039" s="7" t="inlineStr">
        <is>
          <t>taint_tabor</t>
        </is>
      </c>
      <c r="I1039" s="7" t="inlineStr">
        <is>
          <t>USEC_MUN</t>
        </is>
      </c>
      <c r="J1039" s="7" t="inlineStr">
        <is>
          <t>INR</t>
        </is>
      </c>
      <c r="K1039" s="7" t="inlineStr">
        <is>
          <t>fixed_unsettled</t>
        </is>
      </c>
      <c r="L1039" s="7" t="inlineStr">
        <is>
          <t>BS</t>
        </is>
      </c>
      <c r="M1039" s="11" t="n">
        <v>44771</v>
      </c>
      <c r="N1039" s="13" t="n">
        <v>0</v>
      </c>
      <c r="O1039" s="6" t="n">
        <v>0</v>
      </c>
      <c r="P1039" s="13" t="n">
        <v>0</v>
      </c>
      <c r="Q1039" s="22" t="n">
        <v>31</v>
      </c>
      <c r="R1039" s="6" t="n">
        <v>2</v>
      </c>
      <c r="U1039" s="9" t="n">
        <v>0</v>
      </c>
      <c r="V1039" s="9" t="n">
        <v>0</v>
      </c>
      <c r="X1039" s="9" t="n">
        <v>80.0352</v>
      </c>
      <c r="AK1039" s="7" t="inlineStr">
        <is>
          <t>PYTHON_MULTI_FLOW_LEG</t>
        </is>
      </c>
      <c r="AL1039" s="8">
        <f>IF($J1039="INR",1,IF($M1039&lt;$A1039,INDEX(Market_Daily!$F$6:$F$256,MATCH($M1039,Market_Daily!$A$6:$A$256,1)),IF($M1039=$A1039,INDEX(Market_Daily!$F$6:$F$256,MATCH($A1039,Market_Daily!$A$6:$A$256,0)),(INDEX(Market_Daily!$F$6:$F$256,MATCH($A1039,Market_Daily!$A$6:$A$256,0))*(1+INDEX(Market_Daily!$I$6:$I$256,MATCH($A1039,Market_Daily!$A$6:$A$256,0))*($M1039-$A1039)/day_count_inr)/(1+INDEX(Market_Daily!$J$6:$J$256,MATCH($A1039,Market_Daily!$A$6:$A$256,0))*($M1039-$A1039)/day_count_usd)))))</f>
        <v/>
      </c>
      <c r="AM1039" s="8">
        <f>IF(OR($J1039="INR",$R1039&gt;1),"",$AL1039-$X1039)</f>
        <v/>
      </c>
      <c r="AN1039" s="8">
        <f>$U1039</f>
        <v/>
      </c>
      <c r="AO1039" s="8">
        <f>$V1039</f>
        <v/>
      </c>
      <c r="AP1039" s="18">
        <f>$AO1039-$V1039</f>
        <v/>
      </c>
      <c r="AQ1039" s="8">
        <f>IF(ABS($AP1039)&lt;=tol_trade_inr,"PASS","FAIL")</f>
        <v/>
      </c>
    </row>
    <row r="1040">
      <c r="A1040" s="11" t="n">
        <v>44756</v>
      </c>
      <c r="B1040" s="7" t="inlineStr">
        <is>
          <t>T04</t>
        </is>
      </c>
      <c r="C1040" s="7" t="inlineStr">
        <is>
          <t>SALE:S1</t>
        </is>
      </c>
      <c r="D1040" s="7" t="inlineStr">
        <is>
          <t>SALE</t>
        </is>
      </c>
      <c r="E1040" s="7" t="inlineStr">
        <is>
          <t>physical</t>
        </is>
      </c>
      <c r="G1040" s="7" t="inlineStr">
        <is>
          <t>BUY_RJK_01</t>
        </is>
      </c>
      <c r="H1040" s="7" t="inlineStr">
        <is>
          <t>taint_tabor</t>
        </is>
      </c>
      <c r="I1040" s="7" t="inlineStr">
        <is>
          <t>USEC_MUN</t>
        </is>
      </c>
      <c r="J1040" s="7" t="inlineStr">
        <is>
          <t>INR</t>
        </is>
      </c>
      <c r="K1040" s="7" t="inlineStr">
        <is>
          <t>fixed_unsettled</t>
        </is>
      </c>
      <c r="L1040" s="7" t="inlineStr">
        <is>
          <t>PNL</t>
        </is>
      </c>
      <c r="M1040" s="11" t="n">
        <v>44767</v>
      </c>
      <c r="N1040" s="13" t="n">
        <v>2520</v>
      </c>
      <c r="O1040" s="6" t="n">
        <v>0</v>
      </c>
      <c r="P1040" s="13" t="n">
        <v>0</v>
      </c>
      <c r="Q1040" s="22" t="n">
        <v>31</v>
      </c>
      <c r="R1040" s="6" t="n">
        <v>2</v>
      </c>
      <c r="U1040" s="9" t="n">
        <v>61267500</v>
      </c>
      <c r="V1040" s="9" t="n">
        <v>61267500</v>
      </c>
      <c r="W1040" s="9" t="n">
        <v>194500</v>
      </c>
      <c r="X1040" s="9" t="n">
        <v>80.0352</v>
      </c>
      <c r="AK1040" s="7" t="inlineStr">
        <is>
          <t>PYTHON_MULTI_FLOW_LEG</t>
        </is>
      </c>
      <c r="AL1040" s="8">
        <f>IF($J1040="INR",1,IF($M1040&lt;$A1040,INDEX(Market_Daily!$F$6:$F$256,MATCH($M1040,Market_Daily!$A$6:$A$256,1)),IF($M1040=$A1040,INDEX(Market_Daily!$F$6:$F$256,MATCH($A1040,Market_Daily!$A$6:$A$256,0)),(INDEX(Market_Daily!$F$6:$F$256,MATCH($A1040,Market_Daily!$A$6:$A$256,0))*(1+INDEX(Market_Daily!$I$6:$I$256,MATCH($A1040,Market_Daily!$A$6:$A$256,0))*($M1040-$A1040)/day_count_inr)/(1+INDEX(Market_Daily!$J$6:$J$256,MATCH($A1040,Market_Daily!$A$6:$A$256,0))*($M1040-$A1040)/day_count_usd)))))</f>
        <v/>
      </c>
      <c r="AM1040" s="8">
        <f>IF(OR($J1040="INR",$R1040&gt;1),"",$AL1040-$X1040)</f>
        <v/>
      </c>
      <c r="AN1040" s="8">
        <f>$U1040</f>
        <v/>
      </c>
      <c r="AO1040" s="8">
        <f>$V1040</f>
        <v/>
      </c>
      <c r="AP1040" s="18">
        <f>$AO1040-$V1040</f>
        <v/>
      </c>
      <c r="AQ1040" s="8">
        <f>IF(ABS($AP1040)&lt;=tol_trade_inr,"PASS","FAIL")</f>
        <v/>
      </c>
    </row>
    <row r="1041">
      <c r="A1041" s="11" t="n">
        <v>44756</v>
      </c>
      <c r="B1041" s="7" t="inlineStr">
        <is>
          <t>T05</t>
        </is>
      </c>
      <c r="C1041" s="7" t="inlineStr">
        <is>
          <t>BILL_COMMISSION:L2</t>
        </is>
      </c>
      <c r="D1041" s="7" t="inlineStr">
        <is>
          <t>BILL_COMMISSION</t>
        </is>
      </c>
      <c r="E1041" s="7" t="inlineStr">
        <is>
          <t>physical</t>
        </is>
      </c>
      <c r="F1041" s="7" t="inlineStr">
        <is>
          <t>L2</t>
        </is>
      </c>
      <c r="H1041" s="7" t="inlineStr">
        <is>
          <t>tense</t>
        </is>
      </c>
      <c r="I1041" s="7" t="inlineStr">
        <is>
          <t>USEC_MUN</t>
        </is>
      </c>
      <c r="J1041" s="7" t="inlineStr">
        <is>
          <t>USD</t>
        </is>
      </c>
      <c r="K1041" s="7" t="inlineStr">
        <is>
          <t>floating</t>
        </is>
      </c>
      <c r="L1041" s="7" t="inlineStr">
        <is>
          <t>PNL</t>
        </is>
      </c>
      <c r="M1041" s="11" t="n">
        <v>44760</v>
      </c>
      <c r="N1041" s="13" t="n">
        <v>0</v>
      </c>
      <c r="O1041" s="6" t="n">
        <v>0</v>
      </c>
      <c r="P1041" s="13" t="n">
        <v>0</v>
      </c>
      <c r="Q1041" s="22" t="n">
        <v>31</v>
      </c>
      <c r="R1041" s="6" t="n">
        <v>1</v>
      </c>
      <c r="U1041" s="9" t="n">
        <v>-2390.64</v>
      </c>
      <c r="V1041" s="9" t="n">
        <v>-191396.53</v>
      </c>
      <c r="X1041" s="9" t="n">
        <v>80.0609</v>
      </c>
      <c r="AK1041" s="7" t="inlineStr">
        <is>
          <t>PYTHON_LIFECYCLE</t>
        </is>
      </c>
      <c r="AL1041" s="8">
        <f>IF($J1041="INR",1,IF($M1041&lt;$A1041,INDEX(Market_Daily!$F$6:$F$256,MATCH($M1041,Market_Daily!$A$6:$A$256,1)),IF($M1041=$A1041,INDEX(Market_Daily!$F$6:$F$256,MATCH($A1041,Market_Daily!$A$6:$A$256,0)),(INDEX(Market_Daily!$F$6:$F$256,MATCH($A1041,Market_Daily!$A$6:$A$256,0))*(1+INDEX(Market_Daily!$I$6:$I$256,MATCH($A1041,Market_Daily!$A$6:$A$256,0))*($M1041-$A1041)/day_count_inr)/(1+INDEX(Market_Daily!$J$6:$J$256,MATCH($A1041,Market_Daily!$A$6:$A$256,0))*($M1041-$A1041)/day_count_usd)))))</f>
        <v/>
      </c>
      <c r="AM1041" s="8">
        <f>IF(OR($J1041="INR",$R1041&gt;1),"",$AL1041-$X1041)</f>
        <v/>
      </c>
      <c r="AN1041" s="8">
        <f>$U1041</f>
        <v/>
      </c>
      <c r="AO1041" s="8">
        <f>$AN1041*IF($J1041="INR",1,$AL1041)</f>
        <v/>
      </c>
      <c r="AP1041" s="18">
        <f>$AO1041-$V1041</f>
        <v/>
      </c>
      <c r="AQ1041" s="8">
        <f>IF(ABS($AP1041)&lt;=tol_trade_inr,"PASS","FAIL")</f>
        <v/>
      </c>
    </row>
    <row r="1042">
      <c r="A1042" s="11" t="n">
        <v>44756</v>
      </c>
      <c r="B1042" s="7" t="inlineStr">
        <is>
          <t>T05</t>
        </is>
      </c>
      <c r="C1042" s="7" t="inlineStr">
        <is>
          <t>FX:T05-FX-2</t>
        </is>
      </c>
      <c r="D1042" s="7" t="inlineStr">
        <is>
          <t>FX</t>
        </is>
      </c>
      <c r="E1042" s="7" t="inlineStr">
        <is>
          <t>fx_forward</t>
        </is>
      </c>
      <c r="H1042" s="7" t="inlineStr">
        <is>
          <t>tense</t>
        </is>
      </c>
      <c r="I1042" s="7" t="inlineStr">
        <is>
          <t>USEC_MUN</t>
        </is>
      </c>
      <c r="J1042" s="7" t="inlineStr">
        <is>
          <t>INR</t>
        </is>
      </c>
      <c r="K1042" s="7" t="inlineStr">
        <is>
          <t>floating</t>
        </is>
      </c>
      <c r="L1042" s="7" t="inlineStr">
        <is>
          <t>PNL</t>
        </is>
      </c>
      <c r="M1042" s="11" t="n">
        <v>44760</v>
      </c>
      <c r="N1042" s="13" t="n">
        <v>0</v>
      </c>
      <c r="O1042" s="6" t="n">
        <v>0</v>
      </c>
      <c r="P1042" s="13" t="n">
        <v>1992200</v>
      </c>
      <c r="Q1042" s="22" t="n">
        <v>31</v>
      </c>
      <c r="R1042" s="6" t="n">
        <v>1</v>
      </c>
      <c r="S1042" s="12" t="n">
        <v>44760</v>
      </c>
      <c r="T1042" s="21" t="n">
        <v>78.165892</v>
      </c>
      <c r="U1042" s="9" t="n">
        <v>3775254.58</v>
      </c>
      <c r="V1042" s="9" t="n">
        <v>3775254.58</v>
      </c>
      <c r="X1042" s="9" t="n">
        <v>80.0352</v>
      </c>
      <c r="AK1042" s="7" t="inlineStr">
        <is>
          <t>DERIVED_IN_WORKBOOK</t>
        </is>
      </c>
      <c r="AL1042" s="8">
        <f>IF($J1042="INR",1,IF($M1042&lt;$A1042,INDEX(Market_Daily!$F$6:$F$256,MATCH($M1042,Market_Daily!$A$6:$A$256,1)),IF($M1042=$A1042,INDEX(Market_Daily!$F$6:$F$256,MATCH($A1042,Market_Daily!$A$6:$A$256,0)),(INDEX(Market_Daily!$F$6:$F$256,MATCH($A1042,Market_Daily!$A$6:$A$256,0))*(1+INDEX(Market_Daily!$I$6:$I$256,MATCH($A1042,Market_Daily!$A$6:$A$256,0))*($M1042-$A1042)/day_count_inr)/(1+INDEX(Market_Daily!$J$6:$J$256,MATCH($A1042,Market_Daily!$A$6:$A$256,0))*($M1042-$A1042)/day_count_usd)))))</f>
        <v/>
      </c>
      <c r="AM1042" s="8">
        <f>IF(OR($J1042="INR",$R1042&gt;1),"",$AL1042-$X1042)</f>
        <v/>
      </c>
      <c r="AN1042" s="8">
        <f>$P1042*(IF($S1042&lt;$A1042,INDEX(Market_Daily!$F$6:$F$256,MATCH($S1042,Market_Daily!$A$6:$A$256,1)),IF($S1042=$A1042,INDEX(Market_Daily!$F$6:$F$256,MATCH($A1042,Market_Daily!$A$6:$A$256,0)),(INDEX(Market_Daily!$F$6:$F$256,MATCH($A1042,Market_Daily!$A$6:$A$256,0))*(1+INDEX(Market_Daily!$I$6:$I$256,MATCH($A1042,Market_Daily!$A$6:$A$256,0))*($S1042-$A1042)/day_count_inr)/(1+INDEX(Market_Daily!$J$6:$J$256,MATCH($A1042,Market_Daily!$A$6:$A$256,0))*($S1042-$A1042)/day_count_usd))))-$T1042)</f>
        <v/>
      </c>
      <c r="AO1042" s="8">
        <f>$AN1042</f>
        <v/>
      </c>
      <c r="AP1042" s="18">
        <f>$AO1042-$V1042</f>
        <v/>
      </c>
      <c r="AQ1042" s="8">
        <f>IF(ABS($AP1042)&lt;=tol_trade_inr,"PASS","FAIL")</f>
        <v/>
      </c>
    </row>
    <row r="1043">
      <c r="A1043" s="11" t="n">
        <v>44756</v>
      </c>
      <c r="B1043" s="7" t="inlineStr">
        <is>
          <t>T05</t>
        </is>
      </c>
      <c r="C1043" s="7" t="inlineStr">
        <is>
          <t>FX:T05-FX-3</t>
        </is>
      </c>
      <c r="D1043" s="7" t="inlineStr">
        <is>
          <t>FX</t>
        </is>
      </c>
      <c r="E1043" s="7" t="inlineStr">
        <is>
          <t>fx_forward</t>
        </is>
      </c>
      <c r="H1043" s="7" t="inlineStr">
        <is>
          <t>tense</t>
        </is>
      </c>
      <c r="I1043" s="7" t="inlineStr">
        <is>
          <t>USEC_MUN</t>
        </is>
      </c>
      <c r="J1043" s="7" t="inlineStr">
        <is>
          <t>INR</t>
        </is>
      </c>
      <c r="K1043" s="7" t="inlineStr">
        <is>
          <t>floating</t>
        </is>
      </c>
      <c r="L1043" s="7" t="inlineStr">
        <is>
          <t>PNL</t>
        </is>
      </c>
      <c r="M1043" s="11" t="n">
        <v>44760</v>
      </c>
      <c r="N1043" s="13" t="n">
        <v>0</v>
      </c>
      <c r="O1043" s="6" t="n">
        <v>0</v>
      </c>
      <c r="P1043" s="13" t="n">
        <v>-90000</v>
      </c>
      <c r="Q1043" s="22" t="n">
        <v>31</v>
      </c>
      <c r="R1043" s="6" t="n">
        <v>1</v>
      </c>
      <c r="S1043" s="12" t="n">
        <v>44760</v>
      </c>
      <c r="T1043" s="21" t="n">
        <v>79.049695</v>
      </c>
      <c r="U1043" s="9" t="n">
        <v>-91009.37</v>
      </c>
      <c r="V1043" s="9" t="n">
        <v>-91009.37</v>
      </c>
      <c r="X1043" s="9" t="n">
        <v>80.0352</v>
      </c>
      <c r="AK1043" s="7" t="inlineStr">
        <is>
          <t>DERIVED_IN_WORKBOOK</t>
        </is>
      </c>
      <c r="AL1043" s="8">
        <f>IF($J1043="INR",1,IF($M1043&lt;$A1043,INDEX(Market_Daily!$F$6:$F$256,MATCH($M1043,Market_Daily!$A$6:$A$256,1)),IF($M1043=$A1043,INDEX(Market_Daily!$F$6:$F$256,MATCH($A1043,Market_Daily!$A$6:$A$256,0)),(INDEX(Market_Daily!$F$6:$F$256,MATCH($A1043,Market_Daily!$A$6:$A$256,0))*(1+INDEX(Market_Daily!$I$6:$I$256,MATCH($A1043,Market_Daily!$A$6:$A$256,0))*($M1043-$A1043)/day_count_inr)/(1+INDEX(Market_Daily!$J$6:$J$256,MATCH($A1043,Market_Daily!$A$6:$A$256,0))*($M1043-$A1043)/day_count_usd)))))</f>
        <v/>
      </c>
      <c r="AM1043" s="8">
        <f>IF(OR($J1043="INR",$R1043&gt;1),"",$AL1043-$X1043)</f>
        <v/>
      </c>
      <c r="AN1043" s="8">
        <f>$P1043*(IF($S1043&lt;$A1043,INDEX(Market_Daily!$F$6:$F$256,MATCH($S1043,Market_Daily!$A$6:$A$256,1)),IF($S1043=$A1043,INDEX(Market_Daily!$F$6:$F$256,MATCH($A1043,Market_Daily!$A$6:$A$256,0)),(INDEX(Market_Daily!$F$6:$F$256,MATCH($A1043,Market_Daily!$A$6:$A$256,0))*(1+INDEX(Market_Daily!$I$6:$I$256,MATCH($A1043,Market_Daily!$A$6:$A$256,0))*($S1043-$A1043)/day_count_inr)/(1+INDEX(Market_Daily!$J$6:$J$256,MATCH($A1043,Market_Daily!$A$6:$A$256,0))*($S1043-$A1043)/day_count_usd))))-$T1043)</f>
        <v/>
      </c>
      <c r="AO1043" s="8">
        <f>$AN1043</f>
        <v/>
      </c>
      <c r="AP1043" s="18">
        <f>$AO1043-$V1043</f>
        <v/>
      </c>
      <c r="AQ1043" s="8">
        <f>IF(ABS($AP1043)&lt;=tol_trade_inr,"PASS","FAIL")</f>
        <v/>
      </c>
    </row>
    <row r="1044">
      <c r="A1044" s="11" t="n">
        <v>44756</v>
      </c>
      <c r="B1044" s="7" t="inlineStr">
        <is>
          <t>T05</t>
        </is>
      </c>
      <c r="C1044" s="7" t="inlineStr">
        <is>
          <t>IGST:L1</t>
        </is>
      </c>
      <c r="D1044" s="7" t="inlineStr">
        <is>
          <t>IGST</t>
        </is>
      </c>
      <c r="E1044" s="7" t="inlineStr">
        <is>
          <t>physical</t>
        </is>
      </c>
      <c r="F1044" s="7" t="inlineStr">
        <is>
          <t>L1</t>
        </is>
      </c>
      <c r="H1044" s="7" t="inlineStr">
        <is>
          <t>tense</t>
        </is>
      </c>
      <c r="I1044" s="7" t="inlineStr">
        <is>
          <t>USEC_MUN</t>
        </is>
      </c>
      <c r="J1044" s="7" t="inlineStr">
        <is>
          <t>INR</t>
        </is>
      </c>
      <c r="K1044" s="7" t="inlineStr">
        <is>
          <t>fixed_unsettled</t>
        </is>
      </c>
      <c r="L1044" s="7" t="inlineStr">
        <is>
          <t>BS</t>
        </is>
      </c>
      <c r="M1044" s="11" t="n">
        <v>44777</v>
      </c>
      <c r="N1044" s="13" t="n">
        <v>0</v>
      </c>
      <c r="O1044" s="6" t="n">
        <v>0</v>
      </c>
      <c r="P1044" s="13" t="n">
        <v>0</v>
      </c>
      <c r="Q1044" s="22" t="n">
        <v>31</v>
      </c>
      <c r="R1044" s="6" t="n">
        <v>2</v>
      </c>
      <c r="U1044" s="9" t="n">
        <v>0</v>
      </c>
      <c r="V1044" s="9" t="n">
        <v>0</v>
      </c>
      <c r="X1044" s="9" t="n">
        <v>80.0352</v>
      </c>
      <c r="AK1044" s="7" t="inlineStr">
        <is>
          <t>PYTHON_MULTI_FLOW_LEG</t>
        </is>
      </c>
      <c r="AL1044" s="8">
        <f>IF($J1044="INR",1,IF($M1044&lt;$A1044,INDEX(Market_Daily!$F$6:$F$256,MATCH($M1044,Market_Daily!$A$6:$A$256,1)),IF($M1044=$A1044,INDEX(Market_Daily!$F$6:$F$256,MATCH($A1044,Market_Daily!$A$6:$A$256,0)),(INDEX(Market_Daily!$F$6:$F$256,MATCH($A1044,Market_Daily!$A$6:$A$256,0))*(1+INDEX(Market_Daily!$I$6:$I$256,MATCH($A1044,Market_Daily!$A$6:$A$256,0))*($M1044-$A1044)/day_count_inr)/(1+INDEX(Market_Daily!$J$6:$J$256,MATCH($A1044,Market_Daily!$A$6:$A$256,0))*($M1044-$A1044)/day_count_usd)))))</f>
        <v/>
      </c>
      <c r="AM1044" s="8">
        <f>IF(OR($J1044="INR",$R1044&gt;1),"",$AL1044-$X1044)</f>
        <v/>
      </c>
      <c r="AN1044" s="8">
        <f>$U1044</f>
        <v/>
      </c>
      <c r="AO1044" s="8">
        <f>$V1044</f>
        <v/>
      </c>
      <c r="AP1044" s="18">
        <f>$AO1044-$V1044</f>
        <v/>
      </c>
      <c r="AQ1044" s="8">
        <f>IF(ABS($AP1044)&lt;=tol_trade_inr,"PASS","FAIL")</f>
        <v/>
      </c>
    </row>
    <row r="1045">
      <c r="A1045" s="11" t="n">
        <v>44756</v>
      </c>
      <c r="B1045" s="7" t="inlineStr">
        <is>
          <t>T05</t>
        </is>
      </c>
      <c r="C1045" s="7" t="inlineStr">
        <is>
          <t>IGST:L2</t>
        </is>
      </c>
      <c r="D1045" s="7" t="inlineStr">
        <is>
          <t>IGST</t>
        </is>
      </c>
      <c r="E1045" s="7" t="inlineStr">
        <is>
          <t>physical</t>
        </is>
      </c>
      <c r="F1045" s="7" t="inlineStr">
        <is>
          <t>L2</t>
        </is>
      </c>
      <c r="H1045" s="7" t="inlineStr">
        <is>
          <t>tense</t>
        </is>
      </c>
      <c r="I1045" s="7" t="inlineStr">
        <is>
          <t>USEC_MUN</t>
        </is>
      </c>
      <c r="J1045" s="7" t="inlineStr">
        <is>
          <t>INR</t>
        </is>
      </c>
      <c r="K1045" s="7" t="inlineStr">
        <is>
          <t>fixed_unsettled</t>
        </is>
      </c>
      <c r="L1045" s="7" t="inlineStr">
        <is>
          <t>BS</t>
        </is>
      </c>
      <c r="M1045" s="11" t="n">
        <v>44785</v>
      </c>
      <c r="N1045" s="13" t="n">
        <v>0</v>
      </c>
      <c r="O1045" s="6" t="n">
        <v>0</v>
      </c>
      <c r="P1045" s="13" t="n">
        <v>0</v>
      </c>
      <c r="Q1045" s="22" t="n">
        <v>31</v>
      </c>
      <c r="R1045" s="6" t="n">
        <v>2</v>
      </c>
      <c r="U1045" s="9" t="n">
        <v>0</v>
      </c>
      <c r="V1045" s="9" t="n">
        <v>0</v>
      </c>
      <c r="X1045" s="9" t="n">
        <v>80.0352</v>
      </c>
      <c r="AK1045" s="7" t="inlineStr">
        <is>
          <t>PYTHON_MULTI_FLOW_LEG</t>
        </is>
      </c>
      <c r="AL1045" s="8">
        <f>IF($J1045="INR",1,IF($M1045&lt;$A1045,INDEX(Market_Daily!$F$6:$F$256,MATCH($M1045,Market_Daily!$A$6:$A$256,1)),IF($M1045=$A1045,INDEX(Market_Daily!$F$6:$F$256,MATCH($A1045,Market_Daily!$A$6:$A$256,0)),(INDEX(Market_Daily!$F$6:$F$256,MATCH($A1045,Market_Daily!$A$6:$A$256,0))*(1+INDEX(Market_Daily!$I$6:$I$256,MATCH($A1045,Market_Daily!$A$6:$A$256,0))*($M1045-$A1045)/day_count_inr)/(1+INDEX(Market_Daily!$J$6:$J$256,MATCH($A1045,Market_Daily!$A$6:$A$256,0))*($M1045-$A1045)/day_count_usd)))))</f>
        <v/>
      </c>
      <c r="AM1045" s="8">
        <f>IF(OR($J1045="INR",$R1045&gt;1),"",$AL1045-$X1045)</f>
        <v/>
      </c>
      <c r="AN1045" s="8">
        <f>$U1045</f>
        <v/>
      </c>
      <c r="AO1045" s="8">
        <f>$V1045</f>
        <v/>
      </c>
      <c r="AP1045" s="18">
        <f>$AO1045-$V1045</f>
        <v/>
      </c>
      <c r="AQ1045" s="8">
        <f>IF(ABS($AP1045)&lt;=tol_trade_inr,"PASS","FAIL")</f>
        <v/>
      </c>
    </row>
    <row r="1046">
      <c r="A1046" s="11" t="n">
        <v>44756</v>
      </c>
      <c r="B1046" s="7" t="inlineStr">
        <is>
          <t>T05</t>
        </is>
      </c>
      <c r="C1046" s="7" t="inlineStr">
        <is>
          <t>PURCHASE:L2</t>
        </is>
      </c>
      <c r="D1046" s="7" t="inlineStr">
        <is>
          <t>PURCHASE</t>
        </is>
      </c>
      <c r="E1046" s="7" t="inlineStr">
        <is>
          <t>physical</t>
        </is>
      </c>
      <c r="F1046" s="7" t="inlineStr">
        <is>
          <t>L2</t>
        </is>
      </c>
      <c r="G1046" s="7" t="inlineStr">
        <is>
          <t>SUP_USEC_01</t>
        </is>
      </c>
      <c r="H1046" s="7" t="inlineStr">
        <is>
          <t>tense</t>
        </is>
      </c>
      <c r="I1046" s="7" t="inlineStr">
        <is>
          <t>USEC_MUN</t>
        </is>
      </c>
      <c r="J1046" s="7" t="inlineStr">
        <is>
          <t>USD</t>
        </is>
      </c>
      <c r="K1046" s="7" t="inlineStr">
        <is>
          <t>fixed_unsettled</t>
        </is>
      </c>
      <c r="L1046" s="7" t="inlineStr">
        <is>
          <t>PNL</t>
        </is>
      </c>
      <c r="M1046" s="11" t="n">
        <v>44760</v>
      </c>
      <c r="N1046" s="13" t="n">
        <v>2100</v>
      </c>
      <c r="O1046" s="6" t="n">
        <v>0</v>
      </c>
      <c r="P1046" s="13" t="n">
        <v>0</v>
      </c>
      <c r="Q1046" s="22" t="n">
        <v>31</v>
      </c>
      <c r="R1046" s="6" t="n">
        <v>2</v>
      </c>
      <c r="U1046" s="9" t="n">
        <v>-1992197.02</v>
      </c>
      <c r="V1046" s="9" t="n">
        <v>-159497106.29</v>
      </c>
      <c r="X1046" s="9" t="n">
        <v>80.0609</v>
      </c>
      <c r="AK1046" s="7" t="inlineStr">
        <is>
          <t>PYTHON_MULTI_FLOW_LEG</t>
        </is>
      </c>
      <c r="AL1046" s="8">
        <f>IF($J1046="INR",1,IF($M1046&lt;$A1046,INDEX(Market_Daily!$F$6:$F$256,MATCH($M1046,Market_Daily!$A$6:$A$256,1)),IF($M1046=$A1046,INDEX(Market_Daily!$F$6:$F$256,MATCH($A1046,Market_Daily!$A$6:$A$256,0)),(INDEX(Market_Daily!$F$6:$F$256,MATCH($A1046,Market_Daily!$A$6:$A$256,0))*(1+INDEX(Market_Daily!$I$6:$I$256,MATCH($A1046,Market_Daily!$A$6:$A$256,0))*($M1046-$A1046)/day_count_inr)/(1+INDEX(Market_Daily!$J$6:$J$256,MATCH($A1046,Market_Daily!$A$6:$A$256,0))*($M1046-$A1046)/day_count_usd)))))</f>
        <v/>
      </c>
      <c r="AM1046" s="8">
        <f>IF(OR($J1046="INR",$R1046&gt;1),"",$AL1046-$X1046)</f>
        <v/>
      </c>
      <c r="AN1046" s="8">
        <f>$U1046</f>
        <v/>
      </c>
      <c r="AO1046" s="8">
        <f>$V1046</f>
        <v/>
      </c>
      <c r="AP1046" s="18">
        <f>$AO1046-$V1046</f>
        <v/>
      </c>
      <c r="AQ1046" s="8">
        <f>IF(ABS($AP1046)&lt;=tol_trade_inr,"PASS","FAIL")</f>
        <v/>
      </c>
    </row>
    <row r="1047">
      <c r="A1047" s="11" t="n">
        <v>44756</v>
      </c>
      <c r="B1047" s="7" t="inlineStr">
        <is>
          <t>T05</t>
        </is>
      </c>
      <c r="C1047" s="7" t="inlineStr">
        <is>
          <t>SALE:S1</t>
        </is>
      </c>
      <c r="D1047" s="7" t="inlineStr">
        <is>
          <t>SALE</t>
        </is>
      </c>
      <c r="E1047" s="7" t="inlineStr">
        <is>
          <t>physical</t>
        </is>
      </c>
      <c r="G1047" s="7" t="inlineStr">
        <is>
          <t>BUY_MUN_01</t>
        </is>
      </c>
      <c r="H1047" s="7" t="inlineStr">
        <is>
          <t>tense</t>
        </is>
      </c>
      <c r="I1047" s="7" t="inlineStr">
        <is>
          <t>USEC_MUN</t>
        </is>
      </c>
      <c r="J1047" s="7" t="inlineStr">
        <is>
          <t>INR</t>
        </is>
      </c>
      <c r="K1047" s="7" t="inlineStr">
        <is>
          <t>fixed_unsettled</t>
        </is>
      </c>
      <c r="L1047" s="7" t="inlineStr">
        <is>
          <t>PNL</t>
        </is>
      </c>
      <c r="M1047" s="11" t="n">
        <v>44781</v>
      </c>
      <c r="N1047" s="13" t="n">
        <v>2100</v>
      </c>
      <c r="O1047" s="6" t="n">
        <v>0</v>
      </c>
      <c r="P1047" s="13" t="n">
        <v>0</v>
      </c>
      <c r="Q1047" s="22" t="n">
        <v>31</v>
      </c>
      <c r="R1047" s="6" t="n">
        <v>1</v>
      </c>
      <c r="U1047" s="9" t="n">
        <v>310123937.67</v>
      </c>
      <c r="V1047" s="9" t="n">
        <v>310123937.67</v>
      </c>
      <c r="W1047" s="9" t="n">
        <v>147678.0656</v>
      </c>
      <c r="X1047" s="9" t="n">
        <v>80.0352</v>
      </c>
      <c r="AK1047" s="7" t="inlineStr">
        <is>
          <t>PYTHON_LIFECYCLE</t>
        </is>
      </c>
      <c r="AL1047" s="8">
        <f>IF($J1047="INR",1,IF($M1047&lt;$A1047,INDEX(Market_Daily!$F$6:$F$256,MATCH($M1047,Market_Daily!$A$6:$A$256,1)),IF($M1047=$A1047,INDEX(Market_Daily!$F$6:$F$256,MATCH($A1047,Market_Daily!$A$6:$A$256,0)),(INDEX(Market_Daily!$F$6:$F$256,MATCH($A1047,Market_Daily!$A$6:$A$256,0))*(1+INDEX(Market_Daily!$I$6:$I$256,MATCH($A1047,Market_Daily!$A$6:$A$256,0))*($M1047-$A1047)/day_count_inr)/(1+INDEX(Market_Daily!$J$6:$J$256,MATCH($A1047,Market_Daily!$A$6:$A$256,0))*($M1047-$A1047)/day_count_usd)))))</f>
        <v/>
      </c>
      <c r="AM1047" s="8">
        <f>IF(OR($J1047="INR",$R1047&gt;1),"",$AL1047-$X1047)</f>
        <v/>
      </c>
      <c r="AN1047" s="8">
        <f>$U1047</f>
        <v/>
      </c>
      <c r="AO1047" s="8">
        <f>$AN1047*IF($J1047="INR",1,$AL1047)</f>
        <v/>
      </c>
      <c r="AP1047" s="18">
        <f>$AO1047-$V1047</f>
        <v/>
      </c>
      <c r="AQ1047" s="8">
        <f>IF(ABS($AP1047)&lt;=tol_trade_inr,"PASS","FAIL")</f>
        <v/>
      </c>
    </row>
    <row r="1048">
      <c r="A1048" s="11" t="n">
        <v>44756</v>
      </c>
      <c r="B1048" s="7" t="inlineStr">
        <is>
          <t>T05</t>
        </is>
      </c>
      <c r="C1048" s="7" t="inlineStr">
        <is>
          <t>USANCE_INTEREST:L2</t>
        </is>
      </c>
      <c r="D1048" s="7" t="inlineStr">
        <is>
          <t>USANCE_INTEREST</t>
        </is>
      </c>
      <c r="E1048" s="7" t="inlineStr">
        <is>
          <t>physical</t>
        </is>
      </c>
      <c r="F1048" s="7" t="inlineStr">
        <is>
          <t>L2</t>
        </is>
      </c>
      <c r="H1048" s="7" t="inlineStr">
        <is>
          <t>tense</t>
        </is>
      </c>
      <c r="I1048" s="7" t="inlineStr">
        <is>
          <t>USEC_MUN</t>
        </is>
      </c>
      <c r="J1048" s="7" t="inlineStr">
        <is>
          <t>USD</t>
        </is>
      </c>
      <c r="K1048" s="7" t="inlineStr">
        <is>
          <t>fixed_unsettled</t>
        </is>
      </c>
      <c r="L1048" s="7" t="inlineStr">
        <is>
          <t>PNL</t>
        </is>
      </c>
      <c r="M1048" s="11" t="n">
        <v>44760</v>
      </c>
      <c r="N1048" s="13" t="n">
        <v>0</v>
      </c>
      <c r="O1048" s="6" t="n">
        <v>0</v>
      </c>
      <c r="P1048" s="13" t="n">
        <v>0</v>
      </c>
      <c r="Q1048" s="22" t="n">
        <v>31</v>
      </c>
      <c r="R1048" s="6" t="n">
        <v>1</v>
      </c>
      <c r="U1048" s="9" t="n">
        <v>-8484.440000000001</v>
      </c>
      <c r="V1048" s="9" t="n">
        <v>-679271.59</v>
      </c>
      <c r="X1048" s="9" t="n">
        <v>80.0609</v>
      </c>
      <c r="AK1048" s="7" t="inlineStr">
        <is>
          <t>PYTHON_LIFECYCLE</t>
        </is>
      </c>
      <c r="AL1048" s="8">
        <f>IF($J1048="INR",1,IF($M1048&lt;$A1048,INDEX(Market_Daily!$F$6:$F$256,MATCH($M1048,Market_Daily!$A$6:$A$256,1)),IF($M1048=$A1048,INDEX(Market_Daily!$F$6:$F$256,MATCH($A1048,Market_Daily!$A$6:$A$256,0)),(INDEX(Market_Daily!$F$6:$F$256,MATCH($A1048,Market_Daily!$A$6:$A$256,0))*(1+INDEX(Market_Daily!$I$6:$I$256,MATCH($A1048,Market_Daily!$A$6:$A$256,0))*($M1048-$A1048)/day_count_inr)/(1+INDEX(Market_Daily!$J$6:$J$256,MATCH($A1048,Market_Daily!$A$6:$A$256,0))*($M1048-$A1048)/day_count_usd)))))</f>
        <v/>
      </c>
      <c r="AM1048" s="8">
        <f>IF(OR($J1048="INR",$R1048&gt;1),"",$AL1048-$X1048)</f>
        <v/>
      </c>
      <c r="AN1048" s="8">
        <f>$U1048</f>
        <v/>
      </c>
      <c r="AO1048" s="8">
        <f>$AN1048*IF($J1048="INR",1,$AL1048)</f>
        <v/>
      </c>
      <c r="AP1048" s="18">
        <f>$AO1048-$V1048</f>
        <v/>
      </c>
      <c r="AQ1048" s="8">
        <f>IF(ABS($AP1048)&lt;=tol_trade_inr,"PASS","FAIL")</f>
        <v/>
      </c>
    </row>
    <row r="1049">
      <c r="A1049" s="11" t="n">
        <v>44756</v>
      </c>
      <c r="B1049" s="7" t="inlineStr">
        <is>
          <t>T06</t>
        </is>
      </c>
      <c r="C1049" s="7" t="inlineStr">
        <is>
          <t>IGST:L1</t>
        </is>
      </c>
      <c r="D1049" s="7" t="inlineStr">
        <is>
          <t>IGST</t>
        </is>
      </c>
      <c r="E1049" s="7" t="inlineStr">
        <is>
          <t>physical</t>
        </is>
      </c>
      <c r="F1049" s="7" t="inlineStr">
        <is>
          <t>L1</t>
        </is>
      </c>
      <c r="H1049" s="7" t="inlineStr">
        <is>
          <t>zorba</t>
        </is>
      </c>
      <c r="I1049" s="7" t="inlineStr">
        <is>
          <t>JEA_NSA</t>
        </is>
      </c>
      <c r="J1049" s="7" t="inlineStr">
        <is>
          <t>INR</t>
        </is>
      </c>
      <c r="K1049" s="7" t="inlineStr">
        <is>
          <t>fixed_unsettled</t>
        </is>
      </c>
      <c r="L1049" s="7" t="inlineStr">
        <is>
          <t>BS</t>
        </is>
      </c>
      <c r="M1049" s="11" t="n">
        <v>44757</v>
      </c>
      <c r="N1049" s="13" t="n">
        <v>0</v>
      </c>
      <c r="O1049" s="6" t="n">
        <v>0</v>
      </c>
      <c r="P1049" s="13" t="n">
        <v>0</v>
      </c>
      <c r="Q1049" s="22" t="n">
        <v>31</v>
      </c>
      <c r="R1049" s="6" t="n">
        <v>2</v>
      </c>
      <c r="U1049" s="9" t="n">
        <v>0</v>
      </c>
      <c r="V1049" s="9" t="n">
        <v>0</v>
      </c>
      <c r="X1049" s="9" t="n">
        <v>80.0352</v>
      </c>
      <c r="AK1049" s="7" t="inlineStr">
        <is>
          <t>PYTHON_MULTI_FLOW_LEG</t>
        </is>
      </c>
      <c r="AL1049" s="8">
        <f>IF($J1049="INR",1,IF($M1049&lt;$A1049,INDEX(Market_Daily!$F$6:$F$256,MATCH($M1049,Market_Daily!$A$6:$A$256,1)),IF($M1049=$A1049,INDEX(Market_Daily!$F$6:$F$256,MATCH($A1049,Market_Daily!$A$6:$A$256,0)),(INDEX(Market_Daily!$F$6:$F$256,MATCH($A1049,Market_Daily!$A$6:$A$256,0))*(1+INDEX(Market_Daily!$I$6:$I$256,MATCH($A1049,Market_Daily!$A$6:$A$256,0))*($M1049-$A1049)/day_count_inr)/(1+INDEX(Market_Daily!$J$6:$J$256,MATCH($A1049,Market_Daily!$A$6:$A$256,0))*($M1049-$A1049)/day_count_usd)))))</f>
        <v/>
      </c>
      <c r="AM1049" s="8">
        <f>IF(OR($J1049="INR",$R1049&gt;1),"",$AL1049-$X1049)</f>
        <v/>
      </c>
      <c r="AN1049" s="8">
        <f>$U1049</f>
        <v/>
      </c>
      <c r="AO1049" s="8">
        <f>$V1049</f>
        <v/>
      </c>
      <c r="AP1049" s="18">
        <f>$AO1049-$V1049</f>
        <v/>
      </c>
      <c r="AQ1049" s="8">
        <f>IF(ABS($AP1049)&lt;=tol_trade_inr,"PASS","FAIL")</f>
        <v/>
      </c>
    </row>
    <row r="1050">
      <c r="A1050" s="11" t="n">
        <v>44756</v>
      </c>
      <c r="B1050" s="7" t="inlineStr">
        <is>
          <t>T06</t>
        </is>
      </c>
      <c r="C1050" s="7" t="inlineStr">
        <is>
          <t>IGST:L2</t>
        </is>
      </c>
      <c r="D1050" s="7" t="inlineStr">
        <is>
          <t>IGST</t>
        </is>
      </c>
      <c r="E1050" s="7" t="inlineStr">
        <is>
          <t>physical</t>
        </is>
      </c>
      <c r="F1050" s="7" t="inlineStr">
        <is>
          <t>L2</t>
        </is>
      </c>
      <c r="H1050" s="7" t="inlineStr">
        <is>
          <t>zorba</t>
        </is>
      </c>
      <c r="I1050" s="7" t="inlineStr">
        <is>
          <t>JEA_NSA</t>
        </is>
      </c>
      <c r="J1050" s="7" t="inlineStr">
        <is>
          <t>INR</t>
        </is>
      </c>
      <c r="K1050" s="7" t="inlineStr">
        <is>
          <t>fixed_unsettled</t>
        </is>
      </c>
      <c r="L1050" s="7" t="inlineStr">
        <is>
          <t>BS</t>
        </is>
      </c>
      <c r="M1050" s="11" t="n">
        <v>44770</v>
      </c>
      <c r="N1050" s="13" t="n">
        <v>0</v>
      </c>
      <c r="O1050" s="6" t="n">
        <v>0</v>
      </c>
      <c r="P1050" s="13" t="n">
        <v>0</v>
      </c>
      <c r="Q1050" s="22" t="n">
        <v>31</v>
      </c>
      <c r="R1050" s="6" t="n">
        <v>2</v>
      </c>
      <c r="U1050" s="9" t="n">
        <v>0</v>
      </c>
      <c r="V1050" s="9" t="n">
        <v>0</v>
      </c>
      <c r="X1050" s="9" t="n">
        <v>80.0352</v>
      </c>
      <c r="AK1050" s="7" t="inlineStr">
        <is>
          <t>PYTHON_MULTI_FLOW_LEG</t>
        </is>
      </c>
      <c r="AL1050" s="8">
        <f>IF($J1050="INR",1,IF($M1050&lt;$A1050,INDEX(Market_Daily!$F$6:$F$256,MATCH($M1050,Market_Daily!$A$6:$A$256,1)),IF($M1050=$A1050,INDEX(Market_Daily!$F$6:$F$256,MATCH($A1050,Market_Daily!$A$6:$A$256,0)),(INDEX(Market_Daily!$F$6:$F$256,MATCH($A1050,Market_Daily!$A$6:$A$256,0))*(1+INDEX(Market_Daily!$I$6:$I$256,MATCH($A1050,Market_Daily!$A$6:$A$256,0))*($M1050-$A1050)/day_count_inr)/(1+INDEX(Market_Daily!$J$6:$J$256,MATCH($A1050,Market_Daily!$A$6:$A$256,0))*($M1050-$A1050)/day_count_usd)))))</f>
        <v/>
      </c>
      <c r="AM1050" s="8">
        <f>IF(OR($J1050="INR",$R1050&gt;1),"",$AL1050-$X1050)</f>
        <v/>
      </c>
      <c r="AN1050" s="8">
        <f>$U1050</f>
        <v/>
      </c>
      <c r="AO1050" s="8">
        <f>$V1050</f>
        <v/>
      </c>
      <c r="AP1050" s="18">
        <f>$AO1050-$V1050</f>
        <v/>
      </c>
      <c r="AQ1050" s="8">
        <f>IF(ABS($AP1050)&lt;=tol_trade_inr,"PASS","FAIL")</f>
        <v/>
      </c>
    </row>
    <row r="1051">
      <c r="A1051" s="11" t="n">
        <v>44756</v>
      </c>
      <c r="B1051" s="7" t="inlineStr">
        <is>
          <t>T06</t>
        </is>
      </c>
      <c r="C1051" s="7" t="inlineStr">
        <is>
          <t>SALE:S1</t>
        </is>
      </c>
      <c r="D1051" s="7" t="inlineStr">
        <is>
          <t>SALE</t>
        </is>
      </c>
      <c r="E1051" s="7" t="inlineStr">
        <is>
          <t>physical</t>
        </is>
      </c>
      <c r="G1051" s="7" t="inlineStr">
        <is>
          <t>BUY_JNPT_01</t>
        </is>
      </c>
      <c r="H1051" s="7" t="inlineStr">
        <is>
          <t>zorba</t>
        </is>
      </c>
      <c r="I1051" s="7" t="inlineStr">
        <is>
          <t>JEA_NSA</t>
        </is>
      </c>
      <c r="J1051" s="7" t="inlineStr">
        <is>
          <t>INR</t>
        </is>
      </c>
      <c r="K1051" s="7" t="inlineStr">
        <is>
          <t>fixed_unsettled</t>
        </is>
      </c>
      <c r="L1051" s="7" t="inlineStr">
        <is>
          <t>PNL</t>
        </is>
      </c>
      <c r="M1051" s="11" t="n">
        <v>44781</v>
      </c>
      <c r="N1051" s="13" t="n">
        <v>1300</v>
      </c>
      <c r="O1051" s="6" t="n">
        <v>0</v>
      </c>
      <c r="P1051" s="13" t="n">
        <v>0</v>
      </c>
      <c r="Q1051" s="22" t="n">
        <v>31</v>
      </c>
      <c r="R1051" s="6" t="n">
        <v>1</v>
      </c>
      <c r="U1051" s="9" t="n">
        <v>240825000</v>
      </c>
      <c r="V1051" s="9" t="n">
        <v>240825000</v>
      </c>
      <c r="W1051" s="9" t="n">
        <v>185250</v>
      </c>
      <c r="X1051" s="9" t="n">
        <v>80.0352</v>
      </c>
      <c r="AK1051" s="7" t="inlineStr">
        <is>
          <t>PYTHON_LIFECYCLE</t>
        </is>
      </c>
      <c r="AL1051" s="8">
        <f>IF($J1051="INR",1,IF($M1051&lt;$A1051,INDEX(Market_Daily!$F$6:$F$256,MATCH($M1051,Market_Daily!$A$6:$A$256,1)),IF($M1051=$A1051,INDEX(Market_Daily!$F$6:$F$256,MATCH($A1051,Market_Daily!$A$6:$A$256,0)),(INDEX(Market_Daily!$F$6:$F$256,MATCH($A1051,Market_Daily!$A$6:$A$256,0))*(1+INDEX(Market_Daily!$I$6:$I$256,MATCH($A1051,Market_Daily!$A$6:$A$256,0))*($M1051-$A1051)/day_count_inr)/(1+INDEX(Market_Daily!$J$6:$J$256,MATCH($A1051,Market_Daily!$A$6:$A$256,0))*($M1051-$A1051)/day_count_usd)))))</f>
        <v/>
      </c>
      <c r="AM1051" s="8">
        <f>IF(OR($J1051="INR",$R1051&gt;1),"",$AL1051-$X1051)</f>
        <v/>
      </c>
      <c r="AN1051" s="8">
        <f>$U1051</f>
        <v/>
      </c>
      <c r="AO1051" s="8">
        <f>$AN1051*IF($J1051="INR",1,$AL1051)</f>
        <v/>
      </c>
      <c r="AP1051" s="18">
        <f>$AO1051-$V1051</f>
        <v/>
      </c>
      <c r="AQ1051" s="8">
        <f>IF(ABS($AP1051)&lt;=tol_trade_inr,"PASS","FAIL")</f>
        <v/>
      </c>
    </row>
    <row r="1052">
      <c r="A1052" s="11" t="n">
        <v>44756</v>
      </c>
      <c r="B1052" s="7" t="inlineStr">
        <is>
          <t>T07</t>
        </is>
      </c>
      <c r="C1052" s="7" t="inlineStr">
        <is>
          <t>DUTY:L1</t>
        </is>
      </c>
      <c r="D1052" s="7" t="inlineStr">
        <is>
          <t>DUTY</t>
        </is>
      </c>
      <c r="E1052" s="7" t="inlineStr">
        <is>
          <t>physical</t>
        </is>
      </c>
      <c r="F1052" s="7" t="inlineStr">
        <is>
          <t>L1</t>
        </is>
      </c>
      <c r="H1052" s="7" t="inlineStr">
        <is>
          <t>tense</t>
        </is>
      </c>
      <c r="I1052" s="7" t="inlineStr">
        <is>
          <t>USEC_MUN</t>
        </is>
      </c>
      <c r="J1052" s="7" t="inlineStr">
        <is>
          <t>INR</t>
        </is>
      </c>
      <c r="K1052" s="7" t="inlineStr">
        <is>
          <t>floating</t>
        </is>
      </c>
      <c r="L1052" s="7" t="inlineStr">
        <is>
          <t>PNL</t>
        </is>
      </c>
      <c r="M1052" s="11" t="n">
        <v>44761</v>
      </c>
      <c r="N1052" s="13" t="n">
        <v>945</v>
      </c>
      <c r="O1052" s="6" t="n">
        <v>0</v>
      </c>
      <c r="P1052" s="13" t="n">
        <v>0</v>
      </c>
      <c r="Q1052" s="22" t="n">
        <v>31</v>
      </c>
      <c r="R1052" s="6" t="n">
        <v>1</v>
      </c>
      <c r="U1052" s="9" t="n">
        <v>-4524209.04</v>
      </c>
      <c r="V1052" s="9" t="n">
        <v>-4524209.04</v>
      </c>
      <c r="X1052" s="9" t="n">
        <v>80.0352</v>
      </c>
      <c r="AK1052" s="7" t="inlineStr">
        <is>
          <t>PYTHON_LIFECYCLE</t>
        </is>
      </c>
      <c r="AL1052" s="8">
        <f>IF($J1052="INR",1,IF($M1052&lt;$A1052,INDEX(Market_Daily!$F$6:$F$256,MATCH($M1052,Market_Daily!$A$6:$A$256,1)),IF($M1052=$A1052,INDEX(Market_Daily!$F$6:$F$256,MATCH($A1052,Market_Daily!$A$6:$A$256,0)),(INDEX(Market_Daily!$F$6:$F$256,MATCH($A1052,Market_Daily!$A$6:$A$256,0))*(1+INDEX(Market_Daily!$I$6:$I$256,MATCH($A1052,Market_Daily!$A$6:$A$256,0))*($M1052-$A1052)/day_count_inr)/(1+INDEX(Market_Daily!$J$6:$J$256,MATCH($A1052,Market_Daily!$A$6:$A$256,0))*($M1052-$A1052)/day_count_usd)))))</f>
        <v/>
      </c>
      <c r="AM1052" s="8">
        <f>IF(OR($J1052="INR",$R1052&gt;1),"",$AL1052-$X1052)</f>
        <v/>
      </c>
      <c r="AN1052" s="8">
        <f>$U1052</f>
        <v/>
      </c>
      <c r="AO1052" s="8">
        <f>$AN1052*IF($J1052="INR",1,$AL1052)</f>
        <v/>
      </c>
      <c r="AP1052" s="18">
        <f>$AO1052-$V1052</f>
        <v/>
      </c>
      <c r="AQ1052" s="8">
        <f>IF(ABS($AP1052)&lt;=tol_trade_inr,"PASS","FAIL")</f>
        <v/>
      </c>
    </row>
    <row r="1053">
      <c r="A1053" s="11" t="n">
        <v>44756</v>
      </c>
      <c r="B1053" s="7" t="inlineStr">
        <is>
          <t>T07</t>
        </is>
      </c>
      <c r="C1053" s="7" t="inlineStr">
        <is>
          <t>DUTY:L2</t>
        </is>
      </c>
      <c r="D1053" s="7" t="inlineStr">
        <is>
          <t>DUTY</t>
        </is>
      </c>
      <c r="E1053" s="7" t="inlineStr">
        <is>
          <t>physical</t>
        </is>
      </c>
      <c r="F1053" s="7" t="inlineStr">
        <is>
          <t>L2</t>
        </is>
      </c>
      <c r="H1053" s="7" t="inlineStr">
        <is>
          <t>tense</t>
        </is>
      </c>
      <c r="I1053" s="7" t="inlineStr">
        <is>
          <t>USEC_MUN</t>
        </is>
      </c>
      <c r="J1053" s="7" t="inlineStr">
        <is>
          <t>INR</t>
        </is>
      </c>
      <c r="K1053" s="7" t="inlineStr">
        <is>
          <t>floating</t>
        </is>
      </c>
      <c r="L1053" s="7" t="inlineStr">
        <is>
          <t>PNL</t>
        </is>
      </c>
      <c r="M1053" s="11" t="n">
        <v>44768</v>
      </c>
      <c r="N1053" s="13" t="n">
        <v>945</v>
      </c>
      <c r="O1053" s="6" t="n">
        <v>0</v>
      </c>
      <c r="P1053" s="13" t="n">
        <v>0</v>
      </c>
      <c r="Q1053" s="22" t="n">
        <v>31</v>
      </c>
      <c r="R1053" s="6" t="n">
        <v>1</v>
      </c>
      <c r="U1053" s="9" t="n">
        <v>-4524209.04</v>
      </c>
      <c r="V1053" s="9" t="n">
        <v>-4524209.04</v>
      </c>
      <c r="X1053" s="9" t="n">
        <v>80.0352</v>
      </c>
      <c r="AK1053" s="7" t="inlineStr">
        <is>
          <t>PYTHON_LIFECYCLE</t>
        </is>
      </c>
      <c r="AL1053" s="8">
        <f>IF($J1053="INR",1,IF($M1053&lt;$A1053,INDEX(Market_Daily!$F$6:$F$256,MATCH($M1053,Market_Daily!$A$6:$A$256,1)),IF($M1053=$A1053,INDEX(Market_Daily!$F$6:$F$256,MATCH($A1053,Market_Daily!$A$6:$A$256,0)),(INDEX(Market_Daily!$F$6:$F$256,MATCH($A1053,Market_Daily!$A$6:$A$256,0))*(1+INDEX(Market_Daily!$I$6:$I$256,MATCH($A1053,Market_Daily!$A$6:$A$256,0))*($M1053-$A1053)/day_count_inr)/(1+INDEX(Market_Daily!$J$6:$J$256,MATCH($A1053,Market_Daily!$A$6:$A$256,0))*($M1053-$A1053)/day_count_usd)))))</f>
        <v/>
      </c>
      <c r="AM1053" s="8">
        <f>IF(OR($J1053="INR",$R1053&gt;1),"",$AL1053-$X1053)</f>
        <v/>
      </c>
      <c r="AN1053" s="8">
        <f>$U1053</f>
        <v/>
      </c>
      <c r="AO1053" s="8">
        <f>$AN1053*IF($J1053="INR",1,$AL1053)</f>
        <v/>
      </c>
      <c r="AP1053" s="18">
        <f>$AO1053-$V1053</f>
        <v/>
      </c>
      <c r="AQ1053" s="8">
        <f>IF(ABS($AP1053)&lt;=tol_trade_inr,"PASS","FAIL")</f>
        <v/>
      </c>
    </row>
    <row r="1054">
      <c r="A1054" s="11" t="n">
        <v>44756</v>
      </c>
      <c r="B1054" s="7" t="inlineStr">
        <is>
          <t>T07</t>
        </is>
      </c>
      <c r="C1054" s="7" t="inlineStr">
        <is>
          <t>IGST:L1</t>
        </is>
      </c>
      <c r="D1054" s="7" t="inlineStr">
        <is>
          <t>IGST</t>
        </is>
      </c>
      <c r="E1054" s="7" t="inlineStr">
        <is>
          <t>physical</t>
        </is>
      </c>
      <c r="F1054" s="7" t="inlineStr">
        <is>
          <t>L1</t>
        </is>
      </c>
      <c r="H1054" s="7" t="inlineStr">
        <is>
          <t>tense</t>
        </is>
      </c>
      <c r="I1054" s="7" t="inlineStr">
        <is>
          <t>USEC_MUN</t>
        </is>
      </c>
      <c r="J1054" s="7" t="inlineStr">
        <is>
          <t>INR</t>
        </is>
      </c>
      <c r="K1054" s="7" t="inlineStr">
        <is>
          <t>floating</t>
        </is>
      </c>
      <c r="L1054" s="7" t="inlineStr">
        <is>
          <t>BS</t>
        </is>
      </c>
      <c r="M1054" s="11" t="n">
        <v>44806</v>
      </c>
      <c r="N1054" s="13" t="n">
        <v>0</v>
      </c>
      <c r="O1054" s="6" t="n">
        <v>0</v>
      </c>
      <c r="P1054" s="13" t="n">
        <v>0</v>
      </c>
      <c r="Q1054" s="22" t="n">
        <v>31</v>
      </c>
      <c r="R1054" s="6" t="n">
        <v>2</v>
      </c>
      <c r="U1054" s="9" t="n">
        <v>0</v>
      </c>
      <c r="V1054" s="9" t="n">
        <v>0</v>
      </c>
      <c r="X1054" s="9" t="n">
        <v>80.0352</v>
      </c>
      <c r="AK1054" s="7" t="inlineStr">
        <is>
          <t>PYTHON_MULTI_FLOW_LEG</t>
        </is>
      </c>
      <c r="AL1054" s="8">
        <f>IF($J1054="INR",1,IF($M1054&lt;$A1054,INDEX(Market_Daily!$F$6:$F$256,MATCH($M1054,Market_Daily!$A$6:$A$256,1)),IF($M1054=$A1054,INDEX(Market_Daily!$F$6:$F$256,MATCH($A1054,Market_Daily!$A$6:$A$256,0)),(INDEX(Market_Daily!$F$6:$F$256,MATCH($A1054,Market_Daily!$A$6:$A$256,0))*(1+INDEX(Market_Daily!$I$6:$I$256,MATCH($A1054,Market_Daily!$A$6:$A$256,0))*($M1054-$A1054)/day_count_inr)/(1+INDEX(Market_Daily!$J$6:$J$256,MATCH($A1054,Market_Daily!$A$6:$A$256,0))*($M1054-$A1054)/day_count_usd)))))</f>
        <v/>
      </c>
      <c r="AM1054" s="8">
        <f>IF(OR($J1054="INR",$R1054&gt;1),"",$AL1054-$X1054)</f>
        <v/>
      </c>
      <c r="AN1054" s="8">
        <f>$U1054</f>
        <v/>
      </c>
      <c r="AO1054" s="8">
        <f>$V1054</f>
        <v/>
      </c>
      <c r="AP1054" s="18">
        <f>$AO1054-$V1054</f>
        <v/>
      </c>
      <c r="AQ1054" s="8">
        <f>IF(ABS($AP1054)&lt;=tol_trade_inr,"PASS","FAIL")</f>
        <v/>
      </c>
    </row>
    <row r="1055">
      <c r="A1055" s="11" t="n">
        <v>44756</v>
      </c>
      <c r="B1055" s="7" t="inlineStr">
        <is>
          <t>T07</t>
        </is>
      </c>
      <c r="C1055" s="7" t="inlineStr">
        <is>
          <t>IGST:L2</t>
        </is>
      </c>
      <c r="D1055" s="7" t="inlineStr">
        <is>
          <t>IGST</t>
        </is>
      </c>
      <c r="E1055" s="7" t="inlineStr">
        <is>
          <t>physical</t>
        </is>
      </c>
      <c r="F1055" s="7" t="inlineStr">
        <is>
          <t>L2</t>
        </is>
      </c>
      <c r="H1055" s="7" t="inlineStr">
        <is>
          <t>tense</t>
        </is>
      </c>
      <c r="I1055" s="7" t="inlineStr">
        <is>
          <t>USEC_MUN</t>
        </is>
      </c>
      <c r="J1055" s="7" t="inlineStr">
        <is>
          <t>INR</t>
        </is>
      </c>
      <c r="K1055" s="7" t="inlineStr">
        <is>
          <t>floating</t>
        </is>
      </c>
      <c r="L1055" s="7" t="inlineStr">
        <is>
          <t>BS</t>
        </is>
      </c>
      <c r="M1055" s="11" t="n">
        <v>44813</v>
      </c>
      <c r="N1055" s="13" t="n">
        <v>0</v>
      </c>
      <c r="O1055" s="6" t="n">
        <v>0</v>
      </c>
      <c r="P1055" s="13" t="n">
        <v>0</v>
      </c>
      <c r="Q1055" s="22" t="n">
        <v>31</v>
      </c>
      <c r="R1055" s="6" t="n">
        <v>2</v>
      </c>
      <c r="U1055" s="9" t="n">
        <v>0</v>
      </c>
      <c r="V1055" s="9" t="n">
        <v>0</v>
      </c>
      <c r="X1055" s="9" t="n">
        <v>80.0352</v>
      </c>
      <c r="AK1055" s="7" t="inlineStr">
        <is>
          <t>PYTHON_MULTI_FLOW_LEG</t>
        </is>
      </c>
      <c r="AL1055" s="8">
        <f>IF($J1055="INR",1,IF($M1055&lt;$A1055,INDEX(Market_Daily!$F$6:$F$256,MATCH($M1055,Market_Daily!$A$6:$A$256,1)),IF($M1055=$A1055,INDEX(Market_Daily!$F$6:$F$256,MATCH($A1055,Market_Daily!$A$6:$A$256,0)),(INDEX(Market_Daily!$F$6:$F$256,MATCH($A1055,Market_Daily!$A$6:$A$256,0))*(1+INDEX(Market_Daily!$I$6:$I$256,MATCH($A1055,Market_Daily!$A$6:$A$256,0))*($M1055-$A1055)/day_count_inr)/(1+INDEX(Market_Daily!$J$6:$J$256,MATCH($A1055,Market_Daily!$A$6:$A$256,0))*($M1055-$A1055)/day_count_usd)))))</f>
        <v/>
      </c>
      <c r="AM1055" s="8">
        <f>IF(OR($J1055="INR",$R1055&gt;1),"",$AL1055-$X1055)</f>
        <v/>
      </c>
      <c r="AN1055" s="8">
        <f>$U1055</f>
        <v/>
      </c>
      <c r="AO1055" s="8">
        <f>$V1055</f>
        <v/>
      </c>
      <c r="AP1055" s="18">
        <f>$AO1055-$V1055</f>
        <v/>
      </c>
      <c r="AQ1055" s="8">
        <f>IF(ABS($AP1055)&lt;=tol_trade_inr,"PASS","FAIL")</f>
        <v/>
      </c>
    </row>
    <row r="1056">
      <c r="A1056" s="11" t="n">
        <v>44756</v>
      </c>
      <c r="B1056" s="7" t="inlineStr">
        <is>
          <t>T07</t>
        </is>
      </c>
      <c r="C1056" s="7" t="inlineStr">
        <is>
          <t>INVENTORY:L1</t>
        </is>
      </c>
      <c r="D1056" s="7" t="inlineStr">
        <is>
          <t>INVENTORY</t>
        </is>
      </c>
      <c r="E1056" s="7" t="inlineStr">
        <is>
          <t>physical</t>
        </is>
      </c>
      <c r="F1056" s="7" t="inlineStr">
        <is>
          <t>L1</t>
        </is>
      </c>
      <c r="H1056" s="7" t="inlineStr">
        <is>
          <t>tense</t>
        </is>
      </c>
      <c r="I1056" s="7" t="inlineStr">
        <is>
          <t>USEC_MUN</t>
        </is>
      </c>
      <c r="J1056" s="7" t="inlineStr">
        <is>
          <t>INR</t>
        </is>
      </c>
      <c r="K1056" s="7" t="inlineStr">
        <is>
          <t>fixed_unsettled</t>
        </is>
      </c>
      <c r="L1056" s="7" t="inlineStr">
        <is>
          <t>PNL</t>
        </is>
      </c>
      <c r="N1056" s="13" t="n">
        <v>945</v>
      </c>
      <c r="O1056" s="6" t="n">
        <v>0</v>
      </c>
      <c r="P1056" s="13" t="n">
        <v>0</v>
      </c>
      <c r="Q1056" s="22" t="n">
        <v>31</v>
      </c>
      <c r="R1056" s="6" t="n">
        <v>0</v>
      </c>
      <c r="U1056" s="9" t="n">
        <v>149346674.02</v>
      </c>
      <c r="V1056" s="9" t="n">
        <v>149346674.02</v>
      </c>
      <c r="W1056" s="9" t="n">
        <v>158038.8085</v>
      </c>
      <c r="X1056" s="9" t="n">
        <v>80.0352</v>
      </c>
      <c r="Y1056" s="8">
        <f>IF($I1056="JEA_NSA","20ft","40ft")</f>
        <v/>
      </c>
      <c r="Z1056" s="8">
        <f>IF($I1056="JEA_NSA","nsa","mun")</f>
        <v/>
      </c>
      <c r="AA1056" s="8">
        <f>INDEX(param_values,MATCH("container_payload_mt_"&amp;$Y1056,param_keys,0))/INDEX(param_values,MATCH("container_payload_mt_"&amp;$Y1056&amp;"_"&amp;$H1056,param_keys,0))</f>
        <v/>
      </c>
      <c r="AB1056" s="16">
        <f>INDEX(Market_Daily!$C$6:$C$256,MATCH($A1056,Market_Daily!$A$6:$A$256,0))*INDEX(Market_Daily!$X$6:$Z$256,MATCH($A1056,Market_Daily!$A$6:$A$256,0),MATCH("grade_factor_"&amp;$H1056,Market_Daily!$X$5:$Z$5,0))</f>
        <v/>
      </c>
      <c r="AC1056" s="16">
        <f>$AB1056*(1+insurance_rate*insured_value_uplift)</f>
        <v/>
      </c>
      <c r="AD1056" s="8">
        <f>(INDEX(Market_Daily!$F$6:$F$256,MATCH($A1056,Market_Daily!$A$6:$A$256,0))*(1+INDEX(Market_Daily!$I$6:$I$256,MATCH($A1056,Market_Daily!$A$6:$A$256,0))*$Q1056/day_count_inr)/(1+INDEX(Market_Daily!$J$6:$J$256,MATCH($A1056,Market_Daily!$A$6:$A$256,0))*$Q1056/day_count_usd))</f>
        <v/>
      </c>
      <c r="AE1056" s="18">
        <f>$AC1056*$AD1056</f>
        <v/>
      </c>
      <c r="AF1056" s="18">
        <f>$AC1056*INDEX(Market_Daily!$V$6:$V$256,MATCH($A1056,Market_Daily!$A$6:$A$256,0))</f>
        <v/>
      </c>
      <c r="AG1056" s="18">
        <f>$AF1056*bcd_scrap_hs7602*(1+sws_rate_on_bcd)</f>
        <v/>
      </c>
      <c r="AH1056" s="18">
        <f>INDEX(param_values,MATCH("port_cf_charges_inr_t_"&amp;$Z1056,param_keys,0))*$AA1056+IF(INDEX(param_values,MATCH(IF($I1056="JEA_NSA","psic_required_uae_origin","psic_required_safe_origin_designated_port"),param_keys,0)),psic_cost_usd_per_box*INDEX(Market_Daily!$F$6:$F$256,MATCH($A1056,Market_Daily!$A$6:$A$256,0))/INDEX(param_values,MATCH("container_payload_mt_20ft_"&amp;$H1056,param_keys,0)),0)</f>
        <v/>
      </c>
      <c r="AI1056" s="18">
        <f>IF(igst_itc_available,0,($AF1056+$AG1056)*igst_rate_hs7602)</f>
        <v/>
      </c>
      <c r="AJ1056" s="18">
        <f>$AE1056+$AG1056+$AH1056+$AI1056</f>
        <v/>
      </c>
      <c r="AK1056" s="7" t="inlineStr">
        <is>
          <t>DERIVED_IN_WORKBOOK</t>
        </is>
      </c>
      <c r="AL1056" s="8">
        <f>IF($J1056="INR",1,IF($M1056&lt;$A1056,INDEX(Market_Daily!$F$6:$F$256,MATCH($M1056,Market_Daily!$A$6:$A$256,1)),IF($M1056=$A1056,INDEX(Market_Daily!$F$6:$F$256,MATCH($A1056,Market_Daily!$A$6:$A$256,0)),(INDEX(Market_Daily!$F$6:$F$256,MATCH($A1056,Market_Daily!$A$6:$A$256,0))*(1+INDEX(Market_Daily!$I$6:$I$256,MATCH($A1056,Market_Daily!$A$6:$A$256,0))*($M1056-$A1056)/day_count_inr)/(1+INDEX(Market_Daily!$J$6:$J$256,MATCH($A1056,Market_Daily!$A$6:$A$256,0))*($M1056-$A1056)/day_count_usd)))))</f>
        <v/>
      </c>
      <c r="AM1056" s="8">
        <f>IF(OR($J1056="INR",$R1056&gt;1),"",$AL1056-$X1056)</f>
        <v/>
      </c>
      <c r="AN1056" s="8">
        <f>$N1056*$AJ1056</f>
        <v/>
      </c>
      <c r="AO1056" s="8">
        <f>$AN1056</f>
        <v/>
      </c>
      <c r="AP1056" s="18">
        <f>$AO1056-$V1056</f>
        <v/>
      </c>
      <c r="AQ1056" s="8">
        <f>IF(ABS($AP1056)&lt;=tol_trade_inr,"PASS","FAIL")</f>
        <v/>
      </c>
    </row>
    <row r="1057">
      <c r="A1057" s="11" t="n">
        <v>44756</v>
      </c>
      <c r="B1057" s="7" t="inlineStr">
        <is>
          <t>T07</t>
        </is>
      </c>
      <c r="C1057" s="7" t="inlineStr">
        <is>
          <t>INVENTORY:L2</t>
        </is>
      </c>
      <c r="D1057" s="7" t="inlineStr">
        <is>
          <t>INVENTORY</t>
        </is>
      </c>
      <c r="E1057" s="7" t="inlineStr">
        <is>
          <t>physical</t>
        </is>
      </c>
      <c r="F1057" s="7" t="inlineStr">
        <is>
          <t>L2</t>
        </is>
      </c>
      <c r="H1057" s="7" t="inlineStr">
        <is>
          <t>tense</t>
        </is>
      </c>
      <c r="I1057" s="7" t="inlineStr">
        <is>
          <t>USEC_MUN</t>
        </is>
      </c>
      <c r="J1057" s="7" t="inlineStr">
        <is>
          <t>INR</t>
        </is>
      </c>
      <c r="K1057" s="7" t="inlineStr">
        <is>
          <t>fixed_unsettled</t>
        </is>
      </c>
      <c r="L1057" s="7" t="inlineStr">
        <is>
          <t>PNL</t>
        </is>
      </c>
      <c r="N1057" s="13" t="n">
        <v>945</v>
      </c>
      <c r="O1057" s="6" t="n">
        <v>0</v>
      </c>
      <c r="P1057" s="13" t="n">
        <v>0</v>
      </c>
      <c r="Q1057" s="22" t="n">
        <v>31</v>
      </c>
      <c r="R1057" s="6" t="n">
        <v>0</v>
      </c>
      <c r="U1057" s="9" t="n">
        <v>149346674.02</v>
      </c>
      <c r="V1057" s="9" t="n">
        <v>149346674.02</v>
      </c>
      <c r="W1057" s="9" t="n">
        <v>158038.8085</v>
      </c>
      <c r="X1057" s="9" t="n">
        <v>80.0352</v>
      </c>
      <c r="Y1057" s="8">
        <f>IF($I1057="JEA_NSA","20ft","40ft")</f>
        <v/>
      </c>
      <c r="Z1057" s="8">
        <f>IF($I1057="JEA_NSA","nsa","mun")</f>
        <v/>
      </c>
      <c r="AA1057" s="8">
        <f>INDEX(param_values,MATCH("container_payload_mt_"&amp;$Y1057,param_keys,0))/INDEX(param_values,MATCH("container_payload_mt_"&amp;$Y1057&amp;"_"&amp;$H1057,param_keys,0))</f>
        <v/>
      </c>
      <c r="AB1057" s="16">
        <f>INDEX(Market_Daily!$C$6:$C$256,MATCH($A1057,Market_Daily!$A$6:$A$256,0))*INDEX(Market_Daily!$X$6:$Z$256,MATCH($A1057,Market_Daily!$A$6:$A$256,0),MATCH("grade_factor_"&amp;$H1057,Market_Daily!$X$5:$Z$5,0))</f>
        <v/>
      </c>
      <c r="AC1057" s="16">
        <f>$AB1057*(1+insurance_rate*insured_value_uplift)</f>
        <v/>
      </c>
      <c r="AD1057" s="8">
        <f>(INDEX(Market_Daily!$F$6:$F$256,MATCH($A1057,Market_Daily!$A$6:$A$256,0))*(1+INDEX(Market_Daily!$I$6:$I$256,MATCH($A1057,Market_Daily!$A$6:$A$256,0))*$Q1057/day_count_inr)/(1+INDEX(Market_Daily!$J$6:$J$256,MATCH($A1057,Market_Daily!$A$6:$A$256,0))*$Q1057/day_count_usd))</f>
        <v/>
      </c>
      <c r="AE1057" s="18">
        <f>$AC1057*$AD1057</f>
        <v/>
      </c>
      <c r="AF1057" s="18">
        <f>$AC1057*INDEX(Market_Daily!$V$6:$V$256,MATCH($A1057,Market_Daily!$A$6:$A$256,0))</f>
        <v/>
      </c>
      <c r="AG1057" s="18">
        <f>$AF1057*bcd_scrap_hs7602*(1+sws_rate_on_bcd)</f>
        <v/>
      </c>
      <c r="AH1057" s="18">
        <f>INDEX(param_values,MATCH("port_cf_charges_inr_t_"&amp;$Z1057,param_keys,0))*$AA1057+IF(INDEX(param_values,MATCH(IF($I1057="JEA_NSA","psic_required_uae_origin","psic_required_safe_origin_designated_port"),param_keys,0)),psic_cost_usd_per_box*INDEX(Market_Daily!$F$6:$F$256,MATCH($A1057,Market_Daily!$A$6:$A$256,0))/INDEX(param_values,MATCH("container_payload_mt_20ft_"&amp;$H1057,param_keys,0)),0)</f>
        <v/>
      </c>
      <c r="AI1057" s="18">
        <f>IF(igst_itc_available,0,($AF1057+$AG1057)*igst_rate_hs7602)</f>
        <v/>
      </c>
      <c r="AJ1057" s="18">
        <f>$AE1057+$AG1057+$AH1057+$AI1057</f>
        <v/>
      </c>
      <c r="AK1057" s="7" t="inlineStr">
        <is>
          <t>DERIVED_IN_WORKBOOK</t>
        </is>
      </c>
      <c r="AL1057" s="8">
        <f>IF($J1057="INR",1,IF($M1057&lt;$A1057,INDEX(Market_Daily!$F$6:$F$256,MATCH($M1057,Market_Daily!$A$6:$A$256,1)),IF($M1057=$A1057,INDEX(Market_Daily!$F$6:$F$256,MATCH($A1057,Market_Daily!$A$6:$A$256,0)),(INDEX(Market_Daily!$F$6:$F$256,MATCH($A1057,Market_Daily!$A$6:$A$256,0))*(1+INDEX(Market_Daily!$I$6:$I$256,MATCH($A1057,Market_Daily!$A$6:$A$256,0))*($M1057-$A1057)/day_count_inr)/(1+INDEX(Market_Daily!$J$6:$J$256,MATCH($A1057,Market_Daily!$A$6:$A$256,0))*($M1057-$A1057)/day_count_usd)))))</f>
        <v/>
      </c>
      <c r="AM1057" s="8">
        <f>IF(OR($J1057="INR",$R1057&gt;1),"",$AL1057-$X1057)</f>
        <v/>
      </c>
      <c r="AN1057" s="8">
        <f>$N1057*$AJ1057</f>
        <v/>
      </c>
      <c r="AO1057" s="8">
        <f>$AN1057</f>
        <v/>
      </c>
      <c r="AP1057" s="18">
        <f>$AO1057-$V1057</f>
        <v/>
      </c>
      <c r="AQ1057" s="8">
        <f>IF(ABS($AP1057)&lt;=tol_trade_inr,"PASS","FAIL")</f>
        <v/>
      </c>
    </row>
    <row r="1058">
      <c r="A1058" s="11" t="n">
        <v>44756</v>
      </c>
      <c r="B1058" s="7" t="inlineStr">
        <is>
          <t>T07</t>
        </is>
      </c>
      <c r="C1058" s="7" t="inlineStr">
        <is>
          <t>MCX:T07-MCX-2</t>
        </is>
      </c>
      <c r="D1058" s="7" t="inlineStr">
        <is>
          <t>MCX</t>
        </is>
      </c>
      <c r="E1058" s="7" t="inlineStr">
        <is>
          <t>mcx</t>
        </is>
      </c>
      <c r="H1058" s="7" t="inlineStr">
        <is>
          <t>tense</t>
        </is>
      </c>
      <c r="I1058" s="7" t="inlineStr">
        <is>
          <t>USEC_MUN</t>
        </is>
      </c>
      <c r="J1058" s="7" t="inlineStr">
        <is>
          <t>INR</t>
        </is>
      </c>
      <c r="K1058" s="7" t="inlineStr">
        <is>
          <t>partially_fixed</t>
        </is>
      </c>
      <c r="L1058" s="7" t="inlineStr">
        <is>
          <t>PNL</t>
        </is>
      </c>
      <c r="M1058" s="11" t="n">
        <v>44762</v>
      </c>
      <c r="N1058" s="13" t="n">
        <v>0</v>
      </c>
      <c r="O1058" s="6" t="n">
        <v>-247</v>
      </c>
      <c r="P1058" s="13" t="n">
        <v>0</v>
      </c>
      <c r="Q1058" s="22" t="n">
        <v>31</v>
      </c>
      <c r="R1058" s="6" t="n">
        <v>22</v>
      </c>
      <c r="U1058" s="9" t="n">
        <v>0</v>
      </c>
      <c r="V1058" s="9" t="n">
        <v>0</v>
      </c>
      <c r="X1058" s="9" t="n">
        <v>80.0352</v>
      </c>
      <c r="AK1058" s="7" t="inlineStr">
        <is>
          <t>PYTHON_MULTI_FLOW_LEG</t>
        </is>
      </c>
      <c r="AL1058" s="8">
        <f>IF($J1058="INR",1,IF($M1058&lt;$A1058,INDEX(Market_Daily!$F$6:$F$256,MATCH($M1058,Market_Daily!$A$6:$A$256,1)),IF($M1058=$A1058,INDEX(Market_Daily!$F$6:$F$256,MATCH($A1058,Market_Daily!$A$6:$A$256,0)),(INDEX(Market_Daily!$F$6:$F$256,MATCH($A1058,Market_Daily!$A$6:$A$256,0))*(1+INDEX(Market_Daily!$I$6:$I$256,MATCH($A1058,Market_Daily!$A$6:$A$256,0))*($M1058-$A1058)/day_count_inr)/(1+INDEX(Market_Daily!$J$6:$J$256,MATCH($A1058,Market_Daily!$A$6:$A$256,0))*($M1058-$A1058)/day_count_usd)))))</f>
        <v/>
      </c>
      <c r="AM1058" s="8">
        <f>IF(OR($J1058="INR",$R1058&gt;1),"",$AL1058-$X1058)</f>
        <v/>
      </c>
      <c r="AN1058" s="8">
        <f>$U1058</f>
        <v/>
      </c>
      <c r="AO1058" s="8">
        <f>$V1058</f>
        <v/>
      </c>
      <c r="AP1058" s="18">
        <f>$AO1058-$V1058</f>
        <v/>
      </c>
      <c r="AQ1058" s="8">
        <f>IF(ABS($AP1058)&lt;=tol_trade_inr,"PASS","FAIL")</f>
        <v/>
      </c>
    </row>
    <row r="1059">
      <c r="A1059" s="11" t="n">
        <v>44756</v>
      </c>
      <c r="B1059" s="7" t="inlineStr">
        <is>
          <t>T07</t>
        </is>
      </c>
      <c r="C1059" s="7" t="inlineStr">
        <is>
          <t>PORT:L1</t>
        </is>
      </c>
      <c r="D1059" s="7" t="inlineStr">
        <is>
          <t>PORT</t>
        </is>
      </c>
      <c r="E1059" s="7" t="inlineStr">
        <is>
          <t>physical</t>
        </is>
      </c>
      <c r="F1059" s="7" t="inlineStr">
        <is>
          <t>L1</t>
        </is>
      </c>
      <c r="H1059" s="7" t="inlineStr">
        <is>
          <t>tense</t>
        </is>
      </c>
      <c r="I1059" s="7" t="inlineStr">
        <is>
          <t>USEC_MUN</t>
        </is>
      </c>
      <c r="J1059" s="7" t="inlineStr">
        <is>
          <t>INR</t>
        </is>
      </c>
      <c r="K1059" s="7" t="inlineStr">
        <is>
          <t>fixed_unsettled</t>
        </is>
      </c>
      <c r="L1059" s="7" t="inlineStr">
        <is>
          <t>PNL</t>
        </is>
      </c>
      <c r="M1059" s="11" t="n">
        <v>44770</v>
      </c>
      <c r="N1059" s="13" t="n">
        <v>0</v>
      </c>
      <c r="O1059" s="6" t="n">
        <v>0</v>
      </c>
      <c r="P1059" s="13" t="n">
        <v>0</v>
      </c>
      <c r="Q1059" s="22" t="n">
        <v>31</v>
      </c>
      <c r="R1059" s="6" t="n">
        <v>1</v>
      </c>
      <c r="U1059" s="9" t="n">
        <v>-2504250</v>
      </c>
      <c r="V1059" s="9" t="n">
        <v>-2504250</v>
      </c>
      <c r="X1059" s="9" t="n">
        <v>80.0352</v>
      </c>
      <c r="AK1059" s="7" t="inlineStr">
        <is>
          <t>PYTHON_LIFECYCLE</t>
        </is>
      </c>
      <c r="AL1059" s="8">
        <f>IF($J1059="INR",1,IF($M1059&lt;$A1059,INDEX(Market_Daily!$F$6:$F$256,MATCH($M1059,Market_Daily!$A$6:$A$256,1)),IF($M1059=$A1059,INDEX(Market_Daily!$F$6:$F$256,MATCH($A1059,Market_Daily!$A$6:$A$256,0)),(INDEX(Market_Daily!$F$6:$F$256,MATCH($A1059,Market_Daily!$A$6:$A$256,0))*(1+INDEX(Market_Daily!$I$6:$I$256,MATCH($A1059,Market_Daily!$A$6:$A$256,0))*($M1059-$A1059)/day_count_inr)/(1+INDEX(Market_Daily!$J$6:$J$256,MATCH($A1059,Market_Daily!$A$6:$A$256,0))*($M1059-$A1059)/day_count_usd)))))</f>
        <v/>
      </c>
      <c r="AM1059" s="8">
        <f>IF(OR($J1059="INR",$R1059&gt;1),"",$AL1059-$X1059)</f>
        <v/>
      </c>
      <c r="AN1059" s="8">
        <f>$U1059</f>
        <v/>
      </c>
      <c r="AO1059" s="8">
        <f>$AN1059*IF($J1059="INR",1,$AL1059)</f>
        <v/>
      </c>
      <c r="AP1059" s="18">
        <f>$AO1059-$V1059</f>
        <v/>
      </c>
      <c r="AQ1059" s="8">
        <f>IF(ABS($AP1059)&lt;=tol_trade_inr,"PASS","FAIL")</f>
        <v/>
      </c>
    </row>
    <row r="1060">
      <c r="A1060" s="11" t="n">
        <v>44756</v>
      </c>
      <c r="B1060" s="7" t="inlineStr">
        <is>
          <t>T07</t>
        </is>
      </c>
      <c r="C1060" s="7" t="inlineStr">
        <is>
          <t>PORT:L2</t>
        </is>
      </c>
      <c r="D1060" s="7" t="inlineStr">
        <is>
          <t>PORT</t>
        </is>
      </c>
      <c r="E1060" s="7" t="inlineStr">
        <is>
          <t>physical</t>
        </is>
      </c>
      <c r="F1060" s="7" t="inlineStr">
        <is>
          <t>L2</t>
        </is>
      </c>
      <c r="H1060" s="7" t="inlineStr">
        <is>
          <t>tense</t>
        </is>
      </c>
      <c r="I1060" s="7" t="inlineStr">
        <is>
          <t>USEC_MUN</t>
        </is>
      </c>
      <c r="J1060" s="7" t="inlineStr">
        <is>
          <t>INR</t>
        </is>
      </c>
      <c r="K1060" s="7" t="inlineStr">
        <is>
          <t>fixed_unsettled</t>
        </is>
      </c>
      <c r="L1060" s="7" t="inlineStr">
        <is>
          <t>PNL</t>
        </is>
      </c>
      <c r="M1060" s="11" t="n">
        <v>44777</v>
      </c>
      <c r="N1060" s="13" t="n">
        <v>0</v>
      </c>
      <c r="O1060" s="6" t="n">
        <v>0</v>
      </c>
      <c r="P1060" s="13" t="n">
        <v>0</v>
      </c>
      <c r="Q1060" s="22" t="n">
        <v>31</v>
      </c>
      <c r="R1060" s="6" t="n">
        <v>1</v>
      </c>
      <c r="U1060" s="9" t="n">
        <v>-2504250</v>
      </c>
      <c r="V1060" s="9" t="n">
        <v>-2504250</v>
      </c>
      <c r="X1060" s="9" t="n">
        <v>80.0352</v>
      </c>
      <c r="AK1060" s="7" t="inlineStr">
        <is>
          <t>PYTHON_LIFECYCLE</t>
        </is>
      </c>
      <c r="AL1060" s="8">
        <f>IF($J1060="INR",1,IF($M1060&lt;$A1060,INDEX(Market_Daily!$F$6:$F$256,MATCH($M1060,Market_Daily!$A$6:$A$256,1)),IF($M1060=$A1060,INDEX(Market_Daily!$F$6:$F$256,MATCH($A1060,Market_Daily!$A$6:$A$256,0)),(INDEX(Market_Daily!$F$6:$F$256,MATCH($A1060,Market_Daily!$A$6:$A$256,0))*(1+INDEX(Market_Daily!$I$6:$I$256,MATCH($A1060,Market_Daily!$A$6:$A$256,0))*($M1060-$A1060)/day_count_inr)/(1+INDEX(Market_Daily!$J$6:$J$256,MATCH($A1060,Market_Daily!$A$6:$A$256,0))*($M1060-$A1060)/day_count_usd)))))</f>
        <v/>
      </c>
      <c r="AM1060" s="8">
        <f>IF(OR($J1060="INR",$R1060&gt;1),"",$AL1060-$X1060)</f>
        <v/>
      </c>
      <c r="AN1060" s="8">
        <f>$U1060</f>
        <v/>
      </c>
      <c r="AO1060" s="8">
        <f>$AN1060*IF($J1060="INR",1,$AL1060)</f>
        <v/>
      </c>
      <c r="AP1060" s="18">
        <f>$AO1060-$V1060</f>
        <v/>
      </c>
      <c r="AQ1060" s="8">
        <f>IF(ABS($AP1060)&lt;=tol_trade_inr,"PASS","FAIL")</f>
        <v/>
      </c>
    </row>
    <row r="1061">
      <c r="A1061" s="11" t="n">
        <v>44756</v>
      </c>
      <c r="B1061" s="7" t="inlineStr">
        <is>
          <t>T08</t>
        </is>
      </c>
      <c r="C1061" s="7" t="inlineStr">
        <is>
          <t>DUTY:L1</t>
        </is>
      </c>
      <c r="D1061" s="7" t="inlineStr">
        <is>
          <t>DUTY</t>
        </is>
      </c>
      <c r="E1061" s="7" t="inlineStr">
        <is>
          <t>physical</t>
        </is>
      </c>
      <c r="F1061" s="7" t="inlineStr">
        <is>
          <t>L1</t>
        </is>
      </c>
      <c r="H1061" s="7" t="inlineStr">
        <is>
          <t>tense</t>
        </is>
      </c>
      <c r="I1061" s="7" t="inlineStr">
        <is>
          <t>USEC_MUN</t>
        </is>
      </c>
      <c r="J1061" s="7" t="inlineStr">
        <is>
          <t>INR</t>
        </is>
      </c>
      <c r="K1061" s="7" t="inlineStr">
        <is>
          <t>floating</t>
        </is>
      </c>
      <c r="L1061" s="7" t="inlineStr">
        <is>
          <t>PNL</t>
        </is>
      </c>
      <c r="M1061" s="11" t="n">
        <v>44778</v>
      </c>
      <c r="N1061" s="13" t="n">
        <v>840</v>
      </c>
      <c r="O1061" s="6" t="n">
        <v>0</v>
      </c>
      <c r="P1061" s="13" t="n">
        <v>0</v>
      </c>
      <c r="Q1061" s="22" t="n">
        <v>31</v>
      </c>
      <c r="R1061" s="6" t="n">
        <v>1</v>
      </c>
      <c r="U1061" s="9" t="n">
        <v>-3401884.14</v>
      </c>
      <c r="V1061" s="9" t="n">
        <v>-3401884.14</v>
      </c>
      <c r="X1061" s="9" t="n">
        <v>80.0352</v>
      </c>
      <c r="AK1061" s="7" t="inlineStr">
        <is>
          <t>PYTHON_LIFECYCLE</t>
        </is>
      </c>
      <c r="AL1061" s="8">
        <f>IF($J1061="INR",1,IF($M1061&lt;$A1061,INDEX(Market_Daily!$F$6:$F$256,MATCH($M1061,Market_Daily!$A$6:$A$256,1)),IF($M1061=$A1061,INDEX(Market_Daily!$F$6:$F$256,MATCH($A1061,Market_Daily!$A$6:$A$256,0)),(INDEX(Market_Daily!$F$6:$F$256,MATCH($A1061,Market_Daily!$A$6:$A$256,0))*(1+INDEX(Market_Daily!$I$6:$I$256,MATCH($A1061,Market_Daily!$A$6:$A$256,0))*($M1061-$A1061)/day_count_inr)/(1+INDEX(Market_Daily!$J$6:$J$256,MATCH($A1061,Market_Daily!$A$6:$A$256,0))*($M1061-$A1061)/day_count_usd)))))</f>
        <v/>
      </c>
      <c r="AM1061" s="8">
        <f>IF(OR($J1061="INR",$R1061&gt;1),"",$AL1061-$X1061)</f>
        <v/>
      </c>
      <c r="AN1061" s="8">
        <f>$U1061</f>
        <v/>
      </c>
      <c r="AO1061" s="8">
        <f>$AN1061*IF($J1061="INR",1,$AL1061)</f>
        <v/>
      </c>
      <c r="AP1061" s="18">
        <f>$AO1061-$V1061</f>
        <v/>
      </c>
      <c r="AQ1061" s="8">
        <f>IF(ABS($AP1061)&lt;=tol_trade_inr,"PASS","FAIL")</f>
        <v/>
      </c>
    </row>
    <row r="1062">
      <c r="A1062" s="11" t="n">
        <v>44756</v>
      </c>
      <c r="B1062" s="7" t="inlineStr">
        <is>
          <t>T08</t>
        </is>
      </c>
      <c r="C1062" s="7" t="inlineStr">
        <is>
          <t>DUTY:L2</t>
        </is>
      </c>
      <c r="D1062" s="7" t="inlineStr">
        <is>
          <t>DUTY</t>
        </is>
      </c>
      <c r="E1062" s="7" t="inlineStr">
        <is>
          <t>physical</t>
        </is>
      </c>
      <c r="F1062" s="7" t="inlineStr">
        <is>
          <t>L2</t>
        </is>
      </c>
      <c r="H1062" s="7" t="inlineStr">
        <is>
          <t>tense</t>
        </is>
      </c>
      <c r="I1062" s="7" t="inlineStr">
        <is>
          <t>USEC_MUN</t>
        </is>
      </c>
      <c r="J1062" s="7" t="inlineStr">
        <is>
          <t>INR</t>
        </is>
      </c>
      <c r="K1062" s="7" t="inlineStr">
        <is>
          <t>floating</t>
        </is>
      </c>
      <c r="L1062" s="7" t="inlineStr">
        <is>
          <t>PNL</t>
        </is>
      </c>
      <c r="M1062" s="11" t="n">
        <v>44782</v>
      </c>
      <c r="N1062" s="13" t="n">
        <v>840</v>
      </c>
      <c r="O1062" s="6" t="n">
        <v>0</v>
      </c>
      <c r="P1062" s="13" t="n">
        <v>0</v>
      </c>
      <c r="Q1062" s="22" t="n">
        <v>31</v>
      </c>
      <c r="R1062" s="6" t="n">
        <v>1</v>
      </c>
      <c r="U1062" s="9" t="n">
        <v>-3401884.14</v>
      </c>
      <c r="V1062" s="9" t="n">
        <v>-3401884.14</v>
      </c>
      <c r="X1062" s="9" t="n">
        <v>80.0352</v>
      </c>
      <c r="AK1062" s="7" t="inlineStr">
        <is>
          <t>PYTHON_LIFECYCLE</t>
        </is>
      </c>
      <c r="AL1062" s="8">
        <f>IF($J1062="INR",1,IF($M1062&lt;$A1062,INDEX(Market_Daily!$F$6:$F$256,MATCH($M1062,Market_Daily!$A$6:$A$256,1)),IF($M1062=$A1062,INDEX(Market_Daily!$F$6:$F$256,MATCH($A1062,Market_Daily!$A$6:$A$256,0)),(INDEX(Market_Daily!$F$6:$F$256,MATCH($A1062,Market_Daily!$A$6:$A$256,0))*(1+INDEX(Market_Daily!$I$6:$I$256,MATCH($A1062,Market_Daily!$A$6:$A$256,0))*($M1062-$A1062)/day_count_inr)/(1+INDEX(Market_Daily!$J$6:$J$256,MATCH($A1062,Market_Daily!$A$6:$A$256,0))*($M1062-$A1062)/day_count_usd)))))</f>
        <v/>
      </c>
      <c r="AM1062" s="8">
        <f>IF(OR($J1062="INR",$R1062&gt;1),"",$AL1062-$X1062)</f>
        <v/>
      </c>
      <c r="AN1062" s="8">
        <f>$U1062</f>
        <v/>
      </c>
      <c r="AO1062" s="8">
        <f>$AN1062*IF($J1062="INR",1,$AL1062)</f>
        <v/>
      </c>
      <c r="AP1062" s="18">
        <f>$AO1062-$V1062</f>
        <v/>
      </c>
      <c r="AQ1062" s="8">
        <f>IF(ABS($AP1062)&lt;=tol_trade_inr,"PASS","FAIL")</f>
        <v/>
      </c>
    </row>
    <row r="1063">
      <c r="A1063" s="11" t="n">
        <v>44756</v>
      </c>
      <c r="B1063" s="7" t="inlineStr">
        <is>
          <t>T08</t>
        </is>
      </c>
      <c r="C1063" s="7" t="inlineStr">
        <is>
          <t>IGST:L1</t>
        </is>
      </c>
      <c r="D1063" s="7" t="inlineStr">
        <is>
          <t>IGST</t>
        </is>
      </c>
      <c r="E1063" s="7" t="inlineStr">
        <is>
          <t>physical</t>
        </is>
      </c>
      <c r="F1063" s="7" t="inlineStr">
        <is>
          <t>L1</t>
        </is>
      </c>
      <c r="H1063" s="7" t="inlineStr">
        <is>
          <t>tense</t>
        </is>
      </c>
      <c r="I1063" s="7" t="inlineStr">
        <is>
          <t>USEC_MUN</t>
        </is>
      </c>
      <c r="J1063" s="7" t="inlineStr">
        <is>
          <t>INR</t>
        </is>
      </c>
      <c r="K1063" s="7" t="inlineStr">
        <is>
          <t>floating</t>
        </is>
      </c>
      <c r="L1063" s="7" t="inlineStr">
        <is>
          <t>BS</t>
        </is>
      </c>
      <c r="M1063" s="11" t="n">
        <v>44820</v>
      </c>
      <c r="N1063" s="13" t="n">
        <v>0</v>
      </c>
      <c r="O1063" s="6" t="n">
        <v>0</v>
      </c>
      <c r="P1063" s="13" t="n">
        <v>0</v>
      </c>
      <c r="Q1063" s="22" t="n">
        <v>31</v>
      </c>
      <c r="R1063" s="6" t="n">
        <v>2</v>
      </c>
      <c r="U1063" s="9" t="n">
        <v>0</v>
      </c>
      <c r="V1063" s="9" t="n">
        <v>0</v>
      </c>
      <c r="X1063" s="9" t="n">
        <v>80.0352</v>
      </c>
      <c r="AK1063" s="7" t="inlineStr">
        <is>
          <t>PYTHON_MULTI_FLOW_LEG</t>
        </is>
      </c>
      <c r="AL1063" s="8">
        <f>IF($J1063="INR",1,IF($M1063&lt;$A1063,INDEX(Market_Daily!$F$6:$F$256,MATCH($M1063,Market_Daily!$A$6:$A$256,1)),IF($M1063=$A1063,INDEX(Market_Daily!$F$6:$F$256,MATCH($A1063,Market_Daily!$A$6:$A$256,0)),(INDEX(Market_Daily!$F$6:$F$256,MATCH($A1063,Market_Daily!$A$6:$A$256,0))*(1+INDEX(Market_Daily!$I$6:$I$256,MATCH($A1063,Market_Daily!$A$6:$A$256,0))*($M1063-$A1063)/day_count_inr)/(1+INDEX(Market_Daily!$J$6:$J$256,MATCH($A1063,Market_Daily!$A$6:$A$256,0))*($M1063-$A1063)/day_count_usd)))))</f>
        <v/>
      </c>
      <c r="AM1063" s="8">
        <f>IF(OR($J1063="INR",$R1063&gt;1),"",$AL1063-$X1063)</f>
        <v/>
      </c>
      <c r="AN1063" s="8">
        <f>$U1063</f>
        <v/>
      </c>
      <c r="AO1063" s="8">
        <f>$V1063</f>
        <v/>
      </c>
      <c r="AP1063" s="18">
        <f>$AO1063-$V1063</f>
        <v/>
      </c>
      <c r="AQ1063" s="8">
        <f>IF(ABS($AP1063)&lt;=tol_trade_inr,"PASS","FAIL")</f>
        <v/>
      </c>
    </row>
    <row r="1064">
      <c r="A1064" s="11" t="n">
        <v>44756</v>
      </c>
      <c r="B1064" s="7" t="inlineStr">
        <is>
          <t>T08</t>
        </is>
      </c>
      <c r="C1064" s="7" t="inlineStr">
        <is>
          <t>IGST:L2</t>
        </is>
      </c>
      <c r="D1064" s="7" t="inlineStr">
        <is>
          <t>IGST</t>
        </is>
      </c>
      <c r="E1064" s="7" t="inlineStr">
        <is>
          <t>physical</t>
        </is>
      </c>
      <c r="F1064" s="7" t="inlineStr">
        <is>
          <t>L2</t>
        </is>
      </c>
      <c r="H1064" s="7" t="inlineStr">
        <is>
          <t>tense</t>
        </is>
      </c>
      <c r="I1064" s="7" t="inlineStr">
        <is>
          <t>USEC_MUN</t>
        </is>
      </c>
      <c r="J1064" s="7" t="inlineStr">
        <is>
          <t>INR</t>
        </is>
      </c>
      <c r="K1064" s="7" t="inlineStr">
        <is>
          <t>floating</t>
        </is>
      </c>
      <c r="L1064" s="7" t="inlineStr">
        <is>
          <t>BS</t>
        </is>
      </c>
      <c r="M1064" s="11" t="n">
        <v>44827</v>
      </c>
      <c r="N1064" s="13" t="n">
        <v>0</v>
      </c>
      <c r="O1064" s="6" t="n">
        <v>0</v>
      </c>
      <c r="P1064" s="13" t="n">
        <v>0</v>
      </c>
      <c r="Q1064" s="22" t="n">
        <v>31</v>
      </c>
      <c r="R1064" s="6" t="n">
        <v>2</v>
      </c>
      <c r="U1064" s="9" t="n">
        <v>0</v>
      </c>
      <c r="V1064" s="9" t="n">
        <v>0</v>
      </c>
      <c r="X1064" s="9" t="n">
        <v>80.0352</v>
      </c>
      <c r="AK1064" s="7" t="inlineStr">
        <is>
          <t>PYTHON_MULTI_FLOW_LEG</t>
        </is>
      </c>
      <c r="AL1064" s="8">
        <f>IF($J1064="INR",1,IF($M1064&lt;$A1064,INDEX(Market_Daily!$F$6:$F$256,MATCH($M1064,Market_Daily!$A$6:$A$256,1)),IF($M1064=$A1064,INDEX(Market_Daily!$F$6:$F$256,MATCH($A1064,Market_Daily!$A$6:$A$256,0)),(INDEX(Market_Daily!$F$6:$F$256,MATCH($A1064,Market_Daily!$A$6:$A$256,0))*(1+INDEX(Market_Daily!$I$6:$I$256,MATCH($A1064,Market_Daily!$A$6:$A$256,0))*($M1064-$A1064)/day_count_inr)/(1+INDEX(Market_Daily!$J$6:$J$256,MATCH($A1064,Market_Daily!$A$6:$A$256,0))*($M1064-$A1064)/day_count_usd)))))</f>
        <v/>
      </c>
      <c r="AM1064" s="8">
        <f>IF(OR($J1064="INR",$R1064&gt;1),"",$AL1064-$X1064)</f>
        <v/>
      </c>
      <c r="AN1064" s="8">
        <f>$U1064</f>
        <v/>
      </c>
      <c r="AO1064" s="8">
        <f>$V1064</f>
        <v/>
      </c>
      <c r="AP1064" s="18">
        <f>$AO1064-$V1064</f>
        <v/>
      </c>
      <c r="AQ1064" s="8">
        <f>IF(ABS($AP1064)&lt;=tol_trade_inr,"PASS","FAIL")</f>
        <v/>
      </c>
    </row>
    <row r="1065">
      <c r="A1065" s="11" t="n">
        <v>44756</v>
      </c>
      <c r="B1065" s="7" t="inlineStr">
        <is>
          <t>T08</t>
        </is>
      </c>
      <c r="C1065" s="7" t="inlineStr">
        <is>
          <t>INVENTORY:L1</t>
        </is>
      </c>
      <c r="D1065" s="7" t="inlineStr">
        <is>
          <t>INVENTORY</t>
        </is>
      </c>
      <c r="E1065" s="7" t="inlineStr">
        <is>
          <t>physical</t>
        </is>
      </c>
      <c r="F1065" s="7" t="inlineStr">
        <is>
          <t>L1</t>
        </is>
      </c>
      <c r="H1065" s="7" t="inlineStr">
        <is>
          <t>tense</t>
        </is>
      </c>
      <c r="I1065" s="7" t="inlineStr">
        <is>
          <t>USEC_MUN</t>
        </is>
      </c>
      <c r="J1065" s="7" t="inlineStr">
        <is>
          <t>INR</t>
        </is>
      </c>
      <c r="K1065" s="7" t="inlineStr">
        <is>
          <t>fixed_unsettled</t>
        </is>
      </c>
      <c r="L1065" s="7" t="inlineStr">
        <is>
          <t>PNL</t>
        </is>
      </c>
      <c r="N1065" s="13" t="n">
        <v>840</v>
      </c>
      <c r="O1065" s="6" t="n">
        <v>0</v>
      </c>
      <c r="P1065" s="13" t="n">
        <v>0</v>
      </c>
      <c r="Q1065" s="22" t="n">
        <v>31</v>
      </c>
      <c r="R1065" s="6" t="n">
        <v>0</v>
      </c>
      <c r="U1065" s="9" t="n">
        <v>132752599.13</v>
      </c>
      <c r="V1065" s="9" t="n">
        <v>132752599.13</v>
      </c>
      <c r="W1065" s="9" t="n">
        <v>158038.8085</v>
      </c>
      <c r="X1065" s="9" t="n">
        <v>80.0352</v>
      </c>
      <c r="Y1065" s="8">
        <f>IF($I1065="JEA_NSA","20ft","40ft")</f>
        <v/>
      </c>
      <c r="Z1065" s="8">
        <f>IF($I1065="JEA_NSA","nsa","mun")</f>
        <v/>
      </c>
      <c r="AA1065" s="8">
        <f>INDEX(param_values,MATCH("container_payload_mt_"&amp;$Y1065,param_keys,0))/INDEX(param_values,MATCH("container_payload_mt_"&amp;$Y1065&amp;"_"&amp;$H1065,param_keys,0))</f>
        <v/>
      </c>
      <c r="AB1065" s="16">
        <f>INDEX(Market_Daily!$C$6:$C$256,MATCH($A1065,Market_Daily!$A$6:$A$256,0))*INDEX(Market_Daily!$X$6:$Z$256,MATCH($A1065,Market_Daily!$A$6:$A$256,0),MATCH("grade_factor_"&amp;$H1065,Market_Daily!$X$5:$Z$5,0))</f>
        <v/>
      </c>
      <c r="AC1065" s="16">
        <f>$AB1065*(1+insurance_rate*insured_value_uplift)</f>
        <v/>
      </c>
      <c r="AD1065" s="8">
        <f>(INDEX(Market_Daily!$F$6:$F$256,MATCH($A1065,Market_Daily!$A$6:$A$256,0))*(1+INDEX(Market_Daily!$I$6:$I$256,MATCH($A1065,Market_Daily!$A$6:$A$256,0))*$Q1065/day_count_inr)/(1+INDEX(Market_Daily!$J$6:$J$256,MATCH($A1065,Market_Daily!$A$6:$A$256,0))*$Q1065/day_count_usd))</f>
        <v/>
      </c>
      <c r="AE1065" s="18">
        <f>$AC1065*$AD1065</f>
        <v/>
      </c>
      <c r="AF1065" s="18">
        <f>$AC1065*INDEX(Market_Daily!$V$6:$V$256,MATCH($A1065,Market_Daily!$A$6:$A$256,0))</f>
        <v/>
      </c>
      <c r="AG1065" s="18">
        <f>$AF1065*bcd_scrap_hs7602*(1+sws_rate_on_bcd)</f>
        <v/>
      </c>
      <c r="AH1065" s="18">
        <f>INDEX(param_values,MATCH("port_cf_charges_inr_t_"&amp;$Z1065,param_keys,0))*$AA1065+IF(INDEX(param_values,MATCH(IF($I1065="JEA_NSA","psic_required_uae_origin","psic_required_safe_origin_designated_port"),param_keys,0)),psic_cost_usd_per_box*INDEX(Market_Daily!$F$6:$F$256,MATCH($A1065,Market_Daily!$A$6:$A$256,0))/INDEX(param_values,MATCH("container_payload_mt_20ft_"&amp;$H1065,param_keys,0)),0)</f>
        <v/>
      </c>
      <c r="AI1065" s="18">
        <f>IF(igst_itc_available,0,($AF1065+$AG1065)*igst_rate_hs7602)</f>
        <v/>
      </c>
      <c r="AJ1065" s="18">
        <f>$AE1065+$AG1065+$AH1065+$AI1065</f>
        <v/>
      </c>
      <c r="AK1065" s="7" t="inlineStr">
        <is>
          <t>DERIVED_IN_WORKBOOK</t>
        </is>
      </c>
      <c r="AL1065" s="8">
        <f>IF($J1065="INR",1,IF($M1065&lt;$A1065,INDEX(Market_Daily!$F$6:$F$256,MATCH($M1065,Market_Daily!$A$6:$A$256,1)),IF($M1065=$A1065,INDEX(Market_Daily!$F$6:$F$256,MATCH($A1065,Market_Daily!$A$6:$A$256,0)),(INDEX(Market_Daily!$F$6:$F$256,MATCH($A1065,Market_Daily!$A$6:$A$256,0))*(1+INDEX(Market_Daily!$I$6:$I$256,MATCH($A1065,Market_Daily!$A$6:$A$256,0))*($M1065-$A1065)/day_count_inr)/(1+INDEX(Market_Daily!$J$6:$J$256,MATCH($A1065,Market_Daily!$A$6:$A$256,0))*($M1065-$A1065)/day_count_usd)))))</f>
        <v/>
      </c>
      <c r="AM1065" s="8">
        <f>IF(OR($J1065="INR",$R1065&gt;1),"",$AL1065-$X1065)</f>
        <v/>
      </c>
      <c r="AN1065" s="8">
        <f>$N1065*$AJ1065</f>
        <v/>
      </c>
      <c r="AO1065" s="8">
        <f>$AN1065</f>
        <v/>
      </c>
      <c r="AP1065" s="18">
        <f>$AO1065-$V1065</f>
        <v/>
      </c>
      <c r="AQ1065" s="8">
        <f>IF(ABS($AP1065)&lt;=tol_trade_inr,"PASS","FAIL")</f>
        <v/>
      </c>
    </row>
    <row r="1066">
      <c r="A1066" s="11" t="n">
        <v>44756</v>
      </c>
      <c r="B1066" s="7" t="inlineStr">
        <is>
          <t>T08</t>
        </is>
      </c>
      <c r="C1066" s="7" t="inlineStr">
        <is>
          <t>INVENTORY:L2</t>
        </is>
      </c>
      <c r="D1066" s="7" t="inlineStr">
        <is>
          <t>INVENTORY</t>
        </is>
      </c>
      <c r="E1066" s="7" t="inlineStr">
        <is>
          <t>physical</t>
        </is>
      </c>
      <c r="F1066" s="7" t="inlineStr">
        <is>
          <t>L2</t>
        </is>
      </c>
      <c r="H1066" s="7" t="inlineStr">
        <is>
          <t>tense</t>
        </is>
      </c>
      <c r="I1066" s="7" t="inlineStr">
        <is>
          <t>USEC_MUN</t>
        </is>
      </c>
      <c r="J1066" s="7" t="inlineStr">
        <is>
          <t>INR</t>
        </is>
      </c>
      <c r="K1066" s="7" t="inlineStr">
        <is>
          <t>fixed_unsettled</t>
        </is>
      </c>
      <c r="L1066" s="7" t="inlineStr">
        <is>
          <t>PNL</t>
        </is>
      </c>
      <c r="N1066" s="13" t="n">
        <v>840</v>
      </c>
      <c r="O1066" s="6" t="n">
        <v>0</v>
      </c>
      <c r="P1066" s="13" t="n">
        <v>0</v>
      </c>
      <c r="Q1066" s="22" t="n">
        <v>31</v>
      </c>
      <c r="R1066" s="6" t="n">
        <v>0</v>
      </c>
      <c r="U1066" s="9" t="n">
        <v>132752599.13</v>
      </c>
      <c r="V1066" s="9" t="n">
        <v>132752599.13</v>
      </c>
      <c r="W1066" s="9" t="n">
        <v>158038.8085</v>
      </c>
      <c r="X1066" s="9" t="n">
        <v>80.0352</v>
      </c>
      <c r="Y1066" s="8">
        <f>IF($I1066="JEA_NSA","20ft","40ft")</f>
        <v/>
      </c>
      <c r="Z1066" s="8">
        <f>IF($I1066="JEA_NSA","nsa","mun")</f>
        <v/>
      </c>
      <c r="AA1066" s="8">
        <f>INDEX(param_values,MATCH("container_payload_mt_"&amp;$Y1066,param_keys,0))/INDEX(param_values,MATCH("container_payload_mt_"&amp;$Y1066&amp;"_"&amp;$H1066,param_keys,0))</f>
        <v/>
      </c>
      <c r="AB1066" s="16">
        <f>INDEX(Market_Daily!$C$6:$C$256,MATCH($A1066,Market_Daily!$A$6:$A$256,0))*INDEX(Market_Daily!$X$6:$Z$256,MATCH($A1066,Market_Daily!$A$6:$A$256,0),MATCH("grade_factor_"&amp;$H1066,Market_Daily!$X$5:$Z$5,0))</f>
        <v/>
      </c>
      <c r="AC1066" s="16">
        <f>$AB1066*(1+insurance_rate*insured_value_uplift)</f>
        <v/>
      </c>
      <c r="AD1066" s="8">
        <f>(INDEX(Market_Daily!$F$6:$F$256,MATCH($A1066,Market_Daily!$A$6:$A$256,0))*(1+INDEX(Market_Daily!$I$6:$I$256,MATCH($A1066,Market_Daily!$A$6:$A$256,0))*$Q1066/day_count_inr)/(1+INDEX(Market_Daily!$J$6:$J$256,MATCH($A1066,Market_Daily!$A$6:$A$256,0))*$Q1066/day_count_usd))</f>
        <v/>
      </c>
      <c r="AE1066" s="18">
        <f>$AC1066*$AD1066</f>
        <v/>
      </c>
      <c r="AF1066" s="18">
        <f>$AC1066*INDEX(Market_Daily!$V$6:$V$256,MATCH($A1066,Market_Daily!$A$6:$A$256,0))</f>
        <v/>
      </c>
      <c r="AG1066" s="18">
        <f>$AF1066*bcd_scrap_hs7602*(1+sws_rate_on_bcd)</f>
        <v/>
      </c>
      <c r="AH1066" s="18">
        <f>INDEX(param_values,MATCH("port_cf_charges_inr_t_"&amp;$Z1066,param_keys,0))*$AA1066+IF(INDEX(param_values,MATCH(IF($I1066="JEA_NSA","psic_required_uae_origin","psic_required_safe_origin_designated_port"),param_keys,0)),psic_cost_usd_per_box*INDEX(Market_Daily!$F$6:$F$256,MATCH($A1066,Market_Daily!$A$6:$A$256,0))/INDEX(param_values,MATCH("container_payload_mt_20ft_"&amp;$H1066,param_keys,0)),0)</f>
        <v/>
      </c>
      <c r="AI1066" s="18">
        <f>IF(igst_itc_available,0,($AF1066+$AG1066)*igst_rate_hs7602)</f>
        <v/>
      </c>
      <c r="AJ1066" s="18">
        <f>$AE1066+$AG1066+$AH1066+$AI1066</f>
        <v/>
      </c>
      <c r="AK1066" s="7" t="inlineStr">
        <is>
          <t>DERIVED_IN_WORKBOOK</t>
        </is>
      </c>
      <c r="AL1066" s="8">
        <f>IF($J1066="INR",1,IF($M1066&lt;$A1066,INDEX(Market_Daily!$F$6:$F$256,MATCH($M1066,Market_Daily!$A$6:$A$256,1)),IF($M1066=$A1066,INDEX(Market_Daily!$F$6:$F$256,MATCH($A1066,Market_Daily!$A$6:$A$256,0)),(INDEX(Market_Daily!$F$6:$F$256,MATCH($A1066,Market_Daily!$A$6:$A$256,0))*(1+INDEX(Market_Daily!$I$6:$I$256,MATCH($A1066,Market_Daily!$A$6:$A$256,0))*($M1066-$A1066)/day_count_inr)/(1+INDEX(Market_Daily!$J$6:$J$256,MATCH($A1066,Market_Daily!$A$6:$A$256,0))*($M1066-$A1066)/day_count_usd)))))</f>
        <v/>
      </c>
      <c r="AM1066" s="8">
        <f>IF(OR($J1066="INR",$R1066&gt;1),"",$AL1066-$X1066)</f>
        <v/>
      </c>
      <c r="AN1066" s="8">
        <f>$N1066*$AJ1066</f>
        <v/>
      </c>
      <c r="AO1066" s="8">
        <f>$AN1066</f>
        <v/>
      </c>
      <c r="AP1066" s="18">
        <f>$AO1066-$V1066</f>
        <v/>
      </c>
      <c r="AQ1066" s="8">
        <f>IF(ABS($AP1066)&lt;=tol_trade_inr,"PASS","FAIL")</f>
        <v/>
      </c>
    </row>
    <row r="1067">
      <c r="A1067" s="11" t="n">
        <v>44756</v>
      </c>
      <c r="B1067" s="7" t="inlineStr">
        <is>
          <t>T08</t>
        </is>
      </c>
      <c r="C1067" s="7" t="inlineStr">
        <is>
          <t>PORT:L1</t>
        </is>
      </c>
      <c r="D1067" s="7" t="inlineStr">
        <is>
          <t>PORT</t>
        </is>
      </c>
      <c r="E1067" s="7" t="inlineStr">
        <is>
          <t>physical</t>
        </is>
      </c>
      <c r="F1067" s="7" t="inlineStr">
        <is>
          <t>L1</t>
        </is>
      </c>
      <c r="H1067" s="7" t="inlineStr">
        <is>
          <t>tense</t>
        </is>
      </c>
      <c r="I1067" s="7" t="inlineStr">
        <is>
          <t>USEC_MUN</t>
        </is>
      </c>
      <c r="J1067" s="7" t="inlineStr">
        <is>
          <t>INR</t>
        </is>
      </c>
      <c r="K1067" s="7" t="inlineStr">
        <is>
          <t>fixed_unsettled</t>
        </is>
      </c>
      <c r="L1067" s="7" t="inlineStr">
        <is>
          <t>PNL</t>
        </is>
      </c>
      <c r="M1067" s="11" t="n">
        <v>44784</v>
      </c>
      <c r="N1067" s="13" t="n">
        <v>0</v>
      </c>
      <c r="O1067" s="6" t="n">
        <v>0</v>
      </c>
      <c r="P1067" s="13" t="n">
        <v>0</v>
      </c>
      <c r="Q1067" s="22" t="n">
        <v>31</v>
      </c>
      <c r="R1067" s="6" t="n">
        <v>1</v>
      </c>
      <c r="U1067" s="9" t="n">
        <v>-2226000</v>
      </c>
      <c r="V1067" s="9" t="n">
        <v>-2226000</v>
      </c>
      <c r="X1067" s="9" t="n">
        <v>80.0352</v>
      </c>
      <c r="AK1067" s="7" t="inlineStr">
        <is>
          <t>PYTHON_LIFECYCLE</t>
        </is>
      </c>
      <c r="AL1067" s="8">
        <f>IF($J1067="INR",1,IF($M1067&lt;$A1067,INDEX(Market_Daily!$F$6:$F$256,MATCH($M1067,Market_Daily!$A$6:$A$256,1)),IF($M1067=$A1067,INDEX(Market_Daily!$F$6:$F$256,MATCH($A1067,Market_Daily!$A$6:$A$256,0)),(INDEX(Market_Daily!$F$6:$F$256,MATCH($A1067,Market_Daily!$A$6:$A$256,0))*(1+INDEX(Market_Daily!$I$6:$I$256,MATCH($A1067,Market_Daily!$A$6:$A$256,0))*($M1067-$A1067)/day_count_inr)/(1+INDEX(Market_Daily!$J$6:$J$256,MATCH($A1067,Market_Daily!$A$6:$A$256,0))*($M1067-$A1067)/day_count_usd)))))</f>
        <v/>
      </c>
      <c r="AM1067" s="8">
        <f>IF(OR($J1067="INR",$R1067&gt;1),"",$AL1067-$X1067)</f>
        <v/>
      </c>
      <c r="AN1067" s="8">
        <f>$U1067</f>
        <v/>
      </c>
      <c r="AO1067" s="8">
        <f>$AN1067*IF($J1067="INR",1,$AL1067)</f>
        <v/>
      </c>
      <c r="AP1067" s="18">
        <f>$AO1067-$V1067</f>
        <v/>
      </c>
      <c r="AQ1067" s="8">
        <f>IF(ABS($AP1067)&lt;=tol_trade_inr,"PASS","FAIL")</f>
        <v/>
      </c>
    </row>
    <row r="1068">
      <c r="A1068" s="11" t="n">
        <v>44756</v>
      </c>
      <c r="B1068" s="7" t="inlineStr">
        <is>
          <t>T08</t>
        </is>
      </c>
      <c r="C1068" s="7" t="inlineStr">
        <is>
          <t>PORT:L2</t>
        </is>
      </c>
      <c r="D1068" s="7" t="inlineStr">
        <is>
          <t>PORT</t>
        </is>
      </c>
      <c r="E1068" s="7" t="inlineStr">
        <is>
          <t>physical</t>
        </is>
      </c>
      <c r="F1068" s="7" t="inlineStr">
        <is>
          <t>L2</t>
        </is>
      </c>
      <c r="H1068" s="7" t="inlineStr">
        <is>
          <t>tense</t>
        </is>
      </c>
      <c r="I1068" s="7" t="inlineStr">
        <is>
          <t>USEC_MUN</t>
        </is>
      </c>
      <c r="J1068" s="7" t="inlineStr">
        <is>
          <t>INR</t>
        </is>
      </c>
      <c r="K1068" s="7" t="inlineStr">
        <is>
          <t>fixed_unsettled</t>
        </is>
      </c>
      <c r="L1068" s="7" t="inlineStr">
        <is>
          <t>PNL</t>
        </is>
      </c>
      <c r="M1068" s="11" t="n">
        <v>44791</v>
      </c>
      <c r="N1068" s="13" t="n">
        <v>0</v>
      </c>
      <c r="O1068" s="6" t="n">
        <v>0</v>
      </c>
      <c r="P1068" s="13" t="n">
        <v>0</v>
      </c>
      <c r="Q1068" s="22" t="n">
        <v>31</v>
      </c>
      <c r="R1068" s="6" t="n">
        <v>1</v>
      </c>
      <c r="U1068" s="9" t="n">
        <v>-2226000</v>
      </c>
      <c r="V1068" s="9" t="n">
        <v>-2226000</v>
      </c>
      <c r="X1068" s="9" t="n">
        <v>80.0352</v>
      </c>
      <c r="AK1068" s="7" t="inlineStr">
        <is>
          <t>PYTHON_LIFECYCLE</t>
        </is>
      </c>
      <c r="AL1068" s="8">
        <f>IF($J1068="INR",1,IF($M1068&lt;$A1068,INDEX(Market_Daily!$F$6:$F$256,MATCH($M1068,Market_Daily!$A$6:$A$256,1)),IF($M1068=$A1068,INDEX(Market_Daily!$F$6:$F$256,MATCH($A1068,Market_Daily!$A$6:$A$256,0)),(INDEX(Market_Daily!$F$6:$F$256,MATCH($A1068,Market_Daily!$A$6:$A$256,0))*(1+INDEX(Market_Daily!$I$6:$I$256,MATCH($A1068,Market_Daily!$A$6:$A$256,0))*($M1068-$A1068)/day_count_inr)/(1+INDEX(Market_Daily!$J$6:$J$256,MATCH($A1068,Market_Daily!$A$6:$A$256,0))*($M1068-$A1068)/day_count_usd)))))</f>
        <v/>
      </c>
      <c r="AM1068" s="8">
        <f>IF(OR($J1068="INR",$R1068&gt;1),"",$AL1068-$X1068)</f>
        <v/>
      </c>
      <c r="AN1068" s="8">
        <f>$U1068</f>
        <v/>
      </c>
      <c r="AO1068" s="8">
        <f>$AN1068*IF($J1068="INR",1,$AL1068)</f>
        <v/>
      </c>
      <c r="AP1068" s="18">
        <f>$AO1068-$V1068</f>
        <v/>
      </c>
      <c r="AQ1068" s="8">
        <f>IF(ABS($AP1068)&lt;=tol_trade_inr,"PASS","FAIL")</f>
        <v/>
      </c>
    </row>
    <row r="1069">
      <c r="A1069" s="11" t="n">
        <v>44756</v>
      </c>
      <c r="B1069" s="7" t="inlineStr">
        <is>
          <t>T08</t>
        </is>
      </c>
      <c r="C1069" s="7" t="inlineStr">
        <is>
          <t>PURCHASE:L1</t>
        </is>
      </c>
      <c r="D1069" s="7" t="inlineStr">
        <is>
          <t>PURCHASE</t>
        </is>
      </c>
      <c r="E1069" s="7" t="inlineStr">
        <is>
          <t>physical</t>
        </is>
      </c>
      <c r="F1069" s="7" t="inlineStr">
        <is>
          <t>L1</t>
        </is>
      </c>
      <c r="G1069" s="7" t="inlineStr">
        <is>
          <t>SUP_USEC_02</t>
        </is>
      </c>
      <c r="H1069" s="7" t="inlineStr">
        <is>
          <t>tense</t>
        </is>
      </c>
      <c r="I1069" s="7" t="inlineStr">
        <is>
          <t>USEC_MUN</t>
        </is>
      </c>
      <c r="J1069" s="7" t="inlineStr">
        <is>
          <t>USD</t>
        </is>
      </c>
      <c r="K1069" s="7" t="inlineStr">
        <is>
          <t>partially_fixed</t>
        </is>
      </c>
      <c r="L1069" s="7" t="inlineStr">
        <is>
          <t>PNL</t>
        </is>
      </c>
      <c r="M1069" s="11" t="n">
        <v>44778</v>
      </c>
      <c r="N1069" s="13" t="n">
        <v>1680</v>
      </c>
      <c r="O1069" s="6" t="n">
        <v>0</v>
      </c>
      <c r="P1069" s="13" t="n">
        <v>0</v>
      </c>
      <c r="Q1069" s="22" t="n">
        <v>31</v>
      </c>
      <c r="R1069" s="6" t="n">
        <v>2</v>
      </c>
      <c r="U1069" s="9" t="n">
        <v>-14224.68</v>
      </c>
      <c r="V1069" s="9" t="n">
        <v>-1140484.34</v>
      </c>
      <c r="X1069" s="9" t="n">
        <v>80.1764</v>
      </c>
      <c r="AK1069" s="7" t="inlineStr">
        <is>
          <t>PYTHON_MULTI_FLOW_LEG</t>
        </is>
      </c>
      <c r="AL1069" s="8">
        <f>IF($J1069="INR",1,IF($M1069&lt;$A1069,INDEX(Market_Daily!$F$6:$F$256,MATCH($M1069,Market_Daily!$A$6:$A$256,1)),IF($M1069=$A1069,INDEX(Market_Daily!$F$6:$F$256,MATCH($A1069,Market_Daily!$A$6:$A$256,0)),(INDEX(Market_Daily!$F$6:$F$256,MATCH($A1069,Market_Daily!$A$6:$A$256,0))*(1+INDEX(Market_Daily!$I$6:$I$256,MATCH($A1069,Market_Daily!$A$6:$A$256,0))*($M1069-$A1069)/day_count_inr)/(1+INDEX(Market_Daily!$J$6:$J$256,MATCH($A1069,Market_Daily!$A$6:$A$256,0))*($M1069-$A1069)/day_count_usd)))))</f>
        <v/>
      </c>
      <c r="AM1069" s="8">
        <f>IF(OR($J1069="INR",$R1069&gt;1),"",$AL1069-$X1069)</f>
        <v/>
      </c>
      <c r="AN1069" s="8">
        <f>$U1069</f>
        <v/>
      </c>
      <c r="AO1069" s="8">
        <f>$V1069</f>
        <v/>
      </c>
      <c r="AP1069" s="18">
        <f>$AO1069-$V1069</f>
        <v/>
      </c>
      <c r="AQ1069" s="8">
        <f>IF(ABS($AP1069)&lt;=tol_trade_inr,"PASS","FAIL")</f>
        <v/>
      </c>
    </row>
    <row r="1070">
      <c r="A1070" s="11" t="n">
        <v>44756</v>
      </c>
      <c r="B1070" s="7" t="inlineStr">
        <is>
          <t>T08</t>
        </is>
      </c>
      <c r="C1070" s="7" t="inlineStr">
        <is>
          <t>PURCHASE:L2</t>
        </is>
      </c>
      <c r="D1070" s="7" t="inlineStr">
        <is>
          <t>PURCHASE</t>
        </is>
      </c>
      <c r="E1070" s="7" t="inlineStr">
        <is>
          <t>physical</t>
        </is>
      </c>
      <c r="F1070" s="7" t="inlineStr">
        <is>
          <t>L2</t>
        </is>
      </c>
      <c r="G1070" s="7" t="inlineStr">
        <is>
          <t>SUP_USEC_02</t>
        </is>
      </c>
      <c r="H1070" s="7" t="inlineStr">
        <is>
          <t>tense</t>
        </is>
      </c>
      <c r="I1070" s="7" t="inlineStr">
        <is>
          <t>USEC_MUN</t>
        </is>
      </c>
      <c r="J1070" s="7" t="inlineStr">
        <is>
          <t>USD</t>
        </is>
      </c>
      <c r="K1070" s="7" t="inlineStr">
        <is>
          <t>partially_fixed</t>
        </is>
      </c>
      <c r="L1070" s="7" t="inlineStr">
        <is>
          <t>PNL</t>
        </is>
      </c>
      <c r="M1070" s="11" t="n">
        <v>44782</v>
      </c>
      <c r="N1070" s="13" t="n">
        <v>1680</v>
      </c>
      <c r="O1070" s="6" t="n">
        <v>0</v>
      </c>
      <c r="P1070" s="13" t="n">
        <v>0</v>
      </c>
      <c r="Q1070" s="22" t="n">
        <v>31</v>
      </c>
      <c r="R1070" s="6" t="n">
        <v>2</v>
      </c>
      <c r="U1070" s="9" t="n">
        <v>-16408.81</v>
      </c>
      <c r="V1070" s="9" t="n">
        <v>-1316020.44</v>
      </c>
      <c r="X1070" s="9" t="n">
        <v>80.2021</v>
      </c>
      <c r="AK1070" s="7" t="inlineStr">
        <is>
          <t>PYTHON_MULTI_FLOW_LEG</t>
        </is>
      </c>
      <c r="AL1070" s="8">
        <f>IF($J1070="INR",1,IF($M1070&lt;$A1070,INDEX(Market_Daily!$F$6:$F$256,MATCH($M1070,Market_Daily!$A$6:$A$256,1)),IF($M1070=$A1070,INDEX(Market_Daily!$F$6:$F$256,MATCH($A1070,Market_Daily!$A$6:$A$256,0)),(INDEX(Market_Daily!$F$6:$F$256,MATCH($A1070,Market_Daily!$A$6:$A$256,0))*(1+INDEX(Market_Daily!$I$6:$I$256,MATCH($A1070,Market_Daily!$A$6:$A$256,0))*($M1070-$A1070)/day_count_inr)/(1+INDEX(Market_Daily!$J$6:$J$256,MATCH($A1070,Market_Daily!$A$6:$A$256,0))*($M1070-$A1070)/day_count_usd)))))</f>
        <v/>
      </c>
      <c r="AM1070" s="8">
        <f>IF(OR($J1070="INR",$R1070&gt;1),"",$AL1070-$X1070)</f>
        <v/>
      </c>
      <c r="AN1070" s="8">
        <f>$U1070</f>
        <v/>
      </c>
      <c r="AO1070" s="8">
        <f>$V1070</f>
        <v/>
      </c>
      <c r="AP1070" s="18">
        <f>$AO1070-$V1070</f>
        <v/>
      </c>
      <c r="AQ1070" s="8">
        <f>IF(ABS($AP1070)&lt;=tol_trade_inr,"PASS","FAIL")</f>
        <v/>
      </c>
    </row>
    <row r="1071">
      <c r="A1071" s="11" t="n">
        <v>44757</v>
      </c>
      <c r="B1071" s="7" t="inlineStr">
        <is>
          <t>T04</t>
        </is>
      </c>
      <c r="C1071" s="7" t="inlineStr">
        <is>
          <t>IGST:L1</t>
        </is>
      </c>
      <c r="D1071" s="7" t="inlineStr">
        <is>
          <t>IGST</t>
        </is>
      </c>
      <c r="E1071" s="7" t="inlineStr">
        <is>
          <t>physical</t>
        </is>
      </c>
      <c r="F1071" s="7" t="inlineStr">
        <is>
          <t>L1</t>
        </is>
      </c>
      <c r="H1071" s="7" t="inlineStr">
        <is>
          <t>taint_tabor</t>
        </is>
      </c>
      <c r="I1071" s="7" t="inlineStr">
        <is>
          <t>USEC_MUN</t>
        </is>
      </c>
      <c r="J1071" s="7" t="inlineStr">
        <is>
          <t>INR</t>
        </is>
      </c>
      <c r="K1071" s="7" t="inlineStr">
        <is>
          <t>fixed_unsettled</t>
        </is>
      </c>
      <c r="L1071" s="7" t="inlineStr">
        <is>
          <t>BS</t>
        </is>
      </c>
      <c r="M1071" s="11" t="n">
        <v>44764</v>
      </c>
      <c r="N1071" s="13" t="n">
        <v>0</v>
      </c>
      <c r="O1071" s="6" t="n">
        <v>0</v>
      </c>
      <c r="P1071" s="13" t="n">
        <v>0</v>
      </c>
      <c r="Q1071" s="22" t="n">
        <v>31</v>
      </c>
      <c r="R1071" s="6" t="n">
        <v>2</v>
      </c>
      <c r="U1071" s="9" t="n">
        <v>0</v>
      </c>
      <c r="V1071" s="9" t="n">
        <v>0</v>
      </c>
      <c r="X1071" s="9" t="n">
        <v>79.8449</v>
      </c>
      <c r="AK1071" s="7" t="inlineStr">
        <is>
          <t>PYTHON_MULTI_FLOW_LEG</t>
        </is>
      </c>
      <c r="AL1071" s="8">
        <f>IF($J1071="INR",1,IF($M1071&lt;$A1071,INDEX(Market_Daily!$F$6:$F$256,MATCH($M1071,Market_Daily!$A$6:$A$256,1)),IF($M1071=$A1071,INDEX(Market_Daily!$F$6:$F$256,MATCH($A1071,Market_Daily!$A$6:$A$256,0)),(INDEX(Market_Daily!$F$6:$F$256,MATCH($A1071,Market_Daily!$A$6:$A$256,0))*(1+INDEX(Market_Daily!$I$6:$I$256,MATCH($A1071,Market_Daily!$A$6:$A$256,0))*($M1071-$A1071)/day_count_inr)/(1+INDEX(Market_Daily!$J$6:$J$256,MATCH($A1071,Market_Daily!$A$6:$A$256,0))*($M1071-$A1071)/day_count_usd)))))</f>
        <v/>
      </c>
      <c r="AM1071" s="8">
        <f>IF(OR($J1071="INR",$R1071&gt;1),"",$AL1071-$X1071)</f>
        <v/>
      </c>
      <c r="AN1071" s="8">
        <f>$U1071</f>
        <v/>
      </c>
      <c r="AO1071" s="8">
        <f>$V1071</f>
        <v/>
      </c>
      <c r="AP1071" s="18">
        <f>$AO1071-$V1071</f>
        <v/>
      </c>
      <c r="AQ1071" s="8">
        <f>IF(ABS($AP1071)&lt;=tol_trade_inr,"PASS","FAIL")</f>
        <v/>
      </c>
    </row>
    <row r="1072">
      <c r="A1072" s="11" t="n">
        <v>44757</v>
      </c>
      <c r="B1072" s="7" t="inlineStr">
        <is>
          <t>T04</t>
        </is>
      </c>
      <c r="C1072" s="7" t="inlineStr">
        <is>
          <t>IGST:L2</t>
        </is>
      </c>
      <c r="D1072" s="7" t="inlineStr">
        <is>
          <t>IGST</t>
        </is>
      </c>
      <c r="E1072" s="7" t="inlineStr">
        <is>
          <t>physical</t>
        </is>
      </c>
      <c r="F1072" s="7" t="inlineStr">
        <is>
          <t>L2</t>
        </is>
      </c>
      <c r="H1072" s="7" t="inlineStr">
        <is>
          <t>taint_tabor</t>
        </is>
      </c>
      <c r="I1072" s="7" t="inlineStr">
        <is>
          <t>USEC_MUN</t>
        </is>
      </c>
      <c r="J1072" s="7" t="inlineStr">
        <is>
          <t>INR</t>
        </is>
      </c>
      <c r="K1072" s="7" t="inlineStr">
        <is>
          <t>fixed_unsettled</t>
        </is>
      </c>
      <c r="L1072" s="7" t="inlineStr">
        <is>
          <t>BS</t>
        </is>
      </c>
      <c r="M1072" s="11" t="n">
        <v>44771</v>
      </c>
      <c r="N1072" s="13" t="n">
        <v>0</v>
      </c>
      <c r="O1072" s="6" t="n">
        <v>0</v>
      </c>
      <c r="P1072" s="13" t="n">
        <v>0</v>
      </c>
      <c r="Q1072" s="22" t="n">
        <v>31</v>
      </c>
      <c r="R1072" s="6" t="n">
        <v>2</v>
      </c>
      <c r="U1072" s="9" t="n">
        <v>0</v>
      </c>
      <c r="V1072" s="9" t="n">
        <v>0</v>
      </c>
      <c r="X1072" s="9" t="n">
        <v>79.8449</v>
      </c>
      <c r="AK1072" s="7" t="inlineStr">
        <is>
          <t>PYTHON_MULTI_FLOW_LEG</t>
        </is>
      </c>
      <c r="AL1072" s="8">
        <f>IF($J1072="INR",1,IF($M1072&lt;$A1072,INDEX(Market_Daily!$F$6:$F$256,MATCH($M1072,Market_Daily!$A$6:$A$256,1)),IF($M1072=$A1072,INDEX(Market_Daily!$F$6:$F$256,MATCH($A1072,Market_Daily!$A$6:$A$256,0)),(INDEX(Market_Daily!$F$6:$F$256,MATCH($A1072,Market_Daily!$A$6:$A$256,0))*(1+INDEX(Market_Daily!$I$6:$I$256,MATCH($A1072,Market_Daily!$A$6:$A$256,0))*($M1072-$A1072)/day_count_inr)/(1+INDEX(Market_Daily!$J$6:$J$256,MATCH($A1072,Market_Daily!$A$6:$A$256,0))*($M1072-$A1072)/day_count_usd)))))</f>
        <v/>
      </c>
      <c r="AM1072" s="8">
        <f>IF(OR($J1072="INR",$R1072&gt;1),"",$AL1072-$X1072)</f>
        <v/>
      </c>
      <c r="AN1072" s="8">
        <f>$U1072</f>
        <v/>
      </c>
      <c r="AO1072" s="8">
        <f>$V1072</f>
        <v/>
      </c>
      <c r="AP1072" s="18">
        <f>$AO1072-$V1072</f>
        <v/>
      </c>
      <c r="AQ1072" s="8">
        <f>IF(ABS($AP1072)&lt;=tol_trade_inr,"PASS","FAIL")</f>
        <v/>
      </c>
    </row>
    <row r="1073">
      <c r="A1073" s="11" t="n">
        <v>44757</v>
      </c>
      <c r="B1073" s="7" t="inlineStr">
        <is>
          <t>T04</t>
        </is>
      </c>
      <c r="C1073" s="7" t="inlineStr">
        <is>
          <t>SALE:S1</t>
        </is>
      </c>
      <c r="D1073" s="7" t="inlineStr">
        <is>
          <t>SALE</t>
        </is>
      </c>
      <c r="E1073" s="7" t="inlineStr">
        <is>
          <t>physical</t>
        </is>
      </c>
      <c r="G1073" s="7" t="inlineStr">
        <is>
          <t>BUY_RJK_01</t>
        </is>
      </c>
      <c r="H1073" s="7" t="inlineStr">
        <is>
          <t>taint_tabor</t>
        </is>
      </c>
      <c r="I1073" s="7" t="inlineStr">
        <is>
          <t>USEC_MUN</t>
        </is>
      </c>
      <c r="J1073" s="7" t="inlineStr">
        <is>
          <t>INR</t>
        </is>
      </c>
      <c r="K1073" s="7" t="inlineStr">
        <is>
          <t>fixed_unsettled</t>
        </is>
      </c>
      <c r="L1073" s="7" t="inlineStr">
        <is>
          <t>PNL</t>
        </is>
      </c>
      <c r="M1073" s="11" t="n">
        <v>44767</v>
      </c>
      <c r="N1073" s="13" t="n">
        <v>2520</v>
      </c>
      <c r="O1073" s="6" t="n">
        <v>0</v>
      </c>
      <c r="P1073" s="13" t="n">
        <v>0</v>
      </c>
      <c r="Q1073" s="22" t="n">
        <v>31</v>
      </c>
      <c r="R1073" s="6" t="n">
        <v>2</v>
      </c>
      <c r="U1073" s="9" t="n">
        <v>61267500</v>
      </c>
      <c r="V1073" s="9" t="n">
        <v>61267500</v>
      </c>
      <c r="W1073" s="9" t="n">
        <v>194500</v>
      </c>
      <c r="X1073" s="9" t="n">
        <v>79.8449</v>
      </c>
      <c r="AK1073" s="7" t="inlineStr">
        <is>
          <t>PYTHON_MULTI_FLOW_LEG</t>
        </is>
      </c>
      <c r="AL1073" s="8">
        <f>IF($J1073="INR",1,IF($M1073&lt;$A1073,INDEX(Market_Daily!$F$6:$F$256,MATCH($M1073,Market_Daily!$A$6:$A$256,1)),IF($M1073=$A1073,INDEX(Market_Daily!$F$6:$F$256,MATCH($A1073,Market_Daily!$A$6:$A$256,0)),(INDEX(Market_Daily!$F$6:$F$256,MATCH($A1073,Market_Daily!$A$6:$A$256,0))*(1+INDEX(Market_Daily!$I$6:$I$256,MATCH($A1073,Market_Daily!$A$6:$A$256,0))*($M1073-$A1073)/day_count_inr)/(1+INDEX(Market_Daily!$J$6:$J$256,MATCH($A1073,Market_Daily!$A$6:$A$256,0))*($M1073-$A1073)/day_count_usd)))))</f>
        <v/>
      </c>
      <c r="AM1073" s="8">
        <f>IF(OR($J1073="INR",$R1073&gt;1),"",$AL1073-$X1073)</f>
        <v/>
      </c>
      <c r="AN1073" s="8">
        <f>$U1073</f>
        <v/>
      </c>
      <c r="AO1073" s="8">
        <f>$V1073</f>
        <v/>
      </c>
      <c r="AP1073" s="18">
        <f>$AO1073-$V1073</f>
        <v/>
      </c>
      <c r="AQ1073" s="8">
        <f>IF(ABS($AP1073)&lt;=tol_trade_inr,"PASS","FAIL")</f>
        <v/>
      </c>
    </row>
    <row r="1074">
      <c r="A1074" s="11" t="n">
        <v>44757</v>
      </c>
      <c r="B1074" s="7" t="inlineStr">
        <is>
          <t>T05</t>
        </is>
      </c>
      <c r="C1074" s="7" t="inlineStr">
        <is>
          <t>BILL_COMMISSION:L2</t>
        </is>
      </c>
      <c r="D1074" s="7" t="inlineStr">
        <is>
          <t>BILL_COMMISSION</t>
        </is>
      </c>
      <c r="E1074" s="7" t="inlineStr">
        <is>
          <t>physical</t>
        </is>
      </c>
      <c r="F1074" s="7" t="inlineStr">
        <is>
          <t>L2</t>
        </is>
      </c>
      <c r="H1074" s="7" t="inlineStr">
        <is>
          <t>tense</t>
        </is>
      </c>
      <c r="I1074" s="7" t="inlineStr">
        <is>
          <t>USEC_MUN</t>
        </is>
      </c>
      <c r="J1074" s="7" t="inlineStr">
        <is>
          <t>USD</t>
        </is>
      </c>
      <c r="K1074" s="7" t="inlineStr">
        <is>
          <t>floating</t>
        </is>
      </c>
      <c r="L1074" s="7" t="inlineStr">
        <is>
          <t>PNL</t>
        </is>
      </c>
      <c r="M1074" s="11" t="n">
        <v>44760</v>
      </c>
      <c r="N1074" s="13" t="n">
        <v>0</v>
      </c>
      <c r="O1074" s="6" t="n">
        <v>0</v>
      </c>
      <c r="P1074" s="13" t="n">
        <v>0</v>
      </c>
      <c r="Q1074" s="22" t="n">
        <v>31</v>
      </c>
      <c r="R1074" s="6" t="n">
        <v>1</v>
      </c>
      <c r="U1074" s="9" t="n">
        <v>-2390.64</v>
      </c>
      <c r="V1074" s="9" t="n">
        <v>-190926.9</v>
      </c>
      <c r="X1074" s="9" t="n">
        <v>79.86450000000001</v>
      </c>
      <c r="AK1074" s="7" t="inlineStr">
        <is>
          <t>PYTHON_LIFECYCLE</t>
        </is>
      </c>
      <c r="AL1074" s="8">
        <f>IF($J1074="INR",1,IF($M1074&lt;$A1074,INDEX(Market_Daily!$F$6:$F$256,MATCH($M1074,Market_Daily!$A$6:$A$256,1)),IF($M1074=$A1074,INDEX(Market_Daily!$F$6:$F$256,MATCH($A1074,Market_Daily!$A$6:$A$256,0)),(INDEX(Market_Daily!$F$6:$F$256,MATCH($A1074,Market_Daily!$A$6:$A$256,0))*(1+INDEX(Market_Daily!$I$6:$I$256,MATCH($A1074,Market_Daily!$A$6:$A$256,0))*($M1074-$A1074)/day_count_inr)/(1+INDEX(Market_Daily!$J$6:$J$256,MATCH($A1074,Market_Daily!$A$6:$A$256,0))*($M1074-$A1074)/day_count_usd)))))</f>
        <v/>
      </c>
      <c r="AM1074" s="8">
        <f>IF(OR($J1074="INR",$R1074&gt;1),"",$AL1074-$X1074)</f>
        <v/>
      </c>
      <c r="AN1074" s="8">
        <f>$U1074</f>
        <v/>
      </c>
      <c r="AO1074" s="8">
        <f>$AN1074*IF($J1074="INR",1,$AL1074)</f>
        <v/>
      </c>
      <c r="AP1074" s="18">
        <f>$AO1074-$V1074</f>
        <v/>
      </c>
      <c r="AQ1074" s="8">
        <f>IF(ABS($AP1074)&lt;=tol_trade_inr,"PASS","FAIL")</f>
        <v/>
      </c>
    </row>
    <row r="1075">
      <c r="A1075" s="11" t="n">
        <v>44757</v>
      </c>
      <c r="B1075" s="7" t="inlineStr">
        <is>
          <t>T05</t>
        </is>
      </c>
      <c r="C1075" s="7" t="inlineStr">
        <is>
          <t>FX:T05-FX-2</t>
        </is>
      </c>
      <c r="D1075" s="7" t="inlineStr">
        <is>
          <t>FX</t>
        </is>
      </c>
      <c r="E1075" s="7" t="inlineStr">
        <is>
          <t>fx_forward</t>
        </is>
      </c>
      <c r="H1075" s="7" t="inlineStr">
        <is>
          <t>tense</t>
        </is>
      </c>
      <c r="I1075" s="7" t="inlineStr">
        <is>
          <t>USEC_MUN</t>
        </is>
      </c>
      <c r="J1075" s="7" t="inlineStr">
        <is>
          <t>INR</t>
        </is>
      </c>
      <c r="K1075" s="7" t="inlineStr">
        <is>
          <t>floating</t>
        </is>
      </c>
      <c r="L1075" s="7" t="inlineStr">
        <is>
          <t>PNL</t>
        </is>
      </c>
      <c r="M1075" s="11" t="n">
        <v>44760</v>
      </c>
      <c r="N1075" s="13" t="n">
        <v>0</v>
      </c>
      <c r="O1075" s="6" t="n">
        <v>0</v>
      </c>
      <c r="P1075" s="13" t="n">
        <v>1992200</v>
      </c>
      <c r="Q1075" s="22" t="n">
        <v>31</v>
      </c>
      <c r="R1075" s="6" t="n">
        <v>1</v>
      </c>
      <c r="S1075" s="12" t="n">
        <v>44760</v>
      </c>
      <c r="T1075" s="21" t="n">
        <v>78.165892</v>
      </c>
      <c r="U1075" s="9" t="n">
        <v>3383898.86</v>
      </c>
      <c r="V1075" s="9" t="n">
        <v>3383898.86</v>
      </c>
      <c r="X1075" s="9" t="n">
        <v>79.8449</v>
      </c>
      <c r="AK1075" s="7" t="inlineStr">
        <is>
          <t>DERIVED_IN_WORKBOOK</t>
        </is>
      </c>
      <c r="AL1075" s="8">
        <f>IF($J1075="INR",1,IF($M1075&lt;$A1075,INDEX(Market_Daily!$F$6:$F$256,MATCH($M1075,Market_Daily!$A$6:$A$256,1)),IF($M1075=$A1075,INDEX(Market_Daily!$F$6:$F$256,MATCH($A1075,Market_Daily!$A$6:$A$256,0)),(INDEX(Market_Daily!$F$6:$F$256,MATCH($A1075,Market_Daily!$A$6:$A$256,0))*(1+INDEX(Market_Daily!$I$6:$I$256,MATCH($A1075,Market_Daily!$A$6:$A$256,0))*($M1075-$A1075)/day_count_inr)/(1+INDEX(Market_Daily!$J$6:$J$256,MATCH($A1075,Market_Daily!$A$6:$A$256,0))*($M1075-$A1075)/day_count_usd)))))</f>
        <v/>
      </c>
      <c r="AM1075" s="8">
        <f>IF(OR($J1075="INR",$R1075&gt;1),"",$AL1075-$X1075)</f>
        <v/>
      </c>
      <c r="AN1075" s="8">
        <f>$P1075*(IF($S1075&lt;$A1075,INDEX(Market_Daily!$F$6:$F$256,MATCH($S1075,Market_Daily!$A$6:$A$256,1)),IF($S1075=$A1075,INDEX(Market_Daily!$F$6:$F$256,MATCH($A1075,Market_Daily!$A$6:$A$256,0)),(INDEX(Market_Daily!$F$6:$F$256,MATCH($A1075,Market_Daily!$A$6:$A$256,0))*(1+INDEX(Market_Daily!$I$6:$I$256,MATCH($A1075,Market_Daily!$A$6:$A$256,0))*($S1075-$A1075)/day_count_inr)/(1+INDEX(Market_Daily!$J$6:$J$256,MATCH($A1075,Market_Daily!$A$6:$A$256,0))*($S1075-$A1075)/day_count_usd))))-$T1075)</f>
        <v/>
      </c>
      <c r="AO1075" s="8">
        <f>$AN1075</f>
        <v/>
      </c>
      <c r="AP1075" s="18">
        <f>$AO1075-$V1075</f>
        <v/>
      </c>
      <c r="AQ1075" s="8">
        <f>IF(ABS($AP1075)&lt;=tol_trade_inr,"PASS","FAIL")</f>
        <v/>
      </c>
    </row>
    <row r="1076">
      <c r="A1076" s="11" t="n">
        <v>44757</v>
      </c>
      <c r="B1076" s="7" t="inlineStr">
        <is>
          <t>T05</t>
        </is>
      </c>
      <c r="C1076" s="7" t="inlineStr">
        <is>
          <t>FX:T05-FX-3</t>
        </is>
      </c>
      <c r="D1076" s="7" t="inlineStr">
        <is>
          <t>FX</t>
        </is>
      </c>
      <c r="E1076" s="7" t="inlineStr">
        <is>
          <t>fx_forward</t>
        </is>
      </c>
      <c r="H1076" s="7" t="inlineStr">
        <is>
          <t>tense</t>
        </is>
      </c>
      <c r="I1076" s="7" t="inlineStr">
        <is>
          <t>USEC_MUN</t>
        </is>
      </c>
      <c r="J1076" s="7" t="inlineStr">
        <is>
          <t>INR</t>
        </is>
      </c>
      <c r="K1076" s="7" t="inlineStr">
        <is>
          <t>floating</t>
        </is>
      </c>
      <c r="L1076" s="7" t="inlineStr">
        <is>
          <t>PNL</t>
        </is>
      </c>
      <c r="M1076" s="11" t="n">
        <v>44760</v>
      </c>
      <c r="N1076" s="13" t="n">
        <v>0</v>
      </c>
      <c r="O1076" s="6" t="n">
        <v>0</v>
      </c>
      <c r="P1076" s="13" t="n">
        <v>-90000</v>
      </c>
      <c r="Q1076" s="22" t="n">
        <v>31</v>
      </c>
      <c r="R1076" s="6" t="n">
        <v>1</v>
      </c>
      <c r="S1076" s="12" t="n">
        <v>44760</v>
      </c>
      <c r="T1076" s="21" t="n">
        <v>79.049695</v>
      </c>
      <c r="U1076" s="9" t="n">
        <v>-73329.41</v>
      </c>
      <c r="V1076" s="9" t="n">
        <v>-73329.41</v>
      </c>
      <c r="X1076" s="9" t="n">
        <v>79.8449</v>
      </c>
      <c r="AK1076" s="7" t="inlineStr">
        <is>
          <t>DERIVED_IN_WORKBOOK</t>
        </is>
      </c>
      <c r="AL1076" s="8">
        <f>IF($J1076="INR",1,IF($M1076&lt;$A1076,INDEX(Market_Daily!$F$6:$F$256,MATCH($M1076,Market_Daily!$A$6:$A$256,1)),IF($M1076=$A1076,INDEX(Market_Daily!$F$6:$F$256,MATCH($A1076,Market_Daily!$A$6:$A$256,0)),(INDEX(Market_Daily!$F$6:$F$256,MATCH($A1076,Market_Daily!$A$6:$A$256,0))*(1+INDEX(Market_Daily!$I$6:$I$256,MATCH($A1076,Market_Daily!$A$6:$A$256,0))*($M1076-$A1076)/day_count_inr)/(1+INDEX(Market_Daily!$J$6:$J$256,MATCH($A1076,Market_Daily!$A$6:$A$256,0))*($M1076-$A1076)/day_count_usd)))))</f>
        <v/>
      </c>
      <c r="AM1076" s="8">
        <f>IF(OR($J1076="INR",$R1076&gt;1),"",$AL1076-$X1076)</f>
        <v/>
      </c>
      <c r="AN1076" s="8">
        <f>$P1076*(IF($S1076&lt;$A1076,INDEX(Market_Daily!$F$6:$F$256,MATCH($S1076,Market_Daily!$A$6:$A$256,1)),IF($S1076=$A1076,INDEX(Market_Daily!$F$6:$F$256,MATCH($A1076,Market_Daily!$A$6:$A$256,0)),(INDEX(Market_Daily!$F$6:$F$256,MATCH($A1076,Market_Daily!$A$6:$A$256,0))*(1+INDEX(Market_Daily!$I$6:$I$256,MATCH($A1076,Market_Daily!$A$6:$A$256,0))*($S1076-$A1076)/day_count_inr)/(1+INDEX(Market_Daily!$J$6:$J$256,MATCH($A1076,Market_Daily!$A$6:$A$256,0))*($S1076-$A1076)/day_count_usd))))-$T1076)</f>
        <v/>
      </c>
      <c r="AO1076" s="8">
        <f>$AN1076</f>
        <v/>
      </c>
      <c r="AP1076" s="18">
        <f>$AO1076-$V1076</f>
        <v/>
      </c>
      <c r="AQ1076" s="8">
        <f>IF(ABS($AP1076)&lt;=tol_trade_inr,"PASS","FAIL")</f>
        <v/>
      </c>
    </row>
    <row r="1077">
      <c r="A1077" s="11" t="n">
        <v>44757</v>
      </c>
      <c r="B1077" s="7" t="inlineStr">
        <is>
          <t>T05</t>
        </is>
      </c>
      <c r="C1077" s="7" t="inlineStr">
        <is>
          <t>IGST:L1</t>
        </is>
      </c>
      <c r="D1077" s="7" t="inlineStr">
        <is>
          <t>IGST</t>
        </is>
      </c>
      <c r="E1077" s="7" t="inlineStr">
        <is>
          <t>physical</t>
        </is>
      </c>
      <c r="F1077" s="7" t="inlineStr">
        <is>
          <t>L1</t>
        </is>
      </c>
      <c r="H1077" s="7" t="inlineStr">
        <is>
          <t>tense</t>
        </is>
      </c>
      <c r="I1077" s="7" t="inlineStr">
        <is>
          <t>USEC_MUN</t>
        </is>
      </c>
      <c r="J1077" s="7" t="inlineStr">
        <is>
          <t>INR</t>
        </is>
      </c>
      <c r="K1077" s="7" t="inlineStr">
        <is>
          <t>fixed_unsettled</t>
        </is>
      </c>
      <c r="L1077" s="7" t="inlineStr">
        <is>
          <t>BS</t>
        </is>
      </c>
      <c r="M1077" s="11" t="n">
        <v>44777</v>
      </c>
      <c r="N1077" s="13" t="n">
        <v>0</v>
      </c>
      <c r="O1077" s="6" t="n">
        <v>0</v>
      </c>
      <c r="P1077" s="13" t="n">
        <v>0</v>
      </c>
      <c r="Q1077" s="22" t="n">
        <v>31</v>
      </c>
      <c r="R1077" s="6" t="n">
        <v>2</v>
      </c>
      <c r="U1077" s="9" t="n">
        <v>0</v>
      </c>
      <c r="V1077" s="9" t="n">
        <v>0</v>
      </c>
      <c r="X1077" s="9" t="n">
        <v>79.8449</v>
      </c>
      <c r="AK1077" s="7" t="inlineStr">
        <is>
          <t>PYTHON_MULTI_FLOW_LEG</t>
        </is>
      </c>
      <c r="AL1077" s="8">
        <f>IF($J1077="INR",1,IF($M1077&lt;$A1077,INDEX(Market_Daily!$F$6:$F$256,MATCH($M1077,Market_Daily!$A$6:$A$256,1)),IF($M1077=$A1077,INDEX(Market_Daily!$F$6:$F$256,MATCH($A1077,Market_Daily!$A$6:$A$256,0)),(INDEX(Market_Daily!$F$6:$F$256,MATCH($A1077,Market_Daily!$A$6:$A$256,0))*(1+INDEX(Market_Daily!$I$6:$I$256,MATCH($A1077,Market_Daily!$A$6:$A$256,0))*($M1077-$A1077)/day_count_inr)/(1+INDEX(Market_Daily!$J$6:$J$256,MATCH($A1077,Market_Daily!$A$6:$A$256,0))*($M1077-$A1077)/day_count_usd)))))</f>
        <v/>
      </c>
      <c r="AM1077" s="8">
        <f>IF(OR($J1077="INR",$R1077&gt;1),"",$AL1077-$X1077)</f>
        <v/>
      </c>
      <c r="AN1077" s="8">
        <f>$U1077</f>
        <v/>
      </c>
      <c r="AO1077" s="8">
        <f>$V1077</f>
        <v/>
      </c>
      <c r="AP1077" s="18">
        <f>$AO1077-$V1077</f>
        <v/>
      </c>
      <c r="AQ1077" s="8">
        <f>IF(ABS($AP1077)&lt;=tol_trade_inr,"PASS","FAIL")</f>
        <v/>
      </c>
    </row>
    <row r="1078">
      <c r="A1078" s="11" t="n">
        <v>44757</v>
      </c>
      <c r="B1078" s="7" t="inlineStr">
        <is>
          <t>T05</t>
        </is>
      </c>
      <c r="C1078" s="7" t="inlineStr">
        <is>
          <t>IGST:L2</t>
        </is>
      </c>
      <c r="D1078" s="7" t="inlineStr">
        <is>
          <t>IGST</t>
        </is>
      </c>
      <c r="E1078" s="7" t="inlineStr">
        <is>
          <t>physical</t>
        </is>
      </c>
      <c r="F1078" s="7" t="inlineStr">
        <is>
          <t>L2</t>
        </is>
      </c>
      <c r="H1078" s="7" t="inlineStr">
        <is>
          <t>tense</t>
        </is>
      </c>
      <c r="I1078" s="7" t="inlineStr">
        <is>
          <t>USEC_MUN</t>
        </is>
      </c>
      <c r="J1078" s="7" t="inlineStr">
        <is>
          <t>INR</t>
        </is>
      </c>
      <c r="K1078" s="7" t="inlineStr">
        <is>
          <t>fixed_unsettled</t>
        </is>
      </c>
      <c r="L1078" s="7" t="inlineStr">
        <is>
          <t>BS</t>
        </is>
      </c>
      <c r="M1078" s="11" t="n">
        <v>44785</v>
      </c>
      <c r="N1078" s="13" t="n">
        <v>0</v>
      </c>
      <c r="O1078" s="6" t="n">
        <v>0</v>
      </c>
      <c r="P1078" s="13" t="n">
        <v>0</v>
      </c>
      <c r="Q1078" s="22" t="n">
        <v>31</v>
      </c>
      <c r="R1078" s="6" t="n">
        <v>2</v>
      </c>
      <c r="U1078" s="9" t="n">
        <v>0</v>
      </c>
      <c r="V1078" s="9" t="n">
        <v>0</v>
      </c>
      <c r="X1078" s="9" t="n">
        <v>79.8449</v>
      </c>
      <c r="AK1078" s="7" t="inlineStr">
        <is>
          <t>PYTHON_MULTI_FLOW_LEG</t>
        </is>
      </c>
      <c r="AL1078" s="8">
        <f>IF($J1078="INR",1,IF($M1078&lt;$A1078,INDEX(Market_Daily!$F$6:$F$256,MATCH($M1078,Market_Daily!$A$6:$A$256,1)),IF($M1078=$A1078,INDEX(Market_Daily!$F$6:$F$256,MATCH($A1078,Market_Daily!$A$6:$A$256,0)),(INDEX(Market_Daily!$F$6:$F$256,MATCH($A1078,Market_Daily!$A$6:$A$256,0))*(1+INDEX(Market_Daily!$I$6:$I$256,MATCH($A1078,Market_Daily!$A$6:$A$256,0))*($M1078-$A1078)/day_count_inr)/(1+INDEX(Market_Daily!$J$6:$J$256,MATCH($A1078,Market_Daily!$A$6:$A$256,0))*($M1078-$A1078)/day_count_usd)))))</f>
        <v/>
      </c>
      <c r="AM1078" s="8">
        <f>IF(OR($J1078="INR",$R1078&gt;1),"",$AL1078-$X1078)</f>
        <v/>
      </c>
      <c r="AN1078" s="8">
        <f>$U1078</f>
        <v/>
      </c>
      <c r="AO1078" s="8">
        <f>$V1078</f>
        <v/>
      </c>
      <c r="AP1078" s="18">
        <f>$AO1078-$V1078</f>
        <v/>
      </c>
      <c r="AQ1078" s="8">
        <f>IF(ABS($AP1078)&lt;=tol_trade_inr,"PASS","FAIL")</f>
        <v/>
      </c>
    </row>
    <row r="1079">
      <c r="A1079" s="11" t="n">
        <v>44757</v>
      </c>
      <c r="B1079" s="7" t="inlineStr">
        <is>
          <t>T05</t>
        </is>
      </c>
      <c r="C1079" s="7" t="inlineStr">
        <is>
          <t>PURCHASE:L2</t>
        </is>
      </c>
      <c r="D1079" s="7" t="inlineStr">
        <is>
          <t>PURCHASE</t>
        </is>
      </c>
      <c r="E1079" s="7" t="inlineStr">
        <is>
          <t>physical</t>
        </is>
      </c>
      <c r="F1079" s="7" t="inlineStr">
        <is>
          <t>L2</t>
        </is>
      </c>
      <c r="G1079" s="7" t="inlineStr">
        <is>
          <t>SUP_USEC_01</t>
        </is>
      </c>
      <c r="H1079" s="7" t="inlineStr">
        <is>
          <t>tense</t>
        </is>
      </c>
      <c r="I1079" s="7" t="inlineStr">
        <is>
          <t>USEC_MUN</t>
        </is>
      </c>
      <c r="J1079" s="7" t="inlineStr">
        <is>
          <t>USD</t>
        </is>
      </c>
      <c r="K1079" s="7" t="inlineStr">
        <is>
          <t>fixed_unsettled</t>
        </is>
      </c>
      <c r="L1079" s="7" t="inlineStr">
        <is>
          <t>PNL</t>
        </is>
      </c>
      <c r="M1079" s="11" t="n">
        <v>44760</v>
      </c>
      <c r="N1079" s="13" t="n">
        <v>2100</v>
      </c>
      <c r="O1079" s="6" t="n">
        <v>0</v>
      </c>
      <c r="P1079" s="13" t="n">
        <v>0</v>
      </c>
      <c r="Q1079" s="22" t="n">
        <v>31</v>
      </c>
      <c r="R1079" s="6" t="n">
        <v>2</v>
      </c>
      <c r="U1079" s="9" t="n">
        <v>-1992197.02</v>
      </c>
      <c r="V1079" s="9" t="n">
        <v>-159105751.15</v>
      </c>
      <c r="X1079" s="9" t="n">
        <v>79.86450000000001</v>
      </c>
      <c r="AK1079" s="7" t="inlineStr">
        <is>
          <t>PYTHON_MULTI_FLOW_LEG</t>
        </is>
      </c>
      <c r="AL1079" s="8">
        <f>IF($J1079="INR",1,IF($M1079&lt;$A1079,INDEX(Market_Daily!$F$6:$F$256,MATCH($M1079,Market_Daily!$A$6:$A$256,1)),IF($M1079=$A1079,INDEX(Market_Daily!$F$6:$F$256,MATCH($A1079,Market_Daily!$A$6:$A$256,0)),(INDEX(Market_Daily!$F$6:$F$256,MATCH($A1079,Market_Daily!$A$6:$A$256,0))*(1+INDEX(Market_Daily!$I$6:$I$256,MATCH($A1079,Market_Daily!$A$6:$A$256,0))*($M1079-$A1079)/day_count_inr)/(1+INDEX(Market_Daily!$J$6:$J$256,MATCH($A1079,Market_Daily!$A$6:$A$256,0))*($M1079-$A1079)/day_count_usd)))))</f>
        <v/>
      </c>
      <c r="AM1079" s="8">
        <f>IF(OR($J1079="INR",$R1079&gt;1),"",$AL1079-$X1079)</f>
        <v/>
      </c>
      <c r="AN1079" s="8">
        <f>$U1079</f>
        <v/>
      </c>
      <c r="AO1079" s="8">
        <f>$V1079</f>
        <v/>
      </c>
      <c r="AP1079" s="18">
        <f>$AO1079-$V1079</f>
        <v/>
      </c>
      <c r="AQ1079" s="8">
        <f>IF(ABS($AP1079)&lt;=tol_trade_inr,"PASS","FAIL")</f>
        <v/>
      </c>
    </row>
    <row r="1080">
      <c r="A1080" s="11" t="n">
        <v>44757</v>
      </c>
      <c r="B1080" s="7" t="inlineStr">
        <is>
          <t>T05</t>
        </is>
      </c>
      <c r="C1080" s="7" t="inlineStr">
        <is>
          <t>SALE:S1</t>
        </is>
      </c>
      <c r="D1080" s="7" t="inlineStr">
        <is>
          <t>SALE</t>
        </is>
      </c>
      <c r="E1080" s="7" t="inlineStr">
        <is>
          <t>physical</t>
        </is>
      </c>
      <c r="G1080" s="7" t="inlineStr">
        <is>
          <t>BUY_MUN_01</t>
        </is>
      </c>
      <c r="H1080" s="7" t="inlineStr">
        <is>
          <t>tense</t>
        </is>
      </c>
      <c r="I1080" s="7" t="inlineStr">
        <is>
          <t>USEC_MUN</t>
        </is>
      </c>
      <c r="J1080" s="7" t="inlineStr">
        <is>
          <t>INR</t>
        </is>
      </c>
      <c r="K1080" s="7" t="inlineStr">
        <is>
          <t>fixed_unsettled</t>
        </is>
      </c>
      <c r="L1080" s="7" t="inlineStr">
        <is>
          <t>PNL</t>
        </is>
      </c>
      <c r="M1080" s="11" t="n">
        <v>44781</v>
      </c>
      <c r="N1080" s="13" t="n">
        <v>2100</v>
      </c>
      <c r="O1080" s="6" t="n">
        <v>0</v>
      </c>
      <c r="P1080" s="13" t="n">
        <v>0</v>
      </c>
      <c r="Q1080" s="22" t="n">
        <v>31</v>
      </c>
      <c r="R1080" s="6" t="n">
        <v>1</v>
      </c>
      <c r="U1080" s="9" t="n">
        <v>310123937.67</v>
      </c>
      <c r="V1080" s="9" t="n">
        <v>310123937.67</v>
      </c>
      <c r="W1080" s="9" t="n">
        <v>147678.0656</v>
      </c>
      <c r="X1080" s="9" t="n">
        <v>79.8449</v>
      </c>
      <c r="AK1080" s="7" t="inlineStr">
        <is>
          <t>PYTHON_LIFECYCLE</t>
        </is>
      </c>
      <c r="AL1080" s="8">
        <f>IF($J1080="INR",1,IF($M1080&lt;$A1080,INDEX(Market_Daily!$F$6:$F$256,MATCH($M1080,Market_Daily!$A$6:$A$256,1)),IF($M1080=$A1080,INDEX(Market_Daily!$F$6:$F$256,MATCH($A1080,Market_Daily!$A$6:$A$256,0)),(INDEX(Market_Daily!$F$6:$F$256,MATCH($A1080,Market_Daily!$A$6:$A$256,0))*(1+INDEX(Market_Daily!$I$6:$I$256,MATCH($A1080,Market_Daily!$A$6:$A$256,0))*($M1080-$A1080)/day_count_inr)/(1+INDEX(Market_Daily!$J$6:$J$256,MATCH($A1080,Market_Daily!$A$6:$A$256,0))*($M1080-$A1080)/day_count_usd)))))</f>
        <v/>
      </c>
      <c r="AM1080" s="8">
        <f>IF(OR($J1080="INR",$R1080&gt;1),"",$AL1080-$X1080)</f>
        <v/>
      </c>
      <c r="AN1080" s="8">
        <f>$U1080</f>
        <v/>
      </c>
      <c r="AO1080" s="8">
        <f>$AN1080*IF($J1080="INR",1,$AL1080)</f>
        <v/>
      </c>
      <c r="AP1080" s="18">
        <f>$AO1080-$V1080</f>
        <v/>
      </c>
      <c r="AQ1080" s="8">
        <f>IF(ABS($AP1080)&lt;=tol_trade_inr,"PASS","FAIL")</f>
        <v/>
      </c>
    </row>
    <row r="1081">
      <c r="A1081" s="11" t="n">
        <v>44757</v>
      </c>
      <c r="B1081" s="7" t="inlineStr">
        <is>
          <t>T05</t>
        </is>
      </c>
      <c r="C1081" s="7" t="inlineStr">
        <is>
          <t>USANCE_INTEREST:L2</t>
        </is>
      </c>
      <c r="D1081" s="7" t="inlineStr">
        <is>
          <t>USANCE_INTEREST</t>
        </is>
      </c>
      <c r="E1081" s="7" t="inlineStr">
        <is>
          <t>physical</t>
        </is>
      </c>
      <c r="F1081" s="7" t="inlineStr">
        <is>
          <t>L2</t>
        </is>
      </c>
      <c r="H1081" s="7" t="inlineStr">
        <is>
          <t>tense</t>
        </is>
      </c>
      <c r="I1081" s="7" t="inlineStr">
        <is>
          <t>USEC_MUN</t>
        </is>
      </c>
      <c r="J1081" s="7" t="inlineStr">
        <is>
          <t>USD</t>
        </is>
      </c>
      <c r="K1081" s="7" t="inlineStr">
        <is>
          <t>fixed_unsettled</t>
        </is>
      </c>
      <c r="L1081" s="7" t="inlineStr">
        <is>
          <t>PNL</t>
        </is>
      </c>
      <c r="M1081" s="11" t="n">
        <v>44760</v>
      </c>
      <c r="N1081" s="13" t="n">
        <v>0</v>
      </c>
      <c r="O1081" s="6" t="n">
        <v>0</v>
      </c>
      <c r="P1081" s="13" t="n">
        <v>0</v>
      </c>
      <c r="Q1081" s="22" t="n">
        <v>31</v>
      </c>
      <c r="R1081" s="6" t="n">
        <v>1</v>
      </c>
      <c r="U1081" s="9" t="n">
        <v>-8484.440000000001</v>
      </c>
      <c r="V1081" s="9" t="n">
        <v>-677604.88</v>
      </c>
      <c r="X1081" s="9" t="n">
        <v>79.86450000000001</v>
      </c>
      <c r="AK1081" s="7" t="inlineStr">
        <is>
          <t>PYTHON_LIFECYCLE</t>
        </is>
      </c>
      <c r="AL1081" s="8">
        <f>IF($J1081="INR",1,IF($M1081&lt;$A1081,INDEX(Market_Daily!$F$6:$F$256,MATCH($M1081,Market_Daily!$A$6:$A$256,1)),IF($M1081=$A1081,INDEX(Market_Daily!$F$6:$F$256,MATCH($A1081,Market_Daily!$A$6:$A$256,0)),(INDEX(Market_Daily!$F$6:$F$256,MATCH($A1081,Market_Daily!$A$6:$A$256,0))*(1+INDEX(Market_Daily!$I$6:$I$256,MATCH($A1081,Market_Daily!$A$6:$A$256,0))*($M1081-$A1081)/day_count_inr)/(1+INDEX(Market_Daily!$J$6:$J$256,MATCH($A1081,Market_Daily!$A$6:$A$256,0))*($M1081-$A1081)/day_count_usd)))))</f>
        <v/>
      </c>
      <c r="AM1081" s="8">
        <f>IF(OR($J1081="INR",$R1081&gt;1),"",$AL1081-$X1081)</f>
        <v/>
      </c>
      <c r="AN1081" s="8">
        <f>$U1081</f>
        <v/>
      </c>
      <c r="AO1081" s="8">
        <f>$AN1081*IF($J1081="INR",1,$AL1081)</f>
        <v/>
      </c>
      <c r="AP1081" s="18">
        <f>$AO1081-$V1081</f>
        <v/>
      </c>
      <c r="AQ1081" s="8">
        <f>IF(ABS($AP1081)&lt;=tol_trade_inr,"PASS","FAIL")</f>
        <v/>
      </c>
    </row>
    <row r="1082">
      <c r="A1082" s="11" t="n">
        <v>44757</v>
      </c>
      <c r="B1082" s="7" t="inlineStr">
        <is>
          <t>T06</t>
        </is>
      </c>
      <c r="C1082" s="7" t="inlineStr">
        <is>
          <t>IGST:L2</t>
        </is>
      </c>
      <c r="D1082" s="7" t="inlineStr">
        <is>
          <t>IGST</t>
        </is>
      </c>
      <c r="E1082" s="7" t="inlineStr">
        <is>
          <t>physical</t>
        </is>
      </c>
      <c r="F1082" s="7" t="inlineStr">
        <is>
          <t>L2</t>
        </is>
      </c>
      <c r="H1082" s="7" t="inlineStr">
        <is>
          <t>zorba</t>
        </is>
      </c>
      <c r="I1082" s="7" t="inlineStr">
        <is>
          <t>JEA_NSA</t>
        </is>
      </c>
      <c r="J1082" s="7" t="inlineStr">
        <is>
          <t>INR</t>
        </is>
      </c>
      <c r="K1082" s="7" t="inlineStr">
        <is>
          <t>fixed_unsettled</t>
        </is>
      </c>
      <c r="L1082" s="7" t="inlineStr">
        <is>
          <t>BS</t>
        </is>
      </c>
      <c r="M1082" s="11" t="n">
        <v>44770</v>
      </c>
      <c r="N1082" s="13" t="n">
        <v>0</v>
      </c>
      <c r="O1082" s="6" t="n">
        <v>0</v>
      </c>
      <c r="P1082" s="13" t="n">
        <v>0</v>
      </c>
      <c r="Q1082" s="22" t="n">
        <v>31</v>
      </c>
      <c r="R1082" s="6" t="n">
        <v>2</v>
      </c>
      <c r="U1082" s="9" t="n">
        <v>0</v>
      </c>
      <c r="V1082" s="9" t="n">
        <v>0</v>
      </c>
      <c r="X1082" s="9" t="n">
        <v>79.8449</v>
      </c>
      <c r="AK1082" s="7" t="inlineStr">
        <is>
          <t>PYTHON_MULTI_FLOW_LEG</t>
        </is>
      </c>
      <c r="AL1082" s="8">
        <f>IF($J1082="INR",1,IF($M1082&lt;$A1082,INDEX(Market_Daily!$F$6:$F$256,MATCH($M1082,Market_Daily!$A$6:$A$256,1)),IF($M1082=$A1082,INDEX(Market_Daily!$F$6:$F$256,MATCH($A1082,Market_Daily!$A$6:$A$256,0)),(INDEX(Market_Daily!$F$6:$F$256,MATCH($A1082,Market_Daily!$A$6:$A$256,0))*(1+INDEX(Market_Daily!$I$6:$I$256,MATCH($A1082,Market_Daily!$A$6:$A$256,0))*($M1082-$A1082)/day_count_inr)/(1+INDEX(Market_Daily!$J$6:$J$256,MATCH($A1082,Market_Daily!$A$6:$A$256,0))*($M1082-$A1082)/day_count_usd)))))</f>
        <v/>
      </c>
      <c r="AM1082" s="8">
        <f>IF(OR($J1082="INR",$R1082&gt;1),"",$AL1082-$X1082)</f>
        <v/>
      </c>
      <c r="AN1082" s="8">
        <f>$U1082</f>
        <v/>
      </c>
      <c r="AO1082" s="8">
        <f>$V1082</f>
        <v/>
      </c>
      <c r="AP1082" s="18">
        <f>$AO1082-$V1082</f>
        <v/>
      </c>
      <c r="AQ1082" s="8">
        <f>IF(ABS($AP1082)&lt;=tol_trade_inr,"PASS","FAIL")</f>
        <v/>
      </c>
    </row>
    <row r="1083">
      <c r="A1083" s="11" t="n">
        <v>44757</v>
      </c>
      <c r="B1083" s="7" t="inlineStr">
        <is>
          <t>T06</t>
        </is>
      </c>
      <c r="C1083" s="7" t="inlineStr">
        <is>
          <t>SALE:S1</t>
        </is>
      </c>
      <c r="D1083" s="7" t="inlineStr">
        <is>
          <t>SALE</t>
        </is>
      </c>
      <c r="E1083" s="7" t="inlineStr">
        <is>
          <t>physical</t>
        </is>
      </c>
      <c r="G1083" s="7" t="inlineStr">
        <is>
          <t>BUY_JNPT_01</t>
        </is>
      </c>
      <c r="H1083" s="7" t="inlineStr">
        <is>
          <t>zorba</t>
        </is>
      </c>
      <c r="I1083" s="7" t="inlineStr">
        <is>
          <t>JEA_NSA</t>
        </is>
      </c>
      <c r="J1083" s="7" t="inlineStr">
        <is>
          <t>INR</t>
        </is>
      </c>
      <c r="K1083" s="7" t="inlineStr">
        <is>
          <t>fixed_unsettled</t>
        </is>
      </c>
      <c r="L1083" s="7" t="inlineStr">
        <is>
          <t>PNL</t>
        </is>
      </c>
      <c r="M1083" s="11" t="n">
        <v>44781</v>
      </c>
      <c r="N1083" s="13" t="n">
        <v>1300</v>
      </c>
      <c r="O1083" s="6" t="n">
        <v>0</v>
      </c>
      <c r="P1083" s="13" t="n">
        <v>0</v>
      </c>
      <c r="Q1083" s="22" t="n">
        <v>31</v>
      </c>
      <c r="R1083" s="6" t="n">
        <v>1</v>
      </c>
      <c r="U1083" s="9" t="n">
        <v>240825000</v>
      </c>
      <c r="V1083" s="9" t="n">
        <v>240825000</v>
      </c>
      <c r="W1083" s="9" t="n">
        <v>185250</v>
      </c>
      <c r="X1083" s="9" t="n">
        <v>79.8449</v>
      </c>
      <c r="AK1083" s="7" t="inlineStr">
        <is>
          <t>PYTHON_LIFECYCLE</t>
        </is>
      </c>
      <c r="AL1083" s="8">
        <f>IF($J1083="INR",1,IF($M1083&lt;$A1083,INDEX(Market_Daily!$F$6:$F$256,MATCH($M1083,Market_Daily!$A$6:$A$256,1)),IF($M1083=$A1083,INDEX(Market_Daily!$F$6:$F$256,MATCH($A1083,Market_Daily!$A$6:$A$256,0)),(INDEX(Market_Daily!$F$6:$F$256,MATCH($A1083,Market_Daily!$A$6:$A$256,0))*(1+INDEX(Market_Daily!$I$6:$I$256,MATCH($A1083,Market_Daily!$A$6:$A$256,0))*($M1083-$A1083)/day_count_inr)/(1+INDEX(Market_Daily!$J$6:$J$256,MATCH($A1083,Market_Daily!$A$6:$A$256,0))*($M1083-$A1083)/day_count_usd)))))</f>
        <v/>
      </c>
      <c r="AM1083" s="8">
        <f>IF(OR($J1083="INR",$R1083&gt;1),"",$AL1083-$X1083)</f>
        <v/>
      </c>
      <c r="AN1083" s="8">
        <f>$U1083</f>
        <v/>
      </c>
      <c r="AO1083" s="8">
        <f>$AN1083*IF($J1083="INR",1,$AL1083)</f>
        <v/>
      </c>
      <c r="AP1083" s="18">
        <f>$AO1083-$V1083</f>
        <v/>
      </c>
      <c r="AQ1083" s="8">
        <f>IF(ABS($AP1083)&lt;=tol_trade_inr,"PASS","FAIL")</f>
        <v/>
      </c>
    </row>
    <row r="1084">
      <c r="A1084" s="11" t="n">
        <v>44757</v>
      </c>
      <c r="B1084" s="7" t="inlineStr">
        <is>
          <t>T07</t>
        </is>
      </c>
      <c r="C1084" s="7" t="inlineStr">
        <is>
          <t>DUTY:L1</t>
        </is>
      </c>
      <c r="D1084" s="7" t="inlineStr">
        <is>
          <t>DUTY</t>
        </is>
      </c>
      <c r="E1084" s="7" t="inlineStr">
        <is>
          <t>physical</t>
        </is>
      </c>
      <c r="F1084" s="7" t="inlineStr">
        <is>
          <t>L1</t>
        </is>
      </c>
      <c r="H1084" s="7" t="inlineStr">
        <is>
          <t>tense</t>
        </is>
      </c>
      <c r="I1084" s="7" t="inlineStr">
        <is>
          <t>USEC_MUN</t>
        </is>
      </c>
      <c r="J1084" s="7" t="inlineStr">
        <is>
          <t>INR</t>
        </is>
      </c>
      <c r="K1084" s="7" t="inlineStr">
        <is>
          <t>floating</t>
        </is>
      </c>
      <c r="L1084" s="7" t="inlineStr">
        <is>
          <t>PNL</t>
        </is>
      </c>
      <c r="M1084" s="11" t="n">
        <v>44761</v>
      </c>
      <c r="N1084" s="13" t="n">
        <v>945</v>
      </c>
      <c r="O1084" s="6" t="n">
        <v>0</v>
      </c>
      <c r="P1084" s="13" t="n">
        <v>0</v>
      </c>
      <c r="Q1084" s="22" t="n">
        <v>31</v>
      </c>
      <c r="R1084" s="6" t="n">
        <v>1</v>
      </c>
      <c r="U1084" s="9" t="n">
        <v>-4524209.04</v>
      </c>
      <c r="V1084" s="9" t="n">
        <v>-4524209.04</v>
      </c>
      <c r="X1084" s="9" t="n">
        <v>79.8449</v>
      </c>
      <c r="AK1084" s="7" t="inlineStr">
        <is>
          <t>PYTHON_LIFECYCLE</t>
        </is>
      </c>
      <c r="AL1084" s="8">
        <f>IF($J1084="INR",1,IF($M1084&lt;$A1084,INDEX(Market_Daily!$F$6:$F$256,MATCH($M1084,Market_Daily!$A$6:$A$256,1)),IF($M1084=$A1084,INDEX(Market_Daily!$F$6:$F$256,MATCH($A1084,Market_Daily!$A$6:$A$256,0)),(INDEX(Market_Daily!$F$6:$F$256,MATCH($A1084,Market_Daily!$A$6:$A$256,0))*(1+INDEX(Market_Daily!$I$6:$I$256,MATCH($A1084,Market_Daily!$A$6:$A$256,0))*($M1084-$A1084)/day_count_inr)/(1+INDEX(Market_Daily!$J$6:$J$256,MATCH($A1084,Market_Daily!$A$6:$A$256,0))*($M1084-$A1084)/day_count_usd)))))</f>
        <v/>
      </c>
      <c r="AM1084" s="8">
        <f>IF(OR($J1084="INR",$R1084&gt;1),"",$AL1084-$X1084)</f>
        <v/>
      </c>
      <c r="AN1084" s="8">
        <f>$U1084</f>
        <v/>
      </c>
      <c r="AO1084" s="8">
        <f>$AN1084*IF($J1084="INR",1,$AL1084)</f>
        <v/>
      </c>
      <c r="AP1084" s="18">
        <f>$AO1084-$V1084</f>
        <v/>
      </c>
      <c r="AQ1084" s="8">
        <f>IF(ABS($AP1084)&lt;=tol_trade_inr,"PASS","FAIL")</f>
        <v/>
      </c>
    </row>
    <row r="1085">
      <c r="A1085" s="11" t="n">
        <v>44757</v>
      </c>
      <c r="B1085" s="7" t="inlineStr">
        <is>
          <t>T07</t>
        </is>
      </c>
      <c r="C1085" s="7" t="inlineStr">
        <is>
          <t>DUTY:L2</t>
        </is>
      </c>
      <c r="D1085" s="7" t="inlineStr">
        <is>
          <t>DUTY</t>
        </is>
      </c>
      <c r="E1085" s="7" t="inlineStr">
        <is>
          <t>physical</t>
        </is>
      </c>
      <c r="F1085" s="7" t="inlineStr">
        <is>
          <t>L2</t>
        </is>
      </c>
      <c r="H1085" s="7" t="inlineStr">
        <is>
          <t>tense</t>
        </is>
      </c>
      <c r="I1085" s="7" t="inlineStr">
        <is>
          <t>USEC_MUN</t>
        </is>
      </c>
      <c r="J1085" s="7" t="inlineStr">
        <is>
          <t>INR</t>
        </is>
      </c>
      <c r="K1085" s="7" t="inlineStr">
        <is>
          <t>floating</t>
        </is>
      </c>
      <c r="L1085" s="7" t="inlineStr">
        <is>
          <t>PNL</t>
        </is>
      </c>
      <c r="M1085" s="11" t="n">
        <v>44768</v>
      </c>
      <c r="N1085" s="13" t="n">
        <v>945</v>
      </c>
      <c r="O1085" s="6" t="n">
        <v>0</v>
      </c>
      <c r="P1085" s="13" t="n">
        <v>0</v>
      </c>
      <c r="Q1085" s="22" t="n">
        <v>31</v>
      </c>
      <c r="R1085" s="6" t="n">
        <v>1</v>
      </c>
      <c r="U1085" s="9" t="n">
        <v>-4524209.04</v>
      </c>
      <c r="V1085" s="9" t="n">
        <v>-4524209.04</v>
      </c>
      <c r="X1085" s="9" t="n">
        <v>79.8449</v>
      </c>
      <c r="AK1085" s="7" t="inlineStr">
        <is>
          <t>PYTHON_LIFECYCLE</t>
        </is>
      </c>
      <c r="AL1085" s="8">
        <f>IF($J1085="INR",1,IF($M1085&lt;$A1085,INDEX(Market_Daily!$F$6:$F$256,MATCH($M1085,Market_Daily!$A$6:$A$256,1)),IF($M1085=$A1085,INDEX(Market_Daily!$F$6:$F$256,MATCH($A1085,Market_Daily!$A$6:$A$256,0)),(INDEX(Market_Daily!$F$6:$F$256,MATCH($A1085,Market_Daily!$A$6:$A$256,0))*(1+INDEX(Market_Daily!$I$6:$I$256,MATCH($A1085,Market_Daily!$A$6:$A$256,0))*($M1085-$A1085)/day_count_inr)/(1+INDEX(Market_Daily!$J$6:$J$256,MATCH($A1085,Market_Daily!$A$6:$A$256,0))*($M1085-$A1085)/day_count_usd)))))</f>
        <v/>
      </c>
      <c r="AM1085" s="8">
        <f>IF(OR($J1085="INR",$R1085&gt;1),"",$AL1085-$X1085)</f>
        <v/>
      </c>
      <c r="AN1085" s="8">
        <f>$U1085</f>
        <v/>
      </c>
      <c r="AO1085" s="8">
        <f>$AN1085*IF($J1085="INR",1,$AL1085)</f>
        <v/>
      </c>
      <c r="AP1085" s="18">
        <f>$AO1085-$V1085</f>
        <v/>
      </c>
      <c r="AQ1085" s="8">
        <f>IF(ABS($AP1085)&lt;=tol_trade_inr,"PASS","FAIL")</f>
        <v/>
      </c>
    </row>
    <row r="1086">
      <c r="A1086" s="11" t="n">
        <v>44757</v>
      </c>
      <c r="B1086" s="7" t="inlineStr">
        <is>
          <t>T07</t>
        </is>
      </c>
      <c r="C1086" s="7" t="inlineStr">
        <is>
          <t>IGST:L1</t>
        </is>
      </c>
      <c r="D1086" s="7" t="inlineStr">
        <is>
          <t>IGST</t>
        </is>
      </c>
      <c r="E1086" s="7" t="inlineStr">
        <is>
          <t>physical</t>
        </is>
      </c>
      <c r="F1086" s="7" t="inlineStr">
        <is>
          <t>L1</t>
        </is>
      </c>
      <c r="H1086" s="7" t="inlineStr">
        <is>
          <t>tense</t>
        </is>
      </c>
      <c r="I1086" s="7" t="inlineStr">
        <is>
          <t>USEC_MUN</t>
        </is>
      </c>
      <c r="J1086" s="7" t="inlineStr">
        <is>
          <t>INR</t>
        </is>
      </c>
      <c r="K1086" s="7" t="inlineStr">
        <is>
          <t>floating</t>
        </is>
      </c>
      <c r="L1086" s="7" t="inlineStr">
        <is>
          <t>BS</t>
        </is>
      </c>
      <c r="M1086" s="11" t="n">
        <v>44806</v>
      </c>
      <c r="N1086" s="13" t="n">
        <v>0</v>
      </c>
      <c r="O1086" s="6" t="n">
        <v>0</v>
      </c>
      <c r="P1086" s="13" t="n">
        <v>0</v>
      </c>
      <c r="Q1086" s="22" t="n">
        <v>31</v>
      </c>
      <c r="R1086" s="6" t="n">
        <v>2</v>
      </c>
      <c r="U1086" s="9" t="n">
        <v>0</v>
      </c>
      <c r="V1086" s="9" t="n">
        <v>0</v>
      </c>
      <c r="X1086" s="9" t="n">
        <v>79.8449</v>
      </c>
      <c r="AK1086" s="7" t="inlineStr">
        <is>
          <t>PYTHON_MULTI_FLOW_LEG</t>
        </is>
      </c>
      <c r="AL1086" s="8">
        <f>IF($J1086="INR",1,IF($M1086&lt;$A1086,INDEX(Market_Daily!$F$6:$F$256,MATCH($M1086,Market_Daily!$A$6:$A$256,1)),IF($M1086=$A1086,INDEX(Market_Daily!$F$6:$F$256,MATCH($A1086,Market_Daily!$A$6:$A$256,0)),(INDEX(Market_Daily!$F$6:$F$256,MATCH($A1086,Market_Daily!$A$6:$A$256,0))*(1+INDEX(Market_Daily!$I$6:$I$256,MATCH($A1086,Market_Daily!$A$6:$A$256,0))*($M1086-$A1086)/day_count_inr)/(1+INDEX(Market_Daily!$J$6:$J$256,MATCH($A1086,Market_Daily!$A$6:$A$256,0))*($M1086-$A1086)/day_count_usd)))))</f>
        <v/>
      </c>
      <c r="AM1086" s="8">
        <f>IF(OR($J1086="INR",$R1086&gt;1),"",$AL1086-$X1086)</f>
        <v/>
      </c>
      <c r="AN1086" s="8">
        <f>$U1086</f>
        <v/>
      </c>
      <c r="AO1086" s="8">
        <f>$V1086</f>
        <v/>
      </c>
      <c r="AP1086" s="18">
        <f>$AO1086-$V1086</f>
        <v/>
      </c>
      <c r="AQ1086" s="8">
        <f>IF(ABS($AP1086)&lt;=tol_trade_inr,"PASS","FAIL")</f>
        <v/>
      </c>
    </row>
    <row r="1087">
      <c r="A1087" s="11" t="n">
        <v>44757</v>
      </c>
      <c r="B1087" s="7" t="inlineStr">
        <is>
          <t>T07</t>
        </is>
      </c>
      <c r="C1087" s="7" t="inlineStr">
        <is>
          <t>IGST:L2</t>
        </is>
      </c>
      <c r="D1087" s="7" t="inlineStr">
        <is>
          <t>IGST</t>
        </is>
      </c>
      <c r="E1087" s="7" t="inlineStr">
        <is>
          <t>physical</t>
        </is>
      </c>
      <c r="F1087" s="7" t="inlineStr">
        <is>
          <t>L2</t>
        </is>
      </c>
      <c r="H1087" s="7" t="inlineStr">
        <is>
          <t>tense</t>
        </is>
      </c>
      <c r="I1087" s="7" t="inlineStr">
        <is>
          <t>USEC_MUN</t>
        </is>
      </c>
      <c r="J1087" s="7" t="inlineStr">
        <is>
          <t>INR</t>
        </is>
      </c>
      <c r="K1087" s="7" t="inlineStr">
        <is>
          <t>floating</t>
        </is>
      </c>
      <c r="L1087" s="7" t="inlineStr">
        <is>
          <t>BS</t>
        </is>
      </c>
      <c r="M1087" s="11" t="n">
        <v>44813</v>
      </c>
      <c r="N1087" s="13" t="n">
        <v>0</v>
      </c>
      <c r="O1087" s="6" t="n">
        <v>0</v>
      </c>
      <c r="P1087" s="13" t="n">
        <v>0</v>
      </c>
      <c r="Q1087" s="22" t="n">
        <v>31</v>
      </c>
      <c r="R1087" s="6" t="n">
        <v>2</v>
      </c>
      <c r="U1087" s="9" t="n">
        <v>0</v>
      </c>
      <c r="V1087" s="9" t="n">
        <v>0</v>
      </c>
      <c r="X1087" s="9" t="n">
        <v>79.8449</v>
      </c>
      <c r="AK1087" s="7" t="inlineStr">
        <is>
          <t>PYTHON_MULTI_FLOW_LEG</t>
        </is>
      </c>
      <c r="AL1087" s="8">
        <f>IF($J1087="INR",1,IF($M1087&lt;$A1087,INDEX(Market_Daily!$F$6:$F$256,MATCH($M1087,Market_Daily!$A$6:$A$256,1)),IF($M1087=$A1087,INDEX(Market_Daily!$F$6:$F$256,MATCH($A1087,Market_Daily!$A$6:$A$256,0)),(INDEX(Market_Daily!$F$6:$F$256,MATCH($A1087,Market_Daily!$A$6:$A$256,0))*(1+INDEX(Market_Daily!$I$6:$I$256,MATCH($A1087,Market_Daily!$A$6:$A$256,0))*($M1087-$A1087)/day_count_inr)/(1+INDEX(Market_Daily!$J$6:$J$256,MATCH($A1087,Market_Daily!$A$6:$A$256,0))*($M1087-$A1087)/day_count_usd)))))</f>
        <v/>
      </c>
      <c r="AM1087" s="8">
        <f>IF(OR($J1087="INR",$R1087&gt;1),"",$AL1087-$X1087)</f>
        <v/>
      </c>
      <c r="AN1087" s="8">
        <f>$U1087</f>
        <v/>
      </c>
      <c r="AO1087" s="8">
        <f>$V1087</f>
        <v/>
      </c>
      <c r="AP1087" s="18">
        <f>$AO1087-$V1087</f>
        <v/>
      </c>
      <c r="AQ1087" s="8">
        <f>IF(ABS($AP1087)&lt;=tol_trade_inr,"PASS","FAIL")</f>
        <v/>
      </c>
    </row>
    <row r="1088">
      <c r="A1088" s="11" t="n">
        <v>44757</v>
      </c>
      <c r="B1088" s="7" t="inlineStr">
        <is>
          <t>T07</t>
        </is>
      </c>
      <c r="C1088" s="7" t="inlineStr">
        <is>
          <t>INVENTORY:L1</t>
        </is>
      </c>
      <c r="D1088" s="7" t="inlineStr">
        <is>
          <t>INVENTORY</t>
        </is>
      </c>
      <c r="E1088" s="7" t="inlineStr">
        <is>
          <t>physical</t>
        </is>
      </c>
      <c r="F1088" s="7" t="inlineStr">
        <is>
          <t>L1</t>
        </is>
      </c>
      <c r="H1088" s="7" t="inlineStr">
        <is>
          <t>tense</t>
        </is>
      </c>
      <c r="I1088" s="7" t="inlineStr">
        <is>
          <t>USEC_MUN</t>
        </is>
      </c>
      <c r="J1088" s="7" t="inlineStr">
        <is>
          <t>INR</t>
        </is>
      </c>
      <c r="K1088" s="7" t="inlineStr">
        <is>
          <t>fixed_unsettled</t>
        </is>
      </c>
      <c r="L1088" s="7" t="inlineStr">
        <is>
          <t>PNL</t>
        </is>
      </c>
      <c r="N1088" s="13" t="n">
        <v>945</v>
      </c>
      <c r="O1088" s="6" t="n">
        <v>0</v>
      </c>
      <c r="P1088" s="13" t="n">
        <v>0</v>
      </c>
      <c r="Q1088" s="22" t="n">
        <v>31</v>
      </c>
      <c r="R1088" s="6" t="n">
        <v>0</v>
      </c>
      <c r="U1088" s="9" t="n">
        <v>148816958.64</v>
      </c>
      <c r="V1088" s="9" t="n">
        <v>148816958.64</v>
      </c>
      <c r="W1088" s="9" t="n">
        <v>157478.2631</v>
      </c>
      <c r="X1088" s="9" t="n">
        <v>79.8449</v>
      </c>
      <c r="Y1088" s="8">
        <f>IF($I1088="JEA_NSA","20ft","40ft")</f>
        <v/>
      </c>
      <c r="Z1088" s="8">
        <f>IF($I1088="JEA_NSA","nsa","mun")</f>
        <v/>
      </c>
      <c r="AA1088" s="8">
        <f>INDEX(param_values,MATCH("container_payload_mt_"&amp;$Y1088,param_keys,0))/INDEX(param_values,MATCH("container_payload_mt_"&amp;$Y1088&amp;"_"&amp;$H1088,param_keys,0))</f>
        <v/>
      </c>
      <c r="AB1088" s="16">
        <f>INDEX(Market_Daily!$C$6:$C$256,MATCH($A1088,Market_Daily!$A$6:$A$256,0))*INDEX(Market_Daily!$X$6:$Z$256,MATCH($A1088,Market_Daily!$A$6:$A$256,0),MATCH("grade_factor_"&amp;$H1088,Market_Daily!$X$5:$Z$5,0))</f>
        <v/>
      </c>
      <c r="AC1088" s="16">
        <f>$AB1088*(1+insurance_rate*insured_value_uplift)</f>
        <v/>
      </c>
      <c r="AD1088" s="8">
        <f>(INDEX(Market_Daily!$F$6:$F$256,MATCH($A1088,Market_Daily!$A$6:$A$256,0))*(1+INDEX(Market_Daily!$I$6:$I$256,MATCH($A1088,Market_Daily!$A$6:$A$256,0))*$Q1088/day_count_inr)/(1+INDEX(Market_Daily!$J$6:$J$256,MATCH($A1088,Market_Daily!$A$6:$A$256,0))*$Q1088/day_count_usd))</f>
        <v/>
      </c>
      <c r="AE1088" s="18">
        <f>$AC1088*$AD1088</f>
        <v/>
      </c>
      <c r="AF1088" s="18">
        <f>$AC1088*INDEX(Market_Daily!$V$6:$V$256,MATCH($A1088,Market_Daily!$A$6:$A$256,0))</f>
        <v/>
      </c>
      <c r="AG1088" s="18">
        <f>$AF1088*bcd_scrap_hs7602*(1+sws_rate_on_bcd)</f>
        <v/>
      </c>
      <c r="AH1088" s="18">
        <f>INDEX(param_values,MATCH("port_cf_charges_inr_t_"&amp;$Z1088,param_keys,0))*$AA1088+IF(INDEX(param_values,MATCH(IF($I1088="JEA_NSA","psic_required_uae_origin","psic_required_safe_origin_designated_port"),param_keys,0)),psic_cost_usd_per_box*INDEX(Market_Daily!$F$6:$F$256,MATCH($A1088,Market_Daily!$A$6:$A$256,0))/INDEX(param_values,MATCH("container_payload_mt_20ft_"&amp;$H1088,param_keys,0)),0)</f>
        <v/>
      </c>
      <c r="AI1088" s="18">
        <f>IF(igst_itc_available,0,($AF1088+$AG1088)*igst_rate_hs7602)</f>
        <v/>
      </c>
      <c r="AJ1088" s="18">
        <f>$AE1088+$AG1088+$AH1088+$AI1088</f>
        <v/>
      </c>
      <c r="AK1088" s="7" t="inlineStr">
        <is>
          <t>DERIVED_IN_WORKBOOK</t>
        </is>
      </c>
      <c r="AL1088" s="8">
        <f>IF($J1088="INR",1,IF($M1088&lt;$A1088,INDEX(Market_Daily!$F$6:$F$256,MATCH($M1088,Market_Daily!$A$6:$A$256,1)),IF($M1088=$A1088,INDEX(Market_Daily!$F$6:$F$256,MATCH($A1088,Market_Daily!$A$6:$A$256,0)),(INDEX(Market_Daily!$F$6:$F$256,MATCH($A1088,Market_Daily!$A$6:$A$256,0))*(1+INDEX(Market_Daily!$I$6:$I$256,MATCH($A1088,Market_Daily!$A$6:$A$256,0))*($M1088-$A1088)/day_count_inr)/(1+INDEX(Market_Daily!$J$6:$J$256,MATCH($A1088,Market_Daily!$A$6:$A$256,0))*($M1088-$A1088)/day_count_usd)))))</f>
        <v/>
      </c>
      <c r="AM1088" s="8">
        <f>IF(OR($J1088="INR",$R1088&gt;1),"",$AL1088-$X1088)</f>
        <v/>
      </c>
      <c r="AN1088" s="8">
        <f>$N1088*$AJ1088</f>
        <v/>
      </c>
      <c r="AO1088" s="8">
        <f>$AN1088</f>
        <v/>
      </c>
      <c r="AP1088" s="18">
        <f>$AO1088-$V1088</f>
        <v/>
      </c>
      <c r="AQ1088" s="8">
        <f>IF(ABS($AP1088)&lt;=tol_trade_inr,"PASS","FAIL")</f>
        <v/>
      </c>
    </row>
    <row r="1089">
      <c r="A1089" s="11" t="n">
        <v>44757</v>
      </c>
      <c r="B1089" s="7" t="inlineStr">
        <is>
          <t>T07</t>
        </is>
      </c>
      <c r="C1089" s="7" t="inlineStr">
        <is>
          <t>INVENTORY:L2</t>
        </is>
      </c>
      <c r="D1089" s="7" t="inlineStr">
        <is>
          <t>INVENTORY</t>
        </is>
      </c>
      <c r="E1089" s="7" t="inlineStr">
        <is>
          <t>physical</t>
        </is>
      </c>
      <c r="F1089" s="7" t="inlineStr">
        <is>
          <t>L2</t>
        </is>
      </c>
      <c r="H1089" s="7" t="inlineStr">
        <is>
          <t>tense</t>
        </is>
      </c>
      <c r="I1089" s="7" t="inlineStr">
        <is>
          <t>USEC_MUN</t>
        </is>
      </c>
      <c r="J1089" s="7" t="inlineStr">
        <is>
          <t>INR</t>
        </is>
      </c>
      <c r="K1089" s="7" t="inlineStr">
        <is>
          <t>fixed_unsettled</t>
        </is>
      </c>
      <c r="L1089" s="7" t="inlineStr">
        <is>
          <t>PNL</t>
        </is>
      </c>
      <c r="N1089" s="13" t="n">
        <v>945</v>
      </c>
      <c r="O1089" s="6" t="n">
        <v>0</v>
      </c>
      <c r="P1089" s="13" t="n">
        <v>0</v>
      </c>
      <c r="Q1089" s="22" t="n">
        <v>31</v>
      </c>
      <c r="R1089" s="6" t="n">
        <v>0</v>
      </c>
      <c r="U1089" s="9" t="n">
        <v>148816958.64</v>
      </c>
      <c r="V1089" s="9" t="n">
        <v>148816958.64</v>
      </c>
      <c r="W1089" s="9" t="n">
        <v>157478.2631</v>
      </c>
      <c r="X1089" s="9" t="n">
        <v>79.8449</v>
      </c>
      <c r="Y1089" s="8">
        <f>IF($I1089="JEA_NSA","20ft","40ft")</f>
        <v/>
      </c>
      <c r="Z1089" s="8">
        <f>IF($I1089="JEA_NSA","nsa","mun")</f>
        <v/>
      </c>
      <c r="AA1089" s="8">
        <f>INDEX(param_values,MATCH("container_payload_mt_"&amp;$Y1089,param_keys,0))/INDEX(param_values,MATCH("container_payload_mt_"&amp;$Y1089&amp;"_"&amp;$H1089,param_keys,0))</f>
        <v/>
      </c>
      <c r="AB1089" s="16">
        <f>INDEX(Market_Daily!$C$6:$C$256,MATCH($A1089,Market_Daily!$A$6:$A$256,0))*INDEX(Market_Daily!$X$6:$Z$256,MATCH($A1089,Market_Daily!$A$6:$A$256,0),MATCH("grade_factor_"&amp;$H1089,Market_Daily!$X$5:$Z$5,0))</f>
        <v/>
      </c>
      <c r="AC1089" s="16">
        <f>$AB1089*(1+insurance_rate*insured_value_uplift)</f>
        <v/>
      </c>
      <c r="AD1089" s="8">
        <f>(INDEX(Market_Daily!$F$6:$F$256,MATCH($A1089,Market_Daily!$A$6:$A$256,0))*(1+INDEX(Market_Daily!$I$6:$I$256,MATCH($A1089,Market_Daily!$A$6:$A$256,0))*$Q1089/day_count_inr)/(1+INDEX(Market_Daily!$J$6:$J$256,MATCH($A1089,Market_Daily!$A$6:$A$256,0))*$Q1089/day_count_usd))</f>
        <v/>
      </c>
      <c r="AE1089" s="18">
        <f>$AC1089*$AD1089</f>
        <v/>
      </c>
      <c r="AF1089" s="18">
        <f>$AC1089*INDEX(Market_Daily!$V$6:$V$256,MATCH($A1089,Market_Daily!$A$6:$A$256,0))</f>
        <v/>
      </c>
      <c r="AG1089" s="18">
        <f>$AF1089*bcd_scrap_hs7602*(1+sws_rate_on_bcd)</f>
        <v/>
      </c>
      <c r="AH1089" s="18">
        <f>INDEX(param_values,MATCH("port_cf_charges_inr_t_"&amp;$Z1089,param_keys,0))*$AA1089+IF(INDEX(param_values,MATCH(IF($I1089="JEA_NSA","psic_required_uae_origin","psic_required_safe_origin_designated_port"),param_keys,0)),psic_cost_usd_per_box*INDEX(Market_Daily!$F$6:$F$256,MATCH($A1089,Market_Daily!$A$6:$A$256,0))/INDEX(param_values,MATCH("container_payload_mt_20ft_"&amp;$H1089,param_keys,0)),0)</f>
        <v/>
      </c>
      <c r="AI1089" s="18">
        <f>IF(igst_itc_available,0,($AF1089+$AG1089)*igst_rate_hs7602)</f>
        <v/>
      </c>
      <c r="AJ1089" s="18">
        <f>$AE1089+$AG1089+$AH1089+$AI1089</f>
        <v/>
      </c>
      <c r="AK1089" s="7" t="inlineStr">
        <is>
          <t>DERIVED_IN_WORKBOOK</t>
        </is>
      </c>
      <c r="AL1089" s="8">
        <f>IF($J1089="INR",1,IF($M1089&lt;$A1089,INDEX(Market_Daily!$F$6:$F$256,MATCH($M1089,Market_Daily!$A$6:$A$256,1)),IF($M1089=$A1089,INDEX(Market_Daily!$F$6:$F$256,MATCH($A1089,Market_Daily!$A$6:$A$256,0)),(INDEX(Market_Daily!$F$6:$F$256,MATCH($A1089,Market_Daily!$A$6:$A$256,0))*(1+INDEX(Market_Daily!$I$6:$I$256,MATCH($A1089,Market_Daily!$A$6:$A$256,0))*($M1089-$A1089)/day_count_inr)/(1+INDEX(Market_Daily!$J$6:$J$256,MATCH($A1089,Market_Daily!$A$6:$A$256,0))*($M1089-$A1089)/day_count_usd)))))</f>
        <v/>
      </c>
      <c r="AM1089" s="8">
        <f>IF(OR($J1089="INR",$R1089&gt;1),"",$AL1089-$X1089)</f>
        <v/>
      </c>
      <c r="AN1089" s="8">
        <f>$N1089*$AJ1089</f>
        <v/>
      </c>
      <c r="AO1089" s="8">
        <f>$AN1089</f>
        <v/>
      </c>
      <c r="AP1089" s="18">
        <f>$AO1089-$V1089</f>
        <v/>
      </c>
      <c r="AQ1089" s="8">
        <f>IF(ABS($AP1089)&lt;=tol_trade_inr,"PASS","FAIL")</f>
        <v/>
      </c>
    </row>
    <row r="1090">
      <c r="A1090" s="11" t="n">
        <v>44757</v>
      </c>
      <c r="B1090" s="7" t="inlineStr">
        <is>
          <t>T07</t>
        </is>
      </c>
      <c r="C1090" s="7" t="inlineStr">
        <is>
          <t>MCX:T07-MCX-2</t>
        </is>
      </c>
      <c r="D1090" s="7" t="inlineStr">
        <is>
          <t>MCX</t>
        </is>
      </c>
      <c r="E1090" s="7" t="inlineStr">
        <is>
          <t>mcx</t>
        </is>
      </c>
      <c r="H1090" s="7" t="inlineStr">
        <is>
          <t>tense</t>
        </is>
      </c>
      <c r="I1090" s="7" t="inlineStr">
        <is>
          <t>USEC_MUN</t>
        </is>
      </c>
      <c r="J1090" s="7" t="inlineStr">
        <is>
          <t>INR</t>
        </is>
      </c>
      <c r="K1090" s="7" t="inlineStr">
        <is>
          <t>partially_fixed</t>
        </is>
      </c>
      <c r="L1090" s="7" t="inlineStr">
        <is>
          <t>PNL</t>
        </is>
      </c>
      <c r="M1090" s="11" t="n">
        <v>44762</v>
      </c>
      <c r="N1090" s="13" t="n">
        <v>0</v>
      </c>
      <c r="O1090" s="6" t="n">
        <v>-247</v>
      </c>
      <c r="P1090" s="13" t="n">
        <v>0</v>
      </c>
      <c r="Q1090" s="22" t="n">
        <v>31</v>
      </c>
      <c r="R1090" s="6" t="n">
        <v>22</v>
      </c>
      <c r="U1090" s="9" t="n">
        <v>0</v>
      </c>
      <c r="V1090" s="9" t="n">
        <v>0</v>
      </c>
      <c r="X1090" s="9" t="n">
        <v>79.8449</v>
      </c>
      <c r="AK1090" s="7" t="inlineStr">
        <is>
          <t>PYTHON_MULTI_FLOW_LEG</t>
        </is>
      </c>
      <c r="AL1090" s="8">
        <f>IF($J1090="INR",1,IF($M1090&lt;$A1090,INDEX(Market_Daily!$F$6:$F$256,MATCH($M1090,Market_Daily!$A$6:$A$256,1)),IF($M1090=$A1090,INDEX(Market_Daily!$F$6:$F$256,MATCH($A1090,Market_Daily!$A$6:$A$256,0)),(INDEX(Market_Daily!$F$6:$F$256,MATCH($A1090,Market_Daily!$A$6:$A$256,0))*(1+INDEX(Market_Daily!$I$6:$I$256,MATCH($A1090,Market_Daily!$A$6:$A$256,0))*($M1090-$A1090)/day_count_inr)/(1+INDEX(Market_Daily!$J$6:$J$256,MATCH($A1090,Market_Daily!$A$6:$A$256,0))*($M1090-$A1090)/day_count_usd)))))</f>
        <v/>
      </c>
      <c r="AM1090" s="8">
        <f>IF(OR($J1090="INR",$R1090&gt;1),"",$AL1090-$X1090)</f>
        <v/>
      </c>
      <c r="AN1090" s="8">
        <f>$U1090</f>
        <v/>
      </c>
      <c r="AO1090" s="8">
        <f>$V1090</f>
        <v/>
      </c>
      <c r="AP1090" s="18">
        <f>$AO1090-$V1090</f>
        <v/>
      </c>
      <c r="AQ1090" s="8">
        <f>IF(ABS($AP1090)&lt;=tol_trade_inr,"PASS","FAIL")</f>
        <v/>
      </c>
    </row>
    <row r="1091">
      <c r="A1091" s="11" t="n">
        <v>44757</v>
      </c>
      <c r="B1091" s="7" t="inlineStr">
        <is>
          <t>T07</t>
        </is>
      </c>
      <c r="C1091" s="7" t="inlineStr">
        <is>
          <t>PORT:L1</t>
        </is>
      </c>
      <c r="D1091" s="7" t="inlineStr">
        <is>
          <t>PORT</t>
        </is>
      </c>
      <c r="E1091" s="7" t="inlineStr">
        <is>
          <t>physical</t>
        </is>
      </c>
      <c r="F1091" s="7" t="inlineStr">
        <is>
          <t>L1</t>
        </is>
      </c>
      <c r="H1091" s="7" t="inlineStr">
        <is>
          <t>tense</t>
        </is>
      </c>
      <c r="I1091" s="7" t="inlineStr">
        <is>
          <t>USEC_MUN</t>
        </is>
      </c>
      <c r="J1091" s="7" t="inlineStr">
        <is>
          <t>INR</t>
        </is>
      </c>
      <c r="K1091" s="7" t="inlineStr">
        <is>
          <t>fixed_unsettled</t>
        </is>
      </c>
      <c r="L1091" s="7" t="inlineStr">
        <is>
          <t>PNL</t>
        </is>
      </c>
      <c r="M1091" s="11" t="n">
        <v>44770</v>
      </c>
      <c r="N1091" s="13" t="n">
        <v>0</v>
      </c>
      <c r="O1091" s="6" t="n">
        <v>0</v>
      </c>
      <c r="P1091" s="13" t="n">
        <v>0</v>
      </c>
      <c r="Q1091" s="22" t="n">
        <v>31</v>
      </c>
      <c r="R1091" s="6" t="n">
        <v>1</v>
      </c>
      <c r="U1091" s="9" t="n">
        <v>-2504250</v>
      </c>
      <c r="V1091" s="9" t="n">
        <v>-2504250</v>
      </c>
      <c r="X1091" s="9" t="n">
        <v>79.8449</v>
      </c>
      <c r="AK1091" s="7" t="inlineStr">
        <is>
          <t>PYTHON_LIFECYCLE</t>
        </is>
      </c>
      <c r="AL1091" s="8">
        <f>IF($J1091="INR",1,IF($M1091&lt;$A1091,INDEX(Market_Daily!$F$6:$F$256,MATCH($M1091,Market_Daily!$A$6:$A$256,1)),IF($M1091=$A1091,INDEX(Market_Daily!$F$6:$F$256,MATCH($A1091,Market_Daily!$A$6:$A$256,0)),(INDEX(Market_Daily!$F$6:$F$256,MATCH($A1091,Market_Daily!$A$6:$A$256,0))*(1+INDEX(Market_Daily!$I$6:$I$256,MATCH($A1091,Market_Daily!$A$6:$A$256,0))*($M1091-$A1091)/day_count_inr)/(1+INDEX(Market_Daily!$J$6:$J$256,MATCH($A1091,Market_Daily!$A$6:$A$256,0))*($M1091-$A1091)/day_count_usd)))))</f>
        <v/>
      </c>
      <c r="AM1091" s="8">
        <f>IF(OR($J1091="INR",$R1091&gt;1),"",$AL1091-$X1091)</f>
        <v/>
      </c>
      <c r="AN1091" s="8">
        <f>$U1091</f>
        <v/>
      </c>
      <c r="AO1091" s="8">
        <f>$AN1091*IF($J1091="INR",1,$AL1091)</f>
        <v/>
      </c>
      <c r="AP1091" s="18">
        <f>$AO1091-$V1091</f>
        <v/>
      </c>
      <c r="AQ1091" s="8">
        <f>IF(ABS($AP1091)&lt;=tol_trade_inr,"PASS","FAIL")</f>
        <v/>
      </c>
    </row>
    <row r="1092">
      <c r="A1092" s="11" t="n">
        <v>44757</v>
      </c>
      <c r="B1092" s="7" t="inlineStr">
        <is>
          <t>T07</t>
        </is>
      </c>
      <c r="C1092" s="7" t="inlineStr">
        <is>
          <t>PORT:L2</t>
        </is>
      </c>
      <c r="D1092" s="7" t="inlineStr">
        <is>
          <t>PORT</t>
        </is>
      </c>
      <c r="E1092" s="7" t="inlineStr">
        <is>
          <t>physical</t>
        </is>
      </c>
      <c r="F1092" s="7" t="inlineStr">
        <is>
          <t>L2</t>
        </is>
      </c>
      <c r="H1092" s="7" t="inlineStr">
        <is>
          <t>tense</t>
        </is>
      </c>
      <c r="I1092" s="7" t="inlineStr">
        <is>
          <t>USEC_MUN</t>
        </is>
      </c>
      <c r="J1092" s="7" t="inlineStr">
        <is>
          <t>INR</t>
        </is>
      </c>
      <c r="K1092" s="7" t="inlineStr">
        <is>
          <t>fixed_unsettled</t>
        </is>
      </c>
      <c r="L1092" s="7" t="inlineStr">
        <is>
          <t>PNL</t>
        </is>
      </c>
      <c r="M1092" s="11" t="n">
        <v>44777</v>
      </c>
      <c r="N1092" s="13" t="n">
        <v>0</v>
      </c>
      <c r="O1092" s="6" t="n">
        <v>0</v>
      </c>
      <c r="P1092" s="13" t="n">
        <v>0</v>
      </c>
      <c r="Q1092" s="22" t="n">
        <v>31</v>
      </c>
      <c r="R1092" s="6" t="n">
        <v>1</v>
      </c>
      <c r="U1092" s="9" t="n">
        <v>-2504250</v>
      </c>
      <c r="V1092" s="9" t="n">
        <v>-2504250</v>
      </c>
      <c r="X1092" s="9" t="n">
        <v>79.8449</v>
      </c>
      <c r="AK1092" s="7" t="inlineStr">
        <is>
          <t>PYTHON_LIFECYCLE</t>
        </is>
      </c>
      <c r="AL1092" s="8">
        <f>IF($J1092="INR",1,IF($M1092&lt;$A1092,INDEX(Market_Daily!$F$6:$F$256,MATCH($M1092,Market_Daily!$A$6:$A$256,1)),IF($M1092=$A1092,INDEX(Market_Daily!$F$6:$F$256,MATCH($A1092,Market_Daily!$A$6:$A$256,0)),(INDEX(Market_Daily!$F$6:$F$256,MATCH($A1092,Market_Daily!$A$6:$A$256,0))*(1+INDEX(Market_Daily!$I$6:$I$256,MATCH($A1092,Market_Daily!$A$6:$A$256,0))*($M1092-$A1092)/day_count_inr)/(1+INDEX(Market_Daily!$J$6:$J$256,MATCH($A1092,Market_Daily!$A$6:$A$256,0))*($M1092-$A1092)/day_count_usd)))))</f>
        <v/>
      </c>
      <c r="AM1092" s="8">
        <f>IF(OR($J1092="INR",$R1092&gt;1),"",$AL1092-$X1092)</f>
        <v/>
      </c>
      <c r="AN1092" s="8">
        <f>$U1092</f>
        <v/>
      </c>
      <c r="AO1092" s="8">
        <f>$AN1092*IF($J1092="INR",1,$AL1092)</f>
        <v/>
      </c>
      <c r="AP1092" s="18">
        <f>$AO1092-$V1092</f>
        <v/>
      </c>
      <c r="AQ1092" s="8">
        <f>IF(ABS($AP1092)&lt;=tol_trade_inr,"PASS","FAIL")</f>
        <v/>
      </c>
    </row>
    <row r="1093">
      <c r="A1093" s="11" t="n">
        <v>44757</v>
      </c>
      <c r="B1093" s="7" t="inlineStr">
        <is>
          <t>T08</t>
        </is>
      </c>
      <c r="C1093" s="7" t="inlineStr">
        <is>
          <t>DUTY:L1</t>
        </is>
      </c>
      <c r="D1093" s="7" t="inlineStr">
        <is>
          <t>DUTY</t>
        </is>
      </c>
      <c r="E1093" s="7" t="inlineStr">
        <is>
          <t>physical</t>
        </is>
      </c>
      <c r="F1093" s="7" t="inlineStr">
        <is>
          <t>L1</t>
        </is>
      </c>
      <c r="H1093" s="7" t="inlineStr">
        <is>
          <t>tense</t>
        </is>
      </c>
      <c r="I1093" s="7" t="inlineStr">
        <is>
          <t>USEC_MUN</t>
        </is>
      </c>
      <c r="J1093" s="7" t="inlineStr">
        <is>
          <t>INR</t>
        </is>
      </c>
      <c r="K1093" s="7" t="inlineStr">
        <is>
          <t>floating</t>
        </is>
      </c>
      <c r="L1093" s="7" t="inlineStr">
        <is>
          <t>PNL</t>
        </is>
      </c>
      <c r="M1093" s="11" t="n">
        <v>44778</v>
      </c>
      <c r="N1093" s="13" t="n">
        <v>840</v>
      </c>
      <c r="O1093" s="6" t="n">
        <v>0</v>
      </c>
      <c r="P1093" s="13" t="n">
        <v>0</v>
      </c>
      <c r="Q1093" s="22" t="n">
        <v>31</v>
      </c>
      <c r="R1093" s="6" t="n">
        <v>1</v>
      </c>
      <c r="U1093" s="9" t="n">
        <v>-3395646.39</v>
      </c>
      <c r="V1093" s="9" t="n">
        <v>-3395646.39</v>
      </c>
      <c r="X1093" s="9" t="n">
        <v>79.8449</v>
      </c>
      <c r="AK1093" s="7" t="inlineStr">
        <is>
          <t>PYTHON_LIFECYCLE</t>
        </is>
      </c>
      <c r="AL1093" s="8">
        <f>IF($J1093="INR",1,IF($M1093&lt;$A1093,INDEX(Market_Daily!$F$6:$F$256,MATCH($M1093,Market_Daily!$A$6:$A$256,1)),IF($M1093=$A1093,INDEX(Market_Daily!$F$6:$F$256,MATCH($A1093,Market_Daily!$A$6:$A$256,0)),(INDEX(Market_Daily!$F$6:$F$256,MATCH($A1093,Market_Daily!$A$6:$A$256,0))*(1+INDEX(Market_Daily!$I$6:$I$256,MATCH($A1093,Market_Daily!$A$6:$A$256,0))*($M1093-$A1093)/day_count_inr)/(1+INDEX(Market_Daily!$J$6:$J$256,MATCH($A1093,Market_Daily!$A$6:$A$256,0))*($M1093-$A1093)/day_count_usd)))))</f>
        <v/>
      </c>
      <c r="AM1093" s="8">
        <f>IF(OR($J1093="INR",$R1093&gt;1),"",$AL1093-$X1093)</f>
        <v/>
      </c>
      <c r="AN1093" s="8">
        <f>$U1093</f>
        <v/>
      </c>
      <c r="AO1093" s="8">
        <f>$AN1093*IF($J1093="INR",1,$AL1093)</f>
        <v/>
      </c>
      <c r="AP1093" s="18">
        <f>$AO1093-$V1093</f>
        <v/>
      </c>
      <c r="AQ1093" s="8">
        <f>IF(ABS($AP1093)&lt;=tol_trade_inr,"PASS","FAIL")</f>
        <v/>
      </c>
    </row>
    <row r="1094">
      <c r="A1094" s="11" t="n">
        <v>44757</v>
      </c>
      <c r="B1094" s="7" t="inlineStr">
        <is>
          <t>T08</t>
        </is>
      </c>
      <c r="C1094" s="7" t="inlineStr">
        <is>
          <t>DUTY:L2</t>
        </is>
      </c>
      <c r="D1094" s="7" t="inlineStr">
        <is>
          <t>DUTY</t>
        </is>
      </c>
      <c r="E1094" s="7" t="inlineStr">
        <is>
          <t>physical</t>
        </is>
      </c>
      <c r="F1094" s="7" t="inlineStr">
        <is>
          <t>L2</t>
        </is>
      </c>
      <c r="H1094" s="7" t="inlineStr">
        <is>
          <t>tense</t>
        </is>
      </c>
      <c r="I1094" s="7" t="inlineStr">
        <is>
          <t>USEC_MUN</t>
        </is>
      </c>
      <c r="J1094" s="7" t="inlineStr">
        <is>
          <t>INR</t>
        </is>
      </c>
      <c r="K1094" s="7" t="inlineStr">
        <is>
          <t>floating</t>
        </is>
      </c>
      <c r="L1094" s="7" t="inlineStr">
        <is>
          <t>PNL</t>
        </is>
      </c>
      <c r="M1094" s="11" t="n">
        <v>44782</v>
      </c>
      <c r="N1094" s="13" t="n">
        <v>840</v>
      </c>
      <c r="O1094" s="6" t="n">
        <v>0</v>
      </c>
      <c r="P1094" s="13" t="n">
        <v>0</v>
      </c>
      <c r="Q1094" s="22" t="n">
        <v>31</v>
      </c>
      <c r="R1094" s="6" t="n">
        <v>1</v>
      </c>
      <c r="U1094" s="9" t="n">
        <v>-3395646.39</v>
      </c>
      <c r="V1094" s="9" t="n">
        <v>-3395646.39</v>
      </c>
      <c r="X1094" s="9" t="n">
        <v>79.8449</v>
      </c>
      <c r="AK1094" s="7" t="inlineStr">
        <is>
          <t>PYTHON_LIFECYCLE</t>
        </is>
      </c>
      <c r="AL1094" s="8">
        <f>IF($J1094="INR",1,IF($M1094&lt;$A1094,INDEX(Market_Daily!$F$6:$F$256,MATCH($M1094,Market_Daily!$A$6:$A$256,1)),IF($M1094=$A1094,INDEX(Market_Daily!$F$6:$F$256,MATCH($A1094,Market_Daily!$A$6:$A$256,0)),(INDEX(Market_Daily!$F$6:$F$256,MATCH($A1094,Market_Daily!$A$6:$A$256,0))*(1+INDEX(Market_Daily!$I$6:$I$256,MATCH($A1094,Market_Daily!$A$6:$A$256,0))*($M1094-$A1094)/day_count_inr)/(1+INDEX(Market_Daily!$J$6:$J$256,MATCH($A1094,Market_Daily!$A$6:$A$256,0))*($M1094-$A1094)/day_count_usd)))))</f>
        <v/>
      </c>
      <c r="AM1094" s="8">
        <f>IF(OR($J1094="INR",$R1094&gt;1),"",$AL1094-$X1094)</f>
        <v/>
      </c>
      <c r="AN1094" s="8">
        <f>$U1094</f>
        <v/>
      </c>
      <c r="AO1094" s="8">
        <f>$AN1094*IF($J1094="INR",1,$AL1094)</f>
        <v/>
      </c>
      <c r="AP1094" s="18">
        <f>$AO1094-$V1094</f>
        <v/>
      </c>
      <c r="AQ1094" s="8">
        <f>IF(ABS($AP1094)&lt;=tol_trade_inr,"PASS","FAIL")</f>
        <v/>
      </c>
    </row>
    <row r="1095">
      <c r="A1095" s="11" t="n">
        <v>44757</v>
      </c>
      <c r="B1095" s="7" t="inlineStr">
        <is>
          <t>T08</t>
        </is>
      </c>
      <c r="C1095" s="7" t="inlineStr">
        <is>
          <t>IGST:L1</t>
        </is>
      </c>
      <c r="D1095" s="7" t="inlineStr">
        <is>
          <t>IGST</t>
        </is>
      </c>
      <c r="E1095" s="7" t="inlineStr">
        <is>
          <t>physical</t>
        </is>
      </c>
      <c r="F1095" s="7" t="inlineStr">
        <is>
          <t>L1</t>
        </is>
      </c>
      <c r="H1095" s="7" t="inlineStr">
        <is>
          <t>tense</t>
        </is>
      </c>
      <c r="I1095" s="7" t="inlineStr">
        <is>
          <t>USEC_MUN</t>
        </is>
      </c>
      <c r="J1095" s="7" t="inlineStr">
        <is>
          <t>INR</t>
        </is>
      </c>
      <c r="K1095" s="7" t="inlineStr">
        <is>
          <t>floating</t>
        </is>
      </c>
      <c r="L1095" s="7" t="inlineStr">
        <is>
          <t>BS</t>
        </is>
      </c>
      <c r="M1095" s="11" t="n">
        <v>44820</v>
      </c>
      <c r="N1095" s="13" t="n">
        <v>0</v>
      </c>
      <c r="O1095" s="6" t="n">
        <v>0</v>
      </c>
      <c r="P1095" s="13" t="n">
        <v>0</v>
      </c>
      <c r="Q1095" s="22" t="n">
        <v>31</v>
      </c>
      <c r="R1095" s="6" t="n">
        <v>2</v>
      </c>
      <c r="U1095" s="9" t="n">
        <v>0</v>
      </c>
      <c r="V1095" s="9" t="n">
        <v>0</v>
      </c>
      <c r="X1095" s="9" t="n">
        <v>79.8449</v>
      </c>
      <c r="AK1095" s="7" t="inlineStr">
        <is>
          <t>PYTHON_MULTI_FLOW_LEG</t>
        </is>
      </c>
      <c r="AL1095" s="8">
        <f>IF($J1095="INR",1,IF($M1095&lt;$A1095,INDEX(Market_Daily!$F$6:$F$256,MATCH($M1095,Market_Daily!$A$6:$A$256,1)),IF($M1095=$A1095,INDEX(Market_Daily!$F$6:$F$256,MATCH($A1095,Market_Daily!$A$6:$A$256,0)),(INDEX(Market_Daily!$F$6:$F$256,MATCH($A1095,Market_Daily!$A$6:$A$256,0))*(1+INDEX(Market_Daily!$I$6:$I$256,MATCH($A1095,Market_Daily!$A$6:$A$256,0))*($M1095-$A1095)/day_count_inr)/(1+INDEX(Market_Daily!$J$6:$J$256,MATCH($A1095,Market_Daily!$A$6:$A$256,0))*($M1095-$A1095)/day_count_usd)))))</f>
        <v/>
      </c>
      <c r="AM1095" s="8">
        <f>IF(OR($J1095="INR",$R1095&gt;1),"",$AL1095-$X1095)</f>
        <v/>
      </c>
      <c r="AN1095" s="8">
        <f>$U1095</f>
        <v/>
      </c>
      <c r="AO1095" s="8">
        <f>$V1095</f>
        <v/>
      </c>
      <c r="AP1095" s="18">
        <f>$AO1095-$V1095</f>
        <v/>
      </c>
      <c r="AQ1095" s="8">
        <f>IF(ABS($AP1095)&lt;=tol_trade_inr,"PASS","FAIL")</f>
        <v/>
      </c>
    </row>
    <row r="1096">
      <c r="A1096" s="11" t="n">
        <v>44757</v>
      </c>
      <c r="B1096" s="7" t="inlineStr">
        <is>
          <t>T08</t>
        </is>
      </c>
      <c r="C1096" s="7" t="inlineStr">
        <is>
          <t>IGST:L2</t>
        </is>
      </c>
      <c r="D1096" s="7" t="inlineStr">
        <is>
          <t>IGST</t>
        </is>
      </c>
      <c r="E1096" s="7" t="inlineStr">
        <is>
          <t>physical</t>
        </is>
      </c>
      <c r="F1096" s="7" t="inlineStr">
        <is>
          <t>L2</t>
        </is>
      </c>
      <c r="H1096" s="7" t="inlineStr">
        <is>
          <t>tense</t>
        </is>
      </c>
      <c r="I1096" s="7" t="inlineStr">
        <is>
          <t>USEC_MUN</t>
        </is>
      </c>
      <c r="J1096" s="7" t="inlineStr">
        <is>
          <t>INR</t>
        </is>
      </c>
      <c r="K1096" s="7" t="inlineStr">
        <is>
          <t>floating</t>
        </is>
      </c>
      <c r="L1096" s="7" t="inlineStr">
        <is>
          <t>BS</t>
        </is>
      </c>
      <c r="M1096" s="11" t="n">
        <v>44827</v>
      </c>
      <c r="N1096" s="13" t="n">
        <v>0</v>
      </c>
      <c r="O1096" s="6" t="n">
        <v>0</v>
      </c>
      <c r="P1096" s="13" t="n">
        <v>0</v>
      </c>
      <c r="Q1096" s="22" t="n">
        <v>31</v>
      </c>
      <c r="R1096" s="6" t="n">
        <v>2</v>
      </c>
      <c r="U1096" s="9" t="n">
        <v>0</v>
      </c>
      <c r="V1096" s="9" t="n">
        <v>0</v>
      </c>
      <c r="X1096" s="9" t="n">
        <v>79.8449</v>
      </c>
      <c r="AK1096" s="7" t="inlineStr">
        <is>
          <t>PYTHON_MULTI_FLOW_LEG</t>
        </is>
      </c>
      <c r="AL1096" s="8">
        <f>IF($J1096="INR",1,IF($M1096&lt;$A1096,INDEX(Market_Daily!$F$6:$F$256,MATCH($M1096,Market_Daily!$A$6:$A$256,1)),IF($M1096=$A1096,INDEX(Market_Daily!$F$6:$F$256,MATCH($A1096,Market_Daily!$A$6:$A$256,0)),(INDEX(Market_Daily!$F$6:$F$256,MATCH($A1096,Market_Daily!$A$6:$A$256,0))*(1+INDEX(Market_Daily!$I$6:$I$256,MATCH($A1096,Market_Daily!$A$6:$A$256,0))*($M1096-$A1096)/day_count_inr)/(1+INDEX(Market_Daily!$J$6:$J$256,MATCH($A1096,Market_Daily!$A$6:$A$256,0))*($M1096-$A1096)/day_count_usd)))))</f>
        <v/>
      </c>
      <c r="AM1096" s="8">
        <f>IF(OR($J1096="INR",$R1096&gt;1),"",$AL1096-$X1096)</f>
        <v/>
      </c>
      <c r="AN1096" s="8">
        <f>$U1096</f>
        <v/>
      </c>
      <c r="AO1096" s="8">
        <f>$V1096</f>
        <v/>
      </c>
      <c r="AP1096" s="18">
        <f>$AO1096-$V1096</f>
        <v/>
      </c>
      <c r="AQ1096" s="8">
        <f>IF(ABS($AP1096)&lt;=tol_trade_inr,"PASS","FAIL")</f>
        <v/>
      </c>
    </row>
    <row r="1097">
      <c r="A1097" s="11" t="n">
        <v>44757</v>
      </c>
      <c r="B1097" s="7" t="inlineStr">
        <is>
          <t>T08</t>
        </is>
      </c>
      <c r="C1097" s="7" t="inlineStr">
        <is>
          <t>INVENTORY:L1</t>
        </is>
      </c>
      <c r="D1097" s="7" t="inlineStr">
        <is>
          <t>INVENTORY</t>
        </is>
      </c>
      <c r="E1097" s="7" t="inlineStr">
        <is>
          <t>physical</t>
        </is>
      </c>
      <c r="F1097" s="7" t="inlineStr">
        <is>
          <t>L1</t>
        </is>
      </c>
      <c r="H1097" s="7" t="inlineStr">
        <is>
          <t>tense</t>
        </is>
      </c>
      <c r="I1097" s="7" t="inlineStr">
        <is>
          <t>USEC_MUN</t>
        </is>
      </c>
      <c r="J1097" s="7" t="inlineStr">
        <is>
          <t>INR</t>
        </is>
      </c>
      <c r="K1097" s="7" t="inlineStr">
        <is>
          <t>fixed_unsettled</t>
        </is>
      </c>
      <c r="L1097" s="7" t="inlineStr">
        <is>
          <t>PNL</t>
        </is>
      </c>
      <c r="N1097" s="13" t="n">
        <v>840</v>
      </c>
      <c r="O1097" s="6" t="n">
        <v>0</v>
      </c>
      <c r="P1097" s="13" t="n">
        <v>0</v>
      </c>
      <c r="Q1097" s="22" t="n">
        <v>31</v>
      </c>
      <c r="R1097" s="6" t="n">
        <v>0</v>
      </c>
      <c r="U1097" s="9" t="n">
        <v>132281741.02</v>
      </c>
      <c r="V1097" s="9" t="n">
        <v>132281741.02</v>
      </c>
      <c r="W1097" s="9" t="n">
        <v>157478.2631</v>
      </c>
      <c r="X1097" s="9" t="n">
        <v>79.8449</v>
      </c>
      <c r="Y1097" s="8">
        <f>IF($I1097="JEA_NSA","20ft","40ft")</f>
        <v/>
      </c>
      <c r="Z1097" s="8">
        <f>IF($I1097="JEA_NSA","nsa","mun")</f>
        <v/>
      </c>
      <c r="AA1097" s="8">
        <f>INDEX(param_values,MATCH("container_payload_mt_"&amp;$Y1097,param_keys,0))/INDEX(param_values,MATCH("container_payload_mt_"&amp;$Y1097&amp;"_"&amp;$H1097,param_keys,0))</f>
        <v/>
      </c>
      <c r="AB1097" s="16">
        <f>INDEX(Market_Daily!$C$6:$C$256,MATCH($A1097,Market_Daily!$A$6:$A$256,0))*INDEX(Market_Daily!$X$6:$Z$256,MATCH($A1097,Market_Daily!$A$6:$A$256,0),MATCH("grade_factor_"&amp;$H1097,Market_Daily!$X$5:$Z$5,0))</f>
        <v/>
      </c>
      <c r="AC1097" s="16">
        <f>$AB1097*(1+insurance_rate*insured_value_uplift)</f>
        <v/>
      </c>
      <c r="AD1097" s="8">
        <f>(INDEX(Market_Daily!$F$6:$F$256,MATCH($A1097,Market_Daily!$A$6:$A$256,0))*(1+INDEX(Market_Daily!$I$6:$I$256,MATCH($A1097,Market_Daily!$A$6:$A$256,0))*$Q1097/day_count_inr)/(1+INDEX(Market_Daily!$J$6:$J$256,MATCH($A1097,Market_Daily!$A$6:$A$256,0))*$Q1097/day_count_usd))</f>
        <v/>
      </c>
      <c r="AE1097" s="18">
        <f>$AC1097*$AD1097</f>
        <v/>
      </c>
      <c r="AF1097" s="18">
        <f>$AC1097*INDEX(Market_Daily!$V$6:$V$256,MATCH($A1097,Market_Daily!$A$6:$A$256,0))</f>
        <v/>
      </c>
      <c r="AG1097" s="18">
        <f>$AF1097*bcd_scrap_hs7602*(1+sws_rate_on_bcd)</f>
        <v/>
      </c>
      <c r="AH1097" s="18">
        <f>INDEX(param_values,MATCH("port_cf_charges_inr_t_"&amp;$Z1097,param_keys,0))*$AA1097+IF(INDEX(param_values,MATCH(IF($I1097="JEA_NSA","psic_required_uae_origin","psic_required_safe_origin_designated_port"),param_keys,0)),psic_cost_usd_per_box*INDEX(Market_Daily!$F$6:$F$256,MATCH($A1097,Market_Daily!$A$6:$A$256,0))/INDEX(param_values,MATCH("container_payload_mt_20ft_"&amp;$H1097,param_keys,0)),0)</f>
        <v/>
      </c>
      <c r="AI1097" s="18">
        <f>IF(igst_itc_available,0,($AF1097+$AG1097)*igst_rate_hs7602)</f>
        <v/>
      </c>
      <c r="AJ1097" s="18">
        <f>$AE1097+$AG1097+$AH1097+$AI1097</f>
        <v/>
      </c>
      <c r="AK1097" s="7" t="inlineStr">
        <is>
          <t>DERIVED_IN_WORKBOOK</t>
        </is>
      </c>
      <c r="AL1097" s="8">
        <f>IF($J1097="INR",1,IF($M1097&lt;$A1097,INDEX(Market_Daily!$F$6:$F$256,MATCH($M1097,Market_Daily!$A$6:$A$256,1)),IF($M1097=$A1097,INDEX(Market_Daily!$F$6:$F$256,MATCH($A1097,Market_Daily!$A$6:$A$256,0)),(INDEX(Market_Daily!$F$6:$F$256,MATCH($A1097,Market_Daily!$A$6:$A$256,0))*(1+INDEX(Market_Daily!$I$6:$I$256,MATCH($A1097,Market_Daily!$A$6:$A$256,0))*($M1097-$A1097)/day_count_inr)/(1+INDEX(Market_Daily!$J$6:$J$256,MATCH($A1097,Market_Daily!$A$6:$A$256,0))*($M1097-$A1097)/day_count_usd)))))</f>
        <v/>
      </c>
      <c r="AM1097" s="8">
        <f>IF(OR($J1097="INR",$R1097&gt;1),"",$AL1097-$X1097)</f>
        <v/>
      </c>
      <c r="AN1097" s="8">
        <f>$N1097*$AJ1097</f>
        <v/>
      </c>
      <c r="AO1097" s="8">
        <f>$AN1097</f>
        <v/>
      </c>
      <c r="AP1097" s="18">
        <f>$AO1097-$V1097</f>
        <v/>
      </c>
      <c r="AQ1097" s="8">
        <f>IF(ABS($AP1097)&lt;=tol_trade_inr,"PASS","FAIL")</f>
        <v/>
      </c>
    </row>
    <row r="1098">
      <c r="A1098" s="11" t="n">
        <v>44757</v>
      </c>
      <c r="B1098" s="7" t="inlineStr">
        <is>
          <t>T08</t>
        </is>
      </c>
      <c r="C1098" s="7" t="inlineStr">
        <is>
          <t>INVENTORY:L2</t>
        </is>
      </c>
      <c r="D1098" s="7" t="inlineStr">
        <is>
          <t>INVENTORY</t>
        </is>
      </c>
      <c r="E1098" s="7" t="inlineStr">
        <is>
          <t>physical</t>
        </is>
      </c>
      <c r="F1098" s="7" t="inlineStr">
        <is>
          <t>L2</t>
        </is>
      </c>
      <c r="H1098" s="7" t="inlineStr">
        <is>
          <t>tense</t>
        </is>
      </c>
      <c r="I1098" s="7" t="inlineStr">
        <is>
          <t>USEC_MUN</t>
        </is>
      </c>
      <c r="J1098" s="7" t="inlineStr">
        <is>
          <t>INR</t>
        </is>
      </c>
      <c r="K1098" s="7" t="inlineStr">
        <is>
          <t>fixed_unsettled</t>
        </is>
      </c>
      <c r="L1098" s="7" t="inlineStr">
        <is>
          <t>PNL</t>
        </is>
      </c>
      <c r="N1098" s="13" t="n">
        <v>840</v>
      </c>
      <c r="O1098" s="6" t="n">
        <v>0</v>
      </c>
      <c r="P1098" s="13" t="n">
        <v>0</v>
      </c>
      <c r="Q1098" s="22" t="n">
        <v>31</v>
      </c>
      <c r="R1098" s="6" t="n">
        <v>0</v>
      </c>
      <c r="U1098" s="9" t="n">
        <v>132281741.02</v>
      </c>
      <c r="V1098" s="9" t="n">
        <v>132281741.02</v>
      </c>
      <c r="W1098" s="9" t="n">
        <v>157478.2631</v>
      </c>
      <c r="X1098" s="9" t="n">
        <v>79.8449</v>
      </c>
      <c r="Y1098" s="8">
        <f>IF($I1098="JEA_NSA","20ft","40ft")</f>
        <v/>
      </c>
      <c r="Z1098" s="8">
        <f>IF($I1098="JEA_NSA","nsa","mun")</f>
        <v/>
      </c>
      <c r="AA1098" s="8">
        <f>INDEX(param_values,MATCH("container_payload_mt_"&amp;$Y1098,param_keys,0))/INDEX(param_values,MATCH("container_payload_mt_"&amp;$Y1098&amp;"_"&amp;$H1098,param_keys,0))</f>
        <v/>
      </c>
      <c r="AB1098" s="16">
        <f>INDEX(Market_Daily!$C$6:$C$256,MATCH($A1098,Market_Daily!$A$6:$A$256,0))*INDEX(Market_Daily!$X$6:$Z$256,MATCH($A1098,Market_Daily!$A$6:$A$256,0),MATCH("grade_factor_"&amp;$H1098,Market_Daily!$X$5:$Z$5,0))</f>
        <v/>
      </c>
      <c r="AC1098" s="16">
        <f>$AB1098*(1+insurance_rate*insured_value_uplift)</f>
        <v/>
      </c>
      <c r="AD1098" s="8">
        <f>(INDEX(Market_Daily!$F$6:$F$256,MATCH($A1098,Market_Daily!$A$6:$A$256,0))*(1+INDEX(Market_Daily!$I$6:$I$256,MATCH($A1098,Market_Daily!$A$6:$A$256,0))*$Q1098/day_count_inr)/(1+INDEX(Market_Daily!$J$6:$J$256,MATCH($A1098,Market_Daily!$A$6:$A$256,0))*$Q1098/day_count_usd))</f>
        <v/>
      </c>
      <c r="AE1098" s="18">
        <f>$AC1098*$AD1098</f>
        <v/>
      </c>
      <c r="AF1098" s="18">
        <f>$AC1098*INDEX(Market_Daily!$V$6:$V$256,MATCH($A1098,Market_Daily!$A$6:$A$256,0))</f>
        <v/>
      </c>
      <c r="AG1098" s="18">
        <f>$AF1098*bcd_scrap_hs7602*(1+sws_rate_on_bcd)</f>
        <v/>
      </c>
      <c r="AH1098" s="18">
        <f>INDEX(param_values,MATCH("port_cf_charges_inr_t_"&amp;$Z1098,param_keys,0))*$AA1098+IF(INDEX(param_values,MATCH(IF($I1098="JEA_NSA","psic_required_uae_origin","psic_required_safe_origin_designated_port"),param_keys,0)),psic_cost_usd_per_box*INDEX(Market_Daily!$F$6:$F$256,MATCH($A1098,Market_Daily!$A$6:$A$256,0))/INDEX(param_values,MATCH("container_payload_mt_20ft_"&amp;$H1098,param_keys,0)),0)</f>
        <v/>
      </c>
      <c r="AI1098" s="18">
        <f>IF(igst_itc_available,0,($AF1098+$AG1098)*igst_rate_hs7602)</f>
        <v/>
      </c>
      <c r="AJ1098" s="18">
        <f>$AE1098+$AG1098+$AH1098+$AI1098</f>
        <v/>
      </c>
      <c r="AK1098" s="7" t="inlineStr">
        <is>
          <t>DERIVED_IN_WORKBOOK</t>
        </is>
      </c>
      <c r="AL1098" s="8">
        <f>IF($J1098="INR",1,IF($M1098&lt;$A1098,INDEX(Market_Daily!$F$6:$F$256,MATCH($M1098,Market_Daily!$A$6:$A$256,1)),IF($M1098=$A1098,INDEX(Market_Daily!$F$6:$F$256,MATCH($A1098,Market_Daily!$A$6:$A$256,0)),(INDEX(Market_Daily!$F$6:$F$256,MATCH($A1098,Market_Daily!$A$6:$A$256,0))*(1+INDEX(Market_Daily!$I$6:$I$256,MATCH($A1098,Market_Daily!$A$6:$A$256,0))*($M1098-$A1098)/day_count_inr)/(1+INDEX(Market_Daily!$J$6:$J$256,MATCH($A1098,Market_Daily!$A$6:$A$256,0))*($M1098-$A1098)/day_count_usd)))))</f>
        <v/>
      </c>
      <c r="AM1098" s="8">
        <f>IF(OR($J1098="INR",$R1098&gt;1),"",$AL1098-$X1098)</f>
        <v/>
      </c>
      <c r="AN1098" s="8">
        <f>$N1098*$AJ1098</f>
        <v/>
      </c>
      <c r="AO1098" s="8">
        <f>$AN1098</f>
        <v/>
      </c>
      <c r="AP1098" s="18">
        <f>$AO1098-$V1098</f>
        <v/>
      </c>
      <c r="AQ1098" s="8">
        <f>IF(ABS($AP1098)&lt;=tol_trade_inr,"PASS","FAIL")</f>
        <v/>
      </c>
    </row>
    <row r="1099">
      <c r="A1099" s="11" t="n">
        <v>44757</v>
      </c>
      <c r="B1099" s="7" t="inlineStr">
        <is>
          <t>T08</t>
        </is>
      </c>
      <c r="C1099" s="7" t="inlineStr">
        <is>
          <t>MCX:T08-MCX-1</t>
        </is>
      </c>
      <c r="D1099" s="7" t="inlineStr">
        <is>
          <t>MCX</t>
        </is>
      </c>
      <c r="E1099" s="7" t="inlineStr">
        <is>
          <t>mcx</t>
        </is>
      </c>
      <c r="H1099" s="7" t="inlineStr">
        <is>
          <t>tense</t>
        </is>
      </c>
      <c r="I1099" s="7" t="inlineStr">
        <is>
          <t>USEC_MUN</t>
        </is>
      </c>
      <c r="J1099" s="7" t="inlineStr">
        <is>
          <t>INR</t>
        </is>
      </c>
      <c r="K1099" s="7" t="inlineStr">
        <is>
          <t>partially_fixed</t>
        </is>
      </c>
      <c r="L1099" s="7" t="inlineStr">
        <is>
          <t>PNL</t>
        </is>
      </c>
      <c r="M1099" s="11" t="n">
        <v>44789</v>
      </c>
      <c r="N1099" s="13" t="n">
        <v>0</v>
      </c>
      <c r="O1099" s="6" t="n">
        <v>-230</v>
      </c>
      <c r="P1099" s="13" t="n">
        <v>0</v>
      </c>
      <c r="Q1099" s="22" t="n">
        <v>31</v>
      </c>
      <c r="R1099" s="6" t="n">
        <v>23</v>
      </c>
      <c r="U1099" s="9" t="n">
        <v>0</v>
      </c>
      <c r="V1099" s="9" t="n">
        <v>0</v>
      </c>
      <c r="X1099" s="9" t="n">
        <v>79.8449</v>
      </c>
      <c r="AK1099" s="7" t="inlineStr">
        <is>
          <t>PYTHON_MULTI_FLOW_LEG</t>
        </is>
      </c>
      <c r="AL1099" s="8">
        <f>IF($J1099="INR",1,IF($M1099&lt;$A1099,INDEX(Market_Daily!$F$6:$F$256,MATCH($M1099,Market_Daily!$A$6:$A$256,1)),IF($M1099=$A1099,INDEX(Market_Daily!$F$6:$F$256,MATCH($A1099,Market_Daily!$A$6:$A$256,0)),(INDEX(Market_Daily!$F$6:$F$256,MATCH($A1099,Market_Daily!$A$6:$A$256,0))*(1+INDEX(Market_Daily!$I$6:$I$256,MATCH($A1099,Market_Daily!$A$6:$A$256,0))*($M1099-$A1099)/day_count_inr)/(1+INDEX(Market_Daily!$J$6:$J$256,MATCH($A1099,Market_Daily!$A$6:$A$256,0))*($M1099-$A1099)/day_count_usd)))))</f>
        <v/>
      </c>
      <c r="AM1099" s="8">
        <f>IF(OR($J1099="INR",$R1099&gt;1),"",$AL1099-$X1099)</f>
        <v/>
      </c>
      <c r="AN1099" s="8">
        <f>$U1099</f>
        <v/>
      </c>
      <c r="AO1099" s="8">
        <f>$V1099</f>
        <v/>
      </c>
      <c r="AP1099" s="18">
        <f>$AO1099-$V1099</f>
        <v/>
      </c>
      <c r="AQ1099" s="8">
        <f>IF(ABS($AP1099)&lt;=tol_trade_inr,"PASS","FAIL")</f>
        <v/>
      </c>
    </row>
    <row r="1100">
      <c r="A1100" s="11" t="n">
        <v>44757</v>
      </c>
      <c r="B1100" s="7" t="inlineStr">
        <is>
          <t>T08</t>
        </is>
      </c>
      <c r="C1100" s="7" t="inlineStr">
        <is>
          <t>PORT:L1</t>
        </is>
      </c>
      <c r="D1100" s="7" t="inlineStr">
        <is>
          <t>PORT</t>
        </is>
      </c>
      <c r="E1100" s="7" t="inlineStr">
        <is>
          <t>physical</t>
        </is>
      </c>
      <c r="F1100" s="7" t="inlineStr">
        <is>
          <t>L1</t>
        </is>
      </c>
      <c r="H1100" s="7" t="inlineStr">
        <is>
          <t>tense</t>
        </is>
      </c>
      <c r="I1100" s="7" t="inlineStr">
        <is>
          <t>USEC_MUN</t>
        </is>
      </c>
      <c r="J1100" s="7" t="inlineStr">
        <is>
          <t>INR</t>
        </is>
      </c>
      <c r="K1100" s="7" t="inlineStr">
        <is>
          <t>fixed_unsettled</t>
        </is>
      </c>
      <c r="L1100" s="7" t="inlineStr">
        <is>
          <t>PNL</t>
        </is>
      </c>
      <c r="M1100" s="11" t="n">
        <v>44784</v>
      </c>
      <c r="N1100" s="13" t="n">
        <v>0</v>
      </c>
      <c r="O1100" s="6" t="n">
        <v>0</v>
      </c>
      <c r="P1100" s="13" t="n">
        <v>0</v>
      </c>
      <c r="Q1100" s="22" t="n">
        <v>31</v>
      </c>
      <c r="R1100" s="6" t="n">
        <v>1</v>
      </c>
      <c r="U1100" s="9" t="n">
        <v>-2226000</v>
      </c>
      <c r="V1100" s="9" t="n">
        <v>-2226000</v>
      </c>
      <c r="X1100" s="9" t="n">
        <v>79.8449</v>
      </c>
      <c r="AK1100" s="7" t="inlineStr">
        <is>
          <t>PYTHON_LIFECYCLE</t>
        </is>
      </c>
      <c r="AL1100" s="8">
        <f>IF($J1100="INR",1,IF($M1100&lt;$A1100,INDEX(Market_Daily!$F$6:$F$256,MATCH($M1100,Market_Daily!$A$6:$A$256,1)),IF($M1100=$A1100,INDEX(Market_Daily!$F$6:$F$256,MATCH($A1100,Market_Daily!$A$6:$A$256,0)),(INDEX(Market_Daily!$F$6:$F$256,MATCH($A1100,Market_Daily!$A$6:$A$256,0))*(1+INDEX(Market_Daily!$I$6:$I$256,MATCH($A1100,Market_Daily!$A$6:$A$256,0))*($M1100-$A1100)/day_count_inr)/(1+INDEX(Market_Daily!$J$6:$J$256,MATCH($A1100,Market_Daily!$A$6:$A$256,0))*($M1100-$A1100)/day_count_usd)))))</f>
        <v/>
      </c>
      <c r="AM1100" s="8">
        <f>IF(OR($J1100="INR",$R1100&gt;1),"",$AL1100-$X1100)</f>
        <v/>
      </c>
      <c r="AN1100" s="8">
        <f>$U1100</f>
        <v/>
      </c>
      <c r="AO1100" s="8">
        <f>$AN1100*IF($J1100="INR",1,$AL1100)</f>
        <v/>
      </c>
      <c r="AP1100" s="18">
        <f>$AO1100-$V1100</f>
        <v/>
      </c>
      <c r="AQ1100" s="8">
        <f>IF(ABS($AP1100)&lt;=tol_trade_inr,"PASS","FAIL")</f>
        <v/>
      </c>
    </row>
    <row r="1101">
      <c r="A1101" s="11" t="n">
        <v>44757</v>
      </c>
      <c r="B1101" s="7" t="inlineStr">
        <is>
          <t>T08</t>
        </is>
      </c>
      <c r="C1101" s="7" t="inlineStr">
        <is>
          <t>PORT:L2</t>
        </is>
      </c>
      <c r="D1101" s="7" t="inlineStr">
        <is>
          <t>PORT</t>
        </is>
      </c>
      <c r="E1101" s="7" t="inlineStr">
        <is>
          <t>physical</t>
        </is>
      </c>
      <c r="F1101" s="7" t="inlineStr">
        <is>
          <t>L2</t>
        </is>
      </c>
      <c r="H1101" s="7" t="inlineStr">
        <is>
          <t>tense</t>
        </is>
      </c>
      <c r="I1101" s="7" t="inlineStr">
        <is>
          <t>USEC_MUN</t>
        </is>
      </c>
      <c r="J1101" s="7" t="inlineStr">
        <is>
          <t>INR</t>
        </is>
      </c>
      <c r="K1101" s="7" t="inlineStr">
        <is>
          <t>fixed_unsettled</t>
        </is>
      </c>
      <c r="L1101" s="7" t="inlineStr">
        <is>
          <t>PNL</t>
        </is>
      </c>
      <c r="M1101" s="11" t="n">
        <v>44791</v>
      </c>
      <c r="N1101" s="13" t="n">
        <v>0</v>
      </c>
      <c r="O1101" s="6" t="n">
        <v>0</v>
      </c>
      <c r="P1101" s="13" t="n">
        <v>0</v>
      </c>
      <c r="Q1101" s="22" t="n">
        <v>31</v>
      </c>
      <c r="R1101" s="6" t="n">
        <v>1</v>
      </c>
      <c r="U1101" s="9" t="n">
        <v>-2226000</v>
      </c>
      <c r="V1101" s="9" t="n">
        <v>-2226000</v>
      </c>
      <c r="X1101" s="9" t="n">
        <v>79.8449</v>
      </c>
      <c r="AK1101" s="7" t="inlineStr">
        <is>
          <t>PYTHON_LIFECYCLE</t>
        </is>
      </c>
      <c r="AL1101" s="8">
        <f>IF($J1101="INR",1,IF($M1101&lt;$A1101,INDEX(Market_Daily!$F$6:$F$256,MATCH($M1101,Market_Daily!$A$6:$A$256,1)),IF($M1101=$A1101,INDEX(Market_Daily!$F$6:$F$256,MATCH($A1101,Market_Daily!$A$6:$A$256,0)),(INDEX(Market_Daily!$F$6:$F$256,MATCH($A1101,Market_Daily!$A$6:$A$256,0))*(1+INDEX(Market_Daily!$I$6:$I$256,MATCH($A1101,Market_Daily!$A$6:$A$256,0))*($M1101-$A1101)/day_count_inr)/(1+INDEX(Market_Daily!$J$6:$J$256,MATCH($A1101,Market_Daily!$A$6:$A$256,0))*($M1101-$A1101)/day_count_usd)))))</f>
        <v/>
      </c>
      <c r="AM1101" s="8">
        <f>IF(OR($J1101="INR",$R1101&gt;1),"",$AL1101-$X1101)</f>
        <v/>
      </c>
      <c r="AN1101" s="8">
        <f>$U1101</f>
        <v/>
      </c>
      <c r="AO1101" s="8">
        <f>$AN1101*IF($J1101="INR",1,$AL1101)</f>
        <v/>
      </c>
      <c r="AP1101" s="18">
        <f>$AO1101-$V1101</f>
        <v/>
      </c>
      <c r="AQ1101" s="8">
        <f>IF(ABS($AP1101)&lt;=tol_trade_inr,"PASS","FAIL")</f>
        <v/>
      </c>
    </row>
    <row r="1102">
      <c r="A1102" s="11" t="n">
        <v>44757</v>
      </c>
      <c r="B1102" s="7" t="inlineStr">
        <is>
          <t>T08</t>
        </is>
      </c>
      <c r="C1102" s="7" t="inlineStr">
        <is>
          <t>PURCHASE:L1</t>
        </is>
      </c>
      <c r="D1102" s="7" t="inlineStr">
        <is>
          <t>PURCHASE</t>
        </is>
      </c>
      <c r="E1102" s="7" t="inlineStr">
        <is>
          <t>physical</t>
        </is>
      </c>
      <c r="F1102" s="7" t="inlineStr">
        <is>
          <t>L1</t>
        </is>
      </c>
      <c r="G1102" s="7" t="inlineStr">
        <is>
          <t>SUP_USEC_02</t>
        </is>
      </c>
      <c r="H1102" s="7" t="inlineStr">
        <is>
          <t>tense</t>
        </is>
      </c>
      <c r="I1102" s="7" t="inlineStr">
        <is>
          <t>USEC_MUN</t>
        </is>
      </c>
      <c r="J1102" s="7" t="inlineStr">
        <is>
          <t>USD</t>
        </is>
      </c>
      <c r="K1102" s="7" t="inlineStr">
        <is>
          <t>partially_fixed</t>
        </is>
      </c>
      <c r="L1102" s="7" t="inlineStr">
        <is>
          <t>PNL</t>
        </is>
      </c>
      <c r="M1102" s="11" t="n">
        <v>44778</v>
      </c>
      <c r="N1102" s="13" t="n">
        <v>1680</v>
      </c>
      <c r="O1102" s="6" t="n">
        <v>0</v>
      </c>
      <c r="P1102" s="13" t="n">
        <v>0</v>
      </c>
      <c r="Q1102" s="22" t="n">
        <v>31</v>
      </c>
      <c r="R1102" s="6" t="n">
        <v>2</v>
      </c>
      <c r="U1102" s="9" t="n">
        <v>-11388.91</v>
      </c>
      <c r="V1102" s="9" t="n">
        <v>-910904.58</v>
      </c>
      <c r="X1102" s="9" t="n">
        <v>79.9817</v>
      </c>
      <c r="AK1102" s="7" t="inlineStr">
        <is>
          <t>PYTHON_MULTI_FLOW_LEG</t>
        </is>
      </c>
      <c r="AL1102" s="8">
        <f>IF($J1102="INR",1,IF($M1102&lt;$A1102,INDEX(Market_Daily!$F$6:$F$256,MATCH($M1102,Market_Daily!$A$6:$A$256,1)),IF($M1102=$A1102,INDEX(Market_Daily!$F$6:$F$256,MATCH($A1102,Market_Daily!$A$6:$A$256,0)),(INDEX(Market_Daily!$F$6:$F$256,MATCH($A1102,Market_Daily!$A$6:$A$256,0))*(1+INDEX(Market_Daily!$I$6:$I$256,MATCH($A1102,Market_Daily!$A$6:$A$256,0))*($M1102-$A1102)/day_count_inr)/(1+INDEX(Market_Daily!$J$6:$J$256,MATCH($A1102,Market_Daily!$A$6:$A$256,0))*($M1102-$A1102)/day_count_usd)))))</f>
        <v/>
      </c>
      <c r="AM1102" s="8">
        <f>IF(OR($J1102="INR",$R1102&gt;1),"",$AL1102-$X1102)</f>
        <v/>
      </c>
      <c r="AN1102" s="8">
        <f>$U1102</f>
        <v/>
      </c>
      <c r="AO1102" s="8">
        <f>$V1102</f>
        <v/>
      </c>
      <c r="AP1102" s="18">
        <f>$AO1102-$V1102</f>
        <v/>
      </c>
      <c r="AQ1102" s="8">
        <f>IF(ABS($AP1102)&lt;=tol_trade_inr,"PASS","FAIL")</f>
        <v/>
      </c>
    </row>
    <row r="1103">
      <c r="A1103" s="11" t="n">
        <v>44757</v>
      </c>
      <c r="B1103" s="7" t="inlineStr">
        <is>
          <t>T08</t>
        </is>
      </c>
      <c r="C1103" s="7" t="inlineStr">
        <is>
          <t>PURCHASE:L2</t>
        </is>
      </c>
      <c r="D1103" s="7" t="inlineStr">
        <is>
          <t>PURCHASE</t>
        </is>
      </c>
      <c r="E1103" s="7" t="inlineStr">
        <is>
          <t>physical</t>
        </is>
      </c>
      <c r="F1103" s="7" t="inlineStr">
        <is>
          <t>L2</t>
        </is>
      </c>
      <c r="G1103" s="7" t="inlineStr">
        <is>
          <t>SUP_USEC_02</t>
        </is>
      </c>
      <c r="H1103" s="7" t="inlineStr">
        <is>
          <t>tense</t>
        </is>
      </c>
      <c r="I1103" s="7" t="inlineStr">
        <is>
          <t>USEC_MUN</t>
        </is>
      </c>
      <c r="J1103" s="7" t="inlineStr">
        <is>
          <t>USD</t>
        </is>
      </c>
      <c r="K1103" s="7" t="inlineStr">
        <is>
          <t>partially_fixed</t>
        </is>
      </c>
      <c r="L1103" s="7" t="inlineStr">
        <is>
          <t>PNL</t>
        </is>
      </c>
      <c r="M1103" s="11" t="n">
        <v>44782</v>
      </c>
      <c r="N1103" s="13" t="n">
        <v>1680</v>
      </c>
      <c r="O1103" s="6" t="n">
        <v>0</v>
      </c>
      <c r="P1103" s="13" t="n">
        <v>0</v>
      </c>
      <c r="Q1103" s="22" t="n">
        <v>31</v>
      </c>
      <c r="R1103" s="6" t="n">
        <v>2</v>
      </c>
      <c r="U1103" s="9" t="n">
        <v>-13573.04</v>
      </c>
      <c r="V1103" s="9" t="n">
        <v>-1085947.82</v>
      </c>
      <c r="X1103" s="9" t="n">
        <v>80.0077</v>
      </c>
      <c r="AK1103" s="7" t="inlineStr">
        <is>
          <t>PYTHON_MULTI_FLOW_LEG</t>
        </is>
      </c>
      <c r="AL1103" s="8">
        <f>IF($J1103="INR",1,IF($M1103&lt;$A1103,INDEX(Market_Daily!$F$6:$F$256,MATCH($M1103,Market_Daily!$A$6:$A$256,1)),IF($M1103=$A1103,INDEX(Market_Daily!$F$6:$F$256,MATCH($A1103,Market_Daily!$A$6:$A$256,0)),(INDEX(Market_Daily!$F$6:$F$256,MATCH($A1103,Market_Daily!$A$6:$A$256,0))*(1+INDEX(Market_Daily!$I$6:$I$256,MATCH($A1103,Market_Daily!$A$6:$A$256,0))*($M1103-$A1103)/day_count_inr)/(1+INDEX(Market_Daily!$J$6:$J$256,MATCH($A1103,Market_Daily!$A$6:$A$256,0))*($M1103-$A1103)/day_count_usd)))))</f>
        <v/>
      </c>
      <c r="AM1103" s="8">
        <f>IF(OR($J1103="INR",$R1103&gt;1),"",$AL1103-$X1103)</f>
        <v/>
      </c>
      <c r="AN1103" s="8">
        <f>$U1103</f>
        <v/>
      </c>
      <c r="AO1103" s="8">
        <f>$V1103</f>
        <v/>
      </c>
      <c r="AP1103" s="18">
        <f>$AO1103-$V1103</f>
        <v/>
      </c>
      <c r="AQ1103" s="8">
        <f>IF(ABS($AP1103)&lt;=tol_trade_inr,"PASS","FAIL")</f>
        <v/>
      </c>
    </row>
    <row r="1104">
      <c r="A1104" s="11" t="n">
        <v>44770</v>
      </c>
      <c r="B1104" s="7" t="inlineStr">
        <is>
          <t>T04</t>
        </is>
      </c>
      <c r="C1104" s="7" t="inlineStr">
        <is>
          <t>IGST:L2</t>
        </is>
      </c>
      <c r="D1104" s="7" t="inlineStr">
        <is>
          <t>IGST</t>
        </is>
      </c>
      <c r="E1104" s="7" t="inlineStr">
        <is>
          <t>physical</t>
        </is>
      </c>
      <c r="F1104" s="7" t="inlineStr">
        <is>
          <t>L2</t>
        </is>
      </c>
      <c r="H1104" s="7" t="inlineStr">
        <is>
          <t>taint_tabor</t>
        </is>
      </c>
      <c r="I1104" s="7" t="inlineStr">
        <is>
          <t>USEC_MUN</t>
        </is>
      </c>
      <c r="J1104" s="7" t="inlineStr">
        <is>
          <t>INR</t>
        </is>
      </c>
      <c r="K1104" s="7" t="inlineStr">
        <is>
          <t>fixed_unsettled</t>
        </is>
      </c>
      <c r="L1104" s="7" t="inlineStr">
        <is>
          <t>BS</t>
        </is>
      </c>
      <c r="M1104" s="11" t="n">
        <v>44771</v>
      </c>
      <c r="N1104" s="13" t="n">
        <v>0</v>
      </c>
      <c r="O1104" s="6" t="n">
        <v>0</v>
      </c>
      <c r="P1104" s="13" t="n">
        <v>0</v>
      </c>
      <c r="Q1104" s="22" t="n">
        <v>31</v>
      </c>
      <c r="R1104" s="6" t="n">
        <v>2</v>
      </c>
      <c r="U1104" s="9" t="n">
        <v>0</v>
      </c>
      <c r="V1104" s="9" t="n">
        <v>0</v>
      </c>
      <c r="X1104" s="9" t="n">
        <v>79.6814</v>
      </c>
      <c r="AK1104" s="7" t="inlineStr">
        <is>
          <t>PYTHON_MULTI_FLOW_LEG</t>
        </is>
      </c>
      <c r="AL1104" s="8">
        <f>IF($J1104="INR",1,IF($M1104&lt;$A1104,INDEX(Market_Daily!$F$6:$F$256,MATCH($M1104,Market_Daily!$A$6:$A$256,1)),IF($M1104=$A1104,INDEX(Market_Daily!$F$6:$F$256,MATCH($A1104,Market_Daily!$A$6:$A$256,0)),(INDEX(Market_Daily!$F$6:$F$256,MATCH($A1104,Market_Daily!$A$6:$A$256,0))*(1+INDEX(Market_Daily!$I$6:$I$256,MATCH($A1104,Market_Daily!$A$6:$A$256,0))*($M1104-$A1104)/day_count_inr)/(1+INDEX(Market_Daily!$J$6:$J$256,MATCH($A1104,Market_Daily!$A$6:$A$256,0))*($M1104-$A1104)/day_count_usd)))))</f>
        <v/>
      </c>
      <c r="AM1104" s="8">
        <f>IF(OR($J1104="INR",$R1104&gt;1),"",$AL1104-$X1104)</f>
        <v/>
      </c>
      <c r="AN1104" s="8">
        <f>$U1104</f>
        <v/>
      </c>
      <c r="AO1104" s="8">
        <f>$V1104</f>
        <v/>
      </c>
      <c r="AP1104" s="18">
        <f>$AO1104-$V1104</f>
        <v/>
      </c>
      <c r="AQ1104" s="8">
        <f>IF(ABS($AP1104)&lt;=tol_trade_inr,"PASS","FAIL")</f>
        <v/>
      </c>
    </row>
    <row r="1105">
      <c r="A1105" s="11" t="n">
        <v>44770</v>
      </c>
      <c r="B1105" s="7" t="inlineStr">
        <is>
          <t>T05</t>
        </is>
      </c>
      <c r="C1105" s="7" t="inlineStr">
        <is>
          <t>IGST:L1</t>
        </is>
      </c>
      <c r="D1105" s="7" t="inlineStr">
        <is>
          <t>IGST</t>
        </is>
      </c>
      <c r="E1105" s="7" t="inlineStr">
        <is>
          <t>physical</t>
        </is>
      </c>
      <c r="F1105" s="7" t="inlineStr">
        <is>
          <t>L1</t>
        </is>
      </c>
      <c r="H1105" s="7" t="inlineStr">
        <is>
          <t>tense</t>
        </is>
      </c>
      <c r="I1105" s="7" t="inlineStr">
        <is>
          <t>USEC_MUN</t>
        </is>
      </c>
      <c r="J1105" s="7" t="inlineStr">
        <is>
          <t>INR</t>
        </is>
      </c>
      <c r="K1105" s="7" t="inlineStr">
        <is>
          <t>fixed_unsettled</t>
        </is>
      </c>
      <c r="L1105" s="7" t="inlineStr">
        <is>
          <t>BS</t>
        </is>
      </c>
      <c r="M1105" s="11" t="n">
        <v>44777</v>
      </c>
      <c r="N1105" s="13" t="n">
        <v>0</v>
      </c>
      <c r="O1105" s="6" t="n">
        <v>0</v>
      </c>
      <c r="P1105" s="13" t="n">
        <v>0</v>
      </c>
      <c r="Q1105" s="22" t="n">
        <v>31</v>
      </c>
      <c r="R1105" s="6" t="n">
        <v>2</v>
      </c>
      <c r="U1105" s="9" t="n">
        <v>0</v>
      </c>
      <c r="V1105" s="9" t="n">
        <v>0</v>
      </c>
      <c r="X1105" s="9" t="n">
        <v>79.6814</v>
      </c>
      <c r="AK1105" s="7" t="inlineStr">
        <is>
          <t>PYTHON_MULTI_FLOW_LEG</t>
        </is>
      </c>
      <c r="AL1105" s="8">
        <f>IF($J1105="INR",1,IF($M1105&lt;$A1105,INDEX(Market_Daily!$F$6:$F$256,MATCH($M1105,Market_Daily!$A$6:$A$256,1)),IF($M1105=$A1105,INDEX(Market_Daily!$F$6:$F$256,MATCH($A1105,Market_Daily!$A$6:$A$256,0)),(INDEX(Market_Daily!$F$6:$F$256,MATCH($A1105,Market_Daily!$A$6:$A$256,0))*(1+INDEX(Market_Daily!$I$6:$I$256,MATCH($A1105,Market_Daily!$A$6:$A$256,0))*($M1105-$A1105)/day_count_inr)/(1+INDEX(Market_Daily!$J$6:$J$256,MATCH($A1105,Market_Daily!$A$6:$A$256,0))*($M1105-$A1105)/day_count_usd)))))</f>
        <v/>
      </c>
      <c r="AM1105" s="8">
        <f>IF(OR($J1105="INR",$R1105&gt;1),"",$AL1105-$X1105)</f>
        <v/>
      </c>
      <c r="AN1105" s="8">
        <f>$U1105</f>
        <v/>
      </c>
      <c r="AO1105" s="8">
        <f>$V1105</f>
        <v/>
      </c>
      <c r="AP1105" s="18">
        <f>$AO1105-$V1105</f>
        <v/>
      </c>
      <c r="AQ1105" s="8">
        <f>IF(ABS($AP1105)&lt;=tol_trade_inr,"PASS","FAIL")</f>
        <v/>
      </c>
    </row>
    <row r="1106">
      <c r="A1106" s="11" t="n">
        <v>44770</v>
      </c>
      <c r="B1106" s="7" t="inlineStr">
        <is>
          <t>T05</t>
        </is>
      </c>
      <c r="C1106" s="7" t="inlineStr">
        <is>
          <t>IGST:L2</t>
        </is>
      </c>
      <c r="D1106" s="7" t="inlineStr">
        <is>
          <t>IGST</t>
        </is>
      </c>
      <c r="E1106" s="7" t="inlineStr">
        <is>
          <t>physical</t>
        </is>
      </c>
      <c r="F1106" s="7" t="inlineStr">
        <is>
          <t>L2</t>
        </is>
      </c>
      <c r="H1106" s="7" t="inlineStr">
        <is>
          <t>tense</t>
        </is>
      </c>
      <c r="I1106" s="7" t="inlineStr">
        <is>
          <t>USEC_MUN</t>
        </is>
      </c>
      <c r="J1106" s="7" t="inlineStr">
        <is>
          <t>INR</t>
        </is>
      </c>
      <c r="K1106" s="7" t="inlineStr">
        <is>
          <t>fixed_unsettled</t>
        </is>
      </c>
      <c r="L1106" s="7" t="inlineStr">
        <is>
          <t>BS</t>
        </is>
      </c>
      <c r="M1106" s="11" t="n">
        <v>44785</v>
      </c>
      <c r="N1106" s="13" t="n">
        <v>0</v>
      </c>
      <c r="O1106" s="6" t="n">
        <v>0</v>
      </c>
      <c r="P1106" s="13" t="n">
        <v>0</v>
      </c>
      <c r="Q1106" s="22" t="n">
        <v>31</v>
      </c>
      <c r="R1106" s="6" t="n">
        <v>2</v>
      </c>
      <c r="U1106" s="9" t="n">
        <v>0</v>
      </c>
      <c r="V1106" s="9" t="n">
        <v>0</v>
      </c>
      <c r="X1106" s="9" t="n">
        <v>79.6814</v>
      </c>
      <c r="AK1106" s="7" t="inlineStr">
        <is>
          <t>PYTHON_MULTI_FLOW_LEG</t>
        </is>
      </c>
      <c r="AL1106" s="8">
        <f>IF($J1106="INR",1,IF($M1106&lt;$A1106,INDEX(Market_Daily!$F$6:$F$256,MATCH($M1106,Market_Daily!$A$6:$A$256,1)),IF($M1106=$A1106,INDEX(Market_Daily!$F$6:$F$256,MATCH($A1106,Market_Daily!$A$6:$A$256,0)),(INDEX(Market_Daily!$F$6:$F$256,MATCH($A1106,Market_Daily!$A$6:$A$256,0))*(1+INDEX(Market_Daily!$I$6:$I$256,MATCH($A1106,Market_Daily!$A$6:$A$256,0))*($M1106-$A1106)/day_count_inr)/(1+INDEX(Market_Daily!$J$6:$J$256,MATCH($A1106,Market_Daily!$A$6:$A$256,0))*($M1106-$A1106)/day_count_usd)))))</f>
        <v/>
      </c>
      <c r="AM1106" s="8">
        <f>IF(OR($J1106="INR",$R1106&gt;1),"",$AL1106-$X1106)</f>
        <v/>
      </c>
      <c r="AN1106" s="8">
        <f>$U1106</f>
        <v/>
      </c>
      <c r="AO1106" s="8">
        <f>$V1106</f>
        <v/>
      </c>
      <c r="AP1106" s="18">
        <f>$AO1106-$V1106</f>
        <v/>
      </c>
      <c r="AQ1106" s="8">
        <f>IF(ABS($AP1106)&lt;=tol_trade_inr,"PASS","FAIL")</f>
        <v/>
      </c>
    </row>
    <row r="1107">
      <c r="A1107" s="11" t="n">
        <v>44770</v>
      </c>
      <c r="B1107" s="7" t="inlineStr">
        <is>
          <t>T05</t>
        </is>
      </c>
      <c r="C1107" s="7" t="inlineStr">
        <is>
          <t>SALE:S1</t>
        </is>
      </c>
      <c r="D1107" s="7" t="inlineStr">
        <is>
          <t>SALE</t>
        </is>
      </c>
      <c r="E1107" s="7" t="inlineStr">
        <is>
          <t>physical</t>
        </is>
      </c>
      <c r="G1107" s="7" t="inlineStr">
        <is>
          <t>BUY_MUN_01</t>
        </is>
      </c>
      <c r="H1107" s="7" t="inlineStr">
        <is>
          <t>tense</t>
        </is>
      </c>
      <c r="I1107" s="7" t="inlineStr">
        <is>
          <t>USEC_MUN</t>
        </is>
      </c>
      <c r="J1107" s="7" t="inlineStr">
        <is>
          <t>INR</t>
        </is>
      </c>
      <c r="K1107" s="7" t="inlineStr">
        <is>
          <t>fixed_unsettled</t>
        </is>
      </c>
      <c r="L1107" s="7" t="inlineStr">
        <is>
          <t>PNL</t>
        </is>
      </c>
      <c r="M1107" s="11" t="n">
        <v>44781</v>
      </c>
      <c r="N1107" s="13" t="n">
        <v>2100</v>
      </c>
      <c r="O1107" s="6" t="n">
        <v>0</v>
      </c>
      <c r="P1107" s="13" t="n">
        <v>0</v>
      </c>
      <c r="Q1107" s="22" t="n">
        <v>31</v>
      </c>
      <c r="R1107" s="6" t="n">
        <v>1</v>
      </c>
      <c r="U1107" s="9" t="n">
        <v>310123937.67</v>
      </c>
      <c r="V1107" s="9" t="n">
        <v>310123937.67</v>
      </c>
      <c r="W1107" s="9" t="n">
        <v>147678.0656</v>
      </c>
      <c r="X1107" s="9" t="n">
        <v>79.6814</v>
      </c>
      <c r="AK1107" s="7" t="inlineStr">
        <is>
          <t>PYTHON_LIFECYCLE</t>
        </is>
      </c>
      <c r="AL1107" s="8">
        <f>IF($J1107="INR",1,IF($M1107&lt;$A1107,INDEX(Market_Daily!$F$6:$F$256,MATCH($M1107,Market_Daily!$A$6:$A$256,1)),IF($M1107=$A1107,INDEX(Market_Daily!$F$6:$F$256,MATCH($A1107,Market_Daily!$A$6:$A$256,0)),(INDEX(Market_Daily!$F$6:$F$256,MATCH($A1107,Market_Daily!$A$6:$A$256,0))*(1+INDEX(Market_Daily!$I$6:$I$256,MATCH($A1107,Market_Daily!$A$6:$A$256,0))*($M1107-$A1107)/day_count_inr)/(1+INDEX(Market_Daily!$J$6:$J$256,MATCH($A1107,Market_Daily!$A$6:$A$256,0))*($M1107-$A1107)/day_count_usd)))))</f>
        <v/>
      </c>
      <c r="AM1107" s="8">
        <f>IF(OR($J1107="INR",$R1107&gt;1),"",$AL1107-$X1107)</f>
        <v/>
      </c>
      <c r="AN1107" s="8">
        <f>$U1107</f>
        <v/>
      </c>
      <c r="AO1107" s="8">
        <f>$AN1107*IF($J1107="INR",1,$AL1107)</f>
        <v/>
      </c>
      <c r="AP1107" s="18">
        <f>$AO1107-$V1107</f>
        <v/>
      </c>
      <c r="AQ1107" s="8">
        <f>IF(ABS($AP1107)&lt;=tol_trade_inr,"PASS","FAIL")</f>
        <v/>
      </c>
    </row>
    <row r="1108">
      <c r="A1108" s="11" t="n">
        <v>44770</v>
      </c>
      <c r="B1108" s="7" t="inlineStr">
        <is>
          <t>T06</t>
        </is>
      </c>
      <c r="C1108" s="7" t="inlineStr">
        <is>
          <t>SALE:S1</t>
        </is>
      </c>
      <c r="D1108" s="7" t="inlineStr">
        <is>
          <t>SALE</t>
        </is>
      </c>
      <c r="E1108" s="7" t="inlineStr">
        <is>
          <t>physical</t>
        </is>
      </c>
      <c r="G1108" s="7" t="inlineStr">
        <is>
          <t>BUY_JNPT_01</t>
        </is>
      </c>
      <c r="H1108" s="7" t="inlineStr">
        <is>
          <t>zorba</t>
        </is>
      </c>
      <c r="I1108" s="7" t="inlineStr">
        <is>
          <t>JEA_NSA</t>
        </is>
      </c>
      <c r="J1108" s="7" t="inlineStr">
        <is>
          <t>INR</t>
        </is>
      </c>
      <c r="K1108" s="7" t="inlineStr">
        <is>
          <t>fixed_unsettled</t>
        </is>
      </c>
      <c r="L1108" s="7" t="inlineStr">
        <is>
          <t>PNL</t>
        </is>
      </c>
      <c r="M1108" s="11" t="n">
        <v>44781</v>
      </c>
      <c r="N1108" s="13" t="n">
        <v>1300</v>
      </c>
      <c r="O1108" s="6" t="n">
        <v>0</v>
      </c>
      <c r="P1108" s="13" t="n">
        <v>0</v>
      </c>
      <c r="Q1108" s="22" t="n">
        <v>31</v>
      </c>
      <c r="R1108" s="6" t="n">
        <v>1</v>
      </c>
      <c r="U1108" s="9" t="n">
        <v>240825000</v>
      </c>
      <c r="V1108" s="9" t="n">
        <v>240825000</v>
      </c>
      <c r="W1108" s="9" t="n">
        <v>185250</v>
      </c>
      <c r="X1108" s="9" t="n">
        <v>79.6814</v>
      </c>
      <c r="AK1108" s="7" t="inlineStr">
        <is>
          <t>PYTHON_LIFECYCLE</t>
        </is>
      </c>
      <c r="AL1108" s="8">
        <f>IF($J1108="INR",1,IF($M1108&lt;$A1108,INDEX(Market_Daily!$F$6:$F$256,MATCH($M1108,Market_Daily!$A$6:$A$256,1)),IF($M1108=$A1108,INDEX(Market_Daily!$F$6:$F$256,MATCH($A1108,Market_Daily!$A$6:$A$256,0)),(INDEX(Market_Daily!$F$6:$F$256,MATCH($A1108,Market_Daily!$A$6:$A$256,0))*(1+INDEX(Market_Daily!$I$6:$I$256,MATCH($A1108,Market_Daily!$A$6:$A$256,0))*($M1108-$A1108)/day_count_inr)/(1+INDEX(Market_Daily!$J$6:$J$256,MATCH($A1108,Market_Daily!$A$6:$A$256,0))*($M1108-$A1108)/day_count_usd)))))</f>
        <v/>
      </c>
      <c r="AM1108" s="8">
        <f>IF(OR($J1108="INR",$R1108&gt;1),"",$AL1108-$X1108)</f>
        <v/>
      </c>
      <c r="AN1108" s="8">
        <f>$U1108</f>
        <v/>
      </c>
      <c r="AO1108" s="8">
        <f>$AN1108*IF($J1108="INR",1,$AL1108)</f>
        <v/>
      </c>
      <c r="AP1108" s="18">
        <f>$AO1108-$V1108</f>
        <v/>
      </c>
      <c r="AQ1108" s="8">
        <f>IF(ABS($AP1108)&lt;=tol_trade_inr,"PASS","FAIL")</f>
        <v/>
      </c>
    </row>
    <row r="1109">
      <c r="A1109" s="11" t="n">
        <v>44770</v>
      </c>
      <c r="B1109" s="7" t="inlineStr">
        <is>
          <t>T07</t>
        </is>
      </c>
      <c r="C1109" s="7" t="inlineStr">
        <is>
          <t>CLAIM:L1</t>
        </is>
      </c>
      <c r="D1109" s="7" t="inlineStr">
        <is>
          <t>CLAIM</t>
        </is>
      </c>
      <c r="E1109" s="7" t="inlineStr">
        <is>
          <t>physical</t>
        </is>
      </c>
      <c r="F1109" s="7" t="inlineStr">
        <is>
          <t>L1</t>
        </is>
      </c>
      <c r="G1109" s="7" t="inlineStr">
        <is>
          <t>SUP_USEC_02</t>
        </is>
      </c>
      <c r="H1109" s="7" t="inlineStr">
        <is>
          <t>tense</t>
        </is>
      </c>
      <c r="I1109" s="7" t="inlineStr">
        <is>
          <t>USEC_MUN</t>
        </is>
      </c>
      <c r="J1109" s="7" t="inlineStr">
        <is>
          <t>USD</t>
        </is>
      </c>
      <c r="K1109" s="7" t="inlineStr">
        <is>
          <t>fixed_unsettled</t>
        </is>
      </c>
      <c r="L1109" s="7" t="inlineStr">
        <is>
          <t>PNL</t>
        </is>
      </c>
      <c r="M1109" s="11" t="n">
        <v>44791</v>
      </c>
      <c r="N1109" s="13" t="n">
        <v>28.6042</v>
      </c>
      <c r="O1109" s="6" t="n">
        <v>0</v>
      </c>
      <c r="P1109" s="13" t="n">
        <v>0</v>
      </c>
      <c r="Q1109" s="22" t="n">
        <v>31</v>
      </c>
      <c r="R1109" s="6" t="n">
        <v>1</v>
      </c>
      <c r="U1109" s="9" t="n">
        <v>35801.02</v>
      </c>
      <c r="V1109" s="9" t="n">
        <v>2857448.45</v>
      </c>
      <c r="X1109" s="9" t="n">
        <v>79.8147</v>
      </c>
      <c r="AK1109" s="7" t="inlineStr">
        <is>
          <t>PYTHON_LIFECYCLE</t>
        </is>
      </c>
      <c r="AL1109" s="8">
        <f>IF($J1109="INR",1,IF($M1109&lt;$A1109,INDEX(Market_Daily!$F$6:$F$256,MATCH($M1109,Market_Daily!$A$6:$A$256,1)),IF($M1109=$A1109,INDEX(Market_Daily!$F$6:$F$256,MATCH($A1109,Market_Daily!$A$6:$A$256,0)),(INDEX(Market_Daily!$F$6:$F$256,MATCH($A1109,Market_Daily!$A$6:$A$256,0))*(1+INDEX(Market_Daily!$I$6:$I$256,MATCH($A1109,Market_Daily!$A$6:$A$256,0))*($M1109-$A1109)/day_count_inr)/(1+INDEX(Market_Daily!$J$6:$J$256,MATCH($A1109,Market_Daily!$A$6:$A$256,0))*($M1109-$A1109)/day_count_usd)))))</f>
        <v/>
      </c>
      <c r="AM1109" s="8">
        <f>IF(OR($J1109="INR",$R1109&gt;1),"",$AL1109-$X1109)</f>
        <v/>
      </c>
      <c r="AN1109" s="8">
        <f>$U1109</f>
        <v/>
      </c>
      <c r="AO1109" s="8">
        <f>$AN1109*IF($J1109="INR",1,$AL1109)</f>
        <v/>
      </c>
      <c r="AP1109" s="18">
        <f>$AO1109-$V1109</f>
        <v/>
      </c>
      <c r="AQ1109" s="8">
        <f>IF(ABS($AP1109)&lt;=tol_trade_inr,"PASS","FAIL")</f>
        <v/>
      </c>
    </row>
    <row r="1110">
      <c r="A1110" s="11" t="n">
        <v>44770</v>
      </c>
      <c r="B1110" s="7" t="inlineStr">
        <is>
          <t>T07</t>
        </is>
      </c>
      <c r="C1110" s="7" t="inlineStr">
        <is>
          <t>DEMURRAGE:L1</t>
        </is>
      </c>
      <c r="D1110" s="7" t="inlineStr">
        <is>
          <t>DEMURRAGE</t>
        </is>
      </c>
      <c r="E1110" s="7" t="inlineStr">
        <is>
          <t>physical</t>
        </is>
      </c>
      <c r="F1110" s="7" t="inlineStr">
        <is>
          <t>L1</t>
        </is>
      </c>
      <c r="H1110" s="7" t="inlineStr">
        <is>
          <t>tense</t>
        </is>
      </c>
      <c r="I1110" s="7" t="inlineStr">
        <is>
          <t>USEC_MUN</t>
        </is>
      </c>
      <c r="J1110" s="7" t="inlineStr">
        <is>
          <t>USD</t>
        </is>
      </c>
      <c r="K1110" s="7" t="inlineStr">
        <is>
          <t>fixed_unsettled</t>
        </is>
      </c>
      <c r="L1110" s="7" t="inlineStr">
        <is>
          <t>PNL</t>
        </is>
      </c>
      <c r="M1110" s="11" t="n">
        <v>44776</v>
      </c>
      <c r="N1110" s="13" t="n">
        <v>0</v>
      </c>
      <c r="O1110" s="6" t="n">
        <v>0</v>
      </c>
      <c r="P1110" s="13" t="n">
        <v>0</v>
      </c>
      <c r="Q1110" s="22" t="n">
        <v>31</v>
      </c>
      <c r="R1110" s="6" t="n">
        <v>1</v>
      </c>
      <c r="U1110" s="9" t="n">
        <v>-3150</v>
      </c>
      <c r="V1110" s="9" t="n">
        <v>-251116.51</v>
      </c>
      <c r="X1110" s="9" t="n">
        <v>79.7195</v>
      </c>
      <c r="AK1110" s="7" t="inlineStr">
        <is>
          <t>PYTHON_LIFECYCLE</t>
        </is>
      </c>
      <c r="AL1110" s="8">
        <f>IF($J1110="INR",1,IF($M1110&lt;$A1110,INDEX(Market_Daily!$F$6:$F$256,MATCH($M1110,Market_Daily!$A$6:$A$256,1)),IF($M1110=$A1110,INDEX(Market_Daily!$F$6:$F$256,MATCH($A1110,Market_Daily!$A$6:$A$256,0)),(INDEX(Market_Daily!$F$6:$F$256,MATCH($A1110,Market_Daily!$A$6:$A$256,0))*(1+INDEX(Market_Daily!$I$6:$I$256,MATCH($A1110,Market_Daily!$A$6:$A$256,0))*($M1110-$A1110)/day_count_inr)/(1+INDEX(Market_Daily!$J$6:$J$256,MATCH($A1110,Market_Daily!$A$6:$A$256,0))*($M1110-$A1110)/day_count_usd)))))</f>
        <v/>
      </c>
      <c r="AM1110" s="8">
        <f>IF(OR($J1110="INR",$R1110&gt;1),"",$AL1110-$X1110)</f>
        <v/>
      </c>
      <c r="AN1110" s="8">
        <f>$U1110</f>
        <v/>
      </c>
      <c r="AO1110" s="8">
        <f>$AN1110*IF($J1110="INR",1,$AL1110)</f>
        <v/>
      </c>
      <c r="AP1110" s="18">
        <f>$AO1110-$V1110</f>
        <v/>
      </c>
      <c r="AQ1110" s="8">
        <f>IF(ABS($AP1110)&lt;=tol_trade_inr,"PASS","FAIL")</f>
        <v/>
      </c>
    </row>
    <row r="1111">
      <c r="A1111" s="11" t="n">
        <v>44770</v>
      </c>
      <c r="B1111" s="7" t="inlineStr">
        <is>
          <t>T07</t>
        </is>
      </c>
      <c r="C1111" s="7" t="inlineStr">
        <is>
          <t>DEMURRAGE:L2</t>
        </is>
      </c>
      <c r="D1111" s="7" t="inlineStr">
        <is>
          <t>DEMURRAGE</t>
        </is>
      </c>
      <c r="E1111" s="7" t="inlineStr">
        <is>
          <t>physical</t>
        </is>
      </c>
      <c r="F1111" s="7" t="inlineStr">
        <is>
          <t>L2</t>
        </is>
      </c>
      <c r="H1111" s="7" t="inlineStr">
        <is>
          <t>tense</t>
        </is>
      </c>
      <c r="I1111" s="7" t="inlineStr">
        <is>
          <t>USEC_MUN</t>
        </is>
      </c>
      <c r="J1111" s="7" t="inlineStr">
        <is>
          <t>USD</t>
        </is>
      </c>
      <c r="K1111" s="7" t="inlineStr">
        <is>
          <t>fixed_unsettled</t>
        </is>
      </c>
      <c r="L1111" s="7" t="inlineStr">
        <is>
          <t>PNL</t>
        </is>
      </c>
      <c r="M1111" s="11" t="n">
        <v>44789</v>
      </c>
      <c r="N1111" s="13" t="n">
        <v>0</v>
      </c>
      <c r="O1111" s="6" t="n">
        <v>0</v>
      </c>
      <c r="P1111" s="13" t="n">
        <v>0</v>
      </c>
      <c r="Q1111" s="22" t="n">
        <v>31</v>
      </c>
      <c r="R1111" s="6" t="n">
        <v>1</v>
      </c>
      <c r="U1111" s="9" t="n">
        <v>-17325</v>
      </c>
      <c r="V1111" s="9" t="n">
        <v>-1382570.24</v>
      </c>
      <c r="X1111" s="9" t="n">
        <v>79.80200000000001</v>
      </c>
      <c r="AK1111" s="7" t="inlineStr">
        <is>
          <t>PYTHON_LIFECYCLE</t>
        </is>
      </c>
      <c r="AL1111" s="8">
        <f>IF($J1111="INR",1,IF($M1111&lt;$A1111,INDEX(Market_Daily!$F$6:$F$256,MATCH($M1111,Market_Daily!$A$6:$A$256,1)),IF($M1111=$A1111,INDEX(Market_Daily!$F$6:$F$256,MATCH($A1111,Market_Daily!$A$6:$A$256,0)),(INDEX(Market_Daily!$F$6:$F$256,MATCH($A1111,Market_Daily!$A$6:$A$256,0))*(1+INDEX(Market_Daily!$I$6:$I$256,MATCH($A1111,Market_Daily!$A$6:$A$256,0))*($M1111-$A1111)/day_count_inr)/(1+INDEX(Market_Daily!$J$6:$J$256,MATCH($A1111,Market_Daily!$A$6:$A$256,0))*($M1111-$A1111)/day_count_usd)))))</f>
        <v/>
      </c>
      <c r="AM1111" s="8">
        <f>IF(OR($J1111="INR",$R1111&gt;1),"",$AL1111-$X1111)</f>
        <v/>
      </c>
      <c r="AN1111" s="8">
        <f>$U1111</f>
        <v/>
      </c>
      <c r="AO1111" s="8">
        <f>$AN1111*IF($J1111="INR",1,$AL1111)</f>
        <v/>
      </c>
      <c r="AP1111" s="18">
        <f>$AO1111-$V1111</f>
        <v/>
      </c>
      <c r="AQ1111" s="8">
        <f>IF(ABS($AP1111)&lt;=tol_trade_inr,"PASS","FAIL")</f>
        <v/>
      </c>
    </row>
    <row r="1112">
      <c r="A1112" s="11" t="n">
        <v>44770</v>
      </c>
      <c r="B1112" s="7" t="inlineStr">
        <is>
          <t>T07</t>
        </is>
      </c>
      <c r="C1112" s="7" t="inlineStr">
        <is>
          <t>IGST:L1</t>
        </is>
      </c>
      <c r="D1112" s="7" t="inlineStr">
        <is>
          <t>IGST</t>
        </is>
      </c>
      <c r="E1112" s="7" t="inlineStr">
        <is>
          <t>physical</t>
        </is>
      </c>
      <c r="F1112" s="7" t="inlineStr">
        <is>
          <t>L1</t>
        </is>
      </c>
      <c r="H1112" s="7" t="inlineStr">
        <is>
          <t>tense</t>
        </is>
      </c>
      <c r="I1112" s="7" t="inlineStr">
        <is>
          <t>USEC_MUN</t>
        </is>
      </c>
      <c r="J1112" s="7" t="inlineStr">
        <is>
          <t>INR</t>
        </is>
      </c>
      <c r="K1112" s="7" t="inlineStr">
        <is>
          <t>fixed_unsettled</t>
        </is>
      </c>
      <c r="L1112" s="7" t="inlineStr">
        <is>
          <t>BS</t>
        </is>
      </c>
      <c r="M1112" s="11" t="n">
        <v>44806</v>
      </c>
      <c r="N1112" s="13" t="n">
        <v>0</v>
      </c>
      <c r="O1112" s="6" t="n">
        <v>0</v>
      </c>
      <c r="P1112" s="13" t="n">
        <v>0</v>
      </c>
      <c r="Q1112" s="22" t="n">
        <v>31</v>
      </c>
      <c r="R1112" s="6" t="n">
        <v>2</v>
      </c>
      <c r="U1112" s="9" t="n">
        <v>0</v>
      </c>
      <c r="V1112" s="9" t="n">
        <v>0</v>
      </c>
      <c r="X1112" s="9" t="n">
        <v>79.6814</v>
      </c>
      <c r="AK1112" s="7" t="inlineStr">
        <is>
          <t>PYTHON_MULTI_FLOW_LEG</t>
        </is>
      </c>
      <c r="AL1112" s="8">
        <f>IF($J1112="INR",1,IF($M1112&lt;$A1112,INDEX(Market_Daily!$F$6:$F$256,MATCH($M1112,Market_Daily!$A$6:$A$256,1)),IF($M1112=$A1112,INDEX(Market_Daily!$F$6:$F$256,MATCH($A1112,Market_Daily!$A$6:$A$256,0)),(INDEX(Market_Daily!$F$6:$F$256,MATCH($A1112,Market_Daily!$A$6:$A$256,0))*(1+INDEX(Market_Daily!$I$6:$I$256,MATCH($A1112,Market_Daily!$A$6:$A$256,0))*($M1112-$A1112)/day_count_inr)/(1+INDEX(Market_Daily!$J$6:$J$256,MATCH($A1112,Market_Daily!$A$6:$A$256,0))*($M1112-$A1112)/day_count_usd)))))</f>
        <v/>
      </c>
      <c r="AM1112" s="8">
        <f>IF(OR($J1112="INR",$R1112&gt;1),"",$AL1112-$X1112)</f>
        <v/>
      </c>
      <c r="AN1112" s="8">
        <f>$U1112</f>
        <v/>
      </c>
      <c r="AO1112" s="8">
        <f>$V1112</f>
        <v/>
      </c>
      <c r="AP1112" s="18">
        <f>$AO1112-$V1112</f>
        <v/>
      </c>
      <c r="AQ1112" s="8">
        <f>IF(ABS($AP1112)&lt;=tol_trade_inr,"PASS","FAIL")</f>
        <v/>
      </c>
    </row>
    <row r="1113">
      <c r="A1113" s="11" t="n">
        <v>44770</v>
      </c>
      <c r="B1113" s="7" t="inlineStr">
        <is>
          <t>T07</t>
        </is>
      </c>
      <c r="C1113" s="7" t="inlineStr">
        <is>
          <t>IGST:L2</t>
        </is>
      </c>
      <c r="D1113" s="7" t="inlineStr">
        <is>
          <t>IGST</t>
        </is>
      </c>
      <c r="E1113" s="7" t="inlineStr">
        <is>
          <t>physical</t>
        </is>
      </c>
      <c r="F1113" s="7" t="inlineStr">
        <is>
          <t>L2</t>
        </is>
      </c>
      <c r="H1113" s="7" t="inlineStr">
        <is>
          <t>tense</t>
        </is>
      </c>
      <c r="I1113" s="7" t="inlineStr">
        <is>
          <t>USEC_MUN</t>
        </is>
      </c>
      <c r="J1113" s="7" t="inlineStr">
        <is>
          <t>INR</t>
        </is>
      </c>
      <c r="K1113" s="7" t="inlineStr">
        <is>
          <t>fixed_unsettled</t>
        </is>
      </c>
      <c r="L1113" s="7" t="inlineStr">
        <is>
          <t>BS</t>
        </is>
      </c>
      <c r="M1113" s="11" t="n">
        <v>44813</v>
      </c>
      <c r="N1113" s="13" t="n">
        <v>0</v>
      </c>
      <c r="O1113" s="6" t="n">
        <v>0</v>
      </c>
      <c r="P1113" s="13" t="n">
        <v>0</v>
      </c>
      <c r="Q1113" s="22" t="n">
        <v>31</v>
      </c>
      <c r="R1113" s="6" t="n">
        <v>2</v>
      </c>
      <c r="U1113" s="9" t="n">
        <v>0</v>
      </c>
      <c r="V1113" s="9" t="n">
        <v>0</v>
      </c>
      <c r="X1113" s="9" t="n">
        <v>79.6814</v>
      </c>
      <c r="AK1113" s="7" t="inlineStr">
        <is>
          <t>PYTHON_MULTI_FLOW_LEG</t>
        </is>
      </c>
      <c r="AL1113" s="8">
        <f>IF($J1113="INR",1,IF($M1113&lt;$A1113,INDEX(Market_Daily!$F$6:$F$256,MATCH($M1113,Market_Daily!$A$6:$A$256,1)),IF($M1113=$A1113,INDEX(Market_Daily!$F$6:$F$256,MATCH($A1113,Market_Daily!$A$6:$A$256,0)),(INDEX(Market_Daily!$F$6:$F$256,MATCH($A1113,Market_Daily!$A$6:$A$256,0))*(1+INDEX(Market_Daily!$I$6:$I$256,MATCH($A1113,Market_Daily!$A$6:$A$256,0))*($M1113-$A1113)/day_count_inr)/(1+INDEX(Market_Daily!$J$6:$J$256,MATCH($A1113,Market_Daily!$A$6:$A$256,0))*($M1113-$A1113)/day_count_usd)))))</f>
        <v/>
      </c>
      <c r="AM1113" s="8">
        <f>IF(OR($J1113="INR",$R1113&gt;1),"",$AL1113-$X1113)</f>
        <v/>
      </c>
      <c r="AN1113" s="8">
        <f>$U1113</f>
        <v/>
      </c>
      <c r="AO1113" s="8">
        <f>$V1113</f>
        <v/>
      </c>
      <c r="AP1113" s="18">
        <f>$AO1113-$V1113</f>
        <v/>
      </c>
      <c r="AQ1113" s="8">
        <f>IF(ABS($AP1113)&lt;=tol_trade_inr,"PASS","FAIL")</f>
        <v/>
      </c>
    </row>
    <row r="1114">
      <c r="A1114" s="11" t="n">
        <v>44770</v>
      </c>
      <c r="B1114" s="7" t="inlineStr">
        <is>
          <t>T07</t>
        </is>
      </c>
      <c r="C1114" s="7" t="inlineStr">
        <is>
          <t>PORT:L1</t>
        </is>
      </c>
      <c r="D1114" s="7" t="inlineStr">
        <is>
          <t>PORT</t>
        </is>
      </c>
      <c r="E1114" s="7" t="inlineStr">
        <is>
          <t>physical</t>
        </is>
      </c>
      <c r="F1114" s="7" t="inlineStr">
        <is>
          <t>L1</t>
        </is>
      </c>
      <c r="H1114" s="7" t="inlineStr">
        <is>
          <t>tense</t>
        </is>
      </c>
      <c r="I1114" s="7" t="inlineStr">
        <is>
          <t>USEC_MUN</t>
        </is>
      </c>
      <c r="J1114" s="7" t="inlineStr">
        <is>
          <t>INR</t>
        </is>
      </c>
      <c r="K1114" s="7" t="inlineStr">
        <is>
          <t>fixed_unsettled</t>
        </is>
      </c>
      <c r="L1114" s="7" t="inlineStr">
        <is>
          <t>PNL</t>
        </is>
      </c>
      <c r="M1114" s="11" t="n">
        <v>44776</v>
      </c>
      <c r="N1114" s="13" t="n">
        <v>0</v>
      </c>
      <c r="O1114" s="6" t="n">
        <v>0</v>
      </c>
      <c r="P1114" s="13" t="n">
        <v>0</v>
      </c>
      <c r="Q1114" s="22" t="n">
        <v>31</v>
      </c>
      <c r="R1114" s="6" t="n">
        <v>1</v>
      </c>
      <c r="U1114" s="9" t="n">
        <v>-2504250</v>
      </c>
      <c r="V1114" s="9" t="n">
        <v>-2504250</v>
      </c>
      <c r="X1114" s="9" t="n">
        <v>79.6814</v>
      </c>
      <c r="AK1114" s="7" t="inlineStr">
        <is>
          <t>PYTHON_LIFECYCLE</t>
        </is>
      </c>
      <c r="AL1114" s="8">
        <f>IF($J1114="INR",1,IF($M1114&lt;$A1114,INDEX(Market_Daily!$F$6:$F$256,MATCH($M1114,Market_Daily!$A$6:$A$256,1)),IF($M1114=$A1114,INDEX(Market_Daily!$F$6:$F$256,MATCH($A1114,Market_Daily!$A$6:$A$256,0)),(INDEX(Market_Daily!$F$6:$F$256,MATCH($A1114,Market_Daily!$A$6:$A$256,0))*(1+INDEX(Market_Daily!$I$6:$I$256,MATCH($A1114,Market_Daily!$A$6:$A$256,0))*($M1114-$A1114)/day_count_inr)/(1+INDEX(Market_Daily!$J$6:$J$256,MATCH($A1114,Market_Daily!$A$6:$A$256,0))*($M1114-$A1114)/day_count_usd)))))</f>
        <v/>
      </c>
      <c r="AM1114" s="8">
        <f>IF(OR($J1114="INR",$R1114&gt;1),"",$AL1114-$X1114)</f>
        <v/>
      </c>
      <c r="AN1114" s="8">
        <f>$U1114</f>
        <v/>
      </c>
      <c r="AO1114" s="8">
        <f>$AN1114*IF($J1114="INR",1,$AL1114)</f>
        <v/>
      </c>
      <c r="AP1114" s="18">
        <f>$AO1114-$V1114</f>
        <v/>
      </c>
      <c r="AQ1114" s="8">
        <f>IF(ABS($AP1114)&lt;=tol_trade_inr,"PASS","FAIL")</f>
        <v/>
      </c>
    </row>
    <row r="1115">
      <c r="A1115" s="11" t="n">
        <v>44770</v>
      </c>
      <c r="B1115" s="7" t="inlineStr">
        <is>
          <t>T07</t>
        </is>
      </c>
      <c r="C1115" s="7" t="inlineStr">
        <is>
          <t>PORT:L2</t>
        </is>
      </c>
      <c r="D1115" s="7" t="inlineStr">
        <is>
          <t>PORT</t>
        </is>
      </c>
      <c r="E1115" s="7" t="inlineStr">
        <is>
          <t>physical</t>
        </is>
      </c>
      <c r="F1115" s="7" t="inlineStr">
        <is>
          <t>L2</t>
        </is>
      </c>
      <c r="H1115" s="7" t="inlineStr">
        <is>
          <t>tense</t>
        </is>
      </c>
      <c r="I1115" s="7" t="inlineStr">
        <is>
          <t>USEC_MUN</t>
        </is>
      </c>
      <c r="J1115" s="7" t="inlineStr">
        <is>
          <t>INR</t>
        </is>
      </c>
      <c r="K1115" s="7" t="inlineStr">
        <is>
          <t>fixed_unsettled</t>
        </is>
      </c>
      <c r="L1115" s="7" t="inlineStr">
        <is>
          <t>PNL</t>
        </is>
      </c>
      <c r="M1115" s="11" t="n">
        <v>44789</v>
      </c>
      <c r="N1115" s="13" t="n">
        <v>0</v>
      </c>
      <c r="O1115" s="6" t="n">
        <v>0</v>
      </c>
      <c r="P1115" s="13" t="n">
        <v>0</v>
      </c>
      <c r="Q1115" s="22" t="n">
        <v>31</v>
      </c>
      <c r="R1115" s="6" t="n">
        <v>1</v>
      </c>
      <c r="U1115" s="9" t="n">
        <v>-2504250</v>
      </c>
      <c r="V1115" s="9" t="n">
        <v>-2504250</v>
      </c>
      <c r="X1115" s="9" t="n">
        <v>79.6814</v>
      </c>
      <c r="AK1115" s="7" t="inlineStr">
        <is>
          <t>PYTHON_LIFECYCLE</t>
        </is>
      </c>
      <c r="AL1115" s="8">
        <f>IF($J1115="INR",1,IF($M1115&lt;$A1115,INDEX(Market_Daily!$F$6:$F$256,MATCH($M1115,Market_Daily!$A$6:$A$256,1)),IF($M1115=$A1115,INDEX(Market_Daily!$F$6:$F$256,MATCH($A1115,Market_Daily!$A$6:$A$256,0)),(INDEX(Market_Daily!$F$6:$F$256,MATCH($A1115,Market_Daily!$A$6:$A$256,0))*(1+INDEX(Market_Daily!$I$6:$I$256,MATCH($A1115,Market_Daily!$A$6:$A$256,0))*($M1115-$A1115)/day_count_inr)/(1+INDEX(Market_Daily!$J$6:$J$256,MATCH($A1115,Market_Daily!$A$6:$A$256,0))*($M1115-$A1115)/day_count_usd)))))</f>
        <v/>
      </c>
      <c r="AM1115" s="8">
        <f>IF(OR($J1115="INR",$R1115&gt;1),"",$AL1115-$X1115)</f>
        <v/>
      </c>
      <c r="AN1115" s="8">
        <f>$U1115</f>
        <v/>
      </c>
      <c r="AO1115" s="8">
        <f>$AN1115*IF($J1115="INR",1,$AL1115)</f>
        <v/>
      </c>
      <c r="AP1115" s="18">
        <f>$AO1115-$V1115</f>
        <v/>
      </c>
      <c r="AQ1115" s="8">
        <f>IF(ABS($AP1115)&lt;=tol_trade_inr,"PASS","FAIL")</f>
        <v/>
      </c>
    </row>
    <row r="1116">
      <c r="A1116" s="11" t="n">
        <v>44770</v>
      </c>
      <c r="B1116" s="7" t="inlineStr">
        <is>
          <t>T07</t>
        </is>
      </c>
      <c r="C1116" s="7" t="inlineStr">
        <is>
          <t>SALE:S1</t>
        </is>
      </c>
      <c r="D1116" s="7" t="inlineStr">
        <is>
          <t>SALE</t>
        </is>
      </c>
      <c r="E1116" s="7" t="inlineStr">
        <is>
          <t>physical</t>
        </is>
      </c>
      <c r="G1116" s="7" t="inlineStr">
        <is>
          <t>BUY_RJK_01</t>
        </is>
      </c>
      <c r="H1116" s="7" t="inlineStr">
        <is>
          <t>tense</t>
        </is>
      </c>
      <c r="I1116" s="7" t="inlineStr">
        <is>
          <t>USEC_MUN</t>
        </is>
      </c>
      <c r="J1116" s="7" t="inlineStr">
        <is>
          <t>INR</t>
        </is>
      </c>
      <c r="K1116" s="7" t="inlineStr">
        <is>
          <t>partially_fixed</t>
        </is>
      </c>
      <c r="L1116" s="7" t="inlineStr">
        <is>
          <t>PNL</t>
        </is>
      </c>
      <c r="M1116" s="11" t="n">
        <v>44819</v>
      </c>
      <c r="N1116" s="13" t="n">
        <v>3766.77</v>
      </c>
      <c r="O1116" s="6" t="n">
        <v>0</v>
      </c>
      <c r="P1116" s="13" t="n">
        <v>0</v>
      </c>
      <c r="Q1116" s="22" t="n">
        <v>31</v>
      </c>
      <c r="R1116" s="6" t="n">
        <v>2</v>
      </c>
      <c r="U1116" s="9" t="n">
        <v>308526353.02</v>
      </c>
      <c r="V1116" s="9" t="n">
        <v>308526353.02</v>
      </c>
      <c r="W1116" s="9" t="n">
        <v>165750</v>
      </c>
      <c r="X1116" s="9" t="n">
        <v>79.6814</v>
      </c>
      <c r="AK1116" s="7" t="inlineStr">
        <is>
          <t>PYTHON_MULTI_FLOW_LEG</t>
        </is>
      </c>
      <c r="AL1116" s="8">
        <f>IF($J1116="INR",1,IF($M1116&lt;$A1116,INDEX(Market_Daily!$F$6:$F$256,MATCH($M1116,Market_Daily!$A$6:$A$256,1)),IF($M1116=$A1116,INDEX(Market_Daily!$F$6:$F$256,MATCH($A1116,Market_Daily!$A$6:$A$256,0)),(INDEX(Market_Daily!$F$6:$F$256,MATCH($A1116,Market_Daily!$A$6:$A$256,0))*(1+INDEX(Market_Daily!$I$6:$I$256,MATCH($A1116,Market_Daily!$A$6:$A$256,0))*($M1116-$A1116)/day_count_inr)/(1+INDEX(Market_Daily!$J$6:$J$256,MATCH($A1116,Market_Daily!$A$6:$A$256,0))*($M1116-$A1116)/day_count_usd)))))</f>
        <v/>
      </c>
      <c r="AM1116" s="8">
        <f>IF(OR($J1116="INR",$R1116&gt;1),"",$AL1116-$X1116)</f>
        <v/>
      </c>
      <c r="AN1116" s="8">
        <f>$U1116</f>
        <v/>
      </c>
      <c r="AO1116" s="8">
        <f>$V1116</f>
        <v/>
      </c>
      <c r="AP1116" s="18">
        <f>$AO1116-$V1116</f>
        <v/>
      </c>
      <c r="AQ1116" s="8">
        <f>IF(ABS($AP1116)&lt;=tol_trade_inr,"PASS","FAIL")</f>
        <v/>
      </c>
    </row>
    <row r="1117">
      <c r="A1117" s="11" t="n">
        <v>44770</v>
      </c>
      <c r="B1117" s="7" t="inlineStr">
        <is>
          <t>T08</t>
        </is>
      </c>
      <c r="C1117" s="7" t="inlineStr">
        <is>
          <t>DUTY:L1</t>
        </is>
      </c>
      <c r="D1117" s="7" t="inlineStr">
        <is>
          <t>DUTY</t>
        </is>
      </c>
      <c r="E1117" s="7" t="inlineStr">
        <is>
          <t>physical</t>
        </is>
      </c>
      <c r="F1117" s="7" t="inlineStr">
        <is>
          <t>L1</t>
        </is>
      </c>
      <c r="H1117" s="7" t="inlineStr">
        <is>
          <t>tense</t>
        </is>
      </c>
      <c r="I1117" s="7" t="inlineStr">
        <is>
          <t>USEC_MUN</t>
        </is>
      </c>
      <c r="J1117" s="7" t="inlineStr">
        <is>
          <t>INR</t>
        </is>
      </c>
      <c r="K1117" s="7" t="inlineStr">
        <is>
          <t>floating</t>
        </is>
      </c>
      <c r="L1117" s="7" t="inlineStr">
        <is>
          <t>PNL</t>
        </is>
      </c>
      <c r="M1117" s="11" t="n">
        <v>44782</v>
      </c>
      <c r="N1117" s="13" t="n">
        <v>840</v>
      </c>
      <c r="O1117" s="6" t="n">
        <v>0</v>
      </c>
      <c r="P1117" s="13" t="n">
        <v>0</v>
      </c>
      <c r="Q1117" s="22" t="n">
        <v>31</v>
      </c>
      <c r="R1117" s="6" t="n">
        <v>1</v>
      </c>
      <c r="U1117" s="9" t="n">
        <v>-3516082.83</v>
      </c>
      <c r="V1117" s="9" t="n">
        <v>-3516082.83</v>
      </c>
      <c r="X1117" s="9" t="n">
        <v>79.6814</v>
      </c>
      <c r="AK1117" s="7" t="inlineStr">
        <is>
          <t>PYTHON_LIFECYCLE</t>
        </is>
      </c>
      <c r="AL1117" s="8">
        <f>IF($J1117="INR",1,IF($M1117&lt;$A1117,INDEX(Market_Daily!$F$6:$F$256,MATCH($M1117,Market_Daily!$A$6:$A$256,1)),IF($M1117=$A1117,INDEX(Market_Daily!$F$6:$F$256,MATCH($A1117,Market_Daily!$A$6:$A$256,0)),(INDEX(Market_Daily!$F$6:$F$256,MATCH($A1117,Market_Daily!$A$6:$A$256,0))*(1+INDEX(Market_Daily!$I$6:$I$256,MATCH($A1117,Market_Daily!$A$6:$A$256,0))*($M1117-$A1117)/day_count_inr)/(1+INDEX(Market_Daily!$J$6:$J$256,MATCH($A1117,Market_Daily!$A$6:$A$256,0))*($M1117-$A1117)/day_count_usd)))))</f>
        <v/>
      </c>
      <c r="AM1117" s="8">
        <f>IF(OR($J1117="INR",$R1117&gt;1),"",$AL1117-$X1117)</f>
        <v/>
      </c>
      <c r="AN1117" s="8">
        <f>$U1117</f>
        <v/>
      </c>
      <c r="AO1117" s="8">
        <f>$AN1117*IF($J1117="INR",1,$AL1117)</f>
        <v/>
      </c>
      <c r="AP1117" s="18">
        <f>$AO1117-$V1117</f>
        <v/>
      </c>
      <c r="AQ1117" s="8">
        <f>IF(ABS($AP1117)&lt;=tol_trade_inr,"PASS","FAIL")</f>
        <v/>
      </c>
    </row>
    <row r="1118">
      <c r="A1118" s="11" t="n">
        <v>44770</v>
      </c>
      <c r="B1118" s="7" t="inlineStr">
        <is>
          <t>T08</t>
        </is>
      </c>
      <c r="C1118" s="7" t="inlineStr">
        <is>
          <t>DUTY:L2</t>
        </is>
      </c>
      <c r="D1118" s="7" t="inlineStr">
        <is>
          <t>DUTY</t>
        </is>
      </c>
      <c r="E1118" s="7" t="inlineStr">
        <is>
          <t>physical</t>
        </is>
      </c>
      <c r="F1118" s="7" t="inlineStr">
        <is>
          <t>L2</t>
        </is>
      </c>
      <c r="H1118" s="7" t="inlineStr">
        <is>
          <t>tense</t>
        </is>
      </c>
      <c r="I1118" s="7" t="inlineStr">
        <is>
          <t>USEC_MUN</t>
        </is>
      </c>
      <c r="J1118" s="7" t="inlineStr">
        <is>
          <t>INR</t>
        </is>
      </c>
      <c r="K1118" s="7" t="inlineStr">
        <is>
          <t>floating</t>
        </is>
      </c>
      <c r="L1118" s="7" t="inlineStr">
        <is>
          <t>PNL</t>
        </is>
      </c>
      <c r="M1118" s="11" t="n">
        <v>44789</v>
      </c>
      <c r="N1118" s="13" t="n">
        <v>840</v>
      </c>
      <c r="O1118" s="6" t="n">
        <v>0</v>
      </c>
      <c r="P1118" s="13" t="n">
        <v>0</v>
      </c>
      <c r="Q1118" s="22" t="n">
        <v>31</v>
      </c>
      <c r="R1118" s="6" t="n">
        <v>1</v>
      </c>
      <c r="U1118" s="9" t="n">
        <v>-3516082.83</v>
      </c>
      <c r="V1118" s="9" t="n">
        <v>-3516082.83</v>
      </c>
      <c r="X1118" s="9" t="n">
        <v>79.6814</v>
      </c>
      <c r="AK1118" s="7" t="inlineStr">
        <is>
          <t>PYTHON_LIFECYCLE</t>
        </is>
      </c>
      <c r="AL1118" s="8">
        <f>IF($J1118="INR",1,IF($M1118&lt;$A1118,INDEX(Market_Daily!$F$6:$F$256,MATCH($M1118,Market_Daily!$A$6:$A$256,1)),IF($M1118=$A1118,INDEX(Market_Daily!$F$6:$F$256,MATCH($A1118,Market_Daily!$A$6:$A$256,0)),(INDEX(Market_Daily!$F$6:$F$256,MATCH($A1118,Market_Daily!$A$6:$A$256,0))*(1+INDEX(Market_Daily!$I$6:$I$256,MATCH($A1118,Market_Daily!$A$6:$A$256,0))*($M1118-$A1118)/day_count_inr)/(1+INDEX(Market_Daily!$J$6:$J$256,MATCH($A1118,Market_Daily!$A$6:$A$256,0))*($M1118-$A1118)/day_count_usd)))))</f>
        <v/>
      </c>
      <c r="AM1118" s="8">
        <f>IF(OR($J1118="INR",$R1118&gt;1),"",$AL1118-$X1118)</f>
        <v/>
      </c>
      <c r="AN1118" s="8">
        <f>$U1118</f>
        <v/>
      </c>
      <c r="AO1118" s="8">
        <f>$AN1118*IF($J1118="INR",1,$AL1118)</f>
        <v/>
      </c>
      <c r="AP1118" s="18">
        <f>$AO1118-$V1118</f>
        <v/>
      </c>
      <c r="AQ1118" s="8">
        <f>IF(ABS($AP1118)&lt;=tol_trade_inr,"PASS","FAIL")</f>
        <v/>
      </c>
    </row>
    <row r="1119">
      <c r="A1119" s="11" t="n">
        <v>44770</v>
      </c>
      <c r="B1119" s="7" t="inlineStr">
        <is>
          <t>T08</t>
        </is>
      </c>
      <c r="C1119" s="7" t="inlineStr">
        <is>
          <t>IGST:L1</t>
        </is>
      </c>
      <c r="D1119" s="7" t="inlineStr">
        <is>
          <t>IGST</t>
        </is>
      </c>
      <c r="E1119" s="7" t="inlineStr">
        <is>
          <t>physical</t>
        </is>
      </c>
      <c r="F1119" s="7" t="inlineStr">
        <is>
          <t>L1</t>
        </is>
      </c>
      <c r="H1119" s="7" t="inlineStr">
        <is>
          <t>tense</t>
        </is>
      </c>
      <c r="I1119" s="7" t="inlineStr">
        <is>
          <t>USEC_MUN</t>
        </is>
      </c>
      <c r="J1119" s="7" t="inlineStr">
        <is>
          <t>INR</t>
        </is>
      </c>
      <c r="K1119" s="7" t="inlineStr">
        <is>
          <t>floating</t>
        </is>
      </c>
      <c r="L1119" s="7" t="inlineStr">
        <is>
          <t>BS</t>
        </is>
      </c>
      <c r="M1119" s="11" t="n">
        <v>44827</v>
      </c>
      <c r="N1119" s="13" t="n">
        <v>0</v>
      </c>
      <c r="O1119" s="6" t="n">
        <v>0</v>
      </c>
      <c r="P1119" s="13" t="n">
        <v>0</v>
      </c>
      <c r="Q1119" s="22" t="n">
        <v>31</v>
      </c>
      <c r="R1119" s="6" t="n">
        <v>2</v>
      </c>
      <c r="U1119" s="9" t="n">
        <v>0</v>
      </c>
      <c r="V1119" s="9" t="n">
        <v>0</v>
      </c>
      <c r="X1119" s="9" t="n">
        <v>79.6814</v>
      </c>
      <c r="AK1119" s="7" t="inlineStr">
        <is>
          <t>PYTHON_MULTI_FLOW_LEG</t>
        </is>
      </c>
      <c r="AL1119" s="8">
        <f>IF($J1119="INR",1,IF($M1119&lt;$A1119,INDEX(Market_Daily!$F$6:$F$256,MATCH($M1119,Market_Daily!$A$6:$A$256,1)),IF($M1119=$A1119,INDEX(Market_Daily!$F$6:$F$256,MATCH($A1119,Market_Daily!$A$6:$A$256,0)),(INDEX(Market_Daily!$F$6:$F$256,MATCH($A1119,Market_Daily!$A$6:$A$256,0))*(1+INDEX(Market_Daily!$I$6:$I$256,MATCH($A1119,Market_Daily!$A$6:$A$256,0))*($M1119-$A1119)/day_count_inr)/(1+INDEX(Market_Daily!$J$6:$J$256,MATCH($A1119,Market_Daily!$A$6:$A$256,0))*($M1119-$A1119)/day_count_usd)))))</f>
        <v/>
      </c>
      <c r="AM1119" s="8">
        <f>IF(OR($J1119="INR",$R1119&gt;1),"",$AL1119-$X1119)</f>
        <v/>
      </c>
      <c r="AN1119" s="8">
        <f>$U1119</f>
        <v/>
      </c>
      <c r="AO1119" s="8">
        <f>$V1119</f>
        <v/>
      </c>
      <c r="AP1119" s="18">
        <f>$AO1119-$V1119</f>
        <v/>
      </c>
      <c r="AQ1119" s="8">
        <f>IF(ABS($AP1119)&lt;=tol_trade_inr,"PASS","FAIL")</f>
        <v/>
      </c>
    </row>
    <row r="1120">
      <c r="A1120" s="11" t="n">
        <v>44770</v>
      </c>
      <c r="B1120" s="7" t="inlineStr">
        <is>
          <t>T08</t>
        </is>
      </c>
      <c r="C1120" s="7" t="inlineStr">
        <is>
          <t>IGST:L2</t>
        </is>
      </c>
      <c r="D1120" s="7" t="inlineStr">
        <is>
          <t>IGST</t>
        </is>
      </c>
      <c r="E1120" s="7" t="inlineStr">
        <is>
          <t>physical</t>
        </is>
      </c>
      <c r="F1120" s="7" t="inlineStr">
        <is>
          <t>L2</t>
        </is>
      </c>
      <c r="H1120" s="7" t="inlineStr">
        <is>
          <t>tense</t>
        </is>
      </c>
      <c r="I1120" s="7" t="inlineStr">
        <is>
          <t>USEC_MUN</t>
        </is>
      </c>
      <c r="J1120" s="7" t="inlineStr">
        <is>
          <t>INR</t>
        </is>
      </c>
      <c r="K1120" s="7" t="inlineStr">
        <is>
          <t>floating</t>
        </is>
      </c>
      <c r="L1120" s="7" t="inlineStr">
        <is>
          <t>BS</t>
        </is>
      </c>
      <c r="M1120" s="11" t="n">
        <v>44834</v>
      </c>
      <c r="N1120" s="13" t="n">
        <v>0</v>
      </c>
      <c r="O1120" s="6" t="n">
        <v>0</v>
      </c>
      <c r="P1120" s="13" t="n">
        <v>0</v>
      </c>
      <c r="Q1120" s="22" t="n">
        <v>31</v>
      </c>
      <c r="R1120" s="6" t="n">
        <v>2</v>
      </c>
      <c r="U1120" s="9" t="n">
        <v>0</v>
      </c>
      <c r="V1120" s="9" t="n">
        <v>0</v>
      </c>
      <c r="X1120" s="9" t="n">
        <v>79.6814</v>
      </c>
      <c r="AK1120" s="7" t="inlineStr">
        <is>
          <t>PYTHON_MULTI_FLOW_LEG</t>
        </is>
      </c>
      <c r="AL1120" s="8">
        <f>IF($J1120="INR",1,IF($M1120&lt;$A1120,INDEX(Market_Daily!$F$6:$F$256,MATCH($M1120,Market_Daily!$A$6:$A$256,1)),IF($M1120=$A1120,INDEX(Market_Daily!$F$6:$F$256,MATCH($A1120,Market_Daily!$A$6:$A$256,0)),(INDEX(Market_Daily!$F$6:$F$256,MATCH($A1120,Market_Daily!$A$6:$A$256,0))*(1+INDEX(Market_Daily!$I$6:$I$256,MATCH($A1120,Market_Daily!$A$6:$A$256,0))*($M1120-$A1120)/day_count_inr)/(1+INDEX(Market_Daily!$J$6:$J$256,MATCH($A1120,Market_Daily!$A$6:$A$256,0))*($M1120-$A1120)/day_count_usd)))))</f>
        <v/>
      </c>
      <c r="AM1120" s="8">
        <f>IF(OR($J1120="INR",$R1120&gt;1),"",$AL1120-$X1120)</f>
        <v/>
      </c>
      <c r="AN1120" s="8">
        <f>$U1120</f>
        <v/>
      </c>
      <c r="AO1120" s="8">
        <f>$V1120</f>
        <v/>
      </c>
      <c r="AP1120" s="18">
        <f>$AO1120-$V1120</f>
        <v/>
      </c>
      <c r="AQ1120" s="8">
        <f>IF(ABS($AP1120)&lt;=tol_trade_inr,"PASS","FAIL")</f>
        <v/>
      </c>
    </row>
    <row r="1121">
      <c r="A1121" s="11" t="n">
        <v>44770</v>
      </c>
      <c r="B1121" s="7" t="inlineStr">
        <is>
          <t>T08</t>
        </is>
      </c>
      <c r="C1121" s="7" t="inlineStr">
        <is>
          <t>INVENTORY:L1</t>
        </is>
      </c>
      <c r="D1121" s="7" t="inlineStr">
        <is>
          <t>INVENTORY</t>
        </is>
      </c>
      <c r="E1121" s="7" t="inlineStr">
        <is>
          <t>physical</t>
        </is>
      </c>
      <c r="F1121" s="7" t="inlineStr">
        <is>
          <t>L1</t>
        </is>
      </c>
      <c r="H1121" s="7" t="inlineStr">
        <is>
          <t>tense</t>
        </is>
      </c>
      <c r="I1121" s="7" t="inlineStr">
        <is>
          <t>USEC_MUN</t>
        </is>
      </c>
      <c r="J1121" s="7" t="inlineStr">
        <is>
          <t>INR</t>
        </is>
      </c>
      <c r="K1121" s="7" t="inlineStr">
        <is>
          <t>fixed_unsettled</t>
        </is>
      </c>
      <c r="L1121" s="7" t="inlineStr">
        <is>
          <t>PNL</t>
        </is>
      </c>
      <c r="N1121" s="13" t="n">
        <v>840</v>
      </c>
      <c r="O1121" s="6" t="n">
        <v>0</v>
      </c>
      <c r="P1121" s="13" t="n">
        <v>0</v>
      </c>
      <c r="Q1121" s="22" t="n">
        <v>31</v>
      </c>
      <c r="R1121" s="6" t="n">
        <v>0</v>
      </c>
      <c r="U1121" s="9" t="n">
        <v>133571155.73</v>
      </c>
      <c r="V1121" s="9" t="n">
        <v>133571155.73</v>
      </c>
      <c r="W1121" s="9" t="n">
        <v>159013.2806</v>
      </c>
      <c r="X1121" s="9" t="n">
        <v>79.6814</v>
      </c>
      <c r="Y1121" s="8">
        <f>IF($I1121="JEA_NSA","20ft","40ft")</f>
        <v/>
      </c>
      <c r="Z1121" s="8">
        <f>IF($I1121="JEA_NSA","nsa","mun")</f>
        <v/>
      </c>
      <c r="AA1121" s="8">
        <f>INDEX(param_values,MATCH("container_payload_mt_"&amp;$Y1121,param_keys,0))/INDEX(param_values,MATCH("container_payload_mt_"&amp;$Y1121&amp;"_"&amp;$H1121,param_keys,0))</f>
        <v/>
      </c>
      <c r="AB1121" s="16">
        <f>INDEX(Market_Daily!$C$6:$C$256,MATCH($A1121,Market_Daily!$A$6:$A$256,0))*INDEX(Market_Daily!$X$6:$Z$256,MATCH($A1121,Market_Daily!$A$6:$A$256,0),MATCH("grade_factor_"&amp;$H1121,Market_Daily!$X$5:$Z$5,0))</f>
        <v/>
      </c>
      <c r="AC1121" s="16">
        <f>$AB1121*(1+insurance_rate*insured_value_uplift)</f>
        <v/>
      </c>
      <c r="AD1121" s="8">
        <f>(INDEX(Market_Daily!$F$6:$F$256,MATCH($A1121,Market_Daily!$A$6:$A$256,0))*(1+INDEX(Market_Daily!$I$6:$I$256,MATCH($A1121,Market_Daily!$A$6:$A$256,0))*$Q1121/day_count_inr)/(1+INDEX(Market_Daily!$J$6:$J$256,MATCH($A1121,Market_Daily!$A$6:$A$256,0))*$Q1121/day_count_usd))</f>
        <v/>
      </c>
      <c r="AE1121" s="18">
        <f>$AC1121*$AD1121</f>
        <v/>
      </c>
      <c r="AF1121" s="18">
        <f>$AC1121*INDEX(Market_Daily!$V$6:$V$256,MATCH($A1121,Market_Daily!$A$6:$A$256,0))</f>
        <v/>
      </c>
      <c r="AG1121" s="18">
        <f>$AF1121*bcd_scrap_hs7602*(1+sws_rate_on_bcd)</f>
        <v/>
      </c>
      <c r="AH1121" s="18">
        <f>INDEX(param_values,MATCH("port_cf_charges_inr_t_"&amp;$Z1121,param_keys,0))*$AA1121+IF(INDEX(param_values,MATCH(IF($I1121="JEA_NSA","psic_required_uae_origin","psic_required_safe_origin_designated_port"),param_keys,0)),psic_cost_usd_per_box*INDEX(Market_Daily!$F$6:$F$256,MATCH($A1121,Market_Daily!$A$6:$A$256,0))/INDEX(param_values,MATCH("container_payload_mt_20ft_"&amp;$H1121,param_keys,0)),0)</f>
        <v/>
      </c>
      <c r="AI1121" s="18">
        <f>IF(igst_itc_available,0,($AF1121+$AG1121)*igst_rate_hs7602)</f>
        <v/>
      </c>
      <c r="AJ1121" s="18">
        <f>$AE1121+$AG1121+$AH1121+$AI1121</f>
        <v/>
      </c>
      <c r="AK1121" s="7" t="inlineStr">
        <is>
          <t>DERIVED_IN_WORKBOOK</t>
        </is>
      </c>
      <c r="AL1121" s="8">
        <f>IF($J1121="INR",1,IF($M1121&lt;$A1121,INDEX(Market_Daily!$F$6:$F$256,MATCH($M1121,Market_Daily!$A$6:$A$256,1)),IF($M1121=$A1121,INDEX(Market_Daily!$F$6:$F$256,MATCH($A1121,Market_Daily!$A$6:$A$256,0)),(INDEX(Market_Daily!$F$6:$F$256,MATCH($A1121,Market_Daily!$A$6:$A$256,0))*(1+INDEX(Market_Daily!$I$6:$I$256,MATCH($A1121,Market_Daily!$A$6:$A$256,0))*($M1121-$A1121)/day_count_inr)/(1+INDEX(Market_Daily!$J$6:$J$256,MATCH($A1121,Market_Daily!$A$6:$A$256,0))*($M1121-$A1121)/day_count_usd)))))</f>
        <v/>
      </c>
      <c r="AM1121" s="8">
        <f>IF(OR($J1121="INR",$R1121&gt;1),"",$AL1121-$X1121)</f>
        <v/>
      </c>
      <c r="AN1121" s="8">
        <f>$N1121*$AJ1121</f>
        <v/>
      </c>
      <c r="AO1121" s="8">
        <f>$AN1121</f>
        <v/>
      </c>
      <c r="AP1121" s="18">
        <f>$AO1121-$V1121</f>
        <v/>
      </c>
      <c r="AQ1121" s="8">
        <f>IF(ABS($AP1121)&lt;=tol_trade_inr,"PASS","FAIL")</f>
        <v/>
      </c>
    </row>
    <row r="1122">
      <c r="A1122" s="11" t="n">
        <v>44770</v>
      </c>
      <c r="B1122" s="7" t="inlineStr">
        <is>
          <t>T08</t>
        </is>
      </c>
      <c r="C1122" s="7" t="inlineStr">
        <is>
          <t>INVENTORY:L2</t>
        </is>
      </c>
      <c r="D1122" s="7" t="inlineStr">
        <is>
          <t>INVENTORY</t>
        </is>
      </c>
      <c r="E1122" s="7" t="inlineStr">
        <is>
          <t>physical</t>
        </is>
      </c>
      <c r="F1122" s="7" t="inlineStr">
        <is>
          <t>L2</t>
        </is>
      </c>
      <c r="H1122" s="7" t="inlineStr">
        <is>
          <t>tense</t>
        </is>
      </c>
      <c r="I1122" s="7" t="inlineStr">
        <is>
          <t>USEC_MUN</t>
        </is>
      </c>
      <c r="J1122" s="7" t="inlineStr">
        <is>
          <t>INR</t>
        </is>
      </c>
      <c r="K1122" s="7" t="inlineStr">
        <is>
          <t>fixed_unsettled</t>
        </is>
      </c>
      <c r="L1122" s="7" t="inlineStr">
        <is>
          <t>PNL</t>
        </is>
      </c>
      <c r="N1122" s="13" t="n">
        <v>840</v>
      </c>
      <c r="O1122" s="6" t="n">
        <v>0</v>
      </c>
      <c r="P1122" s="13" t="n">
        <v>0</v>
      </c>
      <c r="Q1122" s="22" t="n">
        <v>31</v>
      </c>
      <c r="R1122" s="6" t="n">
        <v>0</v>
      </c>
      <c r="U1122" s="9" t="n">
        <v>133571155.73</v>
      </c>
      <c r="V1122" s="9" t="n">
        <v>133571155.73</v>
      </c>
      <c r="W1122" s="9" t="n">
        <v>159013.2806</v>
      </c>
      <c r="X1122" s="9" t="n">
        <v>79.6814</v>
      </c>
      <c r="Y1122" s="8">
        <f>IF($I1122="JEA_NSA","20ft","40ft")</f>
        <v/>
      </c>
      <c r="Z1122" s="8">
        <f>IF($I1122="JEA_NSA","nsa","mun")</f>
        <v/>
      </c>
      <c r="AA1122" s="8">
        <f>INDEX(param_values,MATCH("container_payload_mt_"&amp;$Y1122,param_keys,0))/INDEX(param_values,MATCH("container_payload_mt_"&amp;$Y1122&amp;"_"&amp;$H1122,param_keys,0))</f>
        <v/>
      </c>
      <c r="AB1122" s="16">
        <f>INDEX(Market_Daily!$C$6:$C$256,MATCH($A1122,Market_Daily!$A$6:$A$256,0))*INDEX(Market_Daily!$X$6:$Z$256,MATCH($A1122,Market_Daily!$A$6:$A$256,0),MATCH("grade_factor_"&amp;$H1122,Market_Daily!$X$5:$Z$5,0))</f>
        <v/>
      </c>
      <c r="AC1122" s="16">
        <f>$AB1122*(1+insurance_rate*insured_value_uplift)</f>
        <v/>
      </c>
      <c r="AD1122" s="8">
        <f>(INDEX(Market_Daily!$F$6:$F$256,MATCH($A1122,Market_Daily!$A$6:$A$256,0))*(1+INDEX(Market_Daily!$I$6:$I$256,MATCH($A1122,Market_Daily!$A$6:$A$256,0))*$Q1122/day_count_inr)/(1+INDEX(Market_Daily!$J$6:$J$256,MATCH($A1122,Market_Daily!$A$6:$A$256,0))*$Q1122/day_count_usd))</f>
        <v/>
      </c>
      <c r="AE1122" s="18">
        <f>$AC1122*$AD1122</f>
        <v/>
      </c>
      <c r="AF1122" s="18">
        <f>$AC1122*INDEX(Market_Daily!$V$6:$V$256,MATCH($A1122,Market_Daily!$A$6:$A$256,0))</f>
        <v/>
      </c>
      <c r="AG1122" s="18">
        <f>$AF1122*bcd_scrap_hs7602*(1+sws_rate_on_bcd)</f>
        <v/>
      </c>
      <c r="AH1122" s="18">
        <f>INDEX(param_values,MATCH("port_cf_charges_inr_t_"&amp;$Z1122,param_keys,0))*$AA1122+IF(INDEX(param_values,MATCH(IF($I1122="JEA_NSA","psic_required_uae_origin","psic_required_safe_origin_designated_port"),param_keys,0)),psic_cost_usd_per_box*INDEX(Market_Daily!$F$6:$F$256,MATCH($A1122,Market_Daily!$A$6:$A$256,0))/INDEX(param_values,MATCH("container_payload_mt_20ft_"&amp;$H1122,param_keys,0)),0)</f>
        <v/>
      </c>
      <c r="AI1122" s="18">
        <f>IF(igst_itc_available,0,($AF1122+$AG1122)*igst_rate_hs7602)</f>
        <v/>
      </c>
      <c r="AJ1122" s="18">
        <f>$AE1122+$AG1122+$AH1122+$AI1122</f>
        <v/>
      </c>
      <c r="AK1122" s="7" t="inlineStr">
        <is>
          <t>DERIVED_IN_WORKBOOK</t>
        </is>
      </c>
      <c r="AL1122" s="8">
        <f>IF($J1122="INR",1,IF($M1122&lt;$A1122,INDEX(Market_Daily!$F$6:$F$256,MATCH($M1122,Market_Daily!$A$6:$A$256,1)),IF($M1122=$A1122,INDEX(Market_Daily!$F$6:$F$256,MATCH($A1122,Market_Daily!$A$6:$A$256,0)),(INDEX(Market_Daily!$F$6:$F$256,MATCH($A1122,Market_Daily!$A$6:$A$256,0))*(1+INDEX(Market_Daily!$I$6:$I$256,MATCH($A1122,Market_Daily!$A$6:$A$256,0))*($M1122-$A1122)/day_count_inr)/(1+INDEX(Market_Daily!$J$6:$J$256,MATCH($A1122,Market_Daily!$A$6:$A$256,0))*($M1122-$A1122)/day_count_usd)))))</f>
        <v/>
      </c>
      <c r="AM1122" s="8">
        <f>IF(OR($J1122="INR",$R1122&gt;1),"",$AL1122-$X1122)</f>
        <v/>
      </c>
      <c r="AN1122" s="8">
        <f>$N1122*$AJ1122</f>
        <v/>
      </c>
      <c r="AO1122" s="8">
        <f>$AN1122</f>
        <v/>
      </c>
      <c r="AP1122" s="18">
        <f>$AO1122-$V1122</f>
        <v/>
      </c>
      <c r="AQ1122" s="8">
        <f>IF(ABS($AP1122)&lt;=tol_trade_inr,"PASS","FAIL")</f>
        <v/>
      </c>
    </row>
    <row r="1123">
      <c r="A1123" s="11" t="n">
        <v>44770</v>
      </c>
      <c r="B1123" s="7" t="inlineStr">
        <is>
          <t>T08</t>
        </is>
      </c>
      <c r="C1123" s="7" t="inlineStr">
        <is>
          <t>MCX:T08-MCX-1</t>
        </is>
      </c>
      <c r="D1123" s="7" t="inlineStr">
        <is>
          <t>MCX</t>
        </is>
      </c>
      <c r="E1123" s="7" t="inlineStr">
        <is>
          <t>mcx</t>
        </is>
      </c>
      <c r="H1123" s="7" t="inlineStr">
        <is>
          <t>tense</t>
        </is>
      </c>
      <c r="I1123" s="7" t="inlineStr">
        <is>
          <t>USEC_MUN</t>
        </is>
      </c>
      <c r="J1123" s="7" t="inlineStr">
        <is>
          <t>INR</t>
        </is>
      </c>
      <c r="K1123" s="7" t="inlineStr">
        <is>
          <t>partially_fixed</t>
        </is>
      </c>
      <c r="L1123" s="7" t="inlineStr">
        <is>
          <t>PNL</t>
        </is>
      </c>
      <c r="M1123" s="11" t="n">
        <v>44789</v>
      </c>
      <c r="N1123" s="13" t="n">
        <v>0</v>
      </c>
      <c r="O1123" s="6" t="n">
        <v>-230</v>
      </c>
      <c r="P1123" s="13" t="n">
        <v>0</v>
      </c>
      <c r="Q1123" s="22" t="n">
        <v>31</v>
      </c>
      <c r="R1123" s="6" t="n">
        <v>23</v>
      </c>
      <c r="U1123" s="9" t="n">
        <v>0</v>
      </c>
      <c r="V1123" s="9" t="n">
        <v>0</v>
      </c>
      <c r="X1123" s="9" t="n">
        <v>79.6814</v>
      </c>
      <c r="AK1123" s="7" t="inlineStr">
        <is>
          <t>PYTHON_MULTI_FLOW_LEG</t>
        </is>
      </c>
      <c r="AL1123" s="8">
        <f>IF($J1123="INR",1,IF($M1123&lt;$A1123,INDEX(Market_Daily!$F$6:$F$256,MATCH($M1123,Market_Daily!$A$6:$A$256,1)),IF($M1123=$A1123,INDEX(Market_Daily!$F$6:$F$256,MATCH($A1123,Market_Daily!$A$6:$A$256,0)),(INDEX(Market_Daily!$F$6:$F$256,MATCH($A1123,Market_Daily!$A$6:$A$256,0))*(1+INDEX(Market_Daily!$I$6:$I$256,MATCH($A1123,Market_Daily!$A$6:$A$256,0))*($M1123-$A1123)/day_count_inr)/(1+INDEX(Market_Daily!$J$6:$J$256,MATCH($A1123,Market_Daily!$A$6:$A$256,0))*($M1123-$A1123)/day_count_usd)))))</f>
        <v/>
      </c>
      <c r="AM1123" s="8">
        <f>IF(OR($J1123="INR",$R1123&gt;1),"",$AL1123-$X1123)</f>
        <v/>
      </c>
      <c r="AN1123" s="8">
        <f>$U1123</f>
        <v/>
      </c>
      <c r="AO1123" s="8">
        <f>$V1123</f>
        <v/>
      </c>
      <c r="AP1123" s="18">
        <f>$AO1123-$V1123</f>
        <v/>
      </c>
      <c r="AQ1123" s="8">
        <f>IF(ABS($AP1123)&lt;=tol_trade_inr,"PASS","FAIL")</f>
        <v/>
      </c>
    </row>
    <row r="1124">
      <c r="A1124" s="11" t="n">
        <v>44770</v>
      </c>
      <c r="B1124" s="7" t="inlineStr">
        <is>
          <t>T08</t>
        </is>
      </c>
      <c r="C1124" s="7" t="inlineStr">
        <is>
          <t>PORT:L1</t>
        </is>
      </c>
      <c r="D1124" s="7" t="inlineStr">
        <is>
          <t>PORT</t>
        </is>
      </c>
      <c r="E1124" s="7" t="inlineStr">
        <is>
          <t>physical</t>
        </is>
      </c>
      <c r="F1124" s="7" t="inlineStr">
        <is>
          <t>L1</t>
        </is>
      </c>
      <c r="H1124" s="7" t="inlineStr">
        <is>
          <t>tense</t>
        </is>
      </c>
      <c r="I1124" s="7" t="inlineStr">
        <is>
          <t>USEC_MUN</t>
        </is>
      </c>
      <c r="J1124" s="7" t="inlineStr">
        <is>
          <t>INR</t>
        </is>
      </c>
      <c r="K1124" s="7" t="inlineStr">
        <is>
          <t>fixed_unsettled</t>
        </is>
      </c>
      <c r="L1124" s="7" t="inlineStr">
        <is>
          <t>PNL</t>
        </is>
      </c>
      <c r="M1124" s="11" t="n">
        <v>44791</v>
      </c>
      <c r="N1124" s="13" t="n">
        <v>0</v>
      </c>
      <c r="O1124" s="6" t="n">
        <v>0</v>
      </c>
      <c r="P1124" s="13" t="n">
        <v>0</v>
      </c>
      <c r="Q1124" s="22" t="n">
        <v>31</v>
      </c>
      <c r="R1124" s="6" t="n">
        <v>1</v>
      </c>
      <c r="U1124" s="9" t="n">
        <v>-2226000</v>
      </c>
      <c r="V1124" s="9" t="n">
        <v>-2226000</v>
      </c>
      <c r="X1124" s="9" t="n">
        <v>79.6814</v>
      </c>
      <c r="AK1124" s="7" t="inlineStr">
        <is>
          <t>PYTHON_LIFECYCLE</t>
        </is>
      </c>
      <c r="AL1124" s="8">
        <f>IF($J1124="INR",1,IF($M1124&lt;$A1124,INDEX(Market_Daily!$F$6:$F$256,MATCH($M1124,Market_Daily!$A$6:$A$256,1)),IF($M1124=$A1124,INDEX(Market_Daily!$F$6:$F$256,MATCH($A1124,Market_Daily!$A$6:$A$256,0)),(INDEX(Market_Daily!$F$6:$F$256,MATCH($A1124,Market_Daily!$A$6:$A$256,0))*(1+INDEX(Market_Daily!$I$6:$I$256,MATCH($A1124,Market_Daily!$A$6:$A$256,0))*($M1124-$A1124)/day_count_inr)/(1+INDEX(Market_Daily!$J$6:$J$256,MATCH($A1124,Market_Daily!$A$6:$A$256,0))*($M1124-$A1124)/day_count_usd)))))</f>
        <v/>
      </c>
      <c r="AM1124" s="8">
        <f>IF(OR($J1124="INR",$R1124&gt;1),"",$AL1124-$X1124)</f>
        <v/>
      </c>
      <c r="AN1124" s="8">
        <f>$U1124</f>
        <v/>
      </c>
      <c r="AO1124" s="8">
        <f>$AN1124*IF($J1124="INR",1,$AL1124)</f>
        <v/>
      </c>
      <c r="AP1124" s="18">
        <f>$AO1124-$V1124</f>
        <v/>
      </c>
      <c r="AQ1124" s="8">
        <f>IF(ABS($AP1124)&lt;=tol_trade_inr,"PASS","FAIL")</f>
        <v/>
      </c>
    </row>
    <row r="1125">
      <c r="A1125" s="11" t="n">
        <v>44770</v>
      </c>
      <c r="B1125" s="7" t="inlineStr">
        <is>
          <t>T08</t>
        </is>
      </c>
      <c r="C1125" s="7" t="inlineStr">
        <is>
          <t>PORT:L2</t>
        </is>
      </c>
      <c r="D1125" s="7" t="inlineStr">
        <is>
          <t>PORT</t>
        </is>
      </c>
      <c r="E1125" s="7" t="inlineStr">
        <is>
          <t>physical</t>
        </is>
      </c>
      <c r="F1125" s="7" t="inlineStr">
        <is>
          <t>L2</t>
        </is>
      </c>
      <c r="H1125" s="7" t="inlineStr">
        <is>
          <t>tense</t>
        </is>
      </c>
      <c r="I1125" s="7" t="inlineStr">
        <is>
          <t>USEC_MUN</t>
        </is>
      </c>
      <c r="J1125" s="7" t="inlineStr">
        <is>
          <t>INR</t>
        </is>
      </c>
      <c r="K1125" s="7" t="inlineStr">
        <is>
          <t>fixed_unsettled</t>
        </is>
      </c>
      <c r="L1125" s="7" t="inlineStr">
        <is>
          <t>PNL</t>
        </is>
      </c>
      <c r="M1125" s="11" t="n">
        <v>44798</v>
      </c>
      <c r="N1125" s="13" t="n">
        <v>0</v>
      </c>
      <c r="O1125" s="6" t="n">
        <v>0</v>
      </c>
      <c r="P1125" s="13" t="n">
        <v>0</v>
      </c>
      <c r="Q1125" s="22" t="n">
        <v>31</v>
      </c>
      <c r="R1125" s="6" t="n">
        <v>1</v>
      </c>
      <c r="U1125" s="9" t="n">
        <v>-2226000</v>
      </c>
      <c r="V1125" s="9" t="n">
        <v>-2226000</v>
      </c>
      <c r="X1125" s="9" t="n">
        <v>79.6814</v>
      </c>
      <c r="AK1125" s="7" t="inlineStr">
        <is>
          <t>PYTHON_LIFECYCLE</t>
        </is>
      </c>
      <c r="AL1125" s="8">
        <f>IF($J1125="INR",1,IF($M1125&lt;$A1125,INDEX(Market_Daily!$F$6:$F$256,MATCH($M1125,Market_Daily!$A$6:$A$256,1)),IF($M1125=$A1125,INDEX(Market_Daily!$F$6:$F$256,MATCH($A1125,Market_Daily!$A$6:$A$256,0)),(INDEX(Market_Daily!$F$6:$F$256,MATCH($A1125,Market_Daily!$A$6:$A$256,0))*(1+INDEX(Market_Daily!$I$6:$I$256,MATCH($A1125,Market_Daily!$A$6:$A$256,0))*($M1125-$A1125)/day_count_inr)/(1+INDEX(Market_Daily!$J$6:$J$256,MATCH($A1125,Market_Daily!$A$6:$A$256,0))*($M1125-$A1125)/day_count_usd)))))</f>
        <v/>
      </c>
      <c r="AM1125" s="8">
        <f>IF(OR($J1125="INR",$R1125&gt;1),"",$AL1125-$X1125)</f>
        <v/>
      </c>
      <c r="AN1125" s="8">
        <f>$U1125</f>
        <v/>
      </c>
      <c r="AO1125" s="8">
        <f>$AN1125*IF($J1125="INR",1,$AL1125)</f>
        <v/>
      </c>
      <c r="AP1125" s="18">
        <f>$AO1125-$V1125</f>
        <v/>
      </c>
      <c r="AQ1125" s="8">
        <f>IF(ABS($AP1125)&lt;=tol_trade_inr,"PASS","FAIL")</f>
        <v/>
      </c>
    </row>
    <row r="1126">
      <c r="A1126" s="11" t="n">
        <v>44770</v>
      </c>
      <c r="B1126" s="7" t="inlineStr">
        <is>
          <t>T08</t>
        </is>
      </c>
      <c r="C1126" s="7" t="inlineStr">
        <is>
          <t>PURCHASE:L1</t>
        </is>
      </c>
      <c r="D1126" s="7" t="inlineStr">
        <is>
          <t>PURCHASE</t>
        </is>
      </c>
      <c r="E1126" s="7" t="inlineStr">
        <is>
          <t>physical</t>
        </is>
      </c>
      <c r="F1126" s="7" t="inlineStr">
        <is>
          <t>L1</t>
        </is>
      </c>
      <c r="G1126" s="7" t="inlineStr">
        <is>
          <t>SUP_USEC_02</t>
        </is>
      </c>
      <c r="H1126" s="7" t="inlineStr">
        <is>
          <t>tense</t>
        </is>
      </c>
      <c r="I1126" s="7" t="inlineStr">
        <is>
          <t>USEC_MUN</t>
        </is>
      </c>
      <c r="J1126" s="7" t="inlineStr">
        <is>
          <t>USD</t>
        </is>
      </c>
      <c r="K1126" s="7" t="inlineStr">
        <is>
          <t>partially_fixed</t>
        </is>
      </c>
      <c r="L1126" s="7" t="inlineStr">
        <is>
          <t>PNL</t>
        </is>
      </c>
      <c r="M1126" s="11" t="n">
        <v>44782</v>
      </c>
      <c r="N1126" s="13" t="n">
        <v>1680</v>
      </c>
      <c r="O1126" s="6" t="n">
        <v>0</v>
      </c>
      <c r="P1126" s="13" t="n">
        <v>0</v>
      </c>
      <c r="Q1126" s="22" t="n">
        <v>31</v>
      </c>
      <c r="R1126" s="6" t="n">
        <v>2</v>
      </c>
      <c r="U1126" s="9" t="n">
        <v>-45407.44</v>
      </c>
      <c r="V1126" s="9" t="n">
        <v>-3621589.73</v>
      </c>
      <c r="X1126" s="9" t="n">
        <v>79.7576</v>
      </c>
      <c r="AK1126" s="7" t="inlineStr">
        <is>
          <t>PYTHON_MULTI_FLOW_LEG</t>
        </is>
      </c>
      <c r="AL1126" s="8">
        <f>IF($J1126="INR",1,IF($M1126&lt;$A1126,INDEX(Market_Daily!$F$6:$F$256,MATCH($M1126,Market_Daily!$A$6:$A$256,1)),IF($M1126=$A1126,INDEX(Market_Daily!$F$6:$F$256,MATCH($A1126,Market_Daily!$A$6:$A$256,0)),(INDEX(Market_Daily!$F$6:$F$256,MATCH($A1126,Market_Daily!$A$6:$A$256,0))*(1+INDEX(Market_Daily!$I$6:$I$256,MATCH($A1126,Market_Daily!$A$6:$A$256,0))*($M1126-$A1126)/day_count_inr)/(1+INDEX(Market_Daily!$J$6:$J$256,MATCH($A1126,Market_Daily!$A$6:$A$256,0))*($M1126-$A1126)/day_count_usd)))))</f>
        <v/>
      </c>
      <c r="AM1126" s="8">
        <f>IF(OR($J1126="INR",$R1126&gt;1),"",$AL1126-$X1126)</f>
        <v/>
      </c>
      <c r="AN1126" s="8">
        <f>$U1126</f>
        <v/>
      </c>
      <c r="AO1126" s="8">
        <f>$V1126</f>
        <v/>
      </c>
      <c r="AP1126" s="18">
        <f>$AO1126-$V1126</f>
        <v/>
      </c>
      <c r="AQ1126" s="8">
        <f>IF(ABS($AP1126)&lt;=tol_trade_inr,"PASS","FAIL")</f>
        <v/>
      </c>
    </row>
    <row r="1127">
      <c r="A1127" s="11" t="n">
        <v>44770</v>
      </c>
      <c r="B1127" s="7" t="inlineStr">
        <is>
          <t>T08</t>
        </is>
      </c>
      <c r="C1127" s="7" t="inlineStr">
        <is>
          <t>PURCHASE:L2</t>
        </is>
      </c>
      <c r="D1127" s="7" t="inlineStr">
        <is>
          <t>PURCHASE</t>
        </is>
      </c>
      <c r="E1127" s="7" t="inlineStr">
        <is>
          <t>physical</t>
        </is>
      </c>
      <c r="F1127" s="7" t="inlineStr">
        <is>
          <t>L2</t>
        </is>
      </c>
      <c r="G1127" s="7" t="inlineStr">
        <is>
          <t>SUP_USEC_02</t>
        </is>
      </c>
      <c r="H1127" s="7" t="inlineStr">
        <is>
          <t>tense</t>
        </is>
      </c>
      <c r="I1127" s="7" t="inlineStr">
        <is>
          <t>USEC_MUN</t>
        </is>
      </c>
      <c r="J1127" s="7" t="inlineStr">
        <is>
          <t>USD</t>
        </is>
      </c>
      <c r="K1127" s="7" t="inlineStr">
        <is>
          <t>partially_fixed</t>
        </is>
      </c>
      <c r="L1127" s="7" t="inlineStr">
        <is>
          <t>PNL</t>
        </is>
      </c>
      <c r="M1127" s="11" t="n">
        <v>44789</v>
      </c>
      <c r="N1127" s="13" t="n">
        <v>1680</v>
      </c>
      <c r="O1127" s="6" t="n">
        <v>0</v>
      </c>
      <c r="P1127" s="13" t="n">
        <v>0</v>
      </c>
      <c r="Q1127" s="22" t="n">
        <v>31</v>
      </c>
      <c r="R1127" s="6" t="n">
        <v>2</v>
      </c>
      <c r="U1127" s="9" t="n">
        <v>-47591.57</v>
      </c>
      <c r="V1127" s="9" t="n">
        <v>-3797903.94</v>
      </c>
      <c r="X1127" s="9" t="n">
        <v>79.80200000000001</v>
      </c>
      <c r="AK1127" s="7" t="inlineStr">
        <is>
          <t>PYTHON_MULTI_FLOW_LEG</t>
        </is>
      </c>
      <c r="AL1127" s="8">
        <f>IF($J1127="INR",1,IF($M1127&lt;$A1127,INDEX(Market_Daily!$F$6:$F$256,MATCH($M1127,Market_Daily!$A$6:$A$256,1)),IF($M1127=$A1127,INDEX(Market_Daily!$F$6:$F$256,MATCH($A1127,Market_Daily!$A$6:$A$256,0)),(INDEX(Market_Daily!$F$6:$F$256,MATCH($A1127,Market_Daily!$A$6:$A$256,0))*(1+INDEX(Market_Daily!$I$6:$I$256,MATCH($A1127,Market_Daily!$A$6:$A$256,0))*($M1127-$A1127)/day_count_inr)/(1+INDEX(Market_Daily!$J$6:$J$256,MATCH($A1127,Market_Daily!$A$6:$A$256,0))*($M1127-$A1127)/day_count_usd)))))</f>
        <v/>
      </c>
      <c r="AM1127" s="8">
        <f>IF(OR($J1127="INR",$R1127&gt;1),"",$AL1127-$X1127)</f>
        <v/>
      </c>
      <c r="AN1127" s="8">
        <f>$U1127</f>
        <v/>
      </c>
      <c r="AO1127" s="8">
        <f>$V1127</f>
        <v/>
      </c>
      <c r="AP1127" s="18">
        <f>$AO1127-$V1127</f>
        <v/>
      </c>
      <c r="AQ1127" s="8">
        <f>IF(ABS($AP1127)&lt;=tol_trade_inr,"PASS","FAIL")</f>
        <v/>
      </c>
    </row>
    <row r="1128">
      <c r="A1128" s="11" t="n">
        <v>44771</v>
      </c>
      <c r="B1128" s="7" t="inlineStr">
        <is>
          <t>T05</t>
        </is>
      </c>
      <c r="C1128" s="7" t="inlineStr">
        <is>
          <t>IGST:L1</t>
        </is>
      </c>
      <c r="D1128" s="7" t="inlineStr">
        <is>
          <t>IGST</t>
        </is>
      </c>
      <c r="E1128" s="7" t="inlineStr">
        <is>
          <t>physical</t>
        </is>
      </c>
      <c r="F1128" s="7" t="inlineStr">
        <is>
          <t>L1</t>
        </is>
      </c>
      <c r="H1128" s="7" t="inlineStr">
        <is>
          <t>tense</t>
        </is>
      </c>
      <c r="I1128" s="7" t="inlineStr">
        <is>
          <t>USEC_MUN</t>
        </is>
      </c>
      <c r="J1128" s="7" t="inlineStr">
        <is>
          <t>INR</t>
        </is>
      </c>
      <c r="K1128" s="7" t="inlineStr">
        <is>
          <t>fixed_unsettled</t>
        </is>
      </c>
      <c r="L1128" s="7" t="inlineStr">
        <is>
          <t>BS</t>
        </is>
      </c>
      <c r="M1128" s="11" t="n">
        <v>44777</v>
      </c>
      <c r="N1128" s="13" t="n">
        <v>0</v>
      </c>
      <c r="O1128" s="6" t="n">
        <v>0</v>
      </c>
      <c r="P1128" s="13" t="n">
        <v>0</v>
      </c>
      <c r="Q1128" s="22" t="n">
        <v>31</v>
      </c>
      <c r="R1128" s="6" t="n">
        <v>2</v>
      </c>
      <c r="U1128" s="9" t="n">
        <v>0</v>
      </c>
      <c r="V1128" s="9" t="n">
        <v>0</v>
      </c>
      <c r="X1128" s="9" t="n">
        <v>79.3116</v>
      </c>
      <c r="AK1128" s="7" t="inlineStr">
        <is>
          <t>PYTHON_MULTI_FLOW_LEG</t>
        </is>
      </c>
      <c r="AL1128" s="8">
        <f>IF($J1128="INR",1,IF($M1128&lt;$A1128,INDEX(Market_Daily!$F$6:$F$256,MATCH($M1128,Market_Daily!$A$6:$A$256,1)),IF($M1128=$A1128,INDEX(Market_Daily!$F$6:$F$256,MATCH($A1128,Market_Daily!$A$6:$A$256,0)),(INDEX(Market_Daily!$F$6:$F$256,MATCH($A1128,Market_Daily!$A$6:$A$256,0))*(1+INDEX(Market_Daily!$I$6:$I$256,MATCH($A1128,Market_Daily!$A$6:$A$256,0))*($M1128-$A1128)/day_count_inr)/(1+INDEX(Market_Daily!$J$6:$J$256,MATCH($A1128,Market_Daily!$A$6:$A$256,0))*($M1128-$A1128)/day_count_usd)))))</f>
        <v/>
      </c>
      <c r="AM1128" s="8">
        <f>IF(OR($J1128="INR",$R1128&gt;1),"",$AL1128-$X1128)</f>
        <v/>
      </c>
      <c r="AN1128" s="8">
        <f>$U1128</f>
        <v/>
      </c>
      <c r="AO1128" s="8">
        <f>$V1128</f>
        <v/>
      </c>
      <c r="AP1128" s="18">
        <f>$AO1128-$V1128</f>
        <v/>
      </c>
      <c r="AQ1128" s="8">
        <f>IF(ABS($AP1128)&lt;=tol_trade_inr,"PASS","FAIL")</f>
        <v/>
      </c>
    </row>
    <row r="1129">
      <c r="A1129" s="11" t="n">
        <v>44771</v>
      </c>
      <c r="B1129" s="7" t="inlineStr">
        <is>
          <t>T05</t>
        </is>
      </c>
      <c r="C1129" s="7" t="inlineStr">
        <is>
          <t>IGST:L2</t>
        </is>
      </c>
      <c r="D1129" s="7" t="inlineStr">
        <is>
          <t>IGST</t>
        </is>
      </c>
      <c r="E1129" s="7" t="inlineStr">
        <is>
          <t>physical</t>
        </is>
      </c>
      <c r="F1129" s="7" t="inlineStr">
        <is>
          <t>L2</t>
        </is>
      </c>
      <c r="H1129" s="7" t="inlineStr">
        <is>
          <t>tense</t>
        </is>
      </c>
      <c r="I1129" s="7" t="inlineStr">
        <is>
          <t>USEC_MUN</t>
        </is>
      </c>
      <c r="J1129" s="7" t="inlineStr">
        <is>
          <t>INR</t>
        </is>
      </c>
      <c r="K1129" s="7" t="inlineStr">
        <is>
          <t>fixed_unsettled</t>
        </is>
      </c>
      <c r="L1129" s="7" t="inlineStr">
        <is>
          <t>BS</t>
        </is>
      </c>
      <c r="M1129" s="11" t="n">
        <v>44785</v>
      </c>
      <c r="N1129" s="13" t="n">
        <v>0</v>
      </c>
      <c r="O1129" s="6" t="n">
        <v>0</v>
      </c>
      <c r="P1129" s="13" t="n">
        <v>0</v>
      </c>
      <c r="Q1129" s="22" t="n">
        <v>31</v>
      </c>
      <c r="R1129" s="6" t="n">
        <v>2</v>
      </c>
      <c r="U1129" s="9" t="n">
        <v>0</v>
      </c>
      <c r="V1129" s="9" t="n">
        <v>0</v>
      </c>
      <c r="X1129" s="9" t="n">
        <v>79.3116</v>
      </c>
      <c r="AK1129" s="7" t="inlineStr">
        <is>
          <t>PYTHON_MULTI_FLOW_LEG</t>
        </is>
      </c>
      <c r="AL1129" s="8">
        <f>IF($J1129="INR",1,IF($M1129&lt;$A1129,INDEX(Market_Daily!$F$6:$F$256,MATCH($M1129,Market_Daily!$A$6:$A$256,1)),IF($M1129=$A1129,INDEX(Market_Daily!$F$6:$F$256,MATCH($A1129,Market_Daily!$A$6:$A$256,0)),(INDEX(Market_Daily!$F$6:$F$256,MATCH($A1129,Market_Daily!$A$6:$A$256,0))*(1+INDEX(Market_Daily!$I$6:$I$256,MATCH($A1129,Market_Daily!$A$6:$A$256,0))*($M1129-$A1129)/day_count_inr)/(1+INDEX(Market_Daily!$J$6:$J$256,MATCH($A1129,Market_Daily!$A$6:$A$256,0))*($M1129-$A1129)/day_count_usd)))))</f>
        <v/>
      </c>
      <c r="AM1129" s="8">
        <f>IF(OR($J1129="INR",$R1129&gt;1),"",$AL1129-$X1129)</f>
        <v/>
      </c>
      <c r="AN1129" s="8">
        <f>$U1129</f>
        <v/>
      </c>
      <c r="AO1129" s="8">
        <f>$V1129</f>
        <v/>
      </c>
      <c r="AP1129" s="18">
        <f>$AO1129-$V1129</f>
        <v/>
      </c>
      <c r="AQ1129" s="8">
        <f>IF(ABS($AP1129)&lt;=tol_trade_inr,"PASS","FAIL")</f>
        <v/>
      </c>
    </row>
    <row r="1130">
      <c r="A1130" s="11" t="n">
        <v>44771</v>
      </c>
      <c r="B1130" s="7" t="inlineStr">
        <is>
          <t>T05</t>
        </is>
      </c>
      <c r="C1130" s="7" t="inlineStr">
        <is>
          <t>SALE:S1</t>
        </is>
      </c>
      <c r="D1130" s="7" t="inlineStr">
        <is>
          <t>SALE</t>
        </is>
      </c>
      <c r="E1130" s="7" t="inlineStr">
        <is>
          <t>physical</t>
        </is>
      </c>
      <c r="G1130" s="7" t="inlineStr">
        <is>
          <t>BUY_MUN_01</t>
        </is>
      </c>
      <c r="H1130" s="7" t="inlineStr">
        <is>
          <t>tense</t>
        </is>
      </c>
      <c r="I1130" s="7" t="inlineStr">
        <is>
          <t>USEC_MUN</t>
        </is>
      </c>
      <c r="J1130" s="7" t="inlineStr">
        <is>
          <t>INR</t>
        </is>
      </c>
      <c r="K1130" s="7" t="inlineStr">
        <is>
          <t>fixed_unsettled</t>
        </is>
      </c>
      <c r="L1130" s="7" t="inlineStr">
        <is>
          <t>PNL</t>
        </is>
      </c>
      <c r="M1130" s="11" t="n">
        <v>44781</v>
      </c>
      <c r="N1130" s="13" t="n">
        <v>2100</v>
      </c>
      <c r="O1130" s="6" t="n">
        <v>0</v>
      </c>
      <c r="P1130" s="13" t="n">
        <v>0</v>
      </c>
      <c r="Q1130" s="22" t="n">
        <v>31</v>
      </c>
      <c r="R1130" s="6" t="n">
        <v>1</v>
      </c>
      <c r="U1130" s="9" t="n">
        <v>310123937.67</v>
      </c>
      <c r="V1130" s="9" t="n">
        <v>310123937.67</v>
      </c>
      <c r="W1130" s="9" t="n">
        <v>147678.0656</v>
      </c>
      <c r="X1130" s="9" t="n">
        <v>79.3116</v>
      </c>
      <c r="AK1130" s="7" t="inlineStr">
        <is>
          <t>PYTHON_LIFECYCLE</t>
        </is>
      </c>
      <c r="AL1130" s="8">
        <f>IF($J1130="INR",1,IF($M1130&lt;$A1130,INDEX(Market_Daily!$F$6:$F$256,MATCH($M1130,Market_Daily!$A$6:$A$256,1)),IF($M1130=$A1130,INDEX(Market_Daily!$F$6:$F$256,MATCH($A1130,Market_Daily!$A$6:$A$256,0)),(INDEX(Market_Daily!$F$6:$F$256,MATCH($A1130,Market_Daily!$A$6:$A$256,0))*(1+INDEX(Market_Daily!$I$6:$I$256,MATCH($A1130,Market_Daily!$A$6:$A$256,0))*($M1130-$A1130)/day_count_inr)/(1+INDEX(Market_Daily!$J$6:$J$256,MATCH($A1130,Market_Daily!$A$6:$A$256,0))*($M1130-$A1130)/day_count_usd)))))</f>
        <v/>
      </c>
      <c r="AM1130" s="8">
        <f>IF(OR($J1130="INR",$R1130&gt;1),"",$AL1130-$X1130)</f>
        <v/>
      </c>
      <c r="AN1130" s="8">
        <f>$U1130</f>
        <v/>
      </c>
      <c r="AO1130" s="8">
        <f>$AN1130*IF($J1130="INR",1,$AL1130)</f>
        <v/>
      </c>
      <c r="AP1130" s="18">
        <f>$AO1130-$V1130</f>
        <v/>
      </c>
      <c r="AQ1130" s="8">
        <f>IF(ABS($AP1130)&lt;=tol_trade_inr,"PASS","FAIL")</f>
        <v/>
      </c>
    </row>
    <row r="1131">
      <c r="A1131" s="11" t="n">
        <v>44771</v>
      </c>
      <c r="B1131" s="7" t="inlineStr">
        <is>
          <t>T06</t>
        </is>
      </c>
      <c r="C1131" s="7" t="inlineStr">
        <is>
          <t>SALE:S1</t>
        </is>
      </c>
      <c r="D1131" s="7" t="inlineStr">
        <is>
          <t>SALE</t>
        </is>
      </c>
      <c r="E1131" s="7" t="inlineStr">
        <is>
          <t>physical</t>
        </is>
      </c>
      <c r="G1131" s="7" t="inlineStr">
        <is>
          <t>BUY_JNPT_01</t>
        </is>
      </c>
      <c r="H1131" s="7" t="inlineStr">
        <is>
          <t>zorba</t>
        </is>
      </c>
      <c r="I1131" s="7" t="inlineStr">
        <is>
          <t>JEA_NSA</t>
        </is>
      </c>
      <c r="J1131" s="7" t="inlineStr">
        <is>
          <t>INR</t>
        </is>
      </c>
      <c r="K1131" s="7" t="inlineStr">
        <is>
          <t>fixed_unsettled</t>
        </is>
      </c>
      <c r="L1131" s="7" t="inlineStr">
        <is>
          <t>PNL</t>
        </is>
      </c>
      <c r="M1131" s="11" t="n">
        <v>44781</v>
      </c>
      <c r="N1131" s="13" t="n">
        <v>1300</v>
      </c>
      <c r="O1131" s="6" t="n">
        <v>0</v>
      </c>
      <c r="P1131" s="13" t="n">
        <v>0</v>
      </c>
      <c r="Q1131" s="22" t="n">
        <v>31</v>
      </c>
      <c r="R1131" s="6" t="n">
        <v>1</v>
      </c>
      <c r="U1131" s="9" t="n">
        <v>240825000</v>
      </c>
      <c r="V1131" s="9" t="n">
        <v>240825000</v>
      </c>
      <c r="W1131" s="9" t="n">
        <v>185250</v>
      </c>
      <c r="X1131" s="9" t="n">
        <v>79.3116</v>
      </c>
      <c r="AK1131" s="7" t="inlineStr">
        <is>
          <t>PYTHON_LIFECYCLE</t>
        </is>
      </c>
      <c r="AL1131" s="8">
        <f>IF($J1131="INR",1,IF($M1131&lt;$A1131,INDEX(Market_Daily!$F$6:$F$256,MATCH($M1131,Market_Daily!$A$6:$A$256,1)),IF($M1131=$A1131,INDEX(Market_Daily!$F$6:$F$256,MATCH($A1131,Market_Daily!$A$6:$A$256,0)),(INDEX(Market_Daily!$F$6:$F$256,MATCH($A1131,Market_Daily!$A$6:$A$256,0))*(1+INDEX(Market_Daily!$I$6:$I$256,MATCH($A1131,Market_Daily!$A$6:$A$256,0))*($M1131-$A1131)/day_count_inr)/(1+INDEX(Market_Daily!$J$6:$J$256,MATCH($A1131,Market_Daily!$A$6:$A$256,0))*($M1131-$A1131)/day_count_usd)))))</f>
        <v/>
      </c>
      <c r="AM1131" s="8">
        <f>IF(OR($J1131="INR",$R1131&gt;1),"",$AL1131-$X1131)</f>
        <v/>
      </c>
      <c r="AN1131" s="8">
        <f>$U1131</f>
        <v/>
      </c>
      <c r="AO1131" s="8">
        <f>$AN1131*IF($J1131="INR",1,$AL1131)</f>
        <v/>
      </c>
      <c r="AP1131" s="18">
        <f>$AO1131-$V1131</f>
        <v/>
      </c>
      <c r="AQ1131" s="8">
        <f>IF(ABS($AP1131)&lt;=tol_trade_inr,"PASS","FAIL")</f>
        <v/>
      </c>
    </row>
    <row r="1132">
      <c r="A1132" s="11" t="n">
        <v>44771</v>
      </c>
      <c r="B1132" s="7" t="inlineStr">
        <is>
          <t>T07</t>
        </is>
      </c>
      <c r="C1132" s="7" t="inlineStr">
        <is>
          <t>CLAIM:L1</t>
        </is>
      </c>
      <c r="D1132" s="7" t="inlineStr">
        <is>
          <t>CLAIM</t>
        </is>
      </c>
      <c r="E1132" s="7" t="inlineStr">
        <is>
          <t>physical</t>
        </is>
      </c>
      <c r="F1132" s="7" t="inlineStr">
        <is>
          <t>L1</t>
        </is>
      </c>
      <c r="G1132" s="7" t="inlineStr">
        <is>
          <t>SUP_USEC_02</t>
        </is>
      </c>
      <c r="H1132" s="7" t="inlineStr">
        <is>
          <t>tense</t>
        </is>
      </c>
      <c r="I1132" s="7" t="inlineStr">
        <is>
          <t>USEC_MUN</t>
        </is>
      </c>
      <c r="J1132" s="7" t="inlineStr">
        <is>
          <t>USD</t>
        </is>
      </c>
      <c r="K1132" s="7" t="inlineStr">
        <is>
          <t>fixed_unsettled</t>
        </is>
      </c>
      <c r="L1132" s="7" t="inlineStr">
        <is>
          <t>PNL</t>
        </is>
      </c>
      <c r="M1132" s="11" t="n">
        <v>44791</v>
      </c>
      <c r="N1132" s="13" t="n">
        <v>28.6042</v>
      </c>
      <c r="O1132" s="6" t="n">
        <v>0</v>
      </c>
      <c r="P1132" s="13" t="n">
        <v>0</v>
      </c>
      <c r="Q1132" s="22" t="n">
        <v>31</v>
      </c>
      <c r="R1132" s="6" t="n">
        <v>1</v>
      </c>
      <c r="U1132" s="9" t="n">
        <v>35801.02</v>
      </c>
      <c r="V1132" s="9" t="n">
        <v>2843976.62</v>
      </c>
      <c r="X1132" s="9" t="n">
        <v>79.4384</v>
      </c>
      <c r="AK1132" s="7" t="inlineStr">
        <is>
          <t>PYTHON_LIFECYCLE</t>
        </is>
      </c>
      <c r="AL1132" s="8">
        <f>IF($J1132="INR",1,IF($M1132&lt;$A1132,INDEX(Market_Daily!$F$6:$F$256,MATCH($M1132,Market_Daily!$A$6:$A$256,1)),IF($M1132=$A1132,INDEX(Market_Daily!$F$6:$F$256,MATCH($A1132,Market_Daily!$A$6:$A$256,0)),(INDEX(Market_Daily!$F$6:$F$256,MATCH($A1132,Market_Daily!$A$6:$A$256,0))*(1+INDEX(Market_Daily!$I$6:$I$256,MATCH($A1132,Market_Daily!$A$6:$A$256,0))*($M1132-$A1132)/day_count_inr)/(1+INDEX(Market_Daily!$J$6:$J$256,MATCH($A1132,Market_Daily!$A$6:$A$256,0))*($M1132-$A1132)/day_count_usd)))))</f>
        <v/>
      </c>
      <c r="AM1132" s="8">
        <f>IF(OR($J1132="INR",$R1132&gt;1),"",$AL1132-$X1132)</f>
        <v/>
      </c>
      <c r="AN1132" s="8">
        <f>$U1132</f>
        <v/>
      </c>
      <c r="AO1132" s="8">
        <f>$AN1132*IF($J1132="INR",1,$AL1132)</f>
        <v/>
      </c>
      <c r="AP1132" s="18">
        <f>$AO1132-$V1132</f>
        <v/>
      </c>
      <c r="AQ1132" s="8">
        <f>IF(ABS($AP1132)&lt;=tol_trade_inr,"PASS","FAIL")</f>
        <v/>
      </c>
    </row>
    <row r="1133">
      <c r="A1133" s="11" t="n">
        <v>44771</v>
      </c>
      <c r="B1133" s="7" t="inlineStr">
        <is>
          <t>T07</t>
        </is>
      </c>
      <c r="C1133" s="7" t="inlineStr">
        <is>
          <t>DEMURRAGE:L1</t>
        </is>
      </c>
      <c r="D1133" s="7" t="inlineStr">
        <is>
          <t>DEMURRAGE</t>
        </is>
      </c>
      <c r="E1133" s="7" t="inlineStr">
        <is>
          <t>physical</t>
        </is>
      </c>
      <c r="F1133" s="7" t="inlineStr">
        <is>
          <t>L1</t>
        </is>
      </c>
      <c r="H1133" s="7" t="inlineStr">
        <is>
          <t>tense</t>
        </is>
      </c>
      <c r="I1133" s="7" t="inlineStr">
        <is>
          <t>USEC_MUN</t>
        </is>
      </c>
      <c r="J1133" s="7" t="inlineStr">
        <is>
          <t>USD</t>
        </is>
      </c>
      <c r="K1133" s="7" t="inlineStr">
        <is>
          <t>fixed_unsettled</t>
        </is>
      </c>
      <c r="L1133" s="7" t="inlineStr">
        <is>
          <t>PNL</t>
        </is>
      </c>
      <c r="M1133" s="11" t="n">
        <v>44776</v>
      </c>
      <c r="N1133" s="13" t="n">
        <v>0</v>
      </c>
      <c r="O1133" s="6" t="n">
        <v>0</v>
      </c>
      <c r="P1133" s="13" t="n">
        <v>0</v>
      </c>
      <c r="Q1133" s="22" t="n">
        <v>31</v>
      </c>
      <c r="R1133" s="6" t="n">
        <v>1</v>
      </c>
      <c r="U1133" s="9" t="n">
        <v>-3150</v>
      </c>
      <c r="V1133" s="9" t="n">
        <v>-249931.51</v>
      </c>
      <c r="X1133" s="9" t="n">
        <v>79.3433</v>
      </c>
      <c r="AK1133" s="7" t="inlineStr">
        <is>
          <t>PYTHON_LIFECYCLE</t>
        </is>
      </c>
      <c r="AL1133" s="8">
        <f>IF($J1133="INR",1,IF($M1133&lt;$A1133,INDEX(Market_Daily!$F$6:$F$256,MATCH($M1133,Market_Daily!$A$6:$A$256,1)),IF($M1133=$A1133,INDEX(Market_Daily!$F$6:$F$256,MATCH($A1133,Market_Daily!$A$6:$A$256,0)),(INDEX(Market_Daily!$F$6:$F$256,MATCH($A1133,Market_Daily!$A$6:$A$256,0))*(1+INDEX(Market_Daily!$I$6:$I$256,MATCH($A1133,Market_Daily!$A$6:$A$256,0))*($M1133-$A1133)/day_count_inr)/(1+INDEX(Market_Daily!$J$6:$J$256,MATCH($A1133,Market_Daily!$A$6:$A$256,0))*($M1133-$A1133)/day_count_usd)))))</f>
        <v/>
      </c>
      <c r="AM1133" s="8">
        <f>IF(OR($J1133="INR",$R1133&gt;1),"",$AL1133-$X1133)</f>
        <v/>
      </c>
      <c r="AN1133" s="8">
        <f>$U1133</f>
        <v/>
      </c>
      <c r="AO1133" s="8">
        <f>$AN1133*IF($J1133="INR",1,$AL1133)</f>
        <v/>
      </c>
      <c r="AP1133" s="18">
        <f>$AO1133-$V1133</f>
        <v/>
      </c>
      <c r="AQ1133" s="8">
        <f>IF(ABS($AP1133)&lt;=tol_trade_inr,"PASS","FAIL")</f>
        <v/>
      </c>
    </row>
    <row r="1134">
      <c r="A1134" s="11" t="n">
        <v>44771</v>
      </c>
      <c r="B1134" s="7" t="inlineStr">
        <is>
          <t>T07</t>
        </is>
      </c>
      <c r="C1134" s="7" t="inlineStr">
        <is>
          <t>DEMURRAGE:L2</t>
        </is>
      </c>
      <c r="D1134" s="7" t="inlineStr">
        <is>
          <t>DEMURRAGE</t>
        </is>
      </c>
      <c r="E1134" s="7" t="inlineStr">
        <is>
          <t>physical</t>
        </is>
      </c>
      <c r="F1134" s="7" t="inlineStr">
        <is>
          <t>L2</t>
        </is>
      </c>
      <c r="H1134" s="7" t="inlineStr">
        <is>
          <t>tense</t>
        </is>
      </c>
      <c r="I1134" s="7" t="inlineStr">
        <is>
          <t>USEC_MUN</t>
        </is>
      </c>
      <c r="J1134" s="7" t="inlineStr">
        <is>
          <t>USD</t>
        </is>
      </c>
      <c r="K1134" s="7" t="inlineStr">
        <is>
          <t>fixed_unsettled</t>
        </is>
      </c>
      <c r="L1134" s="7" t="inlineStr">
        <is>
          <t>PNL</t>
        </is>
      </c>
      <c r="M1134" s="11" t="n">
        <v>44789</v>
      </c>
      <c r="N1134" s="13" t="n">
        <v>0</v>
      </c>
      <c r="O1134" s="6" t="n">
        <v>0</v>
      </c>
      <c r="P1134" s="13" t="n">
        <v>0</v>
      </c>
      <c r="Q1134" s="22" t="n">
        <v>31</v>
      </c>
      <c r="R1134" s="6" t="n">
        <v>1</v>
      </c>
      <c r="U1134" s="9" t="n">
        <v>-17325</v>
      </c>
      <c r="V1134" s="9" t="n">
        <v>-1376051.13</v>
      </c>
      <c r="X1134" s="9" t="n">
        <v>79.4258</v>
      </c>
      <c r="AK1134" s="7" t="inlineStr">
        <is>
          <t>PYTHON_LIFECYCLE</t>
        </is>
      </c>
      <c r="AL1134" s="8">
        <f>IF($J1134="INR",1,IF($M1134&lt;$A1134,INDEX(Market_Daily!$F$6:$F$256,MATCH($M1134,Market_Daily!$A$6:$A$256,1)),IF($M1134=$A1134,INDEX(Market_Daily!$F$6:$F$256,MATCH($A1134,Market_Daily!$A$6:$A$256,0)),(INDEX(Market_Daily!$F$6:$F$256,MATCH($A1134,Market_Daily!$A$6:$A$256,0))*(1+INDEX(Market_Daily!$I$6:$I$256,MATCH($A1134,Market_Daily!$A$6:$A$256,0))*($M1134-$A1134)/day_count_inr)/(1+INDEX(Market_Daily!$J$6:$J$256,MATCH($A1134,Market_Daily!$A$6:$A$256,0))*($M1134-$A1134)/day_count_usd)))))</f>
        <v/>
      </c>
      <c r="AM1134" s="8">
        <f>IF(OR($J1134="INR",$R1134&gt;1),"",$AL1134-$X1134)</f>
        <v/>
      </c>
      <c r="AN1134" s="8">
        <f>$U1134</f>
        <v/>
      </c>
      <c r="AO1134" s="8">
        <f>$AN1134*IF($J1134="INR",1,$AL1134)</f>
        <v/>
      </c>
      <c r="AP1134" s="18">
        <f>$AO1134-$V1134</f>
        <v/>
      </c>
      <c r="AQ1134" s="8">
        <f>IF(ABS($AP1134)&lt;=tol_trade_inr,"PASS","FAIL")</f>
        <v/>
      </c>
    </row>
    <row r="1135">
      <c r="A1135" s="11" t="n">
        <v>44771</v>
      </c>
      <c r="B1135" s="7" t="inlineStr">
        <is>
          <t>T07</t>
        </is>
      </c>
      <c r="C1135" s="7" t="inlineStr">
        <is>
          <t>IGST:L1</t>
        </is>
      </c>
      <c r="D1135" s="7" t="inlineStr">
        <is>
          <t>IGST</t>
        </is>
      </c>
      <c r="E1135" s="7" t="inlineStr">
        <is>
          <t>physical</t>
        </is>
      </c>
      <c r="F1135" s="7" t="inlineStr">
        <is>
          <t>L1</t>
        </is>
      </c>
      <c r="H1135" s="7" t="inlineStr">
        <is>
          <t>tense</t>
        </is>
      </c>
      <c r="I1135" s="7" t="inlineStr">
        <is>
          <t>USEC_MUN</t>
        </is>
      </c>
      <c r="J1135" s="7" t="inlineStr">
        <is>
          <t>INR</t>
        </is>
      </c>
      <c r="K1135" s="7" t="inlineStr">
        <is>
          <t>fixed_unsettled</t>
        </is>
      </c>
      <c r="L1135" s="7" t="inlineStr">
        <is>
          <t>BS</t>
        </is>
      </c>
      <c r="M1135" s="11" t="n">
        <v>44806</v>
      </c>
      <c r="N1135" s="13" t="n">
        <v>0</v>
      </c>
      <c r="O1135" s="6" t="n">
        <v>0</v>
      </c>
      <c r="P1135" s="13" t="n">
        <v>0</v>
      </c>
      <c r="Q1135" s="22" t="n">
        <v>31</v>
      </c>
      <c r="R1135" s="6" t="n">
        <v>2</v>
      </c>
      <c r="U1135" s="9" t="n">
        <v>0</v>
      </c>
      <c r="V1135" s="9" t="n">
        <v>0</v>
      </c>
      <c r="X1135" s="9" t="n">
        <v>79.3116</v>
      </c>
      <c r="AK1135" s="7" t="inlineStr">
        <is>
          <t>PYTHON_MULTI_FLOW_LEG</t>
        </is>
      </c>
      <c r="AL1135" s="8">
        <f>IF($J1135="INR",1,IF($M1135&lt;$A1135,INDEX(Market_Daily!$F$6:$F$256,MATCH($M1135,Market_Daily!$A$6:$A$256,1)),IF($M1135=$A1135,INDEX(Market_Daily!$F$6:$F$256,MATCH($A1135,Market_Daily!$A$6:$A$256,0)),(INDEX(Market_Daily!$F$6:$F$256,MATCH($A1135,Market_Daily!$A$6:$A$256,0))*(1+INDEX(Market_Daily!$I$6:$I$256,MATCH($A1135,Market_Daily!$A$6:$A$256,0))*($M1135-$A1135)/day_count_inr)/(1+INDEX(Market_Daily!$J$6:$J$256,MATCH($A1135,Market_Daily!$A$6:$A$256,0))*($M1135-$A1135)/day_count_usd)))))</f>
        <v/>
      </c>
      <c r="AM1135" s="8">
        <f>IF(OR($J1135="INR",$R1135&gt;1),"",$AL1135-$X1135)</f>
        <v/>
      </c>
      <c r="AN1135" s="8">
        <f>$U1135</f>
        <v/>
      </c>
      <c r="AO1135" s="8">
        <f>$V1135</f>
        <v/>
      </c>
      <c r="AP1135" s="18">
        <f>$AO1135-$V1135</f>
        <v/>
      </c>
      <c r="AQ1135" s="8">
        <f>IF(ABS($AP1135)&lt;=tol_trade_inr,"PASS","FAIL")</f>
        <v/>
      </c>
    </row>
    <row r="1136">
      <c r="A1136" s="11" t="n">
        <v>44771</v>
      </c>
      <c r="B1136" s="7" t="inlineStr">
        <is>
          <t>T07</t>
        </is>
      </c>
      <c r="C1136" s="7" t="inlineStr">
        <is>
          <t>IGST:L2</t>
        </is>
      </c>
      <c r="D1136" s="7" t="inlineStr">
        <is>
          <t>IGST</t>
        </is>
      </c>
      <c r="E1136" s="7" t="inlineStr">
        <is>
          <t>physical</t>
        </is>
      </c>
      <c r="F1136" s="7" t="inlineStr">
        <is>
          <t>L2</t>
        </is>
      </c>
      <c r="H1136" s="7" t="inlineStr">
        <is>
          <t>tense</t>
        </is>
      </c>
      <c r="I1136" s="7" t="inlineStr">
        <is>
          <t>USEC_MUN</t>
        </is>
      </c>
      <c r="J1136" s="7" t="inlineStr">
        <is>
          <t>INR</t>
        </is>
      </c>
      <c r="K1136" s="7" t="inlineStr">
        <is>
          <t>fixed_unsettled</t>
        </is>
      </c>
      <c r="L1136" s="7" t="inlineStr">
        <is>
          <t>BS</t>
        </is>
      </c>
      <c r="M1136" s="11" t="n">
        <v>44813</v>
      </c>
      <c r="N1136" s="13" t="n">
        <v>0</v>
      </c>
      <c r="O1136" s="6" t="n">
        <v>0</v>
      </c>
      <c r="P1136" s="13" t="n">
        <v>0</v>
      </c>
      <c r="Q1136" s="22" t="n">
        <v>31</v>
      </c>
      <c r="R1136" s="6" t="n">
        <v>2</v>
      </c>
      <c r="U1136" s="9" t="n">
        <v>0</v>
      </c>
      <c r="V1136" s="9" t="n">
        <v>0</v>
      </c>
      <c r="X1136" s="9" t="n">
        <v>79.3116</v>
      </c>
      <c r="AK1136" s="7" t="inlineStr">
        <is>
          <t>PYTHON_MULTI_FLOW_LEG</t>
        </is>
      </c>
      <c r="AL1136" s="8">
        <f>IF($J1136="INR",1,IF($M1136&lt;$A1136,INDEX(Market_Daily!$F$6:$F$256,MATCH($M1136,Market_Daily!$A$6:$A$256,1)),IF($M1136=$A1136,INDEX(Market_Daily!$F$6:$F$256,MATCH($A1136,Market_Daily!$A$6:$A$256,0)),(INDEX(Market_Daily!$F$6:$F$256,MATCH($A1136,Market_Daily!$A$6:$A$256,0))*(1+INDEX(Market_Daily!$I$6:$I$256,MATCH($A1136,Market_Daily!$A$6:$A$256,0))*($M1136-$A1136)/day_count_inr)/(1+INDEX(Market_Daily!$J$6:$J$256,MATCH($A1136,Market_Daily!$A$6:$A$256,0))*($M1136-$A1136)/day_count_usd)))))</f>
        <v/>
      </c>
      <c r="AM1136" s="8">
        <f>IF(OR($J1136="INR",$R1136&gt;1),"",$AL1136-$X1136)</f>
        <v/>
      </c>
      <c r="AN1136" s="8">
        <f>$U1136</f>
        <v/>
      </c>
      <c r="AO1136" s="8">
        <f>$V1136</f>
        <v/>
      </c>
      <c r="AP1136" s="18">
        <f>$AO1136-$V1136</f>
        <v/>
      </c>
      <c r="AQ1136" s="8">
        <f>IF(ABS($AP1136)&lt;=tol_trade_inr,"PASS","FAIL")</f>
        <v/>
      </c>
    </row>
    <row r="1137">
      <c r="A1137" s="11" t="n">
        <v>44771</v>
      </c>
      <c r="B1137" s="7" t="inlineStr">
        <is>
          <t>T07</t>
        </is>
      </c>
      <c r="C1137" s="7" t="inlineStr">
        <is>
          <t>PORT:L1</t>
        </is>
      </c>
      <c r="D1137" s="7" t="inlineStr">
        <is>
          <t>PORT</t>
        </is>
      </c>
      <c r="E1137" s="7" t="inlineStr">
        <is>
          <t>physical</t>
        </is>
      </c>
      <c r="F1137" s="7" t="inlineStr">
        <is>
          <t>L1</t>
        </is>
      </c>
      <c r="H1137" s="7" t="inlineStr">
        <is>
          <t>tense</t>
        </is>
      </c>
      <c r="I1137" s="7" t="inlineStr">
        <is>
          <t>USEC_MUN</t>
        </is>
      </c>
      <c r="J1137" s="7" t="inlineStr">
        <is>
          <t>INR</t>
        </is>
      </c>
      <c r="K1137" s="7" t="inlineStr">
        <is>
          <t>fixed_unsettled</t>
        </is>
      </c>
      <c r="L1137" s="7" t="inlineStr">
        <is>
          <t>PNL</t>
        </is>
      </c>
      <c r="M1137" s="11" t="n">
        <v>44776</v>
      </c>
      <c r="N1137" s="13" t="n">
        <v>0</v>
      </c>
      <c r="O1137" s="6" t="n">
        <v>0</v>
      </c>
      <c r="P1137" s="13" t="n">
        <v>0</v>
      </c>
      <c r="Q1137" s="22" t="n">
        <v>31</v>
      </c>
      <c r="R1137" s="6" t="n">
        <v>1</v>
      </c>
      <c r="U1137" s="9" t="n">
        <v>-2504250</v>
      </c>
      <c r="V1137" s="9" t="n">
        <v>-2504250</v>
      </c>
      <c r="X1137" s="9" t="n">
        <v>79.3116</v>
      </c>
      <c r="AK1137" s="7" t="inlineStr">
        <is>
          <t>PYTHON_LIFECYCLE</t>
        </is>
      </c>
      <c r="AL1137" s="8">
        <f>IF($J1137="INR",1,IF($M1137&lt;$A1137,INDEX(Market_Daily!$F$6:$F$256,MATCH($M1137,Market_Daily!$A$6:$A$256,1)),IF($M1137=$A1137,INDEX(Market_Daily!$F$6:$F$256,MATCH($A1137,Market_Daily!$A$6:$A$256,0)),(INDEX(Market_Daily!$F$6:$F$256,MATCH($A1137,Market_Daily!$A$6:$A$256,0))*(1+INDEX(Market_Daily!$I$6:$I$256,MATCH($A1137,Market_Daily!$A$6:$A$256,0))*($M1137-$A1137)/day_count_inr)/(1+INDEX(Market_Daily!$J$6:$J$256,MATCH($A1137,Market_Daily!$A$6:$A$256,0))*($M1137-$A1137)/day_count_usd)))))</f>
        <v/>
      </c>
      <c r="AM1137" s="8">
        <f>IF(OR($J1137="INR",$R1137&gt;1),"",$AL1137-$X1137)</f>
        <v/>
      </c>
      <c r="AN1137" s="8">
        <f>$U1137</f>
        <v/>
      </c>
      <c r="AO1137" s="8">
        <f>$AN1137*IF($J1137="INR",1,$AL1137)</f>
        <v/>
      </c>
      <c r="AP1137" s="18">
        <f>$AO1137-$V1137</f>
        <v/>
      </c>
      <c r="AQ1137" s="8">
        <f>IF(ABS($AP1137)&lt;=tol_trade_inr,"PASS","FAIL")</f>
        <v/>
      </c>
    </row>
    <row r="1138">
      <c r="A1138" s="11" t="n">
        <v>44771</v>
      </c>
      <c r="B1138" s="7" t="inlineStr">
        <is>
          <t>T07</t>
        </is>
      </c>
      <c r="C1138" s="7" t="inlineStr">
        <is>
          <t>PORT:L2</t>
        </is>
      </c>
      <c r="D1138" s="7" t="inlineStr">
        <is>
          <t>PORT</t>
        </is>
      </c>
      <c r="E1138" s="7" t="inlineStr">
        <is>
          <t>physical</t>
        </is>
      </c>
      <c r="F1138" s="7" t="inlineStr">
        <is>
          <t>L2</t>
        </is>
      </c>
      <c r="H1138" s="7" t="inlineStr">
        <is>
          <t>tense</t>
        </is>
      </c>
      <c r="I1138" s="7" t="inlineStr">
        <is>
          <t>USEC_MUN</t>
        </is>
      </c>
      <c r="J1138" s="7" t="inlineStr">
        <is>
          <t>INR</t>
        </is>
      </c>
      <c r="K1138" s="7" t="inlineStr">
        <is>
          <t>fixed_unsettled</t>
        </is>
      </c>
      <c r="L1138" s="7" t="inlineStr">
        <is>
          <t>PNL</t>
        </is>
      </c>
      <c r="M1138" s="11" t="n">
        <v>44789</v>
      </c>
      <c r="N1138" s="13" t="n">
        <v>0</v>
      </c>
      <c r="O1138" s="6" t="n">
        <v>0</v>
      </c>
      <c r="P1138" s="13" t="n">
        <v>0</v>
      </c>
      <c r="Q1138" s="22" t="n">
        <v>31</v>
      </c>
      <c r="R1138" s="6" t="n">
        <v>1</v>
      </c>
      <c r="U1138" s="9" t="n">
        <v>-2504250</v>
      </c>
      <c r="V1138" s="9" t="n">
        <v>-2504250</v>
      </c>
      <c r="X1138" s="9" t="n">
        <v>79.3116</v>
      </c>
      <c r="AK1138" s="7" t="inlineStr">
        <is>
          <t>PYTHON_LIFECYCLE</t>
        </is>
      </c>
      <c r="AL1138" s="8">
        <f>IF($J1138="INR",1,IF($M1138&lt;$A1138,INDEX(Market_Daily!$F$6:$F$256,MATCH($M1138,Market_Daily!$A$6:$A$256,1)),IF($M1138=$A1138,INDEX(Market_Daily!$F$6:$F$256,MATCH($A1138,Market_Daily!$A$6:$A$256,0)),(INDEX(Market_Daily!$F$6:$F$256,MATCH($A1138,Market_Daily!$A$6:$A$256,0))*(1+INDEX(Market_Daily!$I$6:$I$256,MATCH($A1138,Market_Daily!$A$6:$A$256,0))*($M1138-$A1138)/day_count_inr)/(1+INDEX(Market_Daily!$J$6:$J$256,MATCH($A1138,Market_Daily!$A$6:$A$256,0))*($M1138-$A1138)/day_count_usd)))))</f>
        <v/>
      </c>
      <c r="AM1138" s="8">
        <f>IF(OR($J1138="INR",$R1138&gt;1),"",$AL1138-$X1138)</f>
        <v/>
      </c>
      <c r="AN1138" s="8">
        <f>$U1138</f>
        <v/>
      </c>
      <c r="AO1138" s="8">
        <f>$AN1138*IF($J1138="INR",1,$AL1138)</f>
        <v/>
      </c>
      <c r="AP1138" s="18">
        <f>$AO1138-$V1138</f>
        <v/>
      </c>
      <c r="AQ1138" s="8">
        <f>IF(ABS($AP1138)&lt;=tol_trade_inr,"PASS","FAIL")</f>
        <v/>
      </c>
    </row>
    <row r="1139">
      <c r="A1139" s="11" t="n">
        <v>44771</v>
      </c>
      <c r="B1139" s="7" t="inlineStr">
        <is>
          <t>T07</t>
        </is>
      </c>
      <c r="C1139" s="7" t="inlineStr">
        <is>
          <t>SALE:S1</t>
        </is>
      </c>
      <c r="D1139" s="7" t="inlineStr">
        <is>
          <t>SALE</t>
        </is>
      </c>
      <c r="E1139" s="7" t="inlineStr">
        <is>
          <t>physical</t>
        </is>
      </c>
      <c r="G1139" s="7" t="inlineStr">
        <is>
          <t>BUY_RJK_01</t>
        </is>
      </c>
      <c r="H1139" s="7" t="inlineStr">
        <is>
          <t>tense</t>
        </is>
      </c>
      <c r="I1139" s="7" t="inlineStr">
        <is>
          <t>USEC_MUN</t>
        </is>
      </c>
      <c r="J1139" s="7" t="inlineStr">
        <is>
          <t>INR</t>
        </is>
      </c>
      <c r="K1139" s="7" t="inlineStr">
        <is>
          <t>partially_fixed</t>
        </is>
      </c>
      <c r="L1139" s="7" t="inlineStr">
        <is>
          <t>PNL</t>
        </is>
      </c>
      <c r="M1139" s="11" t="n">
        <v>44819</v>
      </c>
      <c r="N1139" s="13" t="n">
        <v>3766.77</v>
      </c>
      <c r="O1139" s="6" t="n">
        <v>0</v>
      </c>
      <c r="P1139" s="13" t="n">
        <v>0</v>
      </c>
      <c r="Q1139" s="22" t="n">
        <v>31</v>
      </c>
      <c r="R1139" s="6" t="n">
        <v>2</v>
      </c>
      <c r="U1139" s="9" t="n">
        <v>308526353.02</v>
      </c>
      <c r="V1139" s="9" t="n">
        <v>308526353.02</v>
      </c>
      <c r="W1139" s="9" t="n">
        <v>165750</v>
      </c>
      <c r="X1139" s="9" t="n">
        <v>79.3116</v>
      </c>
      <c r="AK1139" s="7" t="inlineStr">
        <is>
          <t>PYTHON_MULTI_FLOW_LEG</t>
        </is>
      </c>
      <c r="AL1139" s="8">
        <f>IF($J1139="INR",1,IF($M1139&lt;$A1139,INDEX(Market_Daily!$F$6:$F$256,MATCH($M1139,Market_Daily!$A$6:$A$256,1)),IF($M1139=$A1139,INDEX(Market_Daily!$F$6:$F$256,MATCH($A1139,Market_Daily!$A$6:$A$256,0)),(INDEX(Market_Daily!$F$6:$F$256,MATCH($A1139,Market_Daily!$A$6:$A$256,0))*(1+INDEX(Market_Daily!$I$6:$I$256,MATCH($A1139,Market_Daily!$A$6:$A$256,0))*($M1139-$A1139)/day_count_inr)/(1+INDEX(Market_Daily!$J$6:$J$256,MATCH($A1139,Market_Daily!$A$6:$A$256,0))*($M1139-$A1139)/day_count_usd)))))</f>
        <v/>
      </c>
      <c r="AM1139" s="8">
        <f>IF(OR($J1139="INR",$R1139&gt;1),"",$AL1139-$X1139)</f>
        <v/>
      </c>
      <c r="AN1139" s="8">
        <f>$U1139</f>
        <v/>
      </c>
      <c r="AO1139" s="8">
        <f>$V1139</f>
        <v/>
      </c>
      <c r="AP1139" s="18">
        <f>$AO1139-$V1139</f>
        <v/>
      </c>
      <c r="AQ1139" s="8">
        <f>IF(ABS($AP1139)&lt;=tol_trade_inr,"PASS","FAIL")</f>
        <v/>
      </c>
    </row>
    <row r="1140">
      <c r="A1140" s="11" t="n">
        <v>44771</v>
      </c>
      <c r="B1140" s="7" t="inlineStr">
        <is>
          <t>T08</t>
        </is>
      </c>
      <c r="C1140" s="7" t="inlineStr">
        <is>
          <t>DUTY:L1</t>
        </is>
      </c>
      <c r="D1140" s="7" t="inlineStr">
        <is>
          <t>DUTY</t>
        </is>
      </c>
      <c r="E1140" s="7" t="inlineStr">
        <is>
          <t>physical</t>
        </is>
      </c>
      <c r="F1140" s="7" t="inlineStr">
        <is>
          <t>L1</t>
        </is>
      </c>
      <c r="H1140" s="7" t="inlineStr">
        <is>
          <t>tense</t>
        </is>
      </c>
      <c r="I1140" s="7" t="inlineStr">
        <is>
          <t>USEC_MUN</t>
        </is>
      </c>
      <c r="J1140" s="7" t="inlineStr">
        <is>
          <t>INR</t>
        </is>
      </c>
      <c r="K1140" s="7" t="inlineStr">
        <is>
          <t>floating</t>
        </is>
      </c>
      <c r="L1140" s="7" t="inlineStr">
        <is>
          <t>PNL</t>
        </is>
      </c>
      <c r="M1140" s="11" t="n">
        <v>44782</v>
      </c>
      <c r="N1140" s="13" t="n">
        <v>840</v>
      </c>
      <c r="O1140" s="6" t="n">
        <v>0</v>
      </c>
      <c r="P1140" s="13" t="n">
        <v>0</v>
      </c>
      <c r="Q1140" s="22" t="n">
        <v>31</v>
      </c>
      <c r="R1140" s="6" t="n">
        <v>1</v>
      </c>
      <c r="U1140" s="9" t="n">
        <v>-3515673.66</v>
      </c>
      <c r="V1140" s="9" t="n">
        <v>-3515673.66</v>
      </c>
      <c r="X1140" s="9" t="n">
        <v>79.3116</v>
      </c>
      <c r="AK1140" s="7" t="inlineStr">
        <is>
          <t>PYTHON_LIFECYCLE</t>
        </is>
      </c>
      <c r="AL1140" s="8">
        <f>IF($J1140="INR",1,IF($M1140&lt;$A1140,INDEX(Market_Daily!$F$6:$F$256,MATCH($M1140,Market_Daily!$A$6:$A$256,1)),IF($M1140=$A1140,INDEX(Market_Daily!$F$6:$F$256,MATCH($A1140,Market_Daily!$A$6:$A$256,0)),(INDEX(Market_Daily!$F$6:$F$256,MATCH($A1140,Market_Daily!$A$6:$A$256,0))*(1+INDEX(Market_Daily!$I$6:$I$256,MATCH($A1140,Market_Daily!$A$6:$A$256,0))*($M1140-$A1140)/day_count_inr)/(1+INDEX(Market_Daily!$J$6:$J$256,MATCH($A1140,Market_Daily!$A$6:$A$256,0))*($M1140-$A1140)/day_count_usd)))))</f>
        <v/>
      </c>
      <c r="AM1140" s="8">
        <f>IF(OR($J1140="INR",$R1140&gt;1),"",$AL1140-$X1140)</f>
        <v/>
      </c>
      <c r="AN1140" s="8">
        <f>$U1140</f>
        <v/>
      </c>
      <c r="AO1140" s="8">
        <f>$AN1140*IF($J1140="INR",1,$AL1140)</f>
        <v/>
      </c>
      <c r="AP1140" s="18">
        <f>$AO1140-$V1140</f>
        <v/>
      </c>
      <c r="AQ1140" s="8">
        <f>IF(ABS($AP1140)&lt;=tol_trade_inr,"PASS","FAIL")</f>
        <v/>
      </c>
    </row>
    <row r="1141">
      <c r="A1141" s="11" t="n">
        <v>44771</v>
      </c>
      <c r="B1141" s="7" t="inlineStr">
        <is>
          <t>T08</t>
        </is>
      </c>
      <c r="C1141" s="7" t="inlineStr">
        <is>
          <t>DUTY:L2</t>
        </is>
      </c>
      <c r="D1141" s="7" t="inlineStr">
        <is>
          <t>DUTY</t>
        </is>
      </c>
      <c r="E1141" s="7" t="inlineStr">
        <is>
          <t>physical</t>
        </is>
      </c>
      <c r="F1141" s="7" t="inlineStr">
        <is>
          <t>L2</t>
        </is>
      </c>
      <c r="H1141" s="7" t="inlineStr">
        <is>
          <t>tense</t>
        </is>
      </c>
      <c r="I1141" s="7" t="inlineStr">
        <is>
          <t>USEC_MUN</t>
        </is>
      </c>
      <c r="J1141" s="7" t="inlineStr">
        <is>
          <t>INR</t>
        </is>
      </c>
      <c r="K1141" s="7" t="inlineStr">
        <is>
          <t>floating</t>
        </is>
      </c>
      <c r="L1141" s="7" t="inlineStr">
        <is>
          <t>PNL</t>
        </is>
      </c>
      <c r="M1141" s="11" t="n">
        <v>44789</v>
      </c>
      <c r="N1141" s="13" t="n">
        <v>840</v>
      </c>
      <c r="O1141" s="6" t="n">
        <v>0</v>
      </c>
      <c r="P1141" s="13" t="n">
        <v>0</v>
      </c>
      <c r="Q1141" s="22" t="n">
        <v>31</v>
      </c>
      <c r="R1141" s="6" t="n">
        <v>1</v>
      </c>
      <c r="U1141" s="9" t="n">
        <v>-3515673.66</v>
      </c>
      <c r="V1141" s="9" t="n">
        <v>-3515673.66</v>
      </c>
      <c r="X1141" s="9" t="n">
        <v>79.3116</v>
      </c>
      <c r="AK1141" s="7" t="inlineStr">
        <is>
          <t>PYTHON_LIFECYCLE</t>
        </is>
      </c>
      <c r="AL1141" s="8">
        <f>IF($J1141="INR",1,IF($M1141&lt;$A1141,INDEX(Market_Daily!$F$6:$F$256,MATCH($M1141,Market_Daily!$A$6:$A$256,1)),IF($M1141=$A1141,INDEX(Market_Daily!$F$6:$F$256,MATCH($A1141,Market_Daily!$A$6:$A$256,0)),(INDEX(Market_Daily!$F$6:$F$256,MATCH($A1141,Market_Daily!$A$6:$A$256,0))*(1+INDEX(Market_Daily!$I$6:$I$256,MATCH($A1141,Market_Daily!$A$6:$A$256,0))*($M1141-$A1141)/day_count_inr)/(1+INDEX(Market_Daily!$J$6:$J$256,MATCH($A1141,Market_Daily!$A$6:$A$256,0))*($M1141-$A1141)/day_count_usd)))))</f>
        <v/>
      </c>
      <c r="AM1141" s="8">
        <f>IF(OR($J1141="INR",$R1141&gt;1),"",$AL1141-$X1141)</f>
        <v/>
      </c>
      <c r="AN1141" s="8">
        <f>$U1141</f>
        <v/>
      </c>
      <c r="AO1141" s="8">
        <f>$AN1141*IF($J1141="INR",1,$AL1141)</f>
        <v/>
      </c>
      <c r="AP1141" s="18">
        <f>$AO1141-$V1141</f>
        <v/>
      </c>
      <c r="AQ1141" s="8">
        <f>IF(ABS($AP1141)&lt;=tol_trade_inr,"PASS","FAIL")</f>
        <v/>
      </c>
    </row>
    <row r="1142">
      <c r="A1142" s="11" t="n">
        <v>44771</v>
      </c>
      <c r="B1142" s="7" t="inlineStr">
        <is>
          <t>T08</t>
        </is>
      </c>
      <c r="C1142" s="7" t="inlineStr">
        <is>
          <t>IGST:L1</t>
        </is>
      </c>
      <c r="D1142" s="7" t="inlineStr">
        <is>
          <t>IGST</t>
        </is>
      </c>
      <c r="E1142" s="7" t="inlineStr">
        <is>
          <t>physical</t>
        </is>
      </c>
      <c r="F1142" s="7" t="inlineStr">
        <is>
          <t>L1</t>
        </is>
      </c>
      <c r="H1142" s="7" t="inlineStr">
        <is>
          <t>tense</t>
        </is>
      </c>
      <c r="I1142" s="7" t="inlineStr">
        <is>
          <t>USEC_MUN</t>
        </is>
      </c>
      <c r="J1142" s="7" t="inlineStr">
        <is>
          <t>INR</t>
        </is>
      </c>
      <c r="K1142" s="7" t="inlineStr">
        <is>
          <t>floating</t>
        </is>
      </c>
      <c r="L1142" s="7" t="inlineStr">
        <is>
          <t>BS</t>
        </is>
      </c>
      <c r="M1142" s="11" t="n">
        <v>44827</v>
      </c>
      <c r="N1142" s="13" t="n">
        <v>0</v>
      </c>
      <c r="O1142" s="6" t="n">
        <v>0</v>
      </c>
      <c r="P1142" s="13" t="n">
        <v>0</v>
      </c>
      <c r="Q1142" s="22" t="n">
        <v>31</v>
      </c>
      <c r="R1142" s="6" t="n">
        <v>2</v>
      </c>
      <c r="U1142" s="9" t="n">
        <v>0</v>
      </c>
      <c r="V1142" s="9" t="n">
        <v>0</v>
      </c>
      <c r="X1142" s="9" t="n">
        <v>79.3116</v>
      </c>
      <c r="AK1142" s="7" t="inlineStr">
        <is>
          <t>PYTHON_MULTI_FLOW_LEG</t>
        </is>
      </c>
      <c r="AL1142" s="8">
        <f>IF($J1142="INR",1,IF($M1142&lt;$A1142,INDEX(Market_Daily!$F$6:$F$256,MATCH($M1142,Market_Daily!$A$6:$A$256,1)),IF($M1142=$A1142,INDEX(Market_Daily!$F$6:$F$256,MATCH($A1142,Market_Daily!$A$6:$A$256,0)),(INDEX(Market_Daily!$F$6:$F$256,MATCH($A1142,Market_Daily!$A$6:$A$256,0))*(1+INDEX(Market_Daily!$I$6:$I$256,MATCH($A1142,Market_Daily!$A$6:$A$256,0))*($M1142-$A1142)/day_count_inr)/(1+INDEX(Market_Daily!$J$6:$J$256,MATCH($A1142,Market_Daily!$A$6:$A$256,0))*($M1142-$A1142)/day_count_usd)))))</f>
        <v/>
      </c>
      <c r="AM1142" s="8">
        <f>IF(OR($J1142="INR",$R1142&gt;1),"",$AL1142-$X1142)</f>
        <v/>
      </c>
      <c r="AN1142" s="8">
        <f>$U1142</f>
        <v/>
      </c>
      <c r="AO1142" s="8">
        <f>$V1142</f>
        <v/>
      </c>
      <c r="AP1142" s="18">
        <f>$AO1142-$V1142</f>
        <v/>
      </c>
      <c r="AQ1142" s="8">
        <f>IF(ABS($AP1142)&lt;=tol_trade_inr,"PASS","FAIL")</f>
        <v/>
      </c>
    </row>
    <row r="1143">
      <c r="A1143" s="11" t="n">
        <v>44771</v>
      </c>
      <c r="B1143" s="7" t="inlineStr">
        <is>
          <t>T08</t>
        </is>
      </c>
      <c r="C1143" s="7" t="inlineStr">
        <is>
          <t>IGST:L2</t>
        </is>
      </c>
      <c r="D1143" s="7" t="inlineStr">
        <is>
          <t>IGST</t>
        </is>
      </c>
      <c r="E1143" s="7" t="inlineStr">
        <is>
          <t>physical</t>
        </is>
      </c>
      <c r="F1143" s="7" t="inlineStr">
        <is>
          <t>L2</t>
        </is>
      </c>
      <c r="H1143" s="7" t="inlineStr">
        <is>
          <t>tense</t>
        </is>
      </c>
      <c r="I1143" s="7" t="inlineStr">
        <is>
          <t>USEC_MUN</t>
        </is>
      </c>
      <c r="J1143" s="7" t="inlineStr">
        <is>
          <t>INR</t>
        </is>
      </c>
      <c r="K1143" s="7" t="inlineStr">
        <is>
          <t>floating</t>
        </is>
      </c>
      <c r="L1143" s="7" t="inlineStr">
        <is>
          <t>BS</t>
        </is>
      </c>
      <c r="M1143" s="11" t="n">
        <v>44834</v>
      </c>
      <c r="N1143" s="13" t="n">
        <v>0</v>
      </c>
      <c r="O1143" s="6" t="n">
        <v>0</v>
      </c>
      <c r="P1143" s="13" t="n">
        <v>0</v>
      </c>
      <c r="Q1143" s="22" t="n">
        <v>31</v>
      </c>
      <c r="R1143" s="6" t="n">
        <v>2</v>
      </c>
      <c r="U1143" s="9" t="n">
        <v>0</v>
      </c>
      <c r="V1143" s="9" t="n">
        <v>0</v>
      </c>
      <c r="X1143" s="9" t="n">
        <v>79.3116</v>
      </c>
      <c r="AK1143" s="7" t="inlineStr">
        <is>
          <t>PYTHON_MULTI_FLOW_LEG</t>
        </is>
      </c>
      <c r="AL1143" s="8">
        <f>IF($J1143="INR",1,IF($M1143&lt;$A1143,INDEX(Market_Daily!$F$6:$F$256,MATCH($M1143,Market_Daily!$A$6:$A$256,1)),IF($M1143=$A1143,INDEX(Market_Daily!$F$6:$F$256,MATCH($A1143,Market_Daily!$A$6:$A$256,0)),(INDEX(Market_Daily!$F$6:$F$256,MATCH($A1143,Market_Daily!$A$6:$A$256,0))*(1+INDEX(Market_Daily!$I$6:$I$256,MATCH($A1143,Market_Daily!$A$6:$A$256,0))*($M1143-$A1143)/day_count_inr)/(1+INDEX(Market_Daily!$J$6:$J$256,MATCH($A1143,Market_Daily!$A$6:$A$256,0))*($M1143-$A1143)/day_count_usd)))))</f>
        <v/>
      </c>
      <c r="AM1143" s="8">
        <f>IF(OR($J1143="INR",$R1143&gt;1),"",$AL1143-$X1143)</f>
        <v/>
      </c>
      <c r="AN1143" s="8">
        <f>$U1143</f>
        <v/>
      </c>
      <c r="AO1143" s="8">
        <f>$V1143</f>
        <v/>
      </c>
      <c r="AP1143" s="18">
        <f>$AO1143-$V1143</f>
        <v/>
      </c>
      <c r="AQ1143" s="8">
        <f>IF(ABS($AP1143)&lt;=tol_trade_inr,"PASS","FAIL")</f>
        <v/>
      </c>
    </row>
    <row r="1144">
      <c r="A1144" s="11" t="n">
        <v>44771</v>
      </c>
      <c r="B1144" s="7" t="inlineStr">
        <is>
          <t>T08</t>
        </is>
      </c>
      <c r="C1144" s="7" t="inlineStr">
        <is>
          <t>INVENTORY:L1</t>
        </is>
      </c>
      <c r="D1144" s="7" t="inlineStr">
        <is>
          <t>INVENTORY</t>
        </is>
      </c>
      <c r="E1144" s="7" t="inlineStr">
        <is>
          <t>physical</t>
        </is>
      </c>
      <c r="F1144" s="7" t="inlineStr">
        <is>
          <t>L1</t>
        </is>
      </c>
      <c r="H1144" s="7" t="inlineStr">
        <is>
          <t>tense</t>
        </is>
      </c>
      <c r="I1144" s="7" t="inlineStr">
        <is>
          <t>USEC_MUN</t>
        </is>
      </c>
      <c r="J1144" s="7" t="inlineStr">
        <is>
          <t>INR</t>
        </is>
      </c>
      <c r="K1144" s="7" t="inlineStr">
        <is>
          <t>fixed_unsettled</t>
        </is>
      </c>
      <c r="L1144" s="7" t="inlineStr">
        <is>
          <t>PNL</t>
        </is>
      </c>
      <c r="N1144" s="13" t="n">
        <v>840</v>
      </c>
      <c r="O1144" s="6" t="n">
        <v>0</v>
      </c>
      <c r="P1144" s="13" t="n">
        <v>0</v>
      </c>
      <c r="Q1144" s="22" t="n">
        <v>31</v>
      </c>
      <c r="R1144" s="6" t="n">
        <v>0</v>
      </c>
      <c r="U1144" s="9" t="n">
        <v>132200181.86</v>
      </c>
      <c r="V1144" s="9" t="n">
        <v>132200181.86</v>
      </c>
      <c r="W1144" s="9" t="n">
        <v>157381.1689</v>
      </c>
      <c r="X1144" s="9" t="n">
        <v>79.3116</v>
      </c>
      <c r="Y1144" s="8">
        <f>IF($I1144="JEA_NSA","20ft","40ft")</f>
        <v/>
      </c>
      <c r="Z1144" s="8">
        <f>IF($I1144="JEA_NSA","nsa","mun")</f>
        <v/>
      </c>
      <c r="AA1144" s="8">
        <f>INDEX(param_values,MATCH("container_payload_mt_"&amp;$Y1144,param_keys,0))/INDEX(param_values,MATCH("container_payload_mt_"&amp;$Y1144&amp;"_"&amp;$H1144,param_keys,0))</f>
        <v/>
      </c>
      <c r="AB1144" s="16">
        <f>INDEX(Market_Daily!$C$6:$C$256,MATCH($A1144,Market_Daily!$A$6:$A$256,0))*INDEX(Market_Daily!$X$6:$Z$256,MATCH($A1144,Market_Daily!$A$6:$A$256,0),MATCH("grade_factor_"&amp;$H1144,Market_Daily!$X$5:$Z$5,0))</f>
        <v/>
      </c>
      <c r="AC1144" s="16">
        <f>$AB1144*(1+insurance_rate*insured_value_uplift)</f>
        <v/>
      </c>
      <c r="AD1144" s="8">
        <f>(INDEX(Market_Daily!$F$6:$F$256,MATCH($A1144,Market_Daily!$A$6:$A$256,0))*(1+INDEX(Market_Daily!$I$6:$I$256,MATCH($A1144,Market_Daily!$A$6:$A$256,0))*$Q1144/day_count_inr)/(1+INDEX(Market_Daily!$J$6:$J$256,MATCH($A1144,Market_Daily!$A$6:$A$256,0))*$Q1144/day_count_usd))</f>
        <v/>
      </c>
      <c r="AE1144" s="18">
        <f>$AC1144*$AD1144</f>
        <v/>
      </c>
      <c r="AF1144" s="18">
        <f>$AC1144*INDEX(Market_Daily!$V$6:$V$256,MATCH($A1144,Market_Daily!$A$6:$A$256,0))</f>
        <v/>
      </c>
      <c r="AG1144" s="18">
        <f>$AF1144*bcd_scrap_hs7602*(1+sws_rate_on_bcd)</f>
        <v/>
      </c>
      <c r="AH1144" s="18">
        <f>INDEX(param_values,MATCH("port_cf_charges_inr_t_"&amp;$Z1144,param_keys,0))*$AA1144+IF(INDEX(param_values,MATCH(IF($I1144="JEA_NSA","psic_required_uae_origin","psic_required_safe_origin_designated_port"),param_keys,0)),psic_cost_usd_per_box*INDEX(Market_Daily!$F$6:$F$256,MATCH($A1144,Market_Daily!$A$6:$A$256,0))/INDEX(param_values,MATCH("container_payload_mt_20ft_"&amp;$H1144,param_keys,0)),0)</f>
        <v/>
      </c>
      <c r="AI1144" s="18">
        <f>IF(igst_itc_available,0,($AF1144+$AG1144)*igst_rate_hs7602)</f>
        <v/>
      </c>
      <c r="AJ1144" s="18">
        <f>$AE1144+$AG1144+$AH1144+$AI1144</f>
        <v/>
      </c>
      <c r="AK1144" s="7" t="inlineStr">
        <is>
          <t>DERIVED_IN_WORKBOOK</t>
        </is>
      </c>
      <c r="AL1144" s="8">
        <f>IF($J1144="INR",1,IF($M1144&lt;$A1144,INDEX(Market_Daily!$F$6:$F$256,MATCH($M1144,Market_Daily!$A$6:$A$256,1)),IF($M1144=$A1144,INDEX(Market_Daily!$F$6:$F$256,MATCH($A1144,Market_Daily!$A$6:$A$256,0)),(INDEX(Market_Daily!$F$6:$F$256,MATCH($A1144,Market_Daily!$A$6:$A$256,0))*(1+INDEX(Market_Daily!$I$6:$I$256,MATCH($A1144,Market_Daily!$A$6:$A$256,0))*($M1144-$A1144)/day_count_inr)/(1+INDEX(Market_Daily!$J$6:$J$256,MATCH($A1144,Market_Daily!$A$6:$A$256,0))*($M1144-$A1144)/day_count_usd)))))</f>
        <v/>
      </c>
      <c r="AM1144" s="8">
        <f>IF(OR($J1144="INR",$R1144&gt;1),"",$AL1144-$X1144)</f>
        <v/>
      </c>
      <c r="AN1144" s="8">
        <f>$N1144*$AJ1144</f>
        <v/>
      </c>
      <c r="AO1144" s="8">
        <f>$AN1144</f>
        <v/>
      </c>
      <c r="AP1144" s="18">
        <f>$AO1144-$V1144</f>
        <v/>
      </c>
      <c r="AQ1144" s="8">
        <f>IF(ABS($AP1144)&lt;=tol_trade_inr,"PASS","FAIL")</f>
        <v/>
      </c>
    </row>
    <row r="1145">
      <c r="A1145" s="11" t="n">
        <v>44771</v>
      </c>
      <c r="B1145" s="7" t="inlineStr">
        <is>
          <t>T08</t>
        </is>
      </c>
      <c r="C1145" s="7" t="inlineStr">
        <is>
          <t>INVENTORY:L2</t>
        </is>
      </c>
      <c r="D1145" s="7" t="inlineStr">
        <is>
          <t>INVENTORY</t>
        </is>
      </c>
      <c r="E1145" s="7" t="inlineStr">
        <is>
          <t>physical</t>
        </is>
      </c>
      <c r="F1145" s="7" t="inlineStr">
        <is>
          <t>L2</t>
        </is>
      </c>
      <c r="H1145" s="7" t="inlineStr">
        <is>
          <t>tense</t>
        </is>
      </c>
      <c r="I1145" s="7" t="inlineStr">
        <is>
          <t>USEC_MUN</t>
        </is>
      </c>
      <c r="J1145" s="7" t="inlineStr">
        <is>
          <t>INR</t>
        </is>
      </c>
      <c r="K1145" s="7" t="inlineStr">
        <is>
          <t>fixed_unsettled</t>
        </is>
      </c>
      <c r="L1145" s="7" t="inlineStr">
        <is>
          <t>PNL</t>
        </is>
      </c>
      <c r="N1145" s="13" t="n">
        <v>840</v>
      </c>
      <c r="O1145" s="6" t="n">
        <v>0</v>
      </c>
      <c r="P1145" s="13" t="n">
        <v>0</v>
      </c>
      <c r="Q1145" s="22" t="n">
        <v>31</v>
      </c>
      <c r="R1145" s="6" t="n">
        <v>0</v>
      </c>
      <c r="U1145" s="9" t="n">
        <v>132200181.86</v>
      </c>
      <c r="V1145" s="9" t="n">
        <v>132200181.86</v>
      </c>
      <c r="W1145" s="9" t="n">
        <v>157381.1689</v>
      </c>
      <c r="X1145" s="9" t="n">
        <v>79.3116</v>
      </c>
      <c r="Y1145" s="8">
        <f>IF($I1145="JEA_NSA","20ft","40ft")</f>
        <v/>
      </c>
      <c r="Z1145" s="8">
        <f>IF($I1145="JEA_NSA","nsa","mun")</f>
        <v/>
      </c>
      <c r="AA1145" s="8">
        <f>INDEX(param_values,MATCH("container_payload_mt_"&amp;$Y1145,param_keys,0))/INDEX(param_values,MATCH("container_payload_mt_"&amp;$Y1145&amp;"_"&amp;$H1145,param_keys,0))</f>
        <v/>
      </c>
      <c r="AB1145" s="16">
        <f>INDEX(Market_Daily!$C$6:$C$256,MATCH($A1145,Market_Daily!$A$6:$A$256,0))*INDEX(Market_Daily!$X$6:$Z$256,MATCH($A1145,Market_Daily!$A$6:$A$256,0),MATCH("grade_factor_"&amp;$H1145,Market_Daily!$X$5:$Z$5,0))</f>
        <v/>
      </c>
      <c r="AC1145" s="16">
        <f>$AB1145*(1+insurance_rate*insured_value_uplift)</f>
        <v/>
      </c>
      <c r="AD1145" s="8">
        <f>(INDEX(Market_Daily!$F$6:$F$256,MATCH($A1145,Market_Daily!$A$6:$A$256,0))*(1+INDEX(Market_Daily!$I$6:$I$256,MATCH($A1145,Market_Daily!$A$6:$A$256,0))*$Q1145/day_count_inr)/(1+INDEX(Market_Daily!$J$6:$J$256,MATCH($A1145,Market_Daily!$A$6:$A$256,0))*$Q1145/day_count_usd))</f>
        <v/>
      </c>
      <c r="AE1145" s="18">
        <f>$AC1145*$AD1145</f>
        <v/>
      </c>
      <c r="AF1145" s="18">
        <f>$AC1145*INDEX(Market_Daily!$V$6:$V$256,MATCH($A1145,Market_Daily!$A$6:$A$256,0))</f>
        <v/>
      </c>
      <c r="AG1145" s="18">
        <f>$AF1145*bcd_scrap_hs7602*(1+sws_rate_on_bcd)</f>
        <v/>
      </c>
      <c r="AH1145" s="18">
        <f>INDEX(param_values,MATCH("port_cf_charges_inr_t_"&amp;$Z1145,param_keys,0))*$AA1145+IF(INDEX(param_values,MATCH(IF($I1145="JEA_NSA","psic_required_uae_origin","psic_required_safe_origin_designated_port"),param_keys,0)),psic_cost_usd_per_box*INDEX(Market_Daily!$F$6:$F$256,MATCH($A1145,Market_Daily!$A$6:$A$256,0))/INDEX(param_values,MATCH("container_payload_mt_20ft_"&amp;$H1145,param_keys,0)),0)</f>
        <v/>
      </c>
      <c r="AI1145" s="18">
        <f>IF(igst_itc_available,0,($AF1145+$AG1145)*igst_rate_hs7602)</f>
        <v/>
      </c>
      <c r="AJ1145" s="18">
        <f>$AE1145+$AG1145+$AH1145+$AI1145</f>
        <v/>
      </c>
      <c r="AK1145" s="7" t="inlineStr">
        <is>
          <t>DERIVED_IN_WORKBOOK</t>
        </is>
      </c>
      <c r="AL1145" s="8">
        <f>IF($J1145="INR",1,IF($M1145&lt;$A1145,INDEX(Market_Daily!$F$6:$F$256,MATCH($M1145,Market_Daily!$A$6:$A$256,1)),IF($M1145=$A1145,INDEX(Market_Daily!$F$6:$F$256,MATCH($A1145,Market_Daily!$A$6:$A$256,0)),(INDEX(Market_Daily!$F$6:$F$256,MATCH($A1145,Market_Daily!$A$6:$A$256,0))*(1+INDEX(Market_Daily!$I$6:$I$256,MATCH($A1145,Market_Daily!$A$6:$A$256,0))*($M1145-$A1145)/day_count_inr)/(1+INDEX(Market_Daily!$J$6:$J$256,MATCH($A1145,Market_Daily!$A$6:$A$256,0))*($M1145-$A1145)/day_count_usd)))))</f>
        <v/>
      </c>
      <c r="AM1145" s="8">
        <f>IF(OR($J1145="INR",$R1145&gt;1),"",$AL1145-$X1145)</f>
        <v/>
      </c>
      <c r="AN1145" s="8">
        <f>$N1145*$AJ1145</f>
        <v/>
      </c>
      <c r="AO1145" s="8">
        <f>$AN1145</f>
        <v/>
      </c>
      <c r="AP1145" s="18">
        <f>$AO1145-$V1145</f>
        <v/>
      </c>
      <c r="AQ1145" s="8">
        <f>IF(ABS($AP1145)&lt;=tol_trade_inr,"PASS","FAIL")</f>
        <v/>
      </c>
    </row>
    <row r="1146">
      <c r="A1146" s="11" t="n">
        <v>44771</v>
      </c>
      <c r="B1146" s="7" t="inlineStr">
        <is>
          <t>T08</t>
        </is>
      </c>
      <c r="C1146" s="7" t="inlineStr">
        <is>
          <t>MCX:T08-MCX-1</t>
        </is>
      </c>
      <c r="D1146" s="7" t="inlineStr">
        <is>
          <t>MCX</t>
        </is>
      </c>
      <c r="E1146" s="7" t="inlineStr">
        <is>
          <t>mcx</t>
        </is>
      </c>
      <c r="H1146" s="7" t="inlineStr">
        <is>
          <t>tense</t>
        </is>
      </c>
      <c r="I1146" s="7" t="inlineStr">
        <is>
          <t>USEC_MUN</t>
        </is>
      </c>
      <c r="J1146" s="7" t="inlineStr">
        <is>
          <t>INR</t>
        </is>
      </c>
      <c r="K1146" s="7" t="inlineStr">
        <is>
          <t>partially_fixed</t>
        </is>
      </c>
      <c r="L1146" s="7" t="inlineStr">
        <is>
          <t>PNL</t>
        </is>
      </c>
      <c r="M1146" s="11" t="n">
        <v>44789</v>
      </c>
      <c r="N1146" s="13" t="n">
        <v>0</v>
      </c>
      <c r="O1146" s="6" t="n">
        <v>-230</v>
      </c>
      <c r="P1146" s="13" t="n">
        <v>0</v>
      </c>
      <c r="Q1146" s="22" t="n">
        <v>31</v>
      </c>
      <c r="R1146" s="6" t="n">
        <v>23</v>
      </c>
      <c r="U1146" s="9" t="n">
        <v>0</v>
      </c>
      <c r="V1146" s="9" t="n">
        <v>0</v>
      </c>
      <c r="X1146" s="9" t="n">
        <v>79.3116</v>
      </c>
      <c r="AK1146" s="7" t="inlineStr">
        <is>
          <t>PYTHON_MULTI_FLOW_LEG</t>
        </is>
      </c>
      <c r="AL1146" s="8">
        <f>IF($J1146="INR",1,IF($M1146&lt;$A1146,INDEX(Market_Daily!$F$6:$F$256,MATCH($M1146,Market_Daily!$A$6:$A$256,1)),IF($M1146=$A1146,INDEX(Market_Daily!$F$6:$F$256,MATCH($A1146,Market_Daily!$A$6:$A$256,0)),(INDEX(Market_Daily!$F$6:$F$256,MATCH($A1146,Market_Daily!$A$6:$A$256,0))*(1+INDEX(Market_Daily!$I$6:$I$256,MATCH($A1146,Market_Daily!$A$6:$A$256,0))*($M1146-$A1146)/day_count_inr)/(1+INDEX(Market_Daily!$J$6:$J$256,MATCH($A1146,Market_Daily!$A$6:$A$256,0))*($M1146-$A1146)/day_count_usd)))))</f>
        <v/>
      </c>
      <c r="AM1146" s="8">
        <f>IF(OR($J1146="INR",$R1146&gt;1),"",$AL1146-$X1146)</f>
        <v/>
      </c>
      <c r="AN1146" s="8">
        <f>$U1146</f>
        <v/>
      </c>
      <c r="AO1146" s="8">
        <f>$V1146</f>
        <v/>
      </c>
      <c r="AP1146" s="18">
        <f>$AO1146-$V1146</f>
        <v/>
      </c>
      <c r="AQ1146" s="8">
        <f>IF(ABS($AP1146)&lt;=tol_trade_inr,"PASS","FAIL")</f>
        <v/>
      </c>
    </row>
    <row r="1147">
      <c r="A1147" s="11" t="n">
        <v>44771</v>
      </c>
      <c r="B1147" s="7" t="inlineStr">
        <is>
          <t>T08</t>
        </is>
      </c>
      <c r="C1147" s="7" t="inlineStr">
        <is>
          <t>PORT:L1</t>
        </is>
      </c>
      <c r="D1147" s="7" t="inlineStr">
        <is>
          <t>PORT</t>
        </is>
      </c>
      <c r="E1147" s="7" t="inlineStr">
        <is>
          <t>physical</t>
        </is>
      </c>
      <c r="F1147" s="7" t="inlineStr">
        <is>
          <t>L1</t>
        </is>
      </c>
      <c r="H1147" s="7" t="inlineStr">
        <is>
          <t>tense</t>
        </is>
      </c>
      <c r="I1147" s="7" t="inlineStr">
        <is>
          <t>USEC_MUN</t>
        </is>
      </c>
      <c r="J1147" s="7" t="inlineStr">
        <is>
          <t>INR</t>
        </is>
      </c>
      <c r="K1147" s="7" t="inlineStr">
        <is>
          <t>fixed_unsettled</t>
        </is>
      </c>
      <c r="L1147" s="7" t="inlineStr">
        <is>
          <t>PNL</t>
        </is>
      </c>
      <c r="M1147" s="11" t="n">
        <v>44791</v>
      </c>
      <c r="N1147" s="13" t="n">
        <v>0</v>
      </c>
      <c r="O1147" s="6" t="n">
        <v>0</v>
      </c>
      <c r="P1147" s="13" t="n">
        <v>0</v>
      </c>
      <c r="Q1147" s="22" t="n">
        <v>31</v>
      </c>
      <c r="R1147" s="6" t="n">
        <v>1</v>
      </c>
      <c r="U1147" s="9" t="n">
        <v>-2226000</v>
      </c>
      <c r="V1147" s="9" t="n">
        <v>-2226000</v>
      </c>
      <c r="X1147" s="9" t="n">
        <v>79.3116</v>
      </c>
      <c r="AK1147" s="7" t="inlineStr">
        <is>
          <t>PYTHON_LIFECYCLE</t>
        </is>
      </c>
      <c r="AL1147" s="8">
        <f>IF($J1147="INR",1,IF($M1147&lt;$A1147,INDEX(Market_Daily!$F$6:$F$256,MATCH($M1147,Market_Daily!$A$6:$A$256,1)),IF($M1147=$A1147,INDEX(Market_Daily!$F$6:$F$256,MATCH($A1147,Market_Daily!$A$6:$A$256,0)),(INDEX(Market_Daily!$F$6:$F$256,MATCH($A1147,Market_Daily!$A$6:$A$256,0))*(1+INDEX(Market_Daily!$I$6:$I$256,MATCH($A1147,Market_Daily!$A$6:$A$256,0))*($M1147-$A1147)/day_count_inr)/(1+INDEX(Market_Daily!$J$6:$J$256,MATCH($A1147,Market_Daily!$A$6:$A$256,0))*($M1147-$A1147)/day_count_usd)))))</f>
        <v/>
      </c>
      <c r="AM1147" s="8">
        <f>IF(OR($J1147="INR",$R1147&gt;1),"",$AL1147-$X1147)</f>
        <v/>
      </c>
      <c r="AN1147" s="8">
        <f>$U1147</f>
        <v/>
      </c>
      <c r="AO1147" s="8">
        <f>$AN1147*IF($J1147="INR",1,$AL1147)</f>
        <v/>
      </c>
      <c r="AP1147" s="18">
        <f>$AO1147-$V1147</f>
        <v/>
      </c>
      <c r="AQ1147" s="8">
        <f>IF(ABS($AP1147)&lt;=tol_trade_inr,"PASS","FAIL")</f>
        <v/>
      </c>
    </row>
    <row r="1148">
      <c r="A1148" s="11" t="n">
        <v>44771</v>
      </c>
      <c r="B1148" s="7" t="inlineStr">
        <is>
          <t>T08</t>
        </is>
      </c>
      <c r="C1148" s="7" t="inlineStr">
        <is>
          <t>PORT:L2</t>
        </is>
      </c>
      <c r="D1148" s="7" t="inlineStr">
        <is>
          <t>PORT</t>
        </is>
      </c>
      <c r="E1148" s="7" t="inlineStr">
        <is>
          <t>physical</t>
        </is>
      </c>
      <c r="F1148" s="7" t="inlineStr">
        <is>
          <t>L2</t>
        </is>
      </c>
      <c r="H1148" s="7" t="inlineStr">
        <is>
          <t>tense</t>
        </is>
      </c>
      <c r="I1148" s="7" t="inlineStr">
        <is>
          <t>USEC_MUN</t>
        </is>
      </c>
      <c r="J1148" s="7" t="inlineStr">
        <is>
          <t>INR</t>
        </is>
      </c>
      <c r="K1148" s="7" t="inlineStr">
        <is>
          <t>fixed_unsettled</t>
        </is>
      </c>
      <c r="L1148" s="7" t="inlineStr">
        <is>
          <t>PNL</t>
        </is>
      </c>
      <c r="M1148" s="11" t="n">
        <v>44798</v>
      </c>
      <c r="N1148" s="13" t="n">
        <v>0</v>
      </c>
      <c r="O1148" s="6" t="n">
        <v>0</v>
      </c>
      <c r="P1148" s="13" t="n">
        <v>0</v>
      </c>
      <c r="Q1148" s="22" t="n">
        <v>31</v>
      </c>
      <c r="R1148" s="6" t="n">
        <v>1</v>
      </c>
      <c r="U1148" s="9" t="n">
        <v>-2226000</v>
      </c>
      <c r="V1148" s="9" t="n">
        <v>-2226000</v>
      </c>
      <c r="X1148" s="9" t="n">
        <v>79.3116</v>
      </c>
      <c r="AK1148" s="7" t="inlineStr">
        <is>
          <t>PYTHON_LIFECYCLE</t>
        </is>
      </c>
      <c r="AL1148" s="8">
        <f>IF($J1148="INR",1,IF($M1148&lt;$A1148,INDEX(Market_Daily!$F$6:$F$256,MATCH($M1148,Market_Daily!$A$6:$A$256,1)),IF($M1148=$A1148,INDEX(Market_Daily!$F$6:$F$256,MATCH($A1148,Market_Daily!$A$6:$A$256,0)),(INDEX(Market_Daily!$F$6:$F$256,MATCH($A1148,Market_Daily!$A$6:$A$256,0))*(1+INDEX(Market_Daily!$I$6:$I$256,MATCH($A1148,Market_Daily!$A$6:$A$256,0))*($M1148-$A1148)/day_count_inr)/(1+INDEX(Market_Daily!$J$6:$J$256,MATCH($A1148,Market_Daily!$A$6:$A$256,0))*($M1148-$A1148)/day_count_usd)))))</f>
        <v/>
      </c>
      <c r="AM1148" s="8">
        <f>IF(OR($J1148="INR",$R1148&gt;1),"",$AL1148-$X1148)</f>
        <v/>
      </c>
      <c r="AN1148" s="8">
        <f>$U1148</f>
        <v/>
      </c>
      <c r="AO1148" s="8">
        <f>$AN1148*IF($J1148="INR",1,$AL1148)</f>
        <v/>
      </c>
      <c r="AP1148" s="18">
        <f>$AO1148-$V1148</f>
        <v/>
      </c>
      <c r="AQ1148" s="8">
        <f>IF(ABS($AP1148)&lt;=tol_trade_inr,"PASS","FAIL")</f>
        <v/>
      </c>
    </row>
    <row r="1149">
      <c r="A1149" s="11" t="n">
        <v>44771</v>
      </c>
      <c r="B1149" s="7" t="inlineStr">
        <is>
          <t>T08</t>
        </is>
      </c>
      <c r="C1149" s="7" t="inlineStr">
        <is>
          <t>PURCHASE:L1</t>
        </is>
      </c>
      <c r="D1149" s="7" t="inlineStr">
        <is>
          <t>PURCHASE</t>
        </is>
      </c>
      <c r="E1149" s="7" t="inlineStr">
        <is>
          <t>physical</t>
        </is>
      </c>
      <c r="F1149" s="7" t="inlineStr">
        <is>
          <t>L1</t>
        </is>
      </c>
      <c r="G1149" s="7" t="inlineStr">
        <is>
          <t>SUP_USEC_02</t>
        </is>
      </c>
      <c r="H1149" s="7" t="inlineStr">
        <is>
          <t>tense</t>
        </is>
      </c>
      <c r="I1149" s="7" t="inlineStr">
        <is>
          <t>USEC_MUN</t>
        </is>
      </c>
      <c r="J1149" s="7" t="inlineStr">
        <is>
          <t>USD</t>
        </is>
      </c>
      <c r="K1149" s="7" t="inlineStr">
        <is>
          <t>partially_fixed</t>
        </is>
      </c>
      <c r="L1149" s="7" t="inlineStr">
        <is>
          <t>PNL</t>
        </is>
      </c>
      <c r="M1149" s="11" t="n">
        <v>44782</v>
      </c>
      <c r="N1149" s="13" t="n">
        <v>1680</v>
      </c>
      <c r="O1149" s="6" t="n">
        <v>0</v>
      </c>
      <c r="P1149" s="13" t="n">
        <v>0</v>
      </c>
      <c r="Q1149" s="22" t="n">
        <v>31</v>
      </c>
      <c r="R1149" s="6" t="n">
        <v>2</v>
      </c>
      <c r="U1149" s="9" t="n">
        <v>-45223.84</v>
      </c>
      <c r="V1149" s="9" t="n">
        <v>-3589931.47</v>
      </c>
      <c r="X1149" s="9" t="n">
        <v>79.3814</v>
      </c>
      <c r="AK1149" s="7" t="inlineStr">
        <is>
          <t>PYTHON_MULTI_FLOW_LEG</t>
        </is>
      </c>
      <c r="AL1149" s="8">
        <f>IF($J1149="INR",1,IF($M1149&lt;$A1149,INDEX(Market_Daily!$F$6:$F$256,MATCH($M1149,Market_Daily!$A$6:$A$256,1)),IF($M1149=$A1149,INDEX(Market_Daily!$F$6:$F$256,MATCH($A1149,Market_Daily!$A$6:$A$256,0)),(INDEX(Market_Daily!$F$6:$F$256,MATCH($A1149,Market_Daily!$A$6:$A$256,0))*(1+INDEX(Market_Daily!$I$6:$I$256,MATCH($A1149,Market_Daily!$A$6:$A$256,0))*($M1149-$A1149)/day_count_inr)/(1+INDEX(Market_Daily!$J$6:$J$256,MATCH($A1149,Market_Daily!$A$6:$A$256,0))*($M1149-$A1149)/day_count_usd)))))</f>
        <v/>
      </c>
      <c r="AM1149" s="8">
        <f>IF(OR($J1149="INR",$R1149&gt;1),"",$AL1149-$X1149)</f>
        <v/>
      </c>
      <c r="AN1149" s="8">
        <f>$U1149</f>
        <v/>
      </c>
      <c r="AO1149" s="8">
        <f>$V1149</f>
        <v/>
      </c>
      <c r="AP1149" s="18">
        <f>$AO1149-$V1149</f>
        <v/>
      </c>
      <c r="AQ1149" s="8">
        <f>IF(ABS($AP1149)&lt;=tol_trade_inr,"PASS","FAIL")</f>
        <v/>
      </c>
    </row>
    <row r="1150">
      <c r="A1150" s="11" t="n">
        <v>44771</v>
      </c>
      <c r="B1150" s="7" t="inlineStr">
        <is>
          <t>T08</t>
        </is>
      </c>
      <c r="C1150" s="7" t="inlineStr">
        <is>
          <t>PURCHASE:L2</t>
        </is>
      </c>
      <c r="D1150" s="7" t="inlineStr">
        <is>
          <t>PURCHASE</t>
        </is>
      </c>
      <c r="E1150" s="7" t="inlineStr">
        <is>
          <t>physical</t>
        </is>
      </c>
      <c r="F1150" s="7" t="inlineStr">
        <is>
          <t>L2</t>
        </is>
      </c>
      <c r="G1150" s="7" t="inlineStr">
        <is>
          <t>SUP_USEC_02</t>
        </is>
      </c>
      <c r="H1150" s="7" t="inlineStr">
        <is>
          <t>tense</t>
        </is>
      </c>
      <c r="I1150" s="7" t="inlineStr">
        <is>
          <t>USEC_MUN</t>
        </is>
      </c>
      <c r="J1150" s="7" t="inlineStr">
        <is>
          <t>USD</t>
        </is>
      </c>
      <c r="K1150" s="7" t="inlineStr">
        <is>
          <t>partially_fixed</t>
        </is>
      </c>
      <c r="L1150" s="7" t="inlineStr">
        <is>
          <t>PNL</t>
        </is>
      </c>
      <c r="M1150" s="11" t="n">
        <v>44789</v>
      </c>
      <c r="N1150" s="13" t="n">
        <v>1680</v>
      </c>
      <c r="O1150" s="6" t="n">
        <v>0</v>
      </c>
      <c r="P1150" s="13" t="n">
        <v>0</v>
      </c>
      <c r="Q1150" s="22" t="n">
        <v>31</v>
      </c>
      <c r="R1150" s="6" t="n">
        <v>2</v>
      </c>
      <c r="U1150" s="9" t="n">
        <v>-47407.97</v>
      </c>
      <c r="V1150" s="9" t="n">
        <v>-3765413.45</v>
      </c>
      <c r="X1150" s="9" t="n">
        <v>79.4258</v>
      </c>
      <c r="AK1150" s="7" t="inlineStr">
        <is>
          <t>PYTHON_MULTI_FLOW_LEG</t>
        </is>
      </c>
      <c r="AL1150" s="8">
        <f>IF($J1150="INR",1,IF($M1150&lt;$A1150,INDEX(Market_Daily!$F$6:$F$256,MATCH($M1150,Market_Daily!$A$6:$A$256,1)),IF($M1150=$A1150,INDEX(Market_Daily!$F$6:$F$256,MATCH($A1150,Market_Daily!$A$6:$A$256,0)),(INDEX(Market_Daily!$F$6:$F$256,MATCH($A1150,Market_Daily!$A$6:$A$256,0))*(1+INDEX(Market_Daily!$I$6:$I$256,MATCH($A1150,Market_Daily!$A$6:$A$256,0))*($M1150-$A1150)/day_count_inr)/(1+INDEX(Market_Daily!$J$6:$J$256,MATCH($A1150,Market_Daily!$A$6:$A$256,0))*($M1150-$A1150)/day_count_usd)))))</f>
        <v/>
      </c>
      <c r="AM1150" s="8">
        <f>IF(OR($J1150="INR",$R1150&gt;1),"",$AL1150-$X1150)</f>
        <v/>
      </c>
      <c r="AN1150" s="8">
        <f>$U1150</f>
        <v/>
      </c>
      <c r="AO1150" s="8">
        <f>$V1150</f>
        <v/>
      </c>
      <c r="AP1150" s="18">
        <f>$AO1150-$V1150</f>
        <v/>
      </c>
      <c r="AQ1150" s="8">
        <f>IF(ABS($AP1150)&lt;=tol_trade_inr,"PASS","FAIL")</f>
        <v/>
      </c>
    </row>
    <row r="1151">
      <c r="A1151" s="11" t="n">
        <v>44776</v>
      </c>
      <c r="B1151" s="7" t="inlineStr">
        <is>
          <t>T05</t>
        </is>
      </c>
      <c r="C1151" s="7" t="inlineStr">
        <is>
          <t>IGST:L1</t>
        </is>
      </c>
      <c r="D1151" s="7" t="inlineStr">
        <is>
          <t>IGST</t>
        </is>
      </c>
      <c r="E1151" s="7" t="inlineStr">
        <is>
          <t>physical</t>
        </is>
      </c>
      <c r="F1151" s="7" t="inlineStr">
        <is>
          <t>L1</t>
        </is>
      </c>
      <c r="H1151" s="7" t="inlineStr">
        <is>
          <t>tense</t>
        </is>
      </c>
      <c r="I1151" s="7" t="inlineStr">
        <is>
          <t>USEC_MUN</t>
        </is>
      </c>
      <c r="J1151" s="7" t="inlineStr">
        <is>
          <t>INR</t>
        </is>
      </c>
      <c r="K1151" s="7" t="inlineStr">
        <is>
          <t>fixed_unsettled</t>
        </is>
      </c>
      <c r="L1151" s="7" t="inlineStr">
        <is>
          <t>BS</t>
        </is>
      </c>
      <c r="M1151" s="11" t="n">
        <v>44777</v>
      </c>
      <c r="N1151" s="13" t="n">
        <v>0</v>
      </c>
      <c r="O1151" s="6" t="n">
        <v>0</v>
      </c>
      <c r="P1151" s="13" t="n">
        <v>0</v>
      </c>
      <c r="Q1151" s="22" t="n">
        <v>31</v>
      </c>
      <c r="R1151" s="6" t="n">
        <v>2</v>
      </c>
      <c r="U1151" s="9" t="n">
        <v>0</v>
      </c>
      <c r="V1151" s="9" t="n">
        <v>0</v>
      </c>
      <c r="X1151" s="9" t="n">
        <v>79.15389999999999</v>
      </c>
      <c r="AK1151" s="7" t="inlineStr">
        <is>
          <t>PYTHON_MULTI_FLOW_LEG</t>
        </is>
      </c>
      <c r="AL1151" s="8">
        <f>IF($J1151="INR",1,IF($M1151&lt;$A1151,INDEX(Market_Daily!$F$6:$F$256,MATCH($M1151,Market_Daily!$A$6:$A$256,1)),IF($M1151=$A1151,INDEX(Market_Daily!$F$6:$F$256,MATCH($A1151,Market_Daily!$A$6:$A$256,0)),(INDEX(Market_Daily!$F$6:$F$256,MATCH($A1151,Market_Daily!$A$6:$A$256,0))*(1+INDEX(Market_Daily!$I$6:$I$256,MATCH($A1151,Market_Daily!$A$6:$A$256,0))*($M1151-$A1151)/day_count_inr)/(1+INDEX(Market_Daily!$J$6:$J$256,MATCH($A1151,Market_Daily!$A$6:$A$256,0))*($M1151-$A1151)/day_count_usd)))))</f>
        <v/>
      </c>
      <c r="AM1151" s="8">
        <f>IF(OR($J1151="INR",$R1151&gt;1),"",$AL1151-$X1151)</f>
        <v/>
      </c>
      <c r="AN1151" s="8">
        <f>$U1151</f>
        <v/>
      </c>
      <c r="AO1151" s="8">
        <f>$V1151</f>
        <v/>
      </c>
      <c r="AP1151" s="18">
        <f>$AO1151-$V1151</f>
        <v/>
      </c>
      <c r="AQ1151" s="8">
        <f>IF(ABS($AP1151)&lt;=tol_trade_inr,"PASS","FAIL")</f>
        <v/>
      </c>
    </row>
    <row r="1152">
      <c r="A1152" s="11" t="n">
        <v>44776</v>
      </c>
      <c r="B1152" s="7" t="inlineStr">
        <is>
          <t>T05</t>
        </is>
      </c>
      <c r="C1152" s="7" t="inlineStr">
        <is>
          <t>IGST:L2</t>
        </is>
      </c>
      <c r="D1152" s="7" t="inlineStr">
        <is>
          <t>IGST</t>
        </is>
      </c>
      <c r="E1152" s="7" t="inlineStr">
        <is>
          <t>physical</t>
        </is>
      </c>
      <c r="F1152" s="7" t="inlineStr">
        <is>
          <t>L2</t>
        </is>
      </c>
      <c r="H1152" s="7" t="inlineStr">
        <is>
          <t>tense</t>
        </is>
      </c>
      <c r="I1152" s="7" t="inlineStr">
        <is>
          <t>USEC_MUN</t>
        </is>
      </c>
      <c r="J1152" s="7" t="inlineStr">
        <is>
          <t>INR</t>
        </is>
      </c>
      <c r="K1152" s="7" t="inlineStr">
        <is>
          <t>fixed_unsettled</t>
        </is>
      </c>
      <c r="L1152" s="7" t="inlineStr">
        <is>
          <t>BS</t>
        </is>
      </c>
      <c r="M1152" s="11" t="n">
        <v>44785</v>
      </c>
      <c r="N1152" s="13" t="n">
        <v>0</v>
      </c>
      <c r="O1152" s="6" t="n">
        <v>0</v>
      </c>
      <c r="P1152" s="13" t="n">
        <v>0</v>
      </c>
      <c r="Q1152" s="22" t="n">
        <v>31</v>
      </c>
      <c r="R1152" s="6" t="n">
        <v>2</v>
      </c>
      <c r="U1152" s="9" t="n">
        <v>0</v>
      </c>
      <c r="V1152" s="9" t="n">
        <v>0</v>
      </c>
      <c r="X1152" s="9" t="n">
        <v>79.15389999999999</v>
      </c>
      <c r="AK1152" s="7" t="inlineStr">
        <is>
          <t>PYTHON_MULTI_FLOW_LEG</t>
        </is>
      </c>
      <c r="AL1152" s="8">
        <f>IF($J1152="INR",1,IF($M1152&lt;$A1152,INDEX(Market_Daily!$F$6:$F$256,MATCH($M1152,Market_Daily!$A$6:$A$256,1)),IF($M1152=$A1152,INDEX(Market_Daily!$F$6:$F$256,MATCH($A1152,Market_Daily!$A$6:$A$256,0)),(INDEX(Market_Daily!$F$6:$F$256,MATCH($A1152,Market_Daily!$A$6:$A$256,0))*(1+INDEX(Market_Daily!$I$6:$I$256,MATCH($A1152,Market_Daily!$A$6:$A$256,0))*($M1152-$A1152)/day_count_inr)/(1+INDEX(Market_Daily!$J$6:$J$256,MATCH($A1152,Market_Daily!$A$6:$A$256,0))*($M1152-$A1152)/day_count_usd)))))</f>
        <v/>
      </c>
      <c r="AM1152" s="8">
        <f>IF(OR($J1152="INR",$R1152&gt;1),"",$AL1152-$X1152)</f>
        <v/>
      </c>
      <c r="AN1152" s="8">
        <f>$U1152</f>
        <v/>
      </c>
      <c r="AO1152" s="8">
        <f>$V1152</f>
        <v/>
      </c>
      <c r="AP1152" s="18">
        <f>$AO1152-$V1152</f>
        <v/>
      </c>
      <c r="AQ1152" s="8">
        <f>IF(ABS($AP1152)&lt;=tol_trade_inr,"PASS","FAIL")</f>
        <v/>
      </c>
    </row>
    <row r="1153">
      <c r="A1153" s="11" t="n">
        <v>44776</v>
      </c>
      <c r="B1153" s="7" t="inlineStr">
        <is>
          <t>T05</t>
        </is>
      </c>
      <c r="C1153" s="7" t="inlineStr">
        <is>
          <t>SALE:S1</t>
        </is>
      </c>
      <c r="D1153" s="7" t="inlineStr">
        <is>
          <t>SALE</t>
        </is>
      </c>
      <c r="E1153" s="7" t="inlineStr">
        <is>
          <t>physical</t>
        </is>
      </c>
      <c r="G1153" s="7" t="inlineStr">
        <is>
          <t>BUY_MUN_01</t>
        </is>
      </c>
      <c r="H1153" s="7" t="inlineStr">
        <is>
          <t>tense</t>
        </is>
      </c>
      <c r="I1153" s="7" t="inlineStr">
        <is>
          <t>USEC_MUN</t>
        </is>
      </c>
      <c r="J1153" s="7" t="inlineStr">
        <is>
          <t>INR</t>
        </is>
      </c>
      <c r="K1153" s="7" t="inlineStr">
        <is>
          <t>fixed_unsettled</t>
        </is>
      </c>
      <c r="L1153" s="7" t="inlineStr">
        <is>
          <t>PNL</t>
        </is>
      </c>
      <c r="M1153" s="11" t="n">
        <v>44781</v>
      </c>
      <c r="N1153" s="13" t="n">
        <v>2100</v>
      </c>
      <c r="O1153" s="6" t="n">
        <v>0</v>
      </c>
      <c r="P1153" s="13" t="n">
        <v>0</v>
      </c>
      <c r="Q1153" s="22" t="n">
        <v>31</v>
      </c>
      <c r="R1153" s="6" t="n">
        <v>1</v>
      </c>
      <c r="U1153" s="9" t="n">
        <v>310123937.67</v>
      </c>
      <c r="V1153" s="9" t="n">
        <v>310123937.67</v>
      </c>
      <c r="W1153" s="9" t="n">
        <v>147678.0656</v>
      </c>
      <c r="X1153" s="9" t="n">
        <v>79.15389999999999</v>
      </c>
      <c r="AK1153" s="7" t="inlineStr">
        <is>
          <t>PYTHON_LIFECYCLE</t>
        </is>
      </c>
      <c r="AL1153" s="8">
        <f>IF($J1153="INR",1,IF($M1153&lt;$A1153,INDEX(Market_Daily!$F$6:$F$256,MATCH($M1153,Market_Daily!$A$6:$A$256,1)),IF($M1153=$A1153,INDEX(Market_Daily!$F$6:$F$256,MATCH($A1153,Market_Daily!$A$6:$A$256,0)),(INDEX(Market_Daily!$F$6:$F$256,MATCH($A1153,Market_Daily!$A$6:$A$256,0))*(1+INDEX(Market_Daily!$I$6:$I$256,MATCH($A1153,Market_Daily!$A$6:$A$256,0))*($M1153-$A1153)/day_count_inr)/(1+INDEX(Market_Daily!$J$6:$J$256,MATCH($A1153,Market_Daily!$A$6:$A$256,0))*($M1153-$A1153)/day_count_usd)))))</f>
        <v/>
      </c>
      <c r="AM1153" s="8">
        <f>IF(OR($J1153="INR",$R1153&gt;1),"",$AL1153-$X1153)</f>
        <v/>
      </c>
      <c r="AN1153" s="8">
        <f>$U1153</f>
        <v/>
      </c>
      <c r="AO1153" s="8">
        <f>$AN1153*IF($J1153="INR",1,$AL1153)</f>
        <v/>
      </c>
      <c r="AP1153" s="18">
        <f>$AO1153-$V1153</f>
        <v/>
      </c>
      <c r="AQ1153" s="8">
        <f>IF(ABS($AP1153)&lt;=tol_trade_inr,"PASS","FAIL")</f>
        <v/>
      </c>
    </row>
    <row r="1154">
      <c r="A1154" s="11" t="n">
        <v>44776</v>
      </c>
      <c r="B1154" s="7" t="inlineStr">
        <is>
          <t>T06</t>
        </is>
      </c>
      <c r="C1154" s="7" t="inlineStr">
        <is>
          <t>SALE:S1</t>
        </is>
      </c>
      <c r="D1154" s="7" t="inlineStr">
        <is>
          <t>SALE</t>
        </is>
      </c>
      <c r="E1154" s="7" t="inlineStr">
        <is>
          <t>physical</t>
        </is>
      </c>
      <c r="G1154" s="7" t="inlineStr">
        <is>
          <t>BUY_JNPT_01</t>
        </is>
      </c>
      <c r="H1154" s="7" t="inlineStr">
        <is>
          <t>zorba</t>
        </is>
      </c>
      <c r="I1154" s="7" t="inlineStr">
        <is>
          <t>JEA_NSA</t>
        </is>
      </c>
      <c r="J1154" s="7" t="inlineStr">
        <is>
          <t>INR</t>
        </is>
      </c>
      <c r="K1154" s="7" t="inlineStr">
        <is>
          <t>fixed_unsettled</t>
        </is>
      </c>
      <c r="L1154" s="7" t="inlineStr">
        <is>
          <t>PNL</t>
        </is>
      </c>
      <c r="M1154" s="11" t="n">
        <v>44781</v>
      </c>
      <c r="N1154" s="13" t="n">
        <v>1300</v>
      </c>
      <c r="O1154" s="6" t="n">
        <v>0</v>
      </c>
      <c r="P1154" s="13" t="n">
        <v>0</v>
      </c>
      <c r="Q1154" s="22" t="n">
        <v>31</v>
      </c>
      <c r="R1154" s="6" t="n">
        <v>1</v>
      </c>
      <c r="U1154" s="9" t="n">
        <v>240825000</v>
      </c>
      <c r="V1154" s="9" t="n">
        <v>240825000</v>
      </c>
      <c r="W1154" s="9" t="n">
        <v>185250</v>
      </c>
      <c r="X1154" s="9" t="n">
        <v>79.15389999999999</v>
      </c>
      <c r="AK1154" s="7" t="inlineStr">
        <is>
          <t>PYTHON_LIFECYCLE</t>
        </is>
      </c>
      <c r="AL1154" s="8">
        <f>IF($J1154="INR",1,IF($M1154&lt;$A1154,INDEX(Market_Daily!$F$6:$F$256,MATCH($M1154,Market_Daily!$A$6:$A$256,1)),IF($M1154=$A1154,INDEX(Market_Daily!$F$6:$F$256,MATCH($A1154,Market_Daily!$A$6:$A$256,0)),(INDEX(Market_Daily!$F$6:$F$256,MATCH($A1154,Market_Daily!$A$6:$A$256,0))*(1+INDEX(Market_Daily!$I$6:$I$256,MATCH($A1154,Market_Daily!$A$6:$A$256,0))*($M1154-$A1154)/day_count_inr)/(1+INDEX(Market_Daily!$J$6:$J$256,MATCH($A1154,Market_Daily!$A$6:$A$256,0))*($M1154-$A1154)/day_count_usd)))))</f>
        <v/>
      </c>
      <c r="AM1154" s="8">
        <f>IF(OR($J1154="INR",$R1154&gt;1),"",$AL1154-$X1154)</f>
        <v/>
      </c>
      <c r="AN1154" s="8">
        <f>$U1154</f>
        <v/>
      </c>
      <c r="AO1154" s="8">
        <f>$AN1154*IF($J1154="INR",1,$AL1154)</f>
        <v/>
      </c>
      <c r="AP1154" s="18">
        <f>$AO1154-$V1154</f>
        <v/>
      </c>
      <c r="AQ1154" s="8">
        <f>IF(ABS($AP1154)&lt;=tol_trade_inr,"PASS","FAIL")</f>
        <v/>
      </c>
    </row>
    <row r="1155">
      <c r="A1155" s="11" t="n">
        <v>44776</v>
      </c>
      <c r="B1155" s="7" t="inlineStr">
        <is>
          <t>T07</t>
        </is>
      </c>
      <c r="C1155" s="7" t="inlineStr">
        <is>
          <t>CLAIM:L1</t>
        </is>
      </c>
      <c r="D1155" s="7" t="inlineStr">
        <is>
          <t>CLAIM</t>
        </is>
      </c>
      <c r="E1155" s="7" t="inlineStr">
        <is>
          <t>physical</t>
        </is>
      </c>
      <c r="F1155" s="7" t="inlineStr">
        <is>
          <t>L1</t>
        </is>
      </c>
      <c r="G1155" s="7" t="inlineStr">
        <is>
          <t>SUP_USEC_02</t>
        </is>
      </c>
      <c r="H1155" s="7" t="inlineStr">
        <is>
          <t>tense</t>
        </is>
      </c>
      <c r="I1155" s="7" t="inlineStr">
        <is>
          <t>USEC_MUN</t>
        </is>
      </c>
      <c r="J1155" s="7" t="inlineStr">
        <is>
          <t>USD</t>
        </is>
      </c>
      <c r="K1155" s="7" t="inlineStr">
        <is>
          <t>fixed_unsettled</t>
        </is>
      </c>
      <c r="L1155" s="7" t="inlineStr">
        <is>
          <t>PNL</t>
        </is>
      </c>
      <c r="M1155" s="11" t="n">
        <v>44791</v>
      </c>
      <c r="N1155" s="13" t="n">
        <v>28.6042</v>
      </c>
      <c r="O1155" s="6" t="n">
        <v>0</v>
      </c>
      <c r="P1155" s="13" t="n">
        <v>0</v>
      </c>
      <c r="Q1155" s="22" t="n">
        <v>31</v>
      </c>
      <c r="R1155" s="6" t="n">
        <v>1</v>
      </c>
      <c r="U1155" s="9" t="n">
        <v>35801.02</v>
      </c>
      <c r="V1155" s="9" t="n">
        <v>2836876.8</v>
      </c>
      <c r="X1155" s="9" t="n">
        <v>79.2401</v>
      </c>
      <c r="AK1155" s="7" t="inlineStr">
        <is>
          <t>PYTHON_LIFECYCLE</t>
        </is>
      </c>
      <c r="AL1155" s="8">
        <f>IF($J1155="INR",1,IF($M1155&lt;$A1155,INDEX(Market_Daily!$F$6:$F$256,MATCH($M1155,Market_Daily!$A$6:$A$256,1)),IF($M1155=$A1155,INDEX(Market_Daily!$F$6:$F$256,MATCH($A1155,Market_Daily!$A$6:$A$256,0)),(INDEX(Market_Daily!$F$6:$F$256,MATCH($A1155,Market_Daily!$A$6:$A$256,0))*(1+INDEX(Market_Daily!$I$6:$I$256,MATCH($A1155,Market_Daily!$A$6:$A$256,0))*($M1155-$A1155)/day_count_inr)/(1+INDEX(Market_Daily!$J$6:$J$256,MATCH($A1155,Market_Daily!$A$6:$A$256,0))*($M1155-$A1155)/day_count_usd)))))</f>
        <v/>
      </c>
      <c r="AM1155" s="8">
        <f>IF(OR($J1155="INR",$R1155&gt;1),"",$AL1155-$X1155)</f>
        <v/>
      </c>
      <c r="AN1155" s="8">
        <f>$U1155</f>
        <v/>
      </c>
      <c r="AO1155" s="8">
        <f>$AN1155*IF($J1155="INR",1,$AL1155)</f>
        <v/>
      </c>
      <c r="AP1155" s="18">
        <f>$AO1155-$V1155</f>
        <v/>
      </c>
      <c r="AQ1155" s="8">
        <f>IF(ABS($AP1155)&lt;=tol_trade_inr,"PASS","FAIL")</f>
        <v/>
      </c>
    </row>
    <row r="1156">
      <c r="A1156" s="11" t="n">
        <v>44776</v>
      </c>
      <c r="B1156" s="7" t="inlineStr">
        <is>
          <t>T07</t>
        </is>
      </c>
      <c r="C1156" s="7" t="inlineStr">
        <is>
          <t>DEMURRAGE:L2</t>
        </is>
      </c>
      <c r="D1156" s="7" t="inlineStr">
        <is>
          <t>DEMURRAGE</t>
        </is>
      </c>
      <c r="E1156" s="7" t="inlineStr">
        <is>
          <t>physical</t>
        </is>
      </c>
      <c r="F1156" s="7" t="inlineStr">
        <is>
          <t>L2</t>
        </is>
      </c>
      <c r="H1156" s="7" t="inlineStr">
        <is>
          <t>tense</t>
        </is>
      </c>
      <c r="I1156" s="7" t="inlineStr">
        <is>
          <t>USEC_MUN</t>
        </is>
      </c>
      <c r="J1156" s="7" t="inlineStr">
        <is>
          <t>USD</t>
        </is>
      </c>
      <c r="K1156" s="7" t="inlineStr">
        <is>
          <t>fixed_unsettled</t>
        </is>
      </c>
      <c r="L1156" s="7" t="inlineStr">
        <is>
          <t>PNL</t>
        </is>
      </c>
      <c r="M1156" s="11" t="n">
        <v>44789</v>
      </c>
      <c r="N1156" s="13" t="n">
        <v>0</v>
      </c>
      <c r="O1156" s="6" t="n">
        <v>0</v>
      </c>
      <c r="P1156" s="13" t="n">
        <v>0</v>
      </c>
      <c r="Q1156" s="22" t="n">
        <v>31</v>
      </c>
      <c r="R1156" s="6" t="n">
        <v>1</v>
      </c>
      <c r="U1156" s="9" t="n">
        <v>-17325</v>
      </c>
      <c r="V1156" s="9" t="n">
        <v>-1372635.85</v>
      </c>
      <c r="X1156" s="9" t="n">
        <v>79.2286</v>
      </c>
      <c r="AK1156" s="7" t="inlineStr">
        <is>
          <t>PYTHON_LIFECYCLE</t>
        </is>
      </c>
      <c r="AL1156" s="8">
        <f>IF($J1156="INR",1,IF($M1156&lt;$A1156,INDEX(Market_Daily!$F$6:$F$256,MATCH($M1156,Market_Daily!$A$6:$A$256,1)),IF($M1156=$A1156,INDEX(Market_Daily!$F$6:$F$256,MATCH($A1156,Market_Daily!$A$6:$A$256,0)),(INDEX(Market_Daily!$F$6:$F$256,MATCH($A1156,Market_Daily!$A$6:$A$256,0))*(1+INDEX(Market_Daily!$I$6:$I$256,MATCH($A1156,Market_Daily!$A$6:$A$256,0))*($M1156-$A1156)/day_count_inr)/(1+INDEX(Market_Daily!$J$6:$J$256,MATCH($A1156,Market_Daily!$A$6:$A$256,0))*($M1156-$A1156)/day_count_usd)))))</f>
        <v/>
      </c>
      <c r="AM1156" s="8">
        <f>IF(OR($J1156="INR",$R1156&gt;1),"",$AL1156-$X1156)</f>
        <v/>
      </c>
      <c r="AN1156" s="8">
        <f>$U1156</f>
        <v/>
      </c>
      <c r="AO1156" s="8">
        <f>$AN1156*IF($J1156="INR",1,$AL1156)</f>
        <v/>
      </c>
      <c r="AP1156" s="18">
        <f>$AO1156-$V1156</f>
        <v/>
      </c>
      <c r="AQ1156" s="8">
        <f>IF(ABS($AP1156)&lt;=tol_trade_inr,"PASS","FAIL")</f>
        <v/>
      </c>
    </row>
    <row r="1157">
      <c r="A1157" s="11" t="n">
        <v>44776</v>
      </c>
      <c r="B1157" s="7" t="inlineStr">
        <is>
          <t>T07</t>
        </is>
      </c>
      <c r="C1157" s="7" t="inlineStr">
        <is>
          <t>IGST:L1</t>
        </is>
      </c>
      <c r="D1157" s="7" t="inlineStr">
        <is>
          <t>IGST</t>
        </is>
      </c>
      <c r="E1157" s="7" t="inlineStr">
        <is>
          <t>physical</t>
        </is>
      </c>
      <c r="F1157" s="7" t="inlineStr">
        <is>
          <t>L1</t>
        </is>
      </c>
      <c r="H1157" s="7" t="inlineStr">
        <is>
          <t>tense</t>
        </is>
      </c>
      <c r="I1157" s="7" t="inlineStr">
        <is>
          <t>USEC_MUN</t>
        </is>
      </c>
      <c r="J1157" s="7" t="inlineStr">
        <is>
          <t>INR</t>
        </is>
      </c>
      <c r="K1157" s="7" t="inlineStr">
        <is>
          <t>fixed_unsettled</t>
        </is>
      </c>
      <c r="L1157" s="7" t="inlineStr">
        <is>
          <t>BS</t>
        </is>
      </c>
      <c r="M1157" s="11" t="n">
        <v>44806</v>
      </c>
      <c r="N1157" s="13" t="n">
        <v>0</v>
      </c>
      <c r="O1157" s="6" t="n">
        <v>0</v>
      </c>
      <c r="P1157" s="13" t="n">
        <v>0</v>
      </c>
      <c r="Q1157" s="22" t="n">
        <v>31</v>
      </c>
      <c r="R1157" s="6" t="n">
        <v>2</v>
      </c>
      <c r="U1157" s="9" t="n">
        <v>0</v>
      </c>
      <c r="V1157" s="9" t="n">
        <v>0</v>
      </c>
      <c r="X1157" s="9" t="n">
        <v>79.15389999999999</v>
      </c>
      <c r="AK1157" s="7" t="inlineStr">
        <is>
          <t>PYTHON_MULTI_FLOW_LEG</t>
        </is>
      </c>
      <c r="AL1157" s="8">
        <f>IF($J1157="INR",1,IF($M1157&lt;$A1157,INDEX(Market_Daily!$F$6:$F$256,MATCH($M1157,Market_Daily!$A$6:$A$256,1)),IF($M1157=$A1157,INDEX(Market_Daily!$F$6:$F$256,MATCH($A1157,Market_Daily!$A$6:$A$256,0)),(INDEX(Market_Daily!$F$6:$F$256,MATCH($A1157,Market_Daily!$A$6:$A$256,0))*(1+INDEX(Market_Daily!$I$6:$I$256,MATCH($A1157,Market_Daily!$A$6:$A$256,0))*($M1157-$A1157)/day_count_inr)/(1+INDEX(Market_Daily!$J$6:$J$256,MATCH($A1157,Market_Daily!$A$6:$A$256,0))*($M1157-$A1157)/day_count_usd)))))</f>
        <v/>
      </c>
      <c r="AM1157" s="8">
        <f>IF(OR($J1157="INR",$R1157&gt;1),"",$AL1157-$X1157)</f>
        <v/>
      </c>
      <c r="AN1157" s="8">
        <f>$U1157</f>
        <v/>
      </c>
      <c r="AO1157" s="8">
        <f>$V1157</f>
        <v/>
      </c>
      <c r="AP1157" s="18">
        <f>$AO1157-$V1157</f>
        <v/>
      </c>
      <c r="AQ1157" s="8">
        <f>IF(ABS($AP1157)&lt;=tol_trade_inr,"PASS","FAIL")</f>
        <v/>
      </c>
    </row>
    <row r="1158">
      <c r="A1158" s="11" t="n">
        <v>44776</v>
      </c>
      <c r="B1158" s="7" t="inlineStr">
        <is>
          <t>T07</t>
        </is>
      </c>
      <c r="C1158" s="7" t="inlineStr">
        <is>
          <t>IGST:L2</t>
        </is>
      </c>
      <c r="D1158" s="7" t="inlineStr">
        <is>
          <t>IGST</t>
        </is>
      </c>
      <c r="E1158" s="7" t="inlineStr">
        <is>
          <t>physical</t>
        </is>
      </c>
      <c r="F1158" s="7" t="inlineStr">
        <is>
          <t>L2</t>
        </is>
      </c>
      <c r="H1158" s="7" t="inlineStr">
        <is>
          <t>tense</t>
        </is>
      </c>
      <c r="I1158" s="7" t="inlineStr">
        <is>
          <t>USEC_MUN</t>
        </is>
      </c>
      <c r="J1158" s="7" t="inlineStr">
        <is>
          <t>INR</t>
        </is>
      </c>
      <c r="K1158" s="7" t="inlineStr">
        <is>
          <t>fixed_unsettled</t>
        </is>
      </c>
      <c r="L1158" s="7" t="inlineStr">
        <is>
          <t>BS</t>
        </is>
      </c>
      <c r="M1158" s="11" t="n">
        <v>44813</v>
      </c>
      <c r="N1158" s="13" t="n">
        <v>0</v>
      </c>
      <c r="O1158" s="6" t="n">
        <v>0</v>
      </c>
      <c r="P1158" s="13" t="n">
        <v>0</v>
      </c>
      <c r="Q1158" s="22" t="n">
        <v>31</v>
      </c>
      <c r="R1158" s="6" t="n">
        <v>2</v>
      </c>
      <c r="U1158" s="9" t="n">
        <v>0</v>
      </c>
      <c r="V1158" s="9" t="n">
        <v>0</v>
      </c>
      <c r="X1158" s="9" t="n">
        <v>79.15389999999999</v>
      </c>
      <c r="AK1158" s="7" t="inlineStr">
        <is>
          <t>PYTHON_MULTI_FLOW_LEG</t>
        </is>
      </c>
      <c r="AL1158" s="8">
        <f>IF($J1158="INR",1,IF($M1158&lt;$A1158,INDEX(Market_Daily!$F$6:$F$256,MATCH($M1158,Market_Daily!$A$6:$A$256,1)),IF($M1158=$A1158,INDEX(Market_Daily!$F$6:$F$256,MATCH($A1158,Market_Daily!$A$6:$A$256,0)),(INDEX(Market_Daily!$F$6:$F$256,MATCH($A1158,Market_Daily!$A$6:$A$256,0))*(1+INDEX(Market_Daily!$I$6:$I$256,MATCH($A1158,Market_Daily!$A$6:$A$256,0))*($M1158-$A1158)/day_count_inr)/(1+INDEX(Market_Daily!$J$6:$J$256,MATCH($A1158,Market_Daily!$A$6:$A$256,0))*($M1158-$A1158)/day_count_usd)))))</f>
        <v/>
      </c>
      <c r="AM1158" s="8">
        <f>IF(OR($J1158="INR",$R1158&gt;1),"",$AL1158-$X1158)</f>
        <v/>
      </c>
      <c r="AN1158" s="8">
        <f>$U1158</f>
        <v/>
      </c>
      <c r="AO1158" s="8">
        <f>$V1158</f>
        <v/>
      </c>
      <c r="AP1158" s="18">
        <f>$AO1158-$V1158</f>
        <v/>
      </c>
      <c r="AQ1158" s="8">
        <f>IF(ABS($AP1158)&lt;=tol_trade_inr,"PASS","FAIL")</f>
        <v/>
      </c>
    </row>
    <row r="1159">
      <c r="A1159" s="11" t="n">
        <v>44776</v>
      </c>
      <c r="B1159" s="7" t="inlineStr">
        <is>
          <t>T07</t>
        </is>
      </c>
      <c r="C1159" s="7" t="inlineStr">
        <is>
          <t>PORT:L2</t>
        </is>
      </c>
      <c r="D1159" s="7" t="inlineStr">
        <is>
          <t>PORT</t>
        </is>
      </c>
      <c r="E1159" s="7" t="inlineStr">
        <is>
          <t>physical</t>
        </is>
      </c>
      <c r="F1159" s="7" t="inlineStr">
        <is>
          <t>L2</t>
        </is>
      </c>
      <c r="H1159" s="7" t="inlineStr">
        <is>
          <t>tense</t>
        </is>
      </c>
      <c r="I1159" s="7" t="inlineStr">
        <is>
          <t>USEC_MUN</t>
        </is>
      </c>
      <c r="J1159" s="7" t="inlineStr">
        <is>
          <t>INR</t>
        </is>
      </c>
      <c r="K1159" s="7" t="inlineStr">
        <is>
          <t>fixed_unsettled</t>
        </is>
      </c>
      <c r="L1159" s="7" t="inlineStr">
        <is>
          <t>PNL</t>
        </is>
      </c>
      <c r="M1159" s="11" t="n">
        <v>44789</v>
      </c>
      <c r="N1159" s="13" t="n">
        <v>0</v>
      </c>
      <c r="O1159" s="6" t="n">
        <v>0</v>
      </c>
      <c r="P1159" s="13" t="n">
        <v>0</v>
      </c>
      <c r="Q1159" s="22" t="n">
        <v>31</v>
      </c>
      <c r="R1159" s="6" t="n">
        <v>1</v>
      </c>
      <c r="U1159" s="9" t="n">
        <v>-2504250</v>
      </c>
      <c r="V1159" s="9" t="n">
        <v>-2504250</v>
      </c>
      <c r="X1159" s="9" t="n">
        <v>79.15389999999999</v>
      </c>
      <c r="AK1159" s="7" t="inlineStr">
        <is>
          <t>PYTHON_LIFECYCLE</t>
        </is>
      </c>
      <c r="AL1159" s="8">
        <f>IF($J1159="INR",1,IF($M1159&lt;$A1159,INDEX(Market_Daily!$F$6:$F$256,MATCH($M1159,Market_Daily!$A$6:$A$256,1)),IF($M1159=$A1159,INDEX(Market_Daily!$F$6:$F$256,MATCH($A1159,Market_Daily!$A$6:$A$256,0)),(INDEX(Market_Daily!$F$6:$F$256,MATCH($A1159,Market_Daily!$A$6:$A$256,0))*(1+INDEX(Market_Daily!$I$6:$I$256,MATCH($A1159,Market_Daily!$A$6:$A$256,0))*($M1159-$A1159)/day_count_inr)/(1+INDEX(Market_Daily!$J$6:$J$256,MATCH($A1159,Market_Daily!$A$6:$A$256,0))*($M1159-$A1159)/day_count_usd)))))</f>
        <v/>
      </c>
      <c r="AM1159" s="8">
        <f>IF(OR($J1159="INR",$R1159&gt;1),"",$AL1159-$X1159)</f>
        <v/>
      </c>
      <c r="AN1159" s="8">
        <f>$U1159</f>
        <v/>
      </c>
      <c r="AO1159" s="8">
        <f>$AN1159*IF($J1159="INR",1,$AL1159)</f>
        <v/>
      </c>
      <c r="AP1159" s="18">
        <f>$AO1159-$V1159</f>
        <v/>
      </c>
      <c r="AQ1159" s="8">
        <f>IF(ABS($AP1159)&lt;=tol_trade_inr,"PASS","FAIL")</f>
        <v/>
      </c>
    </row>
    <row r="1160">
      <c r="A1160" s="11" t="n">
        <v>44776</v>
      </c>
      <c r="B1160" s="7" t="inlineStr">
        <is>
          <t>T07</t>
        </is>
      </c>
      <c r="C1160" s="7" t="inlineStr">
        <is>
          <t>SALE:S1</t>
        </is>
      </c>
      <c r="D1160" s="7" t="inlineStr">
        <is>
          <t>SALE</t>
        </is>
      </c>
      <c r="E1160" s="7" t="inlineStr">
        <is>
          <t>physical</t>
        </is>
      </c>
      <c r="G1160" s="7" t="inlineStr">
        <is>
          <t>BUY_RJK_01</t>
        </is>
      </c>
      <c r="H1160" s="7" t="inlineStr">
        <is>
          <t>tense</t>
        </is>
      </c>
      <c r="I1160" s="7" t="inlineStr">
        <is>
          <t>USEC_MUN</t>
        </is>
      </c>
      <c r="J1160" s="7" t="inlineStr">
        <is>
          <t>INR</t>
        </is>
      </c>
      <c r="K1160" s="7" t="inlineStr">
        <is>
          <t>partially_fixed</t>
        </is>
      </c>
      <c r="L1160" s="7" t="inlineStr">
        <is>
          <t>PNL</t>
        </is>
      </c>
      <c r="M1160" s="11" t="n">
        <v>44819</v>
      </c>
      <c r="N1160" s="13" t="n">
        <v>3766.77</v>
      </c>
      <c r="O1160" s="6" t="n">
        <v>0</v>
      </c>
      <c r="P1160" s="13" t="n">
        <v>0</v>
      </c>
      <c r="Q1160" s="22" t="n">
        <v>31</v>
      </c>
      <c r="R1160" s="6" t="n">
        <v>2</v>
      </c>
      <c r="U1160" s="9" t="n">
        <v>308526353.02</v>
      </c>
      <c r="V1160" s="9" t="n">
        <v>308526353.02</v>
      </c>
      <c r="W1160" s="9" t="n">
        <v>165750</v>
      </c>
      <c r="X1160" s="9" t="n">
        <v>79.15389999999999</v>
      </c>
      <c r="AK1160" s="7" t="inlineStr">
        <is>
          <t>PYTHON_MULTI_FLOW_LEG</t>
        </is>
      </c>
      <c r="AL1160" s="8">
        <f>IF($J1160="INR",1,IF($M1160&lt;$A1160,INDEX(Market_Daily!$F$6:$F$256,MATCH($M1160,Market_Daily!$A$6:$A$256,1)),IF($M1160=$A1160,INDEX(Market_Daily!$F$6:$F$256,MATCH($A1160,Market_Daily!$A$6:$A$256,0)),(INDEX(Market_Daily!$F$6:$F$256,MATCH($A1160,Market_Daily!$A$6:$A$256,0))*(1+INDEX(Market_Daily!$I$6:$I$256,MATCH($A1160,Market_Daily!$A$6:$A$256,0))*($M1160-$A1160)/day_count_inr)/(1+INDEX(Market_Daily!$J$6:$J$256,MATCH($A1160,Market_Daily!$A$6:$A$256,0))*($M1160-$A1160)/day_count_usd)))))</f>
        <v/>
      </c>
      <c r="AM1160" s="8">
        <f>IF(OR($J1160="INR",$R1160&gt;1),"",$AL1160-$X1160)</f>
        <v/>
      </c>
      <c r="AN1160" s="8">
        <f>$U1160</f>
        <v/>
      </c>
      <c r="AO1160" s="8">
        <f>$V1160</f>
        <v/>
      </c>
      <c r="AP1160" s="18">
        <f>$AO1160-$V1160</f>
        <v/>
      </c>
      <c r="AQ1160" s="8">
        <f>IF(ABS($AP1160)&lt;=tol_trade_inr,"PASS","FAIL")</f>
        <v/>
      </c>
    </row>
    <row r="1161">
      <c r="A1161" s="11" t="n">
        <v>44776</v>
      </c>
      <c r="B1161" s="7" t="inlineStr">
        <is>
          <t>T08</t>
        </is>
      </c>
      <c r="C1161" s="7" t="inlineStr">
        <is>
          <t>DUTY:L1</t>
        </is>
      </c>
      <c r="D1161" s="7" t="inlineStr">
        <is>
          <t>DUTY</t>
        </is>
      </c>
      <c r="E1161" s="7" t="inlineStr">
        <is>
          <t>physical</t>
        </is>
      </c>
      <c r="F1161" s="7" t="inlineStr">
        <is>
          <t>L1</t>
        </is>
      </c>
      <c r="H1161" s="7" t="inlineStr">
        <is>
          <t>tense</t>
        </is>
      </c>
      <c r="I1161" s="7" t="inlineStr">
        <is>
          <t>USEC_MUN</t>
        </is>
      </c>
      <c r="J1161" s="7" t="inlineStr">
        <is>
          <t>INR</t>
        </is>
      </c>
      <c r="K1161" s="7" t="inlineStr">
        <is>
          <t>floating</t>
        </is>
      </c>
      <c r="L1161" s="7" t="inlineStr">
        <is>
          <t>PNL</t>
        </is>
      </c>
      <c r="M1161" s="11" t="n">
        <v>44782</v>
      </c>
      <c r="N1161" s="13" t="n">
        <v>840</v>
      </c>
      <c r="O1161" s="6" t="n">
        <v>0</v>
      </c>
      <c r="P1161" s="13" t="n">
        <v>0</v>
      </c>
      <c r="Q1161" s="22" t="n">
        <v>31</v>
      </c>
      <c r="R1161" s="6" t="n">
        <v>1</v>
      </c>
      <c r="U1161" s="9" t="n">
        <v>-3515673.66</v>
      </c>
      <c r="V1161" s="9" t="n">
        <v>-3515673.66</v>
      </c>
      <c r="X1161" s="9" t="n">
        <v>79.15389999999999</v>
      </c>
      <c r="AK1161" s="7" t="inlineStr">
        <is>
          <t>PYTHON_LIFECYCLE</t>
        </is>
      </c>
      <c r="AL1161" s="8">
        <f>IF($J1161="INR",1,IF($M1161&lt;$A1161,INDEX(Market_Daily!$F$6:$F$256,MATCH($M1161,Market_Daily!$A$6:$A$256,1)),IF($M1161=$A1161,INDEX(Market_Daily!$F$6:$F$256,MATCH($A1161,Market_Daily!$A$6:$A$256,0)),(INDEX(Market_Daily!$F$6:$F$256,MATCH($A1161,Market_Daily!$A$6:$A$256,0))*(1+INDEX(Market_Daily!$I$6:$I$256,MATCH($A1161,Market_Daily!$A$6:$A$256,0))*($M1161-$A1161)/day_count_inr)/(1+INDEX(Market_Daily!$J$6:$J$256,MATCH($A1161,Market_Daily!$A$6:$A$256,0))*($M1161-$A1161)/day_count_usd)))))</f>
        <v/>
      </c>
      <c r="AM1161" s="8">
        <f>IF(OR($J1161="INR",$R1161&gt;1),"",$AL1161-$X1161)</f>
        <v/>
      </c>
      <c r="AN1161" s="8">
        <f>$U1161</f>
        <v/>
      </c>
      <c r="AO1161" s="8">
        <f>$AN1161*IF($J1161="INR",1,$AL1161)</f>
        <v/>
      </c>
      <c r="AP1161" s="18">
        <f>$AO1161-$V1161</f>
        <v/>
      </c>
      <c r="AQ1161" s="8">
        <f>IF(ABS($AP1161)&lt;=tol_trade_inr,"PASS","FAIL")</f>
        <v/>
      </c>
    </row>
    <row r="1162">
      <c r="A1162" s="11" t="n">
        <v>44776</v>
      </c>
      <c r="B1162" s="7" t="inlineStr">
        <is>
          <t>T08</t>
        </is>
      </c>
      <c r="C1162" s="7" t="inlineStr">
        <is>
          <t>DUTY:L2</t>
        </is>
      </c>
      <c r="D1162" s="7" t="inlineStr">
        <is>
          <t>DUTY</t>
        </is>
      </c>
      <c r="E1162" s="7" t="inlineStr">
        <is>
          <t>physical</t>
        </is>
      </c>
      <c r="F1162" s="7" t="inlineStr">
        <is>
          <t>L2</t>
        </is>
      </c>
      <c r="H1162" s="7" t="inlineStr">
        <is>
          <t>tense</t>
        </is>
      </c>
      <c r="I1162" s="7" t="inlineStr">
        <is>
          <t>USEC_MUN</t>
        </is>
      </c>
      <c r="J1162" s="7" t="inlineStr">
        <is>
          <t>INR</t>
        </is>
      </c>
      <c r="K1162" s="7" t="inlineStr">
        <is>
          <t>floating</t>
        </is>
      </c>
      <c r="L1162" s="7" t="inlineStr">
        <is>
          <t>PNL</t>
        </is>
      </c>
      <c r="M1162" s="11" t="n">
        <v>44789</v>
      </c>
      <c r="N1162" s="13" t="n">
        <v>840</v>
      </c>
      <c r="O1162" s="6" t="n">
        <v>0</v>
      </c>
      <c r="P1162" s="13" t="n">
        <v>0</v>
      </c>
      <c r="Q1162" s="22" t="n">
        <v>31</v>
      </c>
      <c r="R1162" s="6" t="n">
        <v>1</v>
      </c>
      <c r="U1162" s="9" t="n">
        <v>-3515673.66</v>
      </c>
      <c r="V1162" s="9" t="n">
        <v>-3515673.66</v>
      </c>
      <c r="X1162" s="9" t="n">
        <v>79.15389999999999</v>
      </c>
      <c r="AK1162" s="7" t="inlineStr">
        <is>
          <t>PYTHON_LIFECYCLE</t>
        </is>
      </c>
      <c r="AL1162" s="8">
        <f>IF($J1162="INR",1,IF($M1162&lt;$A1162,INDEX(Market_Daily!$F$6:$F$256,MATCH($M1162,Market_Daily!$A$6:$A$256,1)),IF($M1162=$A1162,INDEX(Market_Daily!$F$6:$F$256,MATCH($A1162,Market_Daily!$A$6:$A$256,0)),(INDEX(Market_Daily!$F$6:$F$256,MATCH($A1162,Market_Daily!$A$6:$A$256,0))*(1+INDEX(Market_Daily!$I$6:$I$256,MATCH($A1162,Market_Daily!$A$6:$A$256,0))*($M1162-$A1162)/day_count_inr)/(1+INDEX(Market_Daily!$J$6:$J$256,MATCH($A1162,Market_Daily!$A$6:$A$256,0))*($M1162-$A1162)/day_count_usd)))))</f>
        <v/>
      </c>
      <c r="AM1162" s="8">
        <f>IF(OR($J1162="INR",$R1162&gt;1),"",$AL1162-$X1162)</f>
        <v/>
      </c>
      <c r="AN1162" s="8">
        <f>$U1162</f>
        <v/>
      </c>
      <c r="AO1162" s="8">
        <f>$AN1162*IF($J1162="INR",1,$AL1162)</f>
        <v/>
      </c>
      <c r="AP1162" s="18">
        <f>$AO1162-$V1162</f>
        <v/>
      </c>
      <c r="AQ1162" s="8">
        <f>IF(ABS($AP1162)&lt;=tol_trade_inr,"PASS","FAIL")</f>
        <v/>
      </c>
    </row>
    <row r="1163">
      <c r="A1163" s="11" t="n">
        <v>44776</v>
      </c>
      <c r="B1163" s="7" t="inlineStr">
        <is>
          <t>T08</t>
        </is>
      </c>
      <c r="C1163" s="7" t="inlineStr">
        <is>
          <t>FX:T08-FX-3</t>
        </is>
      </c>
      <c r="D1163" s="7" t="inlineStr">
        <is>
          <t>FX</t>
        </is>
      </c>
      <c r="E1163" s="7" t="inlineStr">
        <is>
          <t>fx_forward</t>
        </is>
      </c>
      <c r="H1163" s="7" t="inlineStr">
        <is>
          <t>tense</t>
        </is>
      </c>
      <c r="I1163" s="7" t="inlineStr">
        <is>
          <t>USEC_MUN</t>
        </is>
      </c>
      <c r="J1163" s="7" t="inlineStr">
        <is>
          <t>INR</t>
        </is>
      </c>
      <c r="K1163" s="7" t="inlineStr">
        <is>
          <t>floating</t>
        </is>
      </c>
      <c r="L1163" s="7" t="inlineStr">
        <is>
          <t>PNL</t>
        </is>
      </c>
      <c r="M1163" s="11" t="n">
        <v>44778</v>
      </c>
      <c r="N1163" s="13" t="n">
        <v>0</v>
      </c>
      <c r="O1163" s="6" t="n">
        <v>0</v>
      </c>
      <c r="P1163" s="13" t="n">
        <v>90000</v>
      </c>
      <c r="Q1163" s="22" t="n">
        <v>31</v>
      </c>
      <c r="R1163" s="6" t="n">
        <v>1</v>
      </c>
      <c r="S1163" s="12" t="n">
        <v>44778</v>
      </c>
      <c r="T1163" s="21" t="n">
        <v>79.21334</v>
      </c>
      <c r="U1163" s="9" t="n">
        <v>-4314.27</v>
      </c>
      <c r="V1163" s="9" t="n">
        <v>-4314.27</v>
      </c>
      <c r="X1163" s="9" t="n">
        <v>79.15389999999999</v>
      </c>
      <c r="AK1163" s="7" t="inlineStr">
        <is>
          <t>DERIVED_IN_WORKBOOK</t>
        </is>
      </c>
      <c r="AL1163" s="8">
        <f>IF($J1163="INR",1,IF($M1163&lt;$A1163,INDEX(Market_Daily!$F$6:$F$256,MATCH($M1163,Market_Daily!$A$6:$A$256,1)),IF($M1163=$A1163,INDEX(Market_Daily!$F$6:$F$256,MATCH($A1163,Market_Daily!$A$6:$A$256,0)),(INDEX(Market_Daily!$F$6:$F$256,MATCH($A1163,Market_Daily!$A$6:$A$256,0))*(1+INDEX(Market_Daily!$I$6:$I$256,MATCH($A1163,Market_Daily!$A$6:$A$256,0))*($M1163-$A1163)/day_count_inr)/(1+INDEX(Market_Daily!$J$6:$J$256,MATCH($A1163,Market_Daily!$A$6:$A$256,0))*($M1163-$A1163)/day_count_usd)))))</f>
        <v/>
      </c>
      <c r="AM1163" s="8">
        <f>IF(OR($J1163="INR",$R1163&gt;1),"",$AL1163-$X1163)</f>
        <v/>
      </c>
      <c r="AN1163" s="8">
        <f>$P1163*(IF($S1163&lt;$A1163,INDEX(Market_Daily!$F$6:$F$256,MATCH($S1163,Market_Daily!$A$6:$A$256,1)),IF($S1163=$A1163,INDEX(Market_Daily!$F$6:$F$256,MATCH($A1163,Market_Daily!$A$6:$A$256,0)),(INDEX(Market_Daily!$F$6:$F$256,MATCH($A1163,Market_Daily!$A$6:$A$256,0))*(1+INDEX(Market_Daily!$I$6:$I$256,MATCH($A1163,Market_Daily!$A$6:$A$256,0))*($S1163-$A1163)/day_count_inr)/(1+INDEX(Market_Daily!$J$6:$J$256,MATCH($A1163,Market_Daily!$A$6:$A$256,0))*($S1163-$A1163)/day_count_usd))))-$T1163)</f>
        <v/>
      </c>
      <c r="AO1163" s="8">
        <f>$AN1163</f>
        <v/>
      </c>
      <c r="AP1163" s="18">
        <f>$AO1163-$V1163</f>
        <v/>
      </c>
      <c r="AQ1163" s="8">
        <f>IF(ABS($AP1163)&lt;=tol_trade_inr,"PASS","FAIL")</f>
        <v/>
      </c>
    </row>
    <row r="1164">
      <c r="A1164" s="11" t="n">
        <v>44776</v>
      </c>
      <c r="B1164" s="7" t="inlineStr">
        <is>
          <t>T08</t>
        </is>
      </c>
      <c r="C1164" s="7" t="inlineStr">
        <is>
          <t>IGST:L1</t>
        </is>
      </c>
      <c r="D1164" s="7" t="inlineStr">
        <is>
          <t>IGST</t>
        </is>
      </c>
      <c r="E1164" s="7" t="inlineStr">
        <is>
          <t>physical</t>
        </is>
      </c>
      <c r="F1164" s="7" t="inlineStr">
        <is>
          <t>L1</t>
        </is>
      </c>
      <c r="H1164" s="7" t="inlineStr">
        <is>
          <t>tense</t>
        </is>
      </c>
      <c r="I1164" s="7" t="inlineStr">
        <is>
          <t>USEC_MUN</t>
        </is>
      </c>
      <c r="J1164" s="7" t="inlineStr">
        <is>
          <t>INR</t>
        </is>
      </c>
      <c r="K1164" s="7" t="inlineStr">
        <is>
          <t>floating</t>
        </is>
      </c>
      <c r="L1164" s="7" t="inlineStr">
        <is>
          <t>BS</t>
        </is>
      </c>
      <c r="M1164" s="11" t="n">
        <v>44827</v>
      </c>
      <c r="N1164" s="13" t="n">
        <v>0</v>
      </c>
      <c r="O1164" s="6" t="n">
        <v>0</v>
      </c>
      <c r="P1164" s="13" t="n">
        <v>0</v>
      </c>
      <c r="Q1164" s="22" t="n">
        <v>31</v>
      </c>
      <c r="R1164" s="6" t="n">
        <v>2</v>
      </c>
      <c r="U1164" s="9" t="n">
        <v>0</v>
      </c>
      <c r="V1164" s="9" t="n">
        <v>0</v>
      </c>
      <c r="X1164" s="9" t="n">
        <v>79.15389999999999</v>
      </c>
      <c r="AK1164" s="7" t="inlineStr">
        <is>
          <t>PYTHON_MULTI_FLOW_LEG</t>
        </is>
      </c>
      <c r="AL1164" s="8">
        <f>IF($J1164="INR",1,IF($M1164&lt;$A1164,INDEX(Market_Daily!$F$6:$F$256,MATCH($M1164,Market_Daily!$A$6:$A$256,1)),IF($M1164=$A1164,INDEX(Market_Daily!$F$6:$F$256,MATCH($A1164,Market_Daily!$A$6:$A$256,0)),(INDEX(Market_Daily!$F$6:$F$256,MATCH($A1164,Market_Daily!$A$6:$A$256,0))*(1+INDEX(Market_Daily!$I$6:$I$256,MATCH($A1164,Market_Daily!$A$6:$A$256,0))*($M1164-$A1164)/day_count_inr)/(1+INDEX(Market_Daily!$J$6:$J$256,MATCH($A1164,Market_Daily!$A$6:$A$256,0))*($M1164-$A1164)/day_count_usd)))))</f>
        <v/>
      </c>
      <c r="AM1164" s="8">
        <f>IF(OR($J1164="INR",$R1164&gt;1),"",$AL1164-$X1164)</f>
        <v/>
      </c>
      <c r="AN1164" s="8">
        <f>$U1164</f>
        <v/>
      </c>
      <c r="AO1164" s="8">
        <f>$V1164</f>
        <v/>
      </c>
      <c r="AP1164" s="18">
        <f>$AO1164-$V1164</f>
        <v/>
      </c>
      <c r="AQ1164" s="8">
        <f>IF(ABS($AP1164)&lt;=tol_trade_inr,"PASS","FAIL")</f>
        <v/>
      </c>
    </row>
    <row r="1165">
      <c r="A1165" s="11" t="n">
        <v>44776</v>
      </c>
      <c r="B1165" s="7" t="inlineStr">
        <is>
          <t>T08</t>
        </is>
      </c>
      <c r="C1165" s="7" t="inlineStr">
        <is>
          <t>IGST:L2</t>
        </is>
      </c>
      <c r="D1165" s="7" t="inlineStr">
        <is>
          <t>IGST</t>
        </is>
      </c>
      <c r="E1165" s="7" t="inlineStr">
        <is>
          <t>physical</t>
        </is>
      </c>
      <c r="F1165" s="7" t="inlineStr">
        <is>
          <t>L2</t>
        </is>
      </c>
      <c r="H1165" s="7" t="inlineStr">
        <is>
          <t>tense</t>
        </is>
      </c>
      <c r="I1165" s="7" t="inlineStr">
        <is>
          <t>USEC_MUN</t>
        </is>
      </c>
      <c r="J1165" s="7" t="inlineStr">
        <is>
          <t>INR</t>
        </is>
      </c>
      <c r="K1165" s="7" t="inlineStr">
        <is>
          <t>floating</t>
        </is>
      </c>
      <c r="L1165" s="7" t="inlineStr">
        <is>
          <t>BS</t>
        </is>
      </c>
      <c r="M1165" s="11" t="n">
        <v>44834</v>
      </c>
      <c r="N1165" s="13" t="n">
        <v>0</v>
      </c>
      <c r="O1165" s="6" t="n">
        <v>0</v>
      </c>
      <c r="P1165" s="13" t="n">
        <v>0</v>
      </c>
      <c r="Q1165" s="22" t="n">
        <v>31</v>
      </c>
      <c r="R1165" s="6" t="n">
        <v>2</v>
      </c>
      <c r="U1165" s="9" t="n">
        <v>0</v>
      </c>
      <c r="V1165" s="9" t="n">
        <v>0</v>
      </c>
      <c r="X1165" s="9" t="n">
        <v>79.15389999999999</v>
      </c>
      <c r="AK1165" s="7" t="inlineStr">
        <is>
          <t>PYTHON_MULTI_FLOW_LEG</t>
        </is>
      </c>
      <c r="AL1165" s="8">
        <f>IF($J1165="INR",1,IF($M1165&lt;$A1165,INDEX(Market_Daily!$F$6:$F$256,MATCH($M1165,Market_Daily!$A$6:$A$256,1)),IF($M1165=$A1165,INDEX(Market_Daily!$F$6:$F$256,MATCH($A1165,Market_Daily!$A$6:$A$256,0)),(INDEX(Market_Daily!$F$6:$F$256,MATCH($A1165,Market_Daily!$A$6:$A$256,0))*(1+INDEX(Market_Daily!$I$6:$I$256,MATCH($A1165,Market_Daily!$A$6:$A$256,0))*($M1165-$A1165)/day_count_inr)/(1+INDEX(Market_Daily!$J$6:$J$256,MATCH($A1165,Market_Daily!$A$6:$A$256,0))*($M1165-$A1165)/day_count_usd)))))</f>
        <v/>
      </c>
      <c r="AM1165" s="8">
        <f>IF(OR($J1165="INR",$R1165&gt;1),"",$AL1165-$X1165)</f>
        <v/>
      </c>
      <c r="AN1165" s="8">
        <f>$U1165</f>
        <v/>
      </c>
      <c r="AO1165" s="8">
        <f>$V1165</f>
        <v/>
      </c>
      <c r="AP1165" s="18">
        <f>$AO1165-$V1165</f>
        <v/>
      </c>
      <c r="AQ1165" s="8">
        <f>IF(ABS($AP1165)&lt;=tol_trade_inr,"PASS","FAIL")</f>
        <v/>
      </c>
    </row>
    <row r="1166">
      <c r="A1166" s="11" t="n">
        <v>44776</v>
      </c>
      <c r="B1166" s="7" t="inlineStr">
        <is>
          <t>T08</t>
        </is>
      </c>
      <c r="C1166" s="7" t="inlineStr">
        <is>
          <t>INVENTORY:L1</t>
        </is>
      </c>
      <c r="D1166" s="7" t="inlineStr">
        <is>
          <t>INVENTORY</t>
        </is>
      </c>
      <c r="E1166" s="7" t="inlineStr">
        <is>
          <t>physical</t>
        </is>
      </c>
      <c r="F1166" s="7" t="inlineStr">
        <is>
          <t>L1</t>
        </is>
      </c>
      <c r="H1166" s="7" t="inlineStr">
        <is>
          <t>tense</t>
        </is>
      </c>
      <c r="I1166" s="7" t="inlineStr">
        <is>
          <t>USEC_MUN</t>
        </is>
      </c>
      <c r="J1166" s="7" t="inlineStr">
        <is>
          <t>INR</t>
        </is>
      </c>
      <c r="K1166" s="7" t="inlineStr">
        <is>
          <t>fixed_unsettled</t>
        </is>
      </c>
      <c r="L1166" s="7" t="inlineStr">
        <is>
          <t>PNL</t>
        </is>
      </c>
      <c r="N1166" s="13" t="n">
        <v>840</v>
      </c>
      <c r="O1166" s="6" t="n">
        <v>0</v>
      </c>
      <c r="P1166" s="13" t="n">
        <v>0</v>
      </c>
      <c r="Q1166" s="22" t="n">
        <v>31</v>
      </c>
      <c r="R1166" s="6" t="n">
        <v>0</v>
      </c>
      <c r="U1166" s="9" t="n">
        <v>128225376.17</v>
      </c>
      <c r="V1166" s="9" t="n">
        <v>128225376.17</v>
      </c>
      <c r="W1166" s="9" t="n">
        <v>152649.2573</v>
      </c>
      <c r="X1166" s="9" t="n">
        <v>79.15389999999999</v>
      </c>
      <c r="Y1166" s="8">
        <f>IF($I1166="JEA_NSA","20ft","40ft")</f>
        <v/>
      </c>
      <c r="Z1166" s="8">
        <f>IF($I1166="JEA_NSA","nsa","mun")</f>
        <v/>
      </c>
      <c r="AA1166" s="8">
        <f>INDEX(param_values,MATCH("container_payload_mt_"&amp;$Y1166,param_keys,0))/INDEX(param_values,MATCH("container_payload_mt_"&amp;$Y1166&amp;"_"&amp;$H1166,param_keys,0))</f>
        <v/>
      </c>
      <c r="AB1166" s="16">
        <f>INDEX(Market_Daily!$C$6:$C$256,MATCH($A1166,Market_Daily!$A$6:$A$256,0))*INDEX(Market_Daily!$X$6:$Z$256,MATCH($A1166,Market_Daily!$A$6:$A$256,0),MATCH("grade_factor_"&amp;$H1166,Market_Daily!$X$5:$Z$5,0))</f>
        <v/>
      </c>
      <c r="AC1166" s="16">
        <f>$AB1166*(1+insurance_rate*insured_value_uplift)</f>
        <v/>
      </c>
      <c r="AD1166" s="8">
        <f>(INDEX(Market_Daily!$F$6:$F$256,MATCH($A1166,Market_Daily!$A$6:$A$256,0))*(1+INDEX(Market_Daily!$I$6:$I$256,MATCH($A1166,Market_Daily!$A$6:$A$256,0))*$Q1166/day_count_inr)/(1+INDEX(Market_Daily!$J$6:$J$256,MATCH($A1166,Market_Daily!$A$6:$A$256,0))*$Q1166/day_count_usd))</f>
        <v/>
      </c>
      <c r="AE1166" s="18">
        <f>$AC1166*$AD1166</f>
        <v/>
      </c>
      <c r="AF1166" s="18">
        <f>$AC1166*INDEX(Market_Daily!$V$6:$V$256,MATCH($A1166,Market_Daily!$A$6:$A$256,0))</f>
        <v/>
      </c>
      <c r="AG1166" s="18">
        <f>$AF1166*bcd_scrap_hs7602*(1+sws_rate_on_bcd)</f>
        <v/>
      </c>
      <c r="AH1166" s="18">
        <f>INDEX(param_values,MATCH("port_cf_charges_inr_t_"&amp;$Z1166,param_keys,0))*$AA1166+IF(INDEX(param_values,MATCH(IF($I1166="JEA_NSA","psic_required_uae_origin","psic_required_safe_origin_designated_port"),param_keys,0)),psic_cost_usd_per_box*INDEX(Market_Daily!$F$6:$F$256,MATCH($A1166,Market_Daily!$A$6:$A$256,0))/INDEX(param_values,MATCH("container_payload_mt_20ft_"&amp;$H1166,param_keys,0)),0)</f>
        <v/>
      </c>
      <c r="AI1166" s="18">
        <f>IF(igst_itc_available,0,($AF1166+$AG1166)*igst_rate_hs7602)</f>
        <v/>
      </c>
      <c r="AJ1166" s="18">
        <f>$AE1166+$AG1166+$AH1166+$AI1166</f>
        <v/>
      </c>
      <c r="AK1166" s="7" t="inlineStr">
        <is>
          <t>DERIVED_IN_WORKBOOK</t>
        </is>
      </c>
      <c r="AL1166" s="8">
        <f>IF($J1166="INR",1,IF($M1166&lt;$A1166,INDEX(Market_Daily!$F$6:$F$256,MATCH($M1166,Market_Daily!$A$6:$A$256,1)),IF($M1166=$A1166,INDEX(Market_Daily!$F$6:$F$256,MATCH($A1166,Market_Daily!$A$6:$A$256,0)),(INDEX(Market_Daily!$F$6:$F$256,MATCH($A1166,Market_Daily!$A$6:$A$256,0))*(1+INDEX(Market_Daily!$I$6:$I$256,MATCH($A1166,Market_Daily!$A$6:$A$256,0))*($M1166-$A1166)/day_count_inr)/(1+INDEX(Market_Daily!$J$6:$J$256,MATCH($A1166,Market_Daily!$A$6:$A$256,0))*($M1166-$A1166)/day_count_usd)))))</f>
        <v/>
      </c>
      <c r="AM1166" s="8">
        <f>IF(OR($J1166="INR",$R1166&gt;1),"",$AL1166-$X1166)</f>
        <v/>
      </c>
      <c r="AN1166" s="8">
        <f>$N1166*$AJ1166</f>
        <v/>
      </c>
      <c r="AO1166" s="8">
        <f>$AN1166</f>
        <v/>
      </c>
      <c r="AP1166" s="18">
        <f>$AO1166-$V1166</f>
        <v/>
      </c>
      <c r="AQ1166" s="8">
        <f>IF(ABS($AP1166)&lt;=tol_trade_inr,"PASS","FAIL")</f>
        <v/>
      </c>
    </row>
    <row r="1167">
      <c r="A1167" s="11" t="n">
        <v>44776</v>
      </c>
      <c r="B1167" s="7" t="inlineStr">
        <is>
          <t>T08</t>
        </is>
      </c>
      <c r="C1167" s="7" t="inlineStr">
        <is>
          <t>INVENTORY:L2</t>
        </is>
      </c>
      <c r="D1167" s="7" t="inlineStr">
        <is>
          <t>INVENTORY</t>
        </is>
      </c>
      <c r="E1167" s="7" t="inlineStr">
        <is>
          <t>physical</t>
        </is>
      </c>
      <c r="F1167" s="7" t="inlineStr">
        <is>
          <t>L2</t>
        </is>
      </c>
      <c r="H1167" s="7" t="inlineStr">
        <is>
          <t>tense</t>
        </is>
      </c>
      <c r="I1167" s="7" t="inlineStr">
        <is>
          <t>USEC_MUN</t>
        </is>
      </c>
      <c r="J1167" s="7" t="inlineStr">
        <is>
          <t>INR</t>
        </is>
      </c>
      <c r="K1167" s="7" t="inlineStr">
        <is>
          <t>fixed_unsettled</t>
        </is>
      </c>
      <c r="L1167" s="7" t="inlineStr">
        <is>
          <t>PNL</t>
        </is>
      </c>
      <c r="N1167" s="13" t="n">
        <v>840</v>
      </c>
      <c r="O1167" s="6" t="n">
        <v>0</v>
      </c>
      <c r="P1167" s="13" t="n">
        <v>0</v>
      </c>
      <c r="Q1167" s="22" t="n">
        <v>31</v>
      </c>
      <c r="R1167" s="6" t="n">
        <v>0</v>
      </c>
      <c r="U1167" s="9" t="n">
        <v>128225376.17</v>
      </c>
      <c r="V1167" s="9" t="n">
        <v>128225376.17</v>
      </c>
      <c r="W1167" s="9" t="n">
        <v>152649.2573</v>
      </c>
      <c r="X1167" s="9" t="n">
        <v>79.15389999999999</v>
      </c>
      <c r="Y1167" s="8">
        <f>IF($I1167="JEA_NSA","20ft","40ft")</f>
        <v/>
      </c>
      <c r="Z1167" s="8">
        <f>IF($I1167="JEA_NSA","nsa","mun")</f>
        <v/>
      </c>
      <c r="AA1167" s="8">
        <f>INDEX(param_values,MATCH("container_payload_mt_"&amp;$Y1167,param_keys,0))/INDEX(param_values,MATCH("container_payload_mt_"&amp;$Y1167&amp;"_"&amp;$H1167,param_keys,0))</f>
        <v/>
      </c>
      <c r="AB1167" s="16">
        <f>INDEX(Market_Daily!$C$6:$C$256,MATCH($A1167,Market_Daily!$A$6:$A$256,0))*INDEX(Market_Daily!$X$6:$Z$256,MATCH($A1167,Market_Daily!$A$6:$A$256,0),MATCH("grade_factor_"&amp;$H1167,Market_Daily!$X$5:$Z$5,0))</f>
        <v/>
      </c>
      <c r="AC1167" s="16">
        <f>$AB1167*(1+insurance_rate*insured_value_uplift)</f>
        <v/>
      </c>
      <c r="AD1167" s="8">
        <f>(INDEX(Market_Daily!$F$6:$F$256,MATCH($A1167,Market_Daily!$A$6:$A$256,0))*(1+INDEX(Market_Daily!$I$6:$I$256,MATCH($A1167,Market_Daily!$A$6:$A$256,0))*$Q1167/day_count_inr)/(1+INDEX(Market_Daily!$J$6:$J$256,MATCH($A1167,Market_Daily!$A$6:$A$256,0))*$Q1167/day_count_usd))</f>
        <v/>
      </c>
      <c r="AE1167" s="18">
        <f>$AC1167*$AD1167</f>
        <v/>
      </c>
      <c r="AF1167" s="18">
        <f>$AC1167*INDEX(Market_Daily!$V$6:$V$256,MATCH($A1167,Market_Daily!$A$6:$A$256,0))</f>
        <v/>
      </c>
      <c r="AG1167" s="18">
        <f>$AF1167*bcd_scrap_hs7602*(1+sws_rate_on_bcd)</f>
        <v/>
      </c>
      <c r="AH1167" s="18">
        <f>INDEX(param_values,MATCH("port_cf_charges_inr_t_"&amp;$Z1167,param_keys,0))*$AA1167+IF(INDEX(param_values,MATCH(IF($I1167="JEA_NSA","psic_required_uae_origin","psic_required_safe_origin_designated_port"),param_keys,0)),psic_cost_usd_per_box*INDEX(Market_Daily!$F$6:$F$256,MATCH($A1167,Market_Daily!$A$6:$A$256,0))/INDEX(param_values,MATCH("container_payload_mt_20ft_"&amp;$H1167,param_keys,0)),0)</f>
        <v/>
      </c>
      <c r="AI1167" s="18">
        <f>IF(igst_itc_available,0,($AF1167+$AG1167)*igst_rate_hs7602)</f>
        <v/>
      </c>
      <c r="AJ1167" s="18">
        <f>$AE1167+$AG1167+$AH1167+$AI1167</f>
        <v/>
      </c>
      <c r="AK1167" s="7" t="inlineStr">
        <is>
          <t>DERIVED_IN_WORKBOOK</t>
        </is>
      </c>
      <c r="AL1167" s="8">
        <f>IF($J1167="INR",1,IF($M1167&lt;$A1167,INDEX(Market_Daily!$F$6:$F$256,MATCH($M1167,Market_Daily!$A$6:$A$256,1)),IF($M1167=$A1167,INDEX(Market_Daily!$F$6:$F$256,MATCH($A1167,Market_Daily!$A$6:$A$256,0)),(INDEX(Market_Daily!$F$6:$F$256,MATCH($A1167,Market_Daily!$A$6:$A$256,0))*(1+INDEX(Market_Daily!$I$6:$I$256,MATCH($A1167,Market_Daily!$A$6:$A$256,0))*($M1167-$A1167)/day_count_inr)/(1+INDEX(Market_Daily!$J$6:$J$256,MATCH($A1167,Market_Daily!$A$6:$A$256,0))*($M1167-$A1167)/day_count_usd)))))</f>
        <v/>
      </c>
      <c r="AM1167" s="8">
        <f>IF(OR($J1167="INR",$R1167&gt;1),"",$AL1167-$X1167)</f>
        <v/>
      </c>
      <c r="AN1167" s="8">
        <f>$N1167*$AJ1167</f>
        <v/>
      </c>
      <c r="AO1167" s="8">
        <f>$AN1167</f>
        <v/>
      </c>
      <c r="AP1167" s="18">
        <f>$AO1167-$V1167</f>
        <v/>
      </c>
      <c r="AQ1167" s="8">
        <f>IF(ABS($AP1167)&lt;=tol_trade_inr,"PASS","FAIL")</f>
        <v/>
      </c>
    </row>
    <row r="1168">
      <c r="A1168" s="11" t="n">
        <v>44776</v>
      </c>
      <c r="B1168" s="7" t="inlineStr">
        <is>
          <t>T08</t>
        </is>
      </c>
      <c r="C1168" s="7" t="inlineStr">
        <is>
          <t>MCX:T08-MCX-1</t>
        </is>
      </c>
      <c r="D1168" s="7" t="inlineStr">
        <is>
          <t>MCX</t>
        </is>
      </c>
      <c r="E1168" s="7" t="inlineStr">
        <is>
          <t>mcx</t>
        </is>
      </c>
      <c r="H1168" s="7" t="inlineStr">
        <is>
          <t>tense</t>
        </is>
      </c>
      <c r="I1168" s="7" t="inlineStr">
        <is>
          <t>USEC_MUN</t>
        </is>
      </c>
      <c r="J1168" s="7" t="inlineStr">
        <is>
          <t>INR</t>
        </is>
      </c>
      <c r="K1168" s="7" t="inlineStr">
        <is>
          <t>partially_fixed</t>
        </is>
      </c>
      <c r="L1168" s="7" t="inlineStr">
        <is>
          <t>PNL</t>
        </is>
      </c>
      <c r="M1168" s="11" t="n">
        <v>44789</v>
      </c>
      <c r="N1168" s="13" t="n">
        <v>0</v>
      </c>
      <c r="O1168" s="6" t="n">
        <v>-230</v>
      </c>
      <c r="P1168" s="13" t="n">
        <v>0</v>
      </c>
      <c r="Q1168" s="22" t="n">
        <v>31</v>
      </c>
      <c r="R1168" s="6" t="n">
        <v>23</v>
      </c>
      <c r="U1168" s="9" t="n">
        <v>0</v>
      </c>
      <c r="V1168" s="9" t="n">
        <v>0</v>
      </c>
      <c r="X1168" s="9" t="n">
        <v>79.15389999999999</v>
      </c>
      <c r="AK1168" s="7" t="inlineStr">
        <is>
          <t>PYTHON_MULTI_FLOW_LEG</t>
        </is>
      </c>
      <c r="AL1168" s="8">
        <f>IF($J1168="INR",1,IF($M1168&lt;$A1168,INDEX(Market_Daily!$F$6:$F$256,MATCH($M1168,Market_Daily!$A$6:$A$256,1)),IF($M1168=$A1168,INDEX(Market_Daily!$F$6:$F$256,MATCH($A1168,Market_Daily!$A$6:$A$256,0)),(INDEX(Market_Daily!$F$6:$F$256,MATCH($A1168,Market_Daily!$A$6:$A$256,0))*(1+INDEX(Market_Daily!$I$6:$I$256,MATCH($A1168,Market_Daily!$A$6:$A$256,0))*($M1168-$A1168)/day_count_inr)/(1+INDEX(Market_Daily!$J$6:$J$256,MATCH($A1168,Market_Daily!$A$6:$A$256,0))*($M1168-$A1168)/day_count_usd)))))</f>
        <v/>
      </c>
      <c r="AM1168" s="8">
        <f>IF(OR($J1168="INR",$R1168&gt;1),"",$AL1168-$X1168)</f>
        <v/>
      </c>
      <c r="AN1168" s="8">
        <f>$U1168</f>
        <v/>
      </c>
      <c r="AO1168" s="8">
        <f>$V1168</f>
        <v/>
      </c>
      <c r="AP1168" s="18">
        <f>$AO1168-$V1168</f>
        <v/>
      </c>
      <c r="AQ1168" s="8">
        <f>IF(ABS($AP1168)&lt;=tol_trade_inr,"PASS","FAIL")</f>
        <v/>
      </c>
    </row>
    <row r="1169">
      <c r="A1169" s="11" t="n">
        <v>44776</v>
      </c>
      <c r="B1169" s="7" t="inlineStr">
        <is>
          <t>T08</t>
        </is>
      </c>
      <c r="C1169" s="7" t="inlineStr">
        <is>
          <t>PORT:L1</t>
        </is>
      </c>
      <c r="D1169" s="7" t="inlineStr">
        <is>
          <t>PORT</t>
        </is>
      </c>
      <c r="E1169" s="7" t="inlineStr">
        <is>
          <t>physical</t>
        </is>
      </c>
      <c r="F1169" s="7" t="inlineStr">
        <is>
          <t>L1</t>
        </is>
      </c>
      <c r="H1169" s="7" t="inlineStr">
        <is>
          <t>tense</t>
        </is>
      </c>
      <c r="I1169" s="7" t="inlineStr">
        <is>
          <t>USEC_MUN</t>
        </is>
      </c>
      <c r="J1169" s="7" t="inlineStr">
        <is>
          <t>INR</t>
        </is>
      </c>
      <c r="K1169" s="7" t="inlineStr">
        <is>
          <t>fixed_unsettled</t>
        </is>
      </c>
      <c r="L1169" s="7" t="inlineStr">
        <is>
          <t>PNL</t>
        </is>
      </c>
      <c r="M1169" s="11" t="n">
        <v>44791</v>
      </c>
      <c r="N1169" s="13" t="n">
        <v>0</v>
      </c>
      <c r="O1169" s="6" t="n">
        <v>0</v>
      </c>
      <c r="P1169" s="13" t="n">
        <v>0</v>
      </c>
      <c r="Q1169" s="22" t="n">
        <v>31</v>
      </c>
      <c r="R1169" s="6" t="n">
        <v>1</v>
      </c>
      <c r="U1169" s="9" t="n">
        <v>-2226000</v>
      </c>
      <c r="V1169" s="9" t="n">
        <v>-2226000</v>
      </c>
      <c r="X1169" s="9" t="n">
        <v>79.15389999999999</v>
      </c>
      <c r="AK1169" s="7" t="inlineStr">
        <is>
          <t>PYTHON_LIFECYCLE</t>
        </is>
      </c>
      <c r="AL1169" s="8">
        <f>IF($J1169="INR",1,IF($M1169&lt;$A1169,INDEX(Market_Daily!$F$6:$F$256,MATCH($M1169,Market_Daily!$A$6:$A$256,1)),IF($M1169=$A1169,INDEX(Market_Daily!$F$6:$F$256,MATCH($A1169,Market_Daily!$A$6:$A$256,0)),(INDEX(Market_Daily!$F$6:$F$256,MATCH($A1169,Market_Daily!$A$6:$A$256,0))*(1+INDEX(Market_Daily!$I$6:$I$256,MATCH($A1169,Market_Daily!$A$6:$A$256,0))*($M1169-$A1169)/day_count_inr)/(1+INDEX(Market_Daily!$J$6:$J$256,MATCH($A1169,Market_Daily!$A$6:$A$256,0))*($M1169-$A1169)/day_count_usd)))))</f>
        <v/>
      </c>
      <c r="AM1169" s="8">
        <f>IF(OR($J1169="INR",$R1169&gt;1),"",$AL1169-$X1169)</f>
        <v/>
      </c>
      <c r="AN1169" s="8">
        <f>$U1169</f>
        <v/>
      </c>
      <c r="AO1169" s="8">
        <f>$AN1169*IF($J1169="INR",1,$AL1169)</f>
        <v/>
      </c>
      <c r="AP1169" s="18">
        <f>$AO1169-$V1169</f>
        <v/>
      </c>
      <c r="AQ1169" s="8">
        <f>IF(ABS($AP1169)&lt;=tol_trade_inr,"PASS","FAIL")</f>
        <v/>
      </c>
    </row>
    <row r="1170">
      <c r="A1170" s="11" t="n">
        <v>44776</v>
      </c>
      <c r="B1170" s="7" t="inlineStr">
        <is>
          <t>T08</t>
        </is>
      </c>
      <c r="C1170" s="7" t="inlineStr">
        <is>
          <t>PORT:L2</t>
        </is>
      </c>
      <c r="D1170" s="7" t="inlineStr">
        <is>
          <t>PORT</t>
        </is>
      </c>
      <c r="E1170" s="7" t="inlineStr">
        <is>
          <t>physical</t>
        </is>
      </c>
      <c r="F1170" s="7" t="inlineStr">
        <is>
          <t>L2</t>
        </is>
      </c>
      <c r="H1170" s="7" t="inlineStr">
        <is>
          <t>tense</t>
        </is>
      </c>
      <c r="I1170" s="7" t="inlineStr">
        <is>
          <t>USEC_MUN</t>
        </is>
      </c>
      <c r="J1170" s="7" t="inlineStr">
        <is>
          <t>INR</t>
        </is>
      </c>
      <c r="K1170" s="7" t="inlineStr">
        <is>
          <t>fixed_unsettled</t>
        </is>
      </c>
      <c r="L1170" s="7" t="inlineStr">
        <is>
          <t>PNL</t>
        </is>
      </c>
      <c r="M1170" s="11" t="n">
        <v>44798</v>
      </c>
      <c r="N1170" s="13" t="n">
        <v>0</v>
      </c>
      <c r="O1170" s="6" t="n">
        <v>0</v>
      </c>
      <c r="P1170" s="13" t="n">
        <v>0</v>
      </c>
      <c r="Q1170" s="22" t="n">
        <v>31</v>
      </c>
      <c r="R1170" s="6" t="n">
        <v>1</v>
      </c>
      <c r="U1170" s="9" t="n">
        <v>-2226000</v>
      </c>
      <c r="V1170" s="9" t="n">
        <v>-2226000</v>
      </c>
      <c r="X1170" s="9" t="n">
        <v>79.15389999999999</v>
      </c>
      <c r="AK1170" s="7" t="inlineStr">
        <is>
          <t>PYTHON_LIFECYCLE</t>
        </is>
      </c>
      <c r="AL1170" s="8">
        <f>IF($J1170="INR",1,IF($M1170&lt;$A1170,INDEX(Market_Daily!$F$6:$F$256,MATCH($M1170,Market_Daily!$A$6:$A$256,1)),IF($M1170=$A1170,INDEX(Market_Daily!$F$6:$F$256,MATCH($A1170,Market_Daily!$A$6:$A$256,0)),(INDEX(Market_Daily!$F$6:$F$256,MATCH($A1170,Market_Daily!$A$6:$A$256,0))*(1+INDEX(Market_Daily!$I$6:$I$256,MATCH($A1170,Market_Daily!$A$6:$A$256,0))*($M1170-$A1170)/day_count_inr)/(1+INDEX(Market_Daily!$J$6:$J$256,MATCH($A1170,Market_Daily!$A$6:$A$256,0))*($M1170-$A1170)/day_count_usd)))))</f>
        <v/>
      </c>
      <c r="AM1170" s="8">
        <f>IF(OR($J1170="INR",$R1170&gt;1),"",$AL1170-$X1170)</f>
        <v/>
      </c>
      <c r="AN1170" s="8">
        <f>$U1170</f>
        <v/>
      </c>
      <c r="AO1170" s="8">
        <f>$AN1170*IF($J1170="INR",1,$AL1170)</f>
        <v/>
      </c>
      <c r="AP1170" s="18">
        <f>$AO1170-$V1170</f>
        <v/>
      </c>
      <c r="AQ1170" s="8">
        <f>IF(ABS($AP1170)&lt;=tol_trade_inr,"PASS","FAIL")</f>
        <v/>
      </c>
    </row>
    <row r="1171">
      <c r="A1171" s="11" t="n">
        <v>44776</v>
      </c>
      <c r="B1171" s="7" t="inlineStr">
        <is>
          <t>T08</t>
        </is>
      </c>
      <c r="C1171" s="7" t="inlineStr">
        <is>
          <t>PURCHASE:L1</t>
        </is>
      </c>
      <c r="D1171" s="7" t="inlineStr">
        <is>
          <t>PURCHASE</t>
        </is>
      </c>
      <c r="E1171" s="7" t="inlineStr">
        <is>
          <t>physical</t>
        </is>
      </c>
      <c r="F1171" s="7" t="inlineStr">
        <is>
          <t>L1</t>
        </is>
      </c>
      <c r="G1171" s="7" t="inlineStr">
        <is>
          <t>SUP_USEC_02</t>
        </is>
      </c>
      <c r="H1171" s="7" t="inlineStr">
        <is>
          <t>tense</t>
        </is>
      </c>
      <c r="I1171" s="7" t="inlineStr">
        <is>
          <t>USEC_MUN</t>
        </is>
      </c>
      <c r="J1171" s="7" t="inlineStr">
        <is>
          <t>USD</t>
        </is>
      </c>
      <c r="K1171" s="7" t="inlineStr">
        <is>
          <t>partially_fixed</t>
        </is>
      </c>
      <c r="L1171" s="7" t="inlineStr">
        <is>
          <t>PNL</t>
        </is>
      </c>
      <c r="M1171" s="11" t="n">
        <v>44782</v>
      </c>
      <c r="N1171" s="13" t="n">
        <v>1680</v>
      </c>
      <c r="O1171" s="6" t="n">
        <v>0</v>
      </c>
      <c r="P1171" s="13" t="n">
        <v>0</v>
      </c>
      <c r="Q1171" s="22" t="n">
        <v>31</v>
      </c>
      <c r="R1171" s="6" t="n">
        <v>2</v>
      </c>
      <c r="U1171" s="9" t="n">
        <v>-45223.84</v>
      </c>
      <c r="V1171" s="9" t="n">
        <v>-3581203.82</v>
      </c>
      <c r="X1171" s="9" t="n">
        <v>79.1884</v>
      </c>
      <c r="AK1171" s="7" t="inlineStr">
        <is>
          <t>PYTHON_MULTI_FLOW_LEG</t>
        </is>
      </c>
      <c r="AL1171" s="8">
        <f>IF($J1171="INR",1,IF($M1171&lt;$A1171,INDEX(Market_Daily!$F$6:$F$256,MATCH($M1171,Market_Daily!$A$6:$A$256,1)),IF($M1171=$A1171,INDEX(Market_Daily!$F$6:$F$256,MATCH($A1171,Market_Daily!$A$6:$A$256,0)),(INDEX(Market_Daily!$F$6:$F$256,MATCH($A1171,Market_Daily!$A$6:$A$256,0))*(1+INDEX(Market_Daily!$I$6:$I$256,MATCH($A1171,Market_Daily!$A$6:$A$256,0))*($M1171-$A1171)/day_count_inr)/(1+INDEX(Market_Daily!$J$6:$J$256,MATCH($A1171,Market_Daily!$A$6:$A$256,0))*($M1171-$A1171)/day_count_usd)))))</f>
        <v/>
      </c>
      <c r="AM1171" s="8">
        <f>IF(OR($J1171="INR",$R1171&gt;1),"",$AL1171-$X1171)</f>
        <v/>
      </c>
      <c r="AN1171" s="8">
        <f>$U1171</f>
        <v/>
      </c>
      <c r="AO1171" s="8">
        <f>$V1171</f>
        <v/>
      </c>
      <c r="AP1171" s="18">
        <f>$AO1171-$V1171</f>
        <v/>
      </c>
      <c r="AQ1171" s="8">
        <f>IF(ABS($AP1171)&lt;=tol_trade_inr,"PASS","FAIL")</f>
        <v/>
      </c>
    </row>
    <row r="1172">
      <c r="A1172" s="11" t="n">
        <v>44776</v>
      </c>
      <c r="B1172" s="7" t="inlineStr">
        <is>
          <t>T08</t>
        </is>
      </c>
      <c r="C1172" s="7" t="inlineStr">
        <is>
          <t>PURCHASE:L2</t>
        </is>
      </c>
      <c r="D1172" s="7" t="inlineStr">
        <is>
          <t>PURCHASE</t>
        </is>
      </c>
      <c r="E1172" s="7" t="inlineStr">
        <is>
          <t>physical</t>
        </is>
      </c>
      <c r="F1172" s="7" t="inlineStr">
        <is>
          <t>L2</t>
        </is>
      </c>
      <c r="G1172" s="7" t="inlineStr">
        <is>
          <t>SUP_USEC_02</t>
        </is>
      </c>
      <c r="H1172" s="7" t="inlineStr">
        <is>
          <t>tense</t>
        </is>
      </c>
      <c r="I1172" s="7" t="inlineStr">
        <is>
          <t>USEC_MUN</t>
        </is>
      </c>
      <c r="J1172" s="7" t="inlineStr">
        <is>
          <t>USD</t>
        </is>
      </c>
      <c r="K1172" s="7" t="inlineStr">
        <is>
          <t>partially_fixed</t>
        </is>
      </c>
      <c r="L1172" s="7" t="inlineStr">
        <is>
          <t>PNL</t>
        </is>
      </c>
      <c r="M1172" s="11" t="n">
        <v>44789</v>
      </c>
      <c r="N1172" s="13" t="n">
        <v>1680</v>
      </c>
      <c r="O1172" s="6" t="n">
        <v>0</v>
      </c>
      <c r="P1172" s="13" t="n">
        <v>0</v>
      </c>
      <c r="Q1172" s="22" t="n">
        <v>31</v>
      </c>
      <c r="R1172" s="6" t="n">
        <v>2</v>
      </c>
      <c r="U1172" s="9" t="n">
        <v>-47407.97</v>
      </c>
      <c r="V1172" s="9" t="n">
        <v>-3756067.91</v>
      </c>
      <c r="X1172" s="9" t="n">
        <v>79.2286</v>
      </c>
      <c r="AK1172" s="7" t="inlineStr">
        <is>
          <t>PYTHON_MULTI_FLOW_LEG</t>
        </is>
      </c>
      <c r="AL1172" s="8">
        <f>IF($J1172="INR",1,IF($M1172&lt;$A1172,INDEX(Market_Daily!$F$6:$F$256,MATCH($M1172,Market_Daily!$A$6:$A$256,1)),IF($M1172=$A1172,INDEX(Market_Daily!$F$6:$F$256,MATCH($A1172,Market_Daily!$A$6:$A$256,0)),(INDEX(Market_Daily!$F$6:$F$256,MATCH($A1172,Market_Daily!$A$6:$A$256,0))*(1+INDEX(Market_Daily!$I$6:$I$256,MATCH($A1172,Market_Daily!$A$6:$A$256,0))*($M1172-$A1172)/day_count_inr)/(1+INDEX(Market_Daily!$J$6:$J$256,MATCH($A1172,Market_Daily!$A$6:$A$256,0))*($M1172-$A1172)/day_count_usd)))))</f>
        <v/>
      </c>
      <c r="AM1172" s="8">
        <f>IF(OR($J1172="INR",$R1172&gt;1),"",$AL1172-$X1172)</f>
        <v/>
      </c>
      <c r="AN1172" s="8">
        <f>$U1172</f>
        <v/>
      </c>
      <c r="AO1172" s="8">
        <f>$V1172</f>
        <v/>
      </c>
      <c r="AP1172" s="18">
        <f>$AO1172-$V1172</f>
        <v/>
      </c>
      <c r="AQ1172" s="8">
        <f>IF(ABS($AP1172)&lt;=tol_trade_inr,"PASS","FAIL")</f>
        <v/>
      </c>
    </row>
    <row r="1173">
      <c r="A1173" s="11" t="n">
        <v>44776</v>
      </c>
      <c r="B1173" s="7" t="inlineStr">
        <is>
          <t>T09</t>
        </is>
      </c>
      <c r="C1173" s="7" t="inlineStr">
        <is>
          <t>BILL_COMMISSION:L1</t>
        </is>
      </c>
      <c r="D1173" s="7" t="inlineStr">
        <is>
          <t>BILL_COMMISSION</t>
        </is>
      </c>
      <c r="E1173" s="7" t="inlineStr">
        <is>
          <t>physical</t>
        </is>
      </c>
      <c r="F1173" s="7" t="inlineStr">
        <is>
          <t>L1</t>
        </is>
      </c>
      <c r="H1173" s="7" t="inlineStr">
        <is>
          <t>tense</t>
        </is>
      </c>
      <c r="I1173" s="7" t="inlineStr">
        <is>
          <t>JEA_NSA</t>
        </is>
      </c>
      <c r="J1173" s="7" t="inlineStr">
        <is>
          <t>USD</t>
        </is>
      </c>
      <c r="K1173" s="7" t="inlineStr">
        <is>
          <t>floating</t>
        </is>
      </c>
      <c r="L1173" s="7" t="inlineStr">
        <is>
          <t>PNL</t>
        </is>
      </c>
      <c r="M1173" s="11" t="n">
        <v>44851</v>
      </c>
      <c r="N1173" s="13" t="n">
        <v>0</v>
      </c>
      <c r="O1173" s="6" t="n">
        <v>0</v>
      </c>
      <c r="P1173" s="13" t="n">
        <v>0</v>
      </c>
      <c r="Q1173" s="22" t="n">
        <v>31</v>
      </c>
      <c r="R1173" s="6" t="n">
        <v>1</v>
      </c>
      <c r="U1173" s="9" t="n">
        <v>-1315.44</v>
      </c>
      <c r="V1173" s="9" t="n">
        <v>-104686.88</v>
      </c>
      <c r="X1173" s="9" t="n">
        <v>79.58320000000001</v>
      </c>
      <c r="AK1173" s="7" t="inlineStr">
        <is>
          <t>PYTHON_LIFECYCLE</t>
        </is>
      </c>
      <c r="AL1173" s="8">
        <f>IF($J1173="INR",1,IF($M1173&lt;$A1173,INDEX(Market_Daily!$F$6:$F$256,MATCH($M1173,Market_Daily!$A$6:$A$256,1)),IF($M1173=$A1173,INDEX(Market_Daily!$F$6:$F$256,MATCH($A1173,Market_Daily!$A$6:$A$256,0)),(INDEX(Market_Daily!$F$6:$F$256,MATCH($A1173,Market_Daily!$A$6:$A$256,0))*(1+INDEX(Market_Daily!$I$6:$I$256,MATCH($A1173,Market_Daily!$A$6:$A$256,0))*($M1173-$A1173)/day_count_inr)/(1+INDEX(Market_Daily!$J$6:$J$256,MATCH($A1173,Market_Daily!$A$6:$A$256,0))*($M1173-$A1173)/day_count_usd)))))</f>
        <v/>
      </c>
      <c r="AM1173" s="8">
        <f>IF(OR($J1173="INR",$R1173&gt;1),"",$AL1173-$X1173)</f>
        <v/>
      </c>
      <c r="AN1173" s="8">
        <f>$U1173</f>
        <v/>
      </c>
      <c r="AO1173" s="8">
        <f>$AN1173*IF($J1173="INR",1,$AL1173)</f>
        <v/>
      </c>
      <c r="AP1173" s="18">
        <f>$AO1173-$V1173</f>
        <v/>
      </c>
      <c r="AQ1173" s="8">
        <f>IF(ABS($AP1173)&lt;=tol_trade_inr,"PASS","FAIL")</f>
        <v/>
      </c>
    </row>
    <row r="1174">
      <c r="A1174" s="11" t="n">
        <v>44776</v>
      </c>
      <c r="B1174" s="7" t="inlineStr">
        <is>
          <t>T09</t>
        </is>
      </c>
      <c r="C1174" s="7" t="inlineStr">
        <is>
          <t>BILL_COMMISSION:L2</t>
        </is>
      </c>
      <c r="D1174" s="7" t="inlineStr">
        <is>
          <t>BILL_COMMISSION</t>
        </is>
      </c>
      <c r="E1174" s="7" t="inlineStr">
        <is>
          <t>physical</t>
        </is>
      </c>
      <c r="F1174" s="7" t="inlineStr">
        <is>
          <t>L2</t>
        </is>
      </c>
      <c r="H1174" s="7" t="inlineStr">
        <is>
          <t>tense</t>
        </is>
      </c>
      <c r="I1174" s="7" t="inlineStr">
        <is>
          <t>JEA_NSA</t>
        </is>
      </c>
      <c r="J1174" s="7" t="inlineStr">
        <is>
          <t>USD</t>
        </is>
      </c>
      <c r="K1174" s="7" t="inlineStr">
        <is>
          <t>floating</t>
        </is>
      </c>
      <c r="L1174" s="7" t="inlineStr">
        <is>
          <t>PNL</t>
        </is>
      </c>
      <c r="M1174" s="11" t="n">
        <v>44858</v>
      </c>
      <c r="N1174" s="13" t="n">
        <v>0</v>
      </c>
      <c r="O1174" s="6" t="n">
        <v>0</v>
      </c>
      <c r="P1174" s="13" t="n">
        <v>0</v>
      </c>
      <c r="Q1174" s="22" t="n">
        <v>31</v>
      </c>
      <c r="R1174" s="6" t="n">
        <v>1</v>
      </c>
      <c r="U1174" s="9" t="n">
        <v>-1315.44</v>
      </c>
      <c r="V1174" s="9" t="n">
        <v>-104739.29</v>
      </c>
      <c r="X1174" s="9" t="n">
        <v>79.623</v>
      </c>
      <c r="AK1174" s="7" t="inlineStr">
        <is>
          <t>PYTHON_LIFECYCLE</t>
        </is>
      </c>
      <c r="AL1174" s="8">
        <f>IF($J1174="INR",1,IF($M1174&lt;$A1174,INDEX(Market_Daily!$F$6:$F$256,MATCH($M1174,Market_Daily!$A$6:$A$256,1)),IF($M1174=$A1174,INDEX(Market_Daily!$F$6:$F$256,MATCH($A1174,Market_Daily!$A$6:$A$256,0)),(INDEX(Market_Daily!$F$6:$F$256,MATCH($A1174,Market_Daily!$A$6:$A$256,0))*(1+INDEX(Market_Daily!$I$6:$I$256,MATCH($A1174,Market_Daily!$A$6:$A$256,0))*($M1174-$A1174)/day_count_inr)/(1+INDEX(Market_Daily!$J$6:$J$256,MATCH($A1174,Market_Daily!$A$6:$A$256,0))*($M1174-$A1174)/day_count_usd)))))</f>
        <v/>
      </c>
      <c r="AM1174" s="8">
        <f>IF(OR($J1174="INR",$R1174&gt;1),"",$AL1174-$X1174)</f>
        <v/>
      </c>
      <c r="AN1174" s="8">
        <f>$U1174</f>
        <v/>
      </c>
      <c r="AO1174" s="8">
        <f>$AN1174*IF($J1174="INR",1,$AL1174)</f>
        <v/>
      </c>
      <c r="AP1174" s="18">
        <f>$AO1174-$V1174</f>
        <v/>
      </c>
      <c r="AQ1174" s="8">
        <f>IF(ABS($AP1174)&lt;=tol_trade_inr,"PASS","FAIL")</f>
        <v/>
      </c>
    </row>
    <row r="1175">
      <c r="A1175" s="11" t="n">
        <v>44776</v>
      </c>
      <c r="B1175" s="7" t="inlineStr">
        <is>
          <t>T09</t>
        </is>
      </c>
      <c r="C1175" s="7" t="inlineStr">
        <is>
          <t>DUTY:L1</t>
        </is>
      </c>
      <c r="D1175" s="7" t="inlineStr">
        <is>
          <t>DUTY</t>
        </is>
      </c>
      <c r="E1175" s="7" t="inlineStr">
        <is>
          <t>physical</t>
        </is>
      </c>
      <c r="F1175" s="7" t="inlineStr">
        <is>
          <t>L1</t>
        </is>
      </c>
      <c r="H1175" s="7" t="inlineStr">
        <is>
          <t>tense</t>
        </is>
      </c>
      <c r="I1175" s="7" t="inlineStr">
        <is>
          <t>JEA_NSA</t>
        </is>
      </c>
      <c r="J1175" s="7" t="inlineStr">
        <is>
          <t>INR</t>
        </is>
      </c>
      <c r="K1175" s="7" t="inlineStr">
        <is>
          <t>floating</t>
        </is>
      </c>
      <c r="L1175" s="7" t="inlineStr">
        <is>
          <t>PNL</t>
        </is>
      </c>
      <c r="M1175" s="11" t="n">
        <v>44796</v>
      </c>
      <c r="N1175" s="13" t="n">
        <v>600</v>
      </c>
      <c r="O1175" s="6" t="n">
        <v>0</v>
      </c>
      <c r="P1175" s="13" t="n">
        <v>0</v>
      </c>
      <c r="Q1175" s="22" t="n">
        <v>31</v>
      </c>
      <c r="R1175" s="6" t="n">
        <v>1</v>
      </c>
      <c r="U1175" s="9" t="n">
        <v>-2442962.53</v>
      </c>
      <c r="V1175" s="9" t="n">
        <v>-2442962.53</v>
      </c>
      <c r="X1175" s="9" t="n">
        <v>79.15389999999999</v>
      </c>
      <c r="AK1175" s="7" t="inlineStr">
        <is>
          <t>PYTHON_LIFECYCLE</t>
        </is>
      </c>
      <c r="AL1175" s="8">
        <f>IF($J1175="INR",1,IF($M1175&lt;$A1175,INDEX(Market_Daily!$F$6:$F$256,MATCH($M1175,Market_Daily!$A$6:$A$256,1)),IF($M1175=$A1175,INDEX(Market_Daily!$F$6:$F$256,MATCH($A1175,Market_Daily!$A$6:$A$256,0)),(INDEX(Market_Daily!$F$6:$F$256,MATCH($A1175,Market_Daily!$A$6:$A$256,0))*(1+INDEX(Market_Daily!$I$6:$I$256,MATCH($A1175,Market_Daily!$A$6:$A$256,0))*($M1175-$A1175)/day_count_inr)/(1+INDEX(Market_Daily!$J$6:$J$256,MATCH($A1175,Market_Daily!$A$6:$A$256,0))*($M1175-$A1175)/day_count_usd)))))</f>
        <v/>
      </c>
      <c r="AM1175" s="8">
        <f>IF(OR($J1175="INR",$R1175&gt;1),"",$AL1175-$X1175)</f>
        <v/>
      </c>
      <c r="AN1175" s="8">
        <f>$U1175</f>
        <v/>
      </c>
      <c r="AO1175" s="8">
        <f>$AN1175*IF($J1175="INR",1,$AL1175)</f>
        <v/>
      </c>
      <c r="AP1175" s="18">
        <f>$AO1175-$V1175</f>
        <v/>
      </c>
      <c r="AQ1175" s="8">
        <f>IF(ABS($AP1175)&lt;=tol_trade_inr,"PASS","FAIL")</f>
        <v/>
      </c>
    </row>
    <row r="1176">
      <c r="A1176" s="11" t="n">
        <v>44776</v>
      </c>
      <c r="B1176" s="7" t="inlineStr">
        <is>
          <t>T09</t>
        </is>
      </c>
      <c r="C1176" s="7" t="inlineStr">
        <is>
          <t>DUTY:L2</t>
        </is>
      </c>
      <c r="D1176" s="7" t="inlineStr">
        <is>
          <t>DUTY</t>
        </is>
      </c>
      <c r="E1176" s="7" t="inlineStr">
        <is>
          <t>physical</t>
        </is>
      </c>
      <c r="F1176" s="7" t="inlineStr">
        <is>
          <t>L2</t>
        </is>
      </c>
      <c r="H1176" s="7" t="inlineStr">
        <is>
          <t>tense</t>
        </is>
      </c>
      <c r="I1176" s="7" t="inlineStr">
        <is>
          <t>JEA_NSA</t>
        </is>
      </c>
      <c r="J1176" s="7" t="inlineStr">
        <is>
          <t>INR</t>
        </is>
      </c>
      <c r="K1176" s="7" t="inlineStr">
        <is>
          <t>floating</t>
        </is>
      </c>
      <c r="L1176" s="7" t="inlineStr">
        <is>
          <t>PNL</t>
        </is>
      </c>
      <c r="M1176" s="11" t="n">
        <v>44803</v>
      </c>
      <c r="N1176" s="13" t="n">
        <v>600</v>
      </c>
      <c r="O1176" s="6" t="n">
        <v>0</v>
      </c>
      <c r="P1176" s="13" t="n">
        <v>0</v>
      </c>
      <c r="Q1176" s="22" t="n">
        <v>31</v>
      </c>
      <c r="R1176" s="6" t="n">
        <v>1</v>
      </c>
      <c r="U1176" s="9" t="n">
        <v>-2442962.53</v>
      </c>
      <c r="V1176" s="9" t="n">
        <v>-2442962.53</v>
      </c>
      <c r="X1176" s="9" t="n">
        <v>79.15389999999999</v>
      </c>
      <c r="AK1176" s="7" t="inlineStr">
        <is>
          <t>PYTHON_LIFECYCLE</t>
        </is>
      </c>
      <c r="AL1176" s="8">
        <f>IF($J1176="INR",1,IF($M1176&lt;$A1176,INDEX(Market_Daily!$F$6:$F$256,MATCH($M1176,Market_Daily!$A$6:$A$256,1)),IF($M1176=$A1176,INDEX(Market_Daily!$F$6:$F$256,MATCH($A1176,Market_Daily!$A$6:$A$256,0)),(INDEX(Market_Daily!$F$6:$F$256,MATCH($A1176,Market_Daily!$A$6:$A$256,0))*(1+INDEX(Market_Daily!$I$6:$I$256,MATCH($A1176,Market_Daily!$A$6:$A$256,0))*($M1176-$A1176)/day_count_inr)/(1+INDEX(Market_Daily!$J$6:$J$256,MATCH($A1176,Market_Daily!$A$6:$A$256,0))*($M1176-$A1176)/day_count_usd)))))</f>
        <v/>
      </c>
      <c r="AM1176" s="8">
        <f>IF(OR($J1176="INR",$R1176&gt;1),"",$AL1176-$X1176)</f>
        <v/>
      </c>
      <c r="AN1176" s="8">
        <f>$U1176</f>
        <v/>
      </c>
      <c r="AO1176" s="8">
        <f>$AN1176*IF($J1176="INR",1,$AL1176)</f>
        <v/>
      </c>
      <c r="AP1176" s="18">
        <f>$AO1176-$V1176</f>
        <v/>
      </c>
      <c r="AQ1176" s="8">
        <f>IF(ABS($AP1176)&lt;=tol_trade_inr,"PASS","FAIL")</f>
        <v/>
      </c>
    </row>
    <row r="1177">
      <c r="A1177" s="11" t="n">
        <v>44776</v>
      </c>
      <c r="B1177" s="7" t="inlineStr">
        <is>
          <t>T09</t>
        </is>
      </c>
      <c r="C1177" s="7" t="inlineStr">
        <is>
          <t>IGST:L1</t>
        </is>
      </c>
      <c r="D1177" s="7" t="inlineStr">
        <is>
          <t>IGST</t>
        </is>
      </c>
      <c r="E1177" s="7" t="inlineStr">
        <is>
          <t>physical</t>
        </is>
      </c>
      <c r="F1177" s="7" t="inlineStr">
        <is>
          <t>L1</t>
        </is>
      </c>
      <c r="H1177" s="7" t="inlineStr">
        <is>
          <t>tense</t>
        </is>
      </c>
      <c r="I1177" s="7" t="inlineStr">
        <is>
          <t>JEA_NSA</t>
        </is>
      </c>
      <c r="J1177" s="7" t="inlineStr">
        <is>
          <t>INR</t>
        </is>
      </c>
      <c r="K1177" s="7" t="inlineStr">
        <is>
          <t>floating</t>
        </is>
      </c>
      <c r="L1177" s="7" t="inlineStr">
        <is>
          <t>BS</t>
        </is>
      </c>
      <c r="M1177" s="11" t="n">
        <v>44841</v>
      </c>
      <c r="N1177" s="13" t="n">
        <v>0</v>
      </c>
      <c r="O1177" s="6" t="n">
        <v>0</v>
      </c>
      <c r="P1177" s="13" t="n">
        <v>0</v>
      </c>
      <c r="Q1177" s="22" t="n">
        <v>31</v>
      </c>
      <c r="R1177" s="6" t="n">
        <v>2</v>
      </c>
      <c r="U1177" s="9" t="n">
        <v>0</v>
      </c>
      <c r="V1177" s="9" t="n">
        <v>0</v>
      </c>
      <c r="X1177" s="9" t="n">
        <v>79.15389999999999</v>
      </c>
      <c r="AK1177" s="7" t="inlineStr">
        <is>
          <t>PYTHON_MULTI_FLOW_LEG</t>
        </is>
      </c>
      <c r="AL1177" s="8">
        <f>IF($J1177="INR",1,IF($M1177&lt;$A1177,INDEX(Market_Daily!$F$6:$F$256,MATCH($M1177,Market_Daily!$A$6:$A$256,1)),IF($M1177=$A1177,INDEX(Market_Daily!$F$6:$F$256,MATCH($A1177,Market_Daily!$A$6:$A$256,0)),(INDEX(Market_Daily!$F$6:$F$256,MATCH($A1177,Market_Daily!$A$6:$A$256,0))*(1+INDEX(Market_Daily!$I$6:$I$256,MATCH($A1177,Market_Daily!$A$6:$A$256,0))*($M1177-$A1177)/day_count_inr)/(1+INDEX(Market_Daily!$J$6:$J$256,MATCH($A1177,Market_Daily!$A$6:$A$256,0))*($M1177-$A1177)/day_count_usd)))))</f>
        <v/>
      </c>
      <c r="AM1177" s="8">
        <f>IF(OR($J1177="INR",$R1177&gt;1),"",$AL1177-$X1177)</f>
        <v/>
      </c>
      <c r="AN1177" s="8">
        <f>$U1177</f>
        <v/>
      </c>
      <c r="AO1177" s="8">
        <f>$V1177</f>
        <v/>
      </c>
      <c r="AP1177" s="18">
        <f>$AO1177-$V1177</f>
        <v/>
      </c>
      <c r="AQ1177" s="8">
        <f>IF(ABS($AP1177)&lt;=tol_trade_inr,"PASS","FAIL")</f>
        <v/>
      </c>
    </row>
    <row r="1178">
      <c r="A1178" s="11" t="n">
        <v>44776</v>
      </c>
      <c r="B1178" s="7" t="inlineStr">
        <is>
          <t>T09</t>
        </is>
      </c>
      <c r="C1178" s="7" t="inlineStr">
        <is>
          <t>IGST:L2</t>
        </is>
      </c>
      <c r="D1178" s="7" t="inlineStr">
        <is>
          <t>IGST</t>
        </is>
      </c>
      <c r="E1178" s="7" t="inlineStr">
        <is>
          <t>physical</t>
        </is>
      </c>
      <c r="F1178" s="7" t="inlineStr">
        <is>
          <t>L2</t>
        </is>
      </c>
      <c r="H1178" s="7" t="inlineStr">
        <is>
          <t>tense</t>
        </is>
      </c>
      <c r="I1178" s="7" t="inlineStr">
        <is>
          <t>JEA_NSA</t>
        </is>
      </c>
      <c r="J1178" s="7" t="inlineStr">
        <is>
          <t>INR</t>
        </is>
      </c>
      <c r="K1178" s="7" t="inlineStr">
        <is>
          <t>floating</t>
        </is>
      </c>
      <c r="L1178" s="7" t="inlineStr">
        <is>
          <t>BS</t>
        </is>
      </c>
      <c r="M1178" s="11" t="n">
        <v>44848</v>
      </c>
      <c r="N1178" s="13" t="n">
        <v>0</v>
      </c>
      <c r="O1178" s="6" t="n">
        <v>0</v>
      </c>
      <c r="P1178" s="13" t="n">
        <v>0</v>
      </c>
      <c r="Q1178" s="22" t="n">
        <v>31</v>
      </c>
      <c r="R1178" s="6" t="n">
        <v>2</v>
      </c>
      <c r="U1178" s="9" t="n">
        <v>0</v>
      </c>
      <c r="V1178" s="9" t="n">
        <v>0</v>
      </c>
      <c r="X1178" s="9" t="n">
        <v>79.15389999999999</v>
      </c>
      <c r="AK1178" s="7" t="inlineStr">
        <is>
          <t>PYTHON_MULTI_FLOW_LEG</t>
        </is>
      </c>
      <c r="AL1178" s="8">
        <f>IF($J1178="INR",1,IF($M1178&lt;$A1178,INDEX(Market_Daily!$F$6:$F$256,MATCH($M1178,Market_Daily!$A$6:$A$256,1)),IF($M1178=$A1178,INDEX(Market_Daily!$F$6:$F$256,MATCH($A1178,Market_Daily!$A$6:$A$256,0)),(INDEX(Market_Daily!$F$6:$F$256,MATCH($A1178,Market_Daily!$A$6:$A$256,0))*(1+INDEX(Market_Daily!$I$6:$I$256,MATCH($A1178,Market_Daily!$A$6:$A$256,0))*($M1178-$A1178)/day_count_inr)/(1+INDEX(Market_Daily!$J$6:$J$256,MATCH($A1178,Market_Daily!$A$6:$A$256,0))*($M1178-$A1178)/day_count_usd)))))</f>
        <v/>
      </c>
      <c r="AM1178" s="8">
        <f>IF(OR($J1178="INR",$R1178&gt;1),"",$AL1178-$X1178)</f>
        <v/>
      </c>
      <c r="AN1178" s="8">
        <f>$U1178</f>
        <v/>
      </c>
      <c r="AO1178" s="8">
        <f>$V1178</f>
        <v/>
      </c>
      <c r="AP1178" s="18">
        <f>$AO1178-$V1178</f>
        <v/>
      </c>
      <c r="AQ1178" s="8">
        <f>IF(ABS($AP1178)&lt;=tol_trade_inr,"PASS","FAIL")</f>
        <v/>
      </c>
    </row>
    <row r="1179">
      <c r="A1179" s="11" t="n">
        <v>44776</v>
      </c>
      <c r="B1179" s="7" t="inlineStr">
        <is>
          <t>T09</t>
        </is>
      </c>
      <c r="C1179" s="7" t="inlineStr">
        <is>
          <t>INSURANCE:L1</t>
        </is>
      </c>
      <c r="D1179" s="7" t="inlineStr">
        <is>
          <t>INSURANCE</t>
        </is>
      </c>
      <c r="E1179" s="7" t="inlineStr">
        <is>
          <t>physical</t>
        </is>
      </c>
      <c r="F1179" s="7" t="inlineStr">
        <is>
          <t>L1</t>
        </is>
      </c>
      <c r="H1179" s="7" t="inlineStr">
        <is>
          <t>tense</t>
        </is>
      </c>
      <c r="I1179" s="7" t="inlineStr">
        <is>
          <t>JEA_NSA</t>
        </is>
      </c>
      <c r="J1179" s="7" t="inlineStr">
        <is>
          <t>USD</t>
        </is>
      </c>
      <c r="K1179" s="7" t="inlineStr">
        <is>
          <t>floating</t>
        </is>
      </c>
      <c r="L1179" s="7" t="inlineStr">
        <is>
          <t>PNL</t>
        </is>
      </c>
      <c r="M1179" s="11" t="n">
        <v>44790</v>
      </c>
      <c r="N1179" s="13" t="n">
        <v>600</v>
      </c>
      <c r="O1179" s="6" t="n">
        <v>0</v>
      </c>
      <c r="P1179" s="13" t="n">
        <v>0</v>
      </c>
      <c r="Q1179" s="22" t="n">
        <v>31</v>
      </c>
      <c r="R1179" s="6" t="n">
        <v>1</v>
      </c>
      <c r="U1179" s="9" t="n">
        <v>-1205.82</v>
      </c>
      <c r="V1179" s="9" t="n">
        <v>-95542.38</v>
      </c>
      <c r="X1179" s="9" t="n">
        <v>79.23439999999999</v>
      </c>
      <c r="AK1179" s="7" t="inlineStr">
        <is>
          <t>PYTHON_LIFECYCLE</t>
        </is>
      </c>
      <c r="AL1179" s="8">
        <f>IF($J1179="INR",1,IF($M1179&lt;$A1179,INDEX(Market_Daily!$F$6:$F$256,MATCH($M1179,Market_Daily!$A$6:$A$256,1)),IF($M1179=$A1179,INDEX(Market_Daily!$F$6:$F$256,MATCH($A1179,Market_Daily!$A$6:$A$256,0)),(INDEX(Market_Daily!$F$6:$F$256,MATCH($A1179,Market_Daily!$A$6:$A$256,0))*(1+INDEX(Market_Daily!$I$6:$I$256,MATCH($A1179,Market_Daily!$A$6:$A$256,0))*($M1179-$A1179)/day_count_inr)/(1+INDEX(Market_Daily!$J$6:$J$256,MATCH($A1179,Market_Daily!$A$6:$A$256,0))*($M1179-$A1179)/day_count_usd)))))</f>
        <v/>
      </c>
      <c r="AM1179" s="8">
        <f>IF(OR($J1179="INR",$R1179&gt;1),"",$AL1179-$X1179)</f>
        <v/>
      </c>
      <c r="AN1179" s="8">
        <f>$U1179</f>
        <v/>
      </c>
      <c r="AO1179" s="8">
        <f>$AN1179*IF($J1179="INR",1,$AL1179)</f>
        <v/>
      </c>
      <c r="AP1179" s="18">
        <f>$AO1179-$V1179</f>
        <v/>
      </c>
      <c r="AQ1179" s="8">
        <f>IF(ABS($AP1179)&lt;=tol_trade_inr,"PASS","FAIL")</f>
        <v/>
      </c>
    </row>
    <row r="1180">
      <c r="A1180" s="11" t="n">
        <v>44776</v>
      </c>
      <c r="B1180" s="7" t="inlineStr">
        <is>
          <t>T09</t>
        </is>
      </c>
      <c r="C1180" s="7" t="inlineStr">
        <is>
          <t>INSURANCE:L2</t>
        </is>
      </c>
      <c r="D1180" s="7" t="inlineStr">
        <is>
          <t>INSURANCE</t>
        </is>
      </c>
      <c r="E1180" s="7" t="inlineStr">
        <is>
          <t>physical</t>
        </is>
      </c>
      <c r="F1180" s="7" t="inlineStr">
        <is>
          <t>L2</t>
        </is>
      </c>
      <c r="H1180" s="7" t="inlineStr">
        <is>
          <t>tense</t>
        </is>
      </c>
      <c r="I1180" s="7" t="inlineStr">
        <is>
          <t>JEA_NSA</t>
        </is>
      </c>
      <c r="J1180" s="7" t="inlineStr">
        <is>
          <t>USD</t>
        </is>
      </c>
      <c r="K1180" s="7" t="inlineStr">
        <is>
          <t>floating</t>
        </is>
      </c>
      <c r="L1180" s="7" t="inlineStr">
        <is>
          <t>PNL</t>
        </is>
      </c>
      <c r="M1180" s="11" t="n">
        <v>44797</v>
      </c>
      <c r="N1180" s="13" t="n">
        <v>600</v>
      </c>
      <c r="O1180" s="6" t="n">
        <v>0</v>
      </c>
      <c r="P1180" s="13" t="n">
        <v>0</v>
      </c>
      <c r="Q1180" s="22" t="n">
        <v>31</v>
      </c>
      <c r="R1180" s="6" t="n">
        <v>1</v>
      </c>
      <c r="U1180" s="9" t="n">
        <v>-1205.82</v>
      </c>
      <c r="V1180" s="9" t="n">
        <v>-95590.82000000001</v>
      </c>
      <c r="X1180" s="9" t="n">
        <v>79.2745</v>
      </c>
      <c r="AK1180" s="7" t="inlineStr">
        <is>
          <t>PYTHON_LIFECYCLE</t>
        </is>
      </c>
      <c r="AL1180" s="8">
        <f>IF($J1180="INR",1,IF($M1180&lt;$A1180,INDEX(Market_Daily!$F$6:$F$256,MATCH($M1180,Market_Daily!$A$6:$A$256,1)),IF($M1180=$A1180,INDEX(Market_Daily!$F$6:$F$256,MATCH($A1180,Market_Daily!$A$6:$A$256,0)),(INDEX(Market_Daily!$F$6:$F$256,MATCH($A1180,Market_Daily!$A$6:$A$256,0))*(1+INDEX(Market_Daily!$I$6:$I$256,MATCH($A1180,Market_Daily!$A$6:$A$256,0))*($M1180-$A1180)/day_count_inr)/(1+INDEX(Market_Daily!$J$6:$J$256,MATCH($A1180,Market_Daily!$A$6:$A$256,0))*($M1180-$A1180)/day_count_usd)))))</f>
        <v/>
      </c>
      <c r="AM1180" s="8">
        <f>IF(OR($J1180="INR",$R1180&gt;1),"",$AL1180-$X1180)</f>
        <v/>
      </c>
      <c r="AN1180" s="8">
        <f>$U1180</f>
        <v/>
      </c>
      <c r="AO1180" s="8">
        <f>$AN1180*IF($J1180="INR",1,$AL1180)</f>
        <v/>
      </c>
      <c r="AP1180" s="18">
        <f>$AO1180-$V1180</f>
        <v/>
      </c>
      <c r="AQ1180" s="8">
        <f>IF(ABS($AP1180)&lt;=tol_trade_inr,"PASS","FAIL")</f>
        <v/>
      </c>
    </row>
    <row r="1181">
      <c r="A1181" s="11" t="n">
        <v>44776</v>
      </c>
      <c r="B1181" s="7" t="inlineStr">
        <is>
          <t>T09</t>
        </is>
      </c>
      <c r="C1181" s="7" t="inlineStr">
        <is>
          <t>INVENTORY:L1</t>
        </is>
      </c>
      <c r="D1181" s="7" t="inlineStr">
        <is>
          <t>INVENTORY</t>
        </is>
      </c>
      <c r="E1181" s="7" t="inlineStr">
        <is>
          <t>physical</t>
        </is>
      </c>
      <c r="F1181" s="7" t="inlineStr">
        <is>
          <t>L1</t>
        </is>
      </c>
      <c r="H1181" s="7" t="inlineStr">
        <is>
          <t>tense</t>
        </is>
      </c>
      <c r="I1181" s="7" t="inlineStr">
        <is>
          <t>JEA_NSA</t>
        </is>
      </c>
      <c r="J1181" s="7" t="inlineStr">
        <is>
          <t>INR</t>
        </is>
      </c>
      <c r="K1181" s="7" t="inlineStr">
        <is>
          <t>fixed_unsettled</t>
        </is>
      </c>
      <c r="L1181" s="7" t="inlineStr">
        <is>
          <t>PNL</t>
        </is>
      </c>
      <c r="N1181" s="13" t="n">
        <v>600</v>
      </c>
      <c r="O1181" s="6" t="n">
        <v>0</v>
      </c>
      <c r="P1181" s="13" t="n">
        <v>0</v>
      </c>
      <c r="Q1181" s="22" t="n">
        <v>31</v>
      </c>
      <c r="R1181" s="6" t="n">
        <v>0</v>
      </c>
      <c r="U1181" s="9" t="n">
        <v>91035542.15000001</v>
      </c>
      <c r="V1181" s="9" t="n">
        <v>91035542.15000001</v>
      </c>
      <c r="W1181" s="9" t="n">
        <v>151725.9036</v>
      </c>
      <c r="X1181" s="9" t="n">
        <v>79.15389999999999</v>
      </c>
      <c r="Y1181" s="8">
        <f>IF($I1181="JEA_NSA","20ft","40ft")</f>
        <v/>
      </c>
      <c r="Z1181" s="8">
        <f>IF($I1181="JEA_NSA","nsa","mun")</f>
        <v/>
      </c>
      <c r="AA1181" s="8">
        <f>INDEX(param_values,MATCH("container_payload_mt_"&amp;$Y1181,param_keys,0))/INDEX(param_values,MATCH("container_payload_mt_"&amp;$Y1181&amp;"_"&amp;$H1181,param_keys,0))</f>
        <v/>
      </c>
      <c r="AB1181" s="16">
        <f>INDEX(Market_Daily!$C$6:$C$256,MATCH($A1181,Market_Daily!$A$6:$A$256,0))*INDEX(Market_Daily!$X$6:$Z$256,MATCH($A1181,Market_Daily!$A$6:$A$256,0),MATCH("grade_factor_"&amp;$H1181,Market_Daily!$X$5:$Z$5,0))</f>
        <v/>
      </c>
      <c r="AC1181" s="16">
        <f>$AB1181*(1+insurance_rate*insured_value_uplift)</f>
        <v/>
      </c>
      <c r="AD1181" s="8">
        <f>(INDEX(Market_Daily!$F$6:$F$256,MATCH($A1181,Market_Daily!$A$6:$A$256,0))*(1+INDEX(Market_Daily!$I$6:$I$256,MATCH($A1181,Market_Daily!$A$6:$A$256,0))*$Q1181/day_count_inr)/(1+INDEX(Market_Daily!$J$6:$J$256,MATCH($A1181,Market_Daily!$A$6:$A$256,0))*$Q1181/day_count_usd))</f>
        <v/>
      </c>
      <c r="AE1181" s="18">
        <f>$AC1181*$AD1181</f>
        <v/>
      </c>
      <c r="AF1181" s="18">
        <f>$AC1181*INDEX(Market_Daily!$V$6:$V$256,MATCH($A1181,Market_Daily!$A$6:$A$256,0))</f>
        <v/>
      </c>
      <c r="AG1181" s="18">
        <f>$AF1181*bcd_scrap_hs7602*(1+sws_rate_on_bcd)</f>
        <v/>
      </c>
      <c r="AH1181" s="18">
        <f>INDEX(param_values,MATCH("port_cf_charges_inr_t_"&amp;$Z1181,param_keys,0))*$AA1181+IF(INDEX(param_values,MATCH(IF($I1181="JEA_NSA","psic_required_uae_origin","psic_required_safe_origin_designated_port"),param_keys,0)),psic_cost_usd_per_box*INDEX(Market_Daily!$F$6:$F$256,MATCH($A1181,Market_Daily!$A$6:$A$256,0))/INDEX(param_values,MATCH("container_payload_mt_20ft_"&amp;$H1181,param_keys,0)),0)</f>
        <v/>
      </c>
      <c r="AI1181" s="18">
        <f>IF(igst_itc_available,0,($AF1181+$AG1181)*igst_rate_hs7602)</f>
        <v/>
      </c>
      <c r="AJ1181" s="18">
        <f>$AE1181+$AG1181+$AH1181+$AI1181</f>
        <v/>
      </c>
      <c r="AK1181" s="7" t="inlineStr">
        <is>
          <t>DERIVED_IN_WORKBOOK</t>
        </is>
      </c>
      <c r="AL1181" s="8">
        <f>IF($J1181="INR",1,IF($M1181&lt;$A1181,INDEX(Market_Daily!$F$6:$F$256,MATCH($M1181,Market_Daily!$A$6:$A$256,1)),IF($M1181=$A1181,INDEX(Market_Daily!$F$6:$F$256,MATCH($A1181,Market_Daily!$A$6:$A$256,0)),(INDEX(Market_Daily!$F$6:$F$256,MATCH($A1181,Market_Daily!$A$6:$A$256,0))*(1+INDEX(Market_Daily!$I$6:$I$256,MATCH($A1181,Market_Daily!$A$6:$A$256,0))*($M1181-$A1181)/day_count_inr)/(1+INDEX(Market_Daily!$J$6:$J$256,MATCH($A1181,Market_Daily!$A$6:$A$256,0))*($M1181-$A1181)/day_count_usd)))))</f>
        <v/>
      </c>
      <c r="AM1181" s="8">
        <f>IF(OR($J1181="INR",$R1181&gt;1),"",$AL1181-$X1181)</f>
        <v/>
      </c>
      <c r="AN1181" s="8">
        <f>$N1181*$AJ1181</f>
        <v/>
      </c>
      <c r="AO1181" s="8">
        <f>$AN1181</f>
        <v/>
      </c>
      <c r="AP1181" s="18">
        <f>$AO1181-$V1181</f>
        <v/>
      </c>
      <c r="AQ1181" s="8">
        <f>IF(ABS($AP1181)&lt;=tol_trade_inr,"PASS","FAIL")</f>
        <v/>
      </c>
    </row>
    <row r="1182">
      <c r="A1182" s="11" t="n">
        <v>44776</v>
      </c>
      <c r="B1182" s="7" t="inlineStr">
        <is>
          <t>T09</t>
        </is>
      </c>
      <c r="C1182" s="7" t="inlineStr">
        <is>
          <t>INVENTORY:L2</t>
        </is>
      </c>
      <c r="D1182" s="7" t="inlineStr">
        <is>
          <t>INVENTORY</t>
        </is>
      </c>
      <c r="E1182" s="7" t="inlineStr">
        <is>
          <t>physical</t>
        </is>
      </c>
      <c r="F1182" s="7" t="inlineStr">
        <is>
          <t>L2</t>
        </is>
      </c>
      <c r="H1182" s="7" t="inlineStr">
        <is>
          <t>tense</t>
        </is>
      </c>
      <c r="I1182" s="7" t="inlineStr">
        <is>
          <t>JEA_NSA</t>
        </is>
      </c>
      <c r="J1182" s="7" t="inlineStr">
        <is>
          <t>INR</t>
        </is>
      </c>
      <c r="K1182" s="7" t="inlineStr">
        <is>
          <t>fixed_unsettled</t>
        </is>
      </c>
      <c r="L1182" s="7" t="inlineStr">
        <is>
          <t>PNL</t>
        </is>
      </c>
      <c r="N1182" s="13" t="n">
        <v>600</v>
      </c>
      <c r="O1182" s="6" t="n">
        <v>0</v>
      </c>
      <c r="P1182" s="13" t="n">
        <v>0</v>
      </c>
      <c r="Q1182" s="22" t="n">
        <v>31</v>
      </c>
      <c r="R1182" s="6" t="n">
        <v>0</v>
      </c>
      <c r="U1182" s="9" t="n">
        <v>91035542.15000001</v>
      </c>
      <c r="V1182" s="9" t="n">
        <v>91035542.15000001</v>
      </c>
      <c r="W1182" s="9" t="n">
        <v>151725.9036</v>
      </c>
      <c r="X1182" s="9" t="n">
        <v>79.15389999999999</v>
      </c>
      <c r="Y1182" s="8">
        <f>IF($I1182="JEA_NSA","20ft","40ft")</f>
        <v/>
      </c>
      <c r="Z1182" s="8">
        <f>IF($I1182="JEA_NSA","nsa","mun")</f>
        <v/>
      </c>
      <c r="AA1182" s="8">
        <f>INDEX(param_values,MATCH("container_payload_mt_"&amp;$Y1182,param_keys,0))/INDEX(param_values,MATCH("container_payload_mt_"&amp;$Y1182&amp;"_"&amp;$H1182,param_keys,0))</f>
        <v/>
      </c>
      <c r="AB1182" s="16">
        <f>INDEX(Market_Daily!$C$6:$C$256,MATCH($A1182,Market_Daily!$A$6:$A$256,0))*INDEX(Market_Daily!$X$6:$Z$256,MATCH($A1182,Market_Daily!$A$6:$A$256,0),MATCH("grade_factor_"&amp;$H1182,Market_Daily!$X$5:$Z$5,0))</f>
        <v/>
      </c>
      <c r="AC1182" s="16">
        <f>$AB1182*(1+insurance_rate*insured_value_uplift)</f>
        <v/>
      </c>
      <c r="AD1182" s="8">
        <f>(INDEX(Market_Daily!$F$6:$F$256,MATCH($A1182,Market_Daily!$A$6:$A$256,0))*(1+INDEX(Market_Daily!$I$6:$I$256,MATCH($A1182,Market_Daily!$A$6:$A$256,0))*$Q1182/day_count_inr)/(1+INDEX(Market_Daily!$J$6:$J$256,MATCH($A1182,Market_Daily!$A$6:$A$256,0))*$Q1182/day_count_usd))</f>
        <v/>
      </c>
      <c r="AE1182" s="18">
        <f>$AC1182*$AD1182</f>
        <v/>
      </c>
      <c r="AF1182" s="18">
        <f>$AC1182*INDEX(Market_Daily!$V$6:$V$256,MATCH($A1182,Market_Daily!$A$6:$A$256,0))</f>
        <v/>
      </c>
      <c r="AG1182" s="18">
        <f>$AF1182*bcd_scrap_hs7602*(1+sws_rate_on_bcd)</f>
        <v/>
      </c>
      <c r="AH1182" s="18">
        <f>INDEX(param_values,MATCH("port_cf_charges_inr_t_"&amp;$Z1182,param_keys,0))*$AA1182+IF(INDEX(param_values,MATCH(IF($I1182="JEA_NSA","psic_required_uae_origin","psic_required_safe_origin_designated_port"),param_keys,0)),psic_cost_usd_per_box*INDEX(Market_Daily!$F$6:$F$256,MATCH($A1182,Market_Daily!$A$6:$A$256,0))/INDEX(param_values,MATCH("container_payload_mt_20ft_"&amp;$H1182,param_keys,0)),0)</f>
        <v/>
      </c>
      <c r="AI1182" s="18">
        <f>IF(igst_itc_available,0,($AF1182+$AG1182)*igst_rate_hs7602)</f>
        <v/>
      </c>
      <c r="AJ1182" s="18">
        <f>$AE1182+$AG1182+$AH1182+$AI1182</f>
        <v/>
      </c>
      <c r="AK1182" s="7" t="inlineStr">
        <is>
          <t>DERIVED_IN_WORKBOOK</t>
        </is>
      </c>
      <c r="AL1182" s="8">
        <f>IF($J1182="INR",1,IF($M1182&lt;$A1182,INDEX(Market_Daily!$F$6:$F$256,MATCH($M1182,Market_Daily!$A$6:$A$256,1)),IF($M1182=$A1182,INDEX(Market_Daily!$F$6:$F$256,MATCH($A1182,Market_Daily!$A$6:$A$256,0)),(INDEX(Market_Daily!$F$6:$F$256,MATCH($A1182,Market_Daily!$A$6:$A$256,0))*(1+INDEX(Market_Daily!$I$6:$I$256,MATCH($A1182,Market_Daily!$A$6:$A$256,0))*($M1182-$A1182)/day_count_inr)/(1+INDEX(Market_Daily!$J$6:$J$256,MATCH($A1182,Market_Daily!$A$6:$A$256,0))*($M1182-$A1182)/day_count_usd)))))</f>
        <v/>
      </c>
      <c r="AM1182" s="8">
        <f>IF(OR($J1182="INR",$R1182&gt;1),"",$AL1182-$X1182)</f>
        <v/>
      </c>
      <c r="AN1182" s="8">
        <f>$N1182*$AJ1182</f>
        <v/>
      </c>
      <c r="AO1182" s="8">
        <f>$AN1182</f>
        <v/>
      </c>
      <c r="AP1182" s="18">
        <f>$AO1182-$V1182</f>
        <v/>
      </c>
      <c r="AQ1182" s="8">
        <f>IF(ABS($AP1182)&lt;=tol_trade_inr,"PASS","FAIL")</f>
        <v/>
      </c>
    </row>
    <row r="1183">
      <c r="A1183" s="11" t="n">
        <v>44776</v>
      </c>
      <c r="B1183" s="7" t="inlineStr">
        <is>
          <t>T09</t>
        </is>
      </c>
      <c r="C1183" s="7" t="inlineStr">
        <is>
          <t>LC_USANCE_FEE:L1</t>
        </is>
      </c>
      <c r="D1183" s="7" t="inlineStr">
        <is>
          <t>LC_USANCE_FEE</t>
        </is>
      </c>
      <c r="E1183" s="7" t="inlineStr">
        <is>
          <t>physical</t>
        </is>
      </c>
      <c r="F1183" s="7" t="inlineStr">
        <is>
          <t>L1</t>
        </is>
      </c>
      <c r="H1183" s="7" t="inlineStr">
        <is>
          <t>tense</t>
        </is>
      </c>
      <c r="I1183" s="7" t="inlineStr">
        <is>
          <t>JEA_NSA</t>
        </is>
      </c>
      <c r="J1183" s="7" t="inlineStr">
        <is>
          <t>USD</t>
        </is>
      </c>
      <c r="K1183" s="7" t="inlineStr">
        <is>
          <t>floating</t>
        </is>
      </c>
      <c r="L1183" s="7" t="inlineStr">
        <is>
          <t>PNL</t>
        </is>
      </c>
      <c r="M1183" s="11" t="n">
        <v>44797</v>
      </c>
      <c r="N1183" s="13" t="n">
        <v>0</v>
      </c>
      <c r="O1183" s="6" t="n">
        <v>0</v>
      </c>
      <c r="P1183" s="13" t="n">
        <v>0</v>
      </c>
      <c r="Q1183" s="22" t="n">
        <v>31</v>
      </c>
      <c r="R1183" s="6" t="n">
        <v>1</v>
      </c>
      <c r="U1183" s="9" t="n">
        <v>-1534.68</v>
      </c>
      <c r="V1183" s="9" t="n">
        <v>-121661.05</v>
      </c>
      <c r="X1183" s="9" t="n">
        <v>79.2745</v>
      </c>
      <c r="AK1183" s="7" t="inlineStr">
        <is>
          <t>PYTHON_LIFECYCLE</t>
        </is>
      </c>
      <c r="AL1183" s="8">
        <f>IF($J1183="INR",1,IF($M1183&lt;$A1183,INDEX(Market_Daily!$F$6:$F$256,MATCH($M1183,Market_Daily!$A$6:$A$256,1)),IF($M1183=$A1183,INDEX(Market_Daily!$F$6:$F$256,MATCH($A1183,Market_Daily!$A$6:$A$256,0)),(INDEX(Market_Daily!$F$6:$F$256,MATCH($A1183,Market_Daily!$A$6:$A$256,0))*(1+INDEX(Market_Daily!$I$6:$I$256,MATCH($A1183,Market_Daily!$A$6:$A$256,0))*($M1183-$A1183)/day_count_inr)/(1+INDEX(Market_Daily!$J$6:$J$256,MATCH($A1183,Market_Daily!$A$6:$A$256,0))*($M1183-$A1183)/day_count_usd)))))</f>
        <v/>
      </c>
      <c r="AM1183" s="8">
        <f>IF(OR($J1183="INR",$R1183&gt;1),"",$AL1183-$X1183)</f>
        <v/>
      </c>
      <c r="AN1183" s="8">
        <f>$U1183</f>
        <v/>
      </c>
      <c r="AO1183" s="8">
        <f>$AN1183*IF($J1183="INR",1,$AL1183)</f>
        <v/>
      </c>
      <c r="AP1183" s="18">
        <f>$AO1183-$V1183</f>
        <v/>
      </c>
      <c r="AQ1183" s="8">
        <f>IF(ABS($AP1183)&lt;=tol_trade_inr,"PASS","FAIL")</f>
        <v/>
      </c>
    </row>
    <row r="1184">
      <c r="A1184" s="11" t="n">
        <v>44776</v>
      </c>
      <c r="B1184" s="7" t="inlineStr">
        <is>
          <t>T09</t>
        </is>
      </c>
      <c r="C1184" s="7" t="inlineStr">
        <is>
          <t>LC_USANCE_FEE:L2</t>
        </is>
      </c>
      <c r="D1184" s="7" t="inlineStr">
        <is>
          <t>LC_USANCE_FEE</t>
        </is>
      </c>
      <c r="E1184" s="7" t="inlineStr">
        <is>
          <t>physical</t>
        </is>
      </c>
      <c r="F1184" s="7" t="inlineStr">
        <is>
          <t>L2</t>
        </is>
      </c>
      <c r="H1184" s="7" t="inlineStr">
        <is>
          <t>tense</t>
        </is>
      </c>
      <c r="I1184" s="7" t="inlineStr">
        <is>
          <t>JEA_NSA</t>
        </is>
      </c>
      <c r="J1184" s="7" t="inlineStr">
        <is>
          <t>USD</t>
        </is>
      </c>
      <c r="K1184" s="7" t="inlineStr">
        <is>
          <t>floating</t>
        </is>
      </c>
      <c r="L1184" s="7" t="inlineStr">
        <is>
          <t>PNL</t>
        </is>
      </c>
      <c r="M1184" s="11" t="n">
        <v>44804</v>
      </c>
      <c r="N1184" s="13" t="n">
        <v>0</v>
      </c>
      <c r="O1184" s="6" t="n">
        <v>0</v>
      </c>
      <c r="P1184" s="13" t="n">
        <v>0</v>
      </c>
      <c r="Q1184" s="22" t="n">
        <v>31</v>
      </c>
      <c r="R1184" s="6" t="n">
        <v>1</v>
      </c>
      <c r="U1184" s="9" t="n">
        <v>-1534.68</v>
      </c>
      <c r="V1184" s="9" t="n">
        <v>-121722.64</v>
      </c>
      <c r="X1184" s="9" t="n">
        <v>79.3147</v>
      </c>
      <c r="AK1184" s="7" t="inlineStr">
        <is>
          <t>PYTHON_LIFECYCLE</t>
        </is>
      </c>
      <c r="AL1184" s="8">
        <f>IF($J1184="INR",1,IF($M1184&lt;$A1184,INDEX(Market_Daily!$F$6:$F$256,MATCH($M1184,Market_Daily!$A$6:$A$256,1)),IF($M1184=$A1184,INDEX(Market_Daily!$F$6:$F$256,MATCH($A1184,Market_Daily!$A$6:$A$256,0)),(INDEX(Market_Daily!$F$6:$F$256,MATCH($A1184,Market_Daily!$A$6:$A$256,0))*(1+INDEX(Market_Daily!$I$6:$I$256,MATCH($A1184,Market_Daily!$A$6:$A$256,0))*($M1184-$A1184)/day_count_inr)/(1+INDEX(Market_Daily!$J$6:$J$256,MATCH($A1184,Market_Daily!$A$6:$A$256,0))*($M1184-$A1184)/day_count_usd)))))</f>
        <v/>
      </c>
      <c r="AM1184" s="8">
        <f>IF(OR($J1184="INR",$R1184&gt;1),"",$AL1184-$X1184)</f>
        <v/>
      </c>
      <c r="AN1184" s="8">
        <f>$U1184</f>
        <v/>
      </c>
      <c r="AO1184" s="8">
        <f>$AN1184*IF($J1184="INR",1,$AL1184)</f>
        <v/>
      </c>
      <c r="AP1184" s="18">
        <f>$AO1184-$V1184</f>
        <v/>
      </c>
      <c r="AQ1184" s="8">
        <f>IF(ABS($AP1184)&lt;=tol_trade_inr,"PASS","FAIL")</f>
        <v/>
      </c>
    </row>
    <row r="1185">
      <c r="A1185" s="11" t="n">
        <v>44776</v>
      </c>
      <c r="B1185" s="7" t="inlineStr">
        <is>
          <t>T09</t>
        </is>
      </c>
      <c r="C1185" s="7" t="inlineStr">
        <is>
          <t>MCX:T09-MCX-1</t>
        </is>
      </c>
      <c r="D1185" s="7" t="inlineStr">
        <is>
          <t>MCX</t>
        </is>
      </c>
      <c r="E1185" s="7" t="inlineStr">
        <is>
          <t>mcx</t>
        </is>
      </c>
      <c r="H1185" s="7" t="inlineStr">
        <is>
          <t>tense</t>
        </is>
      </c>
      <c r="I1185" s="7" t="inlineStr">
        <is>
          <t>JEA_NSA</t>
        </is>
      </c>
      <c r="J1185" s="7" t="inlineStr">
        <is>
          <t>INR</t>
        </is>
      </c>
      <c r="K1185" s="7" t="inlineStr">
        <is>
          <t>partially_fixed</t>
        </is>
      </c>
      <c r="L1185" s="7" t="inlineStr">
        <is>
          <t>PNL</t>
        </is>
      </c>
      <c r="M1185" s="11" t="n">
        <v>44791</v>
      </c>
      <c r="N1185" s="13" t="n">
        <v>0</v>
      </c>
      <c r="O1185" s="6" t="n">
        <v>-157</v>
      </c>
      <c r="P1185" s="13" t="n">
        <v>0</v>
      </c>
      <c r="Q1185" s="22" t="n">
        <v>31</v>
      </c>
      <c r="R1185" s="6" t="n">
        <v>12</v>
      </c>
      <c r="U1185" s="9" t="n">
        <v>0</v>
      </c>
      <c r="V1185" s="9" t="n">
        <v>0</v>
      </c>
      <c r="X1185" s="9" t="n">
        <v>79.15389999999999</v>
      </c>
      <c r="AK1185" s="7" t="inlineStr">
        <is>
          <t>PYTHON_MULTI_FLOW_LEG</t>
        </is>
      </c>
      <c r="AL1185" s="8">
        <f>IF($J1185="INR",1,IF($M1185&lt;$A1185,INDEX(Market_Daily!$F$6:$F$256,MATCH($M1185,Market_Daily!$A$6:$A$256,1)),IF($M1185=$A1185,INDEX(Market_Daily!$F$6:$F$256,MATCH($A1185,Market_Daily!$A$6:$A$256,0)),(INDEX(Market_Daily!$F$6:$F$256,MATCH($A1185,Market_Daily!$A$6:$A$256,0))*(1+INDEX(Market_Daily!$I$6:$I$256,MATCH($A1185,Market_Daily!$A$6:$A$256,0))*($M1185-$A1185)/day_count_inr)/(1+INDEX(Market_Daily!$J$6:$J$256,MATCH($A1185,Market_Daily!$A$6:$A$256,0))*($M1185-$A1185)/day_count_usd)))))</f>
        <v/>
      </c>
      <c r="AM1185" s="8">
        <f>IF(OR($J1185="INR",$R1185&gt;1),"",$AL1185-$X1185)</f>
        <v/>
      </c>
      <c r="AN1185" s="8">
        <f>$U1185</f>
        <v/>
      </c>
      <c r="AO1185" s="8">
        <f>$V1185</f>
        <v/>
      </c>
      <c r="AP1185" s="18">
        <f>$AO1185-$V1185</f>
        <v/>
      </c>
      <c r="AQ1185" s="8">
        <f>IF(ABS($AP1185)&lt;=tol_trade_inr,"PASS","FAIL")</f>
        <v/>
      </c>
    </row>
    <row r="1186">
      <c r="A1186" s="11" t="n">
        <v>44776</v>
      </c>
      <c r="B1186" s="7" t="inlineStr">
        <is>
          <t>T09</t>
        </is>
      </c>
      <c r="C1186" s="7" t="inlineStr">
        <is>
          <t>PORT:L1</t>
        </is>
      </c>
      <c r="D1186" s="7" t="inlineStr">
        <is>
          <t>PORT</t>
        </is>
      </c>
      <c r="E1186" s="7" t="inlineStr">
        <is>
          <t>physical</t>
        </is>
      </c>
      <c r="F1186" s="7" t="inlineStr">
        <is>
          <t>L1</t>
        </is>
      </c>
      <c r="H1186" s="7" t="inlineStr">
        <is>
          <t>tense</t>
        </is>
      </c>
      <c r="I1186" s="7" t="inlineStr">
        <is>
          <t>JEA_NSA</t>
        </is>
      </c>
      <c r="J1186" s="7" t="inlineStr">
        <is>
          <t>INR</t>
        </is>
      </c>
      <c r="K1186" s="7" t="inlineStr">
        <is>
          <t>fixed_unsettled</t>
        </is>
      </c>
      <c r="L1186" s="7" t="inlineStr">
        <is>
          <t>PNL</t>
        </is>
      </c>
      <c r="M1186" s="11" t="n">
        <v>44805</v>
      </c>
      <c r="N1186" s="13" t="n">
        <v>0</v>
      </c>
      <c r="O1186" s="6" t="n">
        <v>0</v>
      </c>
      <c r="P1186" s="13" t="n">
        <v>0</v>
      </c>
      <c r="Q1186" s="22" t="n">
        <v>31</v>
      </c>
      <c r="R1186" s="6" t="n">
        <v>1</v>
      </c>
      <c r="U1186" s="9" t="n">
        <v>-960000</v>
      </c>
      <c r="V1186" s="9" t="n">
        <v>-960000</v>
      </c>
      <c r="X1186" s="9" t="n">
        <v>79.15389999999999</v>
      </c>
      <c r="AK1186" s="7" t="inlineStr">
        <is>
          <t>PYTHON_LIFECYCLE</t>
        </is>
      </c>
      <c r="AL1186" s="8">
        <f>IF($J1186="INR",1,IF($M1186&lt;$A1186,INDEX(Market_Daily!$F$6:$F$256,MATCH($M1186,Market_Daily!$A$6:$A$256,1)),IF($M1186=$A1186,INDEX(Market_Daily!$F$6:$F$256,MATCH($A1186,Market_Daily!$A$6:$A$256,0)),(INDEX(Market_Daily!$F$6:$F$256,MATCH($A1186,Market_Daily!$A$6:$A$256,0))*(1+INDEX(Market_Daily!$I$6:$I$256,MATCH($A1186,Market_Daily!$A$6:$A$256,0))*($M1186-$A1186)/day_count_inr)/(1+INDEX(Market_Daily!$J$6:$J$256,MATCH($A1186,Market_Daily!$A$6:$A$256,0))*($M1186-$A1186)/day_count_usd)))))</f>
        <v/>
      </c>
      <c r="AM1186" s="8">
        <f>IF(OR($J1186="INR",$R1186&gt;1),"",$AL1186-$X1186)</f>
        <v/>
      </c>
      <c r="AN1186" s="8">
        <f>$U1186</f>
        <v/>
      </c>
      <c r="AO1186" s="8">
        <f>$AN1186*IF($J1186="INR",1,$AL1186)</f>
        <v/>
      </c>
      <c r="AP1186" s="18">
        <f>$AO1186-$V1186</f>
        <v/>
      </c>
      <c r="AQ1186" s="8">
        <f>IF(ABS($AP1186)&lt;=tol_trade_inr,"PASS","FAIL")</f>
        <v/>
      </c>
    </row>
    <row r="1187">
      <c r="A1187" s="11" t="n">
        <v>44776</v>
      </c>
      <c r="B1187" s="7" t="inlineStr">
        <is>
          <t>T09</t>
        </is>
      </c>
      <c r="C1187" s="7" t="inlineStr">
        <is>
          <t>PORT:L2</t>
        </is>
      </c>
      <c r="D1187" s="7" t="inlineStr">
        <is>
          <t>PORT</t>
        </is>
      </c>
      <c r="E1187" s="7" t="inlineStr">
        <is>
          <t>physical</t>
        </is>
      </c>
      <c r="F1187" s="7" t="inlineStr">
        <is>
          <t>L2</t>
        </is>
      </c>
      <c r="H1187" s="7" t="inlineStr">
        <is>
          <t>tense</t>
        </is>
      </c>
      <c r="I1187" s="7" t="inlineStr">
        <is>
          <t>JEA_NSA</t>
        </is>
      </c>
      <c r="J1187" s="7" t="inlineStr">
        <is>
          <t>INR</t>
        </is>
      </c>
      <c r="K1187" s="7" t="inlineStr">
        <is>
          <t>fixed_unsettled</t>
        </is>
      </c>
      <c r="L1187" s="7" t="inlineStr">
        <is>
          <t>PNL</t>
        </is>
      </c>
      <c r="M1187" s="11" t="n">
        <v>44812</v>
      </c>
      <c r="N1187" s="13" t="n">
        <v>0</v>
      </c>
      <c r="O1187" s="6" t="n">
        <v>0</v>
      </c>
      <c r="P1187" s="13" t="n">
        <v>0</v>
      </c>
      <c r="Q1187" s="22" t="n">
        <v>31</v>
      </c>
      <c r="R1187" s="6" t="n">
        <v>1</v>
      </c>
      <c r="U1187" s="9" t="n">
        <v>-960000</v>
      </c>
      <c r="V1187" s="9" t="n">
        <v>-960000</v>
      </c>
      <c r="X1187" s="9" t="n">
        <v>79.15389999999999</v>
      </c>
      <c r="AK1187" s="7" t="inlineStr">
        <is>
          <t>PYTHON_LIFECYCLE</t>
        </is>
      </c>
      <c r="AL1187" s="8">
        <f>IF($J1187="INR",1,IF($M1187&lt;$A1187,INDEX(Market_Daily!$F$6:$F$256,MATCH($M1187,Market_Daily!$A$6:$A$256,1)),IF($M1187=$A1187,INDEX(Market_Daily!$F$6:$F$256,MATCH($A1187,Market_Daily!$A$6:$A$256,0)),(INDEX(Market_Daily!$F$6:$F$256,MATCH($A1187,Market_Daily!$A$6:$A$256,0))*(1+INDEX(Market_Daily!$I$6:$I$256,MATCH($A1187,Market_Daily!$A$6:$A$256,0))*($M1187-$A1187)/day_count_inr)/(1+INDEX(Market_Daily!$J$6:$J$256,MATCH($A1187,Market_Daily!$A$6:$A$256,0))*($M1187-$A1187)/day_count_usd)))))</f>
        <v/>
      </c>
      <c r="AM1187" s="8">
        <f>IF(OR($J1187="INR",$R1187&gt;1),"",$AL1187-$X1187)</f>
        <v/>
      </c>
      <c r="AN1187" s="8">
        <f>$U1187</f>
        <v/>
      </c>
      <c r="AO1187" s="8">
        <f>$AN1187*IF($J1187="INR",1,$AL1187)</f>
        <v/>
      </c>
      <c r="AP1187" s="18">
        <f>$AO1187-$V1187</f>
        <v/>
      </c>
      <c r="AQ1187" s="8">
        <f>IF(ABS($AP1187)&lt;=tol_trade_inr,"PASS","FAIL")</f>
        <v/>
      </c>
    </row>
    <row r="1188">
      <c r="A1188" s="11" t="n">
        <v>44776</v>
      </c>
      <c r="B1188" s="7" t="inlineStr">
        <is>
          <t>T09</t>
        </is>
      </c>
      <c r="C1188" s="7" t="inlineStr">
        <is>
          <t>PSIC:L1</t>
        </is>
      </c>
      <c r="D1188" s="7" t="inlineStr">
        <is>
          <t>PSIC</t>
        </is>
      </c>
      <c r="E1188" s="7" t="inlineStr">
        <is>
          <t>physical</t>
        </is>
      </c>
      <c r="F1188" s="7" t="inlineStr">
        <is>
          <t>L1</t>
        </is>
      </c>
      <c r="H1188" s="7" t="inlineStr">
        <is>
          <t>tense</t>
        </is>
      </c>
      <c r="I1188" s="7" t="inlineStr">
        <is>
          <t>JEA_NSA</t>
        </is>
      </c>
      <c r="J1188" s="7" t="inlineStr">
        <is>
          <t>USD</t>
        </is>
      </c>
      <c r="K1188" s="7" t="inlineStr">
        <is>
          <t>floating</t>
        </is>
      </c>
      <c r="L1188" s="7" t="inlineStr">
        <is>
          <t>PNL</t>
        </is>
      </c>
      <c r="M1188" s="11" t="n">
        <v>44790</v>
      </c>
      <c r="N1188" s="13" t="n">
        <v>0</v>
      </c>
      <c r="O1188" s="6" t="n">
        <v>0</v>
      </c>
      <c r="P1188" s="13" t="n">
        <v>0</v>
      </c>
      <c r="Q1188" s="22" t="n">
        <v>31</v>
      </c>
      <c r="R1188" s="6" t="n">
        <v>1</v>
      </c>
      <c r="U1188" s="9" t="n">
        <v>-960</v>
      </c>
      <c r="V1188" s="9" t="n">
        <v>-76064.99000000001</v>
      </c>
      <c r="X1188" s="9" t="n">
        <v>79.23439999999999</v>
      </c>
      <c r="AK1188" s="7" t="inlineStr">
        <is>
          <t>PYTHON_LIFECYCLE</t>
        </is>
      </c>
      <c r="AL1188" s="8">
        <f>IF($J1188="INR",1,IF($M1188&lt;$A1188,INDEX(Market_Daily!$F$6:$F$256,MATCH($M1188,Market_Daily!$A$6:$A$256,1)),IF($M1188=$A1188,INDEX(Market_Daily!$F$6:$F$256,MATCH($A1188,Market_Daily!$A$6:$A$256,0)),(INDEX(Market_Daily!$F$6:$F$256,MATCH($A1188,Market_Daily!$A$6:$A$256,0))*(1+INDEX(Market_Daily!$I$6:$I$256,MATCH($A1188,Market_Daily!$A$6:$A$256,0))*($M1188-$A1188)/day_count_inr)/(1+INDEX(Market_Daily!$J$6:$J$256,MATCH($A1188,Market_Daily!$A$6:$A$256,0))*($M1188-$A1188)/day_count_usd)))))</f>
        <v/>
      </c>
      <c r="AM1188" s="8">
        <f>IF(OR($J1188="INR",$R1188&gt;1),"",$AL1188-$X1188)</f>
        <v/>
      </c>
      <c r="AN1188" s="8">
        <f>$U1188</f>
        <v/>
      </c>
      <c r="AO1188" s="8">
        <f>$AN1188*IF($J1188="INR",1,$AL1188)</f>
        <v/>
      </c>
      <c r="AP1188" s="18">
        <f>$AO1188-$V1188</f>
        <v/>
      </c>
      <c r="AQ1188" s="8">
        <f>IF(ABS($AP1188)&lt;=tol_trade_inr,"PASS","FAIL")</f>
        <v/>
      </c>
    </row>
    <row r="1189">
      <c r="A1189" s="11" t="n">
        <v>44776</v>
      </c>
      <c r="B1189" s="7" t="inlineStr">
        <is>
          <t>T09</t>
        </is>
      </c>
      <c r="C1189" s="7" t="inlineStr">
        <is>
          <t>PSIC:L2</t>
        </is>
      </c>
      <c r="D1189" s="7" t="inlineStr">
        <is>
          <t>PSIC</t>
        </is>
      </c>
      <c r="E1189" s="7" t="inlineStr">
        <is>
          <t>physical</t>
        </is>
      </c>
      <c r="F1189" s="7" t="inlineStr">
        <is>
          <t>L2</t>
        </is>
      </c>
      <c r="H1189" s="7" t="inlineStr">
        <is>
          <t>tense</t>
        </is>
      </c>
      <c r="I1189" s="7" t="inlineStr">
        <is>
          <t>JEA_NSA</t>
        </is>
      </c>
      <c r="J1189" s="7" t="inlineStr">
        <is>
          <t>USD</t>
        </is>
      </c>
      <c r="K1189" s="7" t="inlineStr">
        <is>
          <t>floating</t>
        </is>
      </c>
      <c r="L1189" s="7" t="inlineStr">
        <is>
          <t>PNL</t>
        </is>
      </c>
      <c r="M1189" s="11" t="n">
        <v>44797</v>
      </c>
      <c r="N1189" s="13" t="n">
        <v>0</v>
      </c>
      <c r="O1189" s="6" t="n">
        <v>0</v>
      </c>
      <c r="P1189" s="13" t="n">
        <v>0</v>
      </c>
      <c r="Q1189" s="22" t="n">
        <v>31</v>
      </c>
      <c r="R1189" s="6" t="n">
        <v>1</v>
      </c>
      <c r="U1189" s="9" t="n">
        <v>-960</v>
      </c>
      <c r="V1189" s="9" t="n">
        <v>-76103.56</v>
      </c>
      <c r="X1189" s="9" t="n">
        <v>79.2745</v>
      </c>
      <c r="AK1189" s="7" t="inlineStr">
        <is>
          <t>PYTHON_LIFECYCLE</t>
        </is>
      </c>
      <c r="AL1189" s="8">
        <f>IF($J1189="INR",1,IF($M1189&lt;$A1189,INDEX(Market_Daily!$F$6:$F$256,MATCH($M1189,Market_Daily!$A$6:$A$256,1)),IF($M1189=$A1189,INDEX(Market_Daily!$F$6:$F$256,MATCH($A1189,Market_Daily!$A$6:$A$256,0)),(INDEX(Market_Daily!$F$6:$F$256,MATCH($A1189,Market_Daily!$A$6:$A$256,0))*(1+INDEX(Market_Daily!$I$6:$I$256,MATCH($A1189,Market_Daily!$A$6:$A$256,0))*($M1189-$A1189)/day_count_inr)/(1+INDEX(Market_Daily!$J$6:$J$256,MATCH($A1189,Market_Daily!$A$6:$A$256,0))*($M1189-$A1189)/day_count_usd)))))</f>
        <v/>
      </c>
      <c r="AM1189" s="8">
        <f>IF(OR($J1189="INR",$R1189&gt;1),"",$AL1189-$X1189)</f>
        <v/>
      </c>
      <c r="AN1189" s="8">
        <f>$U1189</f>
        <v/>
      </c>
      <c r="AO1189" s="8">
        <f>$AN1189*IF($J1189="INR",1,$AL1189)</f>
        <v/>
      </c>
      <c r="AP1189" s="18">
        <f>$AO1189-$V1189</f>
        <v/>
      </c>
      <c r="AQ1189" s="8">
        <f>IF(ABS($AP1189)&lt;=tol_trade_inr,"PASS","FAIL")</f>
        <v/>
      </c>
    </row>
    <row r="1190">
      <c r="A1190" s="11" t="n">
        <v>44776</v>
      </c>
      <c r="B1190" s="7" t="inlineStr">
        <is>
          <t>T09</t>
        </is>
      </c>
      <c r="C1190" s="7" t="inlineStr">
        <is>
          <t>PURCHASE:L1</t>
        </is>
      </c>
      <c r="D1190" s="7" t="inlineStr">
        <is>
          <t>PURCHASE</t>
        </is>
      </c>
      <c r="E1190" s="7" t="inlineStr">
        <is>
          <t>physical</t>
        </is>
      </c>
      <c r="F1190" s="7" t="inlineStr">
        <is>
          <t>L1</t>
        </is>
      </c>
      <c r="G1190" s="7" t="inlineStr">
        <is>
          <t>SUP_JEA_01</t>
        </is>
      </c>
      <c r="H1190" s="7" t="inlineStr">
        <is>
          <t>tense</t>
        </is>
      </c>
      <c r="I1190" s="7" t="inlineStr">
        <is>
          <t>JEA_NSA</t>
        </is>
      </c>
      <c r="J1190" s="7" t="inlineStr">
        <is>
          <t>USD</t>
        </is>
      </c>
      <c r="K1190" s="7" t="inlineStr">
        <is>
          <t>fixed_unsettled</t>
        </is>
      </c>
      <c r="L1190" s="7" t="inlineStr">
        <is>
          <t>PNL</t>
        </is>
      </c>
      <c r="M1190" s="11" t="n">
        <v>44851</v>
      </c>
      <c r="N1190" s="13" t="n">
        <v>600</v>
      </c>
      <c r="O1190" s="6" t="n">
        <v>0</v>
      </c>
      <c r="P1190" s="13" t="n">
        <v>0</v>
      </c>
      <c r="Q1190" s="22" t="n">
        <v>31</v>
      </c>
      <c r="R1190" s="6" t="n">
        <v>1</v>
      </c>
      <c r="U1190" s="9" t="n">
        <v>-1096200</v>
      </c>
      <c r="V1190" s="9" t="n">
        <v>-87239067.39</v>
      </c>
      <c r="X1190" s="9" t="n">
        <v>79.58320000000001</v>
      </c>
      <c r="AK1190" s="7" t="inlineStr">
        <is>
          <t>PYTHON_LIFECYCLE</t>
        </is>
      </c>
      <c r="AL1190" s="8">
        <f>IF($J1190="INR",1,IF($M1190&lt;$A1190,INDEX(Market_Daily!$F$6:$F$256,MATCH($M1190,Market_Daily!$A$6:$A$256,1)),IF($M1190=$A1190,INDEX(Market_Daily!$F$6:$F$256,MATCH($A1190,Market_Daily!$A$6:$A$256,0)),(INDEX(Market_Daily!$F$6:$F$256,MATCH($A1190,Market_Daily!$A$6:$A$256,0))*(1+INDEX(Market_Daily!$I$6:$I$256,MATCH($A1190,Market_Daily!$A$6:$A$256,0))*($M1190-$A1190)/day_count_inr)/(1+INDEX(Market_Daily!$J$6:$J$256,MATCH($A1190,Market_Daily!$A$6:$A$256,0))*($M1190-$A1190)/day_count_usd)))))</f>
        <v/>
      </c>
      <c r="AM1190" s="8">
        <f>IF(OR($J1190="INR",$R1190&gt;1),"",$AL1190-$X1190)</f>
        <v/>
      </c>
      <c r="AN1190" s="8">
        <f>$U1190</f>
        <v/>
      </c>
      <c r="AO1190" s="8">
        <f>$AN1190*IF($J1190="INR",1,$AL1190)</f>
        <v/>
      </c>
      <c r="AP1190" s="18">
        <f>$AO1190-$V1190</f>
        <v/>
      </c>
      <c r="AQ1190" s="8">
        <f>IF(ABS($AP1190)&lt;=tol_trade_inr,"PASS","FAIL")</f>
        <v/>
      </c>
    </row>
    <row r="1191">
      <c r="A1191" s="11" t="n">
        <v>44776</v>
      </c>
      <c r="B1191" s="7" t="inlineStr">
        <is>
          <t>T09</t>
        </is>
      </c>
      <c r="C1191" s="7" t="inlineStr">
        <is>
          <t>PURCHASE:L2</t>
        </is>
      </c>
      <c r="D1191" s="7" t="inlineStr">
        <is>
          <t>PURCHASE</t>
        </is>
      </c>
      <c r="E1191" s="7" t="inlineStr">
        <is>
          <t>physical</t>
        </is>
      </c>
      <c r="F1191" s="7" t="inlineStr">
        <is>
          <t>L2</t>
        </is>
      </c>
      <c r="G1191" s="7" t="inlineStr">
        <is>
          <t>SUP_JEA_01</t>
        </is>
      </c>
      <c r="H1191" s="7" t="inlineStr">
        <is>
          <t>tense</t>
        </is>
      </c>
      <c r="I1191" s="7" t="inlineStr">
        <is>
          <t>JEA_NSA</t>
        </is>
      </c>
      <c r="J1191" s="7" t="inlineStr">
        <is>
          <t>USD</t>
        </is>
      </c>
      <c r="K1191" s="7" t="inlineStr">
        <is>
          <t>fixed_unsettled</t>
        </is>
      </c>
      <c r="L1191" s="7" t="inlineStr">
        <is>
          <t>PNL</t>
        </is>
      </c>
      <c r="M1191" s="11" t="n">
        <v>44858</v>
      </c>
      <c r="N1191" s="13" t="n">
        <v>600</v>
      </c>
      <c r="O1191" s="6" t="n">
        <v>0</v>
      </c>
      <c r="P1191" s="13" t="n">
        <v>0</v>
      </c>
      <c r="Q1191" s="22" t="n">
        <v>31</v>
      </c>
      <c r="R1191" s="6" t="n">
        <v>1</v>
      </c>
      <c r="U1191" s="9" t="n">
        <v>-1096200</v>
      </c>
      <c r="V1191" s="9" t="n">
        <v>-87282742.20999999</v>
      </c>
      <c r="X1191" s="9" t="n">
        <v>79.623</v>
      </c>
      <c r="AK1191" s="7" t="inlineStr">
        <is>
          <t>PYTHON_LIFECYCLE</t>
        </is>
      </c>
      <c r="AL1191" s="8">
        <f>IF($J1191="INR",1,IF($M1191&lt;$A1191,INDEX(Market_Daily!$F$6:$F$256,MATCH($M1191,Market_Daily!$A$6:$A$256,1)),IF($M1191=$A1191,INDEX(Market_Daily!$F$6:$F$256,MATCH($A1191,Market_Daily!$A$6:$A$256,0)),(INDEX(Market_Daily!$F$6:$F$256,MATCH($A1191,Market_Daily!$A$6:$A$256,0))*(1+INDEX(Market_Daily!$I$6:$I$256,MATCH($A1191,Market_Daily!$A$6:$A$256,0))*($M1191-$A1191)/day_count_inr)/(1+INDEX(Market_Daily!$J$6:$J$256,MATCH($A1191,Market_Daily!$A$6:$A$256,0))*($M1191-$A1191)/day_count_usd)))))</f>
        <v/>
      </c>
      <c r="AM1191" s="8">
        <f>IF(OR($J1191="INR",$R1191&gt;1),"",$AL1191-$X1191)</f>
        <v/>
      </c>
      <c r="AN1191" s="8">
        <f>$U1191</f>
        <v/>
      </c>
      <c r="AO1191" s="8">
        <f>$AN1191*IF($J1191="INR",1,$AL1191)</f>
        <v/>
      </c>
      <c r="AP1191" s="18">
        <f>$AO1191-$V1191</f>
        <v/>
      </c>
      <c r="AQ1191" s="8">
        <f>IF(ABS($AP1191)&lt;=tol_trade_inr,"PASS","FAIL")</f>
        <v/>
      </c>
    </row>
    <row r="1192">
      <c r="A1192" s="11" t="n">
        <v>44776</v>
      </c>
      <c r="B1192" s="7" t="inlineStr">
        <is>
          <t>T09</t>
        </is>
      </c>
      <c r="C1192" s="7" t="inlineStr">
        <is>
          <t>USANCE_INTEREST:L1</t>
        </is>
      </c>
      <c r="D1192" s="7" t="inlineStr">
        <is>
          <t>USANCE_INTEREST</t>
        </is>
      </c>
      <c r="E1192" s="7" t="inlineStr">
        <is>
          <t>physical</t>
        </is>
      </c>
      <c r="F1192" s="7" t="inlineStr">
        <is>
          <t>L1</t>
        </is>
      </c>
      <c r="H1192" s="7" t="inlineStr">
        <is>
          <t>tense</t>
        </is>
      </c>
      <c r="I1192" s="7" t="inlineStr">
        <is>
          <t>JEA_NSA</t>
        </is>
      </c>
      <c r="J1192" s="7" t="inlineStr">
        <is>
          <t>USD</t>
        </is>
      </c>
      <c r="K1192" s="7" t="inlineStr">
        <is>
          <t>floating</t>
        </is>
      </c>
      <c r="L1192" s="7" t="inlineStr">
        <is>
          <t>PNL</t>
        </is>
      </c>
      <c r="M1192" s="11" t="n">
        <v>44851</v>
      </c>
      <c r="N1192" s="13" t="n">
        <v>0</v>
      </c>
      <c r="O1192" s="6" t="n">
        <v>0</v>
      </c>
      <c r="P1192" s="13" t="n">
        <v>0</v>
      </c>
      <c r="Q1192" s="22" t="n">
        <v>31</v>
      </c>
      <c r="R1192" s="6" t="n">
        <v>1</v>
      </c>
      <c r="U1192" s="9" t="n">
        <v>-7227.43</v>
      </c>
      <c r="V1192" s="9" t="n">
        <v>-575181.71</v>
      </c>
      <c r="X1192" s="9" t="n">
        <v>79.58320000000001</v>
      </c>
      <c r="AK1192" s="7" t="inlineStr">
        <is>
          <t>PYTHON_LIFECYCLE</t>
        </is>
      </c>
      <c r="AL1192" s="8">
        <f>IF($J1192="INR",1,IF($M1192&lt;$A1192,INDEX(Market_Daily!$F$6:$F$256,MATCH($M1192,Market_Daily!$A$6:$A$256,1)),IF($M1192=$A1192,INDEX(Market_Daily!$F$6:$F$256,MATCH($A1192,Market_Daily!$A$6:$A$256,0)),(INDEX(Market_Daily!$F$6:$F$256,MATCH($A1192,Market_Daily!$A$6:$A$256,0))*(1+INDEX(Market_Daily!$I$6:$I$256,MATCH($A1192,Market_Daily!$A$6:$A$256,0))*($M1192-$A1192)/day_count_inr)/(1+INDEX(Market_Daily!$J$6:$J$256,MATCH($A1192,Market_Daily!$A$6:$A$256,0))*($M1192-$A1192)/day_count_usd)))))</f>
        <v/>
      </c>
      <c r="AM1192" s="8">
        <f>IF(OR($J1192="INR",$R1192&gt;1),"",$AL1192-$X1192)</f>
        <v/>
      </c>
      <c r="AN1192" s="8">
        <f>$U1192</f>
        <v/>
      </c>
      <c r="AO1192" s="8">
        <f>$AN1192*IF($J1192="INR",1,$AL1192)</f>
        <v/>
      </c>
      <c r="AP1192" s="18">
        <f>$AO1192-$V1192</f>
        <v/>
      </c>
      <c r="AQ1192" s="8">
        <f>IF(ABS($AP1192)&lt;=tol_trade_inr,"PASS","FAIL")</f>
        <v/>
      </c>
    </row>
    <row r="1193">
      <c r="A1193" s="11" t="n">
        <v>44776</v>
      </c>
      <c r="B1193" s="7" t="inlineStr">
        <is>
          <t>T09</t>
        </is>
      </c>
      <c r="C1193" s="7" t="inlineStr">
        <is>
          <t>USANCE_INTEREST:L2</t>
        </is>
      </c>
      <c r="D1193" s="7" t="inlineStr">
        <is>
          <t>USANCE_INTEREST</t>
        </is>
      </c>
      <c r="E1193" s="7" t="inlineStr">
        <is>
          <t>physical</t>
        </is>
      </c>
      <c r="F1193" s="7" t="inlineStr">
        <is>
          <t>L2</t>
        </is>
      </c>
      <c r="H1193" s="7" t="inlineStr">
        <is>
          <t>tense</t>
        </is>
      </c>
      <c r="I1193" s="7" t="inlineStr">
        <is>
          <t>JEA_NSA</t>
        </is>
      </c>
      <c r="J1193" s="7" t="inlineStr">
        <is>
          <t>USD</t>
        </is>
      </c>
      <c r="K1193" s="7" t="inlineStr">
        <is>
          <t>floating</t>
        </is>
      </c>
      <c r="L1193" s="7" t="inlineStr">
        <is>
          <t>PNL</t>
        </is>
      </c>
      <c r="M1193" s="11" t="n">
        <v>44858</v>
      </c>
      <c r="N1193" s="13" t="n">
        <v>0</v>
      </c>
      <c r="O1193" s="6" t="n">
        <v>0</v>
      </c>
      <c r="P1193" s="13" t="n">
        <v>0</v>
      </c>
      <c r="Q1193" s="22" t="n">
        <v>31</v>
      </c>
      <c r="R1193" s="6" t="n">
        <v>1</v>
      </c>
      <c r="U1193" s="9" t="n">
        <v>-7227.43</v>
      </c>
      <c r="V1193" s="9" t="n">
        <v>-575469.67</v>
      </c>
      <c r="X1193" s="9" t="n">
        <v>79.623</v>
      </c>
      <c r="AK1193" s="7" t="inlineStr">
        <is>
          <t>PYTHON_LIFECYCLE</t>
        </is>
      </c>
      <c r="AL1193" s="8">
        <f>IF($J1193="INR",1,IF($M1193&lt;$A1193,INDEX(Market_Daily!$F$6:$F$256,MATCH($M1193,Market_Daily!$A$6:$A$256,1)),IF($M1193=$A1193,INDEX(Market_Daily!$F$6:$F$256,MATCH($A1193,Market_Daily!$A$6:$A$256,0)),(INDEX(Market_Daily!$F$6:$F$256,MATCH($A1193,Market_Daily!$A$6:$A$256,0))*(1+INDEX(Market_Daily!$I$6:$I$256,MATCH($A1193,Market_Daily!$A$6:$A$256,0))*($M1193-$A1193)/day_count_inr)/(1+INDEX(Market_Daily!$J$6:$J$256,MATCH($A1193,Market_Daily!$A$6:$A$256,0))*($M1193-$A1193)/day_count_usd)))))</f>
        <v/>
      </c>
      <c r="AM1193" s="8">
        <f>IF(OR($J1193="INR",$R1193&gt;1),"",$AL1193-$X1193)</f>
        <v/>
      </c>
      <c r="AN1193" s="8">
        <f>$U1193</f>
        <v/>
      </c>
      <c r="AO1193" s="8">
        <f>$AN1193*IF($J1193="INR",1,$AL1193)</f>
        <v/>
      </c>
      <c r="AP1193" s="18">
        <f>$AO1193-$V1193</f>
        <v/>
      </c>
      <c r="AQ1193" s="8">
        <f>IF(ABS($AP1193)&lt;=tol_trade_inr,"PASS","FAIL")</f>
        <v/>
      </c>
    </row>
    <row r="1194">
      <c r="A1194" s="11" t="n">
        <v>44804</v>
      </c>
      <c r="B1194" s="7" t="inlineStr">
        <is>
          <t>T07</t>
        </is>
      </c>
      <c r="C1194" s="7" t="inlineStr">
        <is>
          <t>IGST:L1</t>
        </is>
      </c>
      <c r="D1194" s="7" t="inlineStr">
        <is>
          <t>IGST</t>
        </is>
      </c>
      <c r="E1194" s="7" t="inlineStr">
        <is>
          <t>physical</t>
        </is>
      </c>
      <c r="F1194" s="7" t="inlineStr">
        <is>
          <t>L1</t>
        </is>
      </c>
      <c r="H1194" s="7" t="inlineStr">
        <is>
          <t>tense</t>
        </is>
      </c>
      <c r="I1194" s="7" t="inlineStr">
        <is>
          <t>USEC_MUN</t>
        </is>
      </c>
      <c r="J1194" s="7" t="inlineStr">
        <is>
          <t>INR</t>
        </is>
      </c>
      <c r="K1194" s="7" t="inlineStr">
        <is>
          <t>fixed_unsettled</t>
        </is>
      </c>
      <c r="L1194" s="7" t="inlineStr">
        <is>
          <t>BS</t>
        </is>
      </c>
      <c r="M1194" s="11" t="n">
        <v>44806</v>
      </c>
      <c r="N1194" s="13" t="n">
        <v>0</v>
      </c>
      <c r="O1194" s="6" t="n">
        <v>0</v>
      </c>
      <c r="P1194" s="13" t="n">
        <v>0</v>
      </c>
      <c r="Q1194" s="22" t="n">
        <v>30</v>
      </c>
      <c r="R1194" s="6" t="n">
        <v>2</v>
      </c>
      <c r="U1194" s="9" t="n">
        <v>0</v>
      </c>
      <c r="V1194" s="9" t="n">
        <v>0</v>
      </c>
      <c r="X1194" s="9" t="n">
        <v>79.54649999999999</v>
      </c>
      <c r="AK1194" s="7" t="inlineStr">
        <is>
          <t>PYTHON_MULTI_FLOW_LEG</t>
        </is>
      </c>
      <c r="AL1194" s="8">
        <f>IF($J1194="INR",1,IF($M1194&lt;$A1194,INDEX(Market_Daily!$F$6:$F$256,MATCH($M1194,Market_Daily!$A$6:$A$256,1)),IF($M1194=$A1194,INDEX(Market_Daily!$F$6:$F$256,MATCH($A1194,Market_Daily!$A$6:$A$256,0)),(INDEX(Market_Daily!$F$6:$F$256,MATCH($A1194,Market_Daily!$A$6:$A$256,0))*(1+INDEX(Market_Daily!$I$6:$I$256,MATCH($A1194,Market_Daily!$A$6:$A$256,0))*($M1194-$A1194)/day_count_inr)/(1+INDEX(Market_Daily!$J$6:$J$256,MATCH($A1194,Market_Daily!$A$6:$A$256,0))*($M1194-$A1194)/day_count_usd)))))</f>
        <v/>
      </c>
      <c r="AM1194" s="8">
        <f>IF(OR($J1194="INR",$R1194&gt;1),"",$AL1194-$X1194)</f>
        <v/>
      </c>
      <c r="AN1194" s="8">
        <f>$U1194</f>
        <v/>
      </c>
      <c r="AO1194" s="8">
        <f>$V1194</f>
        <v/>
      </c>
      <c r="AP1194" s="18">
        <f>$AO1194-$V1194</f>
        <v/>
      </c>
      <c r="AQ1194" s="8">
        <f>IF(ABS($AP1194)&lt;=tol_trade_inr,"PASS","FAIL")</f>
        <v/>
      </c>
    </row>
    <row r="1195">
      <c r="A1195" s="11" t="n">
        <v>44804</v>
      </c>
      <c r="B1195" s="7" t="inlineStr">
        <is>
          <t>T07</t>
        </is>
      </c>
      <c r="C1195" s="7" t="inlineStr">
        <is>
          <t>IGST:L2</t>
        </is>
      </c>
      <c r="D1195" s="7" t="inlineStr">
        <is>
          <t>IGST</t>
        </is>
      </c>
      <c r="E1195" s="7" t="inlineStr">
        <is>
          <t>physical</t>
        </is>
      </c>
      <c r="F1195" s="7" t="inlineStr">
        <is>
          <t>L2</t>
        </is>
      </c>
      <c r="H1195" s="7" t="inlineStr">
        <is>
          <t>tense</t>
        </is>
      </c>
      <c r="I1195" s="7" t="inlineStr">
        <is>
          <t>USEC_MUN</t>
        </is>
      </c>
      <c r="J1195" s="7" t="inlineStr">
        <is>
          <t>INR</t>
        </is>
      </c>
      <c r="K1195" s="7" t="inlineStr">
        <is>
          <t>fixed_unsettled</t>
        </is>
      </c>
      <c r="L1195" s="7" t="inlineStr">
        <is>
          <t>BS</t>
        </is>
      </c>
      <c r="M1195" s="11" t="n">
        <v>44813</v>
      </c>
      <c r="N1195" s="13" t="n">
        <v>0</v>
      </c>
      <c r="O1195" s="6" t="n">
        <v>0</v>
      </c>
      <c r="P1195" s="13" t="n">
        <v>0</v>
      </c>
      <c r="Q1195" s="22" t="n">
        <v>30</v>
      </c>
      <c r="R1195" s="6" t="n">
        <v>2</v>
      </c>
      <c r="U1195" s="9" t="n">
        <v>0</v>
      </c>
      <c r="V1195" s="9" t="n">
        <v>0</v>
      </c>
      <c r="X1195" s="9" t="n">
        <v>79.54649999999999</v>
      </c>
      <c r="AK1195" s="7" t="inlineStr">
        <is>
          <t>PYTHON_MULTI_FLOW_LEG</t>
        </is>
      </c>
      <c r="AL1195" s="8">
        <f>IF($J1195="INR",1,IF($M1195&lt;$A1195,INDEX(Market_Daily!$F$6:$F$256,MATCH($M1195,Market_Daily!$A$6:$A$256,1)),IF($M1195=$A1195,INDEX(Market_Daily!$F$6:$F$256,MATCH($A1195,Market_Daily!$A$6:$A$256,0)),(INDEX(Market_Daily!$F$6:$F$256,MATCH($A1195,Market_Daily!$A$6:$A$256,0))*(1+INDEX(Market_Daily!$I$6:$I$256,MATCH($A1195,Market_Daily!$A$6:$A$256,0))*($M1195-$A1195)/day_count_inr)/(1+INDEX(Market_Daily!$J$6:$J$256,MATCH($A1195,Market_Daily!$A$6:$A$256,0))*($M1195-$A1195)/day_count_usd)))))</f>
        <v/>
      </c>
      <c r="AM1195" s="8">
        <f>IF(OR($J1195="INR",$R1195&gt;1),"",$AL1195-$X1195)</f>
        <v/>
      </c>
      <c r="AN1195" s="8">
        <f>$U1195</f>
        <v/>
      </c>
      <c r="AO1195" s="8">
        <f>$V1195</f>
        <v/>
      </c>
      <c r="AP1195" s="18">
        <f>$AO1195-$V1195</f>
        <v/>
      </c>
      <c r="AQ1195" s="8">
        <f>IF(ABS($AP1195)&lt;=tol_trade_inr,"PASS","FAIL")</f>
        <v/>
      </c>
    </row>
    <row r="1196">
      <c r="A1196" s="11" t="n">
        <v>44804</v>
      </c>
      <c r="B1196" s="7" t="inlineStr">
        <is>
          <t>T07</t>
        </is>
      </c>
      <c r="C1196" s="7" t="inlineStr">
        <is>
          <t>SALE:S1</t>
        </is>
      </c>
      <c r="D1196" s="7" t="inlineStr">
        <is>
          <t>SALE</t>
        </is>
      </c>
      <c r="E1196" s="7" t="inlineStr">
        <is>
          <t>physical</t>
        </is>
      </c>
      <c r="G1196" s="7" t="inlineStr">
        <is>
          <t>BUY_RJK_01</t>
        </is>
      </c>
      <c r="H1196" s="7" t="inlineStr">
        <is>
          <t>tense</t>
        </is>
      </c>
      <c r="I1196" s="7" t="inlineStr">
        <is>
          <t>USEC_MUN</t>
        </is>
      </c>
      <c r="J1196" s="7" t="inlineStr">
        <is>
          <t>INR</t>
        </is>
      </c>
      <c r="K1196" s="7" t="inlineStr">
        <is>
          <t>fixed_unsettled</t>
        </is>
      </c>
      <c r="L1196" s="7" t="inlineStr">
        <is>
          <t>PNL</t>
        </is>
      </c>
      <c r="M1196" s="11" t="n">
        <v>44819</v>
      </c>
      <c r="N1196" s="13" t="n">
        <v>3766.77</v>
      </c>
      <c r="O1196" s="6" t="n">
        <v>0</v>
      </c>
      <c r="P1196" s="13" t="n">
        <v>0</v>
      </c>
      <c r="Q1196" s="22" t="n">
        <v>30</v>
      </c>
      <c r="R1196" s="6" t="n">
        <v>2</v>
      </c>
      <c r="U1196" s="9" t="n">
        <v>89239103.02</v>
      </c>
      <c r="V1196" s="9" t="n">
        <v>89239103.02</v>
      </c>
      <c r="W1196" s="9" t="n">
        <v>165750</v>
      </c>
      <c r="X1196" s="9" t="n">
        <v>79.54649999999999</v>
      </c>
      <c r="AK1196" s="7" t="inlineStr">
        <is>
          <t>PYTHON_MULTI_FLOW_LEG</t>
        </is>
      </c>
      <c r="AL1196" s="8">
        <f>IF($J1196="INR",1,IF($M1196&lt;$A1196,INDEX(Market_Daily!$F$6:$F$256,MATCH($M1196,Market_Daily!$A$6:$A$256,1)),IF($M1196=$A1196,INDEX(Market_Daily!$F$6:$F$256,MATCH($A1196,Market_Daily!$A$6:$A$256,0)),(INDEX(Market_Daily!$F$6:$F$256,MATCH($A1196,Market_Daily!$A$6:$A$256,0))*(1+INDEX(Market_Daily!$I$6:$I$256,MATCH($A1196,Market_Daily!$A$6:$A$256,0))*($M1196-$A1196)/day_count_inr)/(1+INDEX(Market_Daily!$J$6:$J$256,MATCH($A1196,Market_Daily!$A$6:$A$256,0))*($M1196-$A1196)/day_count_usd)))))</f>
        <v/>
      </c>
      <c r="AM1196" s="8">
        <f>IF(OR($J1196="INR",$R1196&gt;1),"",$AL1196-$X1196)</f>
        <v/>
      </c>
      <c r="AN1196" s="8">
        <f>$U1196</f>
        <v/>
      </c>
      <c r="AO1196" s="8">
        <f>$V1196</f>
        <v/>
      </c>
      <c r="AP1196" s="18">
        <f>$AO1196-$V1196</f>
        <v/>
      </c>
      <c r="AQ1196" s="8">
        <f>IF(ABS($AP1196)&lt;=tol_trade_inr,"PASS","FAIL")</f>
        <v/>
      </c>
    </row>
    <row r="1197">
      <c r="A1197" s="11" t="n">
        <v>44804</v>
      </c>
      <c r="B1197" s="7" t="inlineStr">
        <is>
          <t>T08</t>
        </is>
      </c>
      <c r="C1197" s="7" t="inlineStr">
        <is>
          <t>CLAIM:L2</t>
        </is>
      </c>
      <c r="D1197" s="7" t="inlineStr">
        <is>
          <t>CLAIM</t>
        </is>
      </c>
      <c r="E1197" s="7" t="inlineStr">
        <is>
          <t>physical</t>
        </is>
      </c>
      <c r="F1197" s="7" t="inlineStr">
        <is>
          <t>L2</t>
        </is>
      </c>
      <c r="G1197" s="7" t="inlineStr">
        <is>
          <t>SUP_USEC_02</t>
        </is>
      </c>
      <c r="H1197" s="7" t="inlineStr">
        <is>
          <t>tense</t>
        </is>
      </c>
      <c r="I1197" s="7" t="inlineStr">
        <is>
          <t>USEC_MUN</t>
        </is>
      </c>
      <c r="J1197" s="7" t="inlineStr">
        <is>
          <t>USD</t>
        </is>
      </c>
      <c r="K1197" s="7" t="inlineStr">
        <is>
          <t>fixed_unsettled</t>
        </is>
      </c>
      <c r="L1197" s="7" t="inlineStr">
        <is>
          <t>PNL</t>
        </is>
      </c>
      <c r="M1197" s="11" t="n">
        <v>44833</v>
      </c>
      <c r="N1197" s="13" t="n">
        <v>27.5422</v>
      </c>
      <c r="O1197" s="6" t="n">
        <v>0</v>
      </c>
      <c r="P1197" s="13" t="n">
        <v>0</v>
      </c>
      <c r="Q1197" s="22" t="n">
        <v>30</v>
      </c>
      <c r="R1197" s="6" t="n">
        <v>1</v>
      </c>
      <c r="U1197" s="9" t="n">
        <v>-17252</v>
      </c>
      <c r="V1197" s="9" t="n">
        <v>-1375287.01</v>
      </c>
      <c r="X1197" s="9" t="n">
        <v>79.7176</v>
      </c>
      <c r="AK1197" s="7" t="inlineStr">
        <is>
          <t>PYTHON_LIFECYCLE</t>
        </is>
      </c>
      <c r="AL1197" s="8">
        <f>IF($J1197="INR",1,IF($M1197&lt;$A1197,INDEX(Market_Daily!$F$6:$F$256,MATCH($M1197,Market_Daily!$A$6:$A$256,1)),IF($M1197=$A1197,INDEX(Market_Daily!$F$6:$F$256,MATCH($A1197,Market_Daily!$A$6:$A$256,0)),(INDEX(Market_Daily!$F$6:$F$256,MATCH($A1197,Market_Daily!$A$6:$A$256,0))*(1+INDEX(Market_Daily!$I$6:$I$256,MATCH($A1197,Market_Daily!$A$6:$A$256,0))*($M1197-$A1197)/day_count_inr)/(1+INDEX(Market_Daily!$J$6:$J$256,MATCH($A1197,Market_Daily!$A$6:$A$256,0))*($M1197-$A1197)/day_count_usd)))))</f>
        <v/>
      </c>
      <c r="AM1197" s="8">
        <f>IF(OR($J1197="INR",$R1197&gt;1),"",$AL1197-$X1197)</f>
        <v/>
      </c>
      <c r="AN1197" s="8">
        <f>$U1197</f>
        <v/>
      </c>
      <c r="AO1197" s="8">
        <f>$AN1197*IF($J1197="INR",1,$AL1197)</f>
        <v/>
      </c>
      <c r="AP1197" s="18">
        <f>$AO1197-$V1197</f>
        <v/>
      </c>
      <c r="AQ1197" s="8">
        <f>IF(ABS($AP1197)&lt;=tol_trade_inr,"PASS","FAIL")</f>
        <v/>
      </c>
    </row>
    <row r="1198">
      <c r="A1198" s="11" t="n">
        <v>44804</v>
      </c>
      <c r="B1198" s="7" t="inlineStr">
        <is>
          <t>T08</t>
        </is>
      </c>
      <c r="C1198" s="7" t="inlineStr">
        <is>
          <t>DEMURRAGE:L2</t>
        </is>
      </c>
      <c r="D1198" s="7" t="inlineStr">
        <is>
          <t>DEMURRAGE</t>
        </is>
      </c>
      <c r="E1198" s="7" t="inlineStr">
        <is>
          <t>physical</t>
        </is>
      </c>
      <c r="F1198" s="7" t="inlineStr">
        <is>
          <t>L2</t>
        </is>
      </c>
      <c r="H1198" s="7" t="inlineStr">
        <is>
          <t>tense</t>
        </is>
      </c>
      <c r="I1198" s="7" t="inlineStr">
        <is>
          <t>USEC_MUN</t>
        </is>
      </c>
      <c r="J1198" s="7" t="inlineStr">
        <is>
          <t>USD</t>
        </is>
      </c>
      <c r="K1198" s="7" t="inlineStr">
        <is>
          <t>fixed_unsettled</t>
        </is>
      </c>
      <c r="L1198" s="7" t="inlineStr">
        <is>
          <t>PNL</t>
        </is>
      </c>
      <c r="M1198" s="11" t="n">
        <v>44812</v>
      </c>
      <c r="N1198" s="13" t="n">
        <v>0</v>
      </c>
      <c r="O1198" s="6" t="n">
        <v>0</v>
      </c>
      <c r="P1198" s="13" t="n">
        <v>0</v>
      </c>
      <c r="Q1198" s="22" t="n">
        <v>30</v>
      </c>
      <c r="R1198" s="6" t="n">
        <v>1</v>
      </c>
      <c r="U1198" s="9" t="n">
        <v>-20475</v>
      </c>
      <c r="V1198" s="9" t="n">
        <v>-1629682.36</v>
      </c>
      <c r="X1198" s="9" t="n">
        <v>79.5938</v>
      </c>
      <c r="AK1198" s="7" t="inlineStr">
        <is>
          <t>PYTHON_LIFECYCLE</t>
        </is>
      </c>
      <c r="AL1198" s="8">
        <f>IF($J1198="INR",1,IF($M1198&lt;$A1198,INDEX(Market_Daily!$F$6:$F$256,MATCH($M1198,Market_Daily!$A$6:$A$256,1)),IF($M1198=$A1198,INDEX(Market_Daily!$F$6:$F$256,MATCH($A1198,Market_Daily!$A$6:$A$256,0)),(INDEX(Market_Daily!$F$6:$F$256,MATCH($A1198,Market_Daily!$A$6:$A$256,0))*(1+INDEX(Market_Daily!$I$6:$I$256,MATCH($A1198,Market_Daily!$A$6:$A$256,0))*($M1198-$A1198)/day_count_inr)/(1+INDEX(Market_Daily!$J$6:$J$256,MATCH($A1198,Market_Daily!$A$6:$A$256,0))*($M1198-$A1198)/day_count_usd)))))</f>
        <v/>
      </c>
      <c r="AM1198" s="8">
        <f>IF(OR($J1198="INR",$R1198&gt;1),"",$AL1198-$X1198)</f>
        <v/>
      </c>
      <c r="AN1198" s="8">
        <f>$U1198</f>
        <v/>
      </c>
      <c r="AO1198" s="8">
        <f>$AN1198*IF($J1198="INR",1,$AL1198)</f>
        <v/>
      </c>
      <c r="AP1198" s="18">
        <f>$AO1198-$V1198</f>
        <v/>
      </c>
      <c r="AQ1198" s="8">
        <f>IF(ABS($AP1198)&lt;=tol_trade_inr,"PASS","FAIL")</f>
        <v/>
      </c>
    </row>
    <row r="1199">
      <c r="A1199" s="11" t="n">
        <v>44804</v>
      </c>
      <c r="B1199" s="7" t="inlineStr">
        <is>
          <t>T08</t>
        </is>
      </c>
      <c r="C1199" s="7" t="inlineStr">
        <is>
          <t>IGST:L1</t>
        </is>
      </c>
      <c r="D1199" s="7" t="inlineStr">
        <is>
          <t>IGST</t>
        </is>
      </c>
      <c r="E1199" s="7" t="inlineStr">
        <is>
          <t>physical</t>
        </is>
      </c>
      <c r="F1199" s="7" t="inlineStr">
        <is>
          <t>L1</t>
        </is>
      </c>
      <c r="H1199" s="7" t="inlineStr">
        <is>
          <t>tense</t>
        </is>
      </c>
      <c r="I1199" s="7" t="inlineStr">
        <is>
          <t>USEC_MUN</t>
        </is>
      </c>
      <c r="J1199" s="7" t="inlineStr">
        <is>
          <t>INR</t>
        </is>
      </c>
      <c r="K1199" s="7" t="inlineStr">
        <is>
          <t>fixed_unsettled</t>
        </is>
      </c>
      <c r="L1199" s="7" t="inlineStr">
        <is>
          <t>BS</t>
        </is>
      </c>
      <c r="M1199" s="11" t="n">
        <v>44827</v>
      </c>
      <c r="N1199" s="13" t="n">
        <v>0</v>
      </c>
      <c r="O1199" s="6" t="n">
        <v>0</v>
      </c>
      <c r="P1199" s="13" t="n">
        <v>0</v>
      </c>
      <c r="Q1199" s="22" t="n">
        <v>30</v>
      </c>
      <c r="R1199" s="6" t="n">
        <v>2</v>
      </c>
      <c r="U1199" s="9" t="n">
        <v>0</v>
      </c>
      <c r="V1199" s="9" t="n">
        <v>0</v>
      </c>
      <c r="X1199" s="9" t="n">
        <v>79.54649999999999</v>
      </c>
      <c r="AK1199" s="7" t="inlineStr">
        <is>
          <t>PYTHON_MULTI_FLOW_LEG</t>
        </is>
      </c>
      <c r="AL1199" s="8">
        <f>IF($J1199="INR",1,IF($M1199&lt;$A1199,INDEX(Market_Daily!$F$6:$F$256,MATCH($M1199,Market_Daily!$A$6:$A$256,1)),IF($M1199=$A1199,INDEX(Market_Daily!$F$6:$F$256,MATCH($A1199,Market_Daily!$A$6:$A$256,0)),(INDEX(Market_Daily!$F$6:$F$256,MATCH($A1199,Market_Daily!$A$6:$A$256,0))*(1+INDEX(Market_Daily!$I$6:$I$256,MATCH($A1199,Market_Daily!$A$6:$A$256,0))*($M1199-$A1199)/day_count_inr)/(1+INDEX(Market_Daily!$J$6:$J$256,MATCH($A1199,Market_Daily!$A$6:$A$256,0))*($M1199-$A1199)/day_count_usd)))))</f>
        <v/>
      </c>
      <c r="AM1199" s="8">
        <f>IF(OR($J1199="INR",$R1199&gt;1),"",$AL1199-$X1199)</f>
        <v/>
      </c>
      <c r="AN1199" s="8">
        <f>$U1199</f>
        <v/>
      </c>
      <c r="AO1199" s="8">
        <f>$V1199</f>
        <v/>
      </c>
      <c r="AP1199" s="18">
        <f>$AO1199-$V1199</f>
        <v/>
      </c>
      <c r="AQ1199" s="8">
        <f>IF(ABS($AP1199)&lt;=tol_trade_inr,"PASS","FAIL")</f>
        <v/>
      </c>
    </row>
    <row r="1200">
      <c r="A1200" s="11" t="n">
        <v>44804</v>
      </c>
      <c r="B1200" s="7" t="inlineStr">
        <is>
          <t>T08</t>
        </is>
      </c>
      <c r="C1200" s="7" t="inlineStr">
        <is>
          <t>IGST:L2</t>
        </is>
      </c>
      <c r="D1200" s="7" t="inlineStr">
        <is>
          <t>IGST</t>
        </is>
      </c>
      <c r="E1200" s="7" t="inlineStr">
        <is>
          <t>physical</t>
        </is>
      </c>
      <c r="F1200" s="7" t="inlineStr">
        <is>
          <t>L2</t>
        </is>
      </c>
      <c r="H1200" s="7" t="inlineStr">
        <is>
          <t>tense</t>
        </is>
      </c>
      <c r="I1200" s="7" t="inlineStr">
        <is>
          <t>USEC_MUN</t>
        </is>
      </c>
      <c r="J1200" s="7" t="inlineStr">
        <is>
          <t>INR</t>
        </is>
      </c>
      <c r="K1200" s="7" t="inlineStr">
        <is>
          <t>fixed_unsettled</t>
        </is>
      </c>
      <c r="L1200" s="7" t="inlineStr">
        <is>
          <t>BS</t>
        </is>
      </c>
      <c r="M1200" s="11" t="n">
        <v>44834</v>
      </c>
      <c r="N1200" s="13" t="n">
        <v>0</v>
      </c>
      <c r="O1200" s="6" t="n">
        <v>0</v>
      </c>
      <c r="P1200" s="13" t="n">
        <v>0</v>
      </c>
      <c r="Q1200" s="22" t="n">
        <v>30</v>
      </c>
      <c r="R1200" s="6" t="n">
        <v>2</v>
      </c>
      <c r="U1200" s="9" t="n">
        <v>0</v>
      </c>
      <c r="V1200" s="9" t="n">
        <v>0</v>
      </c>
      <c r="X1200" s="9" t="n">
        <v>79.54649999999999</v>
      </c>
      <c r="AK1200" s="7" t="inlineStr">
        <is>
          <t>PYTHON_MULTI_FLOW_LEG</t>
        </is>
      </c>
      <c r="AL1200" s="8">
        <f>IF($J1200="INR",1,IF($M1200&lt;$A1200,INDEX(Market_Daily!$F$6:$F$256,MATCH($M1200,Market_Daily!$A$6:$A$256,1)),IF($M1200=$A1200,INDEX(Market_Daily!$F$6:$F$256,MATCH($A1200,Market_Daily!$A$6:$A$256,0)),(INDEX(Market_Daily!$F$6:$F$256,MATCH($A1200,Market_Daily!$A$6:$A$256,0))*(1+INDEX(Market_Daily!$I$6:$I$256,MATCH($A1200,Market_Daily!$A$6:$A$256,0))*($M1200-$A1200)/day_count_inr)/(1+INDEX(Market_Daily!$J$6:$J$256,MATCH($A1200,Market_Daily!$A$6:$A$256,0))*($M1200-$A1200)/day_count_usd)))))</f>
        <v/>
      </c>
      <c r="AM1200" s="8">
        <f>IF(OR($J1200="INR",$R1200&gt;1),"",$AL1200-$X1200)</f>
        <v/>
      </c>
      <c r="AN1200" s="8">
        <f>$U1200</f>
        <v/>
      </c>
      <c r="AO1200" s="8">
        <f>$V1200</f>
        <v/>
      </c>
      <c r="AP1200" s="18">
        <f>$AO1200-$V1200</f>
        <v/>
      </c>
      <c r="AQ1200" s="8">
        <f>IF(ABS($AP1200)&lt;=tol_trade_inr,"PASS","FAIL")</f>
        <v/>
      </c>
    </row>
    <row r="1201">
      <c r="A1201" s="11" t="n">
        <v>44804</v>
      </c>
      <c r="B1201" s="7" t="inlineStr">
        <is>
          <t>T08</t>
        </is>
      </c>
      <c r="C1201" s="7" t="inlineStr">
        <is>
          <t>PORT:L2</t>
        </is>
      </c>
      <c r="D1201" s="7" t="inlineStr">
        <is>
          <t>PORT</t>
        </is>
      </c>
      <c r="E1201" s="7" t="inlineStr">
        <is>
          <t>physical</t>
        </is>
      </c>
      <c r="F1201" s="7" t="inlineStr">
        <is>
          <t>L2</t>
        </is>
      </c>
      <c r="H1201" s="7" t="inlineStr">
        <is>
          <t>tense</t>
        </is>
      </c>
      <c r="I1201" s="7" t="inlineStr">
        <is>
          <t>USEC_MUN</t>
        </is>
      </c>
      <c r="J1201" s="7" t="inlineStr">
        <is>
          <t>INR</t>
        </is>
      </c>
      <c r="K1201" s="7" t="inlineStr">
        <is>
          <t>fixed_unsettled</t>
        </is>
      </c>
      <c r="L1201" s="7" t="inlineStr">
        <is>
          <t>PNL</t>
        </is>
      </c>
      <c r="M1201" s="11" t="n">
        <v>44812</v>
      </c>
      <c r="N1201" s="13" t="n">
        <v>0</v>
      </c>
      <c r="O1201" s="6" t="n">
        <v>0</v>
      </c>
      <c r="P1201" s="13" t="n">
        <v>0</v>
      </c>
      <c r="Q1201" s="22" t="n">
        <v>30</v>
      </c>
      <c r="R1201" s="6" t="n">
        <v>1</v>
      </c>
      <c r="U1201" s="9" t="n">
        <v>-2170350</v>
      </c>
      <c r="V1201" s="9" t="n">
        <v>-2170350</v>
      </c>
      <c r="X1201" s="9" t="n">
        <v>79.54649999999999</v>
      </c>
      <c r="AK1201" s="7" t="inlineStr">
        <is>
          <t>PYTHON_LIFECYCLE</t>
        </is>
      </c>
      <c r="AL1201" s="8">
        <f>IF($J1201="INR",1,IF($M1201&lt;$A1201,INDEX(Market_Daily!$F$6:$F$256,MATCH($M1201,Market_Daily!$A$6:$A$256,1)),IF($M1201=$A1201,INDEX(Market_Daily!$F$6:$F$256,MATCH($A1201,Market_Daily!$A$6:$A$256,0)),(INDEX(Market_Daily!$F$6:$F$256,MATCH($A1201,Market_Daily!$A$6:$A$256,0))*(1+INDEX(Market_Daily!$I$6:$I$256,MATCH($A1201,Market_Daily!$A$6:$A$256,0))*($M1201-$A1201)/day_count_inr)/(1+INDEX(Market_Daily!$J$6:$J$256,MATCH($A1201,Market_Daily!$A$6:$A$256,0))*($M1201-$A1201)/day_count_usd)))))</f>
        <v/>
      </c>
      <c r="AM1201" s="8">
        <f>IF(OR($J1201="INR",$R1201&gt;1),"",$AL1201-$X1201)</f>
        <v/>
      </c>
      <c r="AN1201" s="8">
        <f>$U1201</f>
        <v/>
      </c>
      <c r="AO1201" s="8">
        <f>$AN1201*IF($J1201="INR",1,$AL1201)</f>
        <v/>
      </c>
      <c r="AP1201" s="18">
        <f>$AO1201-$V1201</f>
        <v/>
      </c>
      <c r="AQ1201" s="8">
        <f>IF(ABS($AP1201)&lt;=tol_trade_inr,"PASS","FAIL")</f>
        <v/>
      </c>
    </row>
    <row r="1202">
      <c r="A1202" s="11" t="n">
        <v>44804</v>
      </c>
      <c r="B1202" s="7" t="inlineStr">
        <is>
          <t>T08</t>
        </is>
      </c>
      <c r="C1202" s="7" t="inlineStr">
        <is>
          <t>REJECTED:L2</t>
        </is>
      </c>
      <c r="D1202" s="7" t="inlineStr">
        <is>
          <t>REJECTED</t>
        </is>
      </c>
      <c r="E1202" s="7" t="inlineStr">
        <is>
          <t>physical</t>
        </is>
      </c>
      <c r="F1202" s="7" t="inlineStr">
        <is>
          <t>L2</t>
        </is>
      </c>
      <c r="G1202" s="7" t="inlineStr">
        <is>
          <t>SUP_USEC_02</t>
        </is>
      </c>
      <c r="H1202" s="7" t="inlineStr">
        <is>
          <t>tense</t>
        </is>
      </c>
      <c r="I1202" s="7" t="inlineStr">
        <is>
          <t>USEC_MUN</t>
        </is>
      </c>
      <c r="J1202" s="7" t="inlineStr">
        <is>
          <t>USD</t>
        </is>
      </c>
      <c r="K1202" s="7" t="inlineStr">
        <is>
          <t>fixed_unsettled</t>
        </is>
      </c>
      <c r="L1202" s="7" t="inlineStr">
        <is>
          <t>PNL</t>
        </is>
      </c>
      <c r="M1202" s="11" t="n">
        <v>44833</v>
      </c>
      <c r="N1202" s="13" t="n">
        <v>21</v>
      </c>
      <c r="O1202" s="6" t="n">
        <v>0</v>
      </c>
      <c r="P1202" s="13" t="n">
        <v>0</v>
      </c>
      <c r="Q1202" s="22" t="n">
        <v>30</v>
      </c>
      <c r="R1202" s="6" t="n">
        <v>1</v>
      </c>
      <c r="U1202" s="9" t="n">
        <v>-5730</v>
      </c>
      <c r="V1202" s="9" t="n">
        <v>-456781.57</v>
      </c>
      <c r="X1202" s="9" t="n">
        <v>79.7176</v>
      </c>
      <c r="AK1202" s="7" t="inlineStr">
        <is>
          <t>PYTHON_LIFECYCLE</t>
        </is>
      </c>
      <c r="AL1202" s="8">
        <f>IF($J1202="INR",1,IF($M1202&lt;$A1202,INDEX(Market_Daily!$F$6:$F$256,MATCH($M1202,Market_Daily!$A$6:$A$256,1)),IF($M1202=$A1202,INDEX(Market_Daily!$F$6:$F$256,MATCH($A1202,Market_Daily!$A$6:$A$256,0)),(INDEX(Market_Daily!$F$6:$F$256,MATCH($A1202,Market_Daily!$A$6:$A$256,0))*(1+INDEX(Market_Daily!$I$6:$I$256,MATCH($A1202,Market_Daily!$A$6:$A$256,0))*($M1202-$A1202)/day_count_inr)/(1+INDEX(Market_Daily!$J$6:$J$256,MATCH($A1202,Market_Daily!$A$6:$A$256,0))*($M1202-$A1202)/day_count_usd)))))</f>
        <v/>
      </c>
      <c r="AM1202" s="8">
        <f>IF(OR($J1202="INR",$R1202&gt;1),"",$AL1202-$X1202)</f>
        <v/>
      </c>
      <c r="AN1202" s="8">
        <f>$U1202</f>
        <v/>
      </c>
      <c r="AO1202" s="8">
        <f>$AN1202*IF($J1202="INR",1,$AL1202)</f>
        <v/>
      </c>
      <c r="AP1202" s="18">
        <f>$AO1202-$V1202</f>
        <v/>
      </c>
      <c r="AQ1202" s="8">
        <f>IF(ABS($AP1202)&lt;=tol_trade_inr,"PASS","FAIL")</f>
        <v/>
      </c>
    </row>
    <row r="1203">
      <c r="A1203" s="11" t="n">
        <v>44804</v>
      </c>
      <c r="B1203" s="7" t="inlineStr">
        <is>
          <t>T08</t>
        </is>
      </c>
      <c r="C1203" s="7" t="inlineStr">
        <is>
          <t>SALE:S1</t>
        </is>
      </c>
      <c r="D1203" s="7" t="inlineStr">
        <is>
          <t>SALE</t>
        </is>
      </c>
      <c r="E1203" s="7" t="inlineStr">
        <is>
          <t>physical</t>
        </is>
      </c>
      <c r="G1203" s="7" t="inlineStr">
        <is>
          <t>BUY_MUN_01</t>
        </is>
      </c>
      <c r="H1203" s="7" t="inlineStr">
        <is>
          <t>tense</t>
        </is>
      </c>
      <c r="I1203" s="7" t="inlineStr">
        <is>
          <t>USEC_MUN</t>
        </is>
      </c>
      <c r="J1203" s="7" t="inlineStr">
        <is>
          <t>INR</t>
        </is>
      </c>
      <c r="K1203" s="7" t="inlineStr">
        <is>
          <t>fixed_unsettled</t>
        </is>
      </c>
      <c r="L1203" s="7" t="inlineStr">
        <is>
          <t>PNL</t>
        </is>
      </c>
      <c r="M1203" s="11" t="n">
        <v>44844</v>
      </c>
      <c r="N1203" s="13" t="n">
        <v>1657.362</v>
      </c>
      <c r="O1203" s="6" t="n">
        <v>0</v>
      </c>
      <c r="P1203" s="13" t="n">
        <v>0</v>
      </c>
      <c r="Q1203" s="22" t="n">
        <v>30</v>
      </c>
      <c r="R1203" s="6" t="n">
        <v>1</v>
      </c>
      <c r="U1203" s="9" t="n">
        <v>266516870.92</v>
      </c>
      <c r="V1203" s="9" t="n">
        <v>266516870.92</v>
      </c>
      <c r="W1203" s="9" t="n">
        <v>161285.1272</v>
      </c>
      <c r="X1203" s="9" t="n">
        <v>79.54649999999999</v>
      </c>
      <c r="AK1203" s="7" t="inlineStr">
        <is>
          <t>PYTHON_LIFECYCLE</t>
        </is>
      </c>
      <c r="AL1203" s="8">
        <f>IF($J1203="INR",1,IF($M1203&lt;$A1203,INDEX(Market_Daily!$F$6:$F$256,MATCH($M1203,Market_Daily!$A$6:$A$256,1)),IF($M1203=$A1203,INDEX(Market_Daily!$F$6:$F$256,MATCH($A1203,Market_Daily!$A$6:$A$256,0)),(INDEX(Market_Daily!$F$6:$F$256,MATCH($A1203,Market_Daily!$A$6:$A$256,0))*(1+INDEX(Market_Daily!$I$6:$I$256,MATCH($A1203,Market_Daily!$A$6:$A$256,0))*($M1203-$A1203)/day_count_inr)/(1+INDEX(Market_Daily!$J$6:$J$256,MATCH($A1203,Market_Daily!$A$6:$A$256,0))*($M1203-$A1203)/day_count_usd)))))</f>
        <v/>
      </c>
      <c r="AM1203" s="8">
        <f>IF(OR($J1203="INR",$R1203&gt;1),"",$AL1203-$X1203)</f>
        <v/>
      </c>
      <c r="AN1203" s="8">
        <f>$U1203</f>
        <v/>
      </c>
      <c r="AO1203" s="8">
        <f>$AN1203*IF($J1203="INR",1,$AL1203)</f>
        <v/>
      </c>
      <c r="AP1203" s="18">
        <f>$AO1203-$V1203</f>
        <v/>
      </c>
      <c r="AQ1203" s="8">
        <f>IF(ABS($AP1203)&lt;=tol_trade_inr,"PASS","FAIL")</f>
        <v/>
      </c>
    </row>
    <row r="1204">
      <c r="A1204" s="11" t="n">
        <v>44804</v>
      </c>
      <c r="B1204" s="7" t="inlineStr">
        <is>
          <t>T09</t>
        </is>
      </c>
      <c r="C1204" s="7" t="inlineStr">
        <is>
          <t>BILL_COMMISSION:L1</t>
        </is>
      </c>
      <c r="D1204" s="7" t="inlineStr">
        <is>
          <t>BILL_COMMISSION</t>
        </is>
      </c>
      <c r="E1204" s="7" t="inlineStr">
        <is>
          <t>physical</t>
        </is>
      </c>
      <c r="F1204" s="7" t="inlineStr">
        <is>
          <t>L1</t>
        </is>
      </c>
      <c r="H1204" s="7" t="inlineStr">
        <is>
          <t>tense</t>
        </is>
      </c>
      <c r="I1204" s="7" t="inlineStr">
        <is>
          <t>JEA_NSA</t>
        </is>
      </c>
      <c r="J1204" s="7" t="inlineStr">
        <is>
          <t>USD</t>
        </is>
      </c>
      <c r="K1204" s="7" t="inlineStr">
        <is>
          <t>floating</t>
        </is>
      </c>
      <c r="L1204" s="7" t="inlineStr">
        <is>
          <t>PNL</t>
        </is>
      </c>
      <c r="M1204" s="11" t="n">
        <v>44851</v>
      </c>
      <c r="N1204" s="13" t="n">
        <v>0</v>
      </c>
      <c r="O1204" s="6" t="n">
        <v>0</v>
      </c>
      <c r="P1204" s="13" t="n">
        <v>0</v>
      </c>
      <c r="Q1204" s="22" t="n">
        <v>30</v>
      </c>
      <c r="R1204" s="6" t="n">
        <v>1</v>
      </c>
      <c r="U1204" s="9" t="n">
        <v>-1315.44</v>
      </c>
      <c r="V1204" s="9" t="n">
        <v>-105002.79</v>
      </c>
      <c r="X1204" s="9" t="n">
        <v>79.8233</v>
      </c>
      <c r="AK1204" s="7" t="inlineStr">
        <is>
          <t>PYTHON_LIFECYCLE</t>
        </is>
      </c>
      <c r="AL1204" s="8">
        <f>IF($J1204="INR",1,IF($M1204&lt;$A1204,INDEX(Market_Daily!$F$6:$F$256,MATCH($M1204,Market_Daily!$A$6:$A$256,1)),IF($M1204=$A1204,INDEX(Market_Daily!$F$6:$F$256,MATCH($A1204,Market_Daily!$A$6:$A$256,0)),(INDEX(Market_Daily!$F$6:$F$256,MATCH($A1204,Market_Daily!$A$6:$A$256,0))*(1+INDEX(Market_Daily!$I$6:$I$256,MATCH($A1204,Market_Daily!$A$6:$A$256,0))*($M1204-$A1204)/day_count_inr)/(1+INDEX(Market_Daily!$J$6:$J$256,MATCH($A1204,Market_Daily!$A$6:$A$256,0))*($M1204-$A1204)/day_count_usd)))))</f>
        <v/>
      </c>
      <c r="AM1204" s="8">
        <f>IF(OR($J1204="INR",$R1204&gt;1),"",$AL1204-$X1204)</f>
        <v/>
      </c>
      <c r="AN1204" s="8">
        <f>$U1204</f>
        <v/>
      </c>
      <c r="AO1204" s="8">
        <f>$AN1204*IF($J1204="INR",1,$AL1204)</f>
        <v/>
      </c>
      <c r="AP1204" s="18">
        <f>$AO1204-$V1204</f>
        <v/>
      </c>
      <c r="AQ1204" s="8">
        <f>IF(ABS($AP1204)&lt;=tol_trade_inr,"PASS","FAIL")</f>
        <v/>
      </c>
    </row>
    <row r="1205">
      <c r="A1205" s="11" t="n">
        <v>44804</v>
      </c>
      <c r="B1205" s="7" t="inlineStr">
        <is>
          <t>T09</t>
        </is>
      </c>
      <c r="C1205" s="7" t="inlineStr">
        <is>
          <t>BILL_COMMISSION:L2</t>
        </is>
      </c>
      <c r="D1205" s="7" t="inlineStr">
        <is>
          <t>BILL_COMMISSION</t>
        </is>
      </c>
      <c r="E1205" s="7" t="inlineStr">
        <is>
          <t>physical</t>
        </is>
      </c>
      <c r="F1205" s="7" t="inlineStr">
        <is>
          <t>L2</t>
        </is>
      </c>
      <c r="H1205" s="7" t="inlineStr">
        <is>
          <t>tense</t>
        </is>
      </c>
      <c r="I1205" s="7" t="inlineStr">
        <is>
          <t>JEA_NSA</t>
        </is>
      </c>
      <c r="J1205" s="7" t="inlineStr">
        <is>
          <t>USD</t>
        </is>
      </c>
      <c r="K1205" s="7" t="inlineStr">
        <is>
          <t>floating</t>
        </is>
      </c>
      <c r="L1205" s="7" t="inlineStr">
        <is>
          <t>PNL</t>
        </is>
      </c>
      <c r="M1205" s="11" t="n">
        <v>44858</v>
      </c>
      <c r="N1205" s="13" t="n">
        <v>0</v>
      </c>
      <c r="O1205" s="6" t="n">
        <v>0</v>
      </c>
      <c r="P1205" s="13" t="n">
        <v>0</v>
      </c>
      <c r="Q1205" s="22" t="n">
        <v>30</v>
      </c>
      <c r="R1205" s="6" t="n">
        <v>1</v>
      </c>
      <c r="U1205" s="9" t="n">
        <v>-1315.44</v>
      </c>
      <c r="V1205" s="9" t="n">
        <v>-105056.79</v>
      </c>
      <c r="X1205" s="9" t="n">
        <v>79.8644</v>
      </c>
      <c r="AK1205" s="7" t="inlineStr">
        <is>
          <t>PYTHON_LIFECYCLE</t>
        </is>
      </c>
      <c r="AL1205" s="8">
        <f>IF($J1205="INR",1,IF($M1205&lt;$A1205,INDEX(Market_Daily!$F$6:$F$256,MATCH($M1205,Market_Daily!$A$6:$A$256,1)),IF($M1205=$A1205,INDEX(Market_Daily!$F$6:$F$256,MATCH($A1205,Market_Daily!$A$6:$A$256,0)),(INDEX(Market_Daily!$F$6:$F$256,MATCH($A1205,Market_Daily!$A$6:$A$256,0))*(1+INDEX(Market_Daily!$I$6:$I$256,MATCH($A1205,Market_Daily!$A$6:$A$256,0))*($M1205-$A1205)/day_count_inr)/(1+INDEX(Market_Daily!$J$6:$J$256,MATCH($A1205,Market_Daily!$A$6:$A$256,0))*($M1205-$A1205)/day_count_usd)))))</f>
        <v/>
      </c>
      <c r="AM1205" s="8">
        <f>IF(OR($J1205="INR",$R1205&gt;1),"",$AL1205-$X1205)</f>
        <v/>
      </c>
      <c r="AN1205" s="8">
        <f>$U1205</f>
        <v/>
      </c>
      <c r="AO1205" s="8">
        <f>$AN1205*IF($J1205="INR",1,$AL1205)</f>
        <v/>
      </c>
      <c r="AP1205" s="18">
        <f>$AO1205-$V1205</f>
        <v/>
      </c>
      <c r="AQ1205" s="8">
        <f>IF(ABS($AP1205)&lt;=tol_trade_inr,"PASS","FAIL")</f>
        <v/>
      </c>
    </row>
    <row r="1206">
      <c r="A1206" s="11" t="n">
        <v>44804</v>
      </c>
      <c r="B1206" s="7" t="inlineStr">
        <is>
          <t>T09</t>
        </is>
      </c>
      <c r="C1206" s="7" t="inlineStr">
        <is>
          <t>FX:T09-FX-1</t>
        </is>
      </c>
      <c r="D1206" s="7" t="inlineStr">
        <is>
          <t>FX</t>
        </is>
      </c>
      <c r="E1206" s="7" t="inlineStr">
        <is>
          <t>fx_forward</t>
        </is>
      </c>
      <c r="H1206" s="7" t="inlineStr">
        <is>
          <t>tense</t>
        </is>
      </c>
      <c r="I1206" s="7" t="inlineStr">
        <is>
          <t>JEA_NSA</t>
        </is>
      </c>
      <c r="J1206" s="7" t="inlineStr">
        <is>
          <t>INR</t>
        </is>
      </c>
      <c r="K1206" s="7" t="inlineStr">
        <is>
          <t>floating</t>
        </is>
      </c>
      <c r="L1206" s="7" t="inlineStr">
        <is>
          <t>PNL</t>
        </is>
      </c>
      <c r="M1206" s="11" t="n">
        <v>44851</v>
      </c>
      <c r="N1206" s="13" t="n">
        <v>0</v>
      </c>
      <c r="O1206" s="6" t="n">
        <v>0</v>
      </c>
      <c r="P1206" s="13" t="n">
        <v>1096200</v>
      </c>
      <c r="Q1206" s="22" t="n">
        <v>30</v>
      </c>
      <c r="R1206" s="6" t="n">
        <v>1</v>
      </c>
      <c r="S1206" s="12" t="n">
        <v>44851</v>
      </c>
      <c r="T1206" s="21" t="n">
        <v>79.949476</v>
      </c>
      <c r="U1206" s="9" t="n">
        <v>-138288.81</v>
      </c>
      <c r="V1206" s="9" t="n">
        <v>-138288.81</v>
      </c>
      <c r="X1206" s="9" t="n">
        <v>79.54649999999999</v>
      </c>
      <c r="AK1206" s="7" t="inlineStr">
        <is>
          <t>DERIVED_IN_WORKBOOK</t>
        </is>
      </c>
      <c r="AL1206" s="8">
        <f>IF($J1206="INR",1,IF($M1206&lt;$A1206,INDEX(Market_Daily!$F$6:$F$256,MATCH($M1206,Market_Daily!$A$6:$A$256,1)),IF($M1206=$A1206,INDEX(Market_Daily!$F$6:$F$256,MATCH($A1206,Market_Daily!$A$6:$A$256,0)),(INDEX(Market_Daily!$F$6:$F$256,MATCH($A1206,Market_Daily!$A$6:$A$256,0))*(1+INDEX(Market_Daily!$I$6:$I$256,MATCH($A1206,Market_Daily!$A$6:$A$256,0))*($M1206-$A1206)/day_count_inr)/(1+INDEX(Market_Daily!$J$6:$J$256,MATCH($A1206,Market_Daily!$A$6:$A$256,0))*($M1206-$A1206)/day_count_usd)))))</f>
        <v/>
      </c>
      <c r="AM1206" s="8">
        <f>IF(OR($J1206="INR",$R1206&gt;1),"",$AL1206-$X1206)</f>
        <v/>
      </c>
      <c r="AN1206" s="8">
        <f>$P1206*(IF($S1206&lt;$A1206,INDEX(Market_Daily!$F$6:$F$256,MATCH($S1206,Market_Daily!$A$6:$A$256,1)),IF($S1206=$A1206,INDEX(Market_Daily!$F$6:$F$256,MATCH($A1206,Market_Daily!$A$6:$A$256,0)),(INDEX(Market_Daily!$F$6:$F$256,MATCH($A1206,Market_Daily!$A$6:$A$256,0))*(1+INDEX(Market_Daily!$I$6:$I$256,MATCH($A1206,Market_Daily!$A$6:$A$256,0))*($S1206-$A1206)/day_count_inr)/(1+INDEX(Market_Daily!$J$6:$J$256,MATCH($A1206,Market_Daily!$A$6:$A$256,0))*($S1206-$A1206)/day_count_usd))))-$T1206)</f>
        <v/>
      </c>
      <c r="AO1206" s="8">
        <f>$AN1206</f>
        <v/>
      </c>
      <c r="AP1206" s="18">
        <f>$AO1206-$V1206</f>
        <v/>
      </c>
      <c r="AQ1206" s="8">
        <f>IF(ABS($AP1206)&lt;=tol_trade_inr,"PASS","FAIL")</f>
        <v/>
      </c>
    </row>
    <row r="1207">
      <c r="A1207" s="11" t="n">
        <v>44804</v>
      </c>
      <c r="B1207" s="7" t="inlineStr">
        <is>
          <t>T09</t>
        </is>
      </c>
      <c r="C1207" s="7" t="inlineStr">
        <is>
          <t>FX:T09-FX-2</t>
        </is>
      </c>
      <c r="D1207" s="7" t="inlineStr">
        <is>
          <t>FX</t>
        </is>
      </c>
      <c r="E1207" s="7" t="inlineStr">
        <is>
          <t>fx_forward</t>
        </is>
      </c>
      <c r="H1207" s="7" t="inlineStr">
        <is>
          <t>tense</t>
        </is>
      </c>
      <c r="I1207" s="7" t="inlineStr">
        <is>
          <t>JEA_NSA</t>
        </is>
      </c>
      <c r="J1207" s="7" t="inlineStr">
        <is>
          <t>INR</t>
        </is>
      </c>
      <c r="K1207" s="7" t="inlineStr">
        <is>
          <t>floating</t>
        </is>
      </c>
      <c r="L1207" s="7" t="inlineStr">
        <is>
          <t>PNL</t>
        </is>
      </c>
      <c r="M1207" s="11" t="n">
        <v>44858</v>
      </c>
      <c r="N1207" s="13" t="n">
        <v>0</v>
      </c>
      <c r="O1207" s="6" t="n">
        <v>0</v>
      </c>
      <c r="P1207" s="13" t="n">
        <v>1096200</v>
      </c>
      <c r="Q1207" s="22" t="n">
        <v>30</v>
      </c>
      <c r="R1207" s="6" t="n">
        <v>1</v>
      </c>
      <c r="S1207" s="12" t="n">
        <v>44858</v>
      </c>
      <c r="T1207" s="21" t="n">
        <v>80.306324</v>
      </c>
      <c r="U1207" s="9" t="n">
        <v>-484465.49</v>
      </c>
      <c r="V1207" s="9" t="n">
        <v>-484465.49</v>
      </c>
      <c r="X1207" s="9" t="n">
        <v>79.54649999999999</v>
      </c>
      <c r="AK1207" s="7" t="inlineStr">
        <is>
          <t>DERIVED_IN_WORKBOOK</t>
        </is>
      </c>
      <c r="AL1207" s="8">
        <f>IF($J1207="INR",1,IF($M1207&lt;$A1207,INDEX(Market_Daily!$F$6:$F$256,MATCH($M1207,Market_Daily!$A$6:$A$256,1)),IF($M1207=$A1207,INDEX(Market_Daily!$F$6:$F$256,MATCH($A1207,Market_Daily!$A$6:$A$256,0)),(INDEX(Market_Daily!$F$6:$F$256,MATCH($A1207,Market_Daily!$A$6:$A$256,0))*(1+INDEX(Market_Daily!$I$6:$I$256,MATCH($A1207,Market_Daily!$A$6:$A$256,0))*($M1207-$A1207)/day_count_inr)/(1+INDEX(Market_Daily!$J$6:$J$256,MATCH($A1207,Market_Daily!$A$6:$A$256,0))*($M1207-$A1207)/day_count_usd)))))</f>
        <v/>
      </c>
      <c r="AM1207" s="8">
        <f>IF(OR($J1207="INR",$R1207&gt;1),"",$AL1207-$X1207)</f>
        <v/>
      </c>
      <c r="AN1207" s="8">
        <f>$P1207*(IF($S1207&lt;$A1207,INDEX(Market_Daily!$F$6:$F$256,MATCH($S1207,Market_Daily!$A$6:$A$256,1)),IF($S1207=$A1207,INDEX(Market_Daily!$F$6:$F$256,MATCH($A1207,Market_Daily!$A$6:$A$256,0)),(INDEX(Market_Daily!$F$6:$F$256,MATCH($A1207,Market_Daily!$A$6:$A$256,0))*(1+INDEX(Market_Daily!$I$6:$I$256,MATCH($A1207,Market_Daily!$A$6:$A$256,0))*($S1207-$A1207)/day_count_inr)/(1+INDEX(Market_Daily!$J$6:$J$256,MATCH($A1207,Market_Daily!$A$6:$A$256,0))*($S1207-$A1207)/day_count_usd))))-$T1207)</f>
        <v/>
      </c>
      <c r="AO1207" s="8">
        <f>$AN1207</f>
        <v/>
      </c>
      <c r="AP1207" s="18">
        <f>$AO1207-$V1207</f>
        <v/>
      </c>
      <c r="AQ1207" s="8">
        <f>IF(ABS($AP1207)&lt;=tol_trade_inr,"PASS","FAIL")</f>
        <v/>
      </c>
    </row>
    <row r="1208">
      <c r="A1208" s="11" t="n">
        <v>44804</v>
      </c>
      <c r="B1208" s="7" t="inlineStr">
        <is>
          <t>T09</t>
        </is>
      </c>
      <c r="C1208" s="7" t="inlineStr">
        <is>
          <t>IGST:L1</t>
        </is>
      </c>
      <c r="D1208" s="7" t="inlineStr">
        <is>
          <t>IGST</t>
        </is>
      </c>
      <c r="E1208" s="7" t="inlineStr">
        <is>
          <t>physical</t>
        </is>
      </c>
      <c r="F1208" s="7" t="inlineStr">
        <is>
          <t>L1</t>
        </is>
      </c>
      <c r="H1208" s="7" t="inlineStr">
        <is>
          <t>tense</t>
        </is>
      </c>
      <c r="I1208" s="7" t="inlineStr">
        <is>
          <t>JEA_NSA</t>
        </is>
      </c>
      <c r="J1208" s="7" t="inlineStr">
        <is>
          <t>INR</t>
        </is>
      </c>
      <c r="K1208" s="7" t="inlineStr">
        <is>
          <t>fixed_unsettled</t>
        </is>
      </c>
      <c r="L1208" s="7" t="inlineStr">
        <is>
          <t>BS</t>
        </is>
      </c>
      <c r="M1208" s="11" t="n">
        <v>44841</v>
      </c>
      <c r="N1208" s="13" t="n">
        <v>0</v>
      </c>
      <c r="O1208" s="6" t="n">
        <v>0</v>
      </c>
      <c r="P1208" s="13" t="n">
        <v>0</v>
      </c>
      <c r="Q1208" s="22" t="n">
        <v>30</v>
      </c>
      <c r="R1208" s="6" t="n">
        <v>2</v>
      </c>
      <c r="U1208" s="9" t="n">
        <v>0</v>
      </c>
      <c r="V1208" s="9" t="n">
        <v>0</v>
      </c>
      <c r="X1208" s="9" t="n">
        <v>79.54649999999999</v>
      </c>
      <c r="AK1208" s="7" t="inlineStr">
        <is>
          <t>PYTHON_MULTI_FLOW_LEG</t>
        </is>
      </c>
      <c r="AL1208" s="8">
        <f>IF($J1208="INR",1,IF($M1208&lt;$A1208,INDEX(Market_Daily!$F$6:$F$256,MATCH($M1208,Market_Daily!$A$6:$A$256,1)),IF($M1208=$A1208,INDEX(Market_Daily!$F$6:$F$256,MATCH($A1208,Market_Daily!$A$6:$A$256,0)),(INDEX(Market_Daily!$F$6:$F$256,MATCH($A1208,Market_Daily!$A$6:$A$256,0))*(1+INDEX(Market_Daily!$I$6:$I$256,MATCH($A1208,Market_Daily!$A$6:$A$256,0))*($M1208-$A1208)/day_count_inr)/(1+INDEX(Market_Daily!$J$6:$J$256,MATCH($A1208,Market_Daily!$A$6:$A$256,0))*($M1208-$A1208)/day_count_usd)))))</f>
        <v/>
      </c>
      <c r="AM1208" s="8">
        <f>IF(OR($J1208="INR",$R1208&gt;1),"",$AL1208-$X1208)</f>
        <v/>
      </c>
      <c r="AN1208" s="8">
        <f>$U1208</f>
        <v/>
      </c>
      <c r="AO1208" s="8">
        <f>$V1208</f>
        <v/>
      </c>
      <c r="AP1208" s="18">
        <f>$AO1208-$V1208</f>
        <v/>
      </c>
      <c r="AQ1208" s="8">
        <f>IF(ABS($AP1208)&lt;=tol_trade_inr,"PASS","FAIL")</f>
        <v/>
      </c>
    </row>
    <row r="1209">
      <c r="A1209" s="11" t="n">
        <v>44804</v>
      </c>
      <c r="B1209" s="7" t="inlineStr">
        <is>
          <t>T09</t>
        </is>
      </c>
      <c r="C1209" s="7" t="inlineStr">
        <is>
          <t>IGST:L2</t>
        </is>
      </c>
      <c r="D1209" s="7" t="inlineStr">
        <is>
          <t>IGST</t>
        </is>
      </c>
      <c r="E1209" s="7" t="inlineStr">
        <is>
          <t>physical</t>
        </is>
      </c>
      <c r="F1209" s="7" t="inlineStr">
        <is>
          <t>L2</t>
        </is>
      </c>
      <c r="H1209" s="7" t="inlineStr">
        <is>
          <t>tense</t>
        </is>
      </c>
      <c r="I1209" s="7" t="inlineStr">
        <is>
          <t>JEA_NSA</t>
        </is>
      </c>
      <c r="J1209" s="7" t="inlineStr">
        <is>
          <t>INR</t>
        </is>
      </c>
      <c r="K1209" s="7" t="inlineStr">
        <is>
          <t>fixed_unsettled</t>
        </is>
      </c>
      <c r="L1209" s="7" t="inlineStr">
        <is>
          <t>BS</t>
        </is>
      </c>
      <c r="M1209" s="11" t="n">
        <v>44848</v>
      </c>
      <c r="N1209" s="13" t="n">
        <v>0</v>
      </c>
      <c r="O1209" s="6" t="n">
        <v>0</v>
      </c>
      <c r="P1209" s="13" t="n">
        <v>0</v>
      </c>
      <c r="Q1209" s="22" t="n">
        <v>30</v>
      </c>
      <c r="R1209" s="6" t="n">
        <v>2</v>
      </c>
      <c r="U1209" s="9" t="n">
        <v>0</v>
      </c>
      <c r="V1209" s="9" t="n">
        <v>0</v>
      </c>
      <c r="X1209" s="9" t="n">
        <v>79.54649999999999</v>
      </c>
      <c r="AK1209" s="7" t="inlineStr">
        <is>
          <t>PYTHON_MULTI_FLOW_LEG</t>
        </is>
      </c>
      <c r="AL1209" s="8">
        <f>IF($J1209="INR",1,IF($M1209&lt;$A1209,INDEX(Market_Daily!$F$6:$F$256,MATCH($M1209,Market_Daily!$A$6:$A$256,1)),IF($M1209=$A1209,INDEX(Market_Daily!$F$6:$F$256,MATCH($A1209,Market_Daily!$A$6:$A$256,0)),(INDEX(Market_Daily!$F$6:$F$256,MATCH($A1209,Market_Daily!$A$6:$A$256,0))*(1+INDEX(Market_Daily!$I$6:$I$256,MATCH($A1209,Market_Daily!$A$6:$A$256,0))*($M1209-$A1209)/day_count_inr)/(1+INDEX(Market_Daily!$J$6:$J$256,MATCH($A1209,Market_Daily!$A$6:$A$256,0))*($M1209-$A1209)/day_count_usd)))))</f>
        <v/>
      </c>
      <c r="AM1209" s="8">
        <f>IF(OR($J1209="INR",$R1209&gt;1),"",$AL1209-$X1209)</f>
        <v/>
      </c>
      <c r="AN1209" s="8">
        <f>$U1209</f>
        <v/>
      </c>
      <c r="AO1209" s="8">
        <f>$V1209</f>
        <v/>
      </c>
      <c r="AP1209" s="18">
        <f>$AO1209-$V1209</f>
        <v/>
      </c>
      <c r="AQ1209" s="8">
        <f>IF(ABS($AP1209)&lt;=tol_trade_inr,"PASS","FAIL")</f>
        <v/>
      </c>
    </row>
    <row r="1210">
      <c r="A1210" s="11" t="n">
        <v>44804</v>
      </c>
      <c r="B1210" s="7" t="inlineStr">
        <is>
          <t>T09</t>
        </is>
      </c>
      <c r="C1210" s="7" t="inlineStr">
        <is>
          <t>PORT:L1</t>
        </is>
      </c>
      <c r="D1210" s="7" t="inlineStr">
        <is>
          <t>PORT</t>
        </is>
      </c>
      <c r="E1210" s="7" t="inlineStr">
        <is>
          <t>physical</t>
        </is>
      </c>
      <c r="F1210" s="7" t="inlineStr">
        <is>
          <t>L1</t>
        </is>
      </c>
      <c r="H1210" s="7" t="inlineStr">
        <is>
          <t>tense</t>
        </is>
      </c>
      <c r="I1210" s="7" t="inlineStr">
        <is>
          <t>JEA_NSA</t>
        </is>
      </c>
      <c r="J1210" s="7" t="inlineStr">
        <is>
          <t>INR</t>
        </is>
      </c>
      <c r="K1210" s="7" t="inlineStr">
        <is>
          <t>fixed_unsettled</t>
        </is>
      </c>
      <c r="L1210" s="7" t="inlineStr">
        <is>
          <t>PNL</t>
        </is>
      </c>
      <c r="M1210" s="11" t="n">
        <v>44805</v>
      </c>
      <c r="N1210" s="13" t="n">
        <v>0</v>
      </c>
      <c r="O1210" s="6" t="n">
        <v>0</v>
      </c>
      <c r="P1210" s="13" t="n">
        <v>0</v>
      </c>
      <c r="Q1210" s="22" t="n">
        <v>30</v>
      </c>
      <c r="R1210" s="6" t="n">
        <v>1</v>
      </c>
      <c r="U1210" s="9" t="n">
        <v>-960000</v>
      </c>
      <c r="V1210" s="9" t="n">
        <v>-960000</v>
      </c>
      <c r="X1210" s="9" t="n">
        <v>79.54649999999999</v>
      </c>
      <c r="AK1210" s="7" t="inlineStr">
        <is>
          <t>PYTHON_LIFECYCLE</t>
        </is>
      </c>
      <c r="AL1210" s="8">
        <f>IF($J1210="INR",1,IF($M1210&lt;$A1210,INDEX(Market_Daily!$F$6:$F$256,MATCH($M1210,Market_Daily!$A$6:$A$256,1)),IF($M1210=$A1210,INDEX(Market_Daily!$F$6:$F$256,MATCH($A1210,Market_Daily!$A$6:$A$256,0)),(INDEX(Market_Daily!$F$6:$F$256,MATCH($A1210,Market_Daily!$A$6:$A$256,0))*(1+INDEX(Market_Daily!$I$6:$I$256,MATCH($A1210,Market_Daily!$A$6:$A$256,0))*($M1210-$A1210)/day_count_inr)/(1+INDEX(Market_Daily!$J$6:$J$256,MATCH($A1210,Market_Daily!$A$6:$A$256,0))*($M1210-$A1210)/day_count_usd)))))</f>
        <v/>
      </c>
      <c r="AM1210" s="8">
        <f>IF(OR($J1210="INR",$R1210&gt;1),"",$AL1210-$X1210)</f>
        <v/>
      </c>
      <c r="AN1210" s="8">
        <f>$U1210</f>
        <v/>
      </c>
      <c r="AO1210" s="8">
        <f>$AN1210*IF($J1210="INR",1,$AL1210)</f>
        <v/>
      </c>
      <c r="AP1210" s="18">
        <f>$AO1210-$V1210</f>
        <v/>
      </c>
      <c r="AQ1210" s="8">
        <f>IF(ABS($AP1210)&lt;=tol_trade_inr,"PASS","FAIL")</f>
        <v/>
      </c>
    </row>
    <row r="1211">
      <c r="A1211" s="11" t="n">
        <v>44804</v>
      </c>
      <c r="B1211" s="7" t="inlineStr">
        <is>
          <t>T09</t>
        </is>
      </c>
      <c r="C1211" s="7" t="inlineStr">
        <is>
          <t>PORT:L2</t>
        </is>
      </c>
      <c r="D1211" s="7" t="inlineStr">
        <is>
          <t>PORT</t>
        </is>
      </c>
      <c r="E1211" s="7" t="inlineStr">
        <is>
          <t>physical</t>
        </is>
      </c>
      <c r="F1211" s="7" t="inlineStr">
        <is>
          <t>L2</t>
        </is>
      </c>
      <c r="H1211" s="7" t="inlineStr">
        <is>
          <t>tense</t>
        </is>
      </c>
      <c r="I1211" s="7" t="inlineStr">
        <is>
          <t>JEA_NSA</t>
        </is>
      </c>
      <c r="J1211" s="7" t="inlineStr">
        <is>
          <t>INR</t>
        </is>
      </c>
      <c r="K1211" s="7" t="inlineStr">
        <is>
          <t>fixed_unsettled</t>
        </is>
      </c>
      <c r="L1211" s="7" t="inlineStr">
        <is>
          <t>PNL</t>
        </is>
      </c>
      <c r="M1211" s="11" t="n">
        <v>44812</v>
      </c>
      <c r="N1211" s="13" t="n">
        <v>0</v>
      </c>
      <c r="O1211" s="6" t="n">
        <v>0</v>
      </c>
      <c r="P1211" s="13" t="n">
        <v>0</v>
      </c>
      <c r="Q1211" s="22" t="n">
        <v>30</v>
      </c>
      <c r="R1211" s="6" t="n">
        <v>1</v>
      </c>
      <c r="U1211" s="9" t="n">
        <v>-960000</v>
      </c>
      <c r="V1211" s="9" t="n">
        <v>-960000</v>
      </c>
      <c r="X1211" s="9" t="n">
        <v>79.54649999999999</v>
      </c>
      <c r="AK1211" s="7" t="inlineStr">
        <is>
          <t>PYTHON_LIFECYCLE</t>
        </is>
      </c>
      <c r="AL1211" s="8">
        <f>IF($J1211="INR",1,IF($M1211&lt;$A1211,INDEX(Market_Daily!$F$6:$F$256,MATCH($M1211,Market_Daily!$A$6:$A$256,1)),IF($M1211=$A1211,INDEX(Market_Daily!$F$6:$F$256,MATCH($A1211,Market_Daily!$A$6:$A$256,0)),(INDEX(Market_Daily!$F$6:$F$256,MATCH($A1211,Market_Daily!$A$6:$A$256,0))*(1+INDEX(Market_Daily!$I$6:$I$256,MATCH($A1211,Market_Daily!$A$6:$A$256,0))*($M1211-$A1211)/day_count_inr)/(1+INDEX(Market_Daily!$J$6:$J$256,MATCH($A1211,Market_Daily!$A$6:$A$256,0))*($M1211-$A1211)/day_count_usd)))))</f>
        <v/>
      </c>
      <c r="AM1211" s="8">
        <f>IF(OR($J1211="INR",$R1211&gt;1),"",$AL1211-$X1211)</f>
        <v/>
      </c>
      <c r="AN1211" s="8">
        <f>$U1211</f>
        <v/>
      </c>
      <c r="AO1211" s="8">
        <f>$AN1211*IF($J1211="INR",1,$AL1211)</f>
        <v/>
      </c>
      <c r="AP1211" s="18">
        <f>$AO1211-$V1211</f>
        <v/>
      </c>
      <c r="AQ1211" s="8">
        <f>IF(ABS($AP1211)&lt;=tol_trade_inr,"PASS","FAIL")</f>
        <v/>
      </c>
    </row>
    <row r="1212">
      <c r="A1212" s="11" t="n">
        <v>44804</v>
      </c>
      <c r="B1212" s="7" t="inlineStr">
        <is>
          <t>T09</t>
        </is>
      </c>
      <c r="C1212" s="7" t="inlineStr">
        <is>
          <t>PURCHASE:L1</t>
        </is>
      </c>
      <c r="D1212" s="7" t="inlineStr">
        <is>
          <t>PURCHASE</t>
        </is>
      </c>
      <c r="E1212" s="7" t="inlineStr">
        <is>
          <t>physical</t>
        </is>
      </c>
      <c r="F1212" s="7" t="inlineStr">
        <is>
          <t>L1</t>
        </is>
      </c>
      <c r="G1212" s="7" t="inlineStr">
        <is>
          <t>SUP_JEA_01</t>
        </is>
      </c>
      <c r="H1212" s="7" t="inlineStr">
        <is>
          <t>tense</t>
        </is>
      </c>
      <c r="I1212" s="7" t="inlineStr">
        <is>
          <t>JEA_NSA</t>
        </is>
      </c>
      <c r="J1212" s="7" t="inlineStr">
        <is>
          <t>USD</t>
        </is>
      </c>
      <c r="K1212" s="7" t="inlineStr">
        <is>
          <t>fixed_unsettled</t>
        </is>
      </c>
      <c r="L1212" s="7" t="inlineStr">
        <is>
          <t>PNL</t>
        </is>
      </c>
      <c r="M1212" s="11" t="n">
        <v>44851</v>
      </c>
      <c r="N1212" s="13" t="n">
        <v>600</v>
      </c>
      <c r="O1212" s="6" t="n">
        <v>0</v>
      </c>
      <c r="P1212" s="13" t="n">
        <v>0</v>
      </c>
      <c r="Q1212" s="22" t="n">
        <v>30</v>
      </c>
      <c r="R1212" s="6" t="n">
        <v>1</v>
      </c>
      <c r="U1212" s="9" t="n">
        <v>-1096200</v>
      </c>
      <c r="V1212" s="9" t="n">
        <v>-87502326.81</v>
      </c>
      <c r="X1212" s="9" t="n">
        <v>79.8233</v>
      </c>
      <c r="AK1212" s="7" t="inlineStr">
        <is>
          <t>PYTHON_LIFECYCLE</t>
        </is>
      </c>
      <c r="AL1212" s="8">
        <f>IF($J1212="INR",1,IF($M1212&lt;$A1212,INDEX(Market_Daily!$F$6:$F$256,MATCH($M1212,Market_Daily!$A$6:$A$256,1)),IF($M1212=$A1212,INDEX(Market_Daily!$F$6:$F$256,MATCH($A1212,Market_Daily!$A$6:$A$256,0)),(INDEX(Market_Daily!$F$6:$F$256,MATCH($A1212,Market_Daily!$A$6:$A$256,0))*(1+INDEX(Market_Daily!$I$6:$I$256,MATCH($A1212,Market_Daily!$A$6:$A$256,0))*($M1212-$A1212)/day_count_inr)/(1+INDEX(Market_Daily!$J$6:$J$256,MATCH($A1212,Market_Daily!$A$6:$A$256,0))*($M1212-$A1212)/day_count_usd)))))</f>
        <v/>
      </c>
      <c r="AM1212" s="8">
        <f>IF(OR($J1212="INR",$R1212&gt;1),"",$AL1212-$X1212)</f>
        <v/>
      </c>
      <c r="AN1212" s="8">
        <f>$U1212</f>
        <v/>
      </c>
      <c r="AO1212" s="8">
        <f>$AN1212*IF($J1212="INR",1,$AL1212)</f>
        <v/>
      </c>
      <c r="AP1212" s="18">
        <f>$AO1212-$V1212</f>
        <v/>
      </c>
      <c r="AQ1212" s="8">
        <f>IF(ABS($AP1212)&lt;=tol_trade_inr,"PASS","FAIL")</f>
        <v/>
      </c>
    </row>
    <row r="1213">
      <c r="A1213" s="11" t="n">
        <v>44804</v>
      </c>
      <c r="B1213" s="7" t="inlineStr">
        <is>
          <t>T09</t>
        </is>
      </c>
      <c r="C1213" s="7" t="inlineStr">
        <is>
          <t>PURCHASE:L2</t>
        </is>
      </c>
      <c r="D1213" s="7" t="inlineStr">
        <is>
          <t>PURCHASE</t>
        </is>
      </c>
      <c r="E1213" s="7" t="inlineStr">
        <is>
          <t>physical</t>
        </is>
      </c>
      <c r="F1213" s="7" t="inlineStr">
        <is>
          <t>L2</t>
        </is>
      </c>
      <c r="G1213" s="7" t="inlineStr">
        <is>
          <t>SUP_JEA_01</t>
        </is>
      </c>
      <c r="H1213" s="7" t="inlineStr">
        <is>
          <t>tense</t>
        </is>
      </c>
      <c r="I1213" s="7" t="inlineStr">
        <is>
          <t>JEA_NSA</t>
        </is>
      </c>
      <c r="J1213" s="7" t="inlineStr">
        <is>
          <t>USD</t>
        </is>
      </c>
      <c r="K1213" s="7" t="inlineStr">
        <is>
          <t>fixed_unsettled</t>
        </is>
      </c>
      <c r="L1213" s="7" t="inlineStr">
        <is>
          <t>PNL</t>
        </is>
      </c>
      <c r="M1213" s="11" t="n">
        <v>44858</v>
      </c>
      <c r="N1213" s="13" t="n">
        <v>600</v>
      </c>
      <c r="O1213" s="6" t="n">
        <v>0</v>
      </c>
      <c r="P1213" s="13" t="n">
        <v>0</v>
      </c>
      <c r="Q1213" s="22" t="n">
        <v>30</v>
      </c>
      <c r="R1213" s="6" t="n">
        <v>1</v>
      </c>
      <c r="U1213" s="9" t="n">
        <v>-1096200</v>
      </c>
      <c r="V1213" s="9" t="n">
        <v>-87547326.94</v>
      </c>
      <c r="X1213" s="9" t="n">
        <v>79.8644</v>
      </c>
      <c r="AK1213" s="7" t="inlineStr">
        <is>
          <t>PYTHON_LIFECYCLE</t>
        </is>
      </c>
      <c r="AL1213" s="8">
        <f>IF($J1213="INR",1,IF($M1213&lt;$A1213,INDEX(Market_Daily!$F$6:$F$256,MATCH($M1213,Market_Daily!$A$6:$A$256,1)),IF($M1213=$A1213,INDEX(Market_Daily!$F$6:$F$256,MATCH($A1213,Market_Daily!$A$6:$A$256,0)),(INDEX(Market_Daily!$F$6:$F$256,MATCH($A1213,Market_Daily!$A$6:$A$256,0))*(1+INDEX(Market_Daily!$I$6:$I$256,MATCH($A1213,Market_Daily!$A$6:$A$256,0))*($M1213-$A1213)/day_count_inr)/(1+INDEX(Market_Daily!$J$6:$J$256,MATCH($A1213,Market_Daily!$A$6:$A$256,0))*($M1213-$A1213)/day_count_usd)))))</f>
        <v/>
      </c>
      <c r="AM1213" s="8">
        <f>IF(OR($J1213="INR",$R1213&gt;1),"",$AL1213-$X1213)</f>
        <v/>
      </c>
      <c r="AN1213" s="8">
        <f>$U1213</f>
        <v/>
      </c>
      <c r="AO1213" s="8">
        <f>$AN1213*IF($J1213="INR",1,$AL1213)</f>
        <v/>
      </c>
      <c r="AP1213" s="18">
        <f>$AO1213-$V1213</f>
        <v/>
      </c>
      <c r="AQ1213" s="8">
        <f>IF(ABS($AP1213)&lt;=tol_trade_inr,"PASS","FAIL")</f>
        <v/>
      </c>
    </row>
    <row r="1214">
      <c r="A1214" s="11" t="n">
        <v>44804</v>
      </c>
      <c r="B1214" s="7" t="inlineStr">
        <is>
          <t>T09</t>
        </is>
      </c>
      <c r="C1214" s="7" t="inlineStr">
        <is>
          <t>SALE:S1</t>
        </is>
      </c>
      <c r="D1214" s="7" t="inlineStr">
        <is>
          <t>SALE</t>
        </is>
      </c>
      <c r="E1214" s="7" t="inlineStr">
        <is>
          <t>physical</t>
        </is>
      </c>
      <c r="G1214" s="7" t="inlineStr">
        <is>
          <t>BUY_JNPT_01</t>
        </is>
      </c>
      <c r="H1214" s="7" t="inlineStr">
        <is>
          <t>tense</t>
        </is>
      </c>
      <c r="I1214" s="7" t="inlineStr">
        <is>
          <t>JEA_NSA</t>
        </is>
      </c>
      <c r="J1214" s="7" t="inlineStr">
        <is>
          <t>INR</t>
        </is>
      </c>
      <c r="K1214" s="7" t="inlineStr">
        <is>
          <t>fixed_unsettled</t>
        </is>
      </c>
      <c r="L1214" s="7" t="inlineStr">
        <is>
          <t>PNL</t>
        </is>
      </c>
      <c r="M1214" s="11" t="n">
        <v>44844</v>
      </c>
      <c r="N1214" s="13" t="n">
        <v>2400</v>
      </c>
      <c r="O1214" s="6" t="n">
        <v>0</v>
      </c>
      <c r="P1214" s="13" t="n">
        <v>0</v>
      </c>
      <c r="Q1214" s="22" t="n">
        <v>30</v>
      </c>
      <c r="R1214" s="6" t="n">
        <v>2</v>
      </c>
      <c r="U1214" s="9" t="n">
        <v>151650000</v>
      </c>
      <c r="V1214" s="9" t="n">
        <v>151650000</v>
      </c>
      <c r="W1214" s="9" t="n">
        <v>168500</v>
      </c>
      <c r="X1214" s="9" t="n">
        <v>79.54649999999999</v>
      </c>
      <c r="AK1214" s="7" t="inlineStr">
        <is>
          <t>PYTHON_MULTI_FLOW_LEG</t>
        </is>
      </c>
      <c r="AL1214" s="8">
        <f>IF($J1214="INR",1,IF($M1214&lt;$A1214,INDEX(Market_Daily!$F$6:$F$256,MATCH($M1214,Market_Daily!$A$6:$A$256,1)),IF($M1214=$A1214,INDEX(Market_Daily!$F$6:$F$256,MATCH($A1214,Market_Daily!$A$6:$A$256,0)),(INDEX(Market_Daily!$F$6:$F$256,MATCH($A1214,Market_Daily!$A$6:$A$256,0))*(1+INDEX(Market_Daily!$I$6:$I$256,MATCH($A1214,Market_Daily!$A$6:$A$256,0))*($M1214-$A1214)/day_count_inr)/(1+INDEX(Market_Daily!$J$6:$J$256,MATCH($A1214,Market_Daily!$A$6:$A$256,0))*($M1214-$A1214)/day_count_usd)))))</f>
        <v/>
      </c>
      <c r="AM1214" s="8">
        <f>IF(OR($J1214="INR",$R1214&gt;1),"",$AL1214-$X1214)</f>
        <v/>
      </c>
      <c r="AN1214" s="8">
        <f>$U1214</f>
        <v/>
      </c>
      <c r="AO1214" s="8">
        <f>$V1214</f>
        <v/>
      </c>
      <c r="AP1214" s="18">
        <f>$AO1214-$V1214</f>
        <v/>
      </c>
      <c r="AQ1214" s="8">
        <f>IF(ABS($AP1214)&lt;=tol_trade_inr,"PASS","FAIL")</f>
        <v/>
      </c>
    </row>
    <row r="1215">
      <c r="A1215" s="11" t="n">
        <v>44804</v>
      </c>
      <c r="B1215" s="7" t="inlineStr">
        <is>
          <t>T09</t>
        </is>
      </c>
      <c r="C1215" s="7" t="inlineStr">
        <is>
          <t>USANCE_INTEREST:L1</t>
        </is>
      </c>
      <c r="D1215" s="7" t="inlineStr">
        <is>
          <t>USANCE_INTEREST</t>
        </is>
      </c>
      <c r="E1215" s="7" t="inlineStr">
        <is>
          <t>physical</t>
        </is>
      </c>
      <c r="F1215" s="7" t="inlineStr">
        <is>
          <t>L1</t>
        </is>
      </c>
      <c r="H1215" s="7" t="inlineStr">
        <is>
          <t>tense</t>
        </is>
      </c>
      <c r="I1215" s="7" t="inlineStr">
        <is>
          <t>JEA_NSA</t>
        </is>
      </c>
      <c r="J1215" s="7" t="inlineStr">
        <is>
          <t>USD</t>
        </is>
      </c>
      <c r="K1215" s="7" t="inlineStr">
        <is>
          <t>fixed_unsettled</t>
        </is>
      </c>
      <c r="L1215" s="7" t="inlineStr">
        <is>
          <t>PNL</t>
        </is>
      </c>
      <c r="M1215" s="11" t="n">
        <v>44851</v>
      </c>
      <c r="N1215" s="13" t="n">
        <v>0</v>
      </c>
      <c r="O1215" s="6" t="n">
        <v>0</v>
      </c>
      <c r="P1215" s="13" t="n">
        <v>0</v>
      </c>
      <c r="Q1215" s="22" t="n">
        <v>30</v>
      </c>
      <c r="R1215" s="6" t="n">
        <v>1</v>
      </c>
      <c r="U1215" s="9" t="n">
        <v>-7768.04</v>
      </c>
      <c r="V1215" s="9" t="n">
        <v>-620070.66</v>
      </c>
      <c r="X1215" s="9" t="n">
        <v>79.8233</v>
      </c>
      <c r="AK1215" s="7" t="inlineStr">
        <is>
          <t>PYTHON_LIFECYCLE</t>
        </is>
      </c>
      <c r="AL1215" s="8">
        <f>IF($J1215="INR",1,IF($M1215&lt;$A1215,INDEX(Market_Daily!$F$6:$F$256,MATCH($M1215,Market_Daily!$A$6:$A$256,1)),IF($M1215=$A1215,INDEX(Market_Daily!$F$6:$F$256,MATCH($A1215,Market_Daily!$A$6:$A$256,0)),(INDEX(Market_Daily!$F$6:$F$256,MATCH($A1215,Market_Daily!$A$6:$A$256,0))*(1+INDEX(Market_Daily!$I$6:$I$256,MATCH($A1215,Market_Daily!$A$6:$A$256,0))*($M1215-$A1215)/day_count_inr)/(1+INDEX(Market_Daily!$J$6:$J$256,MATCH($A1215,Market_Daily!$A$6:$A$256,0))*($M1215-$A1215)/day_count_usd)))))</f>
        <v/>
      </c>
      <c r="AM1215" s="8">
        <f>IF(OR($J1215="INR",$R1215&gt;1),"",$AL1215-$X1215)</f>
        <v/>
      </c>
      <c r="AN1215" s="8">
        <f>$U1215</f>
        <v/>
      </c>
      <c r="AO1215" s="8">
        <f>$AN1215*IF($J1215="INR",1,$AL1215)</f>
        <v/>
      </c>
      <c r="AP1215" s="18">
        <f>$AO1215-$V1215</f>
        <v/>
      </c>
      <c r="AQ1215" s="8">
        <f>IF(ABS($AP1215)&lt;=tol_trade_inr,"PASS","FAIL")</f>
        <v/>
      </c>
    </row>
    <row r="1216">
      <c r="A1216" s="11" t="n">
        <v>44804</v>
      </c>
      <c r="B1216" s="7" t="inlineStr">
        <is>
          <t>T09</t>
        </is>
      </c>
      <c r="C1216" s="7" t="inlineStr">
        <is>
          <t>USANCE_INTEREST:L2</t>
        </is>
      </c>
      <c r="D1216" s="7" t="inlineStr">
        <is>
          <t>USANCE_INTEREST</t>
        </is>
      </c>
      <c r="E1216" s="7" t="inlineStr">
        <is>
          <t>physical</t>
        </is>
      </c>
      <c r="F1216" s="7" t="inlineStr">
        <is>
          <t>L2</t>
        </is>
      </c>
      <c r="H1216" s="7" t="inlineStr">
        <is>
          <t>tense</t>
        </is>
      </c>
      <c r="I1216" s="7" t="inlineStr">
        <is>
          <t>JEA_NSA</t>
        </is>
      </c>
      <c r="J1216" s="7" t="inlineStr">
        <is>
          <t>USD</t>
        </is>
      </c>
      <c r="K1216" s="7" t="inlineStr">
        <is>
          <t>fixed_unsettled</t>
        </is>
      </c>
      <c r="L1216" s="7" t="inlineStr">
        <is>
          <t>PNL</t>
        </is>
      </c>
      <c r="M1216" s="11" t="n">
        <v>44858</v>
      </c>
      <c r="N1216" s="13" t="n">
        <v>0</v>
      </c>
      <c r="O1216" s="6" t="n">
        <v>0</v>
      </c>
      <c r="P1216" s="13" t="n">
        <v>0</v>
      </c>
      <c r="Q1216" s="22" t="n">
        <v>30</v>
      </c>
      <c r="R1216" s="6" t="n">
        <v>1</v>
      </c>
      <c r="U1216" s="9" t="n">
        <v>-8020.35</v>
      </c>
      <c r="V1216" s="9" t="n">
        <v>-640540.02</v>
      </c>
      <c r="X1216" s="9" t="n">
        <v>79.8644</v>
      </c>
      <c r="AK1216" s="7" t="inlineStr">
        <is>
          <t>PYTHON_LIFECYCLE</t>
        </is>
      </c>
      <c r="AL1216" s="8">
        <f>IF($J1216="INR",1,IF($M1216&lt;$A1216,INDEX(Market_Daily!$F$6:$F$256,MATCH($M1216,Market_Daily!$A$6:$A$256,1)),IF($M1216=$A1216,INDEX(Market_Daily!$F$6:$F$256,MATCH($A1216,Market_Daily!$A$6:$A$256,0)),(INDEX(Market_Daily!$F$6:$F$256,MATCH($A1216,Market_Daily!$A$6:$A$256,0))*(1+INDEX(Market_Daily!$I$6:$I$256,MATCH($A1216,Market_Daily!$A$6:$A$256,0))*($M1216-$A1216)/day_count_inr)/(1+INDEX(Market_Daily!$J$6:$J$256,MATCH($A1216,Market_Daily!$A$6:$A$256,0))*($M1216-$A1216)/day_count_usd)))))</f>
        <v/>
      </c>
      <c r="AM1216" s="8">
        <f>IF(OR($J1216="INR",$R1216&gt;1),"",$AL1216-$X1216)</f>
        <v/>
      </c>
      <c r="AN1216" s="8">
        <f>$U1216</f>
        <v/>
      </c>
      <c r="AO1216" s="8">
        <f>$AN1216*IF($J1216="INR",1,$AL1216)</f>
        <v/>
      </c>
      <c r="AP1216" s="18">
        <f>$AO1216-$V1216</f>
        <v/>
      </c>
      <c r="AQ1216" s="8">
        <f>IF(ABS($AP1216)&lt;=tol_trade_inr,"PASS","FAIL")</f>
        <v/>
      </c>
    </row>
    <row r="1217">
      <c r="A1217" s="11" t="n">
        <v>44834</v>
      </c>
      <c r="B1217" s="7" t="inlineStr">
        <is>
          <t>T07</t>
        </is>
      </c>
      <c r="C1217" s="7" t="inlineStr">
        <is>
          <t>SALE:S1</t>
        </is>
      </c>
      <c r="D1217" s="7" t="inlineStr">
        <is>
          <t>SALE</t>
        </is>
      </c>
      <c r="E1217" s="7" t="inlineStr">
        <is>
          <t>physical</t>
        </is>
      </c>
      <c r="G1217" s="7" t="inlineStr">
        <is>
          <t>BUY_RJK_01</t>
        </is>
      </c>
      <c r="H1217" s="7" t="inlineStr">
        <is>
          <t>tense</t>
        </is>
      </c>
      <c r="I1217" s="7" t="inlineStr">
        <is>
          <t>USEC_MUN</t>
        </is>
      </c>
      <c r="J1217" s="7" t="inlineStr">
        <is>
          <t>INR</t>
        </is>
      </c>
      <c r="K1217" s="7" t="inlineStr">
        <is>
          <t>fixed_unsettled</t>
        </is>
      </c>
      <c r="L1217" s="7" t="inlineStr">
        <is>
          <t>PNL</t>
        </is>
      </c>
      <c r="M1217" s="11" t="n">
        <v>44845</v>
      </c>
      <c r="N1217" s="13" t="n">
        <v>3766.77</v>
      </c>
      <c r="O1217" s="6" t="n">
        <v>0</v>
      </c>
      <c r="P1217" s="13" t="n">
        <v>0</v>
      </c>
      <c r="Q1217" s="22" t="n">
        <v>30</v>
      </c>
      <c r="R1217" s="6" t="n">
        <v>2</v>
      </c>
      <c r="U1217" s="9" t="n">
        <v>89239103.02</v>
      </c>
      <c r="V1217" s="9" t="n">
        <v>89239103.02</v>
      </c>
      <c r="W1217" s="9" t="n">
        <v>165750</v>
      </c>
      <c r="X1217" s="9" t="n">
        <v>81.4783</v>
      </c>
      <c r="AK1217" s="7" t="inlineStr">
        <is>
          <t>PYTHON_MULTI_FLOW_LEG</t>
        </is>
      </c>
      <c r="AL1217" s="8">
        <f>IF($J1217="INR",1,IF($M1217&lt;$A1217,INDEX(Market_Daily!$F$6:$F$256,MATCH($M1217,Market_Daily!$A$6:$A$256,1)),IF($M1217=$A1217,INDEX(Market_Daily!$F$6:$F$256,MATCH($A1217,Market_Daily!$A$6:$A$256,0)),(INDEX(Market_Daily!$F$6:$F$256,MATCH($A1217,Market_Daily!$A$6:$A$256,0))*(1+INDEX(Market_Daily!$I$6:$I$256,MATCH($A1217,Market_Daily!$A$6:$A$256,0))*($M1217-$A1217)/day_count_inr)/(1+INDEX(Market_Daily!$J$6:$J$256,MATCH($A1217,Market_Daily!$A$6:$A$256,0))*($M1217-$A1217)/day_count_usd)))))</f>
        <v/>
      </c>
      <c r="AM1217" s="8">
        <f>IF(OR($J1217="INR",$R1217&gt;1),"",$AL1217-$X1217)</f>
        <v/>
      </c>
      <c r="AN1217" s="8">
        <f>$U1217</f>
        <v/>
      </c>
      <c r="AO1217" s="8">
        <f>$V1217</f>
        <v/>
      </c>
      <c r="AP1217" s="18">
        <f>$AO1217-$V1217</f>
        <v/>
      </c>
      <c r="AQ1217" s="8">
        <f>IF(ABS($AP1217)&lt;=tol_trade_inr,"PASS","FAIL")</f>
        <v/>
      </c>
    </row>
    <row r="1218">
      <c r="A1218" s="11" t="n">
        <v>44834</v>
      </c>
      <c r="B1218" s="7" t="inlineStr">
        <is>
          <t>T08</t>
        </is>
      </c>
      <c r="C1218" s="7" t="inlineStr">
        <is>
          <t>SALE:S1</t>
        </is>
      </c>
      <c r="D1218" s="7" t="inlineStr">
        <is>
          <t>SALE</t>
        </is>
      </c>
      <c r="E1218" s="7" t="inlineStr">
        <is>
          <t>physical</t>
        </is>
      </c>
      <c r="G1218" s="7" t="inlineStr">
        <is>
          <t>BUY_MUN_01</t>
        </is>
      </c>
      <c r="H1218" s="7" t="inlineStr">
        <is>
          <t>tense</t>
        </is>
      </c>
      <c r="I1218" s="7" t="inlineStr">
        <is>
          <t>USEC_MUN</t>
        </is>
      </c>
      <c r="J1218" s="7" t="inlineStr">
        <is>
          <t>INR</t>
        </is>
      </c>
      <c r="K1218" s="7" t="inlineStr">
        <is>
          <t>fixed_unsettled</t>
        </is>
      </c>
      <c r="L1218" s="7" t="inlineStr">
        <is>
          <t>PNL</t>
        </is>
      </c>
      <c r="M1218" s="11" t="n">
        <v>44844</v>
      </c>
      <c r="N1218" s="13" t="n">
        <v>1657.362</v>
      </c>
      <c r="O1218" s="6" t="n">
        <v>0</v>
      </c>
      <c r="P1218" s="13" t="n">
        <v>0</v>
      </c>
      <c r="Q1218" s="22" t="n">
        <v>30</v>
      </c>
      <c r="R1218" s="6" t="n">
        <v>1</v>
      </c>
      <c r="U1218" s="9" t="n">
        <v>266516870.92</v>
      </c>
      <c r="V1218" s="9" t="n">
        <v>266516870.92</v>
      </c>
      <c r="W1218" s="9" t="n">
        <v>161285.1272</v>
      </c>
      <c r="X1218" s="9" t="n">
        <v>81.4783</v>
      </c>
      <c r="AK1218" s="7" t="inlineStr">
        <is>
          <t>PYTHON_LIFECYCLE</t>
        </is>
      </c>
      <c r="AL1218" s="8">
        <f>IF($J1218="INR",1,IF($M1218&lt;$A1218,INDEX(Market_Daily!$F$6:$F$256,MATCH($M1218,Market_Daily!$A$6:$A$256,1)),IF($M1218=$A1218,INDEX(Market_Daily!$F$6:$F$256,MATCH($A1218,Market_Daily!$A$6:$A$256,0)),(INDEX(Market_Daily!$F$6:$F$256,MATCH($A1218,Market_Daily!$A$6:$A$256,0))*(1+INDEX(Market_Daily!$I$6:$I$256,MATCH($A1218,Market_Daily!$A$6:$A$256,0))*($M1218-$A1218)/day_count_inr)/(1+INDEX(Market_Daily!$J$6:$J$256,MATCH($A1218,Market_Daily!$A$6:$A$256,0))*($M1218-$A1218)/day_count_usd)))))</f>
        <v/>
      </c>
      <c r="AM1218" s="8">
        <f>IF(OR($J1218="INR",$R1218&gt;1),"",$AL1218-$X1218)</f>
        <v/>
      </c>
      <c r="AN1218" s="8">
        <f>$U1218</f>
        <v/>
      </c>
      <c r="AO1218" s="8">
        <f>$AN1218*IF($J1218="INR",1,$AL1218)</f>
        <v/>
      </c>
      <c r="AP1218" s="18">
        <f>$AO1218-$V1218</f>
        <v/>
      </c>
      <c r="AQ1218" s="8">
        <f>IF(ABS($AP1218)&lt;=tol_trade_inr,"PASS","FAIL")</f>
        <v/>
      </c>
    </row>
    <row r="1219">
      <c r="A1219" s="11" t="n">
        <v>44834</v>
      </c>
      <c r="B1219" s="7" t="inlineStr">
        <is>
          <t>T09</t>
        </is>
      </c>
      <c r="C1219" s="7" t="inlineStr">
        <is>
          <t>BILL_COMMISSION:L1</t>
        </is>
      </c>
      <c r="D1219" s="7" t="inlineStr">
        <is>
          <t>BILL_COMMISSION</t>
        </is>
      </c>
      <c r="E1219" s="7" t="inlineStr">
        <is>
          <t>physical</t>
        </is>
      </c>
      <c r="F1219" s="7" t="inlineStr">
        <is>
          <t>L1</t>
        </is>
      </c>
      <c r="H1219" s="7" t="inlineStr">
        <is>
          <t>tense</t>
        </is>
      </c>
      <c r="I1219" s="7" t="inlineStr">
        <is>
          <t>JEA_NSA</t>
        </is>
      </c>
      <c r="J1219" s="7" t="inlineStr">
        <is>
          <t>USD</t>
        </is>
      </c>
      <c r="K1219" s="7" t="inlineStr">
        <is>
          <t>floating</t>
        </is>
      </c>
      <c r="L1219" s="7" t="inlineStr">
        <is>
          <t>PNL</t>
        </is>
      </c>
      <c r="M1219" s="11" t="n">
        <v>44851</v>
      </c>
      <c r="N1219" s="13" t="n">
        <v>0</v>
      </c>
      <c r="O1219" s="6" t="n">
        <v>0</v>
      </c>
      <c r="P1219" s="13" t="n">
        <v>0</v>
      </c>
      <c r="Q1219" s="22" t="n">
        <v>30</v>
      </c>
      <c r="R1219" s="6" t="n">
        <v>1</v>
      </c>
      <c r="U1219" s="9" t="n">
        <v>-1315.44</v>
      </c>
      <c r="V1219" s="9" t="n">
        <v>-107329.37</v>
      </c>
      <c r="X1219" s="9" t="n">
        <v>81.592</v>
      </c>
      <c r="AK1219" s="7" t="inlineStr">
        <is>
          <t>PYTHON_LIFECYCLE</t>
        </is>
      </c>
      <c r="AL1219" s="8">
        <f>IF($J1219="INR",1,IF($M1219&lt;$A1219,INDEX(Market_Daily!$F$6:$F$256,MATCH($M1219,Market_Daily!$A$6:$A$256,1)),IF($M1219=$A1219,INDEX(Market_Daily!$F$6:$F$256,MATCH($A1219,Market_Daily!$A$6:$A$256,0)),(INDEX(Market_Daily!$F$6:$F$256,MATCH($A1219,Market_Daily!$A$6:$A$256,0))*(1+INDEX(Market_Daily!$I$6:$I$256,MATCH($A1219,Market_Daily!$A$6:$A$256,0))*($M1219-$A1219)/day_count_inr)/(1+INDEX(Market_Daily!$J$6:$J$256,MATCH($A1219,Market_Daily!$A$6:$A$256,0))*($M1219-$A1219)/day_count_usd)))))</f>
        <v/>
      </c>
      <c r="AM1219" s="8">
        <f>IF(OR($J1219="INR",$R1219&gt;1),"",$AL1219-$X1219)</f>
        <v/>
      </c>
      <c r="AN1219" s="8">
        <f>$U1219</f>
        <v/>
      </c>
      <c r="AO1219" s="8">
        <f>$AN1219*IF($J1219="INR",1,$AL1219)</f>
        <v/>
      </c>
      <c r="AP1219" s="18">
        <f>$AO1219-$V1219</f>
        <v/>
      </c>
      <c r="AQ1219" s="8">
        <f>IF(ABS($AP1219)&lt;=tol_trade_inr,"PASS","FAIL")</f>
        <v/>
      </c>
    </row>
    <row r="1220">
      <c r="A1220" s="11" t="n">
        <v>44834</v>
      </c>
      <c r="B1220" s="7" t="inlineStr">
        <is>
          <t>T09</t>
        </is>
      </c>
      <c r="C1220" s="7" t="inlineStr">
        <is>
          <t>BILL_COMMISSION:L2</t>
        </is>
      </c>
      <c r="D1220" s="7" t="inlineStr">
        <is>
          <t>BILL_COMMISSION</t>
        </is>
      </c>
      <c r="E1220" s="7" t="inlineStr">
        <is>
          <t>physical</t>
        </is>
      </c>
      <c r="F1220" s="7" t="inlineStr">
        <is>
          <t>L2</t>
        </is>
      </c>
      <c r="H1220" s="7" t="inlineStr">
        <is>
          <t>tense</t>
        </is>
      </c>
      <c r="I1220" s="7" t="inlineStr">
        <is>
          <t>JEA_NSA</t>
        </is>
      </c>
      <c r="J1220" s="7" t="inlineStr">
        <is>
          <t>USD</t>
        </is>
      </c>
      <c r="K1220" s="7" t="inlineStr">
        <is>
          <t>floating</t>
        </is>
      </c>
      <c r="L1220" s="7" t="inlineStr">
        <is>
          <t>PNL</t>
        </is>
      </c>
      <c r="M1220" s="11" t="n">
        <v>44858</v>
      </c>
      <c r="N1220" s="13" t="n">
        <v>0</v>
      </c>
      <c r="O1220" s="6" t="n">
        <v>0</v>
      </c>
      <c r="P1220" s="13" t="n">
        <v>0</v>
      </c>
      <c r="Q1220" s="22" t="n">
        <v>30</v>
      </c>
      <c r="R1220" s="6" t="n">
        <v>1</v>
      </c>
      <c r="U1220" s="9" t="n">
        <v>-1315.44</v>
      </c>
      <c r="V1220" s="9" t="n">
        <v>-107390.82</v>
      </c>
      <c r="X1220" s="9" t="n">
        <v>81.6387</v>
      </c>
      <c r="AK1220" s="7" t="inlineStr">
        <is>
          <t>PYTHON_LIFECYCLE</t>
        </is>
      </c>
      <c r="AL1220" s="8">
        <f>IF($J1220="INR",1,IF($M1220&lt;$A1220,INDEX(Market_Daily!$F$6:$F$256,MATCH($M1220,Market_Daily!$A$6:$A$256,1)),IF($M1220=$A1220,INDEX(Market_Daily!$F$6:$F$256,MATCH($A1220,Market_Daily!$A$6:$A$256,0)),(INDEX(Market_Daily!$F$6:$F$256,MATCH($A1220,Market_Daily!$A$6:$A$256,0))*(1+INDEX(Market_Daily!$I$6:$I$256,MATCH($A1220,Market_Daily!$A$6:$A$256,0))*($M1220-$A1220)/day_count_inr)/(1+INDEX(Market_Daily!$J$6:$J$256,MATCH($A1220,Market_Daily!$A$6:$A$256,0))*($M1220-$A1220)/day_count_usd)))))</f>
        <v/>
      </c>
      <c r="AM1220" s="8">
        <f>IF(OR($J1220="INR",$R1220&gt;1),"",$AL1220-$X1220)</f>
        <v/>
      </c>
      <c r="AN1220" s="8">
        <f>$U1220</f>
        <v/>
      </c>
      <c r="AO1220" s="8">
        <f>$AN1220*IF($J1220="INR",1,$AL1220)</f>
        <v/>
      </c>
      <c r="AP1220" s="18">
        <f>$AO1220-$V1220</f>
        <v/>
      </c>
      <c r="AQ1220" s="8">
        <f>IF(ABS($AP1220)&lt;=tol_trade_inr,"PASS","FAIL")</f>
        <v/>
      </c>
    </row>
    <row r="1221">
      <c r="A1221" s="11" t="n">
        <v>44834</v>
      </c>
      <c r="B1221" s="7" t="inlineStr">
        <is>
          <t>T09</t>
        </is>
      </c>
      <c r="C1221" s="7" t="inlineStr">
        <is>
          <t>FX:T09-FX-1</t>
        </is>
      </c>
      <c r="D1221" s="7" t="inlineStr">
        <is>
          <t>FX</t>
        </is>
      </c>
      <c r="E1221" s="7" t="inlineStr">
        <is>
          <t>fx_forward</t>
        </is>
      </c>
      <c r="H1221" s="7" t="inlineStr">
        <is>
          <t>tense</t>
        </is>
      </c>
      <c r="I1221" s="7" t="inlineStr">
        <is>
          <t>JEA_NSA</t>
        </is>
      </c>
      <c r="J1221" s="7" t="inlineStr">
        <is>
          <t>INR</t>
        </is>
      </c>
      <c r="K1221" s="7" t="inlineStr">
        <is>
          <t>floating</t>
        </is>
      </c>
      <c r="L1221" s="7" t="inlineStr">
        <is>
          <t>PNL</t>
        </is>
      </c>
      <c r="M1221" s="11" t="n">
        <v>44851</v>
      </c>
      <c r="N1221" s="13" t="n">
        <v>0</v>
      </c>
      <c r="O1221" s="6" t="n">
        <v>0</v>
      </c>
      <c r="P1221" s="13" t="n">
        <v>1096200</v>
      </c>
      <c r="Q1221" s="22" t="n">
        <v>30</v>
      </c>
      <c r="R1221" s="6" t="n">
        <v>1</v>
      </c>
      <c r="S1221" s="12" t="n">
        <v>44851</v>
      </c>
      <c r="T1221" s="21" t="n">
        <v>79.949476</v>
      </c>
      <c r="U1221" s="9" t="n">
        <v>1800526.41</v>
      </c>
      <c r="V1221" s="9" t="n">
        <v>1800526.41</v>
      </c>
      <c r="X1221" s="9" t="n">
        <v>81.4783</v>
      </c>
      <c r="AK1221" s="7" t="inlineStr">
        <is>
          <t>DERIVED_IN_WORKBOOK</t>
        </is>
      </c>
      <c r="AL1221" s="8">
        <f>IF($J1221="INR",1,IF($M1221&lt;$A1221,INDEX(Market_Daily!$F$6:$F$256,MATCH($M1221,Market_Daily!$A$6:$A$256,1)),IF($M1221=$A1221,INDEX(Market_Daily!$F$6:$F$256,MATCH($A1221,Market_Daily!$A$6:$A$256,0)),(INDEX(Market_Daily!$F$6:$F$256,MATCH($A1221,Market_Daily!$A$6:$A$256,0))*(1+INDEX(Market_Daily!$I$6:$I$256,MATCH($A1221,Market_Daily!$A$6:$A$256,0))*($M1221-$A1221)/day_count_inr)/(1+INDEX(Market_Daily!$J$6:$J$256,MATCH($A1221,Market_Daily!$A$6:$A$256,0))*($M1221-$A1221)/day_count_usd)))))</f>
        <v/>
      </c>
      <c r="AM1221" s="8">
        <f>IF(OR($J1221="INR",$R1221&gt;1),"",$AL1221-$X1221)</f>
        <v/>
      </c>
      <c r="AN1221" s="8">
        <f>$P1221*(IF($S1221&lt;$A1221,INDEX(Market_Daily!$F$6:$F$256,MATCH($S1221,Market_Daily!$A$6:$A$256,1)),IF($S1221=$A1221,INDEX(Market_Daily!$F$6:$F$256,MATCH($A1221,Market_Daily!$A$6:$A$256,0)),(INDEX(Market_Daily!$F$6:$F$256,MATCH($A1221,Market_Daily!$A$6:$A$256,0))*(1+INDEX(Market_Daily!$I$6:$I$256,MATCH($A1221,Market_Daily!$A$6:$A$256,0))*($S1221-$A1221)/day_count_inr)/(1+INDEX(Market_Daily!$J$6:$J$256,MATCH($A1221,Market_Daily!$A$6:$A$256,0))*($S1221-$A1221)/day_count_usd))))-$T1221)</f>
        <v/>
      </c>
      <c r="AO1221" s="8">
        <f>$AN1221</f>
        <v/>
      </c>
      <c r="AP1221" s="18">
        <f>$AO1221-$V1221</f>
        <v/>
      </c>
      <c r="AQ1221" s="8">
        <f>IF(ABS($AP1221)&lt;=tol_trade_inr,"PASS","FAIL")</f>
        <v/>
      </c>
    </row>
    <row r="1222">
      <c r="A1222" s="11" t="n">
        <v>44834</v>
      </c>
      <c r="B1222" s="7" t="inlineStr">
        <is>
          <t>T09</t>
        </is>
      </c>
      <c r="C1222" s="7" t="inlineStr">
        <is>
          <t>FX:T09-FX-2</t>
        </is>
      </c>
      <c r="D1222" s="7" t="inlineStr">
        <is>
          <t>FX</t>
        </is>
      </c>
      <c r="E1222" s="7" t="inlineStr">
        <is>
          <t>fx_forward</t>
        </is>
      </c>
      <c r="H1222" s="7" t="inlineStr">
        <is>
          <t>tense</t>
        </is>
      </c>
      <c r="I1222" s="7" t="inlineStr">
        <is>
          <t>JEA_NSA</t>
        </is>
      </c>
      <c r="J1222" s="7" t="inlineStr">
        <is>
          <t>INR</t>
        </is>
      </c>
      <c r="K1222" s="7" t="inlineStr">
        <is>
          <t>floating</t>
        </is>
      </c>
      <c r="L1222" s="7" t="inlineStr">
        <is>
          <t>PNL</t>
        </is>
      </c>
      <c r="M1222" s="11" t="n">
        <v>44858</v>
      </c>
      <c r="N1222" s="13" t="n">
        <v>0</v>
      </c>
      <c r="O1222" s="6" t="n">
        <v>0</v>
      </c>
      <c r="P1222" s="13" t="n">
        <v>1096200</v>
      </c>
      <c r="Q1222" s="22" t="n">
        <v>30</v>
      </c>
      <c r="R1222" s="6" t="n">
        <v>1</v>
      </c>
      <c r="S1222" s="12" t="n">
        <v>44858</v>
      </c>
      <c r="T1222" s="21" t="n">
        <v>80.306324</v>
      </c>
      <c r="U1222" s="9" t="n">
        <v>1460556.88</v>
      </c>
      <c r="V1222" s="9" t="n">
        <v>1460556.88</v>
      </c>
      <c r="X1222" s="9" t="n">
        <v>81.4783</v>
      </c>
      <c r="AK1222" s="7" t="inlineStr">
        <is>
          <t>DERIVED_IN_WORKBOOK</t>
        </is>
      </c>
      <c r="AL1222" s="8">
        <f>IF($J1222="INR",1,IF($M1222&lt;$A1222,INDEX(Market_Daily!$F$6:$F$256,MATCH($M1222,Market_Daily!$A$6:$A$256,1)),IF($M1222=$A1222,INDEX(Market_Daily!$F$6:$F$256,MATCH($A1222,Market_Daily!$A$6:$A$256,0)),(INDEX(Market_Daily!$F$6:$F$256,MATCH($A1222,Market_Daily!$A$6:$A$256,0))*(1+INDEX(Market_Daily!$I$6:$I$256,MATCH($A1222,Market_Daily!$A$6:$A$256,0))*($M1222-$A1222)/day_count_inr)/(1+INDEX(Market_Daily!$J$6:$J$256,MATCH($A1222,Market_Daily!$A$6:$A$256,0))*($M1222-$A1222)/day_count_usd)))))</f>
        <v/>
      </c>
      <c r="AM1222" s="8">
        <f>IF(OR($J1222="INR",$R1222&gt;1),"",$AL1222-$X1222)</f>
        <v/>
      </c>
      <c r="AN1222" s="8">
        <f>$P1222*(IF($S1222&lt;$A1222,INDEX(Market_Daily!$F$6:$F$256,MATCH($S1222,Market_Daily!$A$6:$A$256,1)),IF($S1222=$A1222,INDEX(Market_Daily!$F$6:$F$256,MATCH($A1222,Market_Daily!$A$6:$A$256,0)),(INDEX(Market_Daily!$F$6:$F$256,MATCH($A1222,Market_Daily!$A$6:$A$256,0))*(1+INDEX(Market_Daily!$I$6:$I$256,MATCH($A1222,Market_Daily!$A$6:$A$256,0))*($S1222-$A1222)/day_count_inr)/(1+INDEX(Market_Daily!$J$6:$J$256,MATCH($A1222,Market_Daily!$A$6:$A$256,0))*($S1222-$A1222)/day_count_usd))))-$T1222)</f>
        <v/>
      </c>
      <c r="AO1222" s="8">
        <f>$AN1222</f>
        <v/>
      </c>
      <c r="AP1222" s="18">
        <f>$AO1222-$V1222</f>
        <v/>
      </c>
      <c r="AQ1222" s="8">
        <f>IF(ABS($AP1222)&lt;=tol_trade_inr,"PASS","FAIL")</f>
        <v/>
      </c>
    </row>
    <row r="1223">
      <c r="A1223" s="11" t="n">
        <v>44834</v>
      </c>
      <c r="B1223" s="7" t="inlineStr">
        <is>
          <t>T09</t>
        </is>
      </c>
      <c r="C1223" s="7" t="inlineStr">
        <is>
          <t>IGST:L1</t>
        </is>
      </c>
      <c r="D1223" s="7" t="inlineStr">
        <is>
          <t>IGST</t>
        </is>
      </c>
      <c r="E1223" s="7" t="inlineStr">
        <is>
          <t>physical</t>
        </is>
      </c>
      <c r="F1223" s="7" t="inlineStr">
        <is>
          <t>L1</t>
        </is>
      </c>
      <c r="H1223" s="7" t="inlineStr">
        <is>
          <t>tense</t>
        </is>
      </c>
      <c r="I1223" s="7" t="inlineStr">
        <is>
          <t>JEA_NSA</t>
        </is>
      </c>
      <c r="J1223" s="7" t="inlineStr">
        <is>
          <t>INR</t>
        </is>
      </c>
      <c r="K1223" s="7" t="inlineStr">
        <is>
          <t>fixed_unsettled</t>
        </is>
      </c>
      <c r="L1223" s="7" t="inlineStr">
        <is>
          <t>BS</t>
        </is>
      </c>
      <c r="M1223" s="11" t="n">
        <v>44841</v>
      </c>
      <c r="N1223" s="13" t="n">
        <v>0</v>
      </c>
      <c r="O1223" s="6" t="n">
        <v>0</v>
      </c>
      <c r="P1223" s="13" t="n">
        <v>0</v>
      </c>
      <c r="Q1223" s="22" t="n">
        <v>30</v>
      </c>
      <c r="R1223" s="6" t="n">
        <v>2</v>
      </c>
      <c r="U1223" s="9" t="n">
        <v>0</v>
      </c>
      <c r="V1223" s="9" t="n">
        <v>0</v>
      </c>
      <c r="X1223" s="9" t="n">
        <v>81.4783</v>
      </c>
      <c r="AK1223" s="7" t="inlineStr">
        <is>
          <t>PYTHON_MULTI_FLOW_LEG</t>
        </is>
      </c>
      <c r="AL1223" s="8">
        <f>IF($J1223="INR",1,IF($M1223&lt;$A1223,INDEX(Market_Daily!$F$6:$F$256,MATCH($M1223,Market_Daily!$A$6:$A$256,1)),IF($M1223=$A1223,INDEX(Market_Daily!$F$6:$F$256,MATCH($A1223,Market_Daily!$A$6:$A$256,0)),(INDEX(Market_Daily!$F$6:$F$256,MATCH($A1223,Market_Daily!$A$6:$A$256,0))*(1+INDEX(Market_Daily!$I$6:$I$256,MATCH($A1223,Market_Daily!$A$6:$A$256,0))*($M1223-$A1223)/day_count_inr)/(1+INDEX(Market_Daily!$J$6:$J$256,MATCH($A1223,Market_Daily!$A$6:$A$256,0))*($M1223-$A1223)/day_count_usd)))))</f>
        <v/>
      </c>
      <c r="AM1223" s="8">
        <f>IF(OR($J1223="INR",$R1223&gt;1),"",$AL1223-$X1223)</f>
        <v/>
      </c>
      <c r="AN1223" s="8">
        <f>$U1223</f>
        <v/>
      </c>
      <c r="AO1223" s="8">
        <f>$V1223</f>
        <v/>
      </c>
      <c r="AP1223" s="18">
        <f>$AO1223-$V1223</f>
        <v/>
      </c>
      <c r="AQ1223" s="8">
        <f>IF(ABS($AP1223)&lt;=tol_trade_inr,"PASS","FAIL")</f>
        <v/>
      </c>
    </row>
    <row r="1224">
      <c r="A1224" s="11" t="n">
        <v>44834</v>
      </c>
      <c r="B1224" s="7" t="inlineStr">
        <is>
          <t>T09</t>
        </is>
      </c>
      <c r="C1224" s="7" t="inlineStr">
        <is>
          <t>IGST:L2</t>
        </is>
      </c>
      <c r="D1224" s="7" t="inlineStr">
        <is>
          <t>IGST</t>
        </is>
      </c>
      <c r="E1224" s="7" t="inlineStr">
        <is>
          <t>physical</t>
        </is>
      </c>
      <c r="F1224" s="7" t="inlineStr">
        <is>
          <t>L2</t>
        </is>
      </c>
      <c r="H1224" s="7" t="inlineStr">
        <is>
          <t>tense</t>
        </is>
      </c>
      <c r="I1224" s="7" t="inlineStr">
        <is>
          <t>JEA_NSA</t>
        </is>
      </c>
      <c r="J1224" s="7" t="inlineStr">
        <is>
          <t>INR</t>
        </is>
      </c>
      <c r="K1224" s="7" t="inlineStr">
        <is>
          <t>fixed_unsettled</t>
        </is>
      </c>
      <c r="L1224" s="7" t="inlineStr">
        <is>
          <t>BS</t>
        </is>
      </c>
      <c r="M1224" s="11" t="n">
        <v>44848</v>
      </c>
      <c r="N1224" s="13" t="n">
        <v>0</v>
      </c>
      <c r="O1224" s="6" t="n">
        <v>0</v>
      </c>
      <c r="P1224" s="13" t="n">
        <v>0</v>
      </c>
      <c r="Q1224" s="22" t="n">
        <v>30</v>
      </c>
      <c r="R1224" s="6" t="n">
        <v>2</v>
      </c>
      <c r="U1224" s="9" t="n">
        <v>0</v>
      </c>
      <c r="V1224" s="9" t="n">
        <v>0</v>
      </c>
      <c r="X1224" s="9" t="n">
        <v>81.4783</v>
      </c>
      <c r="AK1224" s="7" t="inlineStr">
        <is>
          <t>PYTHON_MULTI_FLOW_LEG</t>
        </is>
      </c>
      <c r="AL1224" s="8">
        <f>IF($J1224="INR",1,IF($M1224&lt;$A1224,INDEX(Market_Daily!$F$6:$F$256,MATCH($M1224,Market_Daily!$A$6:$A$256,1)),IF($M1224=$A1224,INDEX(Market_Daily!$F$6:$F$256,MATCH($A1224,Market_Daily!$A$6:$A$256,0)),(INDEX(Market_Daily!$F$6:$F$256,MATCH($A1224,Market_Daily!$A$6:$A$256,0))*(1+INDEX(Market_Daily!$I$6:$I$256,MATCH($A1224,Market_Daily!$A$6:$A$256,0))*($M1224-$A1224)/day_count_inr)/(1+INDEX(Market_Daily!$J$6:$J$256,MATCH($A1224,Market_Daily!$A$6:$A$256,0))*($M1224-$A1224)/day_count_usd)))))</f>
        <v/>
      </c>
      <c r="AM1224" s="8">
        <f>IF(OR($J1224="INR",$R1224&gt;1),"",$AL1224-$X1224)</f>
        <v/>
      </c>
      <c r="AN1224" s="8">
        <f>$U1224</f>
        <v/>
      </c>
      <c r="AO1224" s="8">
        <f>$V1224</f>
        <v/>
      </c>
      <c r="AP1224" s="18">
        <f>$AO1224-$V1224</f>
        <v/>
      </c>
      <c r="AQ1224" s="8">
        <f>IF(ABS($AP1224)&lt;=tol_trade_inr,"PASS","FAIL")</f>
        <v/>
      </c>
    </row>
    <row r="1225">
      <c r="A1225" s="11" t="n">
        <v>44834</v>
      </c>
      <c r="B1225" s="7" t="inlineStr">
        <is>
          <t>T09</t>
        </is>
      </c>
      <c r="C1225" s="7" t="inlineStr">
        <is>
          <t>PURCHASE:L1</t>
        </is>
      </c>
      <c r="D1225" s="7" t="inlineStr">
        <is>
          <t>PURCHASE</t>
        </is>
      </c>
      <c r="E1225" s="7" t="inlineStr">
        <is>
          <t>physical</t>
        </is>
      </c>
      <c r="F1225" s="7" t="inlineStr">
        <is>
          <t>L1</t>
        </is>
      </c>
      <c r="G1225" s="7" t="inlineStr">
        <is>
          <t>SUP_JEA_01</t>
        </is>
      </c>
      <c r="H1225" s="7" t="inlineStr">
        <is>
          <t>tense</t>
        </is>
      </c>
      <c r="I1225" s="7" t="inlineStr">
        <is>
          <t>JEA_NSA</t>
        </is>
      </c>
      <c r="J1225" s="7" t="inlineStr">
        <is>
          <t>USD</t>
        </is>
      </c>
      <c r="K1225" s="7" t="inlineStr">
        <is>
          <t>fixed_unsettled</t>
        </is>
      </c>
      <c r="L1225" s="7" t="inlineStr">
        <is>
          <t>PNL</t>
        </is>
      </c>
      <c r="M1225" s="11" t="n">
        <v>44851</v>
      </c>
      <c r="N1225" s="13" t="n">
        <v>600</v>
      </c>
      <c r="O1225" s="6" t="n">
        <v>0</v>
      </c>
      <c r="P1225" s="13" t="n">
        <v>0</v>
      </c>
      <c r="Q1225" s="22" t="n">
        <v>30</v>
      </c>
      <c r="R1225" s="6" t="n">
        <v>1</v>
      </c>
      <c r="U1225" s="9" t="n">
        <v>-1096200</v>
      </c>
      <c r="V1225" s="9" t="n">
        <v>-89441142.03</v>
      </c>
      <c r="X1225" s="9" t="n">
        <v>81.592</v>
      </c>
      <c r="AK1225" s="7" t="inlineStr">
        <is>
          <t>PYTHON_LIFECYCLE</t>
        </is>
      </c>
      <c r="AL1225" s="8">
        <f>IF($J1225="INR",1,IF($M1225&lt;$A1225,INDEX(Market_Daily!$F$6:$F$256,MATCH($M1225,Market_Daily!$A$6:$A$256,1)),IF($M1225=$A1225,INDEX(Market_Daily!$F$6:$F$256,MATCH($A1225,Market_Daily!$A$6:$A$256,0)),(INDEX(Market_Daily!$F$6:$F$256,MATCH($A1225,Market_Daily!$A$6:$A$256,0))*(1+INDEX(Market_Daily!$I$6:$I$256,MATCH($A1225,Market_Daily!$A$6:$A$256,0))*($M1225-$A1225)/day_count_inr)/(1+INDEX(Market_Daily!$J$6:$J$256,MATCH($A1225,Market_Daily!$A$6:$A$256,0))*($M1225-$A1225)/day_count_usd)))))</f>
        <v/>
      </c>
      <c r="AM1225" s="8">
        <f>IF(OR($J1225="INR",$R1225&gt;1),"",$AL1225-$X1225)</f>
        <v/>
      </c>
      <c r="AN1225" s="8">
        <f>$U1225</f>
        <v/>
      </c>
      <c r="AO1225" s="8">
        <f>$AN1225*IF($J1225="INR",1,$AL1225)</f>
        <v/>
      </c>
      <c r="AP1225" s="18">
        <f>$AO1225-$V1225</f>
        <v/>
      </c>
      <c r="AQ1225" s="8">
        <f>IF(ABS($AP1225)&lt;=tol_trade_inr,"PASS","FAIL")</f>
        <v/>
      </c>
    </row>
    <row r="1226">
      <c r="A1226" s="11" t="n">
        <v>44834</v>
      </c>
      <c r="B1226" s="7" t="inlineStr">
        <is>
          <t>T09</t>
        </is>
      </c>
      <c r="C1226" s="7" t="inlineStr">
        <is>
          <t>PURCHASE:L2</t>
        </is>
      </c>
      <c r="D1226" s="7" t="inlineStr">
        <is>
          <t>PURCHASE</t>
        </is>
      </c>
      <c r="E1226" s="7" t="inlineStr">
        <is>
          <t>physical</t>
        </is>
      </c>
      <c r="F1226" s="7" t="inlineStr">
        <is>
          <t>L2</t>
        </is>
      </c>
      <c r="G1226" s="7" t="inlineStr">
        <is>
          <t>SUP_JEA_01</t>
        </is>
      </c>
      <c r="H1226" s="7" t="inlineStr">
        <is>
          <t>tense</t>
        </is>
      </c>
      <c r="I1226" s="7" t="inlineStr">
        <is>
          <t>JEA_NSA</t>
        </is>
      </c>
      <c r="J1226" s="7" t="inlineStr">
        <is>
          <t>USD</t>
        </is>
      </c>
      <c r="K1226" s="7" t="inlineStr">
        <is>
          <t>fixed_unsettled</t>
        </is>
      </c>
      <c r="L1226" s="7" t="inlineStr">
        <is>
          <t>PNL</t>
        </is>
      </c>
      <c r="M1226" s="11" t="n">
        <v>44858</v>
      </c>
      <c r="N1226" s="13" t="n">
        <v>600</v>
      </c>
      <c r="O1226" s="6" t="n">
        <v>0</v>
      </c>
      <c r="P1226" s="13" t="n">
        <v>0</v>
      </c>
      <c r="Q1226" s="22" t="n">
        <v>30</v>
      </c>
      <c r="R1226" s="6" t="n">
        <v>1</v>
      </c>
      <c r="U1226" s="9" t="n">
        <v>-1096200</v>
      </c>
      <c r="V1226" s="9" t="n">
        <v>-89492349.31999999</v>
      </c>
      <c r="X1226" s="9" t="n">
        <v>81.6387</v>
      </c>
      <c r="AK1226" s="7" t="inlineStr">
        <is>
          <t>PYTHON_LIFECYCLE</t>
        </is>
      </c>
      <c r="AL1226" s="8">
        <f>IF($J1226="INR",1,IF($M1226&lt;$A1226,INDEX(Market_Daily!$F$6:$F$256,MATCH($M1226,Market_Daily!$A$6:$A$256,1)),IF($M1226=$A1226,INDEX(Market_Daily!$F$6:$F$256,MATCH($A1226,Market_Daily!$A$6:$A$256,0)),(INDEX(Market_Daily!$F$6:$F$256,MATCH($A1226,Market_Daily!$A$6:$A$256,0))*(1+INDEX(Market_Daily!$I$6:$I$256,MATCH($A1226,Market_Daily!$A$6:$A$256,0))*($M1226-$A1226)/day_count_inr)/(1+INDEX(Market_Daily!$J$6:$J$256,MATCH($A1226,Market_Daily!$A$6:$A$256,0))*($M1226-$A1226)/day_count_usd)))))</f>
        <v/>
      </c>
      <c r="AM1226" s="8">
        <f>IF(OR($J1226="INR",$R1226&gt;1),"",$AL1226-$X1226)</f>
        <v/>
      </c>
      <c r="AN1226" s="8">
        <f>$U1226</f>
        <v/>
      </c>
      <c r="AO1226" s="8">
        <f>$AN1226*IF($J1226="INR",1,$AL1226)</f>
        <v/>
      </c>
      <c r="AP1226" s="18">
        <f>$AO1226-$V1226</f>
        <v/>
      </c>
      <c r="AQ1226" s="8">
        <f>IF(ABS($AP1226)&lt;=tol_trade_inr,"PASS","FAIL")</f>
        <v/>
      </c>
    </row>
    <row r="1227">
      <c r="A1227" s="11" t="n">
        <v>44834</v>
      </c>
      <c r="B1227" s="7" t="inlineStr">
        <is>
          <t>T09</t>
        </is>
      </c>
      <c r="C1227" s="7" t="inlineStr">
        <is>
          <t>SALE:S1</t>
        </is>
      </c>
      <c r="D1227" s="7" t="inlineStr">
        <is>
          <t>SALE</t>
        </is>
      </c>
      <c r="E1227" s="7" t="inlineStr">
        <is>
          <t>physical</t>
        </is>
      </c>
      <c r="G1227" s="7" t="inlineStr">
        <is>
          <t>BUY_JNPT_01</t>
        </is>
      </c>
      <c r="H1227" s="7" t="inlineStr">
        <is>
          <t>tense</t>
        </is>
      </c>
      <c r="I1227" s="7" t="inlineStr">
        <is>
          <t>JEA_NSA</t>
        </is>
      </c>
      <c r="J1227" s="7" t="inlineStr">
        <is>
          <t>INR</t>
        </is>
      </c>
      <c r="K1227" s="7" t="inlineStr">
        <is>
          <t>fixed_unsettled</t>
        </is>
      </c>
      <c r="L1227" s="7" t="inlineStr">
        <is>
          <t>PNL</t>
        </is>
      </c>
      <c r="M1227" s="11" t="n">
        <v>44844</v>
      </c>
      <c r="N1227" s="13" t="n">
        <v>2400</v>
      </c>
      <c r="O1227" s="6" t="n">
        <v>0</v>
      </c>
      <c r="P1227" s="13" t="n">
        <v>0</v>
      </c>
      <c r="Q1227" s="22" t="n">
        <v>30</v>
      </c>
      <c r="R1227" s="6" t="n">
        <v>2</v>
      </c>
      <c r="U1227" s="9" t="n">
        <v>151650000</v>
      </c>
      <c r="V1227" s="9" t="n">
        <v>151650000</v>
      </c>
      <c r="W1227" s="9" t="n">
        <v>168500</v>
      </c>
      <c r="X1227" s="9" t="n">
        <v>81.4783</v>
      </c>
      <c r="AK1227" s="7" t="inlineStr">
        <is>
          <t>PYTHON_MULTI_FLOW_LEG</t>
        </is>
      </c>
      <c r="AL1227" s="8">
        <f>IF($J1227="INR",1,IF($M1227&lt;$A1227,INDEX(Market_Daily!$F$6:$F$256,MATCH($M1227,Market_Daily!$A$6:$A$256,1)),IF($M1227=$A1227,INDEX(Market_Daily!$F$6:$F$256,MATCH($A1227,Market_Daily!$A$6:$A$256,0)),(INDEX(Market_Daily!$F$6:$F$256,MATCH($A1227,Market_Daily!$A$6:$A$256,0))*(1+INDEX(Market_Daily!$I$6:$I$256,MATCH($A1227,Market_Daily!$A$6:$A$256,0))*($M1227-$A1227)/day_count_inr)/(1+INDEX(Market_Daily!$J$6:$J$256,MATCH($A1227,Market_Daily!$A$6:$A$256,0))*($M1227-$A1227)/day_count_usd)))))</f>
        <v/>
      </c>
      <c r="AM1227" s="8">
        <f>IF(OR($J1227="INR",$R1227&gt;1),"",$AL1227-$X1227)</f>
        <v/>
      </c>
      <c r="AN1227" s="8">
        <f>$U1227</f>
        <v/>
      </c>
      <c r="AO1227" s="8">
        <f>$V1227</f>
        <v/>
      </c>
      <c r="AP1227" s="18">
        <f>$AO1227-$V1227</f>
        <v/>
      </c>
      <c r="AQ1227" s="8">
        <f>IF(ABS($AP1227)&lt;=tol_trade_inr,"PASS","FAIL")</f>
        <v/>
      </c>
    </row>
    <row r="1228">
      <c r="A1228" s="11" t="n">
        <v>44834</v>
      </c>
      <c r="B1228" s="7" t="inlineStr">
        <is>
          <t>T09</t>
        </is>
      </c>
      <c r="C1228" s="7" t="inlineStr">
        <is>
          <t>USANCE_INTEREST:L1</t>
        </is>
      </c>
      <c r="D1228" s="7" t="inlineStr">
        <is>
          <t>USANCE_INTEREST</t>
        </is>
      </c>
      <c r="E1228" s="7" t="inlineStr">
        <is>
          <t>physical</t>
        </is>
      </c>
      <c r="F1228" s="7" t="inlineStr">
        <is>
          <t>L1</t>
        </is>
      </c>
      <c r="H1228" s="7" t="inlineStr">
        <is>
          <t>tense</t>
        </is>
      </c>
      <c r="I1228" s="7" t="inlineStr">
        <is>
          <t>JEA_NSA</t>
        </is>
      </c>
      <c r="J1228" s="7" t="inlineStr">
        <is>
          <t>USD</t>
        </is>
      </c>
      <c r="K1228" s="7" t="inlineStr">
        <is>
          <t>fixed_unsettled</t>
        </is>
      </c>
      <c r="L1228" s="7" t="inlineStr">
        <is>
          <t>PNL</t>
        </is>
      </c>
      <c r="M1228" s="11" t="n">
        <v>44851</v>
      </c>
      <c r="N1228" s="13" t="n">
        <v>0</v>
      </c>
      <c r="O1228" s="6" t="n">
        <v>0</v>
      </c>
      <c r="P1228" s="13" t="n">
        <v>0</v>
      </c>
      <c r="Q1228" s="22" t="n">
        <v>30</v>
      </c>
      <c r="R1228" s="6" t="n">
        <v>1</v>
      </c>
      <c r="U1228" s="9" t="n">
        <v>-7768.04</v>
      </c>
      <c r="V1228" s="9" t="n">
        <v>-633809.75</v>
      </c>
      <c r="X1228" s="9" t="n">
        <v>81.592</v>
      </c>
      <c r="AK1228" s="7" t="inlineStr">
        <is>
          <t>PYTHON_LIFECYCLE</t>
        </is>
      </c>
      <c r="AL1228" s="8">
        <f>IF($J1228="INR",1,IF($M1228&lt;$A1228,INDEX(Market_Daily!$F$6:$F$256,MATCH($M1228,Market_Daily!$A$6:$A$256,1)),IF($M1228=$A1228,INDEX(Market_Daily!$F$6:$F$256,MATCH($A1228,Market_Daily!$A$6:$A$256,0)),(INDEX(Market_Daily!$F$6:$F$256,MATCH($A1228,Market_Daily!$A$6:$A$256,0))*(1+INDEX(Market_Daily!$I$6:$I$256,MATCH($A1228,Market_Daily!$A$6:$A$256,0))*($M1228-$A1228)/day_count_inr)/(1+INDEX(Market_Daily!$J$6:$J$256,MATCH($A1228,Market_Daily!$A$6:$A$256,0))*($M1228-$A1228)/day_count_usd)))))</f>
        <v/>
      </c>
      <c r="AM1228" s="8">
        <f>IF(OR($J1228="INR",$R1228&gt;1),"",$AL1228-$X1228)</f>
        <v/>
      </c>
      <c r="AN1228" s="8">
        <f>$U1228</f>
        <v/>
      </c>
      <c r="AO1228" s="8">
        <f>$AN1228*IF($J1228="INR",1,$AL1228)</f>
        <v/>
      </c>
      <c r="AP1228" s="18">
        <f>$AO1228-$V1228</f>
        <v/>
      </c>
      <c r="AQ1228" s="8">
        <f>IF(ABS($AP1228)&lt;=tol_trade_inr,"PASS","FAIL")</f>
        <v/>
      </c>
    </row>
    <row r="1229">
      <c r="A1229" s="11" t="n">
        <v>44834</v>
      </c>
      <c r="B1229" s="7" t="inlineStr">
        <is>
          <t>T09</t>
        </is>
      </c>
      <c r="C1229" s="7" t="inlineStr">
        <is>
          <t>USANCE_INTEREST:L2</t>
        </is>
      </c>
      <c r="D1229" s="7" t="inlineStr">
        <is>
          <t>USANCE_INTEREST</t>
        </is>
      </c>
      <c r="E1229" s="7" t="inlineStr">
        <is>
          <t>physical</t>
        </is>
      </c>
      <c r="F1229" s="7" t="inlineStr">
        <is>
          <t>L2</t>
        </is>
      </c>
      <c r="H1229" s="7" t="inlineStr">
        <is>
          <t>tense</t>
        </is>
      </c>
      <c r="I1229" s="7" t="inlineStr">
        <is>
          <t>JEA_NSA</t>
        </is>
      </c>
      <c r="J1229" s="7" t="inlineStr">
        <is>
          <t>USD</t>
        </is>
      </c>
      <c r="K1229" s="7" t="inlineStr">
        <is>
          <t>fixed_unsettled</t>
        </is>
      </c>
      <c r="L1229" s="7" t="inlineStr">
        <is>
          <t>PNL</t>
        </is>
      </c>
      <c r="M1229" s="11" t="n">
        <v>44858</v>
      </c>
      <c r="N1229" s="13" t="n">
        <v>0</v>
      </c>
      <c r="O1229" s="6" t="n">
        <v>0</v>
      </c>
      <c r="P1229" s="13" t="n">
        <v>0</v>
      </c>
      <c r="Q1229" s="22" t="n">
        <v>30</v>
      </c>
      <c r="R1229" s="6" t="n">
        <v>1</v>
      </c>
      <c r="U1229" s="9" t="n">
        <v>-8020.35</v>
      </c>
      <c r="V1229" s="9" t="n">
        <v>-654770.77</v>
      </c>
      <c r="X1229" s="9" t="n">
        <v>81.6387</v>
      </c>
      <c r="AK1229" s="7" t="inlineStr">
        <is>
          <t>PYTHON_LIFECYCLE</t>
        </is>
      </c>
      <c r="AL1229" s="8">
        <f>IF($J1229="INR",1,IF($M1229&lt;$A1229,INDEX(Market_Daily!$F$6:$F$256,MATCH($M1229,Market_Daily!$A$6:$A$256,1)),IF($M1229=$A1229,INDEX(Market_Daily!$F$6:$F$256,MATCH($A1229,Market_Daily!$A$6:$A$256,0)),(INDEX(Market_Daily!$F$6:$F$256,MATCH($A1229,Market_Daily!$A$6:$A$256,0))*(1+INDEX(Market_Daily!$I$6:$I$256,MATCH($A1229,Market_Daily!$A$6:$A$256,0))*($M1229-$A1229)/day_count_inr)/(1+INDEX(Market_Daily!$J$6:$J$256,MATCH($A1229,Market_Daily!$A$6:$A$256,0))*($M1229-$A1229)/day_count_usd)))))</f>
        <v/>
      </c>
      <c r="AM1229" s="8">
        <f>IF(OR($J1229="INR",$R1229&gt;1),"",$AL1229-$X1229)</f>
        <v/>
      </c>
      <c r="AN1229" s="8">
        <f>$U1229</f>
        <v/>
      </c>
      <c r="AO1229" s="8">
        <f>$AN1229*IF($J1229="INR",1,$AL1229)</f>
        <v/>
      </c>
      <c r="AP1229" s="18">
        <f>$AO1229-$V1229</f>
        <v/>
      </c>
      <c r="AQ1229" s="8">
        <f>IF(ABS($AP1229)&lt;=tol_trade_inr,"PASS","FAIL")</f>
        <v/>
      </c>
    </row>
    <row r="1230">
      <c r="A1230" s="11" t="n">
        <v>44845</v>
      </c>
      <c r="B1230" s="7" t="inlineStr">
        <is>
          <t>T09</t>
        </is>
      </c>
      <c r="C1230" s="7" t="inlineStr">
        <is>
          <t>BILL_COMMISSION:L1</t>
        </is>
      </c>
      <c r="D1230" s="7" t="inlineStr">
        <is>
          <t>BILL_COMMISSION</t>
        </is>
      </c>
      <c r="E1230" s="7" t="inlineStr">
        <is>
          <t>physical</t>
        </is>
      </c>
      <c r="F1230" s="7" t="inlineStr">
        <is>
          <t>L1</t>
        </is>
      </c>
      <c r="H1230" s="7" t="inlineStr">
        <is>
          <t>tense</t>
        </is>
      </c>
      <c r="I1230" s="7" t="inlineStr">
        <is>
          <t>JEA_NSA</t>
        </is>
      </c>
      <c r="J1230" s="7" t="inlineStr">
        <is>
          <t>USD</t>
        </is>
      </c>
      <c r="K1230" s="7" t="inlineStr">
        <is>
          <t>floating</t>
        </is>
      </c>
      <c r="L1230" s="7" t="inlineStr">
        <is>
          <t>PNL</t>
        </is>
      </c>
      <c r="M1230" s="11" t="n">
        <v>44851</v>
      </c>
      <c r="N1230" s="13" t="n">
        <v>0</v>
      </c>
      <c r="O1230" s="6" t="n">
        <v>0</v>
      </c>
      <c r="P1230" s="13" t="n">
        <v>0</v>
      </c>
      <c r="Q1230" s="22" t="n">
        <v>31</v>
      </c>
      <c r="R1230" s="6" t="n">
        <v>1</v>
      </c>
      <c r="U1230" s="9" t="n">
        <v>-1315.44</v>
      </c>
      <c r="V1230" s="9" t="n">
        <v>-108220.68</v>
      </c>
      <c r="X1230" s="9" t="n">
        <v>82.2696</v>
      </c>
      <c r="AK1230" s="7" t="inlineStr">
        <is>
          <t>PYTHON_LIFECYCLE</t>
        </is>
      </c>
      <c r="AL1230" s="8">
        <f>IF($J1230="INR",1,IF($M1230&lt;$A1230,INDEX(Market_Daily!$F$6:$F$256,MATCH($M1230,Market_Daily!$A$6:$A$256,1)),IF($M1230=$A1230,INDEX(Market_Daily!$F$6:$F$256,MATCH($A1230,Market_Daily!$A$6:$A$256,0)),(INDEX(Market_Daily!$F$6:$F$256,MATCH($A1230,Market_Daily!$A$6:$A$256,0))*(1+INDEX(Market_Daily!$I$6:$I$256,MATCH($A1230,Market_Daily!$A$6:$A$256,0))*($M1230-$A1230)/day_count_inr)/(1+INDEX(Market_Daily!$J$6:$J$256,MATCH($A1230,Market_Daily!$A$6:$A$256,0))*($M1230-$A1230)/day_count_usd)))))</f>
        <v/>
      </c>
      <c r="AM1230" s="8">
        <f>IF(OR($J1230="INR",$R1230&gt;1),"",$AL1230-$X1230)</f>
        <v/>
      </c>
      <c r="AN1230" s="8">
        <f>$U1230</f>
        <v/>
      </c>
      <c r="AO1230" s="8">
        <f>$AN1230*IF($J1230="INR",1,$AL1230)</f>
        <v/>
      </c>
      <c r="AP1230" s="18">
        <f>$AO1230-$V1230</f>
        <v/>
      </c>
      <c r="AQ1230" s="8">
        <f>IF(ABS($AP1230)&lt;=tol_trade_inr,"PASS","FAIL")</f>
        <v/>
      </c>
    </row>
    <row r="1231">
      <c r="A1231" s="11" t="n">
        <v>44845</v>
      </c>
      <c r="B1231" s="7" t="inlineStr">
        <is>
          <t>T09</t>
        </is>
      </c>
      <c r="C1231" s="7" t="inlineStr">
        <is>
          <t>BILL_COMMISSION:L2</t>
        </is>
      </c>
      <c r="D1231" s="7" t="inlineStr">
        <is>
          <t>BILL_COMMISSION</t>
        </is>
      </c>
      <c r="E1231" s="7" t="inlineStr">
        <is>
          <t>physical</t>
        </is>
      </c>
      <c r="F1231" s="7" t="inlineStr">
        <is>
          <t>L2</t>
        </is>
      </c>
      <c r="H1231" s="7" t="inlineStr">
        <is>
          <t>tense</t>
        </is>
      </c>
      <c r="I1231" s="7" t="inlineStr">
        <is>
          <t>JEA_NSA</t>
        </is>
      </c>
      <c r="J1231" s="7" t="inlineStr">
        <is>
          <t>USD</t>
        </is>
      </c>
      <c r="K1231" s="7" t="inlineStr">
        <is>
          <t>floating</t>
        </is>
      </c>
      <c r="L1231" s="7" t="inlineStr">
        <is>
          <t>PNL</t>
        </is>
      </c>
      <c r="M1231" s="11" t="n">
        <v>44858</v>
      </c>
      <c r="N1231" s="13" t="n">
        <v>0</v>
      </c>
      <c r="O1231" s="6" t="n">
        <v>0</v>
      </c>
      <c r="P1231" s="13" t="n">
        <v>0</v>
      </c>
      <c r="Q1231" s="22" t="n">
        <v>31</v>
      </c>
      <c r="R1231" s="6" t="n">
        <v>1</v>
      </c>
      <c r="U1231" s="9" t="n">
        <v>-1315.44</v>
      </c>
      <c r="V1231" s="9" t="n">
        <v>-108276.11</v>
      </c>
      <c r="X1231" s="9" t="n">
        <v>82.3117</v>
      </c>
      <c r="AK1231" s="7" t="inlineStr">
        <is>
          <t>PYTHON_LIFECYCLE</t>
        </is>
      </c>
      <c r="AL1231" s="8">
        <f>IF($J1231="INR",1,IF($M1231&lt;$A1231,INDEX(Market_Daily!$F$6:$F$256,MATCH($M1231,Market_Daily!$A$6:$A$256,1)),IF($M1231=$A1231,INDEX(Market_Daily!$F$6:$F$256,MATCH($A1231,Market_Daily!$A$6:$A$256,0)),(INDEX(Market_Daily!$F$6:$F$256,MATCH($A1231,Market_Daily!$A$6:$A$256,0))*(1+INDEX(Market_Daily!$I$6:$I$256,MATCH($A1231,Market_Daily!$A$6:$A$256,0))*($M1231-$A1231)/day_count_inr)/(1+INDEX(Market_Daily!$J$6:$J$256,MATCH($A1231,Market_Daily!$A$6:$A$256,0))*($M1231-$A1231)/day_count_usd)))))</f>
        <v/>
      </c>
      <c r="AM1231" s="8">
        <f>IF(OR($J1231="INR",$R1231&gt;1),"",$AL1231-$X1231)</f>
        <v/>
      </c>
      <c r="AN1231" s="8">
        <f>$U1231</f>
        <v/>
      </c>
      <c r="AO1231" s="8">
        <f>$AN1231*IF($J1231="INR",1,$AL1231)</f>
        <v/>
      </c>
      <c r="AP1231" s="18">
        <f>$AO1231-$V1231</f>
        <v/>
      </c>
      <c r="AQ1231" s="8">
        <f>IF(ABS($AP1231)&lt;=tol_trade_inr,"PASS","FAIL")</f>
        <v/>
      </c>
    </row>
    <row r="1232">
      <c r="A1232" s="11" t="n">
        <v>44845</v>
      </c>
      <c r="B1232" s="7" t="inlineStr">
        <is>
          <t>T09</t>
        </is>
      </c>
      <c r="C1232" s="7" t="inlineStr">
        <is>
          <t>FX:T09-FX-1</t>
        </is>
      </c>
      <c r="D1232" s="7" t="inlineStr">
        <is>
          <t>FX</t>
        </is>
      </c>
      <c r="E1232" s="7" t="inlineStr">
        <is>
          <t>fx_forward</t>
        </is>
      </c>
      <c r="H1232" s="7" t="inlineStr">
        <is>
          <t>tense</t>
        </is>
      </c>
      <c r="I1232" s="7" t="inlineStr">
        <is>
          <t>JEA_NSA</t>
        </is>
      </c>
      <c r="J1232" s="7" t="inlineStr">
        <is>
          <t>INR</t>
        </is>
      </c>
      <c r="K1232" s="7" t="inlineStr">
        <is>
          <t>floating</t>
        </is>
      </c>
      <c r="L1232" s="7" t="inlineStr">
        <is>
          <t>PNL</t>
        </is>
      </c>
      <c r="M1232" s="11" t="n">
        <v>44851</v>
      </c>
      <c r="N1232" s="13" t="n">
        <v>0</v>
      </c>
      <c r="O1232" s="6" t="n">
        <v>0</v>
      </c>
      <c r="P1232" s="13" t="n">
        <v>1096200</v>
      </c>
      <c r="Q1232" s="22" t="n">
        <v>31</v>
      </c>
      <c r="R1232" s="6" t="n">
        <v>1</v>
      </c>
      <c r="S1232" s="12" t="n">
        <v>44851</v>
      </c>
      <c r="T1232" s="21" t="n">
        <v>79.949476</v>
      </c>
      <c r="U1232" s="9" t="n">
        <v>2543284.55</v>
      </c>
      <c r="V1232" s="9" t="n">
        <v>2543284.55</v>
      </c>
      <c r="X1232" s="9" t="n">
        <v>82.2334</v>
      </c>
      <c r="AK1232" s="7" t="inlineStr">
        <is>
          <t>DERIVED_IN_WORKBOOK</t>
        </is>
      </c>
      <c r="AL1232" s="8">
        <f>IF($J1232="INR",1,IF($M1232&lt;$A1232,INDEX(Market_Daily!$F$6:$F$256,MATCH($M1232,Market_Daily!$A$6:$A$256,1)),IF($M1232=$A1232,INDEX(Market_Daily!$F$6:$F$256,MATCH($A1232,Market_Daily!$A$6:$A$256,0)),(INDEX(Market_Daily!$F$6:$F$256,MATCH($A1232,Market_Daily!$A$6:$A$256,0))*(1+INDEX(Market_Daily!$I$6:$I$256,MATCH($A1232,Market_Daily!$A$6:$A$256,0))*($M1232-$A1232)/day_count_inr)/(1+INDEX(Market_Daily!$J$6:$J$256,MATCH($A1232,Market_Daily!$A$6:$A$256,0))*($M1232-$A1232)/day_count_usd)))))</f>
        <v/>
      </c>
      <c r="AM1232" s="8">
        <f>IF(OR($J1232="INR",$R1232&gt;1),"",$AL1232-$X1232)</f>
        <v/>
      </c>
      <c r="AN1232" s="8">
        <f>$P1232*(IF($S1232&lt;$A1232,INDEX(Market_Daily!$F$6:$F$256,MATCH($S1232,Market_Daily!$A$6:$A$256,1)),IF($S1232=$A1232,INDEX(Market_Daily!$F$6:$F$256,MATCH($A1232,Market_Daily!$A$6:$A$256,0)),(INDEX(Market_Daily!$F$6:$F$256,MATCH($A1232,Market_Daily!$A$6:$A$256,0))*(1+INDEX(Market_Daily!$I$6:$I$256,MATCH($A1232,Market_Daily!$A$6:$A$256,0))*($S1232-$A1232)/day_count_inr)/(1+INDEX(Market_Daily!$J$6:$J$256,MATCH($A1232,Market_Daily!$A$6:$A$256,0))*($S1232-$A1232)/day_count_usd))))-$T1232)</f>
        <v/>
      </c>
      <c r="AO1232" s="8">
        <f>$AN1232</f>
        <v/>
      </c>
      <c r="AP1232" s="18">
        <f>$AO1232-$V1232</f>
        <v/>
      </c>
      <c r="AQ1232" s="8">
        <f>IF(ABS($AP1232)&lt;=tol_trade_inr,"PASS","FAIL")</f>
        <v/>
      </c>
    </row>
    <row r="1233">
      <c r="A1233" s="11" t="n">
        <v>44845</v>
      </c>
      <c r="B1233" s="7" t="inlineStr">
        <is>
          <t>T09</t>
        </is>
      </c>
      <c r="C1233" s="7" t="inlineStr">
        <is>
          <t>FX:T09-FX-2</t>
        </is>
      </c>
      <c r="D1233" s="7" t="inlineStr">
        <is>
          <t>FX</t>
        </is>
      </c>
      <c r="E1233" s="7" t="inlineStr">
        <is>
          <t>fx_forward</t>
        </is>
      </c>
      <c r="H1233" s="7" t="inlineStr">
        <is>
          <t>tense</t>
        </is>
      </c>
      <c r="I1233" s="7" t="inlineStr">
        <is>
          <t>JEA_NSA</t>
        </is>
      </c>
      <c r="J1233" s="7" t="inlineStr">
        <is>
          <t>INR</t>
        </is>
      </c>
      <c r="K1233" s="7" t="inlineStr">
        <is>
          <t>floating</t>
        </is>
      </c>
      <c r="L1233" s="7" t="inlineStr">
        <is>
          <t>PNL</t>
        </is>
      </c>
      <c r="M1233" s="11" t="n">
        <v>44858</v>
      </c>
      <c r="N1233" s="13" t="n">
        <v>0</v>
      </c>
      <c r="O1233" s="6" t="n">
        <v>0</v>
      </c>
      <c r="P1233" s="13" t="n">
        <v>1096200</v>
      </c>
      <c r="Q1233" s="22" t="n">
        <v>31</v>
      </c>
      <c r="R1233" s="6" t="n">
        <v>1</v>
      </c>
      <c r="S1233" s="12" t="n">
        <v>44858</v>
      </c>
      <c r="T1233" s="21" t="n">
        <v>80.306324</v>
      </c>
      <c r="U1233" s="9" t="n">
        <v>2198303.27</v>
      </c>
      <c r="V1233" s="9" t="n">
        <v>2198303.27</v>
      </c>
      <c r="X1233" s="9" t="n">
        <v>82.2334</v>
      </c>
      <c r="AK1233" s="7" t="inlineStr">
        <is>
          <t>DERIVED_IN_WORKBOOK</t>
        </is>
      </c>
      <c r="AL1233" s="8">
        <f>IF($J1233="INR",1,IF($M1233&lt;$A1233,INDEX(Market_Daily!$F$6:$F$256,MATCH($M1233,Market_Daily!$A$6:$A$256,1)),IF($M1233=$A1233,INDEX(Market_Daily!$F$6:$F$256,MATCH($A1233,Market_Daily!$A$6:$A$256,0)),(INDEX(Market_Daily!$F$6:$F$256,MATCH($A1233,Market_Daily!$A$6:$A$256,0))*(1+INDEX(Market_Daily!$I$6:$I$256,MATCH($A1233,Market_Daily!$A$6:$A$256,0))*($M1233-$A1233)/day_count_inr)/(1+INDEX(Market_Daily!$J$6:$J$256,MATCH($A1233,Market_Daily!$A$6:$A$256,0))*($M1233-$A1233)/day_count_usd)))))</f>
        <v/>
      </c>
      <c r="AM1233" s="8">
        <f>IF(OR($J1233="INR",$R1233&gt;1),"",$AL1233-$X1233)</f>
        <v/>
      </c>
      <c r="AN1233" s="8">
        <f>$P1233*(IF($S1233&lt;$A1233,INDEX(Market_Daily!$F$6:$F$256,MATCH($S1233,Market_Daily!$A$6:$A$256,1)),IF($S1233=$A1233,INDEX(Market_Daily!$F$6:$F$256,MATCH($A1233,Market_Daily!$A$6:$A$256,0)),(INDEX(Market_Daily!$F$6:$F$256,MATCH($A1233,Market_Daily!$A$6:$A$256,0))*(1+INDEX(Market_Daily!$I$6:$I$256,MATCH($A1233,Market_Daily!$A$6:$A$256,0))*($S1233-$A1233)/day_count_inr)/(1+INDEX(Market_Daily!$J$6:$J$256,MATCH($A1233,Market_Daily!$A$6:$A$256,0))*($S1233-$A1233)/day_count_usd))))-$T1233)</f>
        <v/>
      </c>
      <c r="AO1233" s="8">
        <f>$AN1233</f>
        <v/>
      </c>
      <c r="AP1233" s="18">
        <f>$AO1233-$V1233</f>
        <v/>
      </c>
      <c r="AQ1233" s="8">
        <f>IF(ABS($AP1233)&lt;=tol_trade_inr,"PASS","FAIL")</f>
        <v/>
      </c>
    </row>
    <row r="1234">
      <c r="A1234" s="11" t="n">
        <v>44845</v>
      </c>
      <c r="B1234" s="7" t="inlineStr">
        <is>
          <t>T09</t>
        </is>
      </c>
      <c r="C1234" s="7" t="inlineStr">
        <is>
          <t>IGST:L2</t>
        </is>
      </c>
      <c r="D1234" s="7" t="inlineStr">
        <is>
          <t>IGST</t>
        </is>
      </c>
      <c r="E1234" s="7" t="inlineStr">
        <is>
          <t>physical</t>
        </is>
      </c>
      <c r="F1234" s="7" t="inlineStr">
        <is>
          <t>L2</t>
        </is>
      </c>
      <c r="H1234" s="7" t="inlineStr">
        <is>
          <t>tense</t>
        </is>
      </c>
      <c r="I1234" s="7" t="inlineStr">
        <is>
          <t>JEA_NSA</t>
        </is>
      </c>
      <c r="J1234" s="7" t="inlineStr">
        <is>
          <t>INR</t>
        </is>
      </c>
      <c r="K1234" s="7" t="inlineStr">
        <is>
          <t>fixed_unsettled</t>
        </is>
      </c>
      <c r="L1234" s="7" t="inlineStr">
        <is>
          <t>BS</t>
        </is>
      </c>
      <c r="M1234" s="11" t="n">
        <v>44848</v>
      </c>
      <c r="N1234" s="13" t="n">
        <v>0</v>
      </c>
      <c r="O1234" s="6" t="n">
        <v>0</v>
      </c>
      <c r="P1234" s="13" t="n">
        <v>0</v>
      </c>
      <c r="Q1234" s="22" t="n">
        <v>31</v>
      </c>
      <c r="R1234" s="6" t="n">
        <v>2</v>
      </c>
      <c r="U1234" s="9" t="n">
        <v>0</v>
      </c>
      <c r="V1234" s="9" t="n">
        <v>0</v>
      </c>
      <c r="X1234" s="9" t="n">
        <v>82.2334</v>
      </c>
      <c r="AK1234" s="7" t="inlineStr">
        <is>
          <t>PYTHON_MULTI_FLOW_LEG</t>
        </is>
      </c>
      <c r="AL1234" s="8">
        <f>IF($J1234="INR",1,IF($M1234&lt;$A1234,INDEX(Market_Daily!$F$6:$F$256,MATCH($M1234,Market_Daily!$A$6:$A$256,1)),IF($M1234=$A1234,INDEX(Market_Daily!$F$6:$F$256,MATCH($A1234,Market_Daily!$A$6:$A$256,0)),(INDEX(Market_Daily!$F$6:$F$256,MATCH($A1234,Market_Daily!$A$6:$A$256,0))*(1+INDEX(Market_Daily!$I$6:$I$256,MATCH($A1234,Market_Daily!$A$6:$A$256,0))*($M1234-$A1234)/day_count_inr)/(1+INDEX(Market_Daily!$J$6:$J$256,MATCH($A1234,Market_Daily!$A$6:$A$256,0))*($M1234-$A1234)/day_count_usd)))))</f>
        <v/>
      </c>
      <c r="AM1234" s="8">
        <f>IF(OR($J1234="INR",$R1234&gt;1),"",$AL1234-$X1234)</f>
        <v/>
      </c>
      <c r="AN1234" s="8">
        <f>$U1234</f>
        <v/>
      </c>
      <c r="AO1234" s="8">
        <f>$V1234</f>
        <v/>
      </c>
      <c r="AP1234" s="18">
        <f>$AO1234-$V1234</f>
        <v/>
      </c>
      <c r="AQ1234" s="8">
        <f>IF(ABS($AP1234)&lt;=tol_trade_inr,"PASS","FAIL")</f>
        <v/>
      </c>
    </row>
    <row r="1235">
      <c r="A1235" s="11" t="n">
        <v>44845</v>
      </c>
      <c r="B1235" s="7" t="inlineStr">
        <is>
          <t>T09</t>
        </is>
      </c>
      <c r="C1235" s="7" t="inlineStr">
        <is>
          <t>PURCHASE:L1</t>
        </is>
      </c>
      <c r="D1235" s="7" t="inlineStr">
        <is>
          <t>PURCHASE</t>
        </is>
      </c>
      <c r="E1235" s="7" t="inlineStr">
        <is>
          <t>physical</t>
        </is>
      </c>
      <c r="F1235" s="7" t="inlineStr">
        <is>
          <t>L1</t>
        </is>
      </c>
      <c r="G1235" s="7" t="inlineStr">
        <is>
          <t>SUP_JEA_01</t>
        </is>
      </c>
      <c r="H1235" s="7" t="inlineStr">
        <is>
          <t>tense</t>
        </is>
      </c>
      <c r="I1235" s="7" t="inlineStr">
        <is>
          <t>JEA_NSA</t>
        </is>
      </c>
      <c r="J1235" s="7" t="inlineStr">
        <is>
          <t>USD</t>
        </is>
      </c>
      <c r="K1235" s="7" t="inlineStr">
        <is>
          <t>fixed_unsettled</t>
        </is>
      </c>
      <c r="L1235" s="7" t="inlineStr">
        <is>
          <t>PNL</t>
        </is>
      </c>
      <c r="M1235" s="11" t="n">
        <v>44851</v>
      </c>
      <c r="N1235" s="13" t="n">
        <v>600</v>
      </c>
      <c r="O1235" s="6" t="n">
        <v>0</v>
      </c>
      <c r="P1235" s="13" t="n">
        <v>0</v>
      </c>
      <c r="Q1235" s="22" t="n">
        <v>31</v>
      </c>
      <c r="R1235" s="6" t="n">
        <v>1</v>
      </c>
      <c r="U1235" s="9" t="n">
        <v>-1096200</v>
      </c>
      <c r="V1235" s="9" t="n">
        <v>-90183900.17</v>
      </c>
      <c r="X1235" s="9" t="n">
        <v>82.2696</v>
      </c>
      <c r="AK1235" s="7" t="inlineStr">
        <is>
          <t>PYTHON_LIFECYCLE</t>
        </is>
      </c>
      <c r="AL1235" s="8">
        <f>IF($J1235="INR",1,IF($M1235&lt;$A1235,INDEX(Market_Daily!$F$6:$F$256,MATCH($M1235,Market_Daily!$A$6:$A$256,1)),IF($M1235=$A1235,INDEX(Market_Daily!$F$6:$F$256,MATCH($A1235,Market_Daily!$A$6:$A$256,0)),(INDEX(Market_Daily!$F$6:$F$256,MATCH($A1235,Market_Daily!$A$6:$A$256,0))*(1+INDEX(Market_Daily!$I$6:$I$256,MATCH($A1235,Market_Daily!$A$6:$A$256,0))*($M1235-$A1235)/day_count_inr)/(1+INDEX(Market_Daily!$J$6:$J$256,MATCH($A1235,Market_Daily!$A$6:$A$256,0))*($M1235-$A1235)/day_count_usd)))))</f>
        <v/>
      </c>
      <c r="AM1235" s="8">
        <f>IF(OR($J1235="INR",$R1235&gt;1),"",$AL1235-$X1235)</f>
        <v/>
      </c>
      <c r="AN1235" s="8">
        <f>$U1235</f>
        <v/>
      </c>
      <c r="AO1235" s="8">
        <f>$AN1235*IF($J1235="INR",1,$AL1235)</f>
        <v/>
      </c>
      <c r="AP1235" s="18">
        <f>$AO1235-$V1235</f>
        <v/>
      </c>
      <c r="AQ1235" s="8">
        <f>IF(ABS($AP1235)&lt;=tol_trade_inr,"PASS","FAIL")</f>
        <v/>
      </c>
    </row>
    <row r="1236">
      <c r="A1236" s="11" t="n">
        <v>44845</v>
      </c>
      <c r="B1236" s="7" t="inlineStr">
        <is>
          <t>T09</t>
        </is>
      </c>
      <c r="C1236" s="7" t="inlineStr">
        <is>
          <t>PURCHASE:L2</t>
        </is>
      </c>
      <c r="D1236" s="7" t="inlineStr">
        <is>
          <t>PURCHASE</t>
        </is>
      </c>
      <c r="E1236" s="7" t="inlineStr">
        <is>
          <t>physical</t>
        </is>
      </c>
      <c r="F1236" s="7" t="inlineStr">
        <is>
          <t>L2</t>
        </is>
      </c>
      <c r="G1236" s="7" t="inlineStr">
        <is>
          <t>SUP_JEA_01</t>
        </is>
      </c>
      <c r="H1236" s="7" t="inlineStr">
        <is>
          <t>tense</t>
        </is>
      </c>
      <c r="I1236" s="7" t="inlineStr">
        <is>
          <t>JEA_NSA</t>
        </is>
      </c>
      <c r="J1236" s="7" t="inlineStr">
        <is>
          <t>USD</t>
        </is>
      </c>
      <c r="K1236" s="7" t="inlineStr">
        <is>
          <t>fixed_unsettled</t>
        </is>
      </c>
      <c r="L1236" s="7" t="inlineStr">
        <is>
          <t>PNL</t>
        </is>
      </c>
      <c r="M1236" s="11" t="n">
        <v>44858</v>
      </c>
      <c r="N1236" s="13" t="n">
        <v>600</v>
      </c>
      <c r="O1236" s="6" t="n">
        <v>0</v>
      </c>
      <c r="P1236" s="13" t="n">
        <v>0</v>
      </c>
      <c r="Q1236" s="22" t="n">
        <v>31</v>
      </c>
      <c r="R1236" s="6" t="n">
        <v>1</v>
      </c>
      <c r="U1236" s="9" t="n">
        <v>-1096200</v>
      </c>
      <c r="V1236" s="9" t="n">
        <v>-90230095.7</v>
      </c>
      <c r="X1236" s="9" t="n">
        <v>82.3117</v>
      </c>
      <c r="AK1236" s="7" t="inlineStr">
        <is>
          <t>PYTHON_LIFECYCLE</t>
        </is>
      </c>
      <c r="AL1236" s="8">
        <f>IF($J1236="INR",1,IF($M1236&lt;$A1236,INDEX(Market_Daily!$F$6:$F$256,MATCH($M1236,Market_Daily!$A$6:$A$256,1)),IF($M1236=$A1236,INDEX(Market_Daily!$F$6:$F$256,MATCH($A1236,Market_Daily!$A$6:$A$256,0)),(INDEX(Market_Daily!$F$6:$F$256,MATCH($A1236,Market_Daily!$A$6:$A$256,0))*(1+INDEX(Market_Daily!$I$6:$I$256,MATCH($A1236,Market_Daily!$A$6:$A$256,0))*($M1236-$A1236)/day_count_inr)/(1+INDEX(Market_Daily!$J$6:$J$256,MATCH($A1236,Market_Daily!$A$6:$A$256,0))*($M1236-$A1236)/day_count_usd)))))</f>
        <v/>
      </c>
      <c r="AM1236" s="8">
        <f>IF(OR($J1236="INR",$R1236&gt;1),"",$AL1236-$X1236)</f>
        <v/>
      </c>
      <c r="AN1236" s="8">
        <f>$U1236</f>
        <v/>
      </c>
      <c r="AO1236" s="8">
        <f>$AN1236*IF($J1236="INR",1,$AL1236)</f>
        <v/>
      </c>
      <c r="AP1236" s="18">
        <f>$AO1236-$V1236</f>
        <v/>
      </c>
      <c r="AQ1236" s="8">
        <f>IF(ABS($AP1236)&lt;=tol_trade_inr,"PASS","FAIL")</f>
        <v/>
      </c>
    </row>
    <row r="1237">
      <c r="A1237" s="11" t="n">
        <v>44845</v>
      </c>
      <c r="B1237" s="7" t="inlineStr">
        <is>
          <t>T09</t>
        </is>
      </c>
      <c r="C1237" s="7" t="inlineStr">
        <is>
          <t>USANCE_INTEREST:L1</t>
        </is>
      </c>
      <c r="D1237" s="7" t="inlineStr">
        <is>
          <t>USANCE_INTEREST</t>
        </is>
      </c>
      <c r="E1237" s="7" t="inlineStr">
        <is>
          <t>physical</t>
        </is>
      </c>
      <c r="F1237" s="7" t="inlineStr">
        <is>
          <t>L1</t>
        </is>
      </c>
      <c r="H1237" s="7" t="inlineStr">
        <is>
          <t>tense</t>
        </is>
      </c>
      <c r="I1237" s="7" t="inlineStr">
        <is>
          <t>JEA_NSA</t>
        </is>
      </c>
      <c r="J1237" s="7" t="inlineStr">
        <is>
          <t>USD</t>
        </is>
      </c>
      <c r="K1237" s="7" t="inlineStr">
        <is>
          <t>fixed_unsettled</t>
        </is>
      </c>
      <c r="L1237" s="7" t="inlineStr">
        <is>
          <t>PNL</t>
        </is>
      </c>
      <c r="M1237" s="11" t="n">
        <v>44851</v>
      </c>
      <c r="N1237" s="13" t="n">
        <v>0</v>
      </c>
      <c r="O1237" s="6" t="n">
        <v>0</v>
      </c>
      <c r="P1237" s="13" t="n">
        <v>0</v>
      </c>
      <c r="Q1237" s="22" t="n">
        <v>31</v>
      </c>
      <c r="R1237" s="6" t="n">
        <v>1</v>
      </c>
      <c r="U1237" s="9" t="n">
        <v>-7768.04</v>
      </c>
      <c r="V1237" s="9" t="n">
        <v>-639073.1800000001</v>
      </c>
      <c r="X1237" s="9" t="n">
        <v>82.2696</v>
      </c>
      <c r="AK1237" s="7" t="inlineStr">
        <is>
          <t>PYTHON_LIFECYCLE</t>
        </is>
      </c>
      <c r="AL1237" s="8">
        <f>IF($J1237="INR",1,IF($M1237&lt;$A1237,INDEX(Market_Daily!$F$6:$F$256,MATCH($M1237,Market_Daily!$A$6:$A$256,1)),IF($M1237=$A1237,INDEX(Market_Daily!$F$6:$F$256,MATCH($A1237,Market_Daily!$A$6:$A$256,0)),(INDEX(Market_Daily!$F$6:$F$256,MATCH($A1237,Market_Daily!$A$6:$A$256,0))*(1+INDEX(Market_Daily!$I$6:$I$256,MATCH($A1237,Market_Daily!$A$6:$A$256,0))*($M1237-$A1237)/day_count_inr)/(1+INDEX(Market_Daily!$J$6:$J$256,MATCH($A1237,Market_Daily!$A$6:$A$256,0))*($M1237-$A1237)/day_count_usd)))))</f>
        <v/>
      </c>
      <c r="AM1237" s="8">
        <f>IF(OR($J1237="INR",$R1237&gt;1),"",$AL1237-$X1237)</f>
        <v/>
      </c>
      <c r="AN1237" s="8">
        <f>$U1237</f>
        <v/>
      </c>
      <c r="AO1237" s="8">
        <f>$AN1237*IF($J1237="INR",1,$AL1237)</f>
        <v/>
      </c>
      <c r="AP1237" s="18">
        <f>$AO1237-$V1237</f>
        <v/>
      </c>
      <c r="AQ1237" s="8">
        <f>IF(ABS($AP1237)&lt;=tol_trade_inr,"PASS","FAIL")</f>
        <v/>
      </c>
    </row>
    <row r="1238">
      <c r="A1238" s="11" t="n">
        <v>44845</v>
      </c>
      <c r="B1238" s="7" t="inlineStr">
        <is>
          <t>T09</t>
        </is>
      </c>
      <c r="C1238" s="7" t="inlineStr">
        <is>
          <t>USANCE_INTEREST:L2</t>
        </is>
      </c>
      <c r="D1238" s="7" t="inlineStr">
        <is>
          <t>USANCE_INTEREST</t>
        </is>
      </c>
      <c r="E1238" s="7" t="inlineStr">
        <is>
          <t>physical</t>
        </is>
      </c>
      <c r="F1238" s="7" t="inlineStr">
        <is>
          <t>L2</t>
        </is>
      </c>
      <c r="H1238" s="7" t="inlineStr">
        <is>
          <t>tense</t>
        </is>
      </c>
      <c r="I1238" s="7" t="inlineStr">
        <is>
          <t>JEA_NSA</t>
        </is>
      </c>
      <c r="J1238" s="7" t="inlineStr">
        <is>
          <t>USD</t>
        </is>
      </c>
      <c r="K1238" s="7" t="inlineStr">
        <is>
          <t>fixed_unsettled</t>
        </is>
      </c>
      <c r="L1238" s="7" t="inlineStr">
        <is>
          <t>PNL</t>
        </is>
      </c>
      <c r="M1238" s="11" t="n">
        <v>44858</v>
      </c>
      <c r="N1238" s="13" t="n">
        <v>0</v>
      </c>
      <c r="O1238" s="6" t="n">
        <v>0</v>
      </c>
      <c r="P1238" s="13" t="n">
        <v>0</v>
      </c>
      <c r="Q1238" s="22" t="n">
        <v>31</v>
      </c>
      <c r="R1238" s="6" t="n">
        <v>1</v>
      </c>
      <c r="U1238" s="9" t="n">
        <v>-8020.35</v>
      </c>
      <c r="V1238" s="9" t="n">
        <v>-660168.5</v>
      </c>
      <c r="X1238" s="9" t="n">
        <v>82.3117</v>
      </c>
      <c r="AK1238" s="7" t="inlineStr">
        <is>
          <t>PYTHON_LIFECYCLE</t>
        </is>
      </c>
      <c r="AL1238" s="8">
        <f>IF($J1238="INR",1,IF($M1238&lt;$A1238,INDEX(Market_Daily!$F$6:$F$256,MATCH($M1238,Market_Daily!$A$6:$A$256,1)),IF($M1238=$A1238,INDEX(Market_Daily!$F$6:$F$256,MATCH($A1238,Market_Daily!$A$6:$A$256,0)),(INDEX(Market_Daily!$F$6:$F$256,MATCH($A1238,Market_Daily!$A$6:$A$256,0))*(1+INDEX(Market_Daily!$I$6:$I$256,MATCH($A1238,Market_Daily!$A$6:$A$256,0))*($M1238-$A1238)/day_count_inr)/(1+INDEX(Market_Daily!$J$6:$J$256,MATCH($A1238,Market_Daily!$A$6:$A$256,0))*($M1238-$A1238)/day_count_usd)))))</f>
        <v/>
      </c>
      <c r="AM1238" s="8">
        <f>IF(OR($J1238="INR",$R1238&gt;1),"",$AL1238-$X1238)</f>
        <v/>
      </c>
      <c r="AN1238" s="8">
        <f>$U1238</f>
        <v/>
      </c>
      <c r="AO1238" s="8">
        <f>$AN1238*IF($J1238="INR",1,$AL1238)</f>
        <v/>
      </c>
      <c r="AP1238" s="18">
        <f>$AO1238-$V1238</f>
        <v/>
      </c>
      <c r="AQ1238" s="8">
        <f>IF(ABS($AP1238)&lt;=tol_trade_inr,"PASS","FAIL")</f>
        <v/>
      </c>
    </row>
    <row r="1240">
      <c r="A1240" s="4" t="inlineStr">
        <is>
          <t>Per trade × mark date — CONTRACTS §7.3: cumulative P&amp;L = realised cash P&amp;L + funding accrued + Σ open-leg marks</t>
        </is>
      </c>
    </row>
    <row r="1242" ht="30" customHeight="1">
      <c r="A1242" s="5" t="inlineStr">
        <is>
          <t>mark_date</t>
        </is>
      </c>
      <c r="B1242" s="5" t="inlineStr">
        <is>
          <t>trade_id</t>
        </is>
      </c>
      <c r="C1242" s="5" t="inlineStr">
        <is>
          <t>funding_cum_inr_py</t>
        </is>
      </c>
      <c r="D1242" s="5" t="inlineStr">
        <is>
          <t>cum_pnl_inr_py</t>
        </is>
      </c>
      <c r="E1242" s="5" t="inlineStr">
        <is>
          <t>realised_pnl_cum_inr</t>
        </is>
      </c>
      <c r="F1242" s="5" t="inlineStr">
        <is>
          <t>mtm_open_inr</t>
        </is>
      </c>
      <c r="G1242" s="5" t="inlineStr">
        <is>
          <t>cum_pnl_calc_inr</t>
        </is>
      </c>
      <c r="H1242" s="5" t="inlineStr">
        <is>
          <t>diff_inr</t>
        </is>
      </c>
      <c r="I1242" s="5" t="inlineStr">
        <is>
          <t>check</t>
        </is>
      </c>
    </row>
    <row r="1243">
      <c r="A1243" s="11" t="n">
        <v>44628</v>
      </c>
      <c r="B1243" s="7" t="inlineStr">
        <is>
          <t>T01</t>
        </is>
      </c>
      <c r="C1243" s="9" t="n">
        <v>0</v>
      </c>
      <c r="D1243" s="9" t="n">
        <v>1732880.85</v>
      </c>
      <c r="E1243" s="18">
        <f>SUMIFS(Cashflows!$X$8:$X$1038,Cashflows!$A$8:$A$1038,$B1243,Cashflows!$F$8:$F$1038,"PNL",Cashflows!$K$8:$K$1038,"&lt;="&amp;$A1243)</f>
        <v/>
      </c>
      <c r="F1243" s="18">
        <f>SUMIFS(MTM_Daily!$AO$6:$AO$1238,MTM_Daily!$B$6:$B$1238,$B1243,MTM_Daily!$A$6:$A$1238,$A1243,MTM_Daily!$L$6:$L$1238,"PNL")</f>
        <v/>
      </c>
      <c r="G1243" s="18">
        <f>$E1243+$C1243+$F1243</f>
        <v/>
      </c>
      <c r="H1243" s="18">
        <f>$G1243-$D1243</f>
        <v/>
      </c>
      <c r="I1243" s="8">
        <f>IF(ABS($H1243)&lt;=tol_trade_inr,"PASS","FAIL")</f>
        <v/>
      </c>
    </row>
    <row r="1244">
      <c r="A1244" s="11" t="n">
        <v>44628</v>
      </c>
      <c r="B1244" s="7" t="inlineStr">
        <is>
          <t>T02</t>
        </is>
      </c>
      <c r="C1244" s="9" t="n">
        <v>0</v>
      </c>
      <c r="D1244" s="9" t="n">
        <v>0</v>
      </c>
      <c r="E1244" s="18">
        <f>SUMIFS(Cashflows!$X$8:$X$1038,Cashflows!$A$8:$A$1038,$B1244,Cashflows!$F$8:$F$1038,"PNL",Cashflows!$K$8:$K$1038,"&lt;="&amp;$A1244)</f>
        <v/>
      </c>
      <c r="F1244" s="18">
        <f>SUMIFS(MTM_Daily!$AO$6:$AO$1238,MTM_Daily!$B$6:$B$1238,$B1244,MTM_Daily!$A$6:$A$1238,$A1244,MTM_Daily!$L$6:$L$1238,"PNL")</f>
        <v/>
      </c>
      <c r="G1244" s="18">
        <f>$E1244+$C1244+$F1244</f>
        <v/>
      </c>
      <c r="H1244" s="18">
        <f>$G1244-$D1244</f>
        <v/>
      </c>
      <c r="I1244" s="8">
        <f>IF(ABS($H1244)&lt;=tol_trade_inr,"PASS","FAIL")</f>
        <v/>
      </c>
    </row>
    <row r="1245">
      <c r="A1245" s="11" t="n">
        <v>44628</v>
      </c>
      <c r="B1245" s="7" t="inlineStr">
        <is>
          <t>T03</t>
        </is>
      </c>
      <c r="C1245" s="9" t="n">
        <v>0</v>
      </c>
      <c r="D1245" s="9" t="n">
        <v>0</v>
      </c>
      <c r="E1245" s="18">
        <f>SUMIFS(Cashflows!$X$8:$X$1038,Cashflows!$A$8:$A$1038,$B1245,Cashflows!$F$8:$F$1038,"PNL",Cashflows!$K$8:$K$1038,"&lt;="&amp;$A1245)</f>
        <v/>
      </c>
      <c r="F1245" s="18">
        <f>SUMIFS(MTM_Daily!$AO$6:$AO$1238,MTM_Daily!$B$6:$B$1238,$B1245,MTM_Daily!$A$6:$A$1238,$A1245,MTM_Daily!$L$6:$L$1238,"PNL")</f>
        <v/>
      </c>
      <c r="G1245" s="18">
        <f>$E1245+$C1245+$F1245</f>
        <v/>
      </c>
      <c r="H1245" s="18">
        <f>$G1245-$D1245</f>
        <v/>
      </c>
      <c r="I1245" s="8">
        <f>IF(ABS($H1245)&lt;=tol_trade_inr,"PASS","FAIL")</f>
        <v/>
      </c>
    </row>
    <row r="1246">
      <c r="A1246" s="11" t="n">
        <v>44628</v>
      </c>
      <c r="B1246" s="7" t="inlineStr">
        <is>
          <t>T04</t>
        </is>
      </c>
      <c r="C1246" s="9" t="n">
        <v>0</v>
      </c>
      <c r="D1246" s="9" t="n">
        <v>0</v>
      </c>
      <c r="E1246" s="18">
        <f>SUMIFS(Cashflows!$X$8:$X$1038,Cashflows!$A$8:$A$1038,$B1246,Cashflows!$F$8:$F$1038,"PNL",Cashflows!$K$8:$K$1038,"&lt;="&amp;$A1246)</f>
        <v/>
      </c>
      <c r="F1246" s="18">
        <f>SUMIFS(MTM_Daily!$AO$6:$AO$1238,MTM_Daily!$B$6:$B$1238,$B1246,MTM_Daily!$A$6:$A$1238,$A1246,MTM_Daily!$L$6:$L$1238,"PNL")</f>
        <v/>
      </c>
      <c r="G1246" s="18">
        <f>$E1246+$C1246+$F1246</f>
        <v/>
      </c>
      <c r="H1246" s="18">
        <f>$G1246-$D1246</f>
        <v/>
      </c>
      <c r="I1246" s="8">
        <f>IF(ABS($H1246)&lt;=tol_trade_inr,"PASS","FAIL")</f>
        <v/>
      </c>
    </row>
    <row r="1247">
      <c r="A1247" s="11" t="n">
        <v>44628</v>
      </c>
      <c r="B1247" s="7" t="inlineStr">
        <is>
          <t>T05</t>
        </is>
      </c>
      <c r="C1247" s="9" t="n">
        <v>0</v>
      </c>
      <c r="D1247" s="9" t="n">
        <v>0</v>
      </c>
      <c r="E1247" s="18">
        <f>SUMIFS(Cashflows!$X$8:$X$1038,Cashflows!$A$8:$A$1038,$B1247,Cashflows!$F$8:$F$1038,"PNL",Cashflows!$K$8:$K$1038,"&lt;="&amp;$A1247)</f>
        <v/>
      </c>
      <c r="F1247" s="18">
        <f>SUMIFS(MTM_Daily!$AO$6:$AO$1238,MTM_Daily!$B$6:$B$1238,$B1247,MTM_Daily!$A$6:$A$1238,$A1247,MTM_Daily!$L$6:$L$1238,"PNL")</f>
        <v/>
      </c>
      <c r="G1247" s="18">
        <f>$E1247+$C1247+$F1247</f>
        <v/>
      </c>
      <c r="H1247" s="18">
        <f>$G1247-$D1247</f>
        <v/>
      </c>
      <c r="I1247" s="8">
        <f>IF(ABS($H1247)&lt;=tol_trade_inr,"PASS","FAIL")</f>
        <v/>
      </c>
    </row>
    <row r="1248">
      <c r="A1248" s="11" t="n">
        <v>44628</v>
      </c>
      <c r="B1248" s="7" t="inlineStr">
        <is>
          <t>T06</t>
        </is>
      </c>
      <c r="C1248" s="9" t="n">
        <v>0</v>
      </c>
      <c r="D1248" s="9" t="n">
        <v>0</v>
      </c>
      <c r="E1248" s="18">
        <f>SUMIFS(Cashflows!$X$8:$X$1038,Cashflows!$A$8:$A$1038,$B1248,Cashflows!$F$8:$F$1038,"PNL",Cashflows!$K$8:$K$1038,"&lt;="&amp;$A1248)</f>
        <v/>
      </c>
      <c r="F1248" s="18">
        <f>SUMIFS(MTM_Daily!$AO$6:$AO$1238,MTM_Daily!$B$6:$B$1238,$B1248,MTM_Daily!$A$6:$A$1238,$A1248,MTM_Daily!$L$6:$L$1238,"PNL")</f>
        <v/>
      </c>
      <c r="G1248" s="18">
        <f>$E1248+$C1248+$F1248</f>
        <v/>
      </c>
      <c r="H1248" s="18">
        <f>$G1248-$D1248</f>
        <v/>
      </c>
      <c r="I1248" s="8">
        <f>IF(ABS($H1248)&lt;=tol_trade_inr,"PASS","FAIL")</f>
        <v/>
      </c>
    </row>
    <row r="1249">
      <c r="A1249" s="11" t="n">
        <v>44628</v>
      </c>
      <c r="B1249" s="7" t="inlineStr">
        <is>
          <t>T07</t>
        </is>
      </c>
      <c r="C1249" s="9" t="n">
        <v>0</v>
      </c>
      <c r="D1249" s="9" t="n">
        <v>0</v>
      </c>
      <c r="E1249" s="18">
        <f>SUMIFS(Cashflows!$X$8:$X$1038,Cashflows!$A$8:$A$1038,$B1249,Cashflows!$F$8:$F$1038,"PNL",Cashflows!$K$8:$K$1038,"&lt;="&amp;$A1249)</f>
        <v/>
      </c>
      <c r="F1249" s="18">
        <f>SUMIFS(MTM_Daily!$AO$6:$AO$1238,MTM_Daily!$B$6:$B$1238,$B1249,MTM_Daily!$A$6:$A$1238,$A1249,MTM_Daily!$L$6:$L$1238,"PNL")</f>
        <v/>
      </c>
      <c r="G1249" s="18">
        <f>$E1249+$C1249+$F1249</f>
        <v/>
      </c>
      <c r="H1249" s="18">
        <f>$G1249-$D1249</f>
        <v/>
      </c>
      <c r="I1249" s="8">
        <f>IF(ABS($H1249)&lt;=tol_trade_inr,"PASS","FAIL")</f>
        <v/>
      </c>
    </row>
    <row r="1250">
      <c r="A1250" s="11" t="n">
        <v>44628</v>
      </c>
      <c r="B1250" s="7" t="inlineStr">
        <is>
          <t>T08</t>
        </is>
      </c>
      <c r="C1250" s="9" t="n">
        <v>0</v>
      </c>
      <c r="D1250" s="9" t="n">
        <v>0</v>
      </c>
      <c r="E1250" s="18">
        <f>SUMIFS(Cashflows!$X$8:$X$1038,Cashflows!$A$8:$A$1038,$B1250,Cashflows!$F$8:$F$1038,"PNL",Cashflows!$K$8:$K$1038,"&lt;="&amp;$A1250)</f>
        <v/>
      </c>
      <c r="F1250" s="18">
        <f>SUMIFS(MTM_Daily!$AO$6:$AO$1238,MTM_Daily!$B$6:$B$1238,$B1250,MTM_Daily!$A$6:$A$1238,$A1250,MTM_Daily!$L$6:$L$1238,"PNL")</f>
        <v/>
      </c>
      <c r="G1250" s="18">
        <f>$E1250+$C1250+$F1250</f>
        <v/>
      </c>
      <c r="H1250" s="18">
        <f>$G1250-$D1250</f>
        <v/>
      </c>
      <c r="I1250" s="8">
        <f>IF(ABS($H1250)&lt;=tol_trade_inr,"PASS","FAIL")</f>
        <v/>
      </c>
    </row>
    <row r="1251">
      <c r="A1251" s="11" t="n">
        <v>44628</v>
      </c>
      <c r="B1251" s="7" t="inlineStr">
        <is>
          <t>T09</t>
        </is>
      </c>
      <c r="C1251" s="9" t="n">
        <v>0</v>
      </c>
      <c r="D1251" s="9" t="n">
        <v>0</v>
      </c>
      <c r="E1251" s="18">
        <f>SUMIFS(Cashflows!$X$8:$X$1038,Cashflows!$A$8:$A$1038,$B1251,Cashflows!$F$8:$F$1038,"PNL",Cashflows!$K$8:$K$1038,"&lt;="&amp;$A1251)</f>
        <v/>
      </c>
      <c r="F1251" s="18">
        <f>SUMIFS(MTM_Daily!$AO$6:$AO$1238,MTM_Daily!$B$6:$B$1238,$B1251,MTM_Daily!$A$6:$A$1238,$A1251,MTM_Daily!$L$6:$L$1238,"PNL")</f>
        <v/>
      </c>
      <c r="G1251" s="18">
        <f>$E1251+$C1251+$F1251</f>
        <v/>
      </c>
      <c r="H1251" s="18">
        <f>$G1251-$D1251</f>
        <v/>
      </c>
      <c r="I1251" s="8">
        <f>IF(ABS($H1251)&lt;=tol_trade_inr,"PASS","FAIL")</f>
        <v/>
      </c>
    </row>
    <row r="1252">
      <c r="A1252" s="11" t="n">
        <v>44631</v>
      </c>
      <c r="B1252" s="7" t="inlineStr">
        <is>
          <t>T01</t>
        </is>
      </c>
      <c r="C1252" s="9" t="n">
        <v>-22793.23</v>
      </c>
      <c r="D1252" s="9" t="n">
        <v>2992149.41</v>
      </c>
      <c r="E1252" s="18">
        <f>SUMIFS(Cashflows!$X$8:$X$1038,Cashflows!$A$8:$A$1038,$B1252,Cashflows!$F$8:$F$1038,"PNL",Cashflows!$K$8:$K$1038,"&lt;="&amp;$A1252)</f>
        <v/>
      </c>
      <c r="F1252" s="18">
        <f>SUMIFS(MTM_Daily!$AO$6:$AO$1238,MTM_Daily!$B$6:$B$1238,$B1252,MTM_Daily!$A$6:$A$1238,$A1252,MTM_Daily!$L$6:$L$1238,"PNL")</f>
        <v/>
      </c>
      <c r="G1252" s="18">
        <f>$E1252+$C1252+$F1252</f>
        <v/>
      </c>
      <c r="H1252" s="18">
        <f>$G1252-$D1252</f>
        <v/>
      </c>
      <c r="I1252" s="8">
        <f>IF(ABS($H1252)&lt;=tol_trade_inr,"PASS","FAIL")</f>
        <v/>
      </c>
    </row>
    <row r="1253">
      <c r="A1253" s="11" t="n">
        <v>44631</v>
      </c>
      <c r="B1253" s="7" t="inlineStr">
        <is>
          <t>T02</t>
        </is>
      </c>
      <c r="C1253" s="9" t="n">
        <v>0</v>
      </c>
      <c r="D1253" s="9" t="n">
        <v>38922624.2</v>
      </c>
      <c r="E1253" s="18">
        <f>SUMIFS(Cashflows!$X$8:$X$1038,Cashflows!$A$8:$A$1038,$B1253,Cashflows!$F$8:$F$1038,"PNL",Cashflows!$K$8:$K$1038,"&lt;="&amp;$A1253)</f>
        <v/>
      </c>
      <c r="F1253" s="18">
        <f>SUMIFS(MTM_Daily!$AO$6:$AO$1238,MTM_Daily!$B$6:$B$1238,$B1253,MTM_Daily!$A$6:$A$1238,$A1253,MTM_Daily!$L$6:$L$1238,"PNL")</f>
        <v/>
      </c>
      <c r="G1253" s="18">
        <f>$E1253+$C1253+$F1253</f>
        <v/>
      </c>
      <c r="H1253" s="18">
        <f>$G1253-$D1253</f>
        <v/>
      </c>
      <c r="I1253" s="8">
        <f>IF(ABS($H1253)&lt;=tol_trade_inr,"PASS","FAIL")</f>
        <v/>
      </c>
    </row>
    <row r="1254">
      <c r="A1254" s="11" t="n">
        <v>44631</v>
      </c>
      <c r="B1254" s="7" t="inlineStr">
        <is>
          <t>T03</t>
        </is>
      </c>
      <c r="C1254" s="9" t="n">
        <v>0</v>
      </c>
      <c r="D1254" s="9" t="n">
        <v>0</v>
      </c>
      <c r="E1254" s="18">
        <f>SUMIFS(Cashflows!$X$8:$X$1038,Cashflows!$A$8:$A$1038,$B1254,Cashflows!$F$8:$F$1038,"PNL",Cashflows!$K$8:$K$1038,"&lt;="&amp;$A1254)</f>
        <v/>
      </c>
      <c r="F1254" s="18">
        <f>SUMIFS(MTM_Daily!$AO$6:$AO$1238,MTM_Daily!$B$6:$B$1238,$B1254,MTM_Daily!$A$6:$A$1238,$A1254,MTM_Daily!$L$6:$L$1238,"PNL")</f>
        <v/>
      </c>
      <c r="G1254" s="18">
        <f>$E1254+$C1254+$F1254</f>
        <v/>
      </c>
      <c r="H1254" s="18">
        <f>$G1254-$D1254</f>
        <v/>
      </c>
      <c r="I1254" s="8">
        <f>IF(ABS($H1254)&lt;=tol_trade_inr,"PASS","FAIL")</f>
        <v/>
      </c>
    </row>
    <row r="1255">
      <c r="A1255" s="11" t="n">
        <v>44631</v>
      </c>
      <c r="B1255" s="7" t="inlineStr">
        <is>
          <t>T04</t>
        </is>
      </c>
      <c r="C1255" s="9" t="n">
        <v>0</v>
      </c>
      <c r="D1255" s="9" t="n">
        <v>0</v>
      </c>
      <c r="E1255" s="18">
        <f>SUMIFS(Cashflows!$X$8:$X$1038,Cashflows!$A$8:$A$1038,$B1255,Cashflows!$F$8:$F$1038,"PNL",Cashflows!$K$8:$K$1038,"&lt;="&amp;$A1255)</f>
        <v/>
      </c>
      <c r="F1255" s="18">
        <f>SUMIFS(MTM_Daily!$AO$6:$AO$1238,MTM_Daily!$B$6:$B$1238,$B1255,MTM_Daily!$A$6:$A$1238,$A1255,MTM_Daily!$L$6:$L$1238,"PNL")</f>
        <v/>
      </c>
      <c r="G1255" s="18">
        <f>$E1255+$C1255+$F1255</f>
        <v/>
      </c>
      <c r="H1255" s="18">
        <f>$G1255-$D1255</f>
        <v/>
      </c>
      <c r="I1255" s="8">
        <f>IF(ABS($H1255)&lt;=tol_trade_inr,"PASS","FAIL")</f>
        <v/>
      </c>
    </row>
    <row r="1256">
      <c r="A1256" s="11" t="n">
        <v>44631</v>
      </c>
      <c r="B1256" s="7" t="inlineStr">
        <is>
          <t>T05</t>
        </is>
      </c>
      <c r="C1256" s="9" t="n">
        <v>0</v>
      </c>
      <c r="D1256" s="9" t="n">
        <v>0</v>
      </c>
      <c r="E1256" s="18">
        <f>SUMIFS(Cashflows!$X$8:$X$1038,Cashflows!$A$8:$A$1038,$B1256,Cashflows!$F$8:$F$1038,"PNL",Cashflows!$K$8:$K$1038,"&lt;="&amp;$A1256)</f>
        <v/>
      </c>
      <c r="F1256" s="18">
        <f>SUMIFS(MTM_Daily!$AO$6:$AO$1238,MTM_Daily!$B$6:$B$1238,$B1256,MTM_Daily!$A$6:$A$1238,$A1256,MTM_Daily!$L$6:$L$1238,"PNL")</f>
        <v/>
      </c>
      <c r="G1256" s="18">
        <f>$E1256+$C1256+$F1256</f>
        <v/>
      </c>
      <c r="H1256" s="18">
        <f>$G1256-$D1256</f>
        <v/>
      </c>
      <c r="I1256" s="8">
        <f>IF(ABS($H1256)&lt;=tol_trade_inr,"PASS","FAIL")</f>
        <v/>
      </c>
    </row>
    <row r="1257">
      <c r="A1257" s="11" t="n">
        <v>44631</v>
      </c>
      <c r="B1257" s="7" t="inlineStr">
        <is>
          <t>T06</t>
        </is>
      </c>
      <c r="C1257" s="9" t="n">
        <v>0</v>
      </c>
      <c r="D1257" s="9" t="n">
        <v>0</v>
      </c>
      <c r="E1257" s="18">
        <f>SUMIFS(Cashflows!$X$8:$X$1038,Cashflows!$A$8:$A$1038,$B1257,Cashflows!$F$8:$F$1038,"PNL",Cashflows!$K$8:$K$1038,"&lt;="&amp;$A1257)</f>
        <v/>
      </c>
      <c r="F1257" s="18">
        <f>SUMIFS(MTM_Daily!$AO$6:$AO$1238,MTM_Daily!$B$6:$B$1238,$B1257,MTM_Daily!$A$6:$A$1238,$A1257,MTM_Daily!$L$6:$L$1238,"PNL")</f>
        <v/>
      </c>
      <c r="G1257" s="18">
        <f>$E1257+$C1257+$F1257</f>
        <v/>
      </c>
      <c r="H1257" s="18">
        <f>$G1257-$D1257</f>
        <v/>
      </c>
      <c r="I1257" s="8">
        <f>IF(ABS($H1257)&lt;=tol_trade_inr,"PASS","FAIL")</f>
        <v/>
      </c>
    </row>
    <row r="1258">
      <c r="A1258" s="11" t="n">
        <v>44631</v>
      </c>
      <c r="B1258" s="7" t="inlineStr">
        <is>
          <t>T07</t>
        </is>
      </c>
      <c r="C1258" s="9" t="n">
        <v>0</v>
      </c>
      <c r="D1258" s="9" t="n">
        <v>0</v>
      </c>
      <c r="E1258" s="18">
        <f>SUMIFS(Cashflows!$X$8:$X$1038,Cashflows!$A$8:$A$1038,$B1258,Cashflows!$F$8:$F$1038,"PNL",Cashflows!$K$8:$K$1038,"&lt;="&amp;$A1258)</f>
        <v/>
      </c>
      <c r="F1258" s="18">
        <f>SUMIFS(MTM_Daily!$AO$6:$AO$1238,MTM_Daily!$B$6:$B$1238,$B1258,MTM_Daily!$A$6:$A$1238,$A1258,MTM_Daily!$L$6:$L$1238,"PNL")</f>
        <v/>
      </c>
      <c r="G1258" s="18">
        <f>$E1258+$C1258+$F1258</f>
        <v/>
      </c>
      <c r="H1258" s="18">
        <f>$G1258-$D1258</f>
        <v/>
      </c>
      <c r="I1258" s="8">
        <f>IF(ABS($H1258)&lt;=tol_trade_inr,"PASS","FAIL")</f>
        <v/>
      </c>
    </row>
    <row r="1259">
      <c r="A1259" s="11" t="n">
        <v>44631</v>
      </c>
      <c r="B1259" s="7" t="inlineStr">
        <is>
          <t>T08</t>
        </is>
      </c>
      <c r="C1259" s="9" t="n">
        <v>0</v>
      </c>
      <c r="D1259" s="9" t="n">
        <v>0</v>
      </c>
      <c r="E1259" s="18">
        <f>SUMIFS(Cashflows!$X$8:$X$1038,Cashflows!$A$8:$A$1038,$B1259,Cashflows!$F$8:$F$1038,"PNL",Cashflows!$K$8:$K$1038,"&lt;="&amp;$A1259)</f>
        <v/>
      </c>
      <c r="F1259" s="18">
        <f>SUMIFS(MTM_Daily!$AO$6:$AO$1238,MTM_Daily!$B$6:$B$1238,$B1259,MTM_Daily!$A$6:$A$1238,$A1259,MTM_Daily!$L$6:$L$1238,"PNL")</f>
        <v/>
      </c>
      <c r="G1259" s="18">
        <f>$E1259+$C1259+$F1259</f>
        <v/>
      </c>
      <c r="H1259" s="18">
        <f>$G1259-$D1259</f>
        <v/>
      </c>
      <c r="I1259" s="8">
        <f>IF(ABS($H1259)&lt;=tol_trade_inr,"PASS","FAIL")</f>
        <v/>
      </c>
    </row>
    <row r="1260">
      <c r="A1260" s="11" t="n">
        <v>44631</v>
      </c>
      <c r="B1260" s="7" t="inlineStr">
        <is>
          <t>T09</t>
        </is>
      </c>
      <c r="C1260" s="9" t="n">
        <v>0</v>
      </c>
      <c r="D1260" s="9" t="n">
        <v>0</v>
      </c>
      <c r="E1260" s="18">
        <f>SUMIFS(Cashflows!$X$8:$X$1038,Cashflows!$A$8:$A$1038,$B1260,Cashflows!$F$8:$F$1038,"PNL",Cashflows!$K$8:$K$1038,"&lt;="&amp;$A1260)</f>
        <v/>
      </c>
      <c r="F1260" s="18">
        <f>SUMIFS(MTM_Daily!$AO$6:$AO$1238,MTM_Daily!$B$6:$B$1238,$B1260,MTM_Daily!$A$6:$A$1238,$A1260,MTM_Daily!$L$6:$L$1238,"PNL")</f>
        <v/>
      </c>
      <c r="G1260" s="18">
        <f>$E1260+$C1260+$F1260</f>
        <v/>
      </c>
      <c r="H1260" s="18">
        <f>$G1260-$D1260</f>
        <v/>
      </c>
      <c r="I1260" s="8">
        <f>IF(ABS($H1260)&lt;=tol_trade_inr,"PASS","FAIL")</f>
        <v/>
      </c>
    </row>
    <row r="1261">
      <c r="A1261" s="11" t="n">
        <v>44638</v>
      </c>
      <c r="B1261" s="7" t="inlineStr">
        <is>
          <t>T01</t>
        </is>
      </c>
      <c r="C1261" s="9" t="n">
        <v>-62276.7</v>
      </c>
      <c r="D1261" s="9" t="n">
        <v>-282890.76</v>
      </c>
      <c r="E1261" s="18">
        <f>SUMIFS(Cashflows!$X$8:$X$1038,Cashflows!$A$8:$A$1038,$B1261,Cashflows!$F$8:$F$1038,"PNL",Cashflows!$K$8:$K$1038,"&lt;="&amp;$A1261)</f>
        <v/>
      </c>
      <c r="F1261" s="18">
        <f>SUMIFS(MTM_Daily!$AO$6:$AO$1238,MTM_Daily!$B$6:$B$1238,$B1261,MTM_Daily!$A$6:$A$1238,$A1261,MTM_Daily!$L$6:$L$1238,"PNL")</f>
        <v/>
      </c>
      <c r="G1261" s="18">
        <f>$E1261+$C1261+$F1261</f>
        <v/>
      </c>
      <c r="H1261" s="18">
        <f>$G1261-$D1261</f>
        <v/>
      </c>
      <c r="I1261" s="8">
        <f>IF(ABS($H1261)&lt;=tol_trade_inr,"PASS","FAIL")</f>
        <v/>
      </c>
    </row>
    <row r="1262">
      <c r="A1262" s="11" t="n">
        <v>44638</v>
      </c>
      <c r="B1262" s="7" t="inlineStr">
        <is>
          <t>T02</t>
        </is>
      </c>
      <c r="C1262" s="9" t="n">
        <v>-13282.4</v>
      </c>
      <c r="D1262" s="9" t="n">
        <v>39381503.18</v>
      </c>
      <c r="E1262" s="18">
        <f>SUMIFS(Cashflows!$X$8:$X$1038,Cashflows!$A$8:$A$1038,$B1262,Cashflows!$F$8:$F$1038,"PNL",Cashflows!$K$8:$K$1038,"&lt;="&amp;$A1262)</f>
        <v/>
      </c>
      <c r="F1262" s="18">
        <f>SUMIFS(MTM_Daily!$AO$6:$AO$1238,MTM_Daily!$B$6:$B$1238,$B1262,MTM_Daily!$A$6:$A$1238,$A1262,MTM_Daily!$L$6:$L$1238,"PNL")</f>
        <v/>
      </c>
      <c r="G1262" s="18">
        <f>$E1262+$C1262+$F1262</f>
        <v/>
      </c>
      <c r="H1262" s="18">
        <f>$G1262-$D1262</f>
        <v/>
      </c>
      <c r="I1262" s="8">
        <f>IF(ABS($H1262)&lt;=tol_trade_inr,"PASS","FAIL")</f>
        <v/>
      </c>
    </row>
    <row r="1263">
      <c r="A1263" s="11" t="n">
        <v>44638</v>
      </c>
      <c r="B1263" s="7" t="inlineStr">
        <is>
          <t>T03</t>
        </is>
      </c>
      <c r="C1263" s="9" t="n">
        <v>0</v>
      </c>
      <c r="D1263" s="9" t="n">
        <v>0</v>
      </c>
      <c r="E1263" s="18">
        <f>SUMIFS(Cashflows!$X$8:$X$1038,Cashflows!$A$8:$A$1038,$B1263,Cashflows!$F$8:$F$1038,"PNL",Cashflows!$K$8:$K$1038,"&lt;="&amp;$A1263)</f>
        <v/>
      </c>
      <c r="F1263" s="18">
        <f>SUMIFS(MTM_Daily!$AO$6:$AO$1238,MTM_Daily!$B$6:$B$1238,$B1263,MTM_Daily!$A$6:$A$1238,$A1263,MTM_Daily!$L$6:$L$1238,"PNL")</f>
        <v/>
      </c>
      <c r="G1263" s="18">
        <f>$E1263+$C1263+$F1263</f>
        <v/>
      </c>
      <c r="H1263" s="18">
        <f>$G1263-$D1263</f>
        <v/>
      </c>
      <c r="I1263" s="8">
        <f>IF(ABS($H1263)&lt;=tol_trade_inr,"PASS","FAIL")</f>
        <v/>
      </c>
    </row>
    <row r="1264">
      <c r="A1264" s="11" t="n">
        <v>44638</v>
      </c>
      <c r="B1264" s="7" t="inlineStr">
        <is>
          <t>T04</t>
        </is>
      </c>
      <c r="C1264" s="9" t="n">
        <v>0</v>
      </c>
      <c r="D1264" s="9" t="n">
        <v>0</v>
      </c>
      <c r="E1264" s="18">
        <f>SUMIFS(Cashflows!$X$8:$X$1038,Cashflows!$A$8:$A$1038,$B1264,Cashflows!$F$8:$F$1038,"PNL",Cashflows!$K$8:$K$1038,"&lt;="&amp;$A1264)</f>
        <v/>
      </c>
      <c r="F1264" s="18">
        <f>SUMIFS(MTM_Daily!$AO$6:$AO$1238,MTM_Daily!$B$6:$B$1238,$B1264,MTM_Daily!$A$6:$A$1238,$A1264,MTM_Daily!$L$6:$L$1238,"PNL")</f>
        <v/>
      </c>
      <c r="G1264" s="18">
        <f>$E1264+$C1264+$F1264</f>
        <v/>
      </c>
      <c r="H1264" s="18">
        <f>$G1264-$D1264</f>
        <v/>
      </c>
      <c r="I1264" s="8">
        <f>IF(ABS($H1264)&lt;=tol_trade_inr,"PASS","FAIL")</f>
        <v/>
      </c>
    </row>
    <row r="1265">
      <c r="A1265" s="11" t="n">
        <v>44638</v>
      </c>
      <c r="B1265" s="7" t="inlineStr">
        <is>
          <t>T05</t>
        </is>
      </c>
      <c r="C1265" s="9" t="n">
        <v>0</v>
      </c>
      <c r="D1265" s="9" t="n">
        <v>0</v>
      </c>
      <c r="E1265" s="18">
        <f>SUMIFS(Cashflows!$X$8:$X$1038,Cashflows!$A$8:$A$1038,$B1265,Cashflows!$F$8:$F$1038,"PNL",Cashflows!$K$8:$K$1038,"&lt;="&amp;$A1265)</f>
        <v/>
      </c>
      <c r="F1265" s="18">
        <f>SUMIFS(MTM_Daily!$AO$6:$AO$1238,MTM_Daily!$B$6:$B$1238,$B1265,MTM_Daily!$A$6:$A$1238,$A1265,MTM_Daily!$L$6:$L$1238,"PNL")</f>
        <v/>
      </c>
      <c r="G1265" s="18">
        <f>$E1265+$C1265+$F1265</f>
        <v/>
      </c>
      <c r="H1265" s="18">
        <f>$G1265-$D1265</f>
        <v/>
      </c>
      <c r="I1265" s="8">
        <f>IF(ABS($H1265)&lt;=tol_trade_inr,"PASS","FAIL")</f>
        <v/>
      </c>
    </row>
    <row r="1266">
      <c r="A1266" s="11" t="n">
        <v>44638</v>
      </c>
      <c r="B1266" s="7" t="inlineStr">
        <is>
          <t>T06</t>
        </is>
      </c>
      <c r="C1266" s="9" t="n">
        <v>0</v>
      </c>
      <c r="D1266" s="9" t="n">
        <v>0</v>
      </c>
      <c r="E1266" s="18">
        <f>SUMIFS(Cashflows!$X$8:$X$1038,Cashflows!$A$8:$A$1038,$B1266,Cashflows!$F$8:$F$1038,"PNL",Cashflows!$K$8:$K$1038,"&lt;="&amp;$A1266)</f>
        <v/>
      </c>
      <c r="F1266" s="18">
        <f>SUMIFS(MTM_Daily!$AO$6:$AO$1238,MTM_Daily!$B$6:$B$1238,$B1266,MTM_Daily!$A$6:$A$1238,$A1266,MTM_Daily!$L$6:$L$1238,"PNL")</f>
        <v/>
      </c>
      <c r="G1266" s="18">
        <f>$E1266+$C1266+$F1266</f>
        <v/>
      </c>
      <c r="H1266" s="18">
        <f>$G1266-$D1266</f>
        <v/>
      </c>
      <c r="I1266" s="8">
        <f>IF(ABS($H1266)&lt;=tol_trade_inr,"PASS","FAIL")</f>
        <v/>
      </c>
    </row>
    <row r="1267">
      <c r="A1267" s="11" t="n">
        <v>44638</v>
      </c>
      <c r="B1267" s="7" t="inlineStr">
        <is>
          <t>T07</t>
        </is>
      </c>
      <c r="C1267" s="9" t="n">
        <v>0</v>
      </c>
      <c r="D1267" s="9" t="n">
        <v>0</v>
      </c>
      <c r="E1267" s="18">
        <f>SUMIFS(Cashflows!$X$8:$X$1038,Cashflows!$A$8:$A$1038,$B1267,Cashflows!$F$8:$F$1038,"PNL",Cashflows!$K$8:$K$1038,"&lt;="&amp;$A1267)</f>
        <v/>
      </c>
      <c r="F1267" s="18">
        <f>SUMIFS(MTM_Daily!$AO$6:$AO$1238,MTM_Daily!$B$6:$B$1238,$B1267,MTM_Daily!$A$6:$A$1238,$A1267,MTM_Daily!$L$6:$L$1238,"PNL")</f>
        <v/>
      </c>
      <c r="G1267" s="18">
        <f>$E1267+$C1267+$F1267</f>
        <v/>
      </c>
      <c r="H1267" s="18">
        <f>$G1267-$D1267</f>
        <v/>
      </c>
      <c r="I1267" s="8">
        <f>IF(ABS($H1267)&lt;=tol_trade_inr,"PASS","FAIL")</f>
        <v/>
      </c>
    </row>
    <row r="1268">
      <c r="A1268" s="11" t="n">
        <v>44638</v>
      </c>
      <c r="B1268" s="7" t="inlineStr">
        <is>
          <t>T08</t>
        </is>
      </c>
      <c r="C1268" s="9" t="n">
        <v>0</v>
      </c>
      <c r="D1268" s="9" t="n">
        <v>0</v>
      </c>
      <c r="E1268" s="18">
        <f>SUMIFS(Cashflows!$X$8:$X$1038,Cashflows!$A$8:$A$1038,$B1268,Cashflows!$F$8:$F$1038,"PNL",Cashflows!$K$8:$K$1038,"&lt;="&amp;$A1268)</f>
        <v/>
      </c>
      <c r="F1268" s="18">
        <f>SUMIFS(MTM_Daily!$AO$6:$AO$1238,MTM_Daily!$B$6:$B$1238,$B1268,MTM_Daily!$A$6:$A$1238,$A1268,MTM_Daily!$L$6:$L$1238,"PNL")</f>
        <v/>
      </c>
      <c r="G1268" s="18">
        <f>$E1268+$C1268+$F1268</f>
        <v/>
      </c>
      <c r="H1268" s="18">
        <f>$G1268-$D1268</f>
        <v/>
      </c>
      <c r="I1268" s="8">
        <f>IF(ABS($H1268)&lt;=tol_trade_inr,"PASS","FAIL")</f>
        <v/>
      </c>
    </row>
    <row r="1269">
      <c r="A1269" s="11" t="n">
        <v>44638</v>
      </c>
      <c r="B1269" s="7" t="inlineStr">
        <is>
          <t>T09</t>
        </is>
      </c>
      <c r="C1269" s="9" t="n">
        <v>0</v>
      </c>
      <c r="D1269" s="9" t="n">
        <v>0</v>
      </c>
      <c r="E1269" s="18">
        <f>SUMIFS(Cashflows!$X$8:$X$1038,Cashflows!$A$8:$A$1038,$B1269,Cashflows!$F$8:$F$1038,"PNL",Cashflows!$K$8:$K$1038,"&lt;="&amp;$A1269)</f>
        <v/>
      </c>
      <c r="F1269" s="18">
        <f>SUMIFS(MTM_Daily!$AO$6:$AO$1238,MTM_Daily!$B$6:$B$1238,$B1269,MTM_Daily!$A$6:$A$1238,$A1269,MTM_Daily!$L$6:$L$1238,"PNL")</f>
        <v/>
      </c>
      <c r="G1269" s="18">
        <f>$E1269+$C1269+$F1269</f>
        <v/>
      </c>
      <c r="H1269" s="18">
        <f>$G1269-$D1269</f>
        <v/>
      </c>
      <c r="I1269" s="8">
        <f>IF(ABS($H1269)&lt;=tol_trade_inr,"PASS","FAIL")</f>
        <v/>
      </c>
    </row>
    <row r="1270">
      <c r="A1270" s="11" t="n">
        <v>44643</v>
      </c>
      <c r="B1270" s="7" t="inlineStr">
        <is>
          <t>T01</t>
        </is>
      </c>
      <c r="C1270" s="9" t="n">
        <v>-101092.65</v>
      </c>
      <c r="D1270" s="9" t="n">
        <v>4863841.36</v>
      </c>
      <c r="E1270" s="18">
        <f>SUMIFS(Cashflows!$X$8:$X$1038,Cashflows!$A$8:$A$1038,$B1270,Cashflows!$F$8:$F$1038,"PNL",Cashflows!$K$8:$K$1038,"&lt;="&amp;$A1270)</f>
        <v/>
      </c>
      <c r="F1270" s="18">
        <f>SUMIFS(MTM_Daily!$AO$6:$AO$1238,MTM_Daily!$B$6:$B$1238,$B1270,MTM_Daily!$A$6:$A$1238,$A1270,MTM_Daily!$L$6:$L$1238,"PNL")</f>
        <v/>
      </c>
      <c r="G1270" s="18">
        <f>$E1270+$C1270+$F1270</f>
        <v/>
      </c>
      <c r="H1270" s="18">
        <f>$G1270-$D1270</f>
        <v/>
      </c>
      <c r="I1270" s="8">
        <f>IF(ABS($H1270)&lt;=tol_trade_inr,"PASS","FAIL")</f>
        <v/>
      </c>
    </row>
    <row r="1271">
      <c r="A1271" s="11" t="n">
        <v>44643</v>
      </c>
      <c r="B1271" s="7" t="inlineStr">
        <is>
          <t>T02</t>
        </is>
      </c>
      <c r="C1271" s="9" t="n">
        <v>-25467.03</v>
      </c>
      <c r="D1271" s="9" t="n">
        <v>39541569.3</v>
      </c>
      <c r="E1271" s="18">
        <f>SUMIFS(Cashflows!$X$8:$X$1038,Cashflows!$A$8:$A$1038,$B1271,Cashflows!$F$8:$F$1038,"PNL",Cashflows!$K$8:$K$1038,"&lt;="&amp;$A1271)</f>
        <v/>
      </c>
      <c r="F1271" s="18">
        <f>SUMIFS(MTM_Daily!$AO$6:$AO$1238,MTM_Daily!$B$6:$B$1238,$B1271,MTM_Daily!$A$6:$A$1238,$A1271,MTM_Daily!$L$6:$L$1238,"PNL")</f>
        <v/>
      </c>
      <c r="G1271" s="18">
        <f>$E1271+$C1271+$F1271</f>
        <v/>
      </c>
      <c r="H1271" s="18">
        <f>$G1271-$D1271</f>
        <v/>
      </c>
      <c r="I1271" s="8">
        <f>IF(ABS($H1271)&lt;=tol_trade_inr,"PASS","FAIL")</f>
        <v/>
      </c>
    </row>
    <row r="1272">
      <c r="A1272" s="11" t="n">
        <v>44643</v>
      </c>
      <c r="B1272" s="7" t="inlineStr">
        <is>
          <t>T03</t>
        </is>
      </c>
      <c r="C1272" s="9" t="n">
        <v>0</v>
      </c>
      <c r="D1272" s="9" t="n">
        <v>969698.08</v>
      </c>
      <c r="E1272" s="18">
        <f>SUMIFS(Cashflows!$X$8:$X$1038,Cashflows!$A$8:$A$1038,$B1272,Cashflows!$F$8:$F$1038,"PNL",Cashflows!$K$8:$K$1038,"&lt;="&amp;$A1272)</f>
        <v/>
      </c>
      <c r="F1272" s="18">
        <f>SUMIFS(MTM_Daily!$AO$6:$AO$1238,MTM_Daily!$B$6:$B$1238,$B1272,MTM_Daily!$A$6:$A$1238,$A1272,MTM_Daily!$L$6:$L$1238,"PNL")</f>
        <v/>
      </c>
      <c r="G1272" s="18">
        <f>$E1272+$C1272+$F1272</f>
        <v/>
      </c>
      <c r="H1272" s="18">
        <f>$G1272-$D1272</f>
        <v/>
      </c>
      <c r="I1272" s="8">
        <f>IF(ABS($H1272)&lt;=tol_trade_inr,"PASS","FAIL")</f>
        <v/>
      </c>
    </row>
    <row r="1273">
      <c r="A1273" s="11" t="n">
        <v>44643</v>
      </c>
      <c r="B1273" s="7" t="inlineStr">
        <is>
          <t>T04</t>
        </is>
      </c>
      <c r="C1273" s="9" t="n">
        <v>0</v>
      </c>
      <c r="D1273" s="9" t="n">
        <v>0</v>
      </c>
      <c r="E1273" s="18">
        <f>SUMIFS(Cashflows!$X$8:$X$1038,Cashflows!$A$8:$A$1038,$B1273,Cashflows!$F$8:$F$1038,"PNL",Cashflows!$K$8:$K$1038,"&lt;="&amp;$A1273)</f>
        <v/>
      </c>
      <c r="F1273" s="18">
        <f>SUMIFS(MTM_Daily!$AO$6:$AO$1238,MTM_Daily!$B$6:$B$1238,$B1273,MTM_Daily!$A$6:$A$1238,$A1273,MTM_Daily!$L$6:$L$1238,"PNL")</f>
        <v/>
      </c>
      <c r="G1273" s="18">
        <f>$E1273+$C1273+$F1273</f>
        <v/>
      </c>
      <c r="H1273" s="18">
        <f>$G1273-$D1273</f>
        <v/>
      </c>
      <c r="I1273" s="8">
        <f>IF(ABS($H1273)&lt;=tol_trade_inr,"PASS","FAIL")</f>
        <v/>
      </c>
    </row>
    <row r="1274">
      <c r="A1274" s="11" t="n">
        <v>44643</v>
      </c>
      <c r="B1274" s="7" t="inlineStr">
        <is>
          <t>T05</t>
        </is>
      </c>
      <c r="C1274" s="9" t="n">
        <v>0</v>
      </c>
      <c r="D1274" s="9" t="n">
        <v>0</v>
      </c>
      <c r="E1274" s="18">
        <f>SUMIFS(Cashflows!$X$8:$X$1038,Cashflows!$A$8:$A$1038,$B1274,Cashflows!$F$8:$F$1038,"PNL",Cashflows!$K$8:$K$1038,"&lt;="&amp;$A1274)</f>
        <v/>
      </c>
      <c r="F1274" s="18">
        <f>SUMIFS(MTM_Daily!$AO$6:$AO$1238,MTM_Daily!$B$6:$B$1238,$B1274,MTM_Daily!$A$6:$A$1238,$A1274,MTM_Daily!$L$6:$L$1238,"PNL")</f>
        <v/>
      </c>
      <c r="G1274" s="18">
        <f>$E1274+$C1274+$F1274</f>
        <v/>
      </c>
      <c r="H1274" s="18">
        <f>$G1274-$D1274</f>
        <v/>
      </c>
      <c r="I1274" s="8">
        <f>IF(ABS($H1274)&lt;=tol_trade_inr,"PASS","FAIL")</f>
        <v/>
      </c>
    </row>
    <row r="1275">
      <c r="A1275" s="11" t="n">
        <v>44643</v>
      </c>
      <c r="B1275" s="7" t="inlineStr">
        <is>
          <t>T06</t>
        </is>
      </c>
      <c r="C1275" s="9" t="n">
        <v>0</v>
      </c>
      <c r="D1275" s="9" t="n">
        <v>0</v>
      </c>
      <c r="E1275" s="18">
        <f>SUMIFS(Cashflows!$X$8:$X$1038,Cashflows!$A$8:$A$1038,$B1275,Cashflows!$F$8:$F$1038,"PNL",Cashflows!$K$8:$K$1038,"&lt;="&amp;$A1275)</f>
        <v/>
      </c>
      <c r="F1275" s="18">
        <f>SUMIFS(MTM_Daily!$AO$6:$AO$1238,MTM_Daily!$B$6:$B$1238,$B1275,MTM_Daily!$A$6:$A$1238,$A1275,MTM_Daily!$L$6:$L$1238,"PNL")</f>
        <v/>
      </c>
      <c r="G1275" s="18">
        <f>$E1275+$C1275+$F1275</f>
        <v/>
      </c>
      <c r="H1275" s="18">
        <f>$G1275-$D1275</f>
        <v/>
      </c>
      <c r="I1275" s="8">
        <f>IF(ABS($H1275)&lt;=tol_trade_inr,"PASS","FAIL")</f>
        <v/>
      </c>
    </row>
    <row r="1276">
      <c r="A1276" s="11" t="n">
        <v>44643</v>
      </c>
      <c r="B1276" s="7" t="inlineStr">
        <is>
          <t>T07</t>
        </is>
      </c>
      <c r="C1276" s="9" t="n">
        <v>0</v>
      </c>
      <c r="D1276" s="9" t="n">
        <v>0</v>
      </c>
      <c r="E1276" s="18">
        <f>SUMIFS(Cashflows!$X$8:$X$1038,Cashflows!$A$8:$A$1038,$B1276,Cashflows!$F$8:$F$1038,"PNL",Cashflows!$K$8:$K$1038,"&lt;="&amp;$A1276)</f>
        <v/>
      </c>
      <c r="F1276" s="18">
        <f>SUMIFS(MTM_Daily!$AO$6:$AO$1238,MTM_Daily!$B$6:$B$1238,$B1276,MTM_Daily!$A$6:$A$1238,$A1276,MTM_Daily!$L$6:$L$1238,"PNL")</f>
        <v/>
      </c>
      <c r="G1276" s="18">
        <f>$E1276+$C1276+$F1276</f>
        <v/>
      </c>
      <c r="H1276" s="18">
        <f>$G1276-$D1276</f>
        <v/>
      </c>
      <c r="I1276" s="8">
        <f>IF(ABS($H1276)&lt;=tol_trade_inr,"PASS","FAIL")</f>
        <v/>
      </c>
    </row>
    <row r="1277">
      <c r="A1277" s="11" t="n">
        <v>44643</v>
      </c>
      <c r="B1277" s="7" t="inlineStr">
        <is>
          <t>T08</t>
        </is>
      </c>
      <c r="C1277" s="9" t="n">
        <v>0</v>
      </c>
      <c r="D1277" s="9" t="n">
        <v>0</v>
      </c>
      <c r="E1277" s="18">
        <f>SUMIFS(Cashflows!$X$8:$X$1038,Cashflows!$A$8:$A$1038,$B1277,Cashflows!$F$8:$F$1038,"PNL",Cashflows!$K$8:$K$1038,"&lt;="&amp;$A1277)</f>
        <v/>
      </c>
      <c r="F1277" s="18">
        <f>SUMIFS(MTM_Daily!$AO$6:$AO$1238,MTM_Daily!$B$6:$B$1238,$B1277,MTM_Daily!$A$6:$A$1238,$A1277,MTM_Daily!$L$6:$L$1238,"PNL")</f>
        <v/>
      </c>
      <c r="G1277" s="18">
        <f>$E1277+$C1277+$F1277</f>
        <v/>
      </c>
      <c r="H1277" s="18">
        <f>$G1277-$D1277</f>
        <v/>
      </c>
      <c r="I1277" s="8">
        <f>IF(ABS($H1277)&lt;=tol_trade_inr,"PASS","FAIL")</f>
        <v/>
      </c>
    </row>
    <row r="1278">
      <c r="A1278" s="11" t="n">
        <v>44643</v>
      </c>
      <c r="B1278" s="7" t="inlineStr">
        <is>
          <t>T09</t>
        </is>
      </c>
      <c r="C1278" s="9" t="n">
        <v>0</v>
      </c>
      <c r="D1278" s="9" t="n">
        <v>0</v>
      </c>
      <c r="E1278" s="18">
        <f>SUMIFS(Cashflows!$X$8:$X$1038,Cashflows!$A$8:$A$1038,$B1278,Cashflows!$F$8:$F$1038,"PNL",Cashflows!$K$8:$K$1038,"&lt;="&amp;$A1278)</f>
        <v/>
      </c>
      <c r="F1278" s="18">
        <f>SUMIFS(MTM_Daily!$AO$6:$AO$1238,MTM_Daily!$B$6:$B$1238,$B1278,MTM_Daily!$A$6:$A$1238,$A1278,MTM_Daily!$L$6:$L$1238,"PNL")</f>
        <v/>
      </c>
      <c r="G1278" s="18">
        <f>$E1278+$C1278+$F1278</f>
        <v/>
      </c>
      <c r="H1278" s="18">
        <f>$G1278-$D1278</f>
        <v/>
      </c>
      <c r="I1278" s="8">
        <f>IF(ABS($H1278)&lt;=tol_trade_inr,"PASS","FAIL")</f>
        <v/>
      </c>
    </row>
    <row r="1279">
      <c r="A1279" s="11" t="n">
        <v>44651</v>
      </c>
      <c r="B1279" s="7" t="inlineStr">
        <is>
          <t>T01</t>
        </is>
      </c>
      <c r="C1279" s="9" t="n">
        <v>-202872.81</v>
      </c>
      <c r="D1279" s="9" t="n">
        <v>21134670.76</v>
      </c>
      <c r="E1279" s="18">
        <f>SUMIFS(Cashflows!$X$8:$X$1038,Cashflows!$A$8:$A$1038,$B1279,Cashflows!$F$8:$F$1038,"PNL",Cashflows!$K$8:$K$1038,"&lt;="&amp;$A1279)</f>
        <v/>
      </c>
      <c r="F1279" s="18">
        <f>SUMIFS(MTM_Daily!$AO$6:$AO$1238,MTM_Daily!$B$6:$B$1238,$B1279,MTM_Daily!$A$6:$A$1238,$A1279,MTM_Daily!$L$6:$L$1238,"PNL")</f>
        <v/>
      </c>
      <c r="G1279" s="18">
        <f>$E1279+$C1279+$F1279</f>
        <v/>
      </c>
      <c r="H1279" s="18">
        <f>$G1279-$D1279</f>
        <v/>
      </c>
      <c r="I1279" s="8">
        <f>IF(ABS($H1279)&lt;=tol_trade_inr,"PASS","FAIL")</f>
        <v/>
      </c>
    </row>
    <row r="1280">
      <c r="A1280" s="11" t="n">
        <v>44651</v>
      </c>
      <c r="B1280" s="7" t="inlineStr">
        <is>
          <t>T02</t>
        </is>
      </c>
      <c r="C1280" s="9" t="n">
        <v>-55442.06</v>
      </c>
      <c r="D1280" s="9" t="n">
        <v>39033175.7</v>
      </c>
      <c r="E1280" s="18">
        <f>SUMIFS(Cashflows!$X$8:$X$1038,Cashflows!$A$8:$A$1038,$B1280,Cashflows!$F$8:$F$1038,"PNL",Cashflows!$K$8:$K$1038,"&lt;="&amp;$A1280)</f>
        <v/>
      </c>
      <c r="F1280" s="18">
        <f>SUMIFS(MTM_Daily!$AO$6:$AO$1238,MTM_Daily!$B$6:$B$1238,$B1280,MTM_Daily!$A$6:$A$1238,$A1280,MTM_Daily!$L$6:$L$1238,"PNL")</f>
        <v/>
      </c>
      <c r="G1280" s="18">
        <f>$E1280+$C1280+$F1280</f>
        <v/>
      </c>
      <c r="H1280" s="18">
        <f>$G1280-$D1280</f>
        <v/>
      </c>
      <c r="I1280" s="8">
        <f>IF(ABS($H1280)&lt;=tol_trade_inr,"PASS","FAIL")</f>
        <v/>
      </c>
    </row>
    <row r="1281">
      <c r="A1281" s="11" t="n">
        <v>44651</v>
      </c>
      <c r="B1281" s="7" t="inlineStr">
        <is>
          <t>T03</t>
        </is>
      </c>
      <c r="C1281" s="9" t="n">
        <v>-45591.62</v>
      </c>
      <c r="D1281" s="9" t="n">
        <v>8529954.6</v>
      </c>
      <c r="E1281" s="18">
        <f>SUMIFS(Cashflows!$X$8:$X$1038,Cashflows!$A$8:$A$1038,$B1281,Cashflows!$F$8:$F$1038,"PNL",Cashflows!$K$8:$K$1038,"&lt;="&amp;$A1281)</f>
        <v/>
      </c>
      <c r="F1281" s="18">
        <f>SUMIFS(MTM_Daily!$AO$6:$AO$1238,MTM_Daily!$B$6:$B$1238,$B1281,MTM_Daily!$A$6:$A$1238,$A1281,MTM_Daily!$L$6:$L$1238,"PNL")</f>
        <v/>
      </c>
      <c r="G1281" s="18">
        <f>$E1281+$C1281+$F1281</f>
        <v/>
      </c>
      <c r="H1281" s="18">
        <f>$G1281-$D1281</f>
        <v/>
      </c>
      <c r="I1281" s="8">
        <f>IF(ABS($H1281)&lt;=tol_trade_inr,"PASS","FAIL")</f>
        <v/>
      </c>
    </row>
    <row r="1282">
      <c r="A1282" s="11" t="n">
        <v>44651</v>
      </c>
      <c r="B1282" s="7" t="inlineStr">
        <is>
          <t>T04</t>
        </is>
      </c>
      <c r="C1282" s="9" t="n">
        <v>0</v>
      </c>
      <c r="D1282" s="9" t="n">
        <v>0</v>
      </c>
      <c r="E1282" s="18">
        <f>SUMIFS(Cashflows!$X$8:$X$1038,Cashflows!$A$8:$A$1038,$B1282,Cashflows!$F$8:$F$1038,"PNL",Cashflows!$K$8:$K$1038,"&lt;="&amp;$A1282)</f>
        <v/>
      </c>
      <c r="F1282" s="18">
        <f>SUMIFS(MTM_Daily!$AO$6:$AO$1238,MTM_Daily!$B$6:$B$1238,$B1282,MTM_Daily!$A$6:$A$1238,$A1282,MTM_Daily!$L$6:$L$1238,"PNL")</f>
        <v/>
      </c>
      <c r="G1282" s="18">
        <f>$E1282+$C1282+$F1282</f>
        <v/>
      </c>
      <c r="H1282" s="18">
        <f>$G1282-$D1282</f>
        <v/>
      </c>
      <c r="I1282" s="8">
        <f>IF(ABS($H1282)&lt;=tol_trade_inr,"PASS","FAIL")</f>
        <v/>
      </c>
    </row>
    <row r="1283">
      <c r="A1283" s="11" t="n">
        <v>44651</v>
      </c>
      <c r="B1283" s="7" t="inlineStr">
        <is>
          <t>T05</t>
        </is>
      </c>
      <c r="C1283" s="9" t="n">
        <v>0</v>
      </c>
      <c r="D1283" s="9" t="n">
        <v>0</v>
      </c>
      <c r="E1283" s="18">
        <f>SUMIFS(Cashflows!$X$8:$X$1038,Cashflows!$A$8:$A$1038,$B1283,Cashflows!$F$8:$F$1038,"PNL",Cashflows!$K$8:$K$1038,"&lt;="&amp;$A1283)</f>
        <v/>
      </c>
      <c r="F1283" s="18">
        <f>SUMIFS(MTM_Daily!$AO$6:$AO$1238,MTM_Daily!$B$6:$B$1238,$B1283,MTM_Daily!$A$6:$A$1238,$A1283,MTM_Daily!$L$6:$L$1238,"PNL")</f>
        <v/>
      </c>
      <c r="G1283" s="18">
        <f>$E1283+$C1283+$F1283</f>
        <v/>
      </c>
      <c r="H1283" s="18">
        <f>$G1283-$D1283</f>
        <v/>
      </c>
      <c r="I1283" s="8">
        <f>IF(ABS($H1283)&lt;=tol_trade_inr,"PASS","FAIL")</f>
        <v/>
      </c>
    </row>
    <row r="1284">
      <c r="A1284" s="11" t="n">
        <v>44651</v>
      </c>
      <c r="B1284" s="7" t="inlineStr">
        <is>
          <t>T06</t>
        </is>
      </c>
      <c r="C1284" s="9" t="n">
        <v>0</v>
      </c>
      <c r="D1284" s="9" t="n">
        <v>0</v>
      </c>
      <c r="E1284" s="18">
        <f>SUMIFS(Cashflows!$X$8:$X$1038,Cashflows!$A$8:$A$1038,$B1284,Cashflows!$F$8:$F$1038,"PNL",Cashflows!$K$8:$K$1038,"&lt;="&amp;$A1284)</f>
        <v/>
      </c>
      <c r="F1284" s="18">
        <f>SUMIFS(MTM_Daily!$AO$6:$AO$1238,MTM_Daily!$B$6:$B$1238,$B1284,MTM_Daily!$A$6:$A$1238,$A1284,MTM_Daily!$L$6:$L$1238,"PNL")</f>
        <v/>
      </c>
      <c r="G1284" s="18">
        <f>$E1284+$C1284+$F1284</f>
        <v/>
      </c>
      <c r="H1284" s="18">
        <f>$G1284-$D1284</f>
        <v/>
      </c>
      <c r="I1284" s="8">
        <f>IF(ABS($H1284)&lt;=tol_trade_inr,"PASS","FAIL")</f>
        <v/>
      </c>
    </row>
    <row r="1285">
      <c r="A1285" s="11" t="n">
        <v>44651</v>
      </c>
      <c r="B1285" s="7" t="inlineStr">
        <is>
          <t>T07</t>
        </is>
      </c>
      <c r="C1285" s="9" t="n">
        <v>0</v>
      </c>
      <c r="D1285" s="9" t="n">
        <v>0</v>
      </c>
      <c r="E1285" s="18">
        <f>SUMIFS(Cashflows!$X$8:$X$1038,Cashflows!$A$8:$A$1038,$B1285,Cashflows!$F$8:$F$1038,"PNL",Cashflows!$K$8:$K$1038,"&lt;="&amp;$A1285)</f>
        <v/>
      </c>
      <c r="F1285" s="18">
        <f>SUMIFS(MTM_Daily!$AO$6:$AO$1238,MTM_Daily!$B$6:$B$1238,$B1285,MTM_Daily!$A$6:$A$1238,$A1285,MTM_Daily!$L$6:$L$1238,"PNL")</f>
        <v/>
      </c>
      <c r="G1285" s="18">
        <f>$E1285+$C1285+$F1285</f>
        <v/>
      </c>
      <c r="H1285" s="18">
        <f>$G1285-$D1285</f>
        <v/>
      </c>
      <c r="I1285" s="8">
        <f>IF(ABS($H1285)&lt;=tol_trade_inr,"PASS","FAIL")</f>
        <v/>
      </c>
    </row>
    <row r="1286">
      <c r="A1286" s="11" t="n">
        <v>44651</v>
      </c>
      <c r="B1286" s="7" t="inlineStr">
        <is>
          <t>T08</t>
        </is>
      </c>
      <c r="C1286" s="9" t="n">
        <v>0</v>
      </c>
      <c r="D1286" s="9" t="n">
        <v>0</v>
      </c>
      <c r="E1286" s="18">
        <f>SUMIFS(Cashflows!$X$8:$X$1038,Cashflows!$A$8:$A$1038,$B1286,Cashflows!$F$8:$F$1038,"PNL",Cashflows!$K$8:$K$1038,"&lt;="&amp;$A1286)</f>
        <v/>
      </c>
      <c r="F1286" s="18">
        <f>SUMIFS(MTM_Daily!$AO$6:$AO$1238,MTM_Daily!$B$6:$B$1238,$B1286,MTM_Daily!$A$6:$A$1238,$A1286,MTM_Daily!$L$6:$L$1238,"PNL")</f>
        <v/>
      </c>
      <c r="G1286" s="18">
        <f>$E1286+$C1286+$F1286</f>
        <v/>
      </c>
      <c r="H1286" s="18">
        <f>$G1286-$D1286</f>
        <v/>
      </c>
      <c r="I1286" s="8">
        <f>IF(ABS($H1286)&lt;=tol_trade_inr,"PASS","FAIL")</f>
        <v/>
      </c>
    </row>
    <row r="1287">
      <c r="A1287" s="11" t="n">
        <v>44651</v>
      </c>
      <c r="B1287" s="7" t="inlineStr">
        <is>
          <t>T09</t>
        </is>
      </c>
      <c r="C1287" s="9" t="n">
        <v>0</v>
      </c>
      <c r="D1287" s="9" t="n">
        <v>0</v>
      </c>
      <c r="E1287" s="18">
        <f>SUMIFS(Cashflows!$X$8:$X$1038,Cashflows!$A$8:$A$1038,$B1287,Cashflows!$F$8:$F$1038,"PNL",Cashflows!$K$8:$K$1038,"&lt;="&amp;$A1287)</f>
        <v/>
      </c>
      <c r="F1287" s="18">
        <f>SUMIFS(MTM_Daily!$AO$6:$AO$1238,MTM_Daily!$B$6:$B$1238,$B1287,MTM_Daily!$A$6:$A$1238,$A1287,MTM_Daily!$L$6:$L$1238,"PNL")</f>
        <v/>
      </c>
      <c r="G1287" s="18">
        <f>$E1287+$C1287+$F1287</f>
        <v/>
      </c>
      <c r="H1287" s="18">
        <f>$G1287-$D1287</f>
        <v/>
      </c>
      <c r="I1287" s="8">
        <f>IF(ABS($H1287)&lt;=tol_trade_inr,"PASS","FAIL")</f>
        <v/>
      </c>
    </row>
    <row r="1288">
      <c r="A1288" s="11" t="n">
        <v>44656</v>
      </c>
      <c r="B1288" s="7" t="inlineStr">
        <is>
          <t>T01</t>
        </is>
      </c>
      <c r="C1288" s="9" t="n">
        <v>-245474.65</v>
      </c>
      <c r="D1288" s="9" t="n">
        <v>29081571.25</v>
      </c>
      <c r="E1288" s="18">
        <f>SUMIFS(Cashflows!$X$8:$X$1038,Cashflows!$A$8:$A$1038,$B1288,Cashflows!$F$8:$F$1038,"PNL",Cashflows!$K$8:$K$1038,"&lt;="&amp;$A1288)</f>
        <v/>
      </c>
      <c r="F1288" s="18">
        <f>SUMIFS(MTM_Daily!$AO$6:$AO$1238,MTM_Daily!$B$6:$B$1238,$B1288,MTM_Daily!$A$6:$A$1238,$A1288,MTM_Daily!$L$6:$L$1238,"PNL")</f>
        <v/>
      </c>
      <c r="G1288" s="18">
        <f>$E1288+$C1288+$F1288</f>
        <v/>
      </c>
      <c r="H1288" s="18">
        <f>$G1288-$D1288</f>
        <v/>
      </c>
      <c r="I1288" s="8">
        <f>IF(ABS($H1288)&lt;=tol_trade_inr,"PASS","FAIL")</f>
        <v/>
      </c>
    </row>
    <row r="1289">
      <c r="A1289" s="11" t="n">
        <v>44656</v>
      </c>
      <c r="B1289" s="7" t="inlineStr">
        <is>
          <t>T02</t>
        </is>
      </c>
      <c r="C1289" s="9" t="n">
        <v>-68941.67999999999</v>
      </c>
      <c r="D1289" s="9" t="n">
        <v>38623721.22</v>
      </c>
      <c r="E1289" s="18">
        <f>SUMIFS(Cashflows!$X$8:$X$1038,Cashflows!$A$8:$A$1038,$B1289,Cashflows!$F$8:$F$1038,"PNL",Cashflows!$K$8:$K$1038,"&lt;="&amp;$A1289)</f>
        <v/>
      </c>
      <c r="F1289" s="18">
        <f>SUMIFS(MTM_Daily!$AO$6:$AO$1238,MTM_Daily!$B$6:$B$1238,$B1289,MTM_Daily!$A$6:$A$1238,$A1289,MTM_Daily!$L$6:$L$1238,"PNL")</f>
        <v/>
      </c>
      <c r="G1289" s="18">
        <f>$E1289+$C1289+$F1289</f>
        <v/>
      </c>
      <c r="H1289" s="18">
        <f>$G1289-$D1289</f>
        <v/>
      </c>
      <c r="I1289" s="8">
        <f>IF(ABS($H1289)&lt;=tol_trade_inr,"PASS","FAIL")</f>
        <v/>
      </c>
    </row>
    <row r="1290">
      <c r="A1290" s="11" t="n">
        <v>44656</v>
      </c>
      <c r="B1290" s="7" t="inlineStr">
        <is>
          <t>T03</t>
        </is>
      </c>
      <c r="C1290" s="9" t="n">
        <v>-64400.55</v>
      </c>
      <c r="D1290" s="9" t="n">
        <v>13137626.06</v>
      </c>
      <c r="E1290" s="18">
        <f>SUMIFS(Cashflows!$X$8:$X$1038,Cashflows!$A$8:$A$1038,$B1290,Cashflows!$F$8:$F$1038,"PNL",Cashflows!$K$8:$K$1038,"&lt;="&amp;$A1290)</f>
        <v/>
      </c>
      <c r="F1290" s="18">
        <f>SUMIFS(MTM_Daily!$AO$6:$AO$1238,MTM_Daily!$B$6:$B$1238,$B1290,MTM_Daily!$A$6:$A$1238,$A1290,MTM_Daily!$L$6:$L$1238,"PNL")</f>
        <v/>
      </c>
      <c r="G1290" s="18">
        <f>$E1290+$C1290+$F1290</f>
        <v/>
      </c>
      <c r="H1290" s="18">
        <f>$G1290-$D1290</f>
        <v/>
      </c>
      <c r="I1290" s="8">
        <f>IF(ABS($H1290)&lt;=tol_trade_inr,"PASS","FAIL")</f>
        <v/>
      </c>
    </row>
    <row r="1291">
      <c r="A1291" s="11" t="n">
        <v>44656</v>
      </c>
      <c r="B1291" s="7" t="inlineStr">
        <is>
          <t>T04</t>
        </is>
      </c>
      <c r="C1291" s="9" t="n">
        <v>0</v>
      </c>
      <c r="D1291" s="9" t="n">
        <v>0</v>
      </c>
      <c r="E1291" s="18">
        <f>SUMIFS(Cashflows!$X$8:$X$1038,Cashflows!$A$8:$A$1038,$B1291,Cashflows!$F$8:$F$1038,"PNL",Cashflows!$K$8:$K$1038,"&lt;="&amp;$A1291)</f>
        <v/>
      </c>
      <c r="F1291" s="18">
        <f>SUMIFS(MTM_Daily!$AO$6:$AO$1238,MTM_Daily!$B$6:$B$1238,$B1291,MTM_Daily!$A$6:$A$1238,$A1291,MTM_Daily!$L$6:$L$1238,"PNL")</f>
        <v/>
      </c>
      <c r="G1291" s="18">
        <f>$E1291+$C1291+$F1291</f>
        <v/>
      </c>
      <c r="H1291" s="18">
        <f>$G1291-$D1291</f>
        <v/>
      </c>
      <c r="I1291" s="8">
        <f>IF(ABS($H1291)&lt;=tol_trade_inr,"PASS","FAIL")</f>
        <v/>
      </c>
    </row>
    <row r="1292">
      <c r="A1292" s="11" t="n">
        <v>44656</v>
      </c>
      <c r="B1292" s="7" t="inlineStr">
        <is>
          <t>T05</t>
        </is>
      </c>
      <c r="C1292" s="9" t="n">
        <v>0</v>
      </c>
      <c r="D1292" s="9" t="n">
        <v>0</v>
      </c>
      <c r="E1292" s="18">
        <f>SUMIFS(Cashflows!$X$8:$X$1038,Cashflows!$A$8:$A$1038,$B1292,Cashflows!$F$8:$F$1038,"PNL",Cashflows!$K$8:$K$1038,"&lt;="&amp;$A1292)</f>
        <v/>
      </c>
      <c r="F1292" s="18">
        <f>SUMIFS(MTM_Daily!$AO$6:$AO$1238,MTM_Daily!$B$6:$B$1238,$B1292,MTM_Daily!$A$6:$A$1238,$A1292,MTM_Daily!$L$6:$L$1238,"PNL")</f>
        <v/>
      </c>
      <c r="G1292" s="18">
        <f>$E1292+$C1292+$F1292</f>
        <v/>
      </c>
      <c r="H1292" s="18">
        <f>$G1292-$D1292</f>
        <v/>
      </c>
      <c r="I1292" s="8">
        <f>IF(ABS($H1292)&lt;=tol_trade_inr,"PASS","FAIL")</f>
        <v/>
      </c>
    </row>
    <row r="1293">
      <c r="A1293" s="11" t="n">
        <v>44656</v>
      </c>
      <c r="B1293" s="7" t="inlineStr">
        <is>
          <t>T06</t>
        </is>
      </c>
      <c r="C1293" s="9" t="n">
        <v>0</v>
      </c>
      <c r="D1293" s="9" t="n">
        <v>0</v>
      </c>
      <c r="E1293" s="18">
        <f>SUMIFS(Cashflows!$X$8:$X$1038,Cashflows!$A$8:$A$1038,$B1293,Cashflows!$F$8:$F$1038,"PNL",Cashflows!$K$8:$K$1038,"&lt;="&amp;$A1293)</f>
        <v/>
      </c>
      <c r="F1293" s="18">
        <f>SUMIFS(MTM_Daily!$AO$6:$AO$1238,MTM_Daily!$B$6:$B$1238,$B1293,MTM_Daily!$A$6:$A$1238,$A1293,MTM_Daily!$L$6:$L$1238,"PNL")</f>
        <v/>
      </c>
      <c r="G1293" s="18">
        <f>$E1293+$C1293+$F1293</f>
        <v/>
      </c>
      <c r="H1293" s="18">
        <f>$G1293-$D1293</f>
        <v/>
      </c>
      <c r="I1293" s="8">
        <f>IF(ABS($H1293)&lt;=tol_trade_inr,"PASS","FAIL")</f>
        <v/>
      </c>
    </row>
    <row r="1294">
      <c r="A1294" s="11" t="n">
        <v>44656</v>
      </c>
      <c r="B1294" s="7" t="inlineStr">
        <is>
          <t>T07</t>
        </is>
      </c>
      <c r="C1294" s="9" t="n">
        <v>0</v>
      </c>
      <c r="D1294" s="9" t="n">
        <v>0</v>
      </c>
      <c r="E1294" s="18">
        <f>SUMIFS(Cashflows!$X$8:$X$1038,Cashflows!$A$8:$A$1038,$B1294,Cashflows!$F$8:$F$1038,"PNL",Cashflows!$K$8:$K$1038,"&lt;="&amp;$A1294)</f>
        <v/>
      </c>
      <c r="F1294" s="18">
        <f>SUMIFS(MTM_Daily!$AO$6:$AO$1238,MTM_Daily!$B$6:$B$1238,$B1294,MTM_Daily!$A$6:$A$1238,$A1294,MTM_Daily!$L$6:$L$1238,"PNL")</f>
        <v/>
      </c>
      <c r="G1294" s="18">
        <f>$E1294+$C1294+$F1294</f>
        <v/>
      </c>
      <c r="H1294" s="18">
        <f>$G1294-$D1294</f>
        <v/>
      </c>
      <c r="I1294" s="8">
        <f>IF(ABS($H1294)&lt;=tol_trade_inr,"PASS","FAIL")</f>
        <v/>
      </c>
    </row>
    <row r="1295">
      <c r="A1295" s="11" t="n">
        <v>44656</v>
      </c>
      <c r="B1295" s="7" t="inlineStr">
        <is>
          <t>T08</t>
        </is>
      </c>
      <c r="C1295" s="9" t="n">
        <v>0</v>
      </c>
      <c r="D1295" s="9" t="n">
        <v>0</v>
      </c>
      <c r="E1295" s="18">
        <f>SUMIFS(Cashflows!$X$8:$X$1038,Cashflows!$A$8:$A$1038,$B1295,Cashflows!$F$8:$F$1038,"PNL",Cashflows!$K$8:$K$1038,"&lt;="&amp;$A1295)</f>
        <v/>
      </c>
      <c r="F1295" s="18">
        <f>SUMIFS(MTM_Daily!$AO$6:$AO$1238,MTM_Daily!$B$6:$B$1238,$B1295,MTM_Daily!$A$6:$A$1238,$A1295,MTM_Daily!$L$6:$L$1238,"PNL")</f>
        <v/>
      </c>
      <c r="G1295" s="18">
        <f>$E1295+$C1295+$F1295</f>
        <v/>
      </c>
      <c r="H1295" s="18">
        <f>$G1295-$D1295</f>
        <v/>
      </c>
      <c r="I1295" s="8">
        <f>IF(ABS($H1295)&lt;=tol_trade_inr,"PASS","FAIL")</f>
        <v/>
      </c>
    </row>
    <row r="1296">
      <c r="A1296" s="11" t="n">
        <v>44656</v>
      </c>
      <c r="B1296" s="7" t="inlineStr">
        <is>
          <t>T09</t>
        </is>
      </c>
      <c r="C1296" s="9" t="n">
        <v>0</v>
      </c>
      <c r="D1296" s="9" t="n">
        <v>0</v>
      </c>
      <c r="E1296" s="18">
        <f>SUMIFS(Cashflows!$X$8:$X$1038,Cashflows!$A$8:$A$1038,$B1296,Cashflows!$F$8:$F$1038,"PNL",Cashflows!$K$8:$K$1038,"&lt;="&amp;$A1296)</f>
        <v/>
      </c>
      <c r="F1296" s="18">
        <f>SUMIFS(MTM_Daily!$AO$6:$AO$1238,MTM_Daily!$B$6:$B$1238,$B1296,MTM_Daily!$A$6:$A$1238,$A1296,MTM_Daily!$L$6:$L$1238,"PNL")</f>
        <v/>
      </c>
      <c r="G1296" s="18">
        <f>$E1296+$C1296+$F1296</f>
        <v/>
      </c>
      <c r="H1296" s="18">
        <f>$G1296-$D1296</f>
        <v/>
      </c>
      <c r="I1296" s="8">
        <f>IF(ABS($H1296)&lt;=tol_trade_inr,"PASS","FAIL")</f>
        <v/>
      </c>
    </row>
    <row r="1297">
      <c r="A1297" s="11" t="n">
        <v>44657</v>
      </c>
      <c r="B1297" s="7" t="inlineStr">
        <is>
          <t>T01</t>
        </is>
      </c>
      <c r="C1297" s="9" t="n">
        <v>-289757.22</v>
      </c>
      <c r="D1297" s="9" t="n">
        <v>30033407.24</v>
      </c>
      <c r="E1297" s="18">
        <f>SUMIFS(Cashflows!$X$8:$X$1038,Cashflows!$A$8:$A$1038,$B1297,Cashflows!$F$8:$F$1038,"PNL",Cashflows!$K$8:$K$1038,"&lt;="&amp;$A1297)</f>
        <v/>
      </c>
      <c r="F1297" s="18">
        <f>SUMIFS(MTM_Daily!$AO$6:$AO$1238,MTM_Daily!$B$6:$B$1238,$B1297,MTM_Daily!$A$6:$A$1238,$A1297,MTM_Daily!$L$6:$L$1238,"PNL")</f>
        <v/>
      </c>
      <c r="G1297" s="18">
        <f>$E1297+$C1297+$F1297</f>
        <v/>
      </c>
      <c r="H1297" s="18">
        <f>$G1297-$D1297</f>
        <v/>
      </c>
      <c r="I1297" s="8">
        <f>IF(ABS($H1297)&lt;=tol_trade_inr,"PASS","FAIL")</f>
        <v/>
      </c>
    </row>
    <row r="1298">
      <c r="A1298" s="11" t="n">
        <v>44657</v>
      </c>
      <c r="B1298" s="7" t="inlineStr">
        <is>
          <t>T02</t>
        </is>
      </c>
      <c r="C1298" s="9" t="n">
        <v>-70912.19</v>
      </c>
      <c r="D1298" s="9" t="n">
        <v>39321818.69</v>
      </c>
      <c r="E1298" s="18">
        <f>SUMIFS(Cashflows!$X$8:$X$1038,Cashflows!$A$8:$A$1038,$B1298,Cashflows!$F$8:$F$1038,"PNL",Cashflows!$K$8:$K$1038,"&lt;="&amp;$A1298)</f>
        <v/>
      </c>
      <c r="F1298" s="18">
        <f>SUMIFS(MTM_Daily!$AO$6:$AO$1238,MTM_Daily!$B$6:$B$1238,$B1298,MTM_Daily!$A$6:$A$1238,$A1298,MTM_Daily!$L$6:$L$1238,"PNL")</f>
        <v/>
      </c>
      <c r="G1298" s="18">
        <f>$E1298+$C1298+$F1298</f>
        <v/>
      </c>
      <c r="H1298" s="18">
        <f>$G1298-$D1298</f>
        <v/>
      </c>
      <c r="I1298" s="8">
        <f>IF(ABS($H1298)&lt;=tol_trade_inr,"PASS","FAIL")</f>
        <v/>
      </c>
    </row>
    <row r="1299">
      <c r="A1299" s="11" t="n">
        <v>44657</v>
      </c>
      <c r="B1299" s="7" t="inlineStr">
        <is>
          <t>T03</t>
        </is>
      </c>
      <c r="C1299" s="9" t="n">
        <v>-66661.94</v>
      </c>
      <c r="D1299" s="9" t="n">
        <v>12604935.06</v>
      </c>
      <c r="E1299" s="18">
        <f>SUMIFS(Cashflows!$X$8:$X$1038,Cashflows!$A$8:$A$1038,$B1299,Cashflows!$F$8:$F$1038,"PNL",Cashflows!$K$8:$K$1038,"&lt;="&amp;$A1299)</f>
        <v/>
      </c>
      <c r="F1299" s="18">
        <f>SUMIFS(MTM_Daily!$AO$6:$AO$1238,MTM_Daily!$B$6:$B$1238,$B1299,MTM_Daily!$A$6:$A$1238,$A1299,MTM_Daily!$L$6:$L$1238,"PNL")</f>
        <v/>
      </c>
      <c r="G1299" s="18">
        <f>$E1299+$C1299+$F1299</f>
        <v/>
      </c>
      <c r="H1299" s="18">
        <f>$G1299-$D1299</f>
        <v/>
      </c>
      <c r="I1299" s="8">
        <f>IF(ABS($H1299)&lt;=tol_trade_inr,"PASS","FAIL")</f>
        <v/>
      </c>
    </row>
    <row r="1300">
      <c r="A1300" s="11" t="n">
        <v>44657</v>
      </c>
      <c r="B1300" s="7" t="inlineStr">
        <is>
          <t>T04</t>
        </is>
      </c>
      <c r="C1300" s="9" t="n">
        <v>0</v>
      </c>
      <c r="D1300" s="9" t="n">
        <v>935440.23</v>
      </c>
      <c r="E1300" s="18">
        <f>SUMIFS(Cashflows!$X$8:$X$1038,Cashflows!$A$8:$A$1038,$B1300,Cashflows!$F$8:$F$1038,"PNL",Cashflows!$K$8:$K$1038,"&lt;="&amp;$A1300)</f>
        <v/>
      </c>
      <c r="F1300" s="18">
        <f>SUMIFS(MTM_Daily!$AO$6:$AO$1238,MTM_Daily!$B$6:$B$1238,$B1300,MTM_Daily!$A$6:$A$1238,$A1300,MTM_Daily!$L$6:$L$1238,"PNL")</f>
        <v/>
      </c>
      <c r="G1300" s="18">
        <f>$E1300+$C1300+$F1300</f>
        <v/>
      </c>
      <c r="H1300" s="18">
        <f>$G1300-$D1300</f>
        <v/>
      </c>
      <c r="I1300" s="8">
        <f>IF(ABS($H1300)&lt;=tol_trade_inr,"PASS","FAIL")</f>
        <v/>
      </c>
    </row>
    <row r="1301">
      <c r="A1301" s="11" t="n">
        <v>44657</v>
      </c>
      <c r="B1301" s="7" t="inlineStr">
        <is>
          <t>T05</t>
        </is>
      </c>
      <c r="C1301" s="9" t="n">
        <v>0</v>
      </c>
      <c r="D1301" s="9" t="n">
        <v>0</v>
      </c>
      <c r="E1301" s="18">
        <f>SUMIFS(Cashflows!$X$8:$X$1038,Cashflows!$A$8:$A$1038,$B1301,Cashflows!$F$8:$F$1038,"PNL",Cashflows!$K$8:$K$1038,"&lt;="&amp;$A1301)</f>
        <v/>
      </c>
      <c r="F1301" s="18">
        <f>SUMIFS(MTM_Daily!$AO$6:$AO$1238,MTM_Daily!$B$6:$B$1238,$B1301,MTM_Daily!$A$6:$A$1238,$A1301,MTM_Daily!$L$6:$L$1238,"PNL")</f>
        <v/>
      </c>
      <c r="G1301" s="18">
        <f>$E1301+$C1301+$F1301</f>
        <v/>
      </c>
      <c r="H1301" s="18">
        <f>$G1301-$D1301</f>
        <v/>
      </c>
      <c r="I1301" s="8">
        <f>IF(ABS($H1301)&lt;=tol_trade_inr,"PASS","FAIL")</f>
        <v/>
      </c>
    </row>
    <row r="1302">
      <c r="A1302" s="11" t="n">
        <v>44657</v>
      </c>
      <c r="B1302" s="7" t="inlineStr">
        <is>
          <t>T06</t>
        </is>
      </c>
      <c r="C1302" s="9" t="n">
        <v>0</v>
      </c>
      <c r="D1302" s="9" t="n">
        <v>0</v>
      </c>
      <c r="E1302" s="18">
        <f>SUMIFS(Cashflows!$X$8:$X$1038,Cashflows!$A$8:$A$1038,$B1302,Cashflows!$F$8:$F$1038,"PNL",Cashflows!$K$8:$K$1038,"&lt;="&amp;$A1302)</f>
        <v/>
      </c>
      <c r="F1302" s="18">
        <f>SUMIFS(MTM_Daily!$AO$6:$AO$1238,MTM_Daily!$B$6:$B$1238,$B1302,MTM_Daily!$A$6:$A$1238,$A1302,MTM_Daily!$L$6:$L$1238,"PNL")</f>
        <v/>
      </c>
      <c r="G1302" s="18">
        <f>$E1302+$C1302+$F1302</f>
        <v/>
      </c>
      <c r="H1302" s="18">
        <f>$G1302-$D1302</f>
        <v/>
      </c>
      <c r="I1302" s="8">
        <f>IF(ABS($H1302)&lt;=tol_trade_inr,"PASS","FAIL")</f>
        <v/>
      </c>
    </row>
    <row r="1303">
      <c r="A1303" s="11" t="n">
        <v>44657</v>
      </c>
      <c r="B1303" s="7" t="inlineStr">
        <is>
          <t>T07</t>
        </is>
      </c>
      <c r="C1303" s="9" t="n">
        <v>0</v>
      </c>
      <c r="D1303" s="9" t="n">
        <v>0</v>
      </c>
      <c r="E1303" s="18">
        <f>SUMIFS(Cashflows!$X$8:$X$1038,Cashflows!$A$8:$A$1038,$B1303,Cashflows!$F$8:$F$1038,"PNL",Cashflows!$K$8:$K$1038,"&lt;="&amp;$A1303)</f>
        <v/>
      </c>
      <c r="F1303" s="18">
        <f>SUMIFS(MTM_Daily!$AO$6:$AO$1238,MTM_Daily!$B$6:$B$1238,$B1303,MTM_Daily!$A$6:$A$1238,$A1303,MTM_Daily!$L$6:$L$1238,"PNL")</f>
        <v/>
      </c>
      <c r="G1303" s="18">
        <f>$E1303+$C1303+$F1303</f>
        <v/>
      </c>
      <c r="H1303" s="18">
        <f>$G1303-$D1303</f>
        <v/>
      </c>
      <c r="I1303" s="8">
        <f>IF(ABS($H1303)&lt;=tol_trade_inr,"PASS","FAIL")</f>
        <v/>
      </c>
    </row>
    <row r="1304">
      <c r="A1304" s="11" t="n">
        <v>44657</v>
      </c>
      <c r="B1304" s="7" t="inlineStr">
        <is>
          <t>T08</t>
        </is>
      </c>
      <c r="C1304" s="9" t="n">
        <v>0</v>
      </c>
      <c r="D1304" s="9" t="n">
        <v>0</v>
      </c>
      <c r="E1304" s="18">
        <f>SUMIFS(Cashflows!$X$8:$X$1038,Cashflows!$A$8:$A$1038,$B1304,Cashflows!$F$8:$F$1038,"PNL",Cashflows!$K$8:$K$1038,"&lt;="&amp;$A1304)</f>
        <v/>
      </c>
      <c r="F1304" s="18">
        <f>SUMIFS(MTM_Daily!$AO$6:$AO$1238,MTM_Daily!$B$6:$B$1238,$B1304,MTM_Daily!$A$6:$A$1238,$A1304,MTM_Daily!$L$6:$L$1238,"PNL")</f>
        <v/>
      </c>
      <c r="G1304" s="18">
        <f>$E1304+$C1304+$F1304</f>
        <v/>
      </c>
      <c r="H1304" s="18">
        <f>$G1304-$D1304</f>
        <v/>
      </c>
      <c r="I1304" s="8">
        <f>IF(ABS($H1304)&lt;=tol_trade_inr,"PASS","FAIL")</f>
        <v/>
      </c>
    </row>
    <row r="1305">
      <c r="A1305" s="11" t="n">
        <v>44657</v>
      </c>
      <c r="B1305" s="7" t="inlineStr">
        <is>
          <t>T09</t>
        </is>
      </c>
      <c r="C1305" s="9" t="n">
        <v>0</v>
      </c>
      <c r="D1305" s="9" t="n">
        <v>0</v>
      </c>
      <c r="E1305" s="18">
        <f>SUMIFS(Cashflows!$X$8:$X$1038,Cashflows!$A$8:$A$1038,$B1305,Cashflows!$F$8:$F$1038,"PNL",Cashflows!$K$8:$K$1038,"&lt;="&amp;$A1305)</f>
        <v/>
      </c>
      <c r="F1305" s="18">
        <f>SUMIFS(MTM_Daily!$AO$6:$AO$1238,MTM_Daily!$B$6:$B$1238,$B1305,MTM_Daily!$A$6:$A$1238,$A1305,MTM_Daily!$L$6:$L$1238,"PNL")</f>
        <v/>
      </c>
      <c r="G1305" s="18">
        <f>$E1305+$C1305+$F1305</f>
        <v/>
      </c>
      <c r="H1305" s="18">
        <f>$G1305-$D1305</f>
        <v/>
      </c>
      <c r="I1305" s="8">
        <f>IF(ABS($H1305)&lt;=tol_trade_inr,"PASS","FAIL")</f>
        <v/>
      </c>
    </row>
    <row r="1306">
      <c r="A1306" s="11" t="n">
        <v>44672</v>
      </c>
      <c r="B1306" s="7" t="inlineStr">
        <is>
          <t>T01</t>
        </is>
      </c>
      <c r="C1306" s="9" t="n">
        <v>-1568282.32</v>
      </c>
      <c r="D1306" s="9" t="n">
        <v>42714845.06</v>
      </c>
      <c r="E1306" s="18">
        <f>SUMIFS(Cashflows!$X$8:$X$1038,Cashflows!$A$8:$A$1038,$B1306,Cashflows!$F$8:$F$1038,"PNL",Cashflows!$K$8:$K$1038,"&lt;="&amp;$A1306)</f>
        <v/>
      </c>
      <c r="F1306" s="18">
        <f>SUMIFS(MTM_Daily!$AO$6:$AO$1238,MTM_Daily!$B$6:$B$1238,$B1306,MTM_Daily!$A$6:$A$1238,$A1306,MTM_Daily!$L$6:$L$1238,"PNL")</f>
        <v/>
      </c>
      <c r="G1306" s="18">
        <f>$E1306+$C1306+$F1306</f>
        <v/>
      </c>
      <c r="H1306" s="18">
        <f>$G1306-$D1306</f>
        <v/>
      </c>
      <c r="I1306" s="8">
        <f>IF(ABS($H1306)&lt;=tol_trade_inr,"PASS","FAIL")</f>
        <v/>
      </c>
    </row>
    <row r="1307">
      <c r="A1307" s="11" t="n">
        <v>44672</v>
      </c>
      <c r="B1307" s="7" t="inlineStr">
        <is>
          <t>T02</t>
        </is>
      </c>
      <c r="C1307" s="9" t="n">
        <v>-155675.97</v>
      </c>
      <c r="D1307" s="9" t="n">
        <v>40138872.47</v>
      </c>
      <c r="E1307" s="18">
        <f>SUMIFS(Cashflows!$X$8:$X$1038,Cashflows!$A$8:$A$1038,$B1307,Cashflows!$F$8:$F$1038,"PNL",Cashflows!$K$8:$K$1038,"&lt;="&amp;$A1307)</f>
        <v/>
      </c>
      <c r="F1307" s="18">
        <f>SUMIFS(MTM_Daily!$AO$6:$AO$1238,MTM_Daily!$B$6:$B$1238,$B1307,MTM_Daily!$A$6:$A$1238,$A1307,MTM_Daily!$L$6:$L$1238,"PNL")</f>
        <v/>
      </c>
      <c r="G1307" s="18">
        <f>$E1307+$C1307+$F1307</f>
        <v/>
      </c>
      <c r="H1307" s="18">
        <f>$G1307-$D1307</f>
        <v/>
      </c>
      <c r="I1307" s="8">
        <f>IF(ABS($H1307)&lt;=tol_trade_inr,"PASS","FAIL")</f>
        <v/>
      </c>
    </row>
    <row r="1308">
      <c r="A1308" s="11" t="n">
        <v>44672</v>
      </c>
      <c r="B1308" s="7" t="inlineStr">
        <is>
          <t>T03</t>
        </is>
      </c>
      <c r="C1308" s="9" t="n">
        <v>-120003.45</v>
      </c>
      <c r="D1308" s="9" t="n">
        <v>18448097.74</v>
      </c>
      <c r="E1308" s="18">
        <f>SUMIFS(Cashflows!$X$8:$X$1038,Cashflows!$A$8:$A$1038,$B1308,Cashflows!$F$8:$F$1038,"PNL",Cashflows!$K$8:$K$1038,"&lt;="&amp;$A1308)</f>
        <v/>
      </c>
      <c r="F1308" s="18">
        <f>SUMIFS(MTM_Daily!$AO$6:$AO$1238,MTM_Daily!$B$6:$B$1238,$B1308,MTM_Daily!$A$6:$A$1238,$A1308,MTM_Daily!$L$6:$L$1238,"PNL")</f>
        <v/>
      </c>
      <c r="G1308" s="18">
        <f>$E1308+$C1308+$F1308</f>
        <v/>
      </c>
      <c r="H1308" s="18">
        <f>$G1308-$D1308</f>
        <v/>
      </c>
      <c r="I1308" s="8">
        <f>IF(ABS($H1308)&lt;=tol_trade_inr,"PASS","FAIL")</f>
        <v/>
      </c>
    </row>
    <row r="1309">
      <c r="A1309" s="11" t="n">
        <v>44672</v>
      </c>
      <c r="B1309" s="7" t="inlineStr">
        <is>
          <t>T04</t>
        </is>
      </c>
      <c r="C1309" s="9" t="n">
        <v>-27309.93</v>
      </c>
      <c r="D1309" s="9" t="n">
        <v>2386717.33</v>
      </c>
      <c r="E1309" s="18">
        <f>SUMIFS(Cashflows!$X$8:$X$1038,Cashflows!$A$8:$A$1038,$B1309,Cashflows!$F$8:$F$1038,"PNL",Cashflows!$K$8:$K$1038,"&lt;="&amp;$A1309)</f>
        <v/>
      </c>
      <c r="F1309" s="18">
        <f>SUMIFS(MTM_Daily!$AO$6:$AO$1238,MTM_Daily!$B$6:$B$1238,$B1309,MTM_Daily!$A$6:$A$1238,$A1309,MTM_Daily!$L$6:$L$1238,"PNL")</f>
        <v/>
      </c>
      <c r="G1309" s="18">
        <f>$E1309+$C1309+$F1309</f>
        <v/>
      </c>
      <c r="H1309" s="18">
        <f>$G1309-$D1309</f>
        <v/>
      </c>
      <c r="I1309" s="8">
        <f>IF(ABS($H1309)&lt;=tol_trade_inr,"PASS","FAIL")</f>
        <v/>
      </c>
    </row>
    <row r="1310">
      <c r="A1310" s="11" t="n">
        <v>44672</v>
      </c>
      <c r="B1310" s="7" t="inlineStr">
        <is>
          <t>T05</t>
        </is>
      </c>
      <c r="C1310" s="9" t="n">
        <v>0</v>
      </c>
      <c r="D1310" s="9" t="n">
        <v>47622722.62</v>
      </c>
      <c r="E1310" s="18">
        <f>SUMIFS(Cashflows!$X$8:$X$1038,Cashflows!$A$8:$A$1038,$B1310,Cashflows!$F$8:$F$1038,"PNL",Cashflows!$K$8:$K$1038,"&lt;="&amp;$A1310)</f>
        <v/>
      </c>
      <c r="F1310" s="18">
        <f>SUMIFS(MTM_Daily!$AO$6:$AO$1238,MTM_Daily!$B$6:$B$1238,$B1310,MTM_Daily!$A$6:$A$1238,$A1310,MTM_Daily!$L$6:$L$1238,"PNL")</f>
        <v/>
      </c>
      <c r="G1310" s="18">
        <f>$E1310+$C1310+$F1310</f>
        <v/>
      </c>
      <c r="H1310" s="18">
        <f>$G1310-$D1310</f>
        <v/>
      </c>
      <c r="I1310" s="8">
        <f>IF(ABS($H1310)&lt;=tol_trade_inr,"PASS","FAIL")</f>
        <v/>
      </c>
    </row>
    <row r="1311">
      <c r="A1311" s="11" t="n">
        <v>44672</v>
      </c>
      <c r="B1311" s="7" t="inlineStr">
        <is>
          <t>T06</t>
        </is>
      </c>
      <c r="C1311" s="9" t="n">
        <v>0</v>
      </c>
      <c r="D1311" s="9" t="n">
        <v>0</v>
      </c>
      <c r="E1311" s="18">
        <f>SUMIFS(Cashflows!$X$8:$X$1038,Cashflows!$A$8:$A$1038,$B1311,Cashflows!$F$8:$F$1038,"PNL",Cashflows!$K$8:$K$1038,"&lt;="&amp;$A1311)</f>
        <v/>
      </c>
      <c r="F1311" s="18">
        <f>SUMIFS(MTM_Daily!$AO$6:$AO$1238,MTM_Daily!$B$6:$B$1238,$B1311,MTM_Daily!$A$6:$A$1238,$A1311,MTM_Daily!$L$6:$L$1238,"PNL")</f>
        <v/>
      </c>
      <c r="G1311" s="18">
        <f>$E1311+$C1311+$F1311</f>
        <v/>
      </c>
      <c r="H1311" s="18">
        <f>$G1311-$D1311</f>
        <v/>
      </c>
      <c r="I1311" s="8">
        <f>IF(ABS($H1311)&lt;=tol_trade_inr,"PASS","FAIL")</f>
        <v/>
      </c>
    </row>
    <row r="1312">
      <c r="A1312" s="11" t="n">
        <v>44672</v>
      </c>
      <c r="B1312" s="7" t="inlineStr">
        <is>
          <t>T07</t>
        </is>
      </c>
      <c r="C1312" s="9" t="n">
        <v>0</v>
      </c>
      <c r="D1312" s="9" t="n">
        <v>0</v>
      </c>
      <c r="E1312" s="18">
        <f>SUMIFS(Cashflows!$X$8:$X$1038,Cashflows!$A$8:$A$1038,$B1312,Cashflows!$F$8:$F$1038,"PNL",Cashflows!$K$8:$K$1038,"&lt;="&amp;$A1312)</f>
        <v/>
      </c>
      <c r="F1312" s="18">
        <f>SUMIFS(MTM_Daily!$AO$6:$AO$1238,MTM_Daily!$B$6:$B$1238,$B1312,MTM_Daily!$A$6:$A$1238,$A1312,MTM_Daily!$L$6:$L$1238,"PNL")</f>
        <v/>
      </c>
      <c r="G1312" s="18">
        <f>$E1312+$C1312+$F1312</f>
        <v/>
      </c>
      <c r="H1312" s="18">
        <f>$G1312-$D1312</f>
        <v/>
      </c>
      <c r="I1312" s="8">
        <f>IF(ABS($H1312)&lt;=tol_trade_inr,"PASS","FAIL")</f>
        <v/>
      </c>
    </row>
    <row r="1313">
      <c r="A1313" s="11" t="n">
        <v>44672</v>
      </c>
      <c r="B1313" s="7" t="inlineStr">
        <is>
          <t>T08</t>
        </is>
      </c>
      <c r="C1313" s="9" t="n">
        <v>0</v>
      </c>
      <c r="D1313" s="9" t="n">
        <v>0</v>
      </c>
      <c r="E1313" s="18">
        <f>SUMIFS(Cashflows!$X$8:$X$1038,Cashflows!$A$8:$A$1038,$B1313,Cashflows!$F$8:$F$1038,"PNL",Cashflows!$K$8:$K$1038,"&lt;="&amp;$A1313)</f>
        <v/>
      </c>
      <c r="F1313" s="18">
        <f>SUMIFS(MTM_Daily!$AO$6:$AO$1238,MTM_Daily!$B$6:$B$1238,$B1313,MTM_Daily!$A$6:$A$1238,$A1313,MTM_Daily!$L$6:$L$1238,"PNL")</f>
        <v/>
      </c>
      <c r="G1313" s="18">
        <f>$E1313+$C1313+$F1313</f>
        <v/>
      </c>
      <c r="H1313" s="18">
        <f>$G1313-$D1313</f>
        <v/>
      </c>
      <c r="I1313" s="8">
        <f>IF(ABS($H1313)&lt;=tol_trade_inr,"PASS","FAIL")</f>
        <v/>
      </c>
    </row>
    <row r="1314">
      <c r="A1314" s="11" t="n">
        <v>44672</v>
      </c>
      <c r="B1314" s="7" t="inlineStr">
        <is>
          <t>T09</t>
        </is>
      </c>
      <c r="C1314" s="9" t="n">
        <v>0</v>
      </c>
      <c r="D1314" s="9" t="n">
        <v>0</v>
      </c>
      <c r="E1314" s="18">
        <f>SUMIFS(Cashflows!$X$8:$X$1038,Cashflows!$A$8:$A$1038,$B1314,Cashflows!$F$8:$F$1038,"PNL",Cashflows!$K$8:$K$1038,"&lt;="&amp;$A1314)</f>
        <v/>
      </c>
      <c r="F1314" s="18">
        <f>SUMIFS(MTM_Daily!$AO$6:$AO$1238,MTM_Daily!$B$6:$B$1238,$B1314,MTM_Daily!$A$6:$A$1238,$A1314,MTM_Daily!$L$6:$L$1238,"PNL")</f>
        <v/>
      </c>
      <c r="G1314" s="18">
        <f>$E1314+$C1314+$F1314</f>
        <v/>
      </c>
      <c r="H1314" s="18">
        <f>$G1314-$D1314</f>
        <v/>
      </c>
      <c r="I1314" s="8">
        <f>IF(ABS($H1314)&lt;=tol_trade_inr,"PASS","FAIL")</f>
        <v/>
      </c>
    </row>
    <row r="1315">
      <c r="A1315" s="11" t="n">
        <v>44673</v>
      </c>
      <c r="B1315" s="7" t="inlineStr">
        <is>
          <t>T01</t>
        </is>
      </c>
      <c r="C1315" s="9" t="n">
        <v>-1687542.99</v>
      </c>
      <c r="D1315" s="9" t="n">
        <v>44091509.54</v>
      </c>
      <c r="E1315" s="18">
        <f>SUMIFS(Cashflows!$X$8:$X$1038,Cashflows!$A$8:$A$1038,$B1315,Cashflows!$F$8:$F$1038,"PNL",Cashflows!$K$8:$K$1038,"&lt;="&amp;$A1315)</f>
        <v/>
      </c>
      <c r="F1315" s="18">
        <f>SUMIFS(MTM_Daily!$AO$6:$AO$1238,MTM_Daily!$B$6:$B$1238,$B1315,MTM_Daily!$A$6:$A$1238,$A1315,MTM_Daily!$L$6:$L$1238,"PNL")</f>
        <v/>
      </c>
      <c r="G1315" s="18">
        <f>$E1315+$C1315+$F1315</f>
        <v/>
      </c>
      <c r="H1315" s="18">
        <f>$G1315-$D1315</f>
        <v/>
      </c>
      <c r="I1315" s="8">
        <f>IF(ABS($H1315)&lt;=tol_trade_inr,"PASS","FAIL")</f>
        <v/>
      </c>
    </row>
    <row r="1316">
      <c r="A1316" s="11" t="n">
        <v>44673</v>
      </c>
      <c r="B1316" s="7" t="inlineStr">
        <is>
          <t>T02</t>
        </is>
      </c>
      <c r="C1316" s="9" t="n">
        <v>-167943.51</v>
      </c>
      <c r="D1316" s="9" t="n">
        <v>40908793.22</v>
      </c>
      <c r="E1316" s="18">
        <f>SUMIFS(Cashflows!$X$8:$X$1038,Cashflows!$A$8:$A$1038,$B1316,Cashflows!$F$8:$F$1038,"PNL",Cashflows!$K$8:$K$1038,"&lt;="&amp;$A1316)</f>
        <v/>
      </c>
      <c r="F1316" s="18">
        <f>SUMIFS(MTM_Daily!$AO$6:$AO$1238,MTM_Daily!$B$6:$B$1238,$B1316,MTM_Daily!$A$6:$A$1238,$A1316,MTM_Daily!$L$6:$L$1238,"PNL")</f>
        <v/>
      </c>
      <c r="G1316" s="18">
        <f>$E1316+$C1316+$F1316</f>
        <v/>
      </c>
      <c r="H1316" s="18">
        <f>$G1316-$D1316</f>
        <v/>
      </c>
      <c r="I1316" s="8">
        <f>IF(ABS($H1316)&lt;=tol_trade_inr,"PASS","FAIL")</f>
        <v/>
      </c>
    </row>
    <row r="1317">
      <c r="A1317" s="11" t="n">
        <v>44673</v>
      </c>
      <c r="B1317" s="7" t="inlineStr">
        <is>
          <t>T03</t>
        </is>
      </c>
      <c r="C1317" s="9" t="n">
        <v>-156541.12</v>
      </c>
      <c r="D1317" s="9" t="n">
        <v>18639022.1</v>
      </c>
      <c r="E1317" s="18">
        <f>SUMIFS(Cashflows!$X$8:$X$1038,Cashflows!$A$8:$A$1038,$B1317,Cashflows!$F$8:$F$1038,"PNL",Cashflows!$K$8:$K$1038,"&lt;="&amp;$A1317)</f>
        <v/>
      </c>
      <c r="F1317" s="18">
        <f>SUMIFS(MTM_Daily!$AO$6:$AO$1238,MTM_Daily!$B$6:$B$1238,$B1317,MTM_Daily!$A$6:$A$1238,$A1317,MTM_Daily!$L$6:$L$1238,"PNL")</f>
        <v/>
      </c>
      <c r="G1317" s="18">
        <f>$E1317+$C1317+$F1317</f>
        <v/>
      </c>
      <c r="H1317" s="18">
        <f>$G1317-$D1317</f>
        <v/>
      </c>
      <c r="I1317" s="8">
        <f>IF(ABS($H1317)&lt;=tol_trade_inr,"PASS","FAIL")</f>
        <v/>
      </c>
    </row>
    <row r="1318">
      <c r="A1318" s="11" t="n">
        <v>44673</v>
      </c>
      <c r="B1318" s="7" t="inlineStr">
        <is>
          <t>T04</t>
        </is>
      </c>
      <c r="C1318" s="9" t="n">
        <v>-28963.6</v>
      </c>
      <c r="D1318" s="9" t="n">
        <v>2202645.65</v>
      </c>
      <c r="E1318" s="18">
        <f>SUMIFS(Cashflows!$X$8:$X$1038,Cashflows!$A$8:$A$1038,$B1318,Cashflows!$F$8:$F$1038,"PNL",Cashflows!$K$8:$K$1038,"&lt;="&amp;$A1318)</f>
        <v/>
      </c>
      <c r="F1318" s="18">
        <f>SUMIFS(MTM_Daily!$AO$6:$AO$1238,MTM_Daily!$B$6:$B$1238,$B1318,MTM_Daily!$A$6:$A$1238,$A1318,MTM_Daily!$L$6:$L$1238,"PNL")</f>
        <v/>
      </c>
      <c r="G1318" s="18">
        <f>$E1318+$C1318+$F1318</f>
        <v/>
      </c>
      <c r="H1318" s="18">
        <f>$G1318-$D1318</f>
        <v/>
      </c>
      <c r="I1318" s="8">
        <f>IF(ABS($H1318)&lt;=tol_trade_inr,"PASS","FAIL")</f>
        <v/>
      </c>
    </row>
    <row r="1319">
      <c r="A1319" s="11" t="n">
        <v>44673</v>
      </c>
      <c r="B1319" s="7" t="inlineStr">
        <is>
          <t>T05</t>
        </is>
      </c>
      <c r="C1319" s="9" t="n">
        <v>-3756.65</v>
      </c>
      <c r="D1319" s="9" t="n">
        <v>47397352.29</v>
      </c>
      <c r="E1319" s="18">
        <f>SUMIFS(Cashflows!$X$8:$X$1038,Cashflows!$A$8:$A$1038,$B1319,Cashflows!$F$8:$F$1038,"PNL",Cashflows!$K$8:$K$1038,"&lt;="&amp;$A1319)</f>
        <v/>
      </c>
      <c r="F1319" s="18">
        <f>SUMIFS(MTM_Daily!$AO$6:$AO$1238,MTM_Daily!$B$6:$B$1238,$B1319,MTM_Daily!$A$6:$A$1238,$A1319,MTM_Daily!$L$6:$L$1238,"PNL")</f>
        <v/>
      </c>
      <c r="G1319" s="18">
        <f>$E1319+$C1319+$F1319</f>
        <v/>
      </c>
      <c r="H1319" s="18">
        <f>$G1319-$D1319</f>
        <v/>
      </c>
      <c r="I1319" s="8">
        <f>IF(ABS($H1319)&lt;=tol_trade_inr,"PASS","FAIL")</f>
        <v/>
      </c>
    </row>
    <row r="1320">
      <c r="A1320" s="11" t="n">
        <v>44673</v>
      </c>
      <c r="B1320" s="7" t="inlineStr">
        <is>
          <t>T06</t>
        </is>
      </c>
      <c r="C1320" s="9" t="n">
        <v>0</v>
      </c>
      <c r="D1320" s="9" t="n">
        <v>0</v>
      </c>
      <c r="E1320" s="18">
        <f>SUMIFS(Cashflows!$X$8:$X$1038,Cashflows!$A$8:$A$1038,$B1320,Cashflows!$F$8:$F$1038,"PNL",Cashflows!$K$8:$K$1038,"&lt;="&amp;$A1320)</f>
        <v/>
      </c>
      <c r="F1320" s="18">
        <f>SUMIFS(MTM_Daily!$AO$6:$AO$1238,MTM_Daily!$B$6:$B$1238,$B1320,MTM_Daily!$A$6:$A$1238,$A1320,MTM_Daily!$L$6:$L$1238,"PNL")</f>
        <v/>
      </c>
      <c r="G1320" s="18">
        <f>$E1320+$C1320+$F1320</f>
        <v/>
      </c>
      <c r="H1320" s="18">
        <f>$G1320-$D1320</f>
        <v/>
      </c>
      <c r="I1320" s="8">
        <f>IF(ABS($H1320)&lt;=tol_trade_inr,"PASS","FAIL")</f>
        <v/>
      </c>
    </row>
    <row r="1321">
      <c r="A1321" s="11" t="n">
        <v>44673</v>
      </c>
      <c r="B1321" s="7" t="inlineStr">
        <is>
          <t>T07</t>
        </is>
      </c>
      <c r="C1321" s="9" t="n">
        <v>0</v>
      </c>
      <c r="D1321" s="9" t="n">
        <v>0</v>
      </c>
      <c r="E1321" s="18">
        <f>SUMIFS(Cashflows!$X$8:$X$1038,Cashflows!$A$8:$A$1038,$B1321,Cashflows!$F$8:$F$1038,"PNL",Cashflows!$K$8:$K$1038,"&lt;="&amp;$A1321)</f>
        <v/>
      </c>
      <c r="F1321" s="18">
        <f>SUMIFS(MTM_Daily!$AO$6:$AO$1238,MTM_Daily!$B$6:$B$1238,$B1321,MTM_Daily!$A$6:$A$1238,$A1321,MTM_Daily!$L$6:$L$1238,"PNL")</f>
        <v/>
      </c>
      <c r="G1321" s="18">
        <f>$E1321+$C1321+$F1321</f>
        <v/>
      </c>
      <c r="H1321" s="18">
        <f>$G1321-$D1321</f>
        <v/>
      </c>
      <c r="I1321" s="8">
        <f>IF(ABS($H1321)&lt;=tol_trade_inr,"PASS","FAIL")</f>
        <v/>
      </c>
    </row>
    <row r="1322">
      <c r="A1322" s="11" t="n">
        <v>44673</v>
      </c>
      <c r="B1322" s="7" t="inlineStr">
        <is>
          <t>T08</t>
        </is>
      </c>
      <c r="C1322" s="9" t="n">
        <v>0</v>
      </c>
      <c r="D1322" s="9" t="n">
        <v>0</v>
      </c>
      <c r="E1322" s="18">
        <f>SUMIFS(Cashflows!$X$8:$X$1038,Cashflows!$A$8:$A$1038,$B1322,Cashflows!$F$8:$F$1038,"PNL",Cashflows!$K$8:$K$1038,"&lt;="&amp;$A1322)</f>
        <v/>
      </c>
      <c r="F1322" s="18">
        <f>SUMIFS(MTM_Daily!$AO$6:$AO$1238,MTM_Daily!$B$6:$B$1238,$B1322,MTM_Daily!$A$6:$A$1238,$A1322,MTM_Daily!$L$6:$L$1238,"PNL")</f>
        <v/>
      </c>
      <c r="G1322" s="18">
        <f>$E1322+$C1322+$F1322</f>
        <v/>
      </c>
      <c r="H1322" s="18">
        <f>$G1322-$D1322</f>
        <v/>
      </c>
      <c r="I1322" s="8">
        <f>IF(ABS($H1322)&lt;=tol_trade_inr,"PASS","FAIL")</f>
        <v/>
      </c>
    </row>
    <row r="1323">
      <c r="A1323" s="11" t="n">
        <v>44673</v>
      </c>
      <c r="B1323" s="7" t="inlineStr">
        <is>
          <t>T09</t>
        </is>
      </c>
      <c r="C1323" s="9" t="n">
        <v>0</v>
      </c>
      <c r="D1323" s="9" t="n">
        <v>0</v>
      </c>
      <c r="E1323" s="18">
        <f>SUMIFS(Cashflows!$X$8:$X$1038,Cashflows!$A$8:$A$1038,$B1323,Cashflows!$F$8:$F$1038,"PNL",Cashflows!$K$8:$K$1038,"&lt;="&amp;$A1323)</f>
        <v/>
      </c>
      <c r="F1323" s="18">
        <f>SUMIFS(MTM_Daily!$AO$6:$AO$1238,MTM_Daily!$B$6:$B$1238,$B1323,MTM_Daily!$A$6:$A$1238,$A1323,MTM_Daily!$L$6:$L$1238,"PNL")</f>
        <v/>
      </c>
      <c r="G1323" s="18">
        <f>$E1323+$C1323+$F1323</f>
        <v/>
      </c>
      <c r="H1323" s="18">
        <f>$G1323-$D1323</f>
        <v/>
      </c>
      <c r="I1323" s="8">
        <f>IF(ABS($H1323)&lt;=tol_trade_inr,"PASS","FAIL")</f>
        <v/>
      </c>
    </row>
    <row r="1324">
      <c r="A1324" s="11" t="n">
        <v>44680</v>
      </c>
      <c r="B1324" s="7" t="inlineStr">
        <is>
          <t>T01</t>
        </is>
      </c>
      <c r="C1324" s="9" t="n">
        <v>-2471989.06</v>
      </c>
      <c r="D1324" s="9" t="n">
        <v>61994160.12</v>
      </c>
      <c r="E1324" s="18">
        <f>SUMIFS(Cashflows!$X$8:$X$1038,Cashflows!$A$8:$A$1038,$B1324,Cashflows!$F$8:$F$1038,"PNL",Cashflows!$K$8:$K$1038,"&lt;="&amp;$A1324)</f>
        <v/>
      </c>
      <c r="F1324" s="18">
        <f>SUMIFS(MTM_Daily!$AO$6:$AO$1238,MTM_Daily!$B$6:$B$1238,$B1324,MTM_Daily!$A$6:$A$1238,$A1324,MTM_Daily!$L$6:$L$1238,"PNL")</f>
        <v/>
      </c>
      <c r="G1324" s="18">
        <f>$E1324+$C1324+$F1324</f>
        <v/>
      </c>
      <c r="H1324" s="18">
        <f>$G1324-$D1324</f>
        <v/>
      </c>
      <c r="I1324" s="8">
        <f>IF(ABS($H1324)&lt;=tol_trade_inr,"PASS","FAIL")</f>
        <v/>
      </c>
    </row>
    <row r="1325">
      <c r="A1325" s="11" t="n">
        <v>44680</v>
      </c>
      <c r="B1325" s="7" t="inlineStr">
        <is>
          <t>T02</t>
        </is>
      </c>
      <c r="C1325" s="9" t="n">
        <v>-258150.8</v>
      </c>
      <c r="D1325" s="9" t="n">
        <v>46271821.97</v>
      </c>
      <c r="E1325" s="18">
        <f>SUMIFS(Cashflows!$X$8:$X$1038,Cashflows!$A$8:$A$1038,$B1325,Cashflows!$F$8:$F$1038,"PNL",Cashflows!$K$8:$K$1038,"&lt;="&amp;$A1325)</f>
        <v/>
      </c>
      <c r="F1325" s="18">
        <f>SUMIFS(MTM_Daily!$AO$6:$AO$1238,MTM_Daily!$B$6:$B$1238,$B1325,MTM_Daily!$A$6:$A$1238,$A1325,MTM_Daily!$L$6:$L$1238,"PNL")</f>
        <v/>
      </c>
      <c r="G1325" s="18">
        <f>$E1325+$C1325+$F1325</f>
        <v/>
      </c>
      <c r="H1325" s="18">
        <f>$G1325-$D1325</f>
        <v/>
      </c>
      <c r="I1325" s="8">
        <f>IF(ABS($H1325)&lt;=tol_trade_inr,"PASS","FAIL")</f>
        <v/>
      </c>
    </row>
    <row r="1326">
      <c r="A1326" s="11" t="n">
        <v>44680</v>
      </c>
      <c r="B1326" s="7" t="inlineStr">
        <is>
          <t>T03</t>
        </is>
      </c>
      <c r="C1326" s="9" t="n">
        <v>-394317.17</v>
      </c>
      <c r="D1326" s="9" t="n">
        <v>31721619.4</v>
      </c>
      <c r="E1326" s="18">
        <f>SUMIFS(Cashflows!$X$8:$X$1038,Cashflows!$A$8:$A$1038,$B1326,Cashflows!$F$8:$F$1038,"PNL",Cashflows!$K$8:$K$1038,"&lt;="&amp;$A1326)</f>
        <v/>
      </c>
      <c r="F1326" s="18">
        <f>SUMIFS(MTM_Daily!$AO$6:$AO$1238,MTM_Daily!$B$6:$B$1238,$B1326,MTM_Daily!$A$6:$A$1238,$A1326,MTM_Daily!$L$6:$L$1238,"PNL")</f>
        <v/>
      </c>
      <c r="G1326" s="18">
        <f>$E1326+$C1326+$F1326</f>
        <v/>
      </c>
      <c r="H1326" s="18">
        <f>$G1326-$D1326</f>
        <v/>
      </c>
      <c r="I1326" s="8">
        <f>IF(ABS($H1326)&lt;=tol_trade_inr,"PASS","FAIL")</f>
        <v/>
      </c>
    </row>
    <row r="1327">
      <c r="A1327" s="11" t="n">
        <v>44680</v>
      </c>
      <c r="B1327" s="7" t="inlineStr">
        <is>
          <t>T04</t>
        </is>
      </c>
      <c r="C1327" s="9" t="n">
        <v>-36189.76</v>
      </c>
      <c r="D1327" s="9" t="n">
        <v>-2894831.64</v>
      </c>
      <c r="E1327" s="18">
        <f>SUMIFS(Cashflows!$X$8:$X$1038,Cashflows!$A$8:$A$1038,$B1327,Cashflows!$F$8:$F$1038,"PNL",Cashflows!$K$8:$K$1038,"&lt;="&amp;$A1327)</f>
        <v/>
      </c>
      <c r="F1327" s="18">
        <f>SUMIFS(MTM_Daily!$AO$6:$AO$1238,MTM_Daily!$B$6:$B$1238,$B1327,MTM_Daily!$A$6:$A$1238,$A1327,MTM_Daily!$L$6:$L$1238,"PNL")</f>
        <v/>
      </c>
      <c r="G1327" s="18">
        <f>$E1327+$C1327+$F1327</f>
        <v/>
      </c>
      <c r="H1327" s="18">
        <f>$G1327-$D1327</f>
        <v/>
      </c>
      <c r="I1327" s="8">
        <f>IF(ABS($H1327)&lt;=tol_trade_inr,"PASS","FAIL")</f>
        <v/>
      </c>
    </row>
    <row r="1328">
      <c r="A1328" s="11" t="n">
        <v>44680</v>
      </c>
      <c r="B1328" s="7" t="inlineStr">
        <is>
          <t>T05</t>
        </is>
      </c>
      <c r="C1328" s="9" t="n">
        <v>-22107.69</v>
      </c>
      <c r="D1328" s="9" t="n">
        <v>47110270.96</v>
      </c>
      <c r="E1328" s="18">
        <f>SUMIFS(Cashflows!$X$8:$X$1038,Cashflows!$A$8:$A$1038,$B1328,Cashflows!$F$8:$F$1038,"PNL",Cashflows!$K$8:$K$1038,"&lt;="&amp;$A1328)</f>
        <v/>
      </c>
      <c r="F1328" s="18">
        <f>SUMIFS(MTM_Daily!$AO$6:$AO$1238,MTM_Daily!$B$6:$B$1238,$B1328,MTM_Daily!$A$6:$A$1238,$A1328,MTM_Daily!$L$6:$L$1238,"PNL")</f>
        <v/>
      </c>
      <c r="G1328" s="18">
        <f>$E1328+$C1328+$F1328</f>
        <v/>
      </c>
      <c r="H1328" s="18">
        <f>$G1328-$D1328</f>
        <v/>
      </c>
      <c r="I1328" s="8">
        <f>IF(ABS($H1328)&lt;=tol_trade_inr,"PASS","FAIL")</f>
        <v/>
      </c>
    </row>
    <row r="1329">
      <c r="A1329" s="11" t="n">
        <v>44680</v>
      </c>
      <c r="B1329" s="7" t="inlineStr">
        <is>
          <t>T06</t>
        </is>
      </c>
      <c r="C1329" s="9" t="n">
        <v>0</v>
      </c>
      <c r="D1329" s="9" t="n">
        <v>0</v>
      </c>
      <c r="E1329" s="18">
        <f>SUMIFS(Cashflows!$X$8:$X$1038,Cashflows!$A$8:$A$1038,$B1329,Cashflows!$F$8:$F$1038,"PNL",Cashflows!$K$8:$K$1038,"&lt;="&amp;$A1329)</f>
        <v/>
      </c>
      <c r="F1329" s="18">
        <f>SUMIFS(MTM_Daily!$AO$6:$AO$1238,MTM_Daily!$B$6:$B$1238,$B1329,MTM_Daily!$A$6:$A$1238,$A1329,MTM_Daily!$L$6:$L$1238,"PNL")</f>
        <v/>
      </c>
      <c r="G1329" s="18">
        <f>$E1329+$C1329+$F1329</f>
        <v/>
      </c>
      <c r="H1329" s="18">
        <f>$G1329-$D1329</f>
        <v/>
      </c>
      <c r="I1329" s="8">
        <f>IF(ABS($H1329)&lt;=tol_trade_inr,"PASS","FAIL")</f>
        <v/>
      </c>
    </row>
    <row r="1330">
      <c r="A1330" s="11" t="n">
        <v>44680</v>
      </c>
      <c r="B1330" s="7" t="inlineStr">
        <is>
          <t>T07</t>
        </is>
      </c>
      <c r="C1330" s="9" t="n">
        <v>0</v>
      </c>
      <c r="D1330" s="9" t="n">
        <v>0</v>
      </c>
      <c r="E1330" s="18">
        <f>SUMIFS(Cashflows!$X$8:$X$1038,Cashflows!$A$8:$A$1038,$B1330,Cashflows!$F$8:$F$1038,"PNL",Cashflows!$K$8:$K$1038,"&lt;="&amp;$A1330)</f>
        <v/>
      </c>
      <c r="F1330" s="18">
        <f>SUMIFS(MTM_Daily!$AO$6:$AO$1238,MTM_Daily!$B$6:$B$1238,$B1330,MTM_Daily!$A$6:$A$1238,$A1330,MTM_Daily!$L$6:$L$1238,"PNL")</f>
        <v/>
      </c>
      <c r="G1330" s="18">
        <f>$E1330+$C1330+$F1330</f>
        <v/>
      </c>
      <c r="H1330" s="18">
        <f>$G1330-$D1330</f>
        <v/>
      </c>
      <c r="I1330" s="8">
        <f>IF(ABS($H1330)&lt;=tol_trade_inr,"PASS","FAIL")</f>
        <v/>
      </c>
    </row>
    <row r="1331">
      <c r="A1331" s="11" t="n">
        <v>44680</v>
      </c>
      <c r="B1331" s="7" t="inlineStr">
        <is>
          <t>T08</t>
        </is>
      </c>
      <c r="C1331" s="9" t="n">
        <v>0</v>
      </c>
      <c r="D1331" s="9" t="n">
        <v>0</v>
      </c>
      <c r="E1331" s="18">
        <f>SUMIFS(Cashflows!$X$8:$X$1038,Cashflows!$A$8:$A$1038,$B1331,Cashflows!$F$8:$F$1038,"PNL",Cashflows!$K$8:$K$1038,"&lt;="&amp;$A1331)</f>
        <v/>
      </c>
      <c r="F1331" s="18">
        <f>SUMIFS(MTM_Daily!$AO$6:$AO$1238,MTM_Daily!$B$6:$B$1238,$B1331,MTM_Daily!$A$6:$A$1238,$A1331,MTM_Daily!$L$6:$L$1238,"PNL")</f>
        <v/>
      </c>
      <c r="G1331" s="18">
        <f>$E1331+$C1331+$F1331</f>
        <v/>
      </c>
      <c r="H1331" s="18">
        <f>$G1331-$D1331</f>
        <v/>
      </c>
      <c r="I1331" s="8">
        <f>IF(ABS($H1331)&lt;=tol_trade_inr,"PASS","FAIL")</f>
        <v/>
      </c>
    </row>
    <row r="1332">
      <c r="A1332" s="11" t="n">
        <v>44680</v>
      </c>
      <c r="B1332" s="7" t="inlineStr">
        <is>
          <t>T09</t>
        </is>
      </c>
      <c r="C1332" s="9" t="n">
        <v>0</v>
      </c>
      <c r="D1332" s="9" t="n">
        <v>0</v>
      </c>
      <c r="E1332" s="18">
        <f>SUMIFS(Cashflows!$X$8:$X$1038,Cashflows!$A$8:$A$1038,$B1332,Cashflows!$F$8:$F$1038,"PNL",Cashflows!$K$8:$K$1038,"&lt;="&amp;$A1332)</f>
        <v/>
      </c>
      <c r="F1332" s="18">
        <f>SUMIFS(MTM_Daily!$AO$6:$AO$1238,MTM_Daily!$B$6:$B$1238,$B1332,MTM_Daily!$A$6:$A$1238,$A1332,MTM_Daily!$L$6:$L$1238,"PNL")</f>
        <v/>
      </c>
      <c r="G1332" s="18">
        <f>$E1332+$C1332+$F1332</f>
        <v/>
      </c>
      <c r="H1332" s="18">
        <f>$G1332-$D1332</f>
        <v/>
      </c>
      <c r="I1332" s="8">
        <f>IF(ABS($H1332)&lt;=tol_trade_inr,"PASS","FAIL")</f>
        <v/>
      </c>
    </row>
    <row r="1333">
      <c r="A1333" s="11" t="n">
        <v>44690</v>
      </c>
      <c r="B1333" s="7" t="inlineStr">
        <is>
          <t>T01</t>
        </is>
      </c>
      <c r="C1333" s="9" t="n">
        <v>-3522765.1</v>
      </c>
      <c r="D1333" s="9" t="n">
        <v>67275233.06</v>
      </c>
      <c r="E1333" s="18">
        <f>SUMIFS(Cashflows!$X$8:$X$1038,Cashflows!$A$8:$A$1038,$B1333,Cashflows!$F$8:$F$1038,"PNL",Cashflows!$K$8:$K$1038,"&lt;="&amp;$A1333)</f>
        <v/>
      </c>
      <c r="F1333" s="18">
        <f>SUMIFS(MTM_Daily!$AO$6:$AO$1238,MTM_Daily!$B$6:$B$1238,$B1333,MTM_Daily!$A$6:$A$1238,$A1333,MTM_Daily!$L$6:$L$1238,"PNL")</f>
        <v/>
      </c>
      <c r="G1333" s="18">
        <f>$E1333+$C1333+$F1333</f>
        <v/>
      </c>
      <c r="H1333" s="18">
        <f>$G1333-$D1333</f>
        <v/>
      </c>
      <c r="I1333" s="8">
        <f>IF(ABS($H1333)&lt;=tol_trade_inr,"PASS","FAIL")</f>
        <v/>
      </c>
    </row>
    <row r="1334">
      <c r="A1334" s="11" t="n">
        <v>44690</v>
      </c>
      <c r="B1334" s="7" t="inlineStr">
        <is>
          <t>T02</t>
        </is>
      </c>
      <c r="C1334" s="9" t="n">
        <v>-415495.16</v>
      </c>
      <c r="D1334" s="9" t="n">
        <v>45901631.41</v>
      </c>
      <c r="E1334" s="18">
        <f>SUMIFS(Cashflows!$X$8:$X$1038,Cashflows!$A$8:$A$1038,$B1334,Cashflows!$F$8:$F$1038,"PNL",Cashflows!$K$8:$K$1038,"&lt;="&amp;$A1334)</f>
        <v/>
      </c>
      <c r="F1334" s="18">
        <f>SUMIFS(MTM_Daily!$AO$6:$AO$1238,MTM_Daily!$B$6:$B$1238,$B1334,MTM_Daily!$A$6:$A$1238,$A1334,MTM_Daily!$L$6:$L$1238,"PNL")</f>
        <v/>
      </c>
      <c r="G1334" s="18">
        <f>$E1334+$C1334+$F1334</f>
        <v/>
      </c>
      <c r="H1334" s="18">
        <f>$G1334-$D1334</f>
        <v/>
      </c>
      <c r="I1334" s="8">
        <f>IF(ABS($H1334)&lt;=tol_trade_inr,"PASS","FAIL")</f>
        <v/>
      </c>
    </row>
    <row r="1335">
      <c r="A1335" s="11" t="n">
        <v>44690</v>
      </c>
      <c r="B1335" s="7" t="inlineStr">
        <is>
          <t>T03</t>
        </is>
      </c>
      <c r="C1335" s="9" t="n">
        <v>-1052975.92</v>
      </c>
      <c r="D1335" s="9" t="n">
        <v>31062960.65</v>
      </c>
      <c r="E1335" s="18">
        <f>SUMIFS(Cashflows!$X$8:$X$1038,Cashflows!$A$8:$A$1038,$B1335,Cashflows!$F$8:$F$1038,"PNL",Cashflows!$K$8:$K$1038,"&lt;="&amp;$A1335)</f>
        <v/>
      </c>
      <c r="F1335" s="18">
        <f>SUMIFS(MTM_Daily!$AO$6:$AO$1238,MTM_Daily!$B$6:$B$1238,$B1335,MTM_Daily!$A$6:$A$1238,$A1335,MTM_Daily!$L$6:$L$1238,"PNL")</f>
        <v/>
      </c>
      <c r="G1335" s="18">
        <f>$E1335+$C1335+$F1335</f>
        <v/>
      </c>
      <c r="H1335" s="18">
        <f>$G1335-$D1335</f>
        <v/>
      </c>
      <c r="I1335" s="8">
        <f>IF(ABS($H1335)&lt;=tol_trade_inr,"PASS","FAIL")</f>
        <v/>
      </c>
    </row>
    <row r="1336">
      <c r="A1336" s="11" t="n">
        <v>44690</v>
      </c>
      <c r="B1336" s="7" t="inlineStr">
        <is>
          <t>T04</t>
        </is>
      </c>
      <c r="C1336" s="9" t="n">
        <v>-192658.02</v>
      </c>
      <c r="D1336" s="9" t="n">
        <v>-6771891.14</v>
      </c>
      <c r="E1336" s="18">
        <f>SUMIFS(Cashflows!$X$8:$X$1038,Cashflows!$A$8:$A$1038,$B1336,Cashflows!$F$8:$F$1038,"PNL",Cashflows!$K$8:$K$1038,"&lt;="&amp;$A1336)</f>
        <v/>
      </c>
      <c r="F1336" s="18">
        <f>SUMIFS(MTM_Daily!$AO$6:$AO$1238,MTM_Daily!$B$6:$B$1238,$B1336,MTM_Daily!$A$6:$A$1238,$A1336,MTM_Daily!$L$6:$L$1238,"PNL")</f>
        <v/>
      </c>
      <c r="G1336" s="18">
        <f>$E1336+$C1336+$F1336</f>
        <v/>
      </c>
      <c r="H1336" s="18">
        <f>$G1336-$D1336</f>
        <v/>
      </c>
      <c r="I1336" s="8">
        <f>IF(ABS($H1336)&lt;=tol_trade_inr,"PASS","FAIL")</f>
        <v/>
      </c>
    </row>
    <row r="1337">
      <c r="A1337" s="11" t="n">
        <v>44690</v>
      </c>
      <c r="B1337" s="7" t="inlineStr">
        <is>
          <t>T05</t>
        </is>
      </c>
      <c r="C1337" s="9" t="n">
        <v>-23973.24</v>
      </c>
      <c r="D1337" s="9" t="n">
        <v>45665573.77</v>
      </c>
      <c r="E1337" s="18">
        <f>SUMIFS(Cashflows!$X$8:$X$1038,Cashflows!$A$8:$A$1038,$B1337,Cashflows!$F$8:$F$1038,"PNL",Cashflows!$K$8:$K$1038,"&lt;="&amp;$A1337)</f>
        <v/>
      </c>
      <c r="F1337" s="18">
        <f>SUMIFS(MTM_Daily!$AO$6:$AO$1238,MTM_Daily!$B$6:$B$1238,$B1337,MTM_Daily!$A$6:$A$1238,$A1337,MTM_Daily!$L$6:$L$1238,"PNL")</f>
        <v/>
      </c>
      <c r="G1337" s="18">
        <f>$E1337+$C1337+$F1337</f>
        <v/>
      </c>
      <c r="H1337" s="18">
        <f>$G1337-$D1337</f>
        <v/>
      </c>
      <c r="I1337" s="8">
        <f>IF(ABS($H1337)&lt;=tol_trade_inr,"PASS","FAIL")</f>
        <v/>
      </c>
    </row>
    <row r="1338">
      <c r="A1338" s="11" t="n">
        <v>44690</v>
      </c>
      <c r="B1338" s="7" t="inlineStr">
        <is>
          <t>T06</t>
        </is>
      </c>
      <c r="C1338" s="9" t="n">
        <v>0</v>
      </c>
      <c r="D1338" s="9" t="n">
        <v>0</v>
      </c>
      <c r="E1338" s="18">
        <f>SUMIFS(Cashflows!$X$8:$X$1038,Cashflows!$A$8:$A$1038,$B1338,Cashflows!$F$8:$F$1038,"PNL",Cashflows!$K$8:$K$1038,"&lt;="&amp;$A1338)</f>
        <v/>
      </c>
      <c r="F1338" s="18">
        <f>SUMIFS(MTM_Daily!$AO$6:$AO$1238,MTM_Daily!$B$6:$B$1238,$B1338,MTM_Daily!$A$6:$A$1238,$A1338,MTM_Daily!$L$6:$L$1238,"PNL")</f>
        <v/>
      </c>
      <c r="G1338" s="18">
        <f>$E1338+$C1338+$F1338</f>
        <v/>
      </c>
      <c r="H1338" s="18">
        <f>$G1338-$D1338</f>
        <v/>
      </c>
      <c r="I1338" s="8">
        <f>IF(ABS($H1338)&lt;=tol_trade_inr,"PASS","FAIL")</f>
        <v/>
      </c>
    </row>
    <row r="1339">
      <c r="A1339" s="11" t="n">
        <v>44690</v>
      </c>
      <c r="B1339" s="7" t="inlineStr">
        <is>
          <t>T07</t>
        </is>
      </c>
      <c r="C1339" s="9" t="n">
        <v>0</v>
      </c>
      <c r="D1339" s="9" t="n">
        <v>0</v>
      </c>
      <c r="E1339" s="18">
        <f>SUMIFS(Cashflows!$X$8:$X$1038,Cashflows!$A$8:$A$1038,$B1339,Cashflows!$F$8:$F$1038,"PNL",Cashflows!$K$8:$K$1038,"&lt;="&amp;$A1339)</f>
        <v/>
      </c>
      <c r="F1339" s="18">
        <f>SUMIFS(MTM_Daily!$AO$6:$AO$1238,MTM_Daily!$B$6:$B$1238,$B1339,MTM_Daily!$A$6:$A$1238,$A1339,MTM_Daily!$L$6:$L$1238,"PNL")</f>
        <v/>
      </c>
      <c r="G1339" s="18">
        <f>$E1339+$C1339+$F1339</f>
        <v/>
      </c>
      <c r="H1339" s="18">
        <f>$G1339-$D1339</f>
        <v/>
      </c>
      <c r="I1339" s="8">
        <f>IF(ABS($H1339)&lt;=tol_trade_inr,"PASS","FAIL")</f>
        <v/>
      </c>
    </row>
    <row r="1340">
      <c r="A1340" s="11" t="n">
        <v>44690</v>
      </c>
      <c r="B1340" s="7" t="inlineStr">
        <is>
          <t>T08</t>
        </is>
      </c>
      <c r="C1340" s="9" t="n">
        <v>0</v>
      </c>
      <c r="D1340" s="9" t="n">
        <v>0</v>
      </c>
      <c r="E1340" s="18">
        <f>SUMIFS(Cashflows!$X$8:$X$1038,Cashflows!$A$8:$A$1038,$B1340,Cashflows!$F$8:$F$1038,"PNL",Cashflows!$K$8:$K$1038,"&lt;="&amp;$A1340)</f>
        <v/>
      </c>
      <c r="F1340" s="18">
        <f>SUMIFS(MTM_Daily!$AO$6:$AO$1238,MTM_Daily!$B$6:$B$1238,$B1340,MTM_Daily!$A$6:$A$1238,$A1340,MTM_Daily!$L$6:$L$1238,"PNL")</f>
        <v/>
      </c>
      <c r="G1340" s="18">
        <f>$E1340+$C1340+$F1340</f>
        <v/>
      </c>
      <c r="H1340" s="18">
        <f>$G1340-$D1340</f>
        <v/>
      </c>
      <c r="I1340" s="8">
        <f>IF(ABS($H1340)&lt;=tol_trade_inr,"PASS","FAIL")</f>
        <v/>
      </c>
    </row>
    <row r="1341">
      <c r="A1341" s="11" t="n">
        <v>44690</v>
      </c>
      <c r="B1341" s="7" t="inlineStr">
        <is>
          <t>T09</t>
        </is>
      </c>
      <c r="C1341" s="9" t="n">
        <v>0</v>
      </c>
      <c r="D1341" s="9" t="n">
        <v>0</v>
      </c>
      <c r="E1341" s="18">
        <f>SUMIFS(Cashflows!$X$8:$X$1038,Cashflows!$A$8:$A$1038,$B1341,Cashflows!$F$8:$F$1038,"PNL",Cashflows!$K$8:$K$1038,"&lt;="&amp;$A1341)</f>
        <v/>
      </c>
      <c r="F1341" s="18">
        <f>SUMIFS(MTM_Daily!$AO$6:$AO$1238,MTM_Daily!$B$6:$B$1238,$B1341,MTM_Daily!$A$6:$A$1238,$A1341,MTM_Daily!$L$6:$L$1238,"PNL")</f>
        <v/>
      </c>
      <c r="G1341" s="18">
        <f>$E1341+$C1341+$F1341</f>
        <v/>
      </c>
      <c r="H1341" s="18">
        <f>$G1341-$D1341</f>
        <v/>
      </c>
      <c r="I1341" s="8">
        <f>IF(ABS($H1341)&lt;=tol_trade_inr,"PASS","FAIL")</f>
        <v/>
      </c>
    </row>
    <row r="1342">
      <c r="A1342" s="11" t="n">
        <v>44691</v>
      </c>
      <c r="B1342" s="7" t="inlineStr">
        <is>
          <t>T01</t>
        </is>
      </c>
      <c r="C1342" s="9" t="n">
        <v>-3633011.9</v>
      </c>
      <c r="D1342" s="9" t="n">
        <v>67151121.89</v>
      </c>
      <c r="E1342" s="18">
        <f>SUMIFS(Cashflows!$X$8:$X$1038,Cashflows!$A$8:$A$1038,$B1342,Cashflows!$F$8:$F$1038,"PNL",Cashflows!$K$8:$K$1038,"&lt;="&amp;$A1342)</f>
        <v/>
      </c>
      <c r="F1342" s="18">
        <f>SUMIFS(MTM_Daily!$AO$6:$AO$1238,MTM_Daily!$B$6:$B$1238,$B1342,MTM_Daily!$A$6:$A$1238,$A1342,MTM_Daily!$L$6:$L$1238,"PNL")</f>
        <v/>
      </c>
      <c r="G1342" s="18">
        <f>$E1342+$C1342+$F1342</f>
        <v/>
      </c>
      <c r="H1342" s="18">
        <f>$G1342-$D1342</f>
        <v/>
      </c>
      <c r="I1342" s="8">
        <f>IF(ABS($H1342)&lt;=tol_trade_inr,"PASS","FAIL")</f>
        <v/>
      </c>
    </row>
    <row r="1343">
      <c r="A1343" s="11" t="n">
        <v>44691</v>
      </c>
      <c r="B1343" s="7" t="inlineStr">
        <is>
          <t>T02</t>
        </is>
      </c>
      <c r="C1343" s="9" t="n">
        <v>-434164</v>
      </c>
      <c r="D1343" s="9" t="n">
        <v>45088869.01</v>
      </c>
      <c r="E1343" s="18">
        <f>SUMIFS(Cashflows!$X$8:$X$1038,Cashflows!$A$8:$A$1038,$B1343,Cashflows!$F$8:$F$1038,"PNL",Cashflows!$K$8:$K$1038,"&lt;="&amp;$A1343)</f>
        <v/>
      </c>
      <c r="F1343" s="18">
        <f>SUMIFS(MTM_Daily!$AO$6:$AO$1238,MTM_Daily!$B$6:$B$1238,$B1343,MTM_Daily!$A$6:$A$1238,$A1343,MTM_Daily!$L$6:$L$1238,"PNL")</f>
        <v/>
      </c>
      <c r="G1343" s="18">
        <f>$E1343+$C1343+$F1343</f>
        <v/>
      </c>
      <c r="H1343" s="18">
        <f>$G1343-$D1343</f>
        <v/>
      </c>
      <c r="I1343" s="8">
        <f>IF(ABS($H1343)&lt;=tol_trade_inr,"PASS","FAIL")</f>
        <v/>
      </c>
    </row>
    <row r="1344">
      <c r="A1344" s="11" t="n">
        <v>44691</v>
      </c>
      <c r="B1344" s="7" t="inlineStr">
        <is>
          <t>T03</t>
        </is>
      </c>
      <c r="C1344" s="9" t="n">
        <v>-1119157.41</v>
      </c>
      <c r="D1344" s="9" t="n">
        <v>30996779.16</v>
      </c>
      <c r="E1344" s="18">
        <f>SUMIFS(Cashflows!$X$8:$X$1038,Cashflows!$A$8:$A$1038,$B1344,Cashflows!$F$8:$F$1038,"PNL",Cashflows!$K$8:$K$1038,"&lt;="&amp;$A1344)</f>
        <v/>
      </c>
      <c r="F1344" s="18">
        <f>SUMIFS(MTM_Daily!$AO$6:$AO$1238,MTM_Daily!$B$6:$B$1238,$B1344,MTM_Daily!$A$6:$A$1238,$A1344,MTM_Daily!$L$6:$L$1238,"PNL")</f>
        <v/>
      </c>
      <c r="G1344" s="18">
        <f>$E1344+$C1344+$F1344</f>
        <v/>
      </c>
      <c r="H1344" s="18">
        <f>$G1344-$D1344</f>
        <v/>
      </c>
      <c r="I1344" s="8">
        <f>IF(ABS($H1344)&lt;=tol_trade_inr,"PASS","FAIL")</f>
        <v/>
      </c>
    </row>
    <row r="1345">
      <c r="A1345" s="11" t="n">
        <v>44691</v>
      </c>
      <c r="B1345" s="7" t="inlineStr">
        <is>
          <t>T04</t>
        </is>
      </c>
      <c r="C1345" s="9" t="n">
        <v>-222117.21</v>
      </c>
      <c r="D1345" s="9" t="n">
        <v>-8132912.34</v>
      </c>
      <c r="E1345" s="18">
        <f>SUMIFS(Cashflows!$X$8:$X$1038,Cashflows!$A$8:$A$1038,$B1345,Cashflows!$F$8:$F$1038,"PNL",Cashflows!$K$8:$K$1038,"&lt;="&amp;$A1345)</f>
        <v/>
      </c>
      <c r="F1345" s="18">
        <f>SUMIFS(MTM_Daily!$AO$6:$AO$1238,MTM_Daily!$B$6:$B$1238,$B1345,MTM_Daily!$A$6:$A$1238,$A1345,MTM_Daily!$L$6:$L$1238,"PNL")</f>
        <v/>
      </c>
      <c r="G1345" s="18">
        <f>$E1345+$C1345+$F1345</f>
        <v/>
      </c>
      <c r="H1345" s="18">
        <f>$G1345-$D1345</f>
        <v/>
      </c>
      <c r="I1345" s="8">
        <f>IF(ABS($H1345)&lt;=tol_trade_inr,"PASS","FAIL")</f>
        <v/>
      </c>
    </row>
    <row r="1346">
      <c r="A1346" s="11" t="n">
        <v>44691</v>
      </c>
      <c r="B1346" s="7" t="inlineStr">
        <is>
          <t>T05</t>
        </is>
      </c>
      <c r="C1346" s="9" t="n">
        <v>-21562.68</v>
      </c>
      <c r="D1346" s="9" t="n">
        <v>45715839.51</v>
      </c>
      <c r="E1346" s="18">
        <f>SUMIFS(Cashflows!$X$8:$X$1038,Cashflows!$A$8:$A$1038,$B1346,Cashflows!$F$8:$F$1038,"PNL",Cashflows!$K$8:$K$1038,"&lt;="&amp;$A1346)</f>
        <v/>
      </c>
      <c r="F1346" s="18">
        <f>SUMIFS(MTM_Daily!$AO$6:$AO$1238,MTM_Daily!$B$6:$B$1238,$B1346,MTM_Daily!$A$6:$A$1238,$A1346,MTM_Daily!$L$6:$L$1238,"PNL")</f>
        <v/>
      </c>
      <c r="G1346" s="18">
        <f>$E1346+$C1346+$F1346</f>
        <v/>
      </c>
      <c r="H1346" s="18">
        <f>$G1346-$D1346</f>
        <v/>
      </c>
      <c r="I1346" s="8">
        <f>IF(ABS($H1346)&lt;=tol_trade_inr,"PASS","FAIL")</f>
        <v/>
      </c>
    </row>
    <row r="1347">
      <c r="A1347" s="11" t="n">
        <v>44691</v>
      </c>
      <c r="B1347" s="7" t="inlineStr">
        <is>
          <t>T06</t>
        </is>
      </c>
      <c r="C1347" s="9" t="n">
        <v>0</v>
      </c>
      <c r="D1347" s="9" t="n">
        <v>782484.08</v>
      </c>
      <c r="E1347" s="18">
        <f>SUMIFS(Cashflows!$X$8:$X$1038,Cashflows!$A$8:$A$1038,$B1347,Cashflows!$F$8:$F$1038,"PNL",Cashflows!$K$8:$K$1038,"&lt;="&amp;$A1347)</f>
        <v/>
      </c>
      <c r="F1347" s="18">
        <f>SUMIFS(MTM_Daily!$AO$6:$AO$1238,MTM_Daily!$B$6:$B$1238,$B1347,MTM_Daily!$A$6:$A$1238,$A1347,MTM_Daily!$L$6:$L$1238,"PNL")</f>
        <v/>
      </c>
      <c r="G1347" s="18">
        <f>$E1347+$C1347+$F1347</f>
        <v/>
      </c>
      <c r="H1347" s="18">
        <f>$G1347-$D1347</f>
        <v/>
      </c>
      <c r="I1347" s="8">
        <f>IF(ABS($H1347)&lt;=tol_trade_inr,"PASS","FAIL")</f>
        <v/>
      </c>
    </row>
    <row r="1348">
      <c r="A1348" s="11" t="n">
        <v>44691</v>
      </c>
      <c r="B1348" s="7" t="inlineStr">
        <is>
          <t>T07</t>
        </is>
      </c>
      <c r="C1348" s="9" t="n">
        <v>0</v>
      </c>
      <c r="D1348" s="9" t="n">
        <v>0</v>
      </c>
      <c r="E1348" s="18">
        <f>SUMIFS(Cashflows!$X$8:$X$1038,Cashflows!$A$8:$A$1038,$B1348,Cashflows!$F$8:$F$1038,"PNL",Cashflows!$K$8:$K$1038,"&lt;="&amp;$A1348)</f>
        <v/>
      </c>
      <c r="F1348" s="18">
        <f>SUMIFS(MTM_Daily!$AO$6:$AO$1238,MTM_Daily!$B$6:$B$1238,$B1348,MTM_Daily!$A$6:$A$1238,$A1348,MTM_Daily!$L$6:$L$1238,"PNL")</f>
        <v/>
      </c>
      <c r="G1348" s="18">
        <f>$E1348+$C1348+$F1348</f>
        <v/>
      </c>
      <c r="H1348" s="18">
        <f>$G1348-$D1348</f>
        <v/>
      </c>
      <c r="I1348" s="8">
        <f>IF(ABS($H1348)&lt;=tol_trade_inr,"PASS","FAIL")</f>
        <v/>
      </c>
    </row>
    <row r="1349">
      <c r="A1349" s="11" t="n">
        <v>44691</v>
      </c>
      <c r="B1349" s="7" t="inlineStr">
        <is>
          <t>T08</t>
        </is>
      </c>
      <c r="C1349" s="9" t="n">
        <v>0</v>
      </c>
      <c r="D1349" s="9" t="n">
        <v>0</v>
      </c>
      <c r="E1349" s="18">
        <f>SUMIFS(Cashflows!$X$8:$X$1038,Cashflows!$A$8:$A$1038,$B1349,Cashflows!$F$8:$F$1038,"PNL",Cashflows!$K$8:$K$1038,"&lt;="&amp;$A1349)</f>
        <v/>
      </c>
      <c r="F1349" s="18">
        <f>SUMIFS(MTM_Daily!$AO$6:$AO$1238,MTM_Daily!$B$6:$B$1238,$B1349,MTM_Daily!$A$6:$A$1238,$A1349,MTM_Daily!$L$6:$L$1238,"PNL")</f>
        <v/>
      </c>
      <c r="G1349" s="18">
        <f>$E1349+$C1349+$F1349</f>
        <v/>
      </c>
      <c r="H1349" s="18">
        <f>$G1349-$D1349</f>
        <v/>
      </c>
      <c r="I1349" s="8">
        <f>IF(ABS($H1349)&lt;=tol_trade_inr,"PASS","FAIL")</f>
        <v/>
      </c>
    </row>
    <row r="1350">
      <c r="A1350" s="11" t="n">
        <v>44691</v>
      </c>
      <c r="B1350" s="7" t="inlineStr">
        <is>
          <t>T09</t>
        </is>
      </c>
      <c r="C1350" s="9" t="n">
        <v>0</v>
      </c>
      <c r="D1350" s="9" t="n">
        <v>0</v>
      </c>
      <c r="E1350" s="18">
        <f>SUMIFS(Cashflows!$X$8:$X$1038,Cashflows!$A$8:$A$1038,$B1350,Cashflows!$F$8:$F$1038,"PNL",Cashflows!$K$8:$K$1038,"&lt;="&amp;$A1350)</f>
        <v/>
      </c>
      <c r="F1350" s="18">
        <f>SUMIFS(MTM_Daily!$AO$6:$AO$1238,MTM_Daily!$B$6:$B$1238,$B1350,MTM_Daily!$A$6:$A$1238,$A1350,MTM_Daily!$L$6:$L$1238,"PNL")</f>
        <v/>
      </c>
      <c r="G1350" s="18">
        <f>$E1350+$C1350+$F1350</f>
        <v/>
      </c>
      <c r="H1350" s="18">
        <f>$G1350-$D1350</f>
        <v/>
      </c>
      <c r="I1350" s="8">
        <f>IF(ABS($H1350)&lt;=tol_trade_inr,"PASS","FAIL")</f>
        <v/>
      </c>
    </row>
    <row r="1351">
      <c r="A1351" s="11" t="n">
        <v>44706</v>
      </c>
      <c r="B1351" s="7" t="inlineStr">
        <is>
          <t>T01</t>
        </is>
      </c>
      <c r="C1351" s="9" t="n">
        <v>-5209864.46</v>
      </c>
      <c r="D1351" s="9" t="n">
        <v>65646497.63</v>
      </c>
      <c r="E1351" s="18">
        <f>SUMIFS(Cashflows!$X$8:$X$1038,Cashflows!$A$8:$A$1038,$B1351,Cashflows!$F$8:$F$1038,"PNL",Cashflows!$K$8:$K$1038,"&lt;="&amp;$A1351)</f>
        <v/>
      </c>
      <c r="F1351" s="18">
        <f>SUMIFS(MTM_Daily!$AO$6:$AO$1238,MTM_Daily!$B$6:$B$1238,$B1351,MTM_Daily!$A$6:$A$1238,$A1351,MTM_Daily!$L$6:$L$1238,"PNL")</f>
        <v/>
      </c>
      <c r="G1351" s="18">
        <f>$E1351+$C1351+$F1351</f>
        <v/>
      </c>
      <c r="H1351" s="18">
        <f>$G1351-$D1351</f>
        <v/>
      </c>
      <c r="I1351" s="8">
        <f>IF(ABS($H1351)&lt;=tol_trade_inr,"PASS","FAIL")</f>
        <v/>
      </c>
    </row>
    <row r="1352">
      <c r="A1352" s="11" t="n">
        <v>44706</v>
      </c>
      <c r="B1352" s="7" t="inlineStr">
        <is>
          <t>T02</t>
        </is>
      </c>
      <c r="C1352" s="9" t="n">
        <v>-663169.02</v>
      </c>
      <c r="D1352" s="9" t="n">
        <v>48489546.65</v>
      </c>
      <c r="E1352" s="18">
        <f>SUMIFS(Cashflows!$X$8:$X$1038,Cashflows!$A$8:$A$1038,$B1352,Cashflows!$F$8:$F$1038,"PNL",Cashflows!$K$8:$K$1038,"&lt;="&amp;$A1352)</f>
        <v/>
      </c>
      <c r="F1352" s="18">
        <f>SUMIFS(MTM_Daily!$AO$6:$AO$1238,MTM_Daily!$B$6:$B$1238,$B1352,MTM_Daily!$A$6:$A$1238,$A1352,MTM_Daily!$L$6:$L$1238,"PNL")</f>
        <v/>
      </c>
      <c r="G1352" s="18">
        <f>$E1352+$C1352+$F1352</f>
        <v/>
      </c>
      <c r="H1352" s="18">
        <f>$G1352-$D1352</f>
        <v/>
      </c>
      <c r="I1352" s="8">
        <f>IF(ABS($H1352)&lt;=tol_trade_inr,"PASS","FAIL")</f>
        <v/>
      </c>
    </row>
    <row r="1353">
      <c r="A1353" s="11" t="n">
        <v>44706</v>
      </c>
      <c r="B1353" s="7" t="inlineStr">
        <is>
          <t>T03</t>
        </is>
      </c>
      <c r="C1353" s="9" t="n">
        <v>-2118084.29</v>
      </c>
      <c r="D1353" s="9" t="n">
        <v>29997852.28</v>
      </c>
      <c r="E1353" s="18">
        <f>SUMIFS(Cashflows!$X$8:$X$1038,Cashflows!$A$8:$A$1038,$B1353,Cashflows!$F$8:$F$1038,"PNL",Cashflows!$K$8:$K$1038,"&lt;="&amp;$A1353)</f>
        <v/>
      </c>
      <c r="F1353" s="18">
        <f>SUMIFS(MTM_Daily!$AO$6:$AO$1238,MTM_Daily!$B$6:$B$1238,$B1353,MTM_Daily!$A$6:$A$1238,$A1353,MTM_Daily!$L$6:$L$1238,"PNL")</f>
        <v/>
      </c>
      <c r="G1353" s="18">
        <f>$E1353+$C1353+$F1353</f>
        <v/>
      </c>
      <c r="H1353" s="18">
        <f>$G1353-$D1353</f>
        <v/>
      </c>
      <c r="I1353" s="8">
        <f>IF(ABS($H1353)&lt;=tol_trade_inr,"PASS","FAIL")</f>
        <v/>
      </c>
    </row>
    <row r="1354">
      <c r="A1354" s="11" t="n">
        <v>44706</v>
      </c>
      <c r="B1354" s="7" t="inlineStr">
        <is>
          <t>T04</t>
        </is>
      </c>
      <c r="C1354" s="9" t="n">
        <v>-1112555.13</v>
      </c>
      <c r="D1354" s="9" t="n">
        <v>8792707.390000001</v>
      </c>
      <c r="E1354" s="18">
        <f>SUMIFS(Cashflows!$X$8:$X$1038,Cashflows!$A$8:$A$1038,$B1354,Cashflows!$F$8:$F$1038,"PNL",Cashflows!$K$8:$K$1038,"&lt;="&amp;$A1354)</f>
        <v/>
      </c>
      <c r="F1354" s="18">
        <f>SUMIFS(MTM_Daily!$AO$6:$AO$1238,MTM_Daily!$B$6:$B$1238,$B1354,MTM_Daily!$A$6:$A$1238,$A1354,MTM_Daily!$L$6:$L$1238,"PNL")</f>
        <v/>
      </c>
      <c r="G1354" s="18">
        <f>$E1354+$C1354+$F1354</f>
        <v/>
      </c>
      <c r="H1354" s="18">
        <f>$G1354-$D1354</f>
        <v/>
      </c>
      <c r="I1354" s="8">
        <f>IF(ABS($H1354)&lt;=tol_trade_inr,"PASS","FAIL")</f>
        <v/>
      </c>
    </row>
    <row r="1355">
      <c r="A1355" s="11" t="n">
        <v>44706</v>
      </c>
      <c r="B1355" s="7" t="inlineStr">
        <is>
          <t>T05</t>
        </is>
      </c>
      <c r="C1355" s="9" t="n">
        <v>-7700.84</v>
      </c>
      <c r="D1355" s="9" t="n">
        <v>46300677.66</v>
      </c>
      <c r="E1355" s="18">
        <f>SUMIFS(Cashflows!$X$8:$X$1038,Cashflows!$A$8:$A$1038,$B1355,Cashflows!$F$8:$F$1038,"PNL",Cashflows!$K$8:$K$1038,"&lt;="&amp;$A1355)</f>
        <v/>
      </c>
      <c r="F1355" s="18">
        <f>SUMIFS(MTM_Daily!$AO$6:$AO$1238,MTM_Daily!$B$6:$B$1238,$B1355,MTM_Daily!$A$6:$A$1238,$A1355,MTM_Daily!$L$6:$L$1238,"PNL")</f>
        <v/>
      </c>
      <c r="G1355" s="18">
        <f>$E1355+$C1355+$F1355</f>
        <v/>
      </c>
      <c r="H1355" s="18">
        <f>$G1355-$D1355</f>
        <v/>
      </c>
      <c r="I1355" s="8">
        <f>IF(ABS($H1355)&lt;=tol_trade_inr,"PASS","FAIL")</f>
        <v/>
      </c>
    </row>
    <row r="1356">
      <c r="A1356" s="11" t="n">
        <v>44706</v>
      </c>
      <c r="B1356" s="7" t="inlineStr">
        <is>
          <t>T06</t>
        </is>
      </c>
      <c r="C1356" s="9" t="n">
        <v>-127392.95</v>
      </c>
      <c r="D1356" s="9" t="n">
        <v>7469251.33</v>
      </c>
      <c r="E1356" s="18">
        <f>SUMIFS(Cashflows!$X$8:$X$1038,Cashflows!$A$8:$A$1038,$B1356,Cashflows!$F$8:$F$1038,"PNL",Cashflows!$K$8:$K$1038,"&lt;="&amp;$A1356)</f>
        <v/>
      </c>
      <c r="F1356" s="18">
        <f>SUMIFS(MTM_Daily!$AO$6:$AO$1238,MTM_Daily!$B$6:$B$1238,$B1356,MTM_Daily!$A$6:$A$1238,$A1356,MTM_Daily!$L$6:$L$1238,"PNL")</f>
        <v/>
      </c>
      <c r="G1356" s="18">
        <f>$E1356+$C1356+$F1356</f>
        <v/>
      </c>
      <c r="H1356" s="18">
        <f>$G1356-$D1356</f>
        <v/>
      </c>
      <c r="I1356" s="8">
        <f>IF(ABS($H1356)&lt;=tol_trade_inr,"PASS","FAIL")</f>
        <v/>
      </c>
    </row>
    <row r="1357">
      <c r="A1357" s="11" t="n">
        <v>44706</v>
      </c>
      <c r="B1357" s="7" t="inlineStr">
        <is>
          <t>T07</t>
        </is>
      </c>
      <c r="C1357" s="9" t="n">
        <v>0</v>
      </c>
      <c r="D1357" s="9" t="n">
        <v>1437833.12</v>
      </c>
      <c r="E1357" s="18">
        <f>SUMIFS(Cashflows!$X$8:$X$1038,Cashflows!$A$8:$A$1038,$B1357,Cashflows!$F$8:$F$1038,"PNL",Cashflows!$K$8:$K$1038,"&lt;="&amp;$A1357)</f>
        <v/>
      </c>
      <c r="F1357" s="18">
        <f>SUMIFS(MTM_Daily!$AO$6:$AO$1238,MTM_Daily!$B$6:$B$1238,$B1357,MTM_Daily!$A$6:$A$1238,$A1357,MTM_Daily!$L$6:$L$1238,"PNL")</f>
        <v/>
      </c>
      <c r="G1357" s="18">
        <f>$E1357+$C1357+$F1357</f>
        <v/>
      </c>
      <c r="H1357" s="18">
        <f>$G1357-$D1357</f>
        <v/>
      </c>
      <c r="I1357" s="8">
        <f>IF(ABS($H1357)&lt;=tol_trade_inr,"PASS","FAIL")</f>
        <v/>
      </c>
    </row>
    <row r="1358">
      <c r="A1358" s="11" t="n">
        <v>44706</v>
      </c>
      <c r="B1358" s="7" t="inlineStr">
        <is>
          <t>T08</t>
        </is>
      </c>
      <c r="C1358" s="9" t="n">
        <v>0</v>
      </c>
      <c r="D1358" s="9" t="n">
        <v>0</v>
      </c>
      <c r="E1358" s="18">
        <f>SUMIFS(Cashflows!$X$8:$X$1038,Cashflows!$A$8:$A$1038,$B1358,Cashflows!$F$8:$F$1038,"PNL",Cashflows!$K$8:$K$1038,"&lt;="&amp;$A1358)</f>
        <v/>
      </c>
      <c r="F1358" s="18">
        <f>SUMIFS(MTM_Daily!$AO$6:$AO$1238,MTM_Daily!$B$6:$B$1238,$B1358,MTM_Daily!$A$6:$A$1238,$A1358,MTM_Daily!$L$6:$L$1238,"PNL")</f>
        <v/>
      </c>
      <c r="G1358" s="18">
        <f>$E1358+$C1358+$F1358</f>
        <v/>
      </c>
      <c r="H1358" s="18">
        <f>$G1358-$D1358</f>
        <v/>
      </c>
      <c r="I1358" s="8">
        <f>IF(ABS($H1358)&lt;=tol_trade_inr,"PASS","FAIL")</f>
        <v/>
      </c>
    </row>
    <row r="1359">
      <c r="A1359" s="11" t="n">
        <v>44706</v>
      </c>
      <c r="B1359" s="7" t="inlineStr">
        <is>
          <t>T09</t>
        </is>
      </c>
      <c r="C1359" s="9" t="n">
        <v>0</v>
      </c>
      <c r="D1359" s="9" t="n">
        <v>0</v>
      </c>
      <c r="E1359" s="18">
        <f>SUMIFS(Cashflows!$X$8:$X$1038,Cashflows!$A$8:$A$1038,$B1359,Cashflows!$F$8:$F$1038,"PNL",Cashflows!$K$8:$K$1038,"&lt;="&amp;$A1359)</f>
        <v/>
      </c>
      <c r="F1359" s="18">
        <f>SUMIFS(MTM_Daily!$AO$6:$AO$1238,MTM_Daily!$B$6:$B$1238,$B1359,MTM_Daily!$A$6:$A$1238,$A1359,MTM_Daily!$L$6:$L$1238,"PNL")</f>
        <v/>
      </c>
      <c r="G1359" s="18">
        <f>$E1359+$C1359+$F1359</f>
        <v/>
      </c>
      <c r="H1359" s="18">
        <f>$G1359-$D1359</f>
        <v/>
      </c>
      <c r="I1359" s="8">
        <f>IF(ABS($H1359)&lt;=tol_trade_inr,"PASS","FAIL")</f>
        <v/>
      </c>
    </row>
    <row r="1360">
      <c r="A1360" s="11" t="n">
        <v>44712</v>
      </c>
      <c r="B1360" s="7" t="inlineStr">
        <is>
          <t>T01</t>
        </is>
      </c>
      <c r="C1360" s="9" t="n">
        <v>-5504979.44</v>
      </c>
      <c r="D1360" s="9" t="n">
        <v>65351382.65</v>
      </c>
      <c r="E1360" s="18">
        <f>SUMIFS(Cashflows!$X$8:$X$1038,Cashflows!$A$8:$A$1038,$B1360,Cashflows!$F$8:$F$1038,"PNL",Cashflows!$K$8:$K$1038,"&lt;="&amp;$A1360)</f>
        <v/>
      </c>
      <c r="F1360" s="18">
        <f>SUMIFS(MTM_Daily!$AO$6:$AO$1238,MTM_Daily!$B$6:$B$1238,$B1360,MTM_Daily!$A$6:$A$1238,$A1360,MTM_Daily!$L$6:$L$1238,"PNL")</f>
        <v/>
      </c>
      <c r="G1360" s="18">
        <f>$E1360+$C1360+$F1360</f>
        <v/>
      </c>
      <c r="H1360" s="18">
        <f>$G1360-$D1360</f>
        <v/>
      </c>
      <c r="I1360" s="8">
        <f>IF(ABS($H1360)&lt;=tol_trade_inr,"PASS","FAIL")</f>
        <v/>
      </c>
    </row>
    <row r="1361">
      <c r="A1361" s="11" t="n">
        <v>44712</v>
      </c>
      <c r="B1361" s="7" t="inlineStr">
        <is>
          <t>T02</t>
        </is>
      </c>
      <c r="C1361" s="9" t="n">
        <v>-653268.23</v>
      </c>
      <c r="D1361" s="9" t="n">
        <v>48498051.62</v>
      </c>
      <c r="E1361" s="18">
        <f>SUMIFS(Cashflows!$X$8:$X$1038,Cashflows!$A$8:$A$1038,$B1361,Cashflows!$F$8:$F$1038,"PNL",Cashflows!$K$8:$K$1038,"&lt;="&amp;$A1361)</f>
        <v/>
      </c>
      <c r="F1361" s="18">
        <f>SUMIFS(MTM_Daily!$AO$6:$AO$1238,MTM_Daily!$B$6:$B$1238,$B1361,MTM_Daily!$A$6:$A$1238,$A1361,MTM_Daily!$L$6:$L$1238,"PNL")</f>
        <v/>
      </c>
      <c r="G1361" s="18">
        <f>$E1361+$C1361+$F1361</f>
        <v/>
      </c>
      <c r="H1361" s="18">
        <f>$G1361-$D1361</f>
        <v/>
      </c>
      <c r="I1361" s="8">
        <f>IF(ABS($H1361)&lt;=tol_trade_inr,"PASS","FAIL")</f>
        <v/>
      </c>
    </row>
    <row r="1362">
      <c r="A1362" s="11" t="n">
        <v>44712</v>
      </c>
      <c r="B1362" s="7" t="inlineStr">
        <is>
          <t>T03</t>
        </is>
      </c>
      <c r="C1362" s="9" t="n">
        <v>-2519309.58</v>
      </c>
      <c r="D1362" s="9" t="n">
        <v>29596626.99</v>
      </c>
      <c r="E1362" s="18">
        <f>SUMIFS(Cashflows!$X$8:$X$1038,Cashflows!$A$8:$A$1038,$B1362,Cashflows!$F$8:$F$1038,"PNL",Cashflows!$K$8:$K$1038,"&lt;="&amp;$A1362)</f>
        <v/>
      </c>
      <c r="F1362" s="18">
        <f>SUMIFS(MTM_Daily!$AO$6:$AO$1238,MTM_Daily!$B$6:$B$1238,$B1362,MTM_Daily!$A$6:$A$1238,$A1362,MTM_Daily!$L$6:$L$1238,"PNL")</f>
        <v/>
      </c>
      <c r="G1362" s="18">
        <f>$E1362+$C1362+$F1362</f>
        <v/>
      </c>
      <c r="H1362" s="18">
        <f>$G1362-$D1362</f>
        <v/>
      </c>
      <c r="I1362" s="8">
        <f>IF(ABS($H1362)&lt;=tol_trade_inr,"PASS","FAIL")</f>
        <v/>
      </c>
    </row>
    <row r="1363">
      <c r="A1363" s="11" t="n">
        <v>44712</v>
      </c>
      <c r="B1363" s="7" t="inlineStr">
        <is>
          <t>T04</t>
        </is>
      </c>
      <c r="C1363" s="9" t="n">
        <v>-1471313.63</v>
      </c>
      <c r="D1363" s="9" t="n">
        <v>8433948.890000001</v>
      </c>
      <c r="E1363" s="18">
        <f>SUMIFS(Cashflows!$X$8:$X$1038,Cashflows!$A$8:$A$1038,$B1363,Cashflows!$F$8:$F$1038,"PNL",Cashflows!$K$8:$K$1038,"&lt;="&amp;$A1363)</f>
        <v/>
      </c>
      <c r="F1363" s="18">
        <f>SUMIFS(MTM_Daily!$AO$6:$AO$1238,MTM_Daily!$B$6:$B$1238,$B1363,MTM_Daily!$A$6:$A$1238,$A1363,MTM_Daily!$L$6:$L$1238,"PNL")</f>
        <v/>
      </c>
      <c r="G1363" s="18">
        <f>$E1363+$C1363+$F1363</f>
        <v/>
      </c>
      <c r="H1363" s="18">
        <f>$G1363-$D1363</f>
        <v/>
      </c>
      <c r="I1363" s="8">
        <f>IF(ABS($H1363)&lt;=tol_trade_inr,"PASS","FAIL")</f>
        <v/>
      </c>
    </row>
    <row r="1364">
      <c r="A1364" s="11" t="n">
        <v>44712</v>
      </c>
      <c r="B1364" s="7" t="inlineStr">
        <is>
          <t>T05</t>
        </is>
      </c>
      <c r="C1364" s="9" t="n">
        <v>-4145.61</v>
      </c>
      <c r="D1364" s="9" t="n">
        <v>46622746.28</v>
      </c>
      <c r="E1364" s="18">
        <f>SUMIFS(Cashflows!$X$8:$X$1038,Cashflows!$A$8:$A$1038,$B1364,Cashflows!$F$8:$F$1038,"PNL",Cashflows!$K$8:$K$1038,"&lt;="&amp;$A1364)</f>
        <v/>
      </c>
      <c r="F1364" s="18">
        <f>SUMIFS(MTM_Daily!$AO$6:$AO$1238,MTM_Daily!$B$6:$B$1238,$B1364,MTM_Daily!$A$6:$A$1238,$A1364,MTM_Daily!$L$6:$L$1238,"PNL")</f>
        <v/>
      </c>
      <c r="G1364" s="18">
        <f>$E1364+$C1364+$F1364</f>
        <v/>
      </c>
      <c r="H1364" s="18">
        <f>$G1364-$D1364</f>
        <v/>
      </c>
      <c r="I1364" s="8">
        <f>IF(ABS($H1364)&lt;=tol_trade_inr,"PASS","FAIL")</f>
        <v/>
      </c>
    </row>
    <row r="1365">
      <c r="A1365" s="11" t="n">
        <v>44712</v>
      </c>
      <c r="B1365" s="7" t="inlineStr">
        <is>
          <t>T06</t>
        </is>
      </c>
      <c r="C1365" s="9" t="n">
        <v>-181282.41</v>
      </c>
      <c r="D1365" s="9" t="n">
        <v>10322200.48</v>
      </c>
      <c r="E1365" s="18">
        <f>SUMIFS(Cashflows!$X$8:$X$1038,Cashflows!$A$8:$A$1038,$B1365,Cashflows!$F$8:$F$1038,"PNL",Cashflows!$K$8:$K$1038,"&lt;="&amp;$A1365)</f>
        <v/>
      </c>
      <c r="F1365" s="18">
        <f>SUMIFS(MTM_Daily!$AO$6:$AO$1238,MTM_Daily!$B$6:$B$1238,$B1365,MTM_Daily!$A$6:$A$1238,$A1365,MTM_Daily!$L$6:$L$1238,"PNL")</f>
        <v/>
      </c>
      <c r="G1365" s="18">
        <f>$E1365+$C1365+$F1365</f>
        <v/>
      </c>
      <c r="H1365" s="18">
        <f>$G1365-$D1365</f>
        <v/>
      </c>
      <c r="I1365" s="8">
        <f>IF(ABS($H1365)&lt;=tol_trade_inr,"PASS","FAIL")</f>
        <v/>
      </c>
    </row>
    <row r="1366">
      <c r="A1366" s="11" t="n">
        <v>44712</v>
      </c>
      <c r="B1366" s="7" t="inlineStr">
        <is>
          <t>T07</t>
        </is>
      </c>
      <c r="C1366" s="9" t="n">
        <v>-48123.01</v>
      </c>
      <c r="D1366" s="9" t="n">
        <v>4904610.96</v>
      </c>
      <c r="E1366" s="18">
        <f>SUMIFS(Cashflows!$X$8:$X$1038,Cashflows!$A$8:$A$1038,$B1366,Cashflows!$F$8:$F$1038,"PNL",Cashflows!$K$8:$K$1038,"&lt;="&amp;$A1366)</f>
        <v/>
      </c>
      <c r="F1366" s="18">
        <f>SUMIFS(MTM_Daily!$AO$6:$AO$1238,MTM_Daily!$B$6:$B$1238,$B1366,MTM_Daily!$A$6:$A$1238,$A1366,MTM_Daily!$L$6:$L$1238,"PNL")</f>
        <v/>
      </c>
      <c r="G1366" s="18">
        <f>$E1366+$C1366+$F1366</f>
        <v/>
      </c>
      <c r="H1366" s="18">
        <f>$G1366-$D1366</f>
        <v/>
      </c>
      <c r="I1366" s="8">
        <f>IF(ABS($H1366)&lt;=tol_trade_inr,"PASS","FAIL")</f>
        <v/>
      </c>
    </row>
    <row r="1367">
      <c r="A1367" s="11" t="n">
        <v>44712</v>
      </c>
      <c r="B1367" s="7" t="inlineStr">
        <is>
          <t>T08</t>
        </is>
      </c>
      <c r="C1367" s="9" t="n">
        <v>0</v>
      </c>
      <c r="D1367" s="9" t="n">
        <v>0</v>
      </c>
      <c r="E1367" s="18">
        <f>SUMIFS(Cashflows!$X$8:$X$1038,Cashflows!$A$8:$A$1038,$B1367,Cashflows!$F$8:$F$1038,"PNL",Cashflows!$K$8:$K$1038,"&lt;="&amp;$A1367)</f>
        <v/>
      </c>
      <c r="F1367" s="18">
        <f>SUMIFS(MTM_Daily!$AO$6:$AO$1238,MTM_Daily!$B$6:$B$1238,$B1367,MTM_Daily!$A$6:$A$1238,$A1367,MTM_Daily!$L$6:$L$1238,"PNL")</f>
        <v/>
      </c>
      <c r="G1367" s="18">
        <f>$E1367+$C1367+$F1367</f>
        <v/>
      </c>
      <c r="H1367" s="18">
        <f>$G1367-$D1367</f>
        <v/>
      </c>
      <c r="I1367" s="8">
        <f>IF(ABS($H1367)&lt;=tol_trade_inr,"PASS","FAIL")</f>
        <v/>
      </c>
    </row>
    <row r="1368">
      <c r="A1368" s="11" t="n">
        <v>44712</v>
      </c>
      <c r="B1368" s="7" t="inlineStr">
        <is>
          <t>T09</t>
        </is>
      </c>
      <c r="C1368" s="9" t="n">
        <v>0</v>
      </c>
      <c r="D1368" s="9" t="n">
        <v>0</v>
      </c>
      <c r="E1368" s="18">
        <f>SUMIFS(Cashflows!$X$8:$X$1038,Cashflows!$A$8:$A$1038,$B1368,Cashflows!$F$8:$F$1038,"PNL",Cashflows!$K$8:$K$1038,"&lt;="&amp;$A1368)</f>
        <v/>
      </c>
      <c r="F1368" s="18">
        <f>SUMIFS(MTM_Daily!$AO$6:$AO$1238,MTM_Daily!$B$6:$B$1238,$B1368,MTM_Daily!$A$6:$A$1238,$A1368,MTM_Daily!$L$6:$L$1238,"PNL")</f>
        <v/>
      </c>
      <c r="G1368" s="18">
        <f>$E1368+$C1368+$F1368</f>
        <v/>
      </c>
      <c r="H1368" s="18">
        <f>$G1368-$D1368</f>
        <v/>
      </c>
      <c r="I1368" s="8">
        <f>IF(ABS($H1368)&lt;=tol_trade_inr,"PASS","FAIL")</f>
        <v/>
      </c>
    </row>
    <row r="1369">
      <c r="A1369" s="11" t="n">
        <v>44720</v>
      </c>
      <c r="B1369" s="7" t="inlineStr">
        <is>
          <t>T01</t>
        </is>
      </c>
      <c r="C1369" s="9" t="n">
        <v>-5900043.59</v>
      </c>
      <c r="D1369" s="9" t="n">
        <v>64956318.49</v>
      </c>
      <c r="E1369" s="18">
        <f>SUMIFS(Cashflows!$X$8:$X$1038,Cashflows!$A$8:$A$1038,$B1369,Cashflows!$F$8:$F$1038,"PNL",Cashflows!$K$8:$K$1038,"&lt;="&amp;$A1369)</f>
        <v/>
      </c>
      <c r="F1369" s="18">
        <f>SUMIFS(MTM_Daily!$AO$6:$AO$1238,MTM_Daily!$B$6:$B$1238,$B1369,MTM_Daily!$A$6:$A$1238,$A1369,MTM_Daily!$L$6:$L$1238,"PNL")</f>
        <v/>
      </c>
      <c r="G1369" s="18">
        <f>$E1369+$C1369+$F1369</f>
        <v/>
      </c>
      <c r="H1369" s="18">
        <f>$G1369-$D1369</f>
        <v/>
      </c>
      <c r="I1369" s="8">
        <f>IF(ABS($H1369)&lt;=tol_trade_inr,"PASS","FAIL")</f>
        <v/>
      </c>
    </row>
    <row r="1370">
      <c r="A1370" s="11" t="n">
        <v>44720</v>
      </c>
      <c r="B1370" s="7" t="inlineStr">
        <is>
          <t>T02</t>
        </is>
      </c>
      <c r="C1370" s="9" t="n">
        <v>-224517.19</v>
      </c>
      <c r="D1370" s="9" t="n">
        <v>48857875.27</v>
      </c>
      <c r="E1370" s="18">
        <f>SUMIFS(Cashflows!$X$8:$X$1038,Cashflows!$A$8:$A$1038,$B1370,Cashflows!$F$8:$F$1038,"PNL",Cashflows!$K$8:$K$1038,"&lt;="&amp;$A1370)</f>
        <v/>
      </c>
      <c r="F1370" s="18">
        <f>SUMIFS(MTM_Daily!$AO$6:$AO$1238,MTM_Daily!$B$6:$B$1238,$B1370,MTM_Daily!$A$6:$A$1238,$A1370,MTM_Daily!$L$6:$L$1238,"PNL")</f>
        <v/>
      </c>
      <c r="G1370" s="18">
        <f>$E1370+$C1370+$F1370</f>
        <v/>
      </c>
      <c r="H1370" s="18">
        <f>$G1370-$D1370</f>
        <v/>
      </c>
      <c r="I1370" s="8">
        <f>IF(ABS($H1370)&lt;=tol_trade_inr,"PASS","FAIL")</f>
        <v/>
      </c>
    </row>
    <row r="1371">
      <c r="A1371" s="11" t="n">
        <v>44720</v>
      </c>
      <c r="B1371" s="7" t="inlineStr">
        <is>
          <t>T03</t>
        </is>
      </c>
      <c r="C1371" s="9" t="n">
        <v>-3043075.8</v>
      </c>
      <c r="D1371" s="9" t="n">
        <v>29072860.77</v>
      </c>
      <c r="E1371" s="18">
        <f>SUMIFS(Cashflows!$X$8:$X$1038,Cashflows!$A$8:$A$1038,$B1371,Cashflows!$F$8:$F$1038,"PNL",Cashflows!$K$8:$K$1038,"&lt;="&amp;$A1371)</f>
        <v/>
      </c>
      <c r="F1371" s="18">
        <f>SUMIFS(MTM_Daily!$AO$6:$AO$1238,MTM_Daily!$B$6:$B$1238,$B1371,MTM_Daily!$A$6:$A$1238,$A1371,MTM_Daily!$L$6:$L$1238,"PNL")</f>
        <v/>
      </c>
      <c r="G1371" s="18">
        <f>$E1371+$C1371+$F1371</f>
        <v/>
      </c>
      <c r="H1371" s="18">
        <f>$G1371-$D1371</f>
        <v/>
      </c>
      <c r="I1371" s="8">
        <f>IF(ABS($H1371)&lt;=tol_trade_inr,"PASS","FAIL")</f>
        <v/>
      </c>
    </row>
    <row r="1372">
      <c r="A1372" s="11" t="n">
        <v>44720</v>
      </c>
      <c r="B1372" s="7" t="inlineStr">
        <is>
          <t>T04</t>
        </is>
      </c>
      <c r="C1372" s="9" t="n">
        <v>-1956661.77</v>
      </c>
      <c r="D1372" s="9" t="n">
        <v>7957291.77</v>
      </c>
      <c r="E1372" s="18">
        <f>SUMIFS(Cashflows!$X$8:$X$1038,Cashflows!$A$8:$A$1038,$B1372,Cashflows!$F$8:$F$1038,"PNL",Cashflows!$K$8:$K$1038,"&lt;="&amp;$A1372)</f>
        <v/>
      </c>
      <c r="F1372" s="18">
        <f>SUMIFS(MTM_Daily!$AO$6:$AO$1238,MTM_Daily!$B$6:$B$1238,$B1372,MTM_Daily!$A$6:$A$1238,$A1372,MTM_Daily!$L$6:$L$1238,"PNL")</f>
        <v/>
      </c>
      <c r="G1372" s="18">
        <f>$E1372+$C1372+$F1372</f>
        <v/>
      </c>
      <c r="H1372" s="18">
        <f>$G1372-$D1372</f>
        <v/>
      </c>
      <c r="I1372" s="8">
        <f>IF(ABS($H1372)&lt;=tol_trade_inr,"PASS","FAIL")</f>
        <v/>
      </c>
    </row>
    <row r="1373">
      <c r="A1373" s="11" t="n">
        <v>44720</v>
      </c>
      <c r="B1373" s="7" t="inlineStr">
        <is>
          <t>T05</t>
        </is>
      </c>
      <c r="C1373" s="9" t="n">
        <v>12066.54</v>
      </c>
      <c r="D1373" s="9" t="n">
        <v>47569418.68</v>
      </c>
      <c r="E1373" s="18">
        <f>SUMIFS(Cashflows!$X$8:$X$1038,Cashflows!$A$8:$A$1038,$B1373,Cashflows!$F$8:$F$1038,"PNL",Cashflows!$K$8:$K$1038,"&lt;="&amp;$A1373)</f>
        <v/>
      </c>
      <c r="F1373" s="18">
        <f>SUMIFS(MTM_Daily!$AO$6:$AO$1238,MTM_Daily!$B$6:$B$1238,$B1373,MTM_Daily!$A$6:$A$1238,$A1373,MTM_Daily!$L$6:$L$1238,"PNL")</f>
        <v/>
      </c>
      <c r="G1373" s="18">
        <f>$E1373+$C1373+$F1373</f>
        <v/>
      </c>
      <c r="H1373" s="18">
        <f>$G1373-$D1373</f>
        <v/>
      </c>
      <c r="I1373" s="8">
        <f>IF(ABS($H1373)&lt;=tol_trade_inr,"PASS","FAIL")</f>
        <v/>
      </c>
    </row>
    <row r="1374">
      <c r="A1374" s="11" t="n">
        <v>44720</v>
      </c>
      <c r="B1374" s="7" t="inlineStr">
        <is>
          <t>T06</t>
        </is>
      </c>
      <c r="C1374" s="9" t="n">
        <v>-446060.4</v>
      </c>
      <c r="D1374" s="9" t="n">
        <v>12833373.38</v>
      </c>
      <c r="E1374" s="18">
        <f>SUMIFS(Cashflows!$X$8:$X$1038,Cashflows!$A$8:$A$1038,$B1374,Cashflows!$F$8:$F$1038,"PNL",Cashflows!$K$8:$K$1038,"&lt;="&amp;$A1374)</f>
        <v/>
      </c>
      <c r="F1374" s="18">
        <f>SUMIFS(MTM_Daily!$AO$6:$AO$1238,MTM_Daily!$B$6:$B$1238,$B1374,MTM_Daily!$A$6:$A$1238,$A1374,MTM_Daily!$L$6:$L$1238,"PNL")</f>
        <v/>
      </c>
      <c r="G1374" s="18">
        <f>$E1374+$C1374+$F1374</f>
        <v/>
      </c>
      <c r="H1374" s="18">
        <f>$G1374-$D1374</f>
        <v/>
      </c>
      <c r="I1374" s="8">
        <f>IF(ABS($H1374)&lt;=tol_trade_inr,"PASS","FAIL")</f>
        <v/>
      </c>
    </row>
    <row r="1375">
      <c r="A1375" s="11" t="n">
        <v>44720</v>
      </c>
      <c r="B1375" s="7" t="inlineStr">
        <is>
          <t>T07</t>
        </is>
      </c>
      <c r="C1375" s="9" t="n">
        <v>-85682.44</v>
      </c>
      <c r="D1375" s="9" t="n">
        <v>9392176.33</v>
      </c>
      <c r="E1375" s="18">
        <f>SUMIFS(Cashflows!$X$8:$X$1038,Cashflows!$A$8:$A$1038,$B1375,Cashflows!$F$8:$F$1038,"PNL",Cashflows!$K$8:$K$1038,"&lt;="&amp;$A1375)</f>
        <v/>
      </c>
      <c r="F1375" s="18">
        <f>SUMIFS(MTM_Daily!$AO$6:$AO$1238,MTM_Daily!$B$6:$B$1238,$B1375,MTM_Daily!$A$6:$A$1238,$A1375,MTM_Daily!$L$6:$L$1238,"PNL")</f>
        <v/>
      </c>
      <c r="G1375" s="18">
        <f>$E1375+$C1375+$F1375</f>
        <v/>
      </c>
      <c r="H1375" s="18">
        <f>$G1375-$D1375</f>
        <v/>
      </c>
      <c r="I1375" s="8">
        <f>IF(ABS($H1375)&lt;=tol_trade_inr,"PASS","FAIL")</f>
        <v/>
      </c>
    </row>
    <row r="1376">
      <c r="A1376" s="11" t="n">
        <v>44720</v>
      </c>
      <c r="B1376" s="7" t="inlineStr">
        <is>
          <t>T08</t>
        </is>
      </c>
      <c r="C1376" s="9" t="n">
        <v>0</v>
      </c>
      <c r="D1376" s="9" t="n">
        <v>3251747.41</v>
      </c>
      <c r="E1376" s="18">
        <f>SUMIFS(Cashflows!$X$8:$X$1038,Cashflows!$A$8:$A$1038,$B1376,Cashflows!$F$8:$F$1038,"PNL",Cashflows!$K$8:$K$1038,"&lt;="&amp;$A1376)</f>
        <v/>
      </c>
      <c r="F1376" s="18">
        <f>SUMIFS(MTM_Daily!$AO$6:$AO$1238,MTM_Daily!$B$6:$B$1238,$B1376,MTM_Daily!$A$6:$A$1238,$A1376,MTM_Daily!$L$6:$L$1238,"PNL")</f>
        <v/>
      </c>
      <c r="G1376" s="18">
        <f>$E1376+$C1376+$F1376</f>
        <v/>
      </c>
      <c r="H1376" s="18">
        <f>$G1376-$D1376</f>
        <v/>
      </c>
      <c r="I1376" s="8">
        <f>IF(ABS($H1376)&lt;=tol_trade_inr,"PASS","FAIL")</f>
        <v/>
      </c>
    </row>
    <row r="1377">
      <c r="A1377" s="11" t="n">
        <v>44720</v>
      </c>
      <c r="B1377" s="7" t="inlineStr">
        <is>
          <t>T09</t>
        </is>
      </c>
      <c r="C1377" s="9" t="n">
        <v>0</v>
      </c>
      <c r="D1377" s="9" t="n">
        <v>0</v>
      </c>
      <c r="E1377" s="18">
        <f>SUMIFS(Cashflows!$X$8:$X$1038,Cashflows!$A$8:$A$1038,$B1377,Cashflows!$F$8:$F$1038,"PNL",Cashflows!$K$8:$K$1038,"&lt;="&amp;$A1377)</f>
        <v/>
      </c>
      <c r="F1377" s="18">
        <f>SUMIFS(MTM_Daily!$AO$6:$AO$1238,MTM_Daily!$B$6:$B$1238,$B1377,MTM_Daily!$A$6:$A$1238,$A1377,MTM_Daily!$L$6:$L$1238,"PNL")</f>
        <v/>
      </c>
      <c r="G1377" s="18">
        <f>$E1377+$C1377+$F1377</f>
        <v/>
      </c>
      <c r="H1377" s="18">
        <f>$G1377-$D1377</f>
        <v/>
      </c>
      <c r="I1377" s="8">
        <f>IF(ABS($H1377)&lt;=tol_trade_inr,"PASS","FAIL")</f>
        <v/>
      </c>
    </row>
    <row r="1378">
      <c r="A1378" s="11" t="n">
        <v>44742</v>
      </c>
      <c r="B1378" s="7" t="inlineStr">
        <is>
          <t>T01</t>
        </is>
      </c>
      <c r="C1378" s="9" t="n">
        <v>-6617645.5</v>
      </c>
      <c r="D1378" s="9" t="n">
        <v>64238716.59</v>
      </c>
      <c r="E1378" s="18">
        <f>SUMIFS(Cashflows!$X$8:$X$1038,Cashflows!$A$8:$A$1038,$B1378,Cashflows!$F$8:$F$1038,"PNL",Cashflows!$K$8:$K$1038,"&lt;="&amp;$A1378)</f>
        <v/>
      </c>
      <c r="F1378" s="18">
        <f>SUMIFS(MTM_Daily!$AO$6:$AO$1238,MTM_Daily!$B$6:$B$1238,$B1378,MTM_Daily!$A$6:$A$1238,$A1378,MTM_Daily!$L$6:$L$1238,"PNL")</f>
        <v/>
      </c>
      <c r="G1378" s="18">
        <f>$E1378+$C1378+$F1378</f>
        <v/>
      </c>
      <c r="H1378" s="18">
        <f>$G1378-$D1378</f>
        <v/>
      </c>
      <c r="I1378" s="8">
        <f>IF(ABS($H1378)&lt;=tol_trade_inr,"PASS","FAIL")</f>
        <v/>
      </c>
    </row>
    <row r="1379">
      <c r="A1379" s="11" t="n">
        <v>44742</v>
      </c>
      <c r="B1379" s="7" t="inlineStr">
        <is>
          <t>T02</t>
        </is>
      </c>
      <c r="C1379" s="9" t="n">
        <v>1160752.01</v>
      </c>
      <c r="D1379" s="9" t="n">
        <v>49952473.58</v>
      </c>
      <c r="E1379" s="18">
        <f>SUMIFS(Cashflows!$X$8:$X$1038,Cashflows!$A$8:$A$1038,$B1379,Cashflows!$F$8:$F$1038,"PNL",Cashflows!$K$8:$K$1038,"&lt;="&amp;$A1379)</f>
        <v/>
      </c>
      <c r="F1379" s="18">
        <f>SUMIFS(MTM_Daily!$AO$6:$AO$1238,MTM_Daily!$B$6:$B$1238,$B1379,MTM_Daily!$A$6:$A$1238,$A1379,MTM_Daily!$L$6:$L$1238,"PNL")</f>
        <v/>
      </c>
      <c r="G1379" s="18">
        <f>$E1379+$C1379+$F1379</f>
        <v/>
      </c>
      <c r="H1379" s="18">
        <f>$G1379-$D1379</f>
        <v/>
      </c>
      <c r="I1379" s="8">
        <f>IF(ABS($H1379)&lt;=tol_trade_inr,"PASS","FAIL")</f>
        <v/>
      </c>
    </row>
    <row r="1380">
      <c r="A1380" s="11" t="n">
        <v>44742</v>
      </c>
      <c r="B1380" s="7" t="inlineStr">
        <is>
          <t>T03</t>
        </is>
      </c>
      <c r="C1380" s="9" t="n">
        <v>-3028530.88</v>
      </c>
      <c r="D1380" s="9" t="n">
        <v>29087405.69</v>
      </c>
      <c r="E1380" s="18">
        <f>SUMIFS(Cashflows!$X$8:$X$1038,Cashflows!$A$8:$A$1038,$B1380,Cashflows!$F$8:$F$1038,"PNL",Cashflows!$K$8:$K$1038,"&lt;="&amp;$A1380)</f>
        <v/>
      </c>
      <c r="F1380" s="18">
        <f>SUMIFS(MTM_Daily!$AO$6:$AO$1238,MTM_Daily!$B$6:$B$1238,$B1380,MTM_Daily!$A$6:$A$1238,$A1380,MTM_Daily!$L$6:$L$1238,"PNL")</f>
        <v/>
      </c>
      <c r="G1380" s="18">
        <f>$E1380+$C1380+$F1380</f>
        <v/>
      </c>
      <c r="H1380" s="18">
        <f>$G1380-$D1380</f>
        <v/>
      </c>
      <c r="I1380" s="8">
        <f>IF(ABS($H1380)&lt;=tol_trade_inr,"PASS","FAIL")</f>
        <v/>
      </c>
    </row>
    <row r="1381">
      <c r="A1381" s="11" t="n">
        <v>44742</v>
      </c>
      <c r="B1381" s="7" t="inlineStr">
        <is>
          <t>T04</t>
        </is>
      </c>
      <c r="C1381" s="9" t="n">
        <v>-2773930.32</v>
      </c>
      <c r="D1381" s="9" t="n">
        <v>7140023.22</v>
      </c>
      <c r="E1381" s="18">
        <f>SUMIFS(Cashflows!$X$8:$X$1038,Cashflows!$A$8:$A$1038,$B1381,Cashflows!$F$8:$F$1038,"PNL",Cashflows!$K$8:$K$1038,"&lt;="&amp;$A1381)</f>
        <v/>
      </c>
      <c r="F1381" s="18">
        <f>SUMIFS(MTM_Daily!$AO$6:$AO$1238,MTM_Daily!$B$6:$B$1238,$B1381,MTM_Daily!$A$6:$A$1238,$A1381,MTM_Daily!$L$6:$L$1238,"PNL")</f>
        <v/>
      </c>
      <c r="G1381" s="18">
        <f>$E1381+$C1381+$F1381</f>
        <v/>
      </c>
      <c r="H1381" s="18">
        <f>$G1381-$D1381</f>
        <v/>
      </c>
      <c r="I1381" s="8">
        <f>IF(ABS($H1381)&lt;=tol_trade_inr,"PASS","FAIL")</f>
        <v/>
      </c>
    </row>
    <row r="1382">
      <c r="A1382" s="11" t="n">
        <v>44742</v>
      </c>
      <c r="B1382" s="7" t="inlineStr">
        <is>
          <t>T05</t>
        </is>
      </c>
      <c r="C1382" s="9" t="n">
        <v>-104404.27</v>
      </c>
      <c r="D1382" s="9" t="n">
        <v>41440716.41</v>
      </c>
      <c r="E1382" s="18">
        <f>SUMIFS(Cashflows!$X$8:$X$1038,Cashflows!$A$8:$A$1038,$B1382,Cashflows!$F$8:$F$1038,"PNL",Cashflows!$K$8:$K$1038,"&lt;="&amp;$A1382)</f>
        <v/>
      </c>
      <c r="F1382" s="18">
        <f>SUMIFS(MTM_Daily!$AO$6:$AO$1238,MTM_Daily!$B$6:$B$1238,$B1382,MTM_Daily!$A$6:$A$1238,$A1382,MTM_Daily!$L$6:$L$1238,"PNL")</f>
        <v/>
      </c>
      <c r="G1382" s="18">
        <f>$E1382+$C1382+$F1382</f>
        <v/>
      </c>
      <c r="H1382" s="18">
        <f>$G1382-$D1382</f>
        <v/>
      </c>
      <c r="I1382" s="8">
        <f>IF(ABS($H1382)&lt;=tol_trade_inr,"PASS","FAIL")</f>
        <v/>
      </c>
    </row>
    <row r="1383">
      <c r="A1383" s="11" t="n">
        <v>44742</v>
      </c>
      <c r="B1383" s="7" t="inlineStr">
        <is>
          <t>T06</t>
        </is>
      </c>
      <c r="C1383" s="9" t="n">
        <v>-1828035.67</v>
      </c>
      <c r="D1383" s="9" t="n">
        <v>11279285.12</v>
      </c>
      <c r="E1383" s="18">
        <f>SUMIFS(Cashflows!$X$8:$X$1038,Cashflows!$A$8:$A$1038,$B1383,Cashflows!$F$8:$F$1038,"PNL",Cashflows!$K$8:$K$1038,"&lt;="&amp;$A1383)</f>
        <v/>
      </c>
      <c r="F1383" s="18">
        <f>SUMIFS(MTM_Daily!$AO$6:$AO$1238,MTM_Daily!$B$6:$B$1238,$B1383,MTM_Daily!$A$6:$A$1238,$A1383,MTM_Daily!$L$6:$L$1238,"PNL")</f>
        <v/>
      </c>
      <c r="G1383" s="18">
        <f>$E1383+$C1383+$F1383</f>
        <v/>
      </c>
      <c r="H1383" s="18">
        <f>$G1383-$D1383</f>
        <v/>
      </c>
      <c r="I1383" s="8">
        <f>IF(ABS($H1383)&lt;=tol_trade_inr,"PASS","FAIL")</f>
        <v/>
      </c>
    </row>
    <row r="1384">
      <c r="A1384" s="11" t="n">
        <v>44742</v>
      </c>
      <c r="B1384" s="7" t="inlineStr">
        <is>
          <t>T07</t>
        </is>
      </c>
      <c r="C1384" s="9" t="n">
        <v>-1105756.53</v>
      </c>
      <c r="D1384" s="9" t="n">
        <v>7230366.65</v>
      </c>
      <c r="E1384" s="18">
        <f>SUMIFS(Cashflows!$X$8:$X$1038,Cashflows!$A$8:$A$1038,$B1384,Cashflows!$F$8:$F$1038,"PNL",Cashflows!$K$8:$K$1038,"&lt;="&amp;$A1384)</f>
        <v/>
      </c>
      <c r="F1384" s="18">
        <f>SUMIFS(MTM_Daily!$AO$6:$AO$1238,MTM_Daily!$B$6:$B$1238,$B1384,MTM_Daily!$A$6:$A$1238,$A1384,MTM_Daily!$L$6:$L$1238,"PNL")</f>
        <v/>
      </c>
      <c r="G1384" s="18">
        <f>$E1384+$C1384+$F1384</f>
        <v/>
      </c>
      <c r="H1384" s="18">
        <f>$G1384-$D1384</f>
        <v/>
      </c>
      <c r="I1384" s="8">
        <f>IF(ABS($H1384)&lt;=tol_trade_inr,"PASS","FAIL")</f>
        <v/>
      </c>
    </row>
    <row r="1385">
      <c r="A1385" s="11" t="n">
        <v>44742</v>
      </c>
      <c r="B1385" s="7" t="inlineStr">
        <is>
          <t>T08</t>
        </is>
      </c>
      <c r="C1385" s="9" t="n">
        <v>-35616.09</v>
      </c>
      <c r="D1385" s="9" t="n">
        <v>8929475.01</v>
      </c>
      <c r="E1385" s="18">
        <f>SUMIFS(Cashflows!$X$8:$X$1038,Cashflows!$A$8:$A$1038,$B1385,Cashflows!$F$8:$F$1038,"PNL",Cashflows!$K$8:$K$1038,"&lt;="&amp;$A1385)</f>
        <v/>
      </c>
      <c r="F1385" s="18">
        <f>SUMIFS(MTM_Daily!$AO$6:$AO$1238,MTM_Daily!$B$6:$B$1238,$B1385,MTM_Daily!$A$6:$A$1238,$A1385,MTM_Daily!$L$6:$L$1238,"PNL")</f>
        <v/>
      </c>
      <c r="G1385" s="18">
        <f>$E1385+$C1385+$F1385</f>
        <v/>
      </c>
      <c r="H1385" s="18">
        <f>$G1385-$D1385</f>
        <v/>
      </c>
      <c r="I1385" s="8">
        <f>IF(ABS($H1385)&lt;=tol_trade_inr,"PASS","FAIL")</f>
        <v/>
      </c>
    </row>
    <row r="1386">
      <c r="A1386" s="11" t="n">
        <v>44742</v>
      </c>
      <c r="B1386" s="7" t="inlineStr">
        <is>
          <t>T09</t>
        </is>
      </c>
      <c r="C1386" s="9" t="n">
        <v>0</v>
      </c>
      <c r="D1386" s="9" t="n">
        <v>0</v>
      </c>
      <c r="E1386" s="18">
        <f>SUMIFS(Cashflows!$X$8:$X$1038,Cashflows!$A$8:$A$1038,$B1386,Cashflows!$F$8:$F$1038,"PNL",Cashflows!$K$8:$K$1038,"&lt;="&amp;$A1386)</f>
        <v/>
      </c>
      <c r="F1386" s="18">
        <f>SUMIFS(MTM_Daily!$AO$6:$AO$1238,MTM_Daily!$B$6:$B$1238,$B1386,MTM_Daily!$A$6:$A$1238,$A1386,MTM_Daily!$L$6:$L$1238,"PNL")</f>
        <v/>
      </c>
      <c r="G1386" s="18">
        <f>$E1386+$C1386+$F1386</f>
        <v/>
      </c>
      <c r="H1386" s="18">
        <f>$G1386-$D1386</f>
        <v/>
      </c>
      <c r="I1386" s="8">
        <f>IF(ABS($H1386)&lt;=tol_trade_inr,"PASS","FAIL")</f>
        <v/>
      </c>
    </row>
    <row r="1387">
      <c r="A1387" s="11" t="n">
        <v>44756</v>
      </c>
      <c r="B1387" s="7" t="inlineStr">
        <is>
          <t>T01</t>
        </is>
      </c>
      <c r="C1387" s="9" t="n">
        <v>-6572537.65</v>
      </c>
      <c r="D1387" s="9" t="n">
        <v>64283824.43</v>
      </c>
      <c r="E1387" s="18">
        <f>SUMIFS(Cashflows!$X$8:$X$1038,Cashflows!$A$8:$A$1038,$B1387,Cashflows!$F$8:$F$1038,"PNL",Cashflows!$K$8:$K$1038,"&lt;="&amp;$A1387)</f>
        <v/>
      </c>
      <c r="F1387" s="18">
        <f>SUMIFS(MTM_Daily!$AO$6:$AO$1238,MTM_Daily!$B$6:$B$1238,$B1387,MTM_Daily!$A$6:$A$1238,$A1387,MTM_Daily!$L$6:$L$1238,"PNL")</f>
        <v/>
      </c>
      <c r="G1387" s="18">
        <f>$E1387+$C1387+$F1387</f>
        <v/>
      </c>
      <c r="H1387" s="18">
        <f>$G1387-$D1387</f>
        <v/>
      </c>
      <c r="I1387" s="8">
        <f>IF(ABS($H1387)&lt;=tol_trade_inr,"PASS","FAIL")</f>
        <v/>
      </c>
    </row>
    <row r="1388">
      <c r="A1388" s="11" t="n">
        <v>44756</v>
      </c>
      <c r="B1388" s="7" t="inlineStr">
        <is>
          <t>T02</t>
        </is>
      </c>
      <c r="C1388" s="9" t="n">
        <v>1717125.18</v>
      </c>
      <c r="D1388" s="9" t="n">
        <v>50546931.45</v>
      </c>
      <c r="E1388" s="18">
        <f>SUMIFS(Cashflows!$X$8:$X$1038,Cashflows!$A$8:$A$1038,$B1388,Cashflows!$F$8:$F$1038,"PNL",Cashflows!$K$8:$K$1038,"&lt;="&amp;$A1388)</f>
        <v/>
      </c>
      <c r="F1388" s="18">
        <f>SUMIFS(MTM_Daily!$AO$6:$AO$1238,MTM_Daily!$B$6:$B$1238,$B1388,MTM_Daily!$A$6:$A$1238,$A1388,MTM_Daily!$L$6:$L$1238,"PNL")</f>
        <v/>
      </c>
      <c r="G1388" s="18">
        <f>$E1388+$C1388+$F1388</f>
        <v/>
      </c>
      <c r="H1388" s="18">
        <f>$G1388-$D1388</f>
        <v/>
      </c>
      <c r="I1388" s="8">
        <f>IF(ABS($H1388)&lt;=tol_trade_inr,"PASS","FAIL")</f>
        <v/>
      </c>
    </row>
    <row r="1389">
      <c r="A1389" s="11" t="n">
        <v>44756</v>
      </c>
      <c r="B1389" s="7" t="inlineStr">
        <is>
          <t>T03</t>
        </is>
      </c>
      <c r="C1389" s="9" t="n">
        <v>-3028530.88</v>
      </c>
      <c r="D1389" s="9" t="n">
        <v>29087405.69</v>
      </c>
      <c r="E1389" s="18">
        <f>SUMIFS(Cashflows!$X$8:$X$1038,Cashflows!$A$8:$A$1038,$B1389,Cashflows!$F$8:$F$1038,"PNL",Cashflows!$K$8:$K$1038,"&lt;="&amp;$A1389)</f>
        <v/>
      </c>
      <c r="F1389" s="18">
        <f>SUMIFS(MTM_Daily!$AO$6:$AO$1238,MTM_Daily!$B$6:$B$1238,$B1389,MTM_Daily!$A$6:$A$1238,$A1389,MTM_Daily!$L$6:$L$1238,"PNL")</f>
        <v/>
      </c>
      <c r="G1389" s="18">
        <f>$E1389+$C1389+$F1389</f>
        <v/>
      </c>
      <c r="H1389" s="18">
        <f>$G1389-$D1389</f>
        <v/>
      </c>
      <c r="I1389" s="8">
        <f>IF(ABS($H1389)&lt;=tol_trade_inr,"PASS","FAIL")</f>
        <v/>
      </c>
    </row>
    <row r="1390">
      <c r="A1390" s="11" t="n">
        <v>44756</v>
      </c>
      <c r="B1390" s="7" t="inlineStr">
        <is>
          <t>T04</t>
        </is>
      </c>
      <c r="C1390" s="9" t="n">
        <v>-3143167</v>
      </c>
      <c r="D1390" s="9" t="n">
        <v>6770786.54</v>
      </c>
      <c r="E1390" s="18">
        <f>SUMIFS(Cashflows!$X$8:$X$1038,Cashflows!$A$8:$A$1038,$B1390,Cashflows!$F$8:$F$1038,"PNL",Cashflows!$K$8:$K$1038,"&lt;="&amp;$A1390)</f>
        <v/>
      </c>
      <c r="F1390" s="18">
        <f>SUMIFS(MTM_Daily!$AO$6:$AO$1238,MTM_Daily!$B$6:$B$1238,$B1390,MTM_Daily!$A$6:$A$1238,$A1390,MTM_Daily!$L$6:$L$1238,"PNL")</f>
        <v/>
      </c>
      <c r="G1390" s="18">
        <f>$E1390+$C1390+$F1390</f>
        <v/>
      </c>
      <c r="H1390" s="18">
        <f>$G1390-$D1390</f>
        <v/>
      </c>
      <c r="I1390" s="8">
        <f>IF(ABS($H1390)&lt;=tol_trade_inr,"PASS","FAIL")</f>
        <v/>
      </c>
    </row>
    <row r="1391">
      <c r="A1391" s="11" t="n">
        <v>44756</v>
      </c>
      <c r="B1391" s="7" t="inlineStr">
        <is>
          <t>T05</t>
        </is>
      </c>
      <c r="C1391" s="9" t="n">
        <v>-382459.39</v>
      </c>
      <c r="D1391" s="9" t="n">
        <v>35718989.62</v>
      </c>
      <c r="E1391" s="18">
        <f>SUMIFS(Cashflows!$X$8:$X$1038,Cashflows!$A$8:$A$1038,$B1391,Cashflows!$F$8:$F$1038,"PNL",Cashflows!$K$8:$K$1038,"&lt;="&amp;$A1391)</f>
        <v/>
      </c>
      <c r="F1391" s="18">
        <f>SUMIFS(MTM_Daily!$AO$6:$AO$1238,MTM_Daily!$B$6:$B$1238,$B1391,MTM_Daily!$A$6:$A$1238,$A1391,MTM_Daily!$L$6:$L$1238,"PNL")</f>
        <v/>
      </c>
      <c r="G1391" s="18">
        <f>$E1391+$C1391+$F1391</f>
        <v/>
      </c>
      <c r="H1391" s="18">
        <f>$G1391-$D1391</f>
        <v/>
      </c>
      <c r="I1391" s="8">
        <f>IF(ABS($H1391)&lt;=tol_trade_inr,"PASS","FAIL")</f>
        <v/>
      </c>
    </row>
    <row r="1392">
      <c r="A1392" s="11" t="n">
        <v>44756</v>
      </c>
      <c r="B1392" s="7" t="inlineStr">
        <is>
          <t>T06</t>
        </is>
      </c>
      <c r="C1392" s="9" t="n">
        <v>-2846235.79</v>
      </c>
      <c r="D1392" s="9" t="n">
        <v>10261084.99</v>
      </c>
      <c r="E1392" s="18">
        <f>SUMIFS(Cashflows!$X$8:$X$1038,Cashflows!$A$8:$A$1038,$B1392,Cashflows!$F$8:$F$1038,"PNL",Cashflows!$K$8:$K$1038,"&lt;="&amp;$A1392)</f>
        <v/>
      </c>
      <c r="F1392" s="18">
        <f>SUMIFS(MTM_Daily!$AO$6:$AO$1238,MTM_Daily!$B$6:$B$1238,$B1392,MTM_Daily!$A$6:$A$1238,$A1392,MTM_Daily!$L$6:$L$1238,"PNL")</f>
        <v/>
      </c>
      <c r="G1392" s="18">
        <f>$E1392+$C1392+$F1392</f>
        <v/>
      </c>
      <c r="H1392" s="18">
        <f>$G1392-$D1392</f>
        <v/>
      </c>
      <c r="I1392" s="8">
        <f>IF(ABS($H1392)&lt;=tol_trade_inr,"PASS","FAIL")</f>
        <v/>
      </c>
    </row>
    <row r="1393">
      <c r="A1393" s="11" t="n">
        <v>44756</v>
      </c>
      <c r="B1393" s="7" t="inlineStr">
        <is>
          <t>T07</t>
        </is>
      </c>
      <c r="C1393" s="9" t="n">
        <v>-2268671.06</v>
      </c>
      <c r="D1393" s="9" t="n">
        <v>5604262.42</v>
      </c>
      <c r="E1393" s="18">
        <f>SUMIFS(Cashflows!$X$8:$X$1038,Cashflows!$A$8:$A$1038,$B1393,Cashflows!$F$8:$F$1038,"PNL",Cashflows!$K$8:$K$1038,"&lt;="&amp;$A1393)</f>
        <v/>
      </c>
      <c r="F1393" s="18">
        <f>SUMIFS(MTM_Daily!$AO$6:$AO$1238,MTM_Daily!$B$6:$B$1238,$B1393,MTM_Daily!$A$6:$A$1238,$A1393,MTM_Daily!$L$6:$L$1238,"PNL")</f>
        <v/>
      </c>
      <c r="G1393" s="18">
        <f>$E1393+$C1393+$F1393</f>
        <v/>
      </c>
      <c r="H1393" s="18">
        <f>$G1393-$D1393</f>
        <v/>
      </c>
      <c r="I1393" s="8">
        <f>IF(ABS($H1393)&lt;=tol_trade_inr,"PASS","FAIL")</f>
        <v/>
      </c>
    </row>
    <row r="1394">
      <c r="A1394" s="11" t="n">
        <v>44756</v>
      </c>
      <c r="B1394" s="7" t="inlineStr">
        <is>
          <t>T08</t>
        </is>
      </c>
      <c r="C1394" s="9" t="n">
        <v>-758676.47</v>
      </c>
      <c r="D1394" s="9" t="n">
        <v>8679973.74</v>
      </c>
      <c r="E1394" s="18">
        <f>SUMIFS(Cashflows!$X$8:$X$1038,Cashflows!$A$8:$A$1038,$B1394,Cashflows!$F$8:$F$1038,"PNL",Cashflows!$K$8:$K$1038,"&lt;="&amp;$A1394)</f>
        <v/>
      </c>
      <c r="F1394" s="18">
        <f>SUMIFS(MTM_Daily!$AO$6:$AO$1238,MTM_Daily!$B$6:$B$1238,$B1394,MTM_Daily!$A$6:$A$1238,$A1394,MTM_Daily!$L$6:$L$1238,"PNL")</f>
        <v/>
      </c>
      <c r="G1394" s="18">
        <f>$E1394+$C1394+$F1394</f>
        <v/>
      </c>
      <c r="H1394" s="18">
        <f>$G1394-$D1394</f>
        <v/>
      </c>
      <c r="I1394" s="8">
        <f>IF(ABS($H1394)&lt;=tol_trade_inr,"PASS","FAIL")</f>
        <v/>
      </c>
    </row>
    <row r="1395">
      <c r="A1395" s="11" t="n">
        <v>44756</v>
      </c>
      <c r="B1395" s="7" t="inlineStr">
        <is>
          <t>T09</t>
        </is>
      </c>
      <c r="C1395" s="9" t="n">
        <v>0</v>
      </c>
      <c r="D1395" s="9" t="n">
        <v>0</v>
      </c>
      <c r="E1395" s="18">
        <f>SUMIFS(Cashflows!$X$8:$X$1038,Cashflows!$A$8:$A$1038,$B1395,Cashflows!$F$8:$F$1038,"PNL",Cashflows!$K$8:$K$1038,"&lt;="&amp;$A1395)</f>
        <v/>
      </c>
      <c r="F1395" s="18">
        <f>SUMIFS(MTM_Daily!$AO$6:$AO$1238,MTM_Daily!$B$6:$B$1238,$B1395,MTM_Daily!$A$6:$A$1238,$A1395,MTM_Daily!$L$6:$L$1238,"PNL")</f>
        <v/>
      </c>
      <c r="G1395" s="18">
        <f>$E1395+$C1395+$F1395</f>
        <v/>
      </c>
      <c r="H1395" s="18">
        <f>$G1395-$D1395</f>
        <v/>
      </c>
      <c r="I1395" s="8">
        <f>IF(ABS($H1395)&lt;=tol_trade_inr,"PASS","FAIL")</f>
        <v/>
      </c>
    </row>
    <row r="1396">
      <c r="A1396" s="11" t="n">
        <v>44757</v>
      </c>
      <c r="B1396" s="7" t="inlineStr">
        <is>
          <t>T01</t>
        </is>
      </c>
      <c r="C1396" s="9" t="n">
        <v>-6572537.65</v>
      </c>
      <c r="D1396" s="9" t="n">
        <v>64283824.43</v>
      </c>
      <c r="E1396" s="18">
        <f>SUMIFS(Cashflows!$X$8:$X$1038,Cashflows!$A$8:$A$1038,$B1396,Cashflows!$F$8:$F$1038,"PNL",Cashflows!$K$8:$K$1038,"&lt;="&amp;$A1396)</f>
        <v/>
      </c>
      <c r="F1396" s="18">
        <f>SUMIFS(MTM_Daily!$AO$6:$AO$1238,MTM_Daily!$B$6:$B$1238,$B1396,MTM_Daily!$A$6:$A$1238,$A1396,MTM_Daily!$L$6:$L$1238,"PNL")</f>
        <v/>
      </c>
      <c r="G1396" s="18">
        <f>$E1396+$C1396+$F1396</f>
        <v/>
      </c>
      <c r="H1396" s="18">
        <f>$G1396-$D1396</f>
        <v/>
      </c>
      <c r="I1396" s="8">
        <f>IF(ABS($H1396)&lt;=tol_trade_inr,"PASS","FAIL")</f>
        <v/>
      </c>
    </row>
    <row r="1397">
      <c r="A1397" s="11" t="n">
        <v>44757</v>
      </c>
      <c r="B1397" s="7" t="inlineStr">
        <is>
          <t>T02</t>
        </is>
      </c>
      <c r="C1397" s="9" t="n">
        <v>1717125.18</v>
      </c>
      <c r="D1397" s="9" t="n">
        <v>50546931.45</v>
      </c>
      <c r="E1397" s="18">
        <f>SUMIFS(Cashflows!$X$8:$X$1038,Cashflows!$A$8:$A$1038,$B1397,Cashflows!$F$8:$F$1038,"PNL",Cashflows!$K$8:$K$1038,"&lt;="&amp;$A1397)</f>
        <v/>
      </c>
      <c r="F1397" s="18">
        <f>SUMIFS(MTM_Daily!$AO$6:$AO$1238,MTM_Daily!$B$6:$B$1238,$B1397,MTM_Daily!$A$6:$A$1238,$A1397,MTM_Daily!$L$6:$L$1238,"PNL")</f>
        <v/>
      </c>
      <c r="G1397" s="18">
        <f>$E1397+$C1397+$F1397</f>
        <v/>
      </c>
      <c r="H1397" s="18">
        <f>$G1397-$D1397</f>
        <v/>
      </c>
      <c r="I1397" s="8">
        <f>IF(ABS($H1397)&lt;=tol_trade_inr,"PASS","FAIL")</f>
        <v/>
      </c>
    </row>
    <row r="1398">
      <c r="A1398" s="11" t="n">
        <v>44757</v>
      </c>
      <c r="B1398" s="7" t="inlineStr">
        <is>
          <t>T03</t>
        </is>
      </c>
      <c r="C1398" s="9" t="n">
        <v>-3028530.88</v>
      </c>
      <c r="D1398" s="9" t="n">
        <v>29087405.69</v>
      </c>
      <c r="E1398" s="18">
        <f>SUMIFS(Cashflows!$X$8:$X$1038,Cashflows!$A$8:$A$1038,$B1398,Cashflows!$F$8:$F$1038,"PNL",Cashflows!$K$8:$K$1038,"&lt;="&amp;$A1398)</f>
        <v/>
      </c>
      <c r="F1398" s="18">
        <f>SUMIFS(MTM_Daily!$AO$6:$AO$1238,MTM_Daily!$B$6:$B$1238,$B1398,MTM_Daily!$A$6:$A$1238,$A1398,MTM_Daily!$L$6:$L$1238,"PNL")</f>
        <v/>
      </c>
      <c r="G1398" s="18">
        <f>$E1398+$C1398+$F1398</f>
        <v/>
      </c>
      <c r="H1398" s="18">
        <f>$G1398-$D1398</f>
        <v/>
      </c>
      <c r="I1398" s="8">
        <f>IF(ABS($H1398)&lt;=tol_trade_inr,"PASS","FAIL")</f>
        <v/>
      </c>
    </row>
    <row r="1399">
      <c r="A1399" s="11" t="n">
        <v>44757</v>
      </c>
      <c r="B1399" s="7" t="inlineStr">
        <is>
          <t>T04</t>
        </is>
      </c>
      <c r="C1399" s="9" t="n">
        <v>-3169541.04</v>
      </c>
      <c r="D1399" s="9" t="n">
        <v>6744412.5</v>
      </c>
      <c r="E1399" s="18">
        <f>SUMIFS(Cashflows!$X$8:$X$1038,Cashflows!$A$8:$A$1038,$B1399,Cashflows!$F$8:$F$1038,"PNL",Cashflows!$K$8:$K$1038,"&lt;="&amp;$A1399)</f>
        <v/>
      </c>
      <c r="F1399" s="18">
        <f>SUMIFS(MTM_Daily!$AO$6:$AO$1238,MTM_Daily!$B$6:$B$1238,$B1399,MTM_Daily!$A$6:$A$1238,$A1399,MTM_Daily!$L$6:$L$1238,"PNL")</f>
        <v/>
      </c>
      <c r="G1399" s="18">
        <f>$E1399+$C1399+$F1399</f>
        <v/>
      </c>
      <c r="H1399" s="18">
        <f>$G1399-$D1399</f>
        <v/>
      </c>
      <c r="I1399" s="8">
        <f>IF(ABS($H1399)&lt;=tol_trade_inr,"PASS","FAIL")</f>
        <v/>
      </c>
    </row>
    <row r="1400">
      <c r="A1400" s="11" t="n">
        <v>44757</v>
      </c>
      <c r="B1400" s="7" t="inlineStr">
        <is>
          <t>T05</t>
        </is>
      </c>
      <c r="C1400" s="9" t="n">
        <v>-430423.55</v>
      </c>
      <c r="D1400" s="9" t="n">
        <v>35690841.18</v>
      </c>
      <c r="E1400" s="18">
        <f>SUMIFS(Cashflows!$X$8:$X$1038,Cashflows!$A$8:$A$1038,$B1400,Cashflows!$F$8:$F$1038,"PNL",Cashflows!$K$8:$K$1038,"&lt;="&amp;$A1400)</f>
        <v/>
      </c>
      <c r="F1400" s="18">
        <f>SUMIFS(MTM_Daily!$AO$6:$AO$1238,MTM_Daily!$B$6:$B$1238,$B1400,MTM_Daily!$A$6:$A$1238,$A1400,MTM_Daily!$L$6:$L$1238,"PNL")</f>
        <v/>
      </c>
      <c r="G1400" s="18">
        <f>$E1400+$C1400+$F1400</f>
        <v/>
      </c>
      <c r="H1400" s="18">
        <f>$G1400-$D1400</f>
        <v/>
      </c>
      <c r="I1400" s="8">
        <f>IF(ABS($H1400)&lt;=tol_trade_inr,"PASS","FAIL")</f>
        <v/>
      </c>
    </row>
    <row r="1401">
      <c r="A1401" s="11" t="n">
        <v>44757</v>
      </c>
      <c r="B1401" s="7" t="inlineStr">
        <is>
          <t>T06</t>
        </is>
      </c>
      <c r="C1401" s="9" t="n">
        <v>-2918964.37</v>
      </c>
      <c r="D1401" s="9" t="n">
        <v>10188356.41</v>
      </c>
      <c r="E1401" s="18">
        <f>SUMIFS(Cashflows!$X$8:$X$1038,Cashflows!$A$8:$A$1038,$B1401,Cashflows!$F$8:$F$1038,"PNL",Cashflows!$K$8:$K$1038,"&lt;="&amp;$A1401)</f>
        <v/>
      </c>
      <c r="F1401" s="18">
        <f>SUMIFS(MTM_Daily!$AO$6:$AO$1238,MTM_Daily!$B$6:$B$1238,$B1401,MTM_Daily!$A$6:$A$1238,$A1401,MTM_Daily!$L$6:$L$1238,"PNL")</f>
        <v/>
      </c>
      <c r="G1401" s="18">
        <f>$E1401+$C1401+$F1401</f>
        <v/>
      </c>
      <c r="H1401" s="18">
        <f>$G1401-$D1401</f>
        <v/>
      </c>
      <c r="I1401" s="8">
        <f>IF(ABS($H1401)&lt;=tol_trade_inr,"PASS","FAIL")</f>
        <v/>
      </c>
    </row>
    <row r="1402">
      <c r="A1402" s="11" t="n">
        <v>44757</v>
      </c>
      <c r="B1402" s="7" t="inlineStr">
        <is>
          <t>T07</t>
        </is>
      </c>
      <c r="C1402" s="9" t="n">
        <v>-2350512.26</v>
      </c>
      <c r="D1402" s="9" t="n">
        <v>6002154.46</v>
      </c>
      <c r="E1402" s="18">
        <f>SUMIFS(Cashflows!$X$8:$X$1038,Cashflows!$A$8:$A$1038,$B1402,Cashflows!$F$8:$F$1038,"PNL",Cashflows!$K$8:$K$1038,"&lt;="&amp;$A1402)</f>
        <v/>
      </c>
      <c r="F1402" s="18">
        <f>SUMIFS(MTM_Daily!$AO$6:$AO$1238,MTM_Daily!$B$6:$B$1238,$B1402,MTM_Daily!$A$6:$A$1238,$A1402,MTM_Daily!$L$6:$L$1238,"PNL")</f>
        <v/>
      </c>
      <c r="G1402" s="18">
        <f>$E1402+$C1402+$F1402</f>
        <v/>
      </c>
      <c r="H1402" s="18">
        <f>$G1402-$D1402</f>
        <v/>
      </c>
      <c r="I1402" s="8">
        <f>IF(ABS($H1402)&lt;=tol_trade_inr,"PASS","FAIL")</f>
        <v/>
      </c>
    </row>
    <row r="1403">
      <c r="A1403" s="11" t="n">
        <v>44757</v>
      </c>
      <c r="B1403" s="7" t="inlineStr">
        <is>
          <t>T08</t>
        </is>
      </c>
      <c r="C1403" s="9" t="n">
        <v>-824410.91</v>
      </c>
      <c r="D1403" s="9" t="n">
        <v>7960016.97</v>
      </c>
      <c r="E1403" s="18">
        <f>SUMIFS(Cashflows!$X$8:$X$1038,Cashflows!$A$8:$A$1038,$B1403,Cashflows!$F$8:$F$1038,"PNL",Cashflows!$K$8:$K$1038,"&lt;="&amp;$A1403)</f>
        <v/>
      </c>
      <c r="F1403" s="18">
        <f>SUMIFS(MTM_Daily!$AO$6:$AO$1238,MTM_Daily!$B$6:$B$1238,$B1403,MTM_Daily!$A$6:$A$1238,$A1403,MTM_Daily!$L$6:$L$1238,"PNL")</f>
        <v/>
      </c>
      <c r="G1403" s="18">
        <f>$E1403+$C1403+$F1403</f>
        <v/>
      </c>
      <c r="H1403" s="18">
        <f>$G1403-$D1403</f>
        <v/>
      </c>
      <c r="I1403" s="8">
        <f>IF(ABS($H1403)&lt;=tol_trade_inr,"PASS","FAIL")</f>
        <v/>
      </c>
    </row>
    <row r="1404">
      <c r="A1404" s="11" t="n">
        <v>44757</v>
      </c>
      <c r="B1404" s="7" t="inlineStr">
        <is>
          <t>T09</t>
        </is>
      </c>
      <c r="C1404" s="9" t="n">
        <v>0</v>
      </c>
      <c r="D1404" s="9" t="n">
        <v>0</v>
      </c>
      <c r="E1404" s="18">
        <f>SUMIFS(Cashflows!$X$8:$X$1038,Cashflows!$A$8:$A$1038,$B1404,Cashflows!$F$8:$F$1038,"PNL",Cashflows!$K$8:$K$1038,"&lt;="&amp;$A1404)</f>
        <v/>
      </c>
      <c r="F1404" s="18">
        <f>SUMIFS(MTM_Daily!$AO$6:$AO$1238,MTM_Daily!$B$6:$B$1238,$B1404,MTM_Daily!$A$6:$A$1238,$A1404,MTM_Daily!$L$6:$L$1238,"PNL")</f>
        <v/>
      </c>
      <c r="G1404" s="18">
        <f>$E1404+$C1404+$F1404</f>
        <v/>
      </c>
      <c r="H1404" s="18">
        <f>$G1404-$D1404</f>
        <v/>
      </c>
      <c r="I1404" s="8">
        <f>IF(ABS($H1404)&lt;=tol_trade_inr,"PASS","FAIL")</f>
        <v/>
      </c>
    </row>
    <row r="1405">
      <c r="A1405" s="11" t="n">
        <v>44770</v>
      </c>
      <c r="B1405" s="7" t="inlineStr">
        <is>
          <t>T01</t>
        </is>
      </c>
      <c r="C1405" s="9" t="n">
        <v>-6572537.65</v>
      </c>
      <c r="D1405" s="9" t="n">
        <v>64283824.43</v>
      </c>
      <c r="E1405" s="18">
        <f>SUMIFS(Cashflows!$X$8:$X$1038,Cashflows!$A$8:$A$1038,$B1405,Cashflows!$F$8:$F$1038,"PNL",Cashflows!$K$8:$K$1038,"&lt;="&amp;$A1405)</f>
        <v/>
      </c>
      <c r="F1405" s="18">
        <f>SUMIFS(MTM_Daily!$AO$6:$AO$1238,MTM_Daily!$B$6:$B$1238,$B1405,MTM_Daily!$A$6:$A$1238,$A1405,MTM_Daily!$L$6:$L$1238,"PNL")</f>
        <v/>
      </c>
      <c r="G1405" s="18">
        <f>$E1405+$C1405+$F1405</f>
        <v/>
      </c>
      <c r="H1405" s="18">
        <f>$G1405-$D1405</f>
        <v/>
      </c>
      <c r="I1405" s="8">
        <f>IF(ABS($H1405)&lt;=tol_trade_inr,"PASS","FAIL")</f>
        <v/>
      </c>
    </row>
    <row r="1406">
      <c r="A1406" s="11" t="n">
        <v>44770</v>
      </c>
      <c r="B1406" s="7" t="inlineStr">
        <is>
          <t>T02</t>
        </is>
      </c>
      <c r="C1406" s="9" t="n">
        <v>1717125.18</v>
      </c>
      <c r="D1406" s="9" t="n">
        <v>50546931.45</v>
      </c>
      <c r="E1406" s="18">
        <f>SUMIFS(Cashflows!$X$8:$X$1038,Cashflows!$A$8:$A$1038,$B1406,Cashflows!$F$8:$F$1038,"PNL",Cashflows!$K$8:$K$1038,"&lt;="&amp;$A1406)</f>
        <v/>
      </c>
      <c r="F1406" s="18">
        <f>SUMIFS(MTM_Daily!$AO$6:$AO$1238,MTM_Daily!$B$6:$B$1238,$B1406,MTM_Daily!$A$6:$A$1238,$A1406,MTM_Daily!$L$6:$L$1238,"PNL")</f>
        <v/>
      </c>
      <c r="G1406" s="18">
        <f>$E1406+$C1406+$F1406</f>
        <v/>
      </c>
      <c r="H1406" s="18">
        <f>$G1406-$D1406</f>
        <v/>
      </c>
      <c r="I1406" s="8">
        <f>IF(ABS($H1406)&lt;=tol_trade_inr,"PASS","FAIL")</f>
        <v/>
      </c>
    </row>
    <row r="1407">
      <c r="A1407" s="11" t="n">
        <v>44770</v>
      </c>
      <c r="B1407" s="7" t="inlineStr">
        <is>
          <t>T03</t>
        </is>
      </c>
      <c r="C1407" s="9" t="n">
        <v>-3028530.88</v>
      </c>
      <c r="D1407" s="9" t="n">
        <v>29087405.69</v>
      </c>
      <c r="E1407" s="18">
        <f>SUMIFS(Cashflows!$X$8:$X$1038,Cashflows!$A$8:$A$1038,$B1407,Cashflows!$F$8:$F$1038,"PNL",Cashflows!$K$8:$K$1038,"&lt;="&amp;$A1407)</f>
        <v/>
      </c>
      <c r="F1407" s="18">
        <f>SUMIFS(MTM_Daily!$AO$6:$AO$1238,MTM_Daily!$B$6:$B$1238,$B1407,MTM_Daily!$A$6:$A$1238,$A1407,MTM_Daily!$L$6:$L$1238,"PNL")</f>
        <v/>
      </c>
      <c r="G1407" s="18">
        <f>$E1407+$C1407+$F1407</f>
        <v/>
      </c>
      <c r="H1407" s="18">
        <f>$G1407-$D1407</f>
        <v/>
      </c>
      <c r="I1407" s="8">
        <f>IF(ABS($H1407)&lt;=tol_trade_inr,"PASS","FAIL")</f>
        <v/>
      </c>
    </row>
    <row r="1408">
      <c r="A1408" s="11" t="n">
        <v>44770</v>
      </c>
      <c r="B1408" s="7" t="inlineStr">
        <is>
          <t>T04</t>
        </is>
      </c>
      <c r="C1408" s="9" t="n">
        <v>-3427797.12</v>
      </c>
      <c r="D1408" s="9" t="n">
        <v>6486156.42</v>
      </c>
      <c r="E1408" s="18">
        <f>SUMIFS(Cashflows!$X$8:$X$1038,Cashflows!$A$8:$A$1038,$B1408,Cashflows!$F$8:$F$1038,"PNL",Cashflows!$K$8:$K$1038,"&lt;="&amp;$A1408)</f>
        <v/>
      </c>
      <c r="F1408" s="18">
        <f>SUMIFS(MTM_Daily!$AO$6:$AO$1238,MTM_Daily!$B$6:$B$1238,$B1408,MTM_Daily!$A$6:$A$1238,$A1408,MTM_Daily!$L$6:$L$1238,"PNL")</f>
        <v/>
      </c>
      <c r="G1408" s="18">
        <f>$E1408+$C1408+$F1408</f>
        <v/>
      </c>
      <c r="H1408" s="18">
        <f>$G1408-$D1408</f>
        <v/>
      </c>
      <c r="I1408" s="8">
        <f>IF(ABS($H1408)&lt;=tol_trade_inr,"PASS","FAIL")</f>
        <v/>
      </c>
    </row>
    <row r="1409">
      <c r="A1409" s="11" t="n">
        <v>44770</v>
      </c>
      <c r="B1409" s="7" t="inlineStr">
        <is>
          <t>T05</t>
        </is>
      </c>
      <c r="C1409" s="9" t="n">
        <v>-1489505.25</v>
      </c>
      <c r="D1409" s="9" t="n">
        <v>34619479.9</v>
      </c>
      <c r="E1409" s="18">
        <f>SUMIFS(Cashflows!$X$8:$X$1038,Cashflows!$A$8:$A$1038,$B1409,Cashflows!$F$8:$F$1038,"PNL",Cashflows!$K$8:$K$1038,"&lt;="&amp;$A1409)</f>
        <v/>
      </c>
      <c r="F1409" s="18">
        <f>SUMIFS(MTM_Daily!$AO$6:$AO$1238,MTM_Daily!$B$6:$B$1238,$B1409,MTM_Daily!$A$6:$A$1238,$A1409,MTM_Daily!$L$6:$L$1238,"PNL")</f>
        <v/>
      </c>
      <c r="G1409" s="18">
        <f>$E1409+$C1409+$F1409</f>
        <v/>
      </c>
      <c r="H1409" s="18">
        <f>$G1409-$D1409</f>
        <v/>
      </c>
      <c r="I1409" s="8">
        <f>IF(ABS($H1409)&lt;=tol_trade_inr,"PASS","FAIL")</f>
        <v/>
      </c>
    </row>
    <row r="1410">
      <c r="A1410" s="11" t="n">
        <v>44770</v>
      </c>
      <c r="B1410" s="7" t="inlineStr">
        <is>
          <t>T06</t>
        </is>
      </c>
      <c r="C1410" s="9" t="n">
        <v>-3801954.07</v>
      </c>
      <c r="D1410" s="9" t="n">
        <v>9305366.720000001</v>
      </c>
      <c r="E1410" s="18">
        <f>SUMIFS(Cashflows!$X$8:$X$1038,Cashflows!$A$8:$A$1038,$B1410,Cashflows!$F$8:$F$1038,"PNL",Cashflows!$K$8:$K$1038,"&lt;="&amp;$A1410)</f>
        <v/>
      </c>
      <c r="F1410" s="18">
        <f>SUMIFS(MTM_Daily!$AO$6:$AO$1238,MTM_Daily!$B$6:$B$1238,$B1410,MTM_Daily!$A$6:$A$1238,$A1410,MTM_Daily!$L$6:$L$1238,"PNL")</f>
        <v/>
      </c>
      <c r="G1410" s="18">
        <f>$E1410+$C1410+$F1410</f>
        <v/>
      </c>
      <c r="H1410" s="18">
        <f>$G1410-$D1410</f>
        <v/>
      </c>
      <c r="I1410" s="8">
        <f>IF(ABS($H1410)&lt;=tol_trade_inr,"PASS","FAIL")</f>
        <v/>
      </c>
    </row>
    <row r="1411">
      <c r="A1411" s="11" t="n">
        <v>44770</v>
      </c>
      <c r="B1411" s="7" t="inlineStr">
        <is>
          <t>T07</t>
        </is>
      </c>
      <c r="C1411" s="9" t="n">
        <v>-3548374.75</v>
      </c>
      <c r="D1411" s="9" t="n">
        <v>4318808.11</v>
      </c>
      <c r="E1411" s="18">
        <f>SUMIFS(Cashflows!$X$8:$X$1038,Cashflows!$A$8:$A$1038,$B1411,Cashflows!$F$8:$F$1038,"PNL",Cashflows!$K$8:$K$1038,"&lt;="&amp;$A1411)</f>
        <v/>
      </c>
      <c r="F1411" s="18">
        <f>SUMIFS(MTM_Daily!$AO$6:$AO$1238,MTM_Daily!$B$6:$B$1238,$B1411,MTM_Daily!$A$6:$A$1238,$A1411,MTM_Daily!$L$6:$L$1238,"PNL")</f>
        <v/>
      </c>
      <c r="G1411" s="18">
        <f>$E1411+$C1411+$F1411</f>
        <v/>
      </c>
      <c r="H1411" s="18">
        <f>$G1411-$D1411</f>
        <v/>
      </c>
      <c r="I1411" s="8">
        <f>IF(ABS($H1411)&lt;=tol_trade_inr,"PASS","FAIL")</f>
        <v/>
      </c>
    </row>
    <row r="1412">
      <c r="A1412" s="11" t="n">
        <v>44770</v>
      </c>
      <c r="B1412" s="7" t="inlineStr">
        <is>
          <t>T08</t>
        </is>
      </c>
      <c r="C1412" s="9" t="n">
        <v>-1803977.55</v>
      </c>
      <c r="D1412" s="9" t="n">
        <v>-8899789.960000001</v>
      </c>
      <c r="E1412" s="18">
        <f>SUMIFS(Cashflows!$X$8:$X$1038,Cashflows!$A$8:$A$1038,$B1412,Cashflows!$F$8:$F$1038,"PNL",Cashflows!$K$8:$K$1038,"&lt;="&amp;$A1412)</f>
        <v/>
      </c>
      <c r="F1412" s="18">
        <f>SUMIFS(MTM_Daily!$AO$6:$AO$1238,MTM_Daily!$B$6:$B$1238,$B1412,MTM_Daily!$A$6:$A$1238,$A1412,MTM_Daily!$L$6:$L$1238,"PNL")</f>
        <v/>
      </c>
      <c r="G1412" s="18">
        <f>$E1412+$C1412+$F1412</f>
        <v/>
      </c>
      <c r="H1412" s="18">
        <f>$G1412-$D1412</f>
        <v/>
      </c>
      <c r="I1412" s="8">
        <f>IF(ABS($H1412)&lt;=tol_trade_inr,"PASS","FAIL")</f>
        <v/>
      </c>
    </row>
    <row r="1413">
      <c r="A1413" s="11" t="n">
        <v>44770</v>
      </c>
      <c r="B1413" s="7" t="inlineStr">
        <is>
          <t>T09</t>
        </is>
      </c>
      <c r="C1413" s="9" t="n">
        <v>0</v>
      </c>
      <c r="D1413" s="9" t="n">
        <v>0</v>
      </c>
      <c r="E1413" s="18">
        <f>SUMIFS(Cashflows!$X$8:$X$1038,Cashflows!$A$8:$A$1038,$B1413,Cashflows!$F$8:$F$1038,"PNL",Cashflows!$K$8:$K$1038,"&lt;="&amp;$A1413)</f>
        <v/>
      </c>
      <c r="F1413" s="18">
        <f>SUMIFS(MTM_Daily!$AO$6:$AO$1238,MTM_Daily!$B$6:$B$1238,$B1413,MTM_Daily!$A$6:$A$1238,$A1413,MTM_Daily!$L$6:$L$1238,"PNL")</f>
        <v/>
      </c>
      <c r="G1413" s="18">
        <f>$E1413+$C1413+$F1413</f>
        <v/>
      </c>
      <c r="H1413" s="18">
        <f>$G1413-$D1413</f>
        <v/>
      </c>
      <c r="I1413" s="8">
        <f>IF(ABS($H1413)&lt;=tol_trade_inr,"PASS","FAIL")</f>
        <v/>
      </c>
    </row>
    <row r="1414">
      <c r="A1414" s="11" t="n">
        <v>44771</v>
      </c>
      <c r="B1414" s="7" t="inlineStr">
        <is>
          <t>T01</t>
        </is>
      </c>
      <c r="C1414" s="9" t="n">
        <v>-6572537.65</v>
      </c>
      <c r="D1414" s="9" t="n">
        <v>64283824.43</v>
      </c>
      <c r="E1414" s="18">
        <f>SUMIFS(Cashflows!$X$8:$X$1038,Cashflows!$A$8:$A$1038,$B1414,Cashflows!$F$8:$F$1038,"PNL",Cashflows!$K$8:$K$1038,"&lt;="&amp;$A1414)</f>
        <v/>
      </c>
      <c r="F1414" s="18">
        <f>SUMIFS(MTM_Daily!$AO$6:$AO$1238,MTM_Daily!$B$6:$B$1238,$B1414,MTM_Daily!$A$6:$A$1238,$A1414,MTM_Daily!$L$6:$L$1238,"PNL")</f>
        <v/>
      </c>
      <c r="G1414" s="18">
        <f>$E1414+$C1414+$F1414</f>
        <v/>
      </c>
      <c r="H1414" s="18">
        <f>$G1414-$D1414</f>
        <v/>
      </c>
      <c r="I1414" s="8">
        <f>IF(ABS($H1414)&lt;=tol_trade_inr,"PASS","FAIL")</f>
        <v/>
      </c>
    </row>
    <row r="1415">
      <c r="A1415" s="11" t="n">
        <v>44771</v>
      </c>
      <c r="B1415" s="7" t="inlineStr">
        <is>
          <t>T02</t>
        </is>
      </c>
      <c r="C1415" s="9" t="n">
        <v>1717125.18</v>
      </c>
      <c r="D1415" s="9" t="n">
        <v>50546931.45</v>
      </c>
      <c r="E1415" s="18">
        <f>SUMIFS(Cashflows!$X$8:$X$1038,Cashflows!$A$8:$A$1038,$B1415,Cashflows!$F$8:$F$1038,"PNL",Cashflows!$K$8:$K$1038,"&lt;="&amp;$A1415)</f>
        <v/>
      </c>
      <c r="F1415" s="18">
        <f>SUMIFS(MTM_Daily!$AO$6:$AO$1238,MTM_Daily!$B$6:$B$1238,$B1415,MTM_Daily!$A$6:$A$1238,$A1415,MTM_Daily!$L$6:$L$1238,"PNL")</f>
        <v/>
      </c>
      <c r="G1415" s="18">
        <f>$E1415+$C1415+$F1415</f>
        <v/>
      </c>
      <c r="H1415" s="18">
        <f>$G1415-$D1415</f>
        <v/>
      </c>
      <c r="I1415" s="8">
        <f>IF(ABS($H1415)&lt;=tol_trade_inr,"PASS","FAIL")</f>
        <v/>
      </c>
    </row>
    <row r="1416">
      <c r="A1416" s="11" t="n">
        <v>44771</v>
      </c>
      <c r="B1416" s="7" t="inlineStr">
        <is>
          <t>T03</t>
        </is>
      </c>
      <c r="C1416" s="9" t="n">
        <v>-3028530.88</v>
      </c>
      <c r="D1416" s="9" t="n">
        <v>29087405.69</v>
      </c>
      <c r="E1416" s="18">
        <f>SUMIFS(Cashflows!$X$8:$X$1038,Cashflows!$A$8:$A$1038,$B1416,Cashflows!$F$8:$F$1038,"PNL",Cashflows!$K$8:$K$1038,"&lt;="&amp;$A1416)</f>
        <v/>
      </c>
      <c r="F1416" s="18">
        <f>SUMIFS(MTM_Daily!$AO$6:$AO$1238,MTM_Daily!$B$6:$B$1238,$B1416,MTM_Daily!$A$6:$A$1238,$A1416,MTM_Daily!$L$6:$L$1238,"PNL")</f>
        <v/>
      </c>
      <c r="G1416" s="18">
        <f>$E1416+$C1416+$F1416</f>
        <v/>
      </c>
      <c r="H1416" s="18">
        <f>$G1416-$D1416</f>
        <v/>
      </c>
      <c r="I1416" s="8">
        <f>IF(ABS($H1416)&lt;=tol_trade_inr,"PASS","FAIL")</f>
        <v/>
      </c>
    </row>
    <row r="1417">
      <c r="A1417" s="11" t="n">
        <v>44771</v>
      </c>
      <c r="B1417" s="7" t="inlineStr">
        <is>
          <t>T04</t>
        </is>
      </c>
      <c r="C1417" s="9" t="n">
        <v>-3431366.46</v>
      </c>
      <c r="D1417" s="9" t="n">
        <v>6482587.08</v>
      </c>
      <c r="E1417" s="18">
        <f>SUMIFS(Cashflows!$X$8:$X$1038,Cashflows!$A$8:$A$1038,$B1417,Cashflows!$F$8:$F$1038,"PNL",Cashflows!$K$8:$K$1038,"&lt;="&amp;$A1417)</f>
        <v/>
      </c>
      <c r="F1417" s="18">
        <f>SUMIFS(MTM_Daily!$AO$6:$AO$1238,MTM_Daily!$B$6:$B$1238,$B1417,MTM_Daily!$A$6:$A$1238,$A1417,MTM_Daily!$L$6:$L$1238,"PNL")</f>
        <v/>
      </c>
      <c r="G1417" s="18">
        <f>$E1417+$C1417+$F1417</f>
        <v/>
      </c>
      <c r="H1417" s="18">
        <f>$G1417-$D1417</f>
        <v/>
      </c>
      <c r="I1417" s="8">
        <f>IF(ABS($H1417)&lt;=tol_trade_inr,"PASS","FAIL")</f>
        <v/>
      </c>
    </row>
    <row r="1418">
      <c r="A1418" s="11" t="n">
        <v>44771</v>
      </c>
      <c r="B1418" s="7" t="inlineStr">
        <is>
          <t>T05</t>
        </is>
      </c>
      <c r="C1418" s="9" t="n">
        <v>-1580878.83</v>
      </c>
      <c r="D1418" s="9" t="n">
        <v>34528106.32</v>
      </c>
      <c r="E1418" s="18">
        <f>SUMIFS(Cashflows!$X$8:$X$1038,Cashflows!$A$8:$A$1038,$B1418,Cashflows!$F$8:$F$1038,"PNL",Cashflows!$K$8:$K$1038,"&lt;="&amp;$A1418)</f>
        <v/>
      </c>
      <c r="F1418" s="18">
        <f>SUMIFS(MTM_Daily!$AO$6:$AO$1238,MTM_Daily!$B$6:$B$1238,$B1418,MTM_Daily!$A$6:$A$1238,$A1418,MTM_Daily!$L$6:$L$1238,"PNL")</f>
        <v/>
      </c>
      <c r="G1418" s="18">
        <f>$E1418+$C1418+$F1418</f>
        <v/>
      </c>
      <c r="H1418" s="18">
        <f>$G1418-$D1418</f>
        <v/>
      </c>
      <c r="I1418" s="8">
        <f>IF(ABS($H1418)&lt;=tol_trade_inr,"PASS","FAIL")</f>
        <v/>
      </c>
    </row>
    <row r="1419">
      <c r="A1419" s="11" t="n">
        <v>44771</v>
      </c>
      <c r="B1419" s="7" t="inlineStr">
        <is>
          <t>T06</t>
        </is>
      </c>
      <c r="C1419" s="9" t="n">
        <v>-3864342.47</v>
      </c>
      <c r="D1419" s="9" t="n">
        <v>9242978.310000001</v>
      </c>
      <c r="E1419" s="18">
        <f>SUMIFS(Cashflows!$X$8:$X$1038,Cashflows!$A$8:$A$1038,$B1419,Cashflows!$F$8:$F$1038,"PNL",Cashflows!$K$8:$K$1038,"&lt;="&amp;$A1419)</f>
        <v/>
      </c>
      <c r="F1419" s="18">
        <f>SUMIFS(MTM_Daily!$AO$6:$AO$1238,MTM_Daily!$B$6:$B$1238,$B1419,MTM_Daily!$A$6:$A$1238,$A1419,MTM_Daily!$L$6:$L$1238,"PNL")</f>
        <v/>
      </c>
      <c r="G1419" s="18">
        <f>$E1419+$C1419+$F1419</f>
        <v/>
      </c>
      <c r="H1419" s="18">
        <f>$G1419-$D1419</f>
        <v/>
      </c>
      <c r="I1419" s="8">
        <f>IF(ABS($H1419)&lt;=tol_trade_inr,"PASS","FAIL")</f>
        <v/>
      </c>
    </row>
    <row r="1420">
      <c r="A1420" s="11" t="n">
        <v>44771</v>
      </c>
      <c r="B1420" s="7" t="inlineStr">
        <is>
          <t>T07</t>
        </is>
      </c>
      <c r="C1420" s="9" t="n">
        <v>-3646492.29</v>
      </c>
      <c r="D1420" s="9" t="n">
        <v>4214922.86</v>
      </c>
      <c r="E1420" s="18">
        <f>SUMIFS(Cashflows!$X$8:$X$1038,Cashflows!$A$8:$A$1038,$B1420,Cashflows!$F$8:$F$1038,"PNL",Cashflows!$K$8:$K$1038,"&lt;="&amp;$A1420)</f>
        <v/>
      </c>
      <c r="F1420" s="18">
        <f>SUMIFS(MTM_Daily!$AO$6:$AO$1238,MTM_Daily!$B$6:$B$1238,$B1420,MTM_Daily!$A$6:$A$1238,$A1420,MTM_Daily!$L$6:$L$1238,"PNL")</f>
        <v/>
      </c>
      <c r="G1420" s="18">
        <f>$E1420+$C1420+$F1420</f>
        <v/>
      </c>
      <c r="H1420" s="18">
        <f>$G1420-$D1420</f>
        <v/>
      </c>
      <c r="I1420" s="8">
        <f>IF(ABS($H1420)&lt;=tol_trade_inr,"PASS","FAIL")</f>
        <v/>
      </c>
    </row>
    <row r="1421">
      <c r="A1421" s="11" t="n">
        <v>44771</v>
      </c>
      <c r="B1421" s="7" t="inlineStr">
        <is>
          <t>T08</t>
        </is>
      </c>
      <c r="C1421" s="9" t="n">
        <v>-1880645.18</v>
      </c>
      <c r="D1421" s="9" t="n">
        <v>-9885724.789999999</v>
      </c>
      <c r="E1421" s="18">
        <f>SUMIFS(Cashflows!$X$8:$X$1038,Cashflows!$A$8:$A$1038,$B1421,Cashflows!$F$8:$F$1038,"PNL",Cashflows!$K$8:$K$1038,"&lt;="&amp;$A1421)</f>
        <v/>
      </c>
      <c r="F1421" s="18">
        <f>SUMIFS(MTM_Daily!$AO$6:$AO$1238,MTM_Daily!$B$6:$B$1238,$B1421,MTM_Daily!$A$6:$A$1238,$A1421,MTM_Daily!$L$6:$L$1238,"PNL")</f>
        <v/>
      </c>
      <c r="G1421" s="18">
        <f>$E1421+$C1421+$F1421</f>
        <v/>
      </c>
      <c r="H1421" s="18">
        <f>$G1421-$D1421</f>
        <v/>
      </c>
      <c r="I1421" s="8">
        <f>IF(ABS($H1421)&lt;=tol_trade_inr,"PASS","FAIL")</f>
        <v/>
      </c>
    </row>
    <row r="1422">
      <c r="A1422" s="11" t="n">
        <v>44771</v>
      </c>
      <c r="B1422" s="7" t="inlineStr">
        <is>
          <t>T09</t>
        </is>
      </c>
      <c r="C1422" s="9" t="n">
        <v>0</v>
      </c>
      <c r="D1422" s="9" t="n">
        <v>0</v>
      </c>
      <c r="E1422" s="18">
        <f>SUMIFS(Cashflows!$X$8:$X$1038,Cashflows!$A$8:$A$1038,$B1422,Cashflows!$F$8:$F$1038,"PNL",Cashflows!$K$8:$K$1038,"&lt;="&amp;$A1422)</f>
        <v/>
      </c>
      <c r="F1422" s="18">
        <f>SUMIFS(MTM_Daily!$AO$6:$AO$1238,MTM_Daily!$B$6:$B$1238,$B1422,MTM_Daily!$A$6:$A$1238,$A1422,MTM_Daily!$L$6:$L$1238,"PNL")</f>
        <v/>
      </c>
      <c r="G1422" s="18">
        <f>$E1422+$C1422+$F1422</f>
        <v/>
      </c>
      <c r="H1422" s="18">
        <f>$G1422-$D1422</f>
        <v/>
      </c>
      <c r="I1422" s="8">
        <f>IF(ABS($H1422)&lt;=tol_trade_inr,"PASS","FAIL")</f>
        <v/>
      </c>
    </row>
    <row r="1423">
      <c r="A1423" s="11" t="n">
        <v>44776</v>
      </c>
      <c r="B1423" s="7" t="inlineStr">
        <is>
          <t>T01</t>
        </is>
      </c>
      <c r="C1423" s="9" t="n">
        <v>-6572537.65</v>
      </c>
      <c r="D1423" s="9" t="n">
        <v>64283824.43</v>
      </c>
      <c r="E1423" s="18">
        <f>SUMIFS(Cashflows!$X$8:$X$1038,Cashflows!$A$8:$A$1038,$B1423,Cashflows!$F$8:$F$1038,"PNL",Cashflows!$K$8:$K$1038,"&lt;="&amp;$A1423)</f>
        <v/>
      </c>
      <c r="F1423" s="18">
        <f>SUMIFS(MTM_Daily!$AO$6:$AO$1238,MTM_Daily!$B$6:$B$1238,$B1423,MTM_Daily!$A$6:$A$1238,$A1423,MTM_Daily!$L$6:$L$1238,"PNL")</f>
        <v/>
      </c>
      <c r="G1423" s="18">
        <f>$E1423+$C1423+$F1423</f>
        <v/>
      </c>
      <c r="H1423" s="18">
        <f>$G1423-$D1423</f>
        <v/>
      </c>
      <c r="I1423" s="8">
        <f>IF(ABS($H1423)&lt;=tol_trade_inr,"PASS","FAIL")</f>
        <v/>
      </c>
    </row>
    <row r="1424">
      <c r="A1424" s="11" t="n">
        <v>44776</v>
      </c>
      <c r="B1424" s="7" t="inlineStr">
        <is>
          <t>T02</t>
        </is>
      </c>
      <c r="C1424" s="9" t="n">
        <v>1717125.18</v>
      </c>
      <c r="D1424" s="9" t="n">
        <v>50546931.45</v>
      </c>
      <c r="E1424" s="18">
        <f>SUMIFS(Cashflows!$X$8:$X$1038,Cashflows!$A$8:$A$1038,$B1424,Cashflows!$F$8:$F$1038,"PNL",Cashflows!$K$8:$K$1038,"&lt;="&amp;$A1424)</f>
        <v/>
      </c>
      <c r="F1424" s="18">
        <f>SUMIFS(MTM_Daily!$AO$6:$AO$1238,MTM_Daily!$B$6:$B$1238,$B1424,MTM_Daily!$A$6:$A$1238,$A1424,MTM_Daily!$L$6:$L$1238,"PNL")</f>
        <v/>
      </c>
      <c r="G1424" s="18">
        <f>$E1424+$C1424+$F1424</f>
        <v/>
      </c>
      <c r="H1424" s="18">
        <f>$G1424-$D1424</f>
        <v/>
      </c>
      <c r="I1424" s="8">
        <f>IF(ABS($H1424)&lt;=tol_trade_inr,"PASS","FAIL")</f>
        <v/>
      </c>
    </row>
    <row r="1425">
      <c r="A1425" s="11" t="n">
        <v>44776</v>
      </c>
      <c r="B1425" s="7" t="inlineStr">
        <is>
          <t>T03</t>
        </is>
      </c>
      <c r="C1425" s="9" t="n">
        <v>-3028530.88</v>
      </c>
      <c r="D1425" s="9" t="n">
        <v>29087405.69</v>
      </c>
      <c r="E1425" s="18">
        <f>SUMIFS(Cashflows!$X$8:$X$1038,Cashflows!$A$8:$A$1038,$B1425,Cashflows!$F$8:$F$1038,"PNL",Cashflows!$K$8:$K$1038,"&lt;="&amp;$A1425)</f>
        <v/>
      </c>
      <c r="F1425" s="18">
        <f>SUMIFS(MTM_Daily!$AO$6:$AO$1238,MTM_Daily!$B$6:$B$1238,$B1425,MTM_Daily!$A$6:$A$1238,$A1425,MTM_Daily!$L$6:$L$1238,"PNL")</f>
        <v/>
      </c>
      <c r="G1425" s="18">
        <f>$E1425+$C1425+$F1425</f>
        <v/>
      </c>
      <c r="H1425" s="18">
        <f>$G1425-$D1425</f>
        <v/>
      </c>
      <c r="I1425" s="8">
        <f>IF(ABS($H1425)&lt;=tol_trade_inr,"PASS","FAIL")</f>
        <v/>
      </c>
    </row>
    <row r="1426">
      <c r="A1426" s="11" t="n">
        <v>44776</v>
      </c>
      <c r="B1426" s="7" t="inlineStr">
        <is>
          <t>T04</t>
        </is>
      </c>
      <c r="C1426" s="9" t="n">
        <v>-3431366.46</v>
      </c>
      <c r="D1426" s="9" t="n">
        <v>6482587.08</v>
      </c>
      <c r="E1426" s="18">
        <f>SUMIFS(Cashflows!$X$8:$X$1038,Cashflows!$A$8:$A$1038,$B1426,Cashflows!$F$8:$F$1038,"PNL",Cashflows!$K$8:$K$1038,"&lt;="&amp;$A1426)</f>
        <v/>
      </c>
      <c r="F1426" s="18">
        <f>SUMIFS(MTM_Daily!$AO$6:$AO$1238,MTM_Daily!$B$6:$B$1238,$B1426,MTM_Daily!$A$6:$A$1238,$A1426,MTM_Daily!$L$6:$L$1238,"PNL")</f>
        <v/>
      </c>
      <c r="G1426" s="18">
        <f>$E1426+$C1426+$F1426</f>
        <v/>
      </c>
      <c r="H1426" s="18">
        <f>$G1426-$D1426</f>
        <v/>
      </c>
      <c r="I1426" s="8">
        <f>IF(ABS($H1426)&lt;=tol_trade_inr,"PASS","FAIL")</f>
        <v/>
      </c>
    </row>
    <row r="1427">
      <c r="A1427" s="11" t="n">
        <v>44776</v>
      </c>
      <c r="B1427" s="7" t="inlineStr">
        <is>
          <t>T05</t>
        </is>
      </c>
      <c r="C1427" s="9" t="n">
        <v>-2037746.71</v>
      </c>
      <c r="D1427" s="9" t="n">
        <v>34071238.44</v>
      </c>
      <c r="E1427" s="18">
        <f>SUMIFS(Cashflows!$X$8:$X$1038,Cashflows!$A$8:$A$1038,$B1427,Cashflows!$F$8:$F$1038,"PNL",Cashflows!$K$8:$K$1038,"&lt;="&amp;$A1427)</f>
        <v/>
      </c>
      <c r="F1427" s="18">
        <f>SUMIFS(MTM_Daily!$AO$6:$AO$1238,MTM_Daily!$B$6:$B$1238,$B1427,MTM_Daily!$A$6:$A$1238,$A1427,MTM_Daily!$L$6:$L$1238,"PNL")</f>
        <v/>
      </c>
      <c r="G1427" s="18">
        <f>$E1427+$C1427+$F1427</f>
        <v/>
      </c>
      <c r="H1427" s="18">
        <f>$G1427-$D1427</f>
        <v/>
      </c>
      <c r="I1427" s="8">
        <f>IF(ABS($H1427)&lt;=tol_trade_inr,"PASS","FAIL")</f>
        <v/>
      </c>
    </row>
    <row r="1428">
      <c r="A1428" s="11" t="n">
        <v>44776</v>
      </c>
      <c r="B1428" s="7" t="inlineStr">
        <is>
          <t>T06</t>
        </is>
      </c>
      <c r="C1428" s="9" t="n">
        <v>-4176284.5</v>
      </c>
      <c r="D1428" s="9" t="n">
        <v>8931036.289999999</v>
      </c>
      <c r="E1428" s="18">
        <f>SUMIFS(Cashflows!$X$8:$X$1038,Cashflows!$A$8:$A$1038,$B1428,Cashflows!$F$8:$F$1038,"PNL",Cashflows!$K$8:$K$1038,"&lt;="&amp;$A1428)</f>
        <v/>
      </c>
      <c r="F1428" s="18">
        <f>SUMIFS(MTM_Daily!$AO$6:$AO$1238,MTM_Daily!$B$6:$B$1238,$B1428,MTM_Daily!$A$6:$A$1238,$A1428,MTM_Daily!$L$6:$L$1238,"PNL")</f>
        <v/>
      </c>
      <c r="G1428" s="18">
        <f>$E1428+$C1428+$F1428</f>
        <v/>
      </c>
      <c r="H1428" s="18">
        <f>$G1428-$D1428</f>
        <v/>
      </c>
      <c r="I1428" s="8">
        <f>IF(ABS($H1428)&lt;=tol_trade_inr,"PASS","FAIL")</f>
        <v/>
      </c>
    </row>
    <row r="1429">
      <c r="A1429" s="11" t="n">
        <v>44776</v>
      </c>
      <c r="B1429" s="7" t="inlineStr">
        <is>
          <t>T07</t>
        </is>
      </c>
      <c r="C1429" s="9" t="n">
        <v>-4137079.99</v>
      </c>
      <c r="D1429" s="9" t="n">
        <v>3721247.35</v>
      </c>
      <c r="E1429" s="18">
        <f>SUMIFS(Cashflows!$X$8:$X$1038,Cashflows!$A$8:$A$1038,$B1429,Cashflows!$F$8:$F$1038,"PNL",Cashflows!$K$8:$K$1038,"&lt;="&amp;$A1429)</f>
        <v/>
      </c>
      <c r="F1429" s="18">
        <f>SUMIFS(MTM_Daily!$AO$6:$AO$1238,MTM_Daily!$B$6:$B$1238,$B1429,MTM_Daily!$A$6:$A$1238,$A1429,MTM_Daily!$L$6:$L$1238,"PNL")</f>
        <v/>
      </c>
      <c r="G1429" s="18">
        <f>$E1429+$C1429+$F1429</f>
        <v/>
      </c>
      <c r="H1429" s="18">
        <f>$G1429-$D1429</f>
        <v/>
      </c>
      <c r="I1429" s="8">
        <f>IF(ABS($H1429)&lt;=tol_trade_inr,"PASS","FAIL")</f>
        <v/>
      </c>
    </row>
    <row r="1430">
      <c r="A1430" s="11" t="n">
        <v>44776</v>
      </c>
      <c r="B1430" s="7" t="inlineStr">
        <is>
          <t>T08</t>
        </is>
      </c>
      <c r="C1430" s="9" t="n">
        <v>-2260749.09</v>
      </c>
      <c r="D1430" s="9" t="n">
        <v>-12663478.61</v>
      </c>
      <c r="E1430" s="18">
        <f>SUMIFS(Cashflows!$X$8:$X$1038,Cashflows!$A$8:$A$1038,$B1430,Cashflows!$F$8:$F$1038,"PNL",Cashflows!$K$8:$K$1038,"&lt;="&amp;$A1430)</f>
        <v/>
      </c>
      <c r="F1430" s="18">
        <f>SUMIFS(MTM_Daily!$AO$6:$AO$1238,MTM_Daily!$B$6:$B$1238,$B1430,MTM_Daily!$A$6:$A$1238,$A1430,MTM_Daily!$L$6:$L$1238,"PNL")</f>
        <v/>
      </c>
      <c r="G1430" s="18">
        <f>$E1430+$C1430+$F1430</f>
        <v/>
      </c>
      <c r="H1430" s="18">
        <f>$G1430-$D1430</f>
        <v/>
      </c>
      <c r="I1430" s="8">
        <f>IF(ABS($H1430)&lt;=tol_trade_inr,"PASS","FAIL")</f>
        <v/>
      </c>
    </row>
    <row r="1431">
      <c r="A1431" s="11" t="n">
        <v>44776</v>
      </c>
      <c r="B1431" s="7" t="inlineStr">
        <is>
          <t>T09</t>
        </is>
      </c>
      <c r="C1431" s="9" t="n">
        <v>0</v>
      </c>
      <c r="D1431" s="9" t="n">
        <v>-1330570.28</v>
      </c>
      <c r="E1431" s="18">
        <f>SUMIFS(Cashflows!$X$8:$X$1038,Cashflows!$A$8:$A$1038,$B1431,Cashflows!$F$8:$F$1038,"PNL",Cashflows!$K$8:$K$1038,"&lt;="&amp;$A1431)</f>
        <v/>
      </c>
      <c r="F1431" s="18">
        <f>SUMIFS(MTM_Daily!$AO$6:$AO$1238,MTM_Daily!$B$6:$B$1238,$B1431,MTM_Daily!$A$6:$A$1238,$A1431,MTM_Daily!$L$6:$L$1238,"PNL")</f>
        <v/>
      </c>
      <c r="G1431" s="18">
        <f>$E1431+$C1431+$F1431</f>
        <v/>
      </c>
      <c r="H1431" s="18">
        <f>$G1431-$D1431</f>
        <v/>
      </c>
      <c r="I1431" s="8">
        <f>IF(ABS($H1431)&lt;=tol_trade_inr,"PASS","FAIL")</f>
        <v/>
      </c>
    </row>
    <row r="1432">
      <c r="A1432" s="11" t="n">
        <v>44804</v>
      </c>
      <c r="B1432" s="7" t="inlineStr">
        <is>
          <t>T01</t>
        </is>
      </c>
      <c r="C1432" s="9" t="n">
        <v>-6572537.65</v>
      </c>
      <c r="D1432" s="9" t="n">
        <v>64283824.43</v>
      </c>
      <c r="E1432" s="18">
        <f>SUMIFS(Cashflows!$X$8:$X$1038,Cashflows!$A$8:$A$1038,$B1432,Cashflows!$F$8:$F$1038,"PNL",Cashflows!$K$8:$K$1038,"&lt;="&amp;$A1432)</f>
        <v/>
      </c>
      <c r="F1432" s="18">
        <f>SUMIFS(MTM_Daily!$AO$6:$AO$1238,MTM_Daily!$B$6:$B$1238,$B1432,MTM_Daily!$A$6:$A$1238,$A1432,MTM_Daily!$L$6:$L$1238,"PNL")</f>
        <v/>
      </c>
      <c r="G1432" s="18">
        <f>$E1432+$C1432+$F1432</f>
        <v/>
      </c>
      <c r="H1432" s="18">
        <f>$G1432-$D1432</f>
        <v/>
      </c>
      <c r="I1432" s="8">
        <f>IF(ABS($H1432)&lt;=tol_trade_inr,"PASS","FAIL")</f>
        <v/>
      </c>
    </row>
    <row r="1433">
      <c r="A1433" s="11" t="n">
        <v>44804</v>
      </c>
      <c r="B1433" s="7" t="inlineStr">
        <is>
          <t>T02</t>
        </is>
      </c>
      <c r="C1433" s="9" t="n">
        <v>1717125.18</v>
      </c>
      <c r="D1433" s="9" t="n">
        <v>50546931.45</v>
      </c>
      <c r="E1433" s="18">
        <f>SUMIFS(Cashflows!$X$8:$X$1038,Cashflows!$A$8:$A$1038,$B1433,Cashflows!$F$8:$F$1038,"PNL",Cashflows!$K$8:$K$1038,"&lt;="&amp;$A1433)</f>
        <v/>
      </c>
      <c r="F1433" s="18">
        <f>SUMIFS(MTM_Daily!$AO$6:$AO$1238,MTM_Daily!$B$6:$B$1238,$B1433,MTM_Daily!$A$6:$A$1238,$A1433,MTM_Daily!$L$6:$L$1238,"PNL")</f>
        <v/>
      </c>
      <c r="G1433" s="18">
        <f>$E1433+$C1433+$F1433</f>
        <v/>
      </c>
      <c r="H1433" s="18">
        <f>$G1433-$D1433</f>
        <v/>
      </c>
      <c r="I1433" s="8">
        <f>IF(ABS($H1433)&lt;=tol_trade_inr,"PASS","FAIL")</f>
        <v/>
      </c>
    </row>
    <row r="1434">
      <c r="A1434" s="11" t="n">
        <v>44804</v>
      </c>
      <c r="B1434" s="7" t="inlineStr">
        <is>
          <t>T03</t>
        </is>
      </c>
      <c r="C1434" s="9" t="n">
        <v>-3028530.88</v>
      </c>
      <c r="D1434" s="9" t="n">
        <v>29087405.69</v>
      </c>
      <c r="E1434" s="18">
        <f>SUMIFS(Cashflows!$X$8:$X$1038,Cashflows!$A$8:$A$1038,$B1434,Cashflows!$F$8:$F$1038,"PNL",Cashflows!$K$8:$K$1038,"&lt;="&amp;$A1434)</f>
        <v/>
      </c>
      <c r="F1434" s="18">
        <f>SUMIFS(MTM_Daily!$AO$6:$AO$1238,MTM_Daily!$B$6:$B$1238,$B1434,MTM_Daily!$A$6:$A$1238,$A1434,MTM_Daily!$L$6:$L$1238,"PNL")</f>
        <v/>
      </c>
      <c r="G1434" s="18">
        <f>$E1434+$C1434+$F1434</f>
        <v/>
      </c>
      <c r="H1434" s="18">
        <f>$G1434-$D1434</f>
        <v/>
      </c>
      <c r="I1434" s="8">
        <f>IF(ABS($H1434)&lt;=tol_trade_inr,"PASS","FAIL")</f>
        <v/>
      </c>
    </row>
    <row r="1435">
      <c r="A1435" s="11" t="n">
        <v>44804</v>
      </c>
      <c r="B1435" s="7" t="inlineStr">
        <is>
          <t>T04</t>
        </is>
      </c>
      <c r="C1435" s="9" t="n">
        <v>-3431366.46</v>
      </c>
      <c r="D1435" s="9" t="n">
        <v>6482587.08</v>
      </c>
      <c r="E1435" s="18">
        <f>SUMIFS(Cashflows!$X$8:$X$1038,Cashflows!$A$8:$A$1038,$B1435,Cashflows!$F$8:$F$1038,"PNL",Cashflows!$K$8:$K$1038,"&lt;="&amp;$A1435)</f>
        <v/>
      </c>
      <c r="F1435" s="18">
        <f>SUMIFS(MTM_Daily!$AO$6:$AO$1238,MTM_Daily!$B$6:$B$1238,$B1435,MTM_Daily!$A$6:$A$1238,$A1435,MTM_Daily!$L$6:$L$1238,"PNL")</f>
        <v/>
      </c>
      <c r="G1435" s="18">
        <f>$E1435+$C1435+$F1435</f>
        <v/>
      </c>
      <c r="H1435" s="18">
        <f>$G1435-$D1435</f>
        <v/>
      </c>
      <c r="I1435" s="8">
        <f>IF(ABS($H1435)&lt;=tol_trade_inr,"PASS","FAIL")</f>
        <v/>
      </c>
    </row>
    <row r="1436">
      <c r="A1436" s="11" t="n">
        <v>44804</v>
      </c>
      <c r="B1436" s="7" t="inlineStr">
        <is>
          <t>T05</t>
        </is>
      </c>
      <c r="C1436" s="9" t="n">
        <v>-2457026.84</v>
      </c>
      <c r="D1436" s="9" t="n">
        <v>33651958.3</v>
      </c>
      <c r="E1436" s="18">
        <f>SUMIFS(Cashflows!$X$8:$X$1038,Cashflows!$A$8:$A$1038,$B1436,Cashflows!$F$8:$F$1038,"PNL",Cashflows!$K$8:$K$1038,"&lt;="&amp;$A1436)</f>
        <v/>
      </c>
      <c r="F1436" s="18">
        <f>SUMIFS(MTM_Daily!$AO$6:$AO$1238,MTM_Daily!$B$6:$B$1238,$B1436,MTM_Daily!$A$6:$A$1238,$A1436,MTM_Daily!$L$6:$L$1238,"PNL")</f>
        <v/>
      </c>
      <c r="G1436" s="18">
        <f>$E1436+$C1436+$F1436</f>
        <v/>
      </c>
      <c r="H1436" s="18">
        <f>$G1436-$D1436</f>
        <v/>
      </c>
      <c r="I1436" s="8">
        <f>IF(ABS($H1436)&lt;=tol_trade_inr,"PASS","FAIL")</f>
        <v/>
      </c>
    </row>
    <row r="1437">
      <c r="A1437" s="11" t="n">
        <v>44804</v>
      </c>
      <c r="B1437" s="7" t="inlineStr">
        <is>
          <t>T06</t>
        </is>
      </c>
      <c r="C1437" s="9" t="n">
        <v>-4488226.52</v>
      </c>
      <c r="D1437" s="9" t="n">
        <v>8619094.26</v>
      </c>
      <c r="E1437" s="18">
        <f>SUMIFS(Cashflows!$X$8:$X$1038,Cashflows!$A$8:$A$1038,$B1437,Cashflows!$F$8:$F$1038,"PNL",Cashflows!$K$8:$K$1038,"&lt;="&amp;$A1437)</f>
        <v/>
      </c>
      <c r="F1437" s="18">
        <f>SUMIFS(MTM_Daily!$AO$6:$AO$1238,MTM_Daily!$B$6:$B$1238,$B1437,MTM_Daily!$A$6:$A$1238,$A1437,MTM_Daily!$L$6:$L$1238,"PNL")</f>
        <v/>
      </c>
      <c r="G1437" s="18">
        <f>$E1437+$C1437+$F1437</f>
        <v/>
      </c>
      <c r="H1437" s="18">
        <f>$G1437-$D1437</f>
        <v/>
      </c>
      <c r="I1437" s="8">
        <f>IF(ABS($H1437)&lt;=tol_trade_inr,"PASS","FAIL")</f>
        <v/>
      </c>
    </row>
    <row r="1438">
      <c r="A1438" s="11" t="n">
        <v>44804</v>
      </c>
      <c r="B1438" s="7" t="inlineStr">
        <is>
          <t>T07</t>
        </is>
      </c>
      <c r="C1438" s="9" t="n">
        <v>-5782315.77</v>
      </c>
      <c r="D1438" s="9" t="n">
        <v>2087934</v>
      </c>
      <c r="E1438" s="18">
        <f>SUMIFS(Cashflows!$X$8:$X$1038,Cashflows!$A$8:$A$1038,$B1438,Cashflows!$F$8:$F$1038,"PNL",Cashflows!$K$8:$K$1038,"&lt;="&amp;$A1438)</f>
        <v/>
      </c>
      <c r="F1438" s="18">
        <f>SUMIFS(MTM_Daily!$AO$6:$AO$1238,MTM_Daily!$B$6:$B$1238,$B1438,MTM_Daily!$A$6:$A$1238,$A1438,MTM_Daily!$L$6:$L$1238,"PNL")</f>
        <v/>
      </c>
      <c r="G1438" s="18">
        <f>$E1438+$C1438+$F1438</f>
        <v/>
      </c>
      <c r="H1438" s="18">
        <f>$G1438-$D1438</f>
        <v/>
      </c>
      <c r="I1438" s="8">
        <f>IF(ABS($H1438)&lt;=tol_trade_inr,"PASS","FAIL")</f>
        <v/>
      </c>
    </row>
    <row r="1439">
      <c r="A1439" s="11" t="n">
        <v>44804</v>
      </c>
      <c r="B1439" s="7" t="inlineStr">
        <is>
          <t>T08</t>
        </is>
      </c>
      <c r="C1439" s="9" t="n">
        <v>-4616022.25</v>
      </c>
      <c r="D1439" s="9" t="n">
        <v>-8332015.21</v>
      </c>
      <c r="E1439" s="18">
        <f>SUMIFS(Cashflows!$X$8:$X$1038,Cashflows!$A$8:$A$1038,$B1439,Cashflows!$F$8:$F$1038,"PNL",Cashflows!$K$8:$K$1038,"&lt;="&amp;$A1439)</f>
        <v/>
      </c>
      <c r="F1439" s="18">
        <f>SUMIFS(MTM_Daily!$AO$6:$AO$1238,MTM_Daily!$B$6:$B$1238,$B1439,MTM_Daily!$A$6:$A$1238,$A1439,MTM_Daily!$L$6:$L$1238,"PNL")</f>
        <v/>
      </c>
      <c r="G1439" s="18">
        <f>$E1439+$C1439+$F1439</f>
        <v/>
      </c>
      <c r="H1439" s="18">
        <f>$G1439-$D1439</f>
        <v/>
      </c>
      <c r="I1439" s="8">
        <f>IF(ABS($H1439)&lt;=tol_trade_inr,"PASS","FAIL")</f>
        <v/>
      </c>
    </row>
    <row r="1440">
      <c r="A1440" s="11" t="n">
        <v>44804</v>
      </c>
      <c r="B1440" s="7" t="inlineStr">
        <is>
          <t>T09</t>
        </is>
      </c>
      <c r="C1440" s="9" t="n">
        <v>-183478.52</v>
      </c>
      <c r="D1440" s="9" t="n">
        <v>9509259.560000001</v>
      </c>
      <c r="E1440" s="18">
        <f>SUMIFS(Cashflows!$X$8:$X$1038,Cashflows!$A$8:$A$1038,$B1440,Cashflows!$F$8:$F$1038,"PNL",Cashflows!$K$8:$K$1038,"&lt;="&amp;$A1440)</f>
        <v/>
      </c>
      <c r="F1440" s="18">
        <f>SUMIFS(MTM_Daily!$AO$6:$AO$1238,MTM_Daily!$B$6:$B$1238,$B1440,MTM_Daily!$A$6:$A$1238,$A1440,MTM_Daily!$L$6:$L$1238,"PNL")</f>
        <v/>
      </c>
      <c r="G1440" s="18">
        <f>$E1440+$C1440+$F1440</f>
        <v/>
      </c>
      <c r="H1440" s="18">
        <f>$G1440-$D1440</f>
        <v/>
      </c>
      <c r="I1440" s="8">
        <f>IF(ABS($H1440)&lt;=tol_trade_inr,"PASS","FAIL")</f>
        <v/>
      </c>
    </row>
    <row r="1441">
      <c r="A1441" s="11" t="n">
        <v>44834</v>
      </c>
      <c r="B1441" s="7" t="inlineStr">
        <is>
          <t>T01</t>
        </is>
      </c>
      <c r="C1441" s="9" t="n">
        <v>-6572537.65</v>
      </c>
      <c r="D1441" s="9" t="n">
        <v>64283824.43</v>
      </c>
      <c r="E1441" s="18">
        <f>SUMIFS(Cashflows!$X$8:$X$1038,Cashflows!$A$8:$A$1038,$B1441,Cashflows!$F$8:$F$1038,"PNL",Cashflows!$K$8:$K$1038,"&lt;="&amp;$A1441)</f>
        <v/>
      </c>
      <c r="F1441" s="18">
        <f>SUMIFS(MTM_Daily!$AO$6:$AO$1238,MTM_Daily!$B$6:$B$1238,$B1441,MTM_Daily!$A$6:$A$1238,$A1441,MTM_Daily!$L$6:$L$1238,"PNL")</f>
        <v/>
      </c>
      <c r="G1441" s="18">
        <f>$E1441+$C1441+$F1441</f>
        <v/>
      </c>
      <c r="H1441" s="18">
        <f>$G1441-$D1441</f>
        <v/>
      </c>
      <c r="I1441" s="8">
        <f>IF(ABS($H1441)&lt;=tol_trade_inr,"PASS","FAIL")</f>
        <v/>
      </c>
    </row>
    <row r="1442">
      <c r="A1442" s="11" t="n">
        <v>44834</v>
      </c>
      <c r="B1442" s="7" t="inlineStr">
        <is>
          <t>T02</t>
        </is>
      </c>
      <c r="C1442" s="9" t="n">
        <v>1717125.18</v>
      </c>
      <c r="D1442" s="9" t="n">
        <v>50546931.45</v>
      </c>
      <c r="E1442" s="18">
        <f>SUMIFS(Cashflows!$X$8:$X$1038,Cashflows!$A$8:$A$1038,$B1442,Cashflows!$F$8:$F$1038,"PNL",Cashflows!$K$8:$K$1038,"&lt;="&amp;$A1442)</f>
        <v/>
      </c>
      <c r="F1442" s="18">
        <f>SUMIFS(MTM_Daily!$AO$6:$AO$1238,MTM_Daily!$B$6:$B$1238,$B1442,MTM_Daily!$A$6:$A$1238,$A1442,MTM_Daily!$L$6:$L$1238,"PNL")</f>
        <v/>
      </c>
      <c r="G1442" s="18">
        <f>$E1442+$C1442+$F1442</f>
        <v/>
      </c>
      <c r="H1442" s="18">
        <f>$G1442-$D1442</f>
        <v/>
      </c>
      <c r="I1442" s="8">
        <f>IF(ABS($H1442)&lt;=tol_trade_inr,"PASS","FAIL")</f>
        <v/>
      </c>
    </row>
    <row r="1443">
      <c r="A1443" s="11" t="n">
        <v>44834</v>
      </c>
      <c r="B1443" s="7" t="inlineStr">
        <is>
          <t>T03</t>
        </is>
      </c>
      <c r="C1443" s="9" t="n">
        <v>-3028530.88</v>
      </c>
      <c r="D1443" s="9" t="n">
        <v>29087405.69</v>
      </c>
      <c r="E1443" s="18">
        <f>SUMIFS(Cashflows!$X$8:$X$1038,Cashflows!$A$8:$A$1038,$B1443,Cashflows!$F$8:$F$1038,"PNL",Cashflows!$K$8:$K$1038,"&lt;="&amp;$A1443)</f>
        <v/>
      </c>
      <c r="F1443" s="18">
        <f>SUMIFS(MTM_Daily!$AO$6:$AO$1238,MTM_Daily!$B$6:$B$1238,$B1443,MTM_Daily!$A$6:$A$1238,$A1443,MTM_Daily!$L$6:$L$1238,"PNL")</f>
        <v/>
      </c>
      <c r="G1443" s="18">
        <f>$E1443+$C1443+$F1443</f>
        <v/>
      </c>
      <c r="H1443" s="18">
        <f>$G1443-$D1443</f>
        <v/>
      </c>
      <c r="I1443" s="8">
        <f>IF(ABS($H1443)&lt;=tol_trade_inr,"PASS","FAIL")</f>
        <v/>
      </c>
    </row>
    <row r="1444">
      <c r="A1444" s="11" t="n">
        <v>44834</v>
      </c>
      <c r="B1444" s="7" t="inlineStr">
        <is>
          <t>T04</t>
        </is>
      </c>
      <c r="C1444" s="9" t="n">
        <v>-3431366.46</v>
      </c>
      <c r="D1444" s="9" t="n">
        <v>6482587.08</v>
      </c>
      <c r="E1444" s="18">
        <f>SUMIFS(Cashflows!$X$8:$X$1038,Cashflows!$A$8:$A$1038,$B1444,Cashflows!$F$8:$F$1038,"PNL",Cashflows!$K$8:$K$1038,"&lt;="&amp;$A1444)</f>
        <v/>
      </c>
      <c r="F1444" s="18">
        <f>SUMIFS(MTM_Daily!$AO$6:$AO$1238,MTM_Daily!$B$6:$B$1238,$B1444,MTM_Daily!$A$6:$A$1238,$A1444,MTM_Daily!$L$6:$L$1238,"PNL")</f>
        <v/>
      </c>
      <c r="G1444" s="18">
        <f>$E1444+$C1444+$F1444</f>
        <v/>
      </c>
      <c r="H1444" s="18">
        <f>$G1444-$D1444</f>
        <v/>
      </c>
      <c r="I1444" s="8">
        <f>IF(ABS($H1444)&lt;=tol_trade_inr,"PASS","FAIL")</f>
        <v/>
      </c>
    </row>
    <row r="1445">
      <c r="A1445" s="11" t="n">
        <v>44834</v>
      </c>
      <c r="B1445" s="7" t="inlineStr">
        <is>
          <t>T05</t>
        </is>
      </c>
      <c r="C1445" s="9" t="n">
        <v>-2457026.84</v>
      </c>
      <c r="D1445" s="9" t="n">
        <v>33651958.3</v>
      </c>
      <c r="E1445" s="18">
        <f>SUMIFS(Cashflows!$X$8:$X$1038,Cashflows!$A$8:$A$1038,$B1445,Cashflows!$F$8:$F$1038,"PNL",Cashflows!$K$8:$K$1038,"&lt;="&amp;$A1445)</f>
        <v/>
      </c>
      <c r="F1445" s="18">
        <f>SUMIFS(MTM_Daily!$AO$6:$AO$1238,MTM_Daily!$B$6:$B$1238,$B1445,MTM_Daily!$A$6:$A$1238,$A1445,MTM_Daily!$L$6:$L$1238,"PNL")</f>
        <v/>
      </c>
      <c r="G1445" s="18">
        <f>$E1445+$C1445+$F1445</f>
        <v/>
      </c>
      <c r="H1445" s="18">
        <f>$G1445-$D1445</f>
        <v/>
      </c>
      <c r="I1445" s="8">
        <f>IF(ABS($H1445)&lt;=tol_trade_inr,"PASS","FAIL")</f>
        <v/>
      </c>
    </row>
    <row r="1446">
      <c r="A1446" s="11" t="n">
        <v>44834</v>
      </c>
      <c r="B1446" s="7" t="inlineStr">
        <is>
          <t>T06</t>
        </is>
      </c>
      <c r="C1446" s="9" t="n">
        <v>-4488226.52</v>
      </c>
      <c r="D1446" s="9" t="n">
        <v>8619094.26</v>
      </c>
      <c r="E1446" s="18">
        <f>SUMIFS(Cashflows!$X$8:$X$1038,Cashflows!$A$8:$A$1038,$B1446,Cashflows!$F$8:$F$1038,"PNL",Cashflows!$K$8:$K$1038,"&lt;="&amp;$A1446)</f>
        <v/>
      </c>
      <c r="F1446" s="18">
        <f>SUMIFS(MTM_Daily!$AO$6:$AO$1238,MTM_Daily!$B$6:$B$1238,$B1446,MTM_Daily!$A$6:$A$1238,$A1446,MTM_Daily!$L$6:$L$1238,"PNL")</f>
        <v/>
      </c>
      <c r="G1446" s="18">
        <f>$E1446+$C1446+$F1446</f>
        <v/>
      </c>
      <c r="H1446" s="18">
        <f>$G1446-$D1446</f>
        <v/>
      </c>
      <c r="I1446" s="8">
        <f>IF(ABS($H1446)&lt;=tol_trade_inr,"PASS","FAIL")</f>
        <v/>
      </c>
    </row>
    <row r="1447">
      <c r="A1447" s="11" t="n">
        <v>44834</v>
      </c>
      <c r="B1447" s="7" t="inlineStr">
        <is>
          <t>T07</t>
        </is>
      </c>
      <c r="C1447" s="9" t="n">
        <v>-6559015.12</v>
      </c>
      <c r="D1447" s="9" t="n">
        <v>1311234.65</v>
      </c>
      <c r="E1447" s="18">
        <f>SUMIFS(Cashflows!$X$8:$X$1038,Cashflows!$A$8:$A$1038,$B1447,Cashflows!$F$8:$F$1038,"PNL",Cashflows!$K$8:$K$1038,"&lt;="&amp;$A1447)</f>
        <v/>
      </c>
      <c r="F1447" s="18">
        <f>SUMIFS(MTM_Daily!$AO$6:$AO$1238,MTM_Daily!$B$6:$B$1238,$B1447,MTM_Daily!$A$6:$A$1238,$A1447,MTM_Daily!$L$6:$L$1238,"PNL")</f>
        <v/>
      </c>
      <c r="G1447" s="18">
        <f>$E1447+$C1447+$F1447</f>
        <v/>
      </c>
      <c r="H1447" s="18">
        <f>$G1447-$D1447</f>
        <v/>
      </c>
      <c r="I1447" s="8">
        <f>IF(ABS($H1447)&lt;=tol_trade_inr,"PASS","FAIL")</f>
        <v/>
      </c>
    </row>
    <row r="1448">
      <c r="A1448" s="11" t="n">
        <v>44834</v>
      </c>
      <c r="B1448" s="7" t="inlineStr">
        <is>
          <t>T08</t>
        </is>
      </c>
      <c r="C1448" s="9" t="n">
        <v>-7207878.38</v>
      </c>
      <c r="D1448" s="9" t="n">
        <v>-10971286.04</v>
      </c>
      <c r="E1448" s="18">
        <f>SUMIFS(Cashflows!$X$8:$X$1038,Cashflows!$A$8:$A$1038,$B1448,Cashflows!$F$8:$F$1038,"PNL",Cashflows!$K$8:$K$1038,"&lt;="&amp;$A1448)</f>
        <v/>
      </c>
      <c r="F1448" s="18">
        <f>SUMIFS(MTM_Daily!$AO$6:$AO$1238,MTM_Daily!$B$6:$B$1238,$B1448,MTM_Daily!$A$6:$A$1238,$A1448,MTM_Daily!$L$6:$L$1238,"PNL")</f>
        <v/>
      </c>
      <c r="G1448" s="18">
        <f>$E1448+$C1448+$F1448</f>
        <v/>
      </c>
      <c r="H1448" s="18">
        <f>$G1448-$D1448</f>
        <v/>
      </c>
      <c r="I1448" s="8">
        <f>IF(ABS($H1448)&lt;=tol_trade_inr,"PASS","FAIL")</f>
        <v/>
      </c>
    </row>
    <row r="1449">
      <c r="A1449" s="11" t="n">
        <v>44834</v>
      </c>
      <c r="B1449" s="7" t="inlineStr">
        <is>
          <t>T09</t>
        </is>
      </c>
      <c r="C1449" s="9" t="n">
        <v>-160034.58</v>
      </c>
      <c r="D1449" s="9" t="n">
        <v>9500073.060000001</v>
      </c>
      <c r="E1449" s="18">
        <f>SUMIFS(Cashflows!$X$8:$X$1038,Cashflows!$A$8:$A$1038,$B1449,Cashflows!$F$8:$F$1038,"PNL",Cashflows!$K$8:$K$1038,"&lt;="&amp;$A1449)</f>
        <v/>
      </c>
      <c r="F1449" s="18">
        <f>SUMIFS(MTM_Daily!$AO$6:$AO$1238,MTM_Daily!$B$6:$B$1238,$B1449,MTM_Daily!$A$6:$A$1238,$A1449,MTM_Daily!$L$6:$L$1238,"PNL")</f>
        <v/>
      </c>
      <c r="G1449" s="18">
        <f>$E1449+$C1449+$F1449</f>
        <v/>
      </c>
      <c r="H1449" s="18">
        <f>$G1449-$D1449</f>
        <v/>
      </c>
      <c r="I1449" s="8">
        <f>IF(ABS($H1449)&lt;=tol_trade_inr,"PASS","FAIL")</f>
        <v/>
      </c>
    </row>
    <row r="1450">
      <c r="A1450" s="11" t="n">
        <v>44845</v>
      </c>
      <c r="B1450" s="7" t="inlineStr">
        <is>
          <t>T01</t>
        </is>
      </c>
      <c r="C1450" s="9" t="n">
        <v>-6572537.65</v>
      </c>
      <c r="D1450" s="9" t="n">
        <v>64283824.43</v>
      </c>
      <c r="E1450" s="18">
        <f>SUMIFS(Cashflows!$X$8:$X$1038,Cashflows!$A$8:$A$1038,$B1450,Cashflows!$F$8:$F$1038,"PNL",Cashflows!$K$8:$K$1038,"&lt;="&amp;$A1450)</f>
        <v/>
      </c>
      <c r="F1450" s="18">
        <f>SUMIFS(MTM_Daily!$AO$6:$AO$1238,MTM_Daily!$B$6:$B$1238,$B1450,MTM_Daily!$A$6:$A$1238,$A1450,MTM_Daily!$L$6:$L$1238,"PNL")</f>
        <v/>
      </c>
      <c r="G1450" s="18">
        <f>$E1450+$C1450+$F1450</f>
        <v/>
      </c>
      <c r="H1450" s="18">
        <f>$G1450-$D1450</f>
        <v/>
      </c>
      <c r="I1450" s="8">
        <f>IF(ABS($H1450)&lt;=tol_trade_inr,"PASS","FAIL")</f>
        <v/>
      </c>
    </row>
    <row r="1451">
      <c r="A1451" s="11" t="n">
        <v>44845</v>
      </c>
      <c r="B1451" s="7" t="inlineStr">
        <is>
          <t>T02</t>
        </is>
      </c>
      <c r="C1451" s="9" t="n">
        <v>1717125.18</v>
      </c>
      <c r="D1451" s="9" t="n">
        <v>50546931.45</v>
      </c>
      <c r="E1451" s="18">
        <f>SUMIFS(Cashflows!$X$8:$X$1038,Cashflows!$A$8:$A$1038,$B1451,Cashflows!$F$8:$F$1038,"PNL",Cashflows!$K$8:$K$1038,"&lt;="&amp;$A1451)</f>
        <v/>
      </c>
      <c r="F1451" s="18">
        <f>SUMIFS(MTM_Daily!$AO$6:$AO$1238,MTM_Daily!$B$6:$B$1238,$B1451,MTM_Daily!$A$6:$A$1238,$A1451,MTM_Daily!$L$6:$L$1238,"PNL")</f>
        <v/>
      </c>
      <c r="G1451" s="18">
        <f>$E1451+$C1451+$F1451</f>
        <v/>
      </c>
      <c r="H1451" s="18">
        <f>$G1451-$D1451</f>
        <v/>
      </c>
      <c r="I1451" s="8">
        <f>IF(ABS($H1451)&lt;=tol_trade_inr,"PASS","FAIL")</f>
        <v/>
      </c>
    </row>
    <row r="1452">
      <c r="A1452" s="11" t="n">
        <v>44845</v>
      </c>
      <c r="B1452" s="7" t="inlineStr">
        <is>
          <t>T03</t>
        </is>
      </c>
      <c r="C1452" s="9" t="n">
        <v>-3028530.88</v>
      </c>
      <c r="D1452" s="9" t="n">
        <v>29087405.69</v>
      </c>
      <c r="E1452" s="18">
        <f>SUMIFS(Cashflows!$X$8:$X$1038,Cashflows!$A$8:$A$1038,$B1452,Cashflows!$F$8:$F$1038,"PNL",Cashflows!$K$8:$K$1038,"&lt;="&amp;$A1452)</f>
        <v/>
      </c>
      <c r="F1452" s="18">
        <f>SUMIFS(MTM_Daily!$AO$6:$AO$1238,MTM_Daily!$B$6:$B$1238,$B1452,MTM_Daily!$A$6:$A$1238,$A1452,MTM_Daily!$L$6:$L$1238,"PNL")</f>
        <v/>
      </c>
      <c r="G1452" s="18">
        <f>$E1452+$C1452+$F1452</f>
        <v/>
      </c>
      <c r="H1452" s="18">
        <f>$G1452-$D1452</f>
        <v/>
      </c>
      <c r="I1452" s="8">
        <f>IF(ABS($H1452)&lt;=tol_trade_inr,"PASS","FAIL")</f>
        <v/>
      </c>
    </row>
    <row r="1453">
      <c r="A1453" s="11" t="n">
        <v>44845</v>
      </c>
      <c r="B1453" s="7" t="inlineStr">
        <is>
          <t>T04</t>
        </is>
      </c>
      <c r="C1453" s="9" t="n">
        <v>-3431366.46</v>
      </c>
      <c r="D1453" s="9" t="n">
        <v>6482587.08</v>
      </c>
      <c r="E1453" s="18">
        <f>SUMIFS(Cashflows!$X$8:$X$1038,Cashflows!$A$8:$A$1038,$B1453,Cashflows!$F$8:$F$1038,"PNL",Cashflows!$K$8:$K$1038,"&lt;="&amp;$A1453)</f>
        <v/>
      </c>
      <c r="F1453" s="18">
        <f>SUMIFS(MTM_Daily!$AO$6:$AO$1238,MTM_Daily!$B$6:$B$1238,$B1453,MTM_Daily!$A$6:$A$1238,$A1453,MTM_Daily!$L$6:$L$1238,"PNL")</f>
        <v/>
      </c>
      <c r="G1453" s="18">
        <f>$E1453+$C1453+$F1453</f>
        <v/>
      </c>
      <c r="H1453" s="18">
        <f>$G1453-$D1453</f>
        <v/>
      </c>
      <c r="I1453" s="8">
        <f>IF(ABS($H1453)&lt;=tol_trade_inr,"PASS","FAIL")</f>
        <v/>
      </c>
    </row>
    <row r="1454">
      <c r="A1454" s="11" t="n">
        <v>44845</v>
      </c>
      <c r="B1454" s="7" t="inlineStr">
        <is>
          <t>T05</t>
        </is>
      </c>
      <c r="C1454" s="9" t="n">
        <v>-2457026.84</v>
      </c>
      <c r="D1454" s="9" t="n">
        <v>33651958.3</v>
      </c>
      <c r="E1454" s="18">
        <f>SUMIFS(Cashflows!$X$8:$X$1038,Cashflows!$A$8:$A$1038,$B1454,Cashflows!$F$8:$F$1038,"PNL",Cashflows!$K$8:$K$1038,"&lt;="&amp;$A1454)</f>
        <v/>
      </c>
      <c r="F1454" s="18">
        <f>SUMIFS(MTM_Daily!$AO$6:$AO$1238,MTM_Daily!$B$6:$B$1238,$B1454,MTM_Daily!$A$6:$A$1238,$A1454,MTM_Daily!$L$6:$L$1238,"PNL")</f>
        <v/>
      </c>
      <c r="G1454" s="18">
        <f>$E1454+$C1454+$F1454</f>
        <v/>
      </c>
      <c r="H1454" s="18">
        <f>$G1454-$D1454</f>
        <v/>
      </c>
      <c r="I1454" s="8">
        <f>IF(ABS($H1454)&lt;=tol_trade_inr,"PASS","FAIL")</f>
        <v/>
      </c>
    </row>
    <row r="1455">
      <c r="A1455" s="11" t="n">
        <v>44845</v>
      </c>
      <c r="B1455" s="7" t="inlineStr">
        <is>
          <t>T06</t>
        </is>
      </c>
      <c r="C1455" s="9" t="n">
        <v>-4488226.52</v>
      </c>
      <c r="D1455" s="9" t="n">
        <v>8619094.26</v>
      </c>
      <c r="E1455" s="18">
        <f>SUMIFS(Cashflows!$X$8:$X$1038,Cashflows!$A$8:$A$1038,$B1455,Cashflows!$F$8:$F$1038,"PNL",Cashflows!$K$8:$K$1038,"&lt;="&amp;$A1455)</f>
        <v/>
      </c>
      <c r="F1455" s="18">
        <f>SUMIFS(MTM_Daily!$AO$6:$AO$1238,MTM_Daily!$B$6:$B$1238,$B1455,MTM_Daily!$A$6:$A$1238,$A1455,MTM_Daily!$L$6:$L$1238,"PNL")</f>
        <v/>
      </c>
      <c r="G1455" s="18">
        <f>$E1455+$C1455+$F1455</f>
        <v/>
      </c>
      <c r="H1455" s="18">
        <f>$G1455-$D1455</f>
        <v/>
      </c>
      <c r="I1455" s="8">
        <f>IF(ABS($H1455)&lt;=tol_trade_inr,"PASS","FAIL")</f>
        <v/>
      </c>
    </row>
    <row r="1456">
      <c r="A1456" s="11" t="n">
        <v>44845</v>
      </c>
      <c r="B1456" s="7" t="inlineStr">
        <is>
          <t>T07</t>
        </is>
      </c>
      <c r="C1456" s="9" t="n">
        <v>-6809140.74</v>
      </c>
      <c r="D1456" s="9" t="n">
        <v>1061109.02</v>
      </c>
      <c r="E1456" s="18">
        <f>SUMIFS(Cashflows!$X$8:$X$1038,Cashflows!$A$8:$A$1038,$B1456,Cashflows!$F$8:$F$1038,"PNL",Cashflows!$K$8:$K$1038,"&lt;="&amp;$A1456)</f>
        <v/>
      </c>
      <c r="F1456" s="18">
        <f>SUMIFS(MTM_Daily!$AO$6:$AO$1238,MTM_Daily!$B$6:$B$1238,$B1456,MTM_Daily!$A$6:$A$1238,$A1456,MTM_Daily!$L$6:$L$1238,"PNL")</f>
        <v/>
      </c>
      <c r="G1456" s="18">
        <f>$E1456+$C1456+$F1456</f>
        <v/>
      </c>
      <c r="H1456" s="18">
        <f>$G1456-$D1456</f>
        <v/>
      </c>
      <c r="I1456" s="8">
        <f>IF(ABS($H1456)&lt;=tol_trade_inr,"PASS","FAIL")</f>
        <v/>
      </c>
    </row>
    <row r="1457">
      <c r="A1457" s="11" t="n">
        <v>44845</v>
      </c>
      <c r="B1457" s="7" t="inlineStr">
        <is>
          <t>T08</t>
        </is>
      </c>
      <c r="C1457" s="9" t="n">
        <v>-7963182.17</v>
      </c>
      <c r="D1457" s="9" t="n">
        <v>-11726589.84</v>
      </c>
      <c r="E1457" s="18">
        <f>SUMIFS(Cashflows!$X$8:$X$1038,Cashflows!$A$8:$A$1038,$B1457,Cashflows!$F$8:$F$1038,"PNL",Cashflows!$K$8:$K$1038,"&lt;="&amp;$A1457)</f>
        <v/>
      </c>
      <c r="F1457" s="18">
        <f>SUMIFS(MTM_Daily!$AO$6:$AO$1238,MTM_Daily!$B$6:$B$1238,$B1457,MTM_Daily!$A$6:$A$1238,$A1457,MTM_Daily!$L$6:$L$1238,"PNL")</f>
        <v/>
      </c>
      <c r="G1457" s="18">
        <f>$E1457+$C1457+$F1457</f>
        <v/>
      </c>
      <c r="H1457" s="18">
        <f>$G1457-$D1457</f>
        <v/>
      </c>
      <c r="I1457" s="8">
        <f>IF(ABS($H1457)&lt;=tol_trade_inr,"PASS","FAIL")</f>
        <v/>
      </c>
    </row>
    <row r="1458">
      <c r="A1458" s="11" t="n">
        <v>44845</v>
      </c>
      <c r="B1458" s="7" t="inlineStr">
        <is>
          <t>T09</t>
        </is>
      </c>
      <c r="C1458" s="9" t="n">
        <v>-91681.34</v>
      </c>
      <c r="D1458" s="9" t="n">
        <v>9555988.539999999</v>
      </c>
      <c r="E1458" s="18">
        <f>SUMIFS(Cashflows!$X$8:$X$1038,Cashflows!$A$8:$A$1038,$B1458,Cashflows!$F$8:$F$1038,"PNL",Cashflows!$K$8:$K$1038,"&lt;="&amp;$A1458)</f>
        <v/>
      </c>
      <c r="F1458" s="18">
        <f>SUMIFS(MTM_Daily!$AO$6:$AO$1238,MTM_Daily!$B$6:$B$1238,$B1458,MTM_Daily!$A$6:$A$1238,$A1458,MTM_Daily!$L$6:$L$1238,"PNL")</f>
        <v/>
      </c>
      <c r="G1458" s="18">
        <f>$E1458+$C1458+$F1458</f>
        <v/>
      </c>
      <c r="H1458" s="18">
        <f>$G1458-$D1458</f>
        <v/>
      </c>
      <c r="I1458" s="8">
        <f>IF(ABS($H1458)&lt;=tol_trade_inr,"PASS","FAIL")</f>
        <v/>
      </c>
    </row>
    <row r="1459">
      <c r="A1459" s="11" t="n">
        <v>44865</v>
      </c>
      <c r="B1459" s="7" t="inlineStr">
        <is>
          <t>T01</t>
        </is>
      </c>
      <c r="C1459" s="9" t="n">
        <v>-6572537.65</v>
      </c>
      <c r="D1459" s="9" t="n">
        <v>64283824.43</v>
      </c>
      <c r="E1459" s="18">
        <f>SUMIFS(Cashflows!$X$8:$X$1038,Cashflows!$A$8:$A$1038,$B1459,Cashflows!$F$8:$F$1038,"PNL",Cashflows!$K$8:$K$1038,"&lt;="&amp;$A1459)</f>
        <v/>
      </c>
      <c r="F1459" s="18">
        <f>SUMIFS(MTM_Daily!$AO$6:$AO$1238,MTM_Daily!$B$6:$B$1238,$B1459,MTM_Daily!$A$6:$A$1238,$A1459,MTM_Daily!$L$6:$L$1238,"PNL")</f>
        <v/>
      </c>
      <c r="G1459" s="18">
        <f>$E1459+$C1459+$F1459</f>
        <v/>
      </c>
      <c r="H1459" s="18">
        <f>$G1459-$D1459</f>
        <v/>
      </c>
      <c r="I1459" s="8">
        <f>IF(ABS($H1459)&lt;=tol_trade_inr,"PASS","FAIL")</f>
        <v/>
      </c>
    </row>
    <row r="1460">
      <c r="A1460" s="11" t="n">
        <v>44865</v>
      </c>
      <c r="B1460" s="7" t="inlineStr">
        <is>
          <t>T02</t>
        </is>
      </c>
      <c r="C1460" s="9" t="n">
        <v>1717125.18</v>
      </c>
      <c r="D1460" s="9" t="n">
        <v>50546931.45</v>
      </c>
      <c r="E1460" s="18">
        <f>SUMIFS(Cashflows!$X$8:$X$1038,Cashflows!$A$8:$A$1038,$B1460,Cashflows!$F$8:$F$1038,"PNL",Cashflows!$K$8:$K$1038,"&lt;="&amp;$A1460)</f>
        <v/>
      </c>
      <c r="F1460" s="18">
        <f>SUMIFS(MTM_Daily!$AO$6:$AO$1238,MTM_Daily!$B$6:$B$1238,$B1460,MTM_Daily!$A$6:$A$1238,$A1460,MTM_Daily!$L$6:$L$1238,"PNL")</f>
        <v/>
      </c>
      <c r="G1460" s="18">
        <f>$E1460+$C1460+$F1460</f>
        <v/>
      </c>
      <c r="H1460" s="18">
        <f>$G1460-$D1460</f>
        <v/>
      </c>
      <c r="I1460" s="8">
        <f>IF(ABS($H1460)&lt;=tol_trade_inr,"PASS","FAIL")</f>
        <v/>
      </c>
    </row>
    <row r="1461">
      <c r="A1461" s="11" t="n">
        <v>44865</v>
      </c>
      <c r="B1461" s="7" t="inlineStr">
        <is>
          <t>T03</t>
        </is>
      </c>
      <c r="C1461" s="9" t="n">
        <v>-3028530.88</v>
      </c>
      <c r="D1461" s="9" t="n">
        <v>29087405.69</v>
      </c>
      <c r="E1461" s="18">
        <f>SUMIFS(Cashflows!$X$8:$X$1038,Cashflows!$A$8:$A$1038,$B1461,Cashflows!$F$8:$F$1038,"PNL",Cashflows!$K$8:$K$1038,"&lt;="&amp;$A1461)</f>
        <v/>
      </c>
      <c r="F1461" s="18">
        <f>SUMIFS(MTM_Daily!$AO$6:$AO$1238,MTM_Daily!$B$6:$B$1238,$B1461,MTM_Daily!$A$6:$A$1238,$A1461,MTM_Daily!$L$6:$L$1238,"PNL")</f>
        <v/>
      </c>
      <c r="G1461" s="18">
        <f>$E1461+$C1461+$F1461</f>
        <v/>
      </c>
      <c r="H1461" s="18">
        <f>$G1461-$D1461</f>
        <v/>
      </c>
      <c r="I1461" s="8">
        <f>IF(ABS($H1461)&lt;=tol_trade_inr,"PASS","FAIL")</f>
        <v/>
      </c>
    </row>
    <row r="1462">
      <c r="A1462" s="11" t="n">
        <v>44865</v>
      </c>
      <c r="B1462" s="7" t="inlineStr">
        <is>
          <t>T04</t>
        </is>
      </c>
      <c r="C1462" s="9" t="n">
        <v>-3431366.46</v>
      </c>
      <c r="D1462" s="9" t="n">
        <v>6482587.08</v>
      </c>
      <c r="E1462" s="18">
        <f>SUMIFS(Cashflows!$X$8:$X$1038,Cashflows!$A$8:$A$1038,$B1462,Cashflows!$F$8:$F$1038,"PNL",Cashflows!$K$8:$K$1038,"&lt;="&amp;$A1462)</f>
        <v/>
      </c>
      <c r="F1462" s="18">
        <f>SUMIFS(MTM_Daily!$AO$6:$AO$1238,MTM_Daily!$B$6:$B$1238,$B1462,MTM_Daily!$A$6:$A$1238,$A1462,MTM_Daily!$L$6:$L$1238,"PNL")</f>
        <v/>
      </c>
      <c r="G1462" s="18">
        <f>$E1462+$C1462+$F1462</f>
        <v/>
      </c>
      <c r="H1462" s="18">
        <f>$G1462-$D1462</f>
        <v/>
      </c>
      <c r="I1462" s="8">
        <f>IF(ABS($H1462)&lt;=tol_trade_inr,"PASS","FAIL")</f>
        <v/>
      </c>
    </row>
    <row r="1463">
      <c r="A1463" s="11" t="n">
        <v>44865</v>
      </c>
      <c r="B1463" s="7" t="inlineStr">
        <is>
          <t>T05</t>
        </is>
      </c>
      <c r="C1463" s="9" t="n">
        <v>-2457026.84</v>
      </c>
      <c r="D1463" s="9" t="n">
        <v>33651958.3</v>
      </c>
      <c r="E1463" s="18">
        <f>SUMIFS(Cashflows!$X$8:$X$1038,Cashflows!$A$8:$A$1038,$B1463,Cashflows!$F$8:$F$1038,"PNL",Cashflows!$K$8:$K$1038,"&lt;="&amp;$A1463)</f>
        <v/>
      </c>
      <c r="F1463" s="18">
        <f>SUMIFS(MTM_Daily!$AO$6:$AO$1238,MTM_Daily!$B$6:$B$1238,$B1463,MTM_Daily!$A$6:$A$1238,$A1463,MTM_Daily!$L$6:$L$1238,"PNL")</f>
        <v/>
      </c>
      <c r="G1463" s="18">
        <f>$E1463+$C1463+$F1463</f>
        <v/>
      </c>
      <c r="H1463" s="18">
        <f>$G1463-$D1463</f>
        <v/>
      </c>
      <c r="I1463" s="8">
        <f>IF(ABS($H1463)&lt;=tol_trade_inr,"PASS","FAIL")</f>
        <v/>
      </c>
    </row>
    <row r="1464">
      <c r="A1464" s="11" t="n">
        <v>44865</v>
      </c>
      <c r="B1464" s="7" t="inlineStr">
        <is>
          <t>T06</t>
        </is>
      </c>
      <c r="C1464" s="9" t="n">
        <v>-4488226.52</v>
      </c>
      <c r="D1464" s="9" t="n">
        <v>8619094.26</v>
      </c>
      <c r="E1464" s="18">
        <f>SUMIFS(Cashflows!$X$8:$X$1038,Cashflows!$A$8:$A$1038,$B1464,Cashflows!$F$8:$F$1038,"PNL",Cashflows!$K$8:$K$1038,"&lt;="&amp;$A1464)</f>
        <v/>
      </c>
      <c r="F1464" s="18">
        <f>SUMIFS(MTM_Daily!$AO$6:$AO$1238,MTM_Daily!$B$6:$B$1238,$B1464,MTM_Daily!$A$6:$A$1238,$A1464,MTM_Daily!$L$6:$L$1238,"PNL")</f>
        <v/>
      </c>
      <c r="G1464" s="18">
        <f>$E1464+$C1464+$F1464</f>
        <v/>
      </c>
      <c r="H1464" s="18">
        <f>$G1464-$D1464</f>
        <v/>
      </c>
      <c r="I1464" s="8">
        <f>IF(ABS($H1464)&lt;=tol_trade_inr,"PASS","FAIL")</f>
        <v/>
      </c>
    </row>
    <row r="1465">
      <c r="A1465" s="11" t="n">
        <v>44865</v>
      </c>
      <c r="B1465" s="7" t="inlineStr">
        <is>
          <t>T07</t>
        </is>
      </c>
      <c r="C1465" s="9" t="n">
        <v>-6809140.74</v>
      </c>
      <c r="D1465" s="9" t="n">
        <v>1061109.02</v>
      </c>
      <c r="E1465" s="18">
        <f>SUMIFS(Cashflows!$X$8:$X$1038,Cashflows!$A$8:$A$1038,$B1465,Cashflows!$F$8:$F$1038,"PNL",Cashflows!$K$8:$K$1038,"&lt;="&amp;$A1465)</f>
        <v/>
      </c>
      <c r="F1465" s="18">
        <f>SUMIFS(MTM_Daily!$AO$6:$AO$1238,MTM_Daily!$B$6:$B$1238,$B1465,MTM_Daily!$A$6:$A$1238,$A1465,MTM_Daily!$L$6:$L$1238,"PNL")</f>
        <v/>
      </c>
      <c r="G1465" s="18">
        <f>$E1465+$C1465+$F1465</f>
        <v/>
      </c>
      <c r="H1465" s="18">
        <f>$G1465-$D1465</f>
        <v/>
      </c>
      <c r="I1465" s="8">
        <f>IF(ABS($H1465)&lt;=tol_trade_inr,"PASS","FAIL")</f>
        <v/>
      </c>
    </row>
    <row r="1466">
      <c r="A1466" s="11" t="n">
        <v>44865</v>
      </c>
      <c r="B1466" s="7" t="inlineStr">
        <is>
          <t>T08</t>
        </is>
      </c>
      <c r="C1466" s="9" t="n">
        <v>-7963182.17</v>
      </c>
      <c r="D1466" s="9" t="n">
        <v>-11726589.84</v>
      </c>
      <c r="E1466" s="18">
        <f>SUMIFS(Cashflows!$X$8:$X$1038,Cashflows!$A$8:$A$1038,$B1466,Cashflows!$F$8:$F$1038,"PNL",Cashflows!$K$8:$K$1038,"&lt;="&amp;$A1466)</f>
        <v/>
      </c>
      <c r="F1466" s="18">
        <f>SUMIFS(MTM_Daily!$AO$6:$AO$1238,MTM_Daily!$B$6:$B$1238,$B1466,MTM_Daily!$A$6:$A$1238,$A1466,MTM_Daily!$L$6:$L$1238,"PNL")</f>
        <v/>
      </c>
      <c r="G1466" s="18">
        <f>$E1466+$C1466+$F1466</f>
        <v/>
      </c>
      <c r="H1466" s="18">
        <f>$G1466-$D1466</f>
        <v/>
      </c>
      <c r="I1466" s="8">
        <f>IF(ABS($H1466)&lt;=tol_trade_inr,"PASS","FAIL")</f>
        <v/>
      </c>
    </row>
    <row r="1467">
      <c r="A1467" s="11" t="n">
        <v>44865</v>
      </c>
      <c r="B1467" s="7" t="inlineStr">
        <is>
          <t>T09</t>
        </is>
      </c>
      <c r="C1467" s="9" t="n">
        <v>405191.22</v>
      </c>
      <c r="D1467" s="9" t="n">
        <v>10048450.26</v>
      </c>
      <c r="E1467" s="18">
        <f>SUMIFS(Cashflows!$X$8:$X$1038,Cashflows!$A$8:$A$1038,$B1467,Cashflows!$F$8:$F$1038,"PNL",Cashflows!$K$8:$K$1038,"&lt;="&amp;$A1467)</f>
        <v/>
      </c>
      <c r="F1467" s="18">
        <f>SUMIFS(MTM_Daily!$AO$6:$AO$1238,MTM_Daily!$B$6:$B$1238,$B1467,MTM_Daily!$A$6:$A$1238,$A1467,MTM_Daily!$L$6:$L$1238,"PNL")</f>
        <v/>
      </c>
      <c r="G1467" s="18">
        <f>$E1467+$C1467+$F1467</f>
        <v/>
      </c>
      <c r="H1467" s="18">
        <f>$G1467-$D1467</f>
        <v/>
      </c>
      <c r="I1467" s="8">
        <f>IF(ABS($H1467)&lt;=tol_trade_inr,"PASS","FAIL")</f>
        <v/>
      </c>
    </row>
  </sheetData>
  <autoFilter ref="A5:AQ123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214"/>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32" customWidth="1" min="3" max="3"/>
    <col width="13" customWidth="1" min="4" max="4"/>
    <col width="13" customWidth="1" min="5" max="5"/>
    <col width="13" customWidth="1" min="6" max="6"/>
    <col width="14" customWidth="1" min="7" max="7"/>
    <col width="12" customWidth="1" min="8" max="8"/>
    <col width="12"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17" customWidth="1" min="20" max="20"/>
    <col width="18" customWidth="1" min="21" max="21"/>
    <col width="13" customWidth="1" min="22" max="22"/>
    <col width="9" customWidth="1" min="23" max="23"/>
  </cols>
  <sheetData>
    <row r="1">
      <c r="A1" s="1" t="inlineStr">
        <is>
          <t>ACADEMIC SIMULATION — not actual trades</t>
        </is>
      </c>
    </row>
    <row r="2">
      <c r="A2" s="2" t="inlineStr">
        <is>
          <t>Attribution — the seven market factors plus new_deal, and the chain worked live</t>
        </is>
      </c>
    </row>
    <row r="3">
      <c r="A3" s="3" t="inlineStr">
        <is>
          <t>Buckets are exactly desk.reporting.style.PNL_BUCKETS. Cross-terms land in the factor that moves last (CONTRACTS §7.4); new_deal is computed last and reported first.</t>
        </is>
      </c>
    </row>
    <row r="5">
      <c r="A5" s="4" t="inlineStr">
        <is>
          <t>1. Book daily attribution — the two identities, recomputed in Excel</t>
        </is>
      </c>
    </row>
    <row r="7" ht="30" customHeight="1">
      <c r="A7" s="5" t="inlineStr">
        <is>
          <t>date</t>
        </is>
      </c>
      <c r="B7" s="5" t="inlineStr">
        <is>
          <t>in_window</t>
        </is>
      </c>
      <c r="C7" s="5" t="inlineStr">
        <is>
          <t>new_deal
(0) Deal margin at contract dates</t>
        </is>
      </c>
      <c r="D7" s="5" t="inlineStr">
        <is>
          <t>lme_flat
(a) LME flat price</t>
        </is>
      </c>
      <c r="E7" s="5" t="inlineStr">
        <is>
          <t>cross_exchange_basis
(b) LME–MCX basis</t>
        </is>
      </c>
      <c r="F7" s="5" t="inlineStr">
        <is>
          <t>grade_spread
(c) Grade / scrap spread</t>
        </is>
      </c>
      <c r="G7" s="5" t="inlineStr">
        <is>
          <t>freight
(d) Freight vs fixture</t>
        </is>
      </c>
      <c r="H7" s="5" t="inlineStr">
        <is>
          <t>fx
(e) USD/INR</t>
        </is>
      </c>
      <c r="I7" s="5" t="inlineStr">
        <is>
          <t>demurrage_penalty
(f) Events known that day
(demurrage, claims, restatements)</t>
        </is>
      </c>
      <c r="J7" s="5" t="inlineStr">
        <is>
          <t>roll_term_structure
(g) Carry, roll and cross-terms</t>
        </is>
      </c>
      <c r="K7" s="5" t="inlineStr">
        <is>
          <t>residual</t>
        </is>
      </c>
      <c r="L7" s="5" t="inlineStr">
        <is>
          <t>daily_pnl_inr_py</t>
        </is>
      </c>
      <c r="M7" s="5" t="inlineStr">
        <is>
          <t>cum_pnl_inr_py</t>
        </is>
      </c>
      <c r="N7" s="5" t="inlineStr">
        <is>
          <t>sum_buckets_inr</t>
        </is>
      </c>
      <c r="O7" s="5" t="inlineStr">
        <is>
          <t>diff_vs_daily_inr</t>
        </is>
      </c>
      <c r="P7" s="5" t="inlineStr">
        <is>
          <t>cum_pnl_calc_inr</t>
        </is>
      </c>
      <c r="Q7" s="5" t="inlineStr">
        <is>
          <t>diff_vs_cum_inr</t>
        </is>
      </c>
      <c r="R7" s="5" t="inlineStr">
        <is>
          <t>check</t>
        </is>
      </c>
    </row>
    <row r="8">
      <c r="A8" s="11" t="n">
        <v>44628</v>
      </c>
      <c r="B8" s="17" t="b">
        <v>1</v>
      </c>
      <c r="C8" s="9" t="n">
        <v>1732880.85</v>
      </c>
      <c r="D8" s="9" t="n">
        <v>0</v>
      </c>
      <c r="E8" s="9" t="n">
        <v>0</v>
      </c>
      <c r="F8" s="9" t="n">
        <v>0</v>
      </c>
      <c r="G8" s="9" t="n">
        <v>0</v>
      </c>
      <c r="H8" s="9" t="n">
        <v>0</v>
      </c>
      <c r="I8" s="9" t="n">
        <v>0</v>
      </c>
      <c r="J8" s="9" t="n">
        <v>0</v>
      </c>
      <c r="K8" s="9" t="n">
        <v>-0</v>
      </c>
      <c r="L8" s="9" t="n">
        <v>1732880.85</v>
      </c>
      <c r="M8" s="9" t="n">
        <v>1732880.85</v>
      </c>
      <c r="N8" s="18">
        <f>SUM(C8:J8)+$K8</f>
        <v/>
      </c>
      <c r="O8" s="18">
        <f>$N8-$L8</f>
        <v/>
      </c>
      <c r="P8" s="18">
        <f>$L8</f>
        <v/>
      </c>
      <c r="Q8" s="18">
        <f>$P8-$M8</f>
        <v/>
      </c>
      <c r="R8" s="8">
        <f>IF(AND(ABS($O8)&lt;=tol_trade_inr,ABS($Q8)&lt;=tol_trade_inr),"PASS","FAIL")</f>
        <v/>
      </c>
    </row>
    <row r="9">
      <c r="A9" s="11" t="n">
        <v>44629</v>
      </c>
      <c r="B9" s="17" t="b">
        <v>1</v>
      </c>
      <c r="C9" s="9" t="n">
        <v>-282437.24</v>
      </c>
      <c r="D9" s="9" t="n">
        <v>4411058.05</v>
      </c>
      <c r="E9" s="9" t="n">
        <v>0</v>
      </c>
      <c r="F9" s="9" t="n">
        <v>-1750705.95</v>
      </c>
      <c r="G9" s="9" t="n">
        <v>0</v>
      </c>
      <c r="H9" s="9" t="n">
        <v>-25116.42</v>
      </c>
      <c r="I9" s="9" t="n">
        <v>0</v>
      </c>
      <c r="J9" s="9" t="n">
        <v>-1689451.34</v>
      </c>
      <c r="K9" s="9" t="n">
        <v>0</v>
      </c>
      <c r="L9" s="9" t="n">
        <v>663347.1</v>
      </c>
      <c r="M9" s="9" t="n">
        <v>2396227.95</v>
      </c>
      <c r="N9" s="18">
        <f>SUM(C9:J9)+$K9</f>
        <v/>
      </c>
      <c r="O9" s="18">
        <f>$N9-$L9</f>
        <v/>
      </c>
      <c r="P9" s="18">
        <f>$P8+$L9</f>
        <v/>
      </c>
      <c r="Q9" s="18">
        <f>$P9-$M9</f>
        <v/>
      </c>
      <c r="R9" s="8">
        <f>IF(AND(ABS($O9)&lt;=tol_trade_inr,ABS($Q9)&lt;=tol_trade_inr),"PASS","FAIL")</f>
        <v/>
      </c>
    </row>
    <row r="10">
      <c r="A10" s="11" t="n">
        <v>44630</v>
      </c>
      <c r="B10" s="17" t="b">
        <v>1</v>
      </c>
      <c r="C10" s="9" t="n">
        <v>0</v>
      </c>
      <c r="D10" s="9" t="n">
        <v>41005.79</v>
      </c>
      <c r="E10" s="9" t="n">
        <v>0</v>
      </c>
      <c r="F10" s="9" t="n">
        <v>-1735963.13</v>
      </c>
      <c r="G10" s="9" t="n">
        <v>227699.01</v>
      </c>
      <c r="H10" s="9" t="n">
        <v>1517970.89</v>
      </c>
      <c r="I10" s="9" t="n">
        <v>0</v>
      </c>
      <c r="J10" s="9" t="n">
        <v>-887264.59</v>
      </c>
      <c r="K10" s="9" t="n">
        <v>-0</v>
      </c>
      <c r="L10" s="9" t="n">
        <v>-836552.04</v>
      </c>
      <c r="M10" s="9" t="n">
        <v>1559675.92</v>
      </c>
      <c r="N10" s="18">
        <f>SUM(C10:J10)+$K10</f>
        <v/>
      </c>
      <c r="O10" s="18">
        <f>$N10-$L10</f>
        <v/>
      </c>
      <c r="P10" s="18">
        <f>$P9+$L10</f>
        <v/>
      </c>
      <c r="Q10" s="18">
        <f>$P10-$M10</f>
        <v/>
      </c>
      <c r="R10" s="8">
        <f>IF(AND(ABS($O10)&lt;=tol_trade_inr,ABS($Q10)&lt;=tol_trade_inr),"PASS","FAIL")</f>
        <v/>
      </c>
    </row>
    <row r="11">
      <c r="A11" s="11" t="n">
        <v>44631</v>
      </c>
      <c r="B11" s="17" t="b">
        <v>1</v>
      </c>
      <c r="C11" s="9" t="n">
        <v>38922624.2</v>
      </c>
      <c r="D11" s="9" t="n">
        <v>-831314.5600000001</v>
      </c>
      <c r="E11" s="9" t="n">
        <v>0</v>
      </c>
      <c r="F11" s="9" t="n">
        <v>-1695910.72</v>
      </c>
      <c r="G11" s="9" t="n">
        <v>0</v>
      </c>
      <c r="H11" s="9" t="n">
        <v>-515972.03</v>
      </c>
      <c r="I11" s="9" t="n">
        <v>0</v>
      </c>
      <c r="J11" s="9" t="n">
        <v>4475670.8</v>
      </c>
      <c r="K11" s="9" t="n">
        <v>0</v>
      </c>
      <c r="L11" s="9" t="n">
        <v>40355097.69</v>
      </c>
      <c r="M11" s="9" t="n">
        <v>41914773.61</v>
      </c>
      <c r="N11" s="18">
        <f>SUM(C11:J11)+$K11</f>
        <v/>
      </c>
      <c r="O11" s="18">
        <f>$N11-$L11</f>
        <v/>
      </c>
      <c r="P11" s="18">
        <f>$P10+$L11</f>
        <v/>
      </c>
      <c r="Q11" s="18">
        <f>$P11-$M11</f>
        <v/>
      </c>
      <c r="R11" s="8">
        <f>IF(AND(ABS($O11)&lt;=tol_trade_inr,ABS($Q11)&lt;=tol_trade_inr),"PASS","FAIL")</f>
        <v/>
      </c>
    </row>
    <row r="12">
      <c r="A12" s="11" t="n">
        <v>44634</v>
      </c>
      <c r="B12" s="17" t="b">
        <v>1</v>
      </c>
      <c r="C12" s="9" t="n">
        <v>-1061573.82</v>
      </c>
      <c r="D12" s="9" t="n">
        <v>-888147.55</v>
      </c>
      <c r="E12" s="9" t="n">
        <v>0</v>
      </c>
      <c r="F12" s="9" t="n">
        <v>-5033252.98</v>
      </c>
      <c r="G12" s="9" t="n">
        <v>0</v>
      </c>
      <c r="H12" s="9" t="n">
        <v>-911082.0699999999</v>
      </c>
      <c r="I12" s="9" t="n">
        <v>0</v>
      </c>
      <c r="J12" s="9" t="n">
        <v>-1221651.83</v>
      </c>
      <c r="K12" s="9" t="n">
        <v>0</v>
      </c>
      <c r="L12" s="9" t="n">
        <v>-9115708.25</v>
      </c>
      <c r="M12" s="9" t="n">
        <v>32799065.36</v>
      </c>
      <c r="N12" s="18">
        <f>SUM(C12:J12)+$K12</f>
        <v/>
      </c>
      <c r="O12" s="18">
        <f>$N12-$L12</f>
        <v/>
      </c>
      <c r="P12" s="18">
        <f>$P11+$L12</f>
        <v/>
      </c>
      <c r="Q12" s="18">
        <f>$P12-$M12</f>
        <v/>
      </c>
      <c r="R12" s="8">
        <f>IF(AND(ABS($O12)&lt;=tol_trade_inr,ABS($Q12)&lt;=tol_trade_inr),"PASS","FAIL")</f>
        <v/>
      </c>
    </row>
    <row r="13">
      <c r="A13" s="11" t="n">
        <v>44635</v>
      </c>
      <c r="B13" s="17" t="b">
        <v>1</v>
      </c>
      <c r="C13" s="9" t="n">
        <v>0</v>
      </c>
      <c r="D13" s="9" t="n">
        <v>-1952429.45</v>
      </c>
      <c r="E13" s="9" t="n">
        <v>0</v>
      </c>
      <c r="F13" s="9" t="n">
        <v>-1584157.93</v>
      </c>
      <c r="G13" s="9" t="n">
        <v>0</v>
      </c>
      <c r="H13" s="9" t="n">
        <v>1132480.14</v>
      </c>
      <c r="I13" s="9" t="n">
        <v>0</v>
      </c>
      <c r="J13" s="9" t="n">
        <v>2382498.41</v>
      </c>
      <c r="K13" s="9" t="n">
        <v>0</v>
      </c>
      <c r="L13" s="9" t="n">
        <v>-21608.84</v>
      </c>
      <c r="M13" s="9" t="n">
        <v>32777456.52</v>
      </c>
      <c r="N13" s="18">
        <f>SUM(C13:J13)+$K13</f>
        <v/>
      </c>
      <c r="O13" s="18">
        <f>$N13-$L13</f>
        <v/>
      </c>
      <c r="P13" s="18">
        <f>$P12+$L13</f>
        <v/>
      </c>
      <c r="Q13" s="18">
        <f>$P13-$M13</f>
        <v/>
      </c>
      <c r="R13" s="8">
        <f>IF(AND(ABS($O13)&lt;=tol_trade_inr,ABS($Q13)&lt;=tol_trade_inr),"PASS","FAIL")</f>
        <v/>
      </c>
    </row>
    <row r="14">
      <c r="A14" s="11" t="n">
        <v>44636</v>
      </c>
      <c r="B14" s="17" t="b">
        <v>1</v>
      </c>
      <c r="C14" s="9" t="n">
        <v>0</v>
      </c>
      <c r="D14" s="9" t="n">
        <v>907750.8199999999</v>
      </c>
      <c r="E14" s="9" t="n">
        <v>0</v>
      </c>
      <c r="F14" s="9" t="n">
        <v>1327392.81</v>
      </c>
      <c r="G14" s="9" t="n">
        <v>0</v>
      </c>
      <c r="H14" s="9" t="n">
        <v>1039627.21</v>
      </c>
      <c r="I14" s="9" t="n">
        <v>0</v>
      </c>
      <c r="J14" s="9" t="n">
        <v>-1368390.64</v>
      </c>
      <c r="K14" s="9" t="n">
        <v>-0</v>
      </c>
      <c r="L14" s="9" t="n">
        <v>1906380.19</v>
      </c>
      <c r="M14" s="9" t="n">
        <v>34683836.71</v>
      </c>
      <c r="N14" s="18">
        <f>SUM(C14:J14)+$K14</f>
        <v/>
      </c>
      <c r="O14" s="18">
        <f>$N14-$L14</f>
        <v/>
      </c>
      <c r="P14" s="18">
        <f>$P13+$L14</f>
        <v/>
      </c>
      <c r="Q14" s="18">
        <f>$P14-$M14</f>
        <v/>
      </c>
      <c r="R14" s="8">
        <f>IF(AND(ABS($O14)&lt;=tol_trade_inr,ABS($Q14)&lt;=tol_trade_inr),"PASS","FAIL")</f>
        <v/>
      </c>
    </row>
    <row r="15">
      <c r="A15" s="11" t="n">
        <v>44637</v>
      </c>
      <c r="B15" s="17" t="b">
        <v>1</v>
      </c>
      <c r="C15" s="9" t="n">
        <v>0</v>
      </c>
      <c r="D15" s="9" t="n">
        <v>-191660.09</v>
      </c>
      <c r="E15" s="9" t="n">
        <v>0</v>
      </c>
      <c r="F15" s="9" t="n">
        <v>1311107.93</v>
      </c>
      <c r="G15" s="9" t="n">
        <v>790442.4399999999</v>
      </c>
      <c r="H15" s="9" t="n">
        <v>1938739.77</v>
      </c>
      <c r="I15" s="9" t="n">
        <v>0</v>
      </c>
      <c r="J15" s="9" t="n">
        <v>852828.36</v>
      </c>
      <c r="K15" s="9" t="n">
        <v>0</v>
      </c>
      <c r="L15" s="9" t="n">
        <v>4701458.42</v>
      </c>
      <c r="M15" s="9" t="n">
        <v>39385295.13</v>
      </c>
      <c r="N15" s="18">
        <f>SUM(C15:J15)+$K15</f>
        <v/>
      </c>
      <c r="O15" s="18">
        <f>$N15-$L15</f>
        <v/>
      </c>
      <c r="P15" s="18">
        <f>$P14+$L15</f>
        <v/>
      </c>
      <c r="Q15" s="18">
        <f>$P15-$M15</f>
        <v/>
      </c>
      <c r="R15" s="8">
        <f>IF(AND(ABS($O15)&lt;=tol_trade_inr,ABS($Q15)&lt;=tol_trade_inr),"PASS","FAIL")</f>
        <v/>
      </c>
    </row>
    <row r="16">
      <c r="A16" s="11" t="n">
        <v>44638</v>
      </c>
      <c r="B16" s="17" t="b">
        <v>1</v>
      </c>
      <c r="C16" s="9" t="n">
        <v>-431336.63</v>
      </c>
      <c r="D16" s="9" t="n">
        <v>1019186.8</v>
      </c>
      <c r="E16" s="9" t="n">
        <v>0</v>
      </c>
      <c r="F16" s="9" t="n">
        <v>1345163.63</v>
      </c>
      <c r="G16" s="9" t="n">
        <v>0</v>
      </c>
      <c r="H16" s="9" t="n">
        <v>-1400287.39</v>
      </c>
      <c r="I16" s="9" t="n">
        <v>0</v>
      </c>
      <c r="J16" s="9" t="n">
        <v>-819409.12</v>
      </c>
      <c r="K16" s="9" t="n">
        <v>-0</v>
      </c>
      <c r="L16" s="9" t="n">
        <v>-286682.71</v>
      </c>
      <c r="M16" s="9" t="n">
        <v>39098612.42</v>
      </c>
      <c r="N16" s="18">
        <f>SUM(C16:J16)+$K16</f>
        <v/>
      </c>
      <c r="O16" s="18">
        <f>$N16-$L16</f>
        <v/>
      </c>
      <c r="P16" s="18">
        <f>$P15+$L16</f>
        <v/>
      </c>
      <c r="Q16" s="18">
        <f>$P16-$M16</f>
        <v/>
      </c>
      <c r="R16" s="8">
        <f>IF(AND(ABS($O16)&lt;=tol_trade_inr,ABS($Q16)&lt;=tol_trade_inr),"PASS","FAIL")</f>
        <v/>
      </c>
    </row>
    <row r="17">
      <c r="A17" s="11" t="n">
        <v>44641</v>
      </c>
      <c r="B17" s="17" t="b">
        <v>1</v>
      </c>
      <c r="C17" s="9" t="n">
        <v>-361649.58</v>
      </c>
      <c r="D17" s="9" t="n">
        <v>1575815.85</v>
      </c>
      <c r="E17" s="9" t="n">
        <v>0</v>
      </c>
      <c r="F17" s="9" t="n">
        <v>4200267.04</v>
      </c>
      <c r="G17" s="9" t="n">
        <v>0</v>
      </c>
      <c r="H17" s="9" t="n">
        <v>-846466.73</v>
      </c>
      <c r="I17" s="9" t="n">
        <v>0</v>
      </c>
      <c r="J17" s="9" t="n">
        <v>-989053.65</v>
      </c>
      <c r="K17" s="9" t="n">
        <v>0</v>
      </c>
      <c r="L17" s="9" t="n">
        <v>3578912.94</v>
      </c>
      <c r="M17" s="9" t="n">
        <v>42677525.36</v>
      </c>
      <c r="N17" s="18">
        <f>SUM(C17:J17)+$K17</f>
        <v/>
      </c>
      <c r="O17" s="18">
        <f>$N17-$L17</f>
        <v/>
      </c>
      <c r="P17" s="18">
        <f>$P16+$L17</f>
        <v/>
      </c>
      <c r="Q17" s="18">
        <f>$P17-$M17</f>
        <v/>
      </c>
      <c r="R17" s="8">
        <f>IF(AND(ABS($O17)&lt;=tol_trade_inr,ABS($Q17)&lt;=tol_trade_inr),"PASS","FAIL")</f>
        <v/>
      </c>
    </row>
    <row r="18">
      <c r="A18" s="11" t="n">
        <v>44642</v>
      </c>
      <c r="B18" s="17" t="b">
        <v>1</v>
      </c>
      <c r="C18" s="9" t="n">
        <v>0</v>
      </c>
      <c r="D18" s="9" t="n">
        <v>409238.98</v>
      </c>
      <c r="E18" s="9" t="n">
        <v>0</v>
      </c>
      <c r="F18" s="9" t="n">
        <v>1410656.84</v>
      </c>
      <c r="G18" s="9" t="n">
        <v>0</v>
      </c>
      <c r="H18" s="9" t="n">
        <v>795866.8100000001</v>
      </c>
      <c r="I18" s="9" t="n">
        <v>0</v>
      </c>
      <c r="J18" s="9" t="n">
        <v>-770384.64</v>
      </c>
      <c r="K18" s="9" t="n">
        <v>0</v>
      </c>
      <c r="L18" s="9" t="n">
        <v>1845377.98</v>
      </c>
      <c r="M18" s="9" t="n">
        <v>44522903.34</v>
      </c>
      <c r="N18" s="18">
        <f>SUM(C18:J18)+$K18</f>
        <v/>
      </c>
      <c r="O18" s="18">
        <f>$N18-$L18</f>
        <v/>
      </c>
      <c r="P18" s="18">
        <f>$P17+$L18</f>
        <v/>
      </c>
      <c r="Q18" s="18">
        <f>$P18-$M18</f>
        <v/>
      </c>
      <c r="R18" s="8">
        <f>IF(AND(ABS($O18)&lt;=tol_trade_inr,ABS($Q18)&lt;=tol_trade_inr),"PASS","FAIL")</f>
        <v/>
      </c>
    </row>
    <row r="19">
      <c r="A19" s="11" t="n">
        <v>44643</v>
      </c>
      <c r="B19" s="17" t="b">
        <v>1</v>
      </c>
      <c r="C19" s="9" t="n">
        <v>969698.08</v>
      </c>
      <c r="D19" s="9" t="n">
        <v>-166641.92</v>
      </c>
      <c r="E19" s="9" t="n">
        <v>0</v>
      </c>
      <c r="F19" s="9" t="n">
        <v>1409043.41</v>
      </c>
      <c r="G19" s="9" t="n">
        <v>0</v>
      </c>
      <c r="H19" s="9" t="n">
        <v>-2173051.7</v>
      </c>
      <c r="I19" s="9" t="n">
        <v>0</v>
      </c>
      <c r="J19" s="9" t="n">
        <v>813157.53</v>
      </c>
      <c r="K19" s="9" t="n">
        <v>-0</v>
      </c>
      <c r="L19" s="9" t="n">
        <v>852205.41</v>
      </c>
      <c r="M19" s="9" t="n">
        <v>45375108.75</v>
      </c>
      <c r="N19" s="18">
        <f>SUM(C19:J19)+$K19</f>
        <v/>
      </c>
      <c r="O19" s="18">
        <f>$N19-$L19</f>
        <v/>
      </c>
      <c r="P19" s="18">
        <f>$P18+$L19</f>
        <v/>
      </c>
      <c r="Q19" s="18">
        <f>$P19-$M19</f>
        <v/>
      </c>
      <c r="R19" s="8">
        <f>IF(AND(ABS($O19)&lt;=tol_trade_inr,ABS($Q19)&lt;=tol_trade_inr),"PASS","FAIL")</f>
        <v/>
      </c>
    </row>
    <row r="20">
      <c r="A20" s="11" t="n">
        <v>44644</v>
      </c>
      <c r="B20" s="17" t="b">
        <v>1</v>
      </c>
      <c r="C20" s="9" t="n">
        <v>0</v>
      </c>
      <c r="D20" s="9" t="n">
        <v>2089216.78</v>
      </c>
      <c r="E20" s="9" t="n">
        <v>0</v>
      </c>
      <c r="F20" s="9" t="n">
        <v>2149514.78</v>
      </c>
      <c r="G20" s="9" t="n">
        <v>0</v>
      </c>
      <c r="H20" s="9" t="n">
        <v>258295.13</v>
      </c>
      <c r="I20" s="9" t="n">
        <v>0</v>
      </c>
      <c r="J20" s="9" t="n">
        <v>2060296.55</v>
      </c>
      <c r="K20" s="9" t="n">
        <v>0</v>
      </c>
      <c r="L20" s="9" t="n">
        <v>6557323.24</v>
      </c>
      <c r="M20" s="9" t="n">
        <v>51932431.99</v>
      </c>
      <c r="N20" s="18">
        <f>SUM(C20:J20)+$K20</f>
        <v/>
      </c>
      <c r="O20" s="18">
        <f>$N20-$L20</f>
        <v/>
      </c>
      <c r="P20" s="18">
        <f>$P19+$L20</f>
        <v/>
      </c>
      <c r="Q20" s="18">
        <f>$P20-$M20</f>
        <v/>
      </c>
      <c r="R20" s="8">
        <f>IF(AND(ABS($O20)&lt;=tol_trade_inr,ABS($Q20)&lt;=tol_trade_inr),"PASS","FAIL")</f>
        <v/>
      </c>
    </row>
    <row r="21">
      <c r="A21" s="11" t="n">
        <v>44645</v>
      </c>
      <c r="B21" s="17" t="b">
        <v>1</v>
      </c>
      <c r="C21" s="9" t="n">
        <v>0</v>
      </c>
      <c r="D21" s="9" t="n">
        <v>-1677030.81</v>
      </c>
      <c r="E21" s="9" t="n">
        <v>0</v>
      </c>
      <c r="F21" s="9" t="n">
        <v>2107885.64</v>
      </c>
      <c r="G21" s="9" t="n">
        <v>0</v>
      </c>
      <c r="H21" s="9" t="n">
        <v>1749958.82</v>
      </c>
      <c r="I21" s="9" t="n">
        <v>0</v>
      </c>
      <c r="J21" s="9" t="n">
        <v>-581304.13</v>
      </c>
      <c r="K21" s="9" t="n">
        <v>-0</v>
      </c>
      <c r="L21" s="9" t="n">
        <v>1599509.51</v>
      </c>
      <c r="M21" s="9" t="n">
        <v>53531941.5</v>
      </c>
      <c r="N21" s="18">
        <f>SUM(C21:J21)+$K21</f>
        <v/>
      </c>
      <c r="O21" s="18">
        <f>$N21-$L21</f>
        <v/>
      </c>
      <c r="P21" s="18">
        <f>$P20+$L21</f>
        <v/>
      </c>
      <c r="Q21" s="18">
        <f>$P21-$M21</f>
        <v/>
      </c>
      <c r="R21" s="8">
        <f>IF(AND(ABS($O21)&lt;=tol_trade_inr,ABS($Q21)&lt;=tol_trade_inr),"PASS","FAIL")</f>
        <v/>
      </c>
    </row>
    <row r="22">
      <c r="A22" s="11" t="n">
        <v>44648</v>
      </c>
      <c r="B22" s="17" t="b">
        <v>1</v>
      </c>
      <c r="C22" s="9" t="n">
        <v>0</v>
      </c>
      <c r="D22" s="9" t="n">
        <v>488862.01</v>
      </c>
      <c r="E22" s="9" t="n">
        <v>0</v>
      </c>
      <c r="F22" s="9" t="n">
        <v>6339347.92</v>
      </c>
      <c r="G22" s="9" t="n">
        <v>0</v>
      </c>
      <c r="H22" s="9" t="n">
        <v>485271.29</v>
      </c>
      <c r="I22" s="9" t="n">
        <v>0</v>
      </c>
      <c r="J22" s="9" t="n">
        <v>743555.41</v>
      </c>
      <c r="K22" s="9" t="n">
        <v>0</v>
      </c>
      <c r="L22" s="9" t="n">
        <v>8057036.63</v>
      </c>
      <c r="M22" s="9" t="n">
        <v>61588978.13</v>
      </c>
      <c r="N22" s="18">
        <f>SUM(C22:J22)+$K22</f>
        <v/>
      </c>
      <c r="O22" s="18">
        <f>$N22-$L22</f>
        <v/>
      </c>
      <c r="P22" s="18">
        <f>$P21+$L22</f>
        <v/>
      </c>
      <c r="Q22" s="18">
        <f>$P22-$M22</f>
        <v/>
      </c>
      <c r="R22" s="8">
        <f>IF(AND(ABS($O22)&lt;=tol_trade_inr,ABS($Q22)&lt;=tol_trade_inr),"PASS","FAIL")</f>
        <v/>
      </c>
    </row>
    <row r="23">
      <c r="A23" s="11" t="n">
        <v>44649</v>
      </c>
      <c r="B23" s="17" t="b">
        <v>1</v>
      </c>
      <c r="C23" s="9" t="n">
        <v>-196560</v>
      </c>
      <c r="D23" s="9" t="n">
        <v>-529861.77</v>
      </c>
      <c r="E23" s="9" t="n">
        <v>0</v>
      </c>
      <c r="F23" s="9" t="n">
        <v>2099375.02</v>
      </c>
      <c r="G23" s="9" t="n">
        <v>0</v>
      </c>
      <c r="H23" s="9" t="n">
        <v>3011415.68</v>
      </c>
      <c r="I23" s="9" t="n">
        <v>0</v>
      </c>
      <c r="J23" s="9" t="n">
        <v>2733425.85</v>
      </c>
      <c r="K23" s="9" t="n">
        <v>-0</v>
      </c>
      <c r="L23" s="9" t="n">
        <v>7117794.77</v>
      </c>
      <c r="M23" s="9" t="n">
        <v>68706772.91</v>
      </c>
      <c r="N23" s="18">
        <f>SUM(C23:J23)+$K23</f>
        <v/>
      </c>
      <c r="O23" s="18">
        <f>$N23-$L23</f>
        <v/>
      </c>
      <c r="P23" s="18">
        <f>$P22+$L23</f>
        <v/>
      </c>
      <c r="Q23" s="18">
        <f>$P23-$M23</f>
        <v/>
      </c>
      <c r="R23" s="8">
        <f>IF(AND(ABS($O23)&lt;=tol_trade_inr,ABS($Q23)&lt;=tol_trade_inr),"PASS","FAIL")</f>
        <v/>
      </c>
    </row>
    <row r="24">
      <c r="A24" s="11" t="n">
        <v>44650</v>
      </c>
      <c r="B24" s="17" t="b">
        <v>1</v>
      </c>
      <c r="C24" s="9" t="n">
        <v>-377648.79</v>
      </c>
      <c r="D24" s="9" t="n">
        <v>-1766066.02</v>
      </c>
      <c r="E24" s="9" t="n">
        <v>0</v>
      </c>
      <c r="F24" s="9" t="n">
        <v>2054390.32</v>
      </c>
      <c r="G24" s="9" t="n">
        <v>0</v>
      </c>
      <c r="H24" s="9" t="n">
        <v>-538813.85</v>
      </c>
      <c r="I24" s="9" t="n">
        <v>0</v>
      </c>
      <c r="J24" s="9" t="n">
        <v>-949705.55</v>
      </c>
      <c r="K24" s="9" t="n">
        <v>0</v>
      </c>
      <c r="L24" s="9" t="n">
        <v>-1577843.88</v>
      </c>
      <c r="M24" s="9" t="n">
        <v>67128929.02</v>
      </c>
      <c r="N24" s="18">
        <f>SUM(C24:J24)+$K24</f>
        <v/>
      </c>
      <c r="O24" s="18">
        <f>$N24-$L24</f>
        <v/>
      </c>
      <c r="P24" s="18">
        <f>$P23+$L24</f>
        <v/>
      </c>
      <c r="Q24" s="18">
        <f>$P24-$M24</f>
        <v/>
      </c>
      <c r="R24" s="8">
        <f>IF(AND(ABS($O24)&lt;=tol_trade_inr,ABS($Q24)&lt;=tol_trade_inr),"PASS","FAIL")</f>
        <v/>
      </c>
    </row>
    <row r="25">
      <c r="A25" s="11" t="n">
        <v>44651</v>
      </c>
      <c r="B25" s="17" t="b">
        <v>1</v>
      </c>
      <c r="C25" s="9" t="n">
        <v>0</v>
      </c>
      <c r="D25" s="9" t="n">
        <v>-120862.1</v>
      </c>
      <c r="E25" s="9" t="n">
        <v>0</v>
      </c>
      <c r="F25" s="9" t="n">
        <v>2050396.74</v>
      </c>
      <c r="G25" s="9" t="n">
        <v>0</v>
      </c>
      <c r="H25" s="9" t="n">
        <v>301256.28</v>
      </c>
      <c r="I25" s="9" t="n">
        <v>0</v>
      </c>
      <c r="J25" s="9" t="n">
        <v>-661918.89</v>
      </c>
      <c r="K25" s="9" t="n">
        <v>0</v>
      </c>
      <c r="L25" s="9" t="n">
        <v>1568872.03</v>
      </c>
      <c r="M25" s="9" t="n">
        <v>68697801.06</v>
      </c>
      <c r="N25" s="18">
        <f>SUM(C25:J25)+$K25</f>
        <v/>
      </c>
      <c r="O25" s="18">
        <f>$N25-$L25</f>
        <v/>
      </c>
      <c r="P25" s="18">
        <f>$P24+$L25</f>
        <v/>
      </c>
      <c r="Q25" s="18">
        <f>$P25-$M25</f>
        <v/>
      </c>
      <c r="R25" s="8">
        <f>IF(AND(ABS($O25)&lt;=tol_trade_inr,ABS($Q25)&lt;=tol_trade_inr),"PASS","FAIL")</f>
        <v/>
      </c>
    </row>
    <row r="26">
      <c r="A26" s="11" t="n">
        <v>44652</v>
      </c>
      <c r="B26" s="17" t="b">
        <v>1</v>
      </c>
      <c r="C26" s="9" t="n">
        <v>0</v>
      </c>
      <c r="D26" s="9" t="n">
        <v>-494930.57</v>
      </c>
      <c r="E26" s="9" t="n">
        <v>0</v>
      </c>
      <c r="F26" s="9" t="n">
        <v>2034988.51</v>
      </c>
      <c r="G26" s="9" t="n">
        <v>0</v>
      </c>
      <c r="H26" s="9" t="n">
        <v>-1187895.96</v>
      </c>
      <c r="I26" s="9" t="n">
        <v>0</v>
      </c>
      <c r="J26" s="9" t="n">
        <v>202754.72</v>
      </c>
      <c r="K26" s="9" t="n">
        <v>-0</v>
      </c>
      <c r="L26" s="9" t="n">
        <v>554916.6899999999</v>
      </c>
      <c r="M26" s="9" t="n">
        <v>69252717.75</v>
      </c>
      <c r="N26" s="18">
        <f>SUM(C26:J26)+$K26</f>
        <v/>
      </c>
      <c r="O26" s="18">
        <f>$N26-$L26</f>
        <v/>
      </c>
      <c r="P26" s="18">
        <f>$P25+$L26</f>
        <v/>
      </c>
      <c r="Q26" s="18">
        <f>$P26-$M26</f>
        <v/>
      </c>
      <c r="R26" s="8">
        <f>IF(AND(ABS($O26)&lt;=tol_trade_inr,ABS($Q26)&lt;=tol_trade_inr),"PASS","FAIL")</f>
        <v/>
      </c>
    </row>
    <row r="27">
      <c r="A27" s="11" t="n">
        <v>44655</v>
      </c>
      <c r="B27" s="17" t="b">
        <v>1</v>
      </c>
      <c r="C27" s="9" t="n">
        <v>-196560</v>
      </c>
      <c r="D27" s="9" t="n">
        <v>-990180.52</v>
      </c>
      <c r="E27" s="9" t="n">
        <v>0</v>
      </c>
      <c r="F27" s="9" t="n">
        <v>6054873.9</v>
      </c>
      <c r="G27" s="9" t="n">
        <v>0</v>
      </c>
      <c r="H27" s="9" t="n">
        <v>2705539.28</v>
      </c>
      <c r="I27" s="9" t="n">
        <v>0</v>
      </c>
      <c r="J27" s="9" t="n">
        <v>452655.75</v>
      </c>
      <c r="K27" s="9" t="n">
        <v>-0</v>
      </c>
      <c r="L27" s="9" t="n">
        <v>8026328.42</v>
      </c>
      <c r="M27" s="9" t="n">
        <v>77279046.17</v>
      </c>
      <c r="N27" s="18">
        <f>SUM(C27:J27)+$K27</f>
        <v/>
      </c>
      <c r="O27" s="18">
        <f>$N27-$L27</f>
        <v/>
      </c>
      <c r="P27" s="18">
        <f>$P26+$L27</f>
        <v/>
      </c>
      <c r="Q27" s="18">
        <f>$P27-$M27</f>
        <v/>
      </c>
      <c r="R27" s="8">
        <f>IF(AND(ABS($O27)&lt;=tol_trade_inr,ABS($Q27)&lt;=tol_trade_inr),"PASS","FAIL")</f>
        <v/>
      </c>
    </row>
    <row r="28">
      <c r="A28" s="11" t="n">
        <v>44656</v>
      </c>
      <c r="B28" s="17" t="b">
        <v>1</v>
      </c>
      <c r="C28" s="9" t="n">
        <v>-124190</v>
      </c>
      <c r="D28" s="9" t="n">
        <v>-783898.75</v>
      </c>
      <c r="E28" s="9" t="n">
        <v>0</v>
      </c>
      <c r="F28" s="9" t="n">
        <v>1989851.36</v>
      </c>
      <c r="G28" s="9" t="n">
        <v>0</v>
      </c>
      <c r="H28" s="9" t="n">
        <v>741765.24</v>
      </c>
      <c r="I28" s="9" t="n">
        <v>0</v>
      </c>
      <c r="J28" s="9" t="n">
        <v>1740344.51</v>
      </c>
      <c r="K28" s="9" t="n">
        <v>0</v>
      </c>
      <c r="L28" s="9" t="n">
        <v>3563872.36</v>
      </c>
      <c r="M28" s="9" t="n">
        <v>80842918.53</v>
      </c>
      <c r="N28" s="18">
        <f>SUM(C28:J28)+$K28</f>
        <v/>
      </c>
      <c r="O28" s="18">
        <f>$N28-$L28</f>
        <v/>
      </c>
      <c r="P28" s="18">
        <f>$P27+$L28</f>
        <v/>
      </c>
      <c r="Q28" s="18">
        <f>$P28-$M28</f>
        <v/>
      </c>
      <c r="R28" s="8">
        <f>IF(AND(ABS($O28)&lt;=tol_trade_inr,ABS($Q28)&lt;=tol_trade_inr),"PASS","FAIL")</f>
        <v/>
      </c>
    </row>
    <row r="29">
      <c r="A29" s="11" t="n">
        <v>44657</v>
      </c>
      <c r="B29" s="17" t="b">
        <v>1</v>
      </c>
      <c r="C29" s="9" t="n">
        <v>935440.23</v>
      </c>
      <c r="D29" s="9" t="n">
        <v>795268.24</v>
      </c>
      <c r="E29" s="9" t="n">
        <v>0</v>
      </c>
      <c r="F29" s="9" t="n">
        <v>2006637.9</v>
      </c>
      <c r="G29" s="9" t="n">
        <v>0</v>
      </c>
      <c r="H29" s="9" t="n">
        <v>-1270288.26</v>
      </c>
      <c r="I29" s="9" t="n">
        <v>0</v>
      </c>
      <c r="J29" s="9" t="n">
        <v>-414375.43</v>
      </c>
      <c r="K29" s="9" t="n">
        <v>-0</v>
      </c>
      <c r="L29" s="9" t="n">
        <v>2052682.68</v>
      </c>
      <c r="M29" s="9" t="n">
        <v>82895601.20999999</v>
      </c>
      <c r="N29" s="18">
        <f>SUM(C29:J29)+$K29</f>
        <v/>
      </c>
      <c r="O29" s="18">
        <f>$N29-$L29</f>
        <v/>
      </c>
      <c r="P29" s="18">
        <f>$P28+$L29</f>
        <v/>
      </c>
      <c r="Q29" s="18">
        <f>$P29-$M29</f>
        <v/>
      </c>
      <c r="R29" s="8">
        <f>IF(AND(ABS($O29)&lt;=tol_trade_inr,ABS($Q29)&lt;=tol_trade_inr),"PASS","FAIL")</f>
        <v/>
      </c>
    </row>
    <row r="30">
      <c r="A30" s="11" t="n">
        <v>44658</v>
      </c>
      <c r="B30" s="17" t="b">
        <v>1</v>
      </c>
      <c r="C30" s="9" t="n">
        <v>-196560</v>
      </c>
      <c r="D30" s="9" t="n">
        <v>-6280990.54</v>
      </c>
      <c r="E30" s="9" t="n">
        <v>0</v>
      </c>
      <c r="F30" s="9" t="n">
        <v>2625674.25</v>
      </c>
      <c r="G30" s="9" t="n">
        <v>5911.97</v>
      </c>
      <c r="H30" s="9" t="n">
        <v>-652464.4399999999</v>
      </c>
      <c r="I30" s="9" t="n">
        <v>0</v>
      </c>
      <c r="J30" s="9" t="n">
        <v>1235283.31</v>
      </c>
      <c r="K30" s="9" t="n">
        <v>0</v>
      </c>
      <c r="L30" s="9" t="n">
        <v>-3263145.46</v>
      </c>
      <c r="M30" s="9" t="n">
        <v>79632455.76000001</v>
      </c>
      <c r="N30" s="18">
        <f>SUM(C30:J30)+$K30</f>
        <v/>
      </c>
      <c r="O30" s="18">
        <f>$N30-$L30</f>
        <v/>
      </c>
      <c r="P30" s="18">
        <f>$P29+$L30</f>
        <v/>
      </c>
      <c r="Q30" s="18">
        <f>$P30-$M30</f>
        <v/>
      </c>
      <c r="R30" s="8">
        <f>IF(AND(ABS($O30)&lt;=tol_trade_inr,ABS($Q30)&lt;=tol_trade_inr),"PASS","FAIL")</f>
        <v/>
      </c>
    </row>
    <row r="31">
      <c r="A31" s="11" t="n">
        <v>44659</v>
      </c>
      <c r="B31" s="17" t="b">
        <v>1</v>
      </c>
      <c r="C31" s="9" t="n">
        <v>0</v>
      </c>
      <c r="D31" s="9" t="n">
        <v>3202257.59</v>
      </c>
      <c r="E31" s="9" t="n">
        <v>0</v>
      </c>
      <c r="F31" s="9" t="n">
        <v>2672664.22</v>
      </c>
      <c r="G31" s="9" t="n">
        <v>0</v>
      </c>
      <c r="H31" s="9" t="n">
        <v>290427.85</v>
      </c>
      <c r="I31" s="9" t="n">
        <v>0</v>
      </c>
      <c r="J31" s="9" t="n">
        <v>71148.16</v>
      </c>
      <c r="K31" s="9" t="n">
        <v>-0</v>
      </c>
      <c r="L31" s="9" t="n">
        <v>6236497.82</v>
      </c>
      <c r="M31" s="9" t="n">
        <v>85868953.58</v>
      </c>
      <c r="N31" s="18">
        <f>SUM(C31:J31)+$K31</f>
        <v/>
      </c>
      <c r="O31" s="18">
        <f>$N31-$L31</f>
        <v/>
      </c>
      <c r="P31" s="18">
        <f>$P30+$L31</f>
        <v/>
      </c>
      <c r="Q31" s="18">
        <f>$P31-$M31</f>
        <v/>
      </c>
      <c r="R31" s="8">
        <f>IF(AND(ABS($O31)&lt;=tol_trade_inr,ABS($Q31)&lt;=tol_trade_inr),"PASS","FAIL")</f>
        <v/>
      </c>
    </row>
    <row r="32">
      <c r="A32" s="11" t="n">
        <v>44662</v>
      </c>
      <c r="B32" s="17" t="b">
        <v>1</v>
      </c>
      <c r="C32" s="9" t="n">
        <v>0</v>
      </c>
      <c r="D32" s="9" t="n">
        <v>-10599531.64</v>
      </c>
      <c r="E32" s="9" t="n">
        <v>0</v>
      </c>
      <c r="F32" s="9" t="n">
        <v>7628734.95</v>
      </c>
      <c r="G32" s="9" t="n">
        <v>0</v>
      </c>
      <c r="H32" s="9" t="n">
        <v>-46976.18</v>
      </c>
      <c r="I32" s="9" t="n">
        <v>0</v>
      </c>
      <c r="J32" s="9" t="n">
        <v>-2878246.97</v>
      </c>
      <c r="K32" s="9" t="n">
        <v>0</v>
      </c>
      <c r="L32" s="9" t="n">
        <v>-5896019.83</v>
      </c>
      <c r="M32" s="9" t="n">
        <v>79972933.75</v>
      </c>
      <c r="N32" s="18">
        <f>SUM(C32:J32)+$K32</f>
        <v/>
      </c>
      <c r="O32" s="18">
        <f>$N32-$L32</f>
        <v/>
      </c>
      <c r="P32" s="18">
        <f>$P31+$L32</f>
        <v/>
      </c>
      <c r="Q32" s="18">
        <f>$P32-$M32</f>
        <v/>
      </c>
      <c r="R32" s="8">
        <f>IF(AND(ABS($O32)&lt;=tol_trade_inr,ABS($Q32)&lt;=tol_trade_inr),"PASS","FAIL")</f>
        <v/>
      </c>
    </row>
    <row r="33">
      <c r="A33" s="11" t="n">
        <v>44663</v>
      </c>
      <c r="B33" s="17" t="b">
        <v>1</v>
      </c>
      <c r="C33" s="9" t="n">
        <v>-407085.24</v>
      </c>
      <c r="D33" s="9" t="n">
        <v>-1368942.53</v>
      </c>
      <c r="E33" s="9" t="n">
        <v>0</v>
      </c>
      <c r="F33" s="9" t="n">
        <v>2518879.09</v>
      </c>
      <c r="G33" s="9" t="n">
        <v>0</v>
      </c>
      <c r="H33" s="9" t="n">
        <v>-635039.15</v>
      </c>
      <c r="I33" s="9" t="n">
        <v>0</v>
      </c>
      <c r="J33" s="9" t="n">
        <v>3781126.24</v>
      </c>
      <c r="K33" s="9" t="n">
        <v>-0</v>
      </c>
      <c r="L33" s="9" t="n">
        <v>3888938.41</v>
      </c>
      <c r="M33" s="9" t="n">
        <v>83861872.16</v>
      </c>
      <c r="N33" s="18">
        <f>SUM(C33:J33)+$K33</f>
        <v/>
      </c>
      <c r="O33" s="18">
        <f>$N33-$L33</f>
        <v/>
      </c>
      <c r="P33" s="18">
        <f>$P32+$L33</f>
        <v/>
      </c>
      <c r="Q33" s="18">
        <f>$P33-$M33</f>
        <v/>
      </c>
      <c r="R33" s="8">
        <f>IF(AND(ABS($O33)&lt;=tol_trade_inr,ABS($Q33)&lt;=tol_trade_inr),"PASS","FAIL")</f>
        <v/>
      </c>
    </row>
    <row r="34">
      <c r="A34" s="11" t="n">
        <v>44664</v>
      </c>
      <c r="B34" s="17" t="b">
        <v>1</v>
      </c>
      <c r="C34" s="9" t="n">
        <v>-264800</v>
      </c>
      <c r="D34" s="9" t="n">
        <v>-521233.08</v>
      </c>
      <c r="E34" s="9" t="n">
        <v>0</v>
      </c>
      <c r="F34" s="9" t="n">
        <v>2533439.05</v>
      </c>
      <c r="G34" s="9" t="n">
        <v>0</v>
      </c>
      <c r="H34" s="9" t="n">
        <v>-31456.94</v>
      </c>
      <c r="I34" s="9" t="n">
        <v>0</v>
      </c>
      <c r="J34" s="9" t="n">
        <v>302223.69</v>
      </c>
      <c r="K34" s="9" t="n">
        <v>-0</v>
      </c>
      <c r="L34" s="9" t="n">
        <v>2018172.72</v>
      </c>
      <c r="M34" s="9" t="n">
        <v>85880044.88</v>
      </c>
      <c r="N34" s="18">
        <f>SUM(C34:J34)+$K34</f>
        <v/>
      </c>
      <c r="O34" s="18">
        <f>$N34-$L34</f>
        <v/>
      </c>
      <c r="P34" s="18">
        <f>$P33+$L34</f>
        <v/>
      </c>
      <c r="Q34" s="18">
        <f>$P34-$M34</f>
        <v/>
      </c>
      <c r="R34" s="8">
        <f>IF(AND(ABS($O34)&lt;=tol_trade_inr,ABS($Q34)&lt;=tol_trade_inr),"PASS","FAIL")</f>
        <v/>
      </c>
    </row>
    <row r="35">
      <c r="A35" s="11" t="n">
        <v>44665</v>
      </c>
      <c r="B35" s="17" t="b">
        <v>1</v>
      </c>
      <c r="C35" s="9" t="n">
        <v>-188557.73</v>
      </c>
      <c r="D35" s="9" t="n">
        <v>2155525.82</v>
      </c>
      <c r="E35" s="9" t="n">
        <v>0</v>
      </c>
      <c r="F35" s="9" t="n">
        <v>2558555.13</v>
      </c>
      <c r="G35" s="9" t="n">
        <v>-8901.780000000001</v>
      </c>
      <c r="H35" s="9" t="n">
        <v>-34180.12</v>
      </c>
      <c r="I35" s="9" t="n">
        <v>0</v>
      </c>
      <c r="J35" s="9" t="n">
        <v>-805295.63</v>
      </c>
      <c r="K35" s="9" t="n">
        <v>0</v>
      </c>
      <c r="L35" s="9" t="n">
        <v>3677145.69</v>
      </c>
      <c r="M35" s="9" t="n">
        <v>89557190.56999999</v>
      </c>
      <c r="N35" s="18">
        <f>SUM(C35:J35)+$K35</f>
        <v/>
      </c>
      <c r="O35" s="18">
        <f>$N35-$L35</f>
        <v/>
      </c>
      <c r="P35" s="18">
        <f>$P34+$L35</f>
        <v/>
      </c>
      <c r="Q35" s="18">
        <f>$P35-$M35</f>
        <v/>
      </c>
      <c r="R35" s="8">
        <f>IF(AND(ABS($O35)&lt;=tol_trade_inr,ABS($Q35)&lt;=tol_trade_inr),"PASS","FAIL")</f>
        <v/>
      </c>
    </row>
    <row r="36">
      <c r="A36" s="11" t="n">
        <v>44670</v>
      </c>
      <c r="B36" s="17" t="b">
        <v>1</v>
      </c>
      <c r="C36" s="9" t="n">
        <v>0</v>
      </c>
      <c r="D36" s="9" t="n">
        <v>5321242.9</v>
      </c>
      <c r="E36" s="9" t="n">
        <v>0</v>
      </c>
      <c r="F36" s="9" t="n">
        <v>12540512.62</v>
      </c>
      <c r="G36" s="9" t="n">
        <v>0</v>
      </c>
      <c r="H36" s="9" t="n">
        <v>319438.35</v>
      </c>
      <c r="I36" s="9" t="n">
        <v>0</v>
      </c>
      <c r="J36" s="9" t="n">
        <v>-4137802.09</v>
      </c>
      <c r="K36" s="9" t="n">
        <v>-0</v>
      </c>
      <c r="L36" s="9" t="n">
        <v>14043391.77</v>
      </c>
      <c r="M36" s="9" t="n">
        <v>103600582.34</v>
      </c>
      <c r="N36" s="18">
        <f>SUM(C36:J36)+$K36</f>
        <v/>
      </c>
      <c r="O36" s="18">
        <f>$N36-$L36</f>
        <v/>
      </c>
      <c r="P36" s="18">
        <f>$P35+$L36</f>
        <v/>
      </c>
      <c r="Q36" s="18">
        <f>$P36-$M36</f>
        <v/>
      </c>
      <c r="R36" s="8">
        <f>IF(AND(ABS($O36)&lt;=tol_trade_inr,ABS($Q36)&lt;=tol_trade_inr),"PASS","FAIL")</f>
        <v/>
      </c>
    </row>
    <row r="37">
      <c r="A37" s="11" t="n">
        <v>44671</v>
      </c>
      <c r="B37" s="17" t="b">
        <v>1</v>
      </c>
      <c r="C37" s="9" t="n">
        <v>-0</v>
      </c>
      <c r="D37" s="9" t="n">
        <v>-4713603.15</v>
      </c>
      <c r="E37" s="9" t="n">
        <v>0</v>
      </c>
      <c r="F37" s="9" t="n">
        <v>2427951.28</v>
      </c>
      <c r="G37" s="9" t="n">
        <v>0</v>
      </c>
      <c r="H37" s="9" t="n">
        <v>-73059.89999999999</v>
      </c>
      <c r="I37" s="9" t="n">
        <v>0</v>
      </c>
      <c r="J37" s="9" t="n">
        <v>-2246602.92</v>
      </c>
      <c r="K37" s="9" t="n">
        <v>0</v>
      </c>
      <c r="L37" s="9" t="n">
        <v>-4605314.69</v>
      </c>
      <c r="M37" s="9" t="n">
        <v>98995267.65000001</v>
      </c>
      <c r="N37" s="18">
        <f>SUM(C37:J37)+$K37</f>
        <v/>
      </c>
      <c r="O37" s="18">
        <f>$N37-$L37</f>
        <v/>
      </c>
      <c r="P37" s="18">
        <f>$P36+$L37</f>
        <v/>
      </c>
      <c r="Q37" s="18">
        <f>$P37-$M37</f>
        <v/>
      </c>
      <c r="R37" s="8">
        <f>IF(AND(ABS($O37)&lt;=tol_trade_inr,ABS($Q37)&lt;=tol_trade_inr),"PASS","FAIL")</f>
        <v/>
      </c>
    </row>
    <row r="38">
      <c r="A38" s="11" t="n">
        <v>44672</v>
      </c>
      <c r="B38" s="17" t="b">
        <v>1</v>
      </c>
      <c r="C38" s="9" t="n">
        <v>47622722.62</v>
      </c>
      <c r="D38" s="9" t="n">
        <v>-4282971.78</v>
      </c>
      <c r="E38" s="9" t="n">
        <v>0</v>
      </c>
      <c r="F38" s="9" t="n">
        <v>2436348.12</v>
      </c>
      <c r="G38" s="9" t="n">
        <v>0</v>
      </c>
      <c r="H38" s="9" t="n">
        <v>1025749.19</v>
      </c>
      <c r="I38" s="9" t="n">
        <v>0</v>
      </c>
      <c r="J38" s="9" t="n">
        <v>5514139.41</v>
      </c>
      <c r="K38" s="9" t="n">
        <v>-0</v>
      </c>
      <c r="L38" s="9" t="n">
        <v>52315987.56</v>
      </c>
      <c r="M38" s="9" t="n">
        <v>151311255.21</v>
      </c>
      <c r="N38" s="18">
        <f>SUM(C38:J38)+$K38</f>
        <v/>
      </c>
      <c r="O38" s="18">
        <f>$N38-$L38</f>
        <v/>
      </c>
      <c r="P38" s="18">
        <f>$P37+$L38</f>
        <v/>
      </c>
      <c r="Q38" s="18">
        <f>$P38-$M38</f>
        <v/>
      </c>
      <c r="R38" s="8">
        <f>IF(AND(ABS($O38)&lt;=tol_trade_inr,ABS($Q38)&lt;=tol_trade_inr),"PASS","FAIL")</f>
        <v/>
      </c>
    </row>
    <row r="39">
      <c r="A39" s="11" t="n">
        <v>44673</v>
      </c>
      <c r="B39" s="17" t="b">
        <v>1</v>
      </c>
      <c r="C39" s="9" t="n">
        <v>-148200</v>
      </c>
      <c r="D39" s="9" t="n">
        <v>-817899.67</v>
      </c>
      <c r="E39" s="9" t="n">
        <v>0</v>
      </c>
      <c r="F39" s="9" t="n">
        <v>2422947.26</v>
      </c>
      <c r="G39" s="9" t="n">
        <v>0</v>
      </c>
      <c r="H39" s="9" t="n">
        <v>-96672.75</v>
      </c>
      <c r="I39" s="9" t="n">
        <v>0</v>
      </c>
      <c r="J39" s="9" t="n">
        <v>567892.74</v>
      </c>
      <c r="K39" s="9" t="n">
        <v>0</v>
      </c>
      <c r="L39" s="9" t="n">
        <v>1928067.58</v>
      </c>
      <c r="M39" s="9" t="n">
        <v>153239322.79</v>
      </c>
      <c r="N39" s="18">
        <f>SUM(C39:J39)+$K39</f>
        <v/>
      </c>
      <c r="O39" s="18">
        <f>$N39-$L39</f>
        <v/>
      </c>
      <c r="P39" s="18">
        <f>$P38+$L39</f>
        <v/>
      </c>
      <c r="Q39" s="18">
        <f>$P39-$M39</f>
        <v/>
      </c>
      <c r="R39" s="8">
        <f>IF(AND(ABS($O39)&lt;=tol_trade_inr,ABS($Q39)&lt;=tol_trade_inr),"PASS","FAIL")</f>
        <v/>
      </c>
    </row>
    <row r="40">
      <c r="A40" s="11" t="n">
        <v>44676</v>
      </c>
      <c r="B40" s="17" t="b">
        <v>1</v>
      </c>
      <c r="C40" s="9" t="n">
        <v>18420523.74</v>
      </c>
      <c r="D40" s="9" t="n">
        <v>-5584395.25</v>
      </c>
      <c r="E40" s="9" t="n">
        <v>0</v>
      </c>
      <c r="F40" s="9" t="n">
        <v>6954300.03</v>
      </c>
      <c r="G40" s="9" t="n">
        <v>0</v>
      </c>
      <c r="H40" s="9" t="n">
        <v>129126.69</v>
      </c>
      <c r="I40" s="9" t="n">
        <v>0</v>
      </c>
      <c r="J40" s="9" t="n">
        <v>-674705.52</v>
      </c>
      <c r="K40" s="9" t="n">
        <v>-0</v>
      </c>
      <c r="L40" s="9" t="n">
        <v>19244849.69</v>
      </c>
      <c r="M40" s="9" t="n">
        <v>172484172.48</v>
      </c>
      <c r="N40" s="18">
        <f>SUM(C40:J40)+$K40</f>
        <v/>
      </c>
      <c r="O40" s="18">
        <f>$N40-$L40</f>
        <v/>
      </c>
      <c r="P40" s="18">
        <f>$P39+$L40</f>
        <v/>
      </c>
      <c r="Q40" s="18">
        <f>$P40-$M40</f>
        <v/>
      </c>
      <c r="R40" s="8">
        <f>IF(AND(ABS($O40)&lt;=tol_trade_inr,ABS($Q40)&lt;=tol_trade_inr),"PASS","FAIL")</f>
        <v/>
      </c>
    </row>
    <row r="41">
      <c r="A41" s="11" t="n">
        <v>44677</v>
      </c>
      <c r="B41" s="17" t="b">
        <v>1</v>
      </c>
      <c r="C41" s="9" t="n">
        <v>12787471.59</v>
      </c>
      <c r="D41" s="9" t="n">
        <v>-155819.96</v>
      </c>
      <c r="E41" s="9" t="n">
        <v>0</v>
      </c>
      <c r="F41" s="9" t="n">
        <v>1544227.12</v>
      </c>
      <c r="G41" s="9" t="n">
        <v>0</v>
      </c>
      <c r="H41" s="9" t="n">
        <v>45561.89</v>
      </c>
      <c r="I41" s="9" t="n">
        <v>0</v>
      </c>
      <c r="J41" s="9" t="n">
        <v>1215077.24</v>
      </c>
      <c r="K41" s="9" t="n">
        <v>0</v>
      </c>
      <c r="L41" s="9" t="n">
        <v>15436517.88</v>
      </c>
      <c r="M41" s="9" t="n">
        <v>187920690.36</v>
      </c>
      <c r="N41" s="18">
        <f>SUM(C41:J41)+$K41</f>
        <v/>
      </c>
      <c r="O41" s="18">
        <f>$N41-$L41</f>
        <v/>
      </c>
      <c r="P41" s="18">
        <f>$P40+$L41</f>
        <v/>
      </c>
      <c r="Q41" s="18">
        <f>$P41-$M41</f>
        <v/>
      </c>
      <c r="R41" s="8">
        <f>IF(AND(ABS($O41)&lt;=tol_trade_inr,ABS($Q41)&lt;=tol_trade_inr),"PASS","FAIL")</f>
        <v/>
      </c>
    </row>
    <row r="42">
      <c r="A42" s="11" t="n">
        <v>44678</v>
      </c>
      <c r="B42" s="17" t="b">
        <v>1</v>
      </c>
      <c r="C42" s="9" t="n">
        <v>-151830</v>
      </c>
      <c r="D42" s="9" t="n">
        <v>-48645.1</v>
      </c>
      <c r="E42" s="9" t="n">
        <v>0</v>
      </c>
      <c r="F42" s="9" t="n">
        <v>981636.49</v>
      </c>
      <c r="G42" s="9" t="n">
        <v>0</v>
      </c>
      <c r="H42" s="9" t="n">
        <v>8290.51</v>
      </c>
      <c r="I42" s="9" t="n">
        <v>0</v>
      </c>
      <c r="J42" s="9" t="n">
        <v>-97152.71000000001</v>
      </c>
      <c r="K42" s="9" t="n">
        <v>0</v>
      </c>
      <c r="L42" s="9" t="n">
        <v>692299.1800000001</v>
      </c>
      <c r="M42" s="9" t="n">
        <v>188612989.54</v>
      </c>
      <c r="N42" s="18">
        <f>SUM(C42:J42)+$K42</f>
        <v/>
      </c>
      <c r="O42" s="18">
        <f>$N42-$L42</f>
        <v/>
      </c>
      <c r="P42" s="18">
        <f>$P41+$L42</f>
        <v/>
      </c>
      <c r="Q42" s="18">
        <f>$P42-$M42</f>
        <v/>
      </c>
      <c r="R42" s="8">
        <f>IF(AND(ABS($O42)&lt;=tol_trade_inr,ABS($Q42)&lt;=tol_trade_inr),"PASS","FAIL")</f>
        <v/>
      </c>
    </row>
    <row r="43">
      <c r="A43" s="11" t="n">
        <v>44679</v>
      </c>
      <c r="B43" s="17" t="b">
        <v>1</v>
      </c>
      <c r="C43" s="9" t="n">
        <v>-1192701.52</v>
      </c>
      <c r="D43" s="9" t="n">
        <v>-2386903.58</v>
      </c>
      <c r="E43" s="9" t="n">
        <v>0</v>
      </c>
      <c r="F43" s="9" t="n">
        <v>971729.62</v>
      </c>
      <c r="G43" s="9" t="n">
        <v>0</v>
      </c>
      <c r="H43" s="9" t="n">
        <v>167206.86</v>
      </c>
      <c r="I43" s="9" t="n">
        <v>0</v>
      </c>
      <c r="J43" s="9" t="n">
        <v>-65313</v>
      </c>
      <c r="K43" s="9" t="n">
        <v>-0</v>
      </c>
      <c r="L43" s="9" t="n">
        <v>-2505981.62</v>
      </c>
      <c r="M43" s="9" t="n">
        <v>186107007.92</v>
      </c>
      <c r="N43" s="18">
        <f>SUM(C43:J43)+$K43</f>
        <v/>
      </c>
      <c r="O43" s="18">
        <f>$N43-$L43</f>
        <v/>
      </c>
      <c r="P43" s="18">
        <f>$P42+$L43</f>
        <v/>
      </c>
      <c r="Q43" s="18">
        <f>$P43-$M43</f>
        <v/>
      </c>
      <c r="R43" s="8">
        <f>IF(AND(ABS($O43)&lt;=tol_trade_inr,ABS($Q43)&lt;=tol_trade_inr),"PASS","FAIL")</f>
        <v/>
      </c>
    </row>
    <row r="44">
      <c r="A44" s="11" t="n">
        <v>44680</v>
      </c>
      <c r="B44" s="17" t="b">
        <v>1</v>
      </c>
      <c r="C44" s="9" t="n">
        <v>0</v>
      </c>
      <c r="D44" s="9" t="n">
        <v>-1564038.55</v>
      </c>
      <c r="E44" s="9" t="n">
        <v>0</v>
      </c>
      <c r="F44" s="9" t="n">
        <v>964249.53</v>
      </c>
      <c r="G44" s="9" t="n">
        <v>0</v>
      </c>
      <c r="H44" s="9" t="n">
        <v>-478594.54</v>
      </c>
      <c r="I44" s="9" t="n">
        <v>0</v>
      </c>
      <c r="J44" s="9" t="n">
        <v>-825583.53</v>
      </c>
      <c r="K44" s="9" t="n">
        <v>-0</v>
      </c>
      <c r="L44" s="9" t="n">
        <v>-1903967.1</v>
      </c>
      <c r="M44" s="9" t="n">
        <v>184203040.81</v>
      </c>
      <c r="N44" s="18">
        <f>SUM(C44:J44)+$K44</f>
        <v/>
      </c>
      <c r="O44" s="18">
        <f>$N44-$L44</f>
        <v/>
      </c>
      <c r="P44" s="18">
        <f>$P43+$L44</f>
        <v/>
      </c>
      <c r="Q44" s="18">
        <f>$P44-$M44</f>
        <v/>
      </c>
      <c r="R44" s="8">
        <f>IF(AND(ABS($O44)&lt;=tol_trade_inr,ABS($Q44)&lt;=tol_trade_inr),"PASS","FAIL")</f>
        <v/>
      </c>
    </row>
    <row r="45">
      <c r="A45" s="11" t="n">
        <v>44684</v>
      </c>
      <c r="B45" s="17" t="b">
        <v>1</v>
      </c>
      <c r="C45" s="9" t="n">
        <v>0</v>
      </c>
      <c r="D45" s="9" t="n">
        <v>-6311154.83</v>
      </c>
      <c r="E45" s="9" t="n">
        <v>0</v>
      </c>
      <c r="F45" s="9" t="n">
        <v>3672995.57</v>
      </c>
      <c r="G45" s="9" t="n">
        <v>0</v>
      </c>
      <c r="H45" s="9" t="n">
        <v>225447.23</v>
      </c>
      <c r="I45" s="9" t="n">
        <v>0</v>
      </c>
      <c r="J45" s="9" t="n">
        <v>1339309.32</v>
      </c>
      <c r="K45" s="9" t="n">
        <v>0</v>
      </c>
      <c r="L45" s="9" t="n">
        <v>-1073402.71</v>
      </c>
      <c r="M45" s="9" t="n">
        <v>183129638.1</v>
      </c>
      <c r="N45" s="18">
        <f>SUM(C45:J45)+$K45</f>
        <v/>
      </c>
      <c r="O45" s="18">
        <f>$N45-$L45</f>
        <v/>
      </c>
      <c r="P45" s="18">
        <f>$P44+$L45</f>
        <v/>
      </c>
      <c r="Q45" s="18">
        <f>$P45-$M45</f>
        <v/>
      </c>
      <c r="R45" s="8">
        <f>IF(AND(ABS($O45)&lt;=tol_trade_inr,ABS($Q45)&lt;=tol_trade_inr),"PASS","FAIL")</f>
        <v/>
      </c>
    </row>
    <row r="46">
      <c r="A46" s="11" t="n">
        <v>44685</v>
      </c>
      <c r="B46" s="17" t="b">
        <v>1</v>
      </c>
      <c r="C46" s="9" t="n">
        <v>-151830</v>
      </c>
      <c r="D46" s="9" t="n">
        <v>940928.77</v>
      </c>
      <c r="E46" s="9" t="n">
        <v>0</v>
      </c>
      <c r="F46" s="9" t="n">
        <v>933985.8199999999</v>
      </c>
      <c r="G46" s="9" t="n">
        <v>0</v>
      </c>
      <c r="H46" s="9" t="n">
        <v>-696624.85</v>
      </c>
      <c r="I46" s="9" t="n">
        <v>0</v>
      </c>
      <c r="J46" s="9" t="n">
        <v>99050.25</v>
      </c>
      <c r="K46" s="9" t="n">
        <v>0</v>
      </c>
      <c r="L46" s="9" t="n">
        <v>1125509.99</v>
      </c>
      <c r="M46" s="9" t="n">
        <v>184255148.09</v>
      </c>
      <c r="N46" s="18">
        <f>SUM(C46:J46)+$K46</f>
        <v/>
      </c>
      <c r="O46" s="18">
        <f>$N46-$L46</f>
        <v/>
      </c>
      <c r="P46" s="18">
        <f>$P45+$L46</f>
        <v/>
      </c>
      <c r="Q46" s="18">
        <f>$P46-$M46</f>
        <v/>
      </c>
      <c r="R46" s="8">
        <f>IF(AND(ABS($O46)&lt;=tol_trade_inr,ABS($Q46)&lt;=tol_trade_inr),"PASS","FAIL")</f>
        <v/>
      </c>
    </row>
    <row r="47">
      <c r="A47" s="11" t="n">
        <v>44686</v>
      </c>
      <c r="B47" s="17" t="b">
        <v>1</v>
      </c>
      <c r="C47" s="9" t="n">
        <v>0</v>
      </c>
      <c r="D47" s="9" t="n">
        <v>-682085.16</v>
      </c>
      <c r="E47" s="9" t="n">
        <v>0</v>
      </c>
      <c r="F47" s="9" t="n">
        <v>927750.4399999999</v>
      </c>
      <c r="G47" s="9" t="n">
        <v>0</v>
      </c>
      <c r="H47" s="9" t="n">
        <v>-286797.55</v>
      </c>
      <c r="I47" s="9" t="n">
        <v>0</v>
      </c>
      <c r="J47" s="9" t="n">
        <v>-382279.55</v>
      </c>
      <c r="K47" s="9" t="n">
        <v>0</v>
      </c>
      <c r="L47" s="9" t="n">
        <v>-423411.83</v>
      </c>
      <c r="M47" s="9" t="n">
        <v>183831736.26</v>
      </c>
      <c r="N47" s="18">
        <f>SUM(C47:J47)+$K47</f>
        <v/>
      </c>
      <c r="O47" s="18">
        <f>$N47-$L47</f>
        <v/>
      </c>
      <c r="P47" s="18">
        <f>$P46+$L47</f>
        <v/>
      </c>
      <c r="Q47" s="18">
        <f>$P47-$M47</f>
        <v/>
      </c>
      <c r="R47" s="8">
        <f>IF(AND(ABS($O47)&lt;=tol_trade_inr,ABS($Q47)&lt;=tol_trade_inr),"PASS","FAIL")</f>
        <v/>
      </c>
    </row>
    <row r="48">
      <c r="A48" s="11" t="n">
        <v>44687</v>
      </c>
      <c r="B48" s="17" t="b">
        <v>1</v>
      </c>
      <c r="C48" s="9" t="n">
        <v>0</v>
      </c>
      <c r="D48" s="9" t="n">
        <v>-5068314.95</v>
      </c>
      <c r="E48" s="9" t="n">
        <v>0</v>
      </c>
      <c r="F48" s="9" t="n">
        <v>899377.66</v>
      </c>
      <c r="G48" s="9" t="n">
        <v>0</v>
      </c>
      <c r="H48" s="9" t="n">
        <v>2776877.68</v>
      </c>
      <c r="I48" s="9" t="n">
        <v>0</v>
      </c>
      <c r="J48" s="9" t="n">
        <v>358104.9</v>
      </c>
      <c r="K48" s="9" t="n">
        <v>-0</v>
      </c>
      <c r="L48" s="9" t="n">
        <v>-1033954.71</v>
      </c>
      <c r="M48" s="9" t="n">
        <v>182797781.56</v>
      </c>
      <c r="N48" s="18">
        <f>SUM(C48:J48)+$K48</f>
        <v/>
      </c>
      <c r="O48" s="18">
        <f>$N48-$L48</f>
        <v/>
      </c>
      <c r="P48" s="18">
        <f>$P47+$L48</f>
        <v/>
      </c>
      <c r="Q48" s="18">
        <f>$P48-$M48</f>
        <v/>
      </c>
      <c r="R48" s="8">
        <f>IF(AND(ABS($O48)&lt;=tol_trade_inr,ABS($Q48)&lt;=tol_trade_inr),"PASS","FAIL")</f>
        <v/>
      </c>
    </row>
    <row r="49">
      <c r="A49" s="11" t="n">
        <v>44690</v>
      </c>
      <c r="B49" s="17" t="b">
        <v>1</v>
      </c>
      <c r="C49" s="9" t="n">
        <v>3627672.11</v>
      </c>
      <c r="D49" s="9" t="n">
        <v>-7930001.74</v>
      </c>
      <c r="E49" s="9" t="n">
        <v>0</v>
      </c>
      <c r="F49" s="9" t="n">
        <v>2608503.13</v>
      </c>
      <c r="G49" s="9" t="n">
        <v>0</v>
      </c>
      <c r="H49" s="9" t="n">
        <v>2158903.39</v>
      </c>
      <c r="I49" s="9" t="n">
        <v>0</v>
      </c>
      <c r="J49" s="9" t="n">
        <v>-129350.69</v>
      </c>
      <c r="K49" s="9" t="n">
        <v>-0</v>
      </c>
      <c r="L49" s="9" t="n">
        <v>335726.2</v>
      </c>
      <c r="M49" s="9" t="n">
        <v>183133507.76</v>
      </c>
      <c r="N49" s="18">
        <f>SUM(C49:J49)+$K49</f>
        <v/>
      </c>
      <c r="O49" s="18">
        <f>$N49-$L49</f>
        <v/>
      </c>
      <c r="P49" s="18">
        <f>$P48+$L49</f>
        <v/>
      </c>
      <c r="Q49" s="18">
        <f>$P49-$M49</f>
        <v/>
      </c>
      <c r="R49" s="8">
        <f>IF(AND(ABS($O49)&lt;=tol_trade_inr,ABS($Q49)&lt;=tol_trade_inr),"PASS","FAIL")</f>
        <v/>
      </c>
    </row>
    <row r="50">
      <c r="A50" s="11" t="n">
        <v>44691</v>
      </c>
      <c r="B50" s="17" t="b">
        <v>1</v>
      </c>
      <c r="C50" s="9" t="n">
        <v>595034.08</v>
      </c>
      <c r="D50" s="9" t="n">
        <v>-465056.75</v>
      </c>
      <c r="E50" s="9" t="n">
        <v>0</v>
      </c>
      <c r="F50" s="9" t="n">
        <v>519901</v>
      </c>
      <c r="G50" s="9" t="n">
        <v>0</v>
      </c>
      <c r="H50" s="9" t="n">
        <v>-378218.73</v>
      </c>
      <c r="I50" s="9" t="n">
        <v>0</v>
      </c>
      <c r="J50" s="9" t="n">
        <v>-1802986.04</v>
      </c>
      <c r="K50" s="9" t="n">
        <v>-0</v>
      </c>
      <c r="L50" s="9" t="n">
        <v>-1531326.43</v>
      </c>
      <c r="M50" s="9" t="n">
        <v>181602181.32</v>
      </c>
      <c r="N50" s="18">
        <f>SUM(C50:J50)+$K50</f>
        <v/>
      </c>
      <c r="O50" s="18">
        <f>$N50-$L50</f>
        <v/>
      </c>
      <c r="P50" s="18">
        <f>$P49+$L50</f>
        <v/>
      </c>
      <c r="Q50" s="18">
        <f>$P50-$M50</f>
        <v/>
      </c>
      <c r="R50" s="8">
        <f>IF(AND(ABS($O50)&lt;=tol_trade_inr,ABS($Q50)&lt;=tol_trade_inr),"PASS","FAIL")</f>
        <v/>
      </c>
    </row>
    <row r="51">
      <c r="A51" s="11" t="n">
        <v>44692</v>
      </c>
      <c r="B51" s="17" t="b">
        <v>1</v>
      </c>
      <c r="C51" s="9" t="n">
        <v>0</v>
      </c>
      <c r="D51" s="9" t="n">
        <v>4119511.35</v>
      </c>
      <c r="E51" s="9" t="n">
        <v>0</v>
      </c>
      <c r="F51" s="9" t="n">
        <v>1076029.8</v>
      </c>
      <c r="G51" s="9" t="n">
        <v>0</v>
      </c>
      <c r="H51" s="9" t="n">
        <v>-134387.94</v>
      </c>
      <c r="I51" s="9" t="n">
        <v>0</v>
      </c>
      <c r="J51" s="9" t="n">
        <v>-479061.92</v>
      </c>
      <c r="K51" s="9" t="n">
        <v>0</v>
      </c>
      <c r="L51" s="9" t="n">
        <v>4582091.28</v>
      </c>
      <c r="M51" s="9" t="n">
        <v>186184272.6</v>
      </c>
      <c r="N51" s="18">
        <f>SUM(C51:J51)+$K51</f>
        <v/>
      </c>
      <c r="O51" s="18">
        <f>$N51-$L51</f>
        <v/>
      </c>
      <c r="P51" s="18">
        <f>$P50+$L51</f>
        <v/>
      </c>
      <c r="Q51" s="18">
        <f>$P51-$M51</f>
        <v/>
      </c>
      <c r="R51" s="8">
        <f>IF(AND(ABS($O51)&lt;=tol_trade_inr,ABS($Q51)&lt;=tol_trade_inr),"PASS","FAIL")</f>
        <v/>
      </c>
    </row>
    <row r="52">
      <c r="A52" s="11" t="n">
        <v>44693</v>
      </c>
      <c r="B52" s="17" t="b">
        <v>1</v>
      </c>
      <c r="C52" s="9" t="n">
        <v>0</v>
      </c>
      <c r="D52" s="9" t="n">
        <v>-3525164.5</v>
      </c>
      <c r="E52" s="9" t="n">
        <v>0</v>
      </c>
      <c r="F52" s="9" t="n">
        <v>1055337.57</v>
      </c>
      <c r="G52" s="9" t="n">
        <v>0</v>
      </c>
      <c r="H52" s="9" t="n">
        <v>959052.4399999999</v>
      </c>
      <c r="I52" s="9" t="n">
        <v>0</v>
      </c>
      <c r="J52" s="9" t="n">
        <v>-209790.22</v>
      </c>
      <c r="K52" s="9" t="n">
        <v>0</v>
      </c>
      <c r="L52" s="9" t="n">
        <v>-1720564.71</v>
      </c>
      <c r="M52" s="9" t="n">
        <v>184463707.89</v>
      </c>
      <c r="N52" s="18">
        <f>SUM(C52:J52)+$K52</f>
        <v/>
      </c>
      <c r="O52" s="18">
        <f>$N52-$L52</f>
        <v/>
      </c>
      <c r="P52" s="18">
        <f>$P51+$L52</f>
        <v/>
      </c>
      <c r="Q52" s="18">
        <f>$P52-$M52</f>
        <v/>
      </c>
      <c r="R52" s="8">
        <f>IF(AND(ABS($O52)&lt;=tol_trade_inr,ABS($Q52)&lt;=tol_trade_inr),"PASS","FAIL")</f>
        <v/>
      </c>
    </row>
    <row r="53">
      <c r="A53" s="11" t="n">
        <v>44694</v>
      </c>
      <c r="B53" s="17" t="b">
        <v>1</v>
      </c>
      <c r="C53" s="9" t="n">
        <v>-378864.11</v>
      </c>
      <c r="D53" s="9" t="n">
        <v>2642893.64</v>
      </c>
      <c r="E53" s="9" t="n">
        <v>0</v>
      </c>
      <c r="F53" s="9" t="n">
        <v>1072644.55</v>
      </c>
      <c r="G53" s="9" t="n">
        <v>0</v>
      </c>
      <c r="H53" s="9" t="n">
        <v>-190339.6</v>
      </c>
      <c r="I53" s="9" t="n">
        <v>0</v>
      </c>
      <c r="J53" s="9" t="n">
        <v>-1126236.66</v>
      </c>
      <c r="K53" s="9" t="n">
        <v>0</v>
      </c>
      <c r="L53" s="9" t="n">
        <v>2020097.83</v>
      </c>
      <c r="M53" s="9" t="n">
        <v>186483805.72</v>
      </c>
      <c r="N53" s="18">
        <f>SUM(C53:J53)+$K53</f>
        <v/>
      </c>
      <c r="O53" s="18">
        <f>$N53-$L53</f>
        <v/>
      </c>
      <c r="P53" s="18">
        <f>$P52+$L53</f>
        <v/>
      </c>
      <c r="Q53" s="18">
        <f>$P53-$M53</f>
        <v/>
      </c>
      <c r="R53" s="8">
        <f>IF(AND(ABS($O53)&lt;=tol_trade_inr,ABS($Q53)&lt;=tol_trade_inr),"PASS","FAIL")</f>
        <v/>
      </c>
    </row>
    <row r="54">
      <c r="A54" s="11" t="n">
        <v>44697</v>
      </c>
      <c r="B54" s="17" t="b">
        <v>1</v>
      </c>
      <c r="C54" s="9" t="n">
        <v>0</v>
      </c>
      <c r="D54" s="9" t="n">
        <v>5355753.47</v>
      </c>
      <c r="E54" s="9" t="n">
        <v>0</v>
      </c>
      <c r="F54" s="9" t="n">
        <v>3027049.09</v>
      </c>
      <c r="G54" s="9" t="n">
        <v>0</v>
      </c>
      <c r="H54" s="9" t="n">
        <v>1234573.95</v>
      </c>
      <c r="I54" s="9" t="n">
        <v>0</v>
      </c>
      <c r="J54" s="9" t="n">
        <v>-146300.6</v>
      </c>
      <c r="K54" s="9" t="n">
        <v>-0</v>
      </c>
      <c r="L54" s="9" t="n">
        <v>9471075.92</v>
      </c>
      <c r="M54" s="9" t="n">
        <v>195954881.63</v>
      </c>
      <c r="N54" s="18">
        <f>SUM(C54:J54)+$K54</f>
        <v/>
      </c>
      <c r="O54" s="18">
        <f>$N54-$L54</f>
        <v/>
      </c>
      <c r="P54" s="18">
        <f>$P53+$L54</f>
        <v/>
      </c>
      <c r="Q54" s="18">
        <f>$P54-$M54</f>
        <v/>
      </c>
      <c r="R54" s="8">
        <f>IF(AND(ABS($O54)&lt;=tol_trade_inr,ABS($Q54)&lt;=tol_trade_inr),"PASS","FAIL")</f>
        <v/>
      </c>
    </row>
    <row r="55">
      <c r="A55" s="11" t="n">
        <v>44698</v>
      </c>
      <c r="B55" s="17" t="b">
        <v>1</v>
      </c>
      <c r="C55" s="9" t="n">
        <v>-124294.25</v>
      </c>
      <c r="D55" s="9" t="n">
        <v>3740867.75</v>
      </c>
      <c r="E55" s="9" t="n">
        <v>0</v>
      </c>
      <c r="F55" s="9" t="n">
        <v>854947.16</v>
      </c>
      <c r="G55" s="9" t="n">
        <v>0</v>
      </c>
      <c r="H55" s="9" t="n">
        <v>-1218905.51</v>
      </c>
      <c r="I55" s="9" t="n">
        <v>0</v>
      </c>
      <c r="J55" s="9" t="n">
        <v>-1249404.95</v>
      </c>
      <c r="K55" s="9" t="n">
        <v>0</v>
      </c>
      <c r="L55" s="9" t="n">
        <v>2003210.2</v>
      </c>
      <c r="M55" s="9" t="n">
        <v>197958091.84</v>
      </c>
      <c r="N55" s="18">
        <f>SUM(C55:J55)+$K55</f>
        <v/>
      </c>
      <c r="O55" s="18">
        <f>$N55-$L55</f>
        <v/>
      </c>
      <c r="P55" s="18">
        <f>$P54+$L55</f>
        <v/>
      </c>
      <c r="Q55" s="18">
        <f>$P55-$M55</f>
        <v/>
      </c>
      <c r="R55" s="8">
        <f>IF(AND(ABS($O55)&lt;=tol_trade_inr,ABS($Q55)&lt;=tol_trade_inr),"PASS","FAIL")</f>
        <v/>
      </c>
    </row>
    <row r="56">
      <c r="A56" s="11" t="n">
        <v>44699</v>
      </c>
      <c r="B56" s="17" t="b">
        <v>1</v>
      </c>
      <c r="C56" s="9" t="n">
        <v>-199220</v>
      </c>
      <c r="D56" s="9" t="n">
        <v>773677.88</v>
      </c>
      <c r="E56" s="9" t="n">
        <v>0</v>
      </c>
      <c r="F56" s="9" t="n">
        <v>851348.71</v>
      </c>
      <c r="G56" s="9" t="n">
        <v>0</v>
      </c>
      <c r="H56" s="9" t="n">
        <v>437500.76</v>
      </c>
      <c r="I56" s="9" t="n">
        <v>0</v>
      </c>
      <c r="J56" s="9" t="n">
        <v>-17217.66</v>
      </c>
      <c r="K56" s="9" t="n">
        <v>-0</v>
      </c>
      <c r="L56" s="9" t="n">
        <v>1846089.69</v>
      </c>
      <c r="M56" s="9" t="n">
        <v>199804181.53</v>
      </c>
      <c r="N56" s="18">
        <f>SUM(C56:J56)+$K56</f>
        <v/>
      </c>
      <c r="O56" s="18">
        <f>$N56-$L56</f>
        <v/>
      </c>
      <c r="P56" s="18">
        <f>$P55+$L56</f>
        <v/>
      </c>
      <c r="Q56" s="18">
        <f>$P56-$M56</f>
        <v/>
      </c>
      <c r="R56" s="8">
        <f>IF(AND(ABS($O56)&lt;=tol_trade_inr,ABS($Q56)&lt;=tol_trade_inr),"PASS","FAIL")</f>
        <v/>
      </c>
    </row>
    <row r="57">
      <c r="A57" s="11" t="n">
        <v>44700</v>
      </c>
      <c r="B57" s="17" t="b">
        <v>1</v>
      </c>
      <c r="C57" s="9" t="n">
        <v>0</v>
      </c>
      <c r="D57" s="9" t="n">
        <v>-547947.21</v>
      </c>
      <c r="E57" s="9" t="n">
        <v>0</v>
      </c>
      <c r="F57" s="9" t="n">
        <v>849461.74</v>
      </c>
      <c r="G57" s="9" t="n">
        <v>0</v>
      </c>
      <c r="H57" s="9" t="n">
        <v>159281.92</v>
      </c>
      <c r="I57" s="9" t="n">
        <v>0</v>
      </c>
      <c r="J57" s="9" t="n">
        <v>-2249735.09</v>
      </c>
      <c r="K57" s="9" t="n">
        <v>-0</v>
      </c>
      <c r="L57" s="9" t="n">
        <v>-1788938.65</v>
      </c>
      <c r="M57" s="9" t="n">
        <v>198015242.88</v>
      </c>
      <c r="N57" s="18">
        <f>SUM(C57:J57)+$K57</f>
        <v/>
      </c>
      <c r="O57" s="18">
        <f>$N57-$L57</f>
        <v/>
      </c>
      <c r="P57" s="18">
        <f>$P56+$L57</f>
        <v/>
      </c>
      <c r="Q57" s="18">
        <f>$P57-$M57</f>
        <v/>
      </c>
      <c r="R57" s="8">
        <f>IF(AND(ABS($O57)&lt;=tol_trade_inr,ABS($Q57)&lt;=tol_trade_inr),"PASS","FAIL")</f>
        <v/>
      </c>
    </row>
    <row r="58">
      <c r="A58" s="11" t="n">
        <v>44701</v>
      </c>
      <c r="B58" s="17" t="b">
        <v>1</v>
      </c>
      <c r="C58" s="9" t="n">
        <v>-0</v>
      </c>
      <c r="D58" s="9" t="n">
        <v>3368577.67</v>
      </c>
      <c r="E58" s="9" t="n">
        <v>0</v>
      </c>
      <c r="F58" s="9" t="n">
        <v>876445.04</v>
      </c>
      <c r="G58" s="9" t="n">
        <v>0</v>
      </c>
      <c r="H58" s="9" t="n">
        <v>-30259.8</v>
      </c>
      <c r="I58" s="9" t="n">
        <v>0</v>
      </c>
      <c r="J58" s="9" t="n">
        <v>-2150170.81</v>
      </c>
      <c r="K58" s="9" t="n">
        <v>0</v>
      </c>
      <c r="L58" s="9" t="n">
        <v>2064592.1</v>
      </c>
      <c r="M58" s="9" t="n">
        <v>200079834.97</v>
      </c>
      <c r="N58" s="18">
        <f>SUM(C58:J58)+$K58</f>
        <v/>
      </c>
      <c r="O58" s="18">
        <f>$N58-$L58</f>
        <v/>
      </c>
      <c r="P58" s="18">
        <f>$P57+$L58</f>
        <v/>
      </c>
      <c r="Q58" s="18">
        <f>$P58-$M58</f>
        <v/>
      </c>
      <c r="R58" s="8">
        <f>IF(AND(ABS($O58)&lt;=tol_trade_inr,ABS($Q58)&lt;=tol_trade_inr),"PASS","FAIL")</f>
        <v/>
      </c>
    </row>
    <row r="59">
      <c r="A59" s="11" t="n">
        <v>44704</v>
      </c>
      <c r="B59" s="17" t="b">
        <v>1</v>
      </c>
      <c r="C59" s="9" t="n">
        <v>0</v>
      </c>
      <c r="D59" s="9" t="n">
        <v>-3849236.72</v>
      </c>
      <c r="E59" s="9" t="n">
        <v>0</v>
      </c>
      <c r="F59" s="9" t="n">
        <v>2651915.72</v>
      </c>
      <c r="G59" s="9" t="n">
        <v>0</v>
      </c>
      <c r="H59" s="9" t="n">
        <v>284871.44</v>
      </c>
      <c r="I59" s="9" t="n">
        <v>0</v>
      </c>
      <c r="J59" s="9" t="n">
        <v>4692308.56</v>
      </c>
      <c r="K59" s="9" t="n">
        <v>-0</v>
      </c>
      <c r="L59" s="9" t="n">
        <v>3779859.01</v>
      </c>
      <c r="M59" s="9" t="n">
        <v>203859693.98</v>
      </c>
      <c r="N59" s="18">
        <f>SUM(C59:J59)+$K59</f>
        <v/>
      </c>
      <c r="O59" s="18">
        <f>$N59-$L59</f>
        <v/>
      </c>
      <c r="P59" s="18">
        <f>$P58+$L59</f>
        <v/>
      </c>
      <c r="Q59" s="18">
        <f>$P59-$M59</f>
        <v/>
      </c>
      <c r="R59" s="8">
        <f>IF(AND(ABS($O59)&lt;=tol_trade_inr,ABS($Q59)&lt;=tol_trade_inr),"PASS","FAIL")</f>
        <v/>
      </c>
    </row>
    <row r="60">
      <c r="A60" s="11" t="n">
        <v>44705</v>
      </c>
      <c r="B60" s="17" t="b">
        <v>1</v>
      </c>
      <c r="C60" s="9" t="n">
        <v>2767437.73</v>
      </c>
      <c r="D60" s="9" t="n">
        <v>-3160253.89</v>
      </c>
      <c r="E60" s="9" t="n">
        <v>0</v>
      </c>
      <c r="F60" s="9" t="n">
        <v>860675.0600000001</v>
      </c>
      <c r="G60" s="9" t="n">
        <v>0</v>
      </c>
      <c r="H60" s="9" t="n">
        <v>100854.81</v>
      </c>
      <c r="I60" s="9" t="n">
        <v>0</v>
      </c>
      <c r="J60" s="9" t="n">
        <v>1837183.55</v>
      </c>
      <c r="K60" s="9" t="n">
        <v>-0</v>
      </c>
      <c r="L60" s="9" t="n">
        <v>2405897.26</v>
      </c>
      <c r="M60" s="9" t="n">
        <v>206265591.24</v>
      </c>
      <c r="N60" s="18">
        <f>SUM(C60:J60)+$K60</f>
        <v/>
      </c>
      <c r="O60" s="18">
        <f>$N60-$L60</f>
        <v/>
      </c>
      <c r="P60" s="18">
        <f>$P59+$L60</f>
        <v/>
      </c>
      <c r="Q60" s="18">
        <f>$P60-$M60</f>
        <v/>
      </c>
      <c r="R60" s="8">
        <f>IF(AND(ABS($O60)&lt;=tol_trade_inr,ABS($Q60)&lt;=tol_trade_inr),"PASS","FAIL")</f>
        <v/>
      </c>
    </row>
    <row r="61">
      <c r="A61" s="11" t="n">
        <v>44706</v>
      </c>
      <c r="B61" s="17" t="b">
        <v>1</v>
      </c>
      <c r="C61" s="9" t="n">
        <v>1354453.12</v>
      </c>
      <c r="D61" s="9" t="n">
        <v>2079833.76</v>
      </c>
      <c r="E61" s="9" t="n">
        <v>0</v>
      </c>
      <c r="F61" s="9" t="n">
        <v>431717.39</v>
      </c>
      <c r="G61" s="9" t="n">
        <v>0</v>
      </c>
      <c r="H61" s="9" t="n">
        <v>-8412.08</v>
      </c>
      <c r="I61" s="9" t="n">
        <v>0</v>
      </c>
      <c r="J61" s="9" t="n">
        <v>-1988817.37</v>
      </c>
      <c r="K61" s="9" t="n">
        <v>0</v>
      </c>
      <c r="L61" s="9" t="n">
        <v>1868774.82</v>
      </c>
      <c r="M61" s="9" t="n">
        <v>208134366.06</v>
      </c>
      <c r="N61" s="18">
        <f>SUM(C61:J61)+$K61</f>
        <v/>
      </c>
      <c r="O61" s="18">
        <f>$N61-$L61</f>
        <v/>
      </c>
      <c r="P61" s="18">
        <f>$P60+$L61</f>
        <v/>
      </c>
      <c r="Q61" s="18">
        <f>$P61-$M61</f>
        <v/>
      </c>
      <c r="R61" s="8">
        <f>IF(AND(ABS($O61)&lt;=tol_trade_inr,ABS($Q61)&lt;=tol_trade_inr),"PASS","FAIL")</f>
        <v/>
      </c>
    </row>
    <row r="62">
      <c r="A62" s="11" t="n">
        <v>44707</v>
      </c>
      <c r="B62" s="17" t="b">
        <v>1</v>
      </c>
      <c r="C62" s="9" t="n">
        <v>0</v>
      </c>
      <c r="D62" s="9" t="n">
        <v>-44105.78</v>
      </c>
      <c r="E62" s="9" t="n">
        <v>0</v>
      </c>
      <c r="F62" s="9" t="n">
        <v>1058170.15</v>
      </c>
      <c r="G62" s="9" t="n">
        <v>152641.53</v>
      </c>
      <c r="H62" s="9" t="n">
        <v>-24044.46</v>
      </c>
      <c r="I62" s="9" t="n">
        <v>0</v>
      </c>
      <c r="J62" s="9" t="n">
        <v>422085.58</v>
      </c>
      <c r="K62" s="9" t="n">
        <v>-0</v>
      </c>
      <c r="L62" s="9" t="n">
        <v>1564747.02</v>
      </c>
      <c r="M62" s="9" t="n">
        <v>209699113.08</v>
      </c>
      <c r="N62" s="18">
        <f>SUM(C62:J62)+$K62</f>
        <v/>
      </c>
      <c r="O62" s="18">
        <f>$N62-$L62</f>
        <v/>
      </c>
      <c r="P62" s="18">
        <f>$P61+$L62</f>
        <v/>
      </c>
      <c r="Q62" s="18">
        <f>$P62-$M62</f>
        <v/>
      </c>
      <c r="R62" s="8">
        <f>IF(AND(ABS($O62)&lt;=tol_trade_inr,ABS($Q62)&lt;=tol_trade_inr),"PASS","FAIL")</f>
        <v/>
      </c>
    </row>
    <row r="63">
      <c r="A63" s="11" t="n">
        <v>44708</v>
      </c>
      <c r="B63" s="17" t="b">
        <v>1</v>
      </c>
      <c r="C63" s="9" t="n">
        <v>-787637.04</v>
      </c>
      <c r="D63" s="9" t="n">
        <v>-35902.77</v>
      </c>
      <c r="E63" s="9" t="n">
        <v>0</v>
      </c>
      <c r="F63" s="9" t="n">
        <v>1058617.55</v>
      </c>
      <c r="G63" s="9" t="n">
        <v>0</v>
      </c>
      <c r="H63" s="9" t="n">
        <v>9672.110000000001</v>
      </c>
      <c r="I63" s="9" t="n">
        <v>0</v>
      </c>
      <c r="J63" s="9" t="n">
        <v>-1393189.48</v>
      </c>
      <c r="K63" s="9" t="n">
        <v>0</v>
      </c>
      <c r="L63" s="9" t="n">
        <v>-1148439.63</v>
      </c>
      <c r="M63" s="9" t="n">
        <v>208550673.44</v>
      </c>
      <c r="N63" s="18">
        <f>SUM(C63:J63)+$K63</f>
        <v/>
      </c>
      <c r="O63" s="18">
        <f>$N63-$L63</f>
        <v/>
      </c>
      <c r="P63" s="18">
        <f>$P62+$L63</f>
        <v/>
      </c>
      <c r="Q63" s="18">
        <f>$P63-$M63</f>
        <v/>
      </c>
      <c r="R63" s="8">
        <f>IF(AND(ABS($O63)&lt;=tol_trade_inr,ABS($Q63)&lt;=tol_trade_inr),"PASS","FAIL")</f>
        <v/>
      </c>
    </row>
    <row r="64">
      <c r="A64" s="11" t="n">
        <v>44711</v>
      </c>
      <c r="B64" s="17" t="b">
        <v>1</v>
      </c>
      <c r="C64" s="9" t="n">
        <v>0</v>
      </c>
      <c r="D64" s="9" t="n">
        <v>706404.98</v>
      </c>
      <c r="E64" s="9" t="n">
        <v>0</v>
      </c>
      <c r="F64" s="9" t="n">
        <v>3211673.11</v>
      </c>
      <c r="G64" s="9" t="n">
        <v>0</v>
      </c>
      <c r="H64" s="9" t="n">
        <v>37595.24</v>
      </c>
      <c r="I64" s="9" t="n">
        <v>0</v>
      </c>
      <c r="J64" s="9" t="n">
        <v>423683.07</v>
      </c>
      <c r="K64" s="9" t="n">
        <v>-0</v>
      </c>
      <c r="L64" s="9" t="n">
        <v>4379356.4</v>
      </c>
      <c r="M64" s="9" t="n">
        <v>212930029.84</v>
      </c>
      <c r="N64" s="18">
        <f>SUM(C64:J64)+$K64</f>
        <v/>
      </c>
      <c r="O64" s="18">
        <f>$N64-$L64</f>
        <v/>
      </c>
      <c r="P64" s="18">
        <f>$P63+$L64</f>
        <v/>
      </c>
      <c r="Q64" s="18">
        <f>$P64-$M64</f>
        <v/>
      </c>
      <c r="R64" s="8">
        <f>IF(AND(ABS($O64)&lt;=tol_trade_inr,ABS($Q64)&lt;=tol_trade_inr),"PASS","FAIL")</f>
        <v/>
      </c>
    </row>
    <row r="65">
      <c r="A65" s="11" t="n">
        <v>44712</v>
      </c>
      <c r="B65" s="17" t="b">
        <v>1</v>
      </c>
      <c r="C65" s="9" t="n">
        <v>0</v>
      </c>
      <c r="D65" s="9" t="n">
        <v>-1010476.76</v>
      </c>
      <c r="E65" s="9" t="n">
        <v>0</v>
      </c>
      <c r="F65" s="9" t="n">
        <v>1054278.02</v>
      </c>
      <c r="G65" s="9" t="n">
        <v>0</v>
      </c>
      <c r="H65" s="9" t="n">
        <v>-132245.91</v>
      </c>
      <c r="I65" s="9" t="n">
        <v>0</v>
      </c>
      <c r="J65" s="9" t="n">
        <v>887982.6899999999</v>
      </c>
      <c r="K65" s="9" t="n">
        <v>-0</v>
      </c>
      <c r="L65" s="9" t="n">
        <v>799538.03</v>
      </c>
      <c r="M65" s="9" t="n">
        <v>213729567.88</v>
      </c>
      <c r="N65" s="18">
        <f>SUM(C65:J65)+$K65</f>
        <v/>
      </c>
      <c r="O65" s="18">
        <f>$N65-$L65</f>
        <v/>
      </c>
      <c r="P65" s="18">
        <f>$P64+$L65</f>
        <v/>
      </c>
      <c r="Q65" s="18">
        <f>$P65-$M65</f>
        <v/>
      </c>
      <c r="R65" s="8">
        <f>IF(AND(ABS($O65)&lt;=tol_trade_inr,ABS($Q65)&lt;=tol_trade_inr),"PASS","FAIL")</f>
        <v/>
      </c>
    </row>
    <row r="66">
      <c r="A66" s="11" t="n">
        <v>44713</v>
      </c>
      <c r="B66" s="17" t="b">
        <v>1</v>
      </c>
      <c r="C66" s="9" t="n">
        <v>4062453.19</v>
      </c>
      <c r="D66" s="9" t="n">
        <v>-2880317.91</v>
      </c>
      <c r="E66" s="9" t="n">
        <v>0</v>
      </c>
      <c r="F66" s="9" t="n">
        <v>1015336.36</v>
      </c>
      <c r="G66" s="9" t="n">
        <v>0</v>
      </c>
      <c r="H66" s="9" t="n">
        <v>151686.47</v>
      </c>
      <c r="I66" s="9" t="n">
        <v>0</v>
      </c>
      <c r="J66" s="9" t="n">
        <v>-983561.0699999999</v>
      </c>
      <c r="K66" s="9" t="n">
        <v>0</v>
      </c>
      <c r="L66" s="9" t="n">
        <v>1365597.04</v>
      </c>
      <c r="M66" s="9" t="n">
        <v>215095164.92</v>
      </c>
      <c r="N66" s="18">
        <f>SUM(C66:J66)+$K66</f>
        <v/>
      </c>
      <c r="O66" s="18">
        <f>$N66-$L66</f>
        <v/>
      </c>
      <c r="P66" s="18">
        <f>$P65+$L66</f>
        <v/>
      </c>
      <c r="Q66" s="18">
        <f>$P66-$M66</f>
        <v/>
      </c>
      <c r="R66" s="8">
        <f>IF(AND(ABS($O66)&lt;=tol_trade_inr,ABS($Q66)&lt;=tol_trade_inr),"PASS","FAIL")</f>
        <v/>
      </c>
    </row>
    <row r="67">
      <c r="A67" s="11" t="n">
        <v>44718</v>
      </c>
      <c r="B67" s="17" t="b">
        <v>1</v>
      </c>
      <c r="C67" s="9" t="n">
        <v>0</v>
      </c>
      <c r="D67" s="9" t="n">
        <v>-2212190.63</v>
      </c>
      <c r="E67" s="9" t="n">
        <v>0</v>
      </c>
      <c r="F67" s="9" t="n">
        <v>3040517.68</v>
      </c>
      <c r="G67" s="9" t="n">
        <v>0</v>
      </c>
      <c r="H67" s="9" t="n">
        <v>-305449.62</v>
      </c>
      <c r="I67" s="9" t="n">
        <v>0</v>
      </c>
      <c r="J67" s="9" t="n">
        <v>3160306.65</v>
      </c>
      <c r="K67" s="9" t="n">
        <v>-0</v>
      </c>
      <c r="L67" s="9" t="n">
        <v>3683184.09</v>
      </c>
      <c r="M67" s="9" t="n">
        <v>218778349</v>
      </c>
      <c r="N67" s="18">
        <f>SUM(C67:J67)+$K67</f>
        <v/>
      </c>
      <c r="O67" s="18">
        <f>$N67-$L67</f>
        <v/>
      </c>
      <c r="P67" s="18">
        <f>$P66+$L67</f>
        <v/>
      </c>
      <c r="Q67" s="18">
        <f>$P67-$M67</f>
        <v/>
      </c>
      <c r="R67" s="8">
        <f>IF(AND(ABS($O67)&lt;=tol_trade_inr,ABS($Q67)&lt;=tol_trade_inr),"PASS","FAIL")</f>
        <v/>
      </c>
    </row>
    <row r="68">
      <c r="A68" s="11" t="n">
        <v>44719</v>
      </c>
      <c r="B68" s="17" t="b">
        <v>1</v>
      </c>
      <c r="C68" s="9" t="n">
        <v>-83380</v>
      </c>
      <c r="D68" s="9" t="n">
        <v>-717826.03</v>
      </c>
      <c r="E68" s="9" t="n">
        <v>0</v>
      </c>
      <c r="F68" s="9" t="n">
        <v>603474.73</v>
      </c>
      <c r="G68" s="9" t="n">
        <v>0</v>
      </c>
      <c r="H68" s="9" t="n">
        <v>-110167.68</v>
      </c>
      <c r="I68" s="9" t="n">
        <v>0</v>
      </c>
      <c r="J68" s="9" t="n">
        <v>-292881.12</v>
      </c>
      <c r="K68" s="9" t="n">
        <v>0</v>
      </c>
      <c r="L68" s="9" t="n">
        <v>-600780.11</v>
      </c>
      <c r="M68" s="9" t="n">
        <v>218177568.9</v>
      </c>
      <c r="N68" s="18">
        <f>SUM(C68:J68)+$K68</f>
        <v/>
      </c>
      <c r="O68" s="18">
        <f>$N68-$L68</f>
        <v/>
      </c>
      <c r="P68" s="18">
        <f>$P67+$L68</f>
        <v/>
      </c>
      <c r="Q68" s="18">
        <f>$P68-$M68</f>
        <v/>
      </c>
      <c r="R68" s="8">
        <f>IF(AND(ABS($O68)&lt;=tol_trade_inr,ABS($Q68)&lt;=tol_trade_inr),"PASS","FAIL")</f>
        <v/>
      </c>
    </row>
    <row r="69">
      <c r="A69" s="11" t="n">
        <v>44720</v>
      </c>
      <c r="B69" s="17" t="b">
        <v>1</v>
      </c>
      <c r="C69" s="9" t="n">
        <v>3054617.41</v>
      </c>
      <c r="D69" s="9" t="n">
        <v>1654274.02</v>
      </c>
      <c r="E69" s="9" t="n">
        <v>0</v>
      </c>
      <c r="F69" s="9" t="n">
        <v>615024.63</v>
      </c>
      <c r="G69" s="9" t="n">
        <v>0</v>
      </c>
      <c r="H69" s="9" t="n">
        <v>4341.73</v>
      </c>
      <c r="I69" s="9" t="n">
        <v>0</v>
      </c>
      <c r="J69" s="9" t="n">
        <v>385235.41</v>
      </c>
      <c r="K69" s="9" t="n">
        <v>-0</v>
      </c>
      <c r="L69" s="9" t="n">
        <v>5713493.19</v>
      </c>
      <c r="M69" s="9" t="n">
        <v>223891062.09</v>
      </c>
      <c r="N69" s="18">
        <f>SUM(C69:J69)+$K69</f>
        <v/>
      </c>
      <c r="O69" s="18">
        <f>$N69-$L69</f>
        <v/>
      </c>
      <c r="P69" s="18">
        <f>$P68+$L69</f>
        <v/>
      </c>
      <c r="Q69" s="18">
        <f>$P69-$M69</f>
        <v/>
      </c>
      <c r="R69" s="8">
        <f>IF(AND(ABS($O69)&lt;=tol_trade_inr,ABS($Q69)&lt;=tol_trade_inr),"PASS","FAIL")</f>
        <v/>
      </c>
    </row>
    <row r="70">
      <c r="A70" s="11" t="n">
        <v>44721</v>
      </c>
      <c r="B70" s="17" t="b">
        <v>1</v>
      </c>
      <c r="C70" s="9" t="n">
        <v>0</v>
      </c>
      <c r="D70" s="9" t="n">
        <v>-511767.82</v>
      </c>
      <c r="E70" s="9" t="n">
        <v>0</v>
      </c>
      <c r="F70" s="9" t="n">
        <v>1157026.06</v>
      </c>
      <c r="G70" s="9" t="n">
        <v>0</v>
      </c>
      <c r="H70" s="9" t="n">
        <v>146813.72</v>
      </c>
      <c r="I70" s="9" t="n">
        <v>0</v>
      </c>
      <c r="J70" s="9" t="n">
        <v>195542.97</v>
      </c>
      <c r="K70" s="9" t="n">
        <v>0</v>
      </c>
      <c r="L70" s="9" t="n">
        <v>987614.9300000001</v>
      </c>
      <c r="M70" s="9" t="n">
        <v>224878677.02</v>
      </c>
      <c r="N70" s="18">
        <f>SUM(C70:J70)+$K70</f>
        <v/>
      </c>
      <c r="O70" s="18">
        <f>$N70-$L70</f>
        <v/>
      </c>
      <c r="P70" s="18">
        <f>$P69+$L70</f>
        <v/>
      </c>
      <c r="Q70" s="18">
        <f>$P70-$M70</f>
        <v/>
      </c>
      <c r="R70" s="8">
        <f>IF(AND(ABS($O70)&lt;=tol_trade_inr,ABS($Q70)&lt;=tol_trade_inr),"PASS","FAIL")</f>
        <v/>
      </c>
    </row>
    <row r="71">
      <c r="A71" s="11" t="n">
        <v>44722</v>
      </c>
      <c r="B71" s="17" t="b">
        <v>1</v>
      </c>
      <c r="C71" s="9" t="n">
        <v>-485384.55</v>
      </c>
      <c r="D71" s="9" t="n">
        <v>-2630364.35</v>
      </c>
      <c r="E71" s="9" t="n">
        <v>0</v>
      </c>
      <c r="F71" s="9" t="n">
        <v>1134613.37</v>
      </c>
      <c r="G71" s="9" t="n">
        <v>0</v>
      </c>
      <c r="H71" s="9" t="n">
        <v>176528.02</v>
      </c>
      <c r="I71" s="9" t="n">
        <v>0</v>
      </c>
      <c r="J71" s="9" t="n">
        <v>-3249892.16</v>
      </c>
      <c r="K71" s="9" t="n">
        <v>-0</v>
      </c>
      <c r="L71" s="9" t="n">
        <v>-5054499.67</v>
      </c>
      <c r="M71" s="9" t="n">
        <v>219824177.35</v>
      </c>
      <c r="N71" s="18">
        <f>SUM(C71:J71)+$K71</f>
        <v/>
      </c>
      <c r="O71" s="18">
        <f>$N71-$L71</f>
        <v/>
      </c>
      <c r="P71" s="18">
        <f>$P70+$L71</f>
        <v/>
      </c>
      <c r="Q71" s="18">
        <f>$P71-$M71</f>
        <v/>
      </c>
      <c r="R71" s="8">
        <f>IF(AND(ABS($O71)&lt;=tol_trade_inr,ABS($Q71)&lt;=tol_trade_inr),"PASS","FAIL")</f>
        <v/>
      </c>
    </row>
    <row r="72">
      <c r="A72" s="11" t="n">
        <v>44725</v>
      </c>
      <c r="B72" s="17" t="b">
        <v>1</v>
      </c>
      <c r="C72" s="9" t="n">
        <v>0</v>
      </c>
      <c r="D72" s="9" t="n">
        <v>-5481666.79</v>
      </c>
      <c r="E72" s="9" t="n">
        <v>0</v>
      </c>
      <c r="F72" s="9" t="n">
        <v>3252490.59</v>
      </c>
      <c r="G72" s="9" t="n">
        <v>0</v>
      </c>
      <c r="H72" s="9" t="n">
        <v>371466.34</v>
      </c>
      <c r="I72" s="9" t="n">
        <v>0</v>
      </c>
      <c r="J72" s="9" t="n">
        <v>115237.44</v>
      </c>
      <c r="K72" s="9" t="n">
        <v>0</v>
      </c>
      <c r="L72" s="9" t="n">
        <v>-1742472.43</v>
      </c>
      <c r="M72" s="9" t="n">
        <v>218081704.92</v>
      </c>
      <c r="N72" s="18">
        <f>SUM(C72:J72)+$K72</f>
        <v/>
      </c>
      <c r="O72" s="18">
        <f>$N72-$L72</f>
        <v/>
      </c>
      <c r="P72" s="18">
        <f>$P71+$L72</f>
        <v/>
      </c>
      <c r="Q72" s="18">
        <f>$P72-$M72</f>
        <v/>
      </c>
      <c r="R72" s="8">
        <f>IF(AND(ABS($O72)&lt;=tol_trade_inr,ABS($Q72)&lt;=tol_trade_inr),"PASS","FAIL")</f>
        <v/>
      </c>
    </row>
    <row r="73">
      <c r="A73" s="11" t="n">
        <v>44726</v>
      </c>
      <c r="B73" s="17" t="b">
        <v>1</v>
      </c>
      <c r="C73" s="9" t="n">
        <v>0</v>
      </c>
      <c r="D73" s="9" t="n">
        <v>-89229.06</v>
      </c>
      <c r="E73" s="9" t="n">
        <v>0</v>
      </c>
      <c r="F73" s="9" t="n">
        <v>1086805.76</v>
      </c>
      <c r="G73" s="9" t="n">
        <v>0</v>
      </c>
      <c r="H73" s="9" t="n">
        <v>-38867.79</v>
      </c>
      <c r="I73" s="9" t="n">
        <v>0</v>
      </c>
      <c r="J73" s="9" t="n">
        <v>1155172.41</v>
      </c>
      <c r="K73" s="9" t="n">
        <v>-0</v>
      </c>
      <c r="L73" s="9" t="n">
        <v>2113881.33</v>
      </c>
      <c r="M73" s="9" t="n">
        <v>220195586.25</v>
      </c>
      <c r="N73" s="18">
        <f>SUM(C73:J73)+$K73</f>
        <v/>
      </c>
      <c r="O73" s="18">
        <f>$N73-$L73</f>
        <v/>
      </c>
      <c r="P73" s="18">
        <f>$P72+$L73</f>
        <v/>
      </c>
      <c r="Q73" s="18">
        <f>$P73-$M73</f>
        <v/>
      </c>
      <c r="R73" s="8">
        <f>IF(AND(ABS($O73)&lt;=tol_trade_inr,ABS($Q73)&lt;=tol_trade_inr),"PASS","FAIL")</f>
        <v/>
      </c>
    </row>
    <row r="74">
      <c r="A74" s="11" t="n">
        <v>44727</v>
      </c>
      <c r="B74" s="17" t="b">
        <v>1</v>
      </c>
      <c r="C74" s="9" t="n">
        <v>-197130</v>
      </c>
      <c r="D74" s="9" t="n">
        <v>-526536.97</v>
      </c>
      <c r="E74" s="9" t="n">
        <v>0</v>
      </c>
      <c r="F74" s="9" t="n">
        <v>1085797.06</v>
      </c>
      <c r="G74" s="9" t="n">
        <v>0</v>
      </c>
      <c r="H74" s="9" t="n">
        <v>199674.24</v>
      </c>
      <c r="I74" s="9" t="n">
        <v>0</v>
      </c>
      <c r="J74" s="9" t="n">
        <v>-1508782.8</v>
      </c>
      <c r="K74" s="9" t="n">
        <v>-0</v>
      </c>
      <c r="L74" s="9" t="n">
        <v>-946978.46</v>
      </c>
      <c r="M74" s="9" t="n">
        <v>219248607.79</v>
      </c>
      <c r="N74" s="18">
        <f>SUM(C74:J74)+$K74</f>
        <v/>
      </c>
      <c r="O74" s="18">
        <f>$N74-$L74</f>
        <v/>
      </c>
      <c r="P74" s="18">
        <f>$P73+$L74</f>
        <v/>
      </c>
      <c r="Q74" s="18">
        <f>$P74-$M74</f>
        <v/>
      </c>
      <c r="R74" s="8">
        <f>IF(AND(ABS($O74)&lt;=tol_trade_inr,ABS($Q74)&lt;=tol_trade_inr),"PASS","FAIL")</f>
        <v/>
      </c>
    </row>
    <row r="75">
      <c r="A75" s="11" t="n">
        <v>44728</v>
      </c>
      <c r="B75" s="17" t="b">
        <v>1</v>
      </c>
      <c r="C75" s="9" t="n">
        <v>-228432.67</v>
      </c>
      <c r="D75" s="9" t="n">
        <v>-5746412.66</v>
      </c>
      <c r="E75" s="9" t="n">
        <v>0</v>
      </c>
      <c r="F75" s="9" t="n">
        <v>217135.93</v>
      </c>
      <c r="G75" s="9" t="n">
        <v>0</v>
      </c>
      <c r="H75" s="9" t="n">
        <v>-312331.13</v>
      </c>
      <c r="I75" s="9" t="n">
        <v>0</v>
      </c>
      <c r="J75" s="9" t="n">
        <v>1869885.67</v>
      </c>
      <c r="K75" s="9" t="n">
        <v>-0</v>
      </c>
      <c r="L75" s="9" t="n">
        <v>-4200154.85</v>
      </c>
      <c r="M75" s="9" t="n">
        <v>215048452.94</v>
      </c>
      <c r="N75" s="18">
        <f>SUM(C75:J75)+$K75</f>
        <v/>
      </c>
      <c r="O75" s="18">
        <f>$N75-$L75</f>
        <v/>
      </c>
      <c r="P75" s="18">
        <f>$P74+$L75</f>
        <v/>
      </c>
      <c r="Q75" s="18">
        <f>$P75-$M75</f>
        <v/>
      </c>
      <c r="R75" s="8">
        <f>IF(AND(ABS($O75)&lt;=tol_trade_inr,ABS($Q75)&lt;=tol_trade_inr),"PASS","FAIL")</f>
        <v/>
      </c>
    </row>
    <row r="76">
      <c r="A76" s="11" t="n">
        <v>44729</v>
      </c>
      <c r="B76" s="17" t="b">
        <v>1</v>
      </c>
      <c r="C76" s="9" t="n">
        <v>0</v>
      </c>
      <c r="D76" s="9" t="n">
        <v>1070340.57</v>
      </c>
      <c r="E76" s="9" t="n">
        <v>0</v>
      </c>
      <c r="F76" s="9" t="n">
        <v>215537.06</v>
      </c>
      <c r="G76" s="9" t="n">
        <v>0</v>
      </c>
      <c r="H76" s="9" t="n">
        <v>-48527.46</v>
      </c>
      <c r="I76" s="9" t="n">
        <v>0</v>
      </c>
      <c r="J76" s="9" t="n">
        <v>630450.05</v>
      </c>
      <c r="K76" s="9" t="n">
        <v>-0</v>
      </c>
      <c r="L76" s="9" t="n">
        <v>1867800.22</v>
      </c>
      <c r="M76" s="9" t="n">
        <v>216916253.15</v>
      </c>
      <c r="N76" s="18">
        <f>SUM(C76:J76)+$K76</f>
        <v/>
      </c>
      <c r="O76" s="18">
        <f>$N76-$L76</f>
        <v/>
      </c>
      <c r="P76" s="18">
        <f>$P75+$L76</f>
        <v/>
      </c>
      <c r="Q76" s="18">
        <f>$P76-$M76</f>
        <v/>
      </c>
      <c r="R76" s="8">
        <f>IF(AND(ABS($O76)&lt;=tol_trade_inr,ABS($Q76)&lt;=tol_trade_inr),"PASS","FAIL")</f>
        <v/>
      </c>
    </row>
    <row r="77">
      <c r="A77" s="11" t="n">
        <v>44732</v>
      </c>
      <c r="B77" s="17" t="b">
        <v>1</v>
      </c>
      <c r="C77" s="9" t="n">
        <v>0</v>
      </c>
      <c r="D77" s="9" t="n">
        <v>411703.22</v>
      </c>
      <c r="E77" s="9" t="n">
        <v>0</v>
      </c>
      <c r="F77" s="9" t="n">
        <v>644529.3</v>
      </c>
      <c r="G77" s="9" t="n">
        <v>0</v>
      </c>
      <c r="H77" s="9" t="n">
        <v>-42739.35</v>
      </c>
      <c r="I77" s="9" t="n">
        <v>0</v>
      </c>
      <c r="J77" s="9" t="n">
        <v>-1828507.47</v>
      </c>
      <c r="K77" s="9" t="n">
        <v>0</v>
      </c>
      <c r="L77" s="9" t="n">
        <v>-815014.3</v>
      </c>
      <c r="M77" s="9" t="n">
        <v>216101238.86</v>
      </c>
      <c r="N77" s="18">
        <f>SUM(C77:J77)+$K77</f>
        <v/>
      </c>
      <c r="O77" s="18">
        <f>$N77-$L77</f>
        <v/>
      </c>
      <c r="P77" s="18">
        <f>$P76+$L77</f>
        <v/>
      </c>
      <c r="Q77" s="18">
        <f>$P77-$M77</f>
        <v/>
      </c>
      <c r="R77" s="8">
        <f>IF(AND(ABS($O77)&lt;=tol_trade_inr,ABS($Q77)&lt;=tol_trade_inr),"PASS","FAIL")</f>
        <v/>
      </c>
    </row>
    <row r="78">
      <c r="A78" s="11" t="n">
        <v>44733</v>
      </c>
      <c r="B78" s="17" t="b">
        <v>1</v>
      </c>
      <c r="C78" s="9" t="n">
        <v>0</v>
      </c>
      <c r="D78" s="9" t="n">
        <v>-1609578.49</v>
      </c>
      <c r="E78" s="9" t="n">
        <v>0</v>
      </c>
      <c r="F78" s="9" t="n">
        <v>218718.8</v>
      </c>
      <c r="G78" s="9" t="n">
        <v>0</v>
      </c>
      <c r="H78" s="9" t="n">
        <v>55391.25</v>
      </c>
      <c r="I78" s="9" t="n">
        <v>0</v>
      </c>
      <c r="J78" s="9" t="n">
        <v>-1941034.85</v>
      </c>
      <c r="K78" s="9" t="n">
        <v>-0</v>
      </c>
      <c r="L78" s="9" t="n">
        <v>-3276503.29</v>
      </c>
      <c r="M78" s="9" t="n">
        <v>212824735.57</v>
      </c>
      <c r="N78" s="18">
        <f>SUM(C78:J78)+$K78</f>
        <v/>
      </c>
      <c r="O78" s="18">
        <f>$N78-$L78</f>
        <v/>
      </c>
      <c r="P78" s="18">
        <f>$P77+$L78</f>
        <v/>
      </c>
      <c r="Q78" s="18">
        <f>$P78-$M78</f>
        <v/>
      </c>
      <c r="R78" s="8">
        <f>IF(AND(ABS($O78)&lt;=tol_trade_inr,ABS($Q78)&lt;=tol_trade_inr),"PASS","FAIL")</f>
        <v/>
      </c>
    </row>
    <row r="79">
      <c r="A79" s="11" t="n">
        <v>44734</v>
      </c>
      <c r="B79" s="17" t="b">
        <v>1</v>
      </c>
      <c r="C79" s="9" t="n">
        <v>-153230</v>
      </c>
      <c r="D79" s="9" t="n">
        <v>10992293.03</v>
      </c>
      <c r="E79" s="9" t="n">
        <v>0</v>
      </c>
      <c r="F79" s="9" t="n">
        <v>213062.9</v>
      </c>
      <c r="G79" s="9" t="n">
        <v>0</v>
      </c>
      <c r="H79" s="9" t="n">
        <v>-874330.5600000001</v>
      </c>
      <c r="I79" s="9" t="n">
        <v>0</v>
      </c>
      <c r="J79" s="9" t="n">
        <v>-8230472.81</v>
      </c>
      <c r="K79" s="9" t="n">
        <v>0</v>
      </c>
      <c r="L79" s="9" t="n">
        <v>1947322.57</v>
      </c>
      <c r="M79" s="9" t="n">
        <v>214772058.14</v>
      </c>
      <c r="N79" s="18">
        <f>SUM(C79:J79)+$K79</f>
        <v/>
      </c>
      <c r="O79" s="18">
        <f>$N79-$L79</f>
        <v/>
      </c>
      <c r="P79" s="18">
        <f>$P78+$L79</f>
        <v/>
      </c>
      <c r="Q79" s="18">
        <f>$P79-$M79</f>
        <v/>
      </c>
      <c r="R79" s="8">
        <f>IF(AND(ABS($O79)&lt;=tol_trade_inr,ABS($Q79)&lt;=tol_trade_inr),"PASS","FAIL")</f>
        <v/>
      </c>
    </row>
    <row r="80">
      <c r="A80" s="11" t="n">
        <v>44735</v>
      </c>
      <c r="B80" s="17" t="b">
        <v>1</v>
      </c>
      <c r="C80" s="9" t="n">
        <v>0</v>
      </c>
      <c r="D80" s="9" t="n">
        <v>-408787.52</v>
      </c>
      <c r="E80" s="9" t="n">
        <v>0</v>
      </c>
      <c r="F80" s="9" t="n">
        <v>215904.2</v>
      </c>
      <c r="G80" s="9" t="n">
        <v>0</v>
      </c>
      <c r="H80" s="9" t="n">
        <v>-69933.49000000001</v>
      </c>
      <c r="I80" s="9" t="n">
        <v>0</v>
      </c>
      <c r="J80" s="9" t="n">
        <v>-216208.44</v>
      </c>
      <c r="K80" s="9" t="n">
        <v>-0</v>
      </c>
      <c r="L80" s="9" t="n">
        <v>-479025.24</v>
      </c>
      <c r="M80" s="9" t="n">
        <v>214293032.89</v>
      </c>
      <c r="N80" s="18">
        <f>SUM(C80:J80)+$K80</f>
        <v/>
      </c>
      <c r="O80" s="18">
        <f>$N80-$L80</f>
        <v/>
      </c>
      <c r="P80" s="18">
        <f>$P79+$L80</f>
        <v/>
      </c>
      <c r="Q80" s="18">
        <f>$P80-$M80</f>
        <v/>
      </c>
      <c r="R80" s="8">
        <f>IF(AND(ABS($O80)&lt;=tol_trade_inr,ABS($Q80)&lt;=tol_trade_inr),"PASS","FAIL")</f>
        <v/>
      </c>
    </row>
    <row r="81">
      <c r="A81" s="11" t="n">
        <v>44736</v>
      </c>
      <c r="B81" s="17" t="b">
        <v>1</v>
      </c>
      <c r="C81" s="9" t="n">
        <v>0</v>
      </c>
      <c r="D81" s="9" t="n">
        <v>467483.97</v>
      </c>
      <c r="E81" s="9" t="n">
        <v>0</v>
      </c>
      <c r="F81" s="9" t="n">
        <v>211950.45</v>
      </c>
      <c r="G81" s="9" t="n">
        <v>0</v>
      </c>
      <c r="H81" s="9" t="n">
        <v>12398.81</v>
      </c>
      <c r="I81" s="9" t="n">
        <v>0</v>
      </c>
      <c r="J81" s="9" t="n">
        <v>16050.24</v>
      </c>
      <c r="K81" s="9" t="n">
        <v>0</v>
      </c>
      <c r="L81" s="9" t="n">
        <v>707883.47</v>
      </c>
      <c r="M81" s="9" t="n">
        <v>215000916.36</v>
      </c>
      <c r="N81" s="18">
        <f>SUM(C81:J81)+$K81</f>
        <v/>
      </c>
      <c r="O81" s="18">
        <f>$N81-$L81</f>
        <v/>
      </c>
      <c r="P81" s="18">
        <f>$P80+$L81</f>
        <v/>
      </c>
      <c r="Q81" s="18">
        <f>$P81-$M81</f>
        <v/>
      </c>
      <c r="R81" s="8">
        <f>IF(AND(ABS($O81)&lt;=tol_trade_inr,ABS($Q81)&lt;=tol_trade_inr),"PASS","FAIL")</f>
        <v/>
      </c>
    </row>
    <row r="82">
      <c r="A82" s="11" t="n">
        <v>44739</v>
      </c>
      <c r="B82" s="17" t="b">
        <v>1</v>
      </c>
      <c r="C82" s="9" t="n">
        <v>0</v>
      </c>
      <c r="D82" s="9" t="n">
        <v>-77860.09</v>
      </c>
      <c r="E82" s="9" t="n">
        <v>0</v>
      </c>
      <c r="F82" s="9" t="n">
        <v>640409.9</v>
      </c>
      <c r="G82" s="9" t="n">
        <v>0</v>
      </c>
      <c r="H82" s="9" t="n">
        <v>282264.75</v>
      </c>
      <c r="I82" s="9" t="n">
        <v>0</v>
      </c>
      <c r="J82" s="9" t="n">
        <v>2410370.26</v>
      </c>
      <c r="K82" s="9" t="n">
        <v>-0</v>
      </c>
      <c r="L82" s="9" t="n">
        <v>3255184.83</v>
      </c>
      <c r="M82" s="9" t="n">
        <v>218256101.19</v>
      </c>
      <c r="N82" s="18">
        <f>SUM(C82:J82)+$K82</f>
        <v/>
      </c>
      <c r="O82" s="18">
        <f>$N82-$L82</f>
        <v/>
      </c>
      <c r="P82" s="18">
        <f>$P81+$L82</f>
        <v/>
      </c>
      <c r="Q82" s="18">
        <f>$P82-$M82</f>
        <v/>
      </c>
      <c r="R82" s="8">
        <f>IF(AND(ABS($O82)&lt;=tol_trade_inr,ABS($Q82)&lt;=tol_trade_inr),"PASS","FAIL")</f>
        <v/>
      </c>
    </row>
    <row r="83">
      <c r="A83" s="11" t="n">
        <v>44740</v>
      </c>
      <c r="B83" s="17" t="b">
        <v>1</v>
      </c>
      <c r="C83" s="9" t="n">
        <v>0</v>
      </c>
      <c r="D83" s="9" t="n">
        <v>79150.92999999999</v>
      </c>
      <c r="E83" s="9" t="n">
        <v>0</v>
      </c>
      <c r="F83" s="9" t="n">
        <v>219008.19</v>
      </c>
      <c r="G83" s="9" t="n">
        <v>0</v>
      </c>
      <c r="H83" s="9" t="n">
        <v>1023256.09</v>
      </c>
      <c r="I83" s="9" t="n">
        <v>0</v>
      </c>
      <c r="J83" s="9" t="n">
        <v>-1521421.48</v>
      </c>
      <c r="K83" s="9" t="n">
        <v>0</v>
      </c>
      <c r="L83" s="9" t="n">
        <v>-200006.26</v>
      </c>
      <c r="M83" s="9" t="n">
        <v>218056094.93</v>
      </c>
      <c r="N83" s="18">
        <f>SUM(C83:J83)+$K83</f>
        <v/>
      </c>
      <c r="O83" s="18">
        <f>$N83-$L83</f>
        <v/>
      </c>
      <c r="P83" s="18">
        <f>$P82+$L83</f>
        <v/>
      </c>
      <c r="Q83" s="18">
        <f>$P83-$M83</f>
        <v/>
      </c>
      <c r="R83" s="8">
        <f>IF(AND(ABS($O83)&lt;=tol_trade_inr,ABS($Q83)&lt;=tol_trade_inr),"PASS","FAIL")</f>
        <v/>
      </c>
    </row>
    <row r="84">
      <c r="A84" s="11" t="n">
        <v>44741</v>
      </c>
      <c r="B84" s="17" t="b">
        <v>1</v>
      </c>
      <c r="C84" s="9" t="n">
        <v>-153010</v>
      </c>
      <c r="D84" s="9" t="n">
        <v>-373233.72</v>
      </c>
      <c r="E84" s="9" t="n">
        <v>0</v>
      </c>
      <c r="F84" s="9" t="n">
        <v>215655.41</v>
      </c>
      <c r="G84" s="9" t="n">
        <v>0</v>
      </c>
      <c r="H84" s="9" t="n">
        <v>-42694.89</v>
      </c>
      <c r="I84" s="9" t="n">
        <v>0</v>
      </c>
      <c r="J84" s="9" t="n">
        <v>-377076.51</v>
      </c>
      <c r="K84" s="9" t="n">
        <v>0</v>
      </c>
      <c r="L84" s="9" t="n">
        <v>-730359.71</v>
      </c>
      <c r="M84" s="9" t="n">
        <v>217325735.23</v>
      </c>
      <c r="N84" s="18">
        <f>SUM(C84:J84)+$K84</f>
        <v/>
      </c>
      <c r="O84" s="18">
        <f>$N84-$L84</f>
        <v/>
      </c>
      <c r="P84" s="18">
        <f>$P83+$L84</f>
        <v/>
      </c>
      <c r="Q84" s="18">
        <f>$P84-$M84</f>
        <v/>
      </c>
      <c r="R84" s="8">
        <f>IF(AND(ABS($O84)&lt;=tol_trade_inr,ABS($Q84)&lt;=tol_trade_inr),"PASS","FAIL")</f>
        <v/>
      </c>
    </row>
    <row r="85">
      <c r="A85" s="11" t="n">
        <v>44742</v>
      </c>
      <c r="B85" s="17" t="b">
        <v>1</v>
      </c>
      <c r="C85" s="9" t="n">
        <v>0</v>
      </c>
      <c r="D85" s="9" t="n">
        <v>369534</v>
      </c>
      <c r="E85" s="9" t="n">
        <v>0</v>
      </c>
      <c r="F85" s="9" t="n">
        <v>210671.58</v>
      </c>
      <c r="G85" s="9" t="n">
        <v>0</v>
      </c>
      <c r="H85" s="9" t="n">
        <v>276614.48</v>
      </c>
      <c r="I85" s="9" t="n">
        <v>0</v>
      </c>
      <c r="J85" s="9" t="n">
        <v>1115906.97</v>
      </c>
      <c r="K85" s="9" t="n">
        <v>-0</v>
      </c>
      <c r="L85" s="9" t="n">
        <v>1972727.04</v>
      </c>
      <c r="M85" s="9" t="n">
        <v>219298462.27</v>
      </c>
      <c r="N85" s="18">
        <f>SUM(C85:J85)+$K85</f>
        <v/>
      </c>
      <c r="O85" s="18">
        <f>$N85-$L85</f>
        <v/>
      </c>
      <c r="P85" s="18">
        <f>$P84+$L85</f>
        <v/>
      </c>
      <c r="Q85" s="18">
        <f>$P85-$M85</f>
        <v/>
      </c>
      <c r="R85" s="8">
        <f>IF(AND(ABS($O85)&lt;=tol_trade_inr,ABS($Q85)&lt;=tol_trade_inr),"PASS","FAIL")</f>
        <v/>
      </c>
    </row>
    <row r="86">
      <c r="A86" s="11" t="n">
        <v>44743</v>
      </c>
      <c r="B86" s="17" t="b">
        <v>1</v>
      </c>
      <c r="C86" s="9" t="n">
        <v>-9000</v>
      </c>
      <c r="D86" s="9" t="n">
        <v>275549.9</v>
      </c>
      <c r="E86" s="9" t="n">
        <v>0</v>
      </c>
      <c r="F86" s="9" t="n">
        <v>210284.5</v>
      </c>
      <c r="G86" s="9" t="n">
        <v>0</v>
      </c>
      <c r="H86" s="9" t="n">
        <v>-81899.78999999999</v>
      </c>
      <c r="I86" s="9" t="n">
        <v>0</v>
      </c>
      <c r="J86" s="9" t="n">
        <v>-1723751.59</v>
      </c>
      <c r="K86" s="9" t="n">
        <v>0</v>
      </c>
      <c r="L86" s="9" t="n">
        <v>-1328816.98</v>
      </c>
      <c r="M86" s="9" t="n">
        <v>217969645.28</v>
      </c>
      <c r="N86" s="18">
        <f>SUM(C86:J86)+$K86</f>
        <v/>
      </c>
      <c r="O86" s="18">
        <f>$N86-$L86</f>
        <v/>
      </c>
      <c r="P86" s="18">
        <f>$P85+$L86</f>
        <v/>
      </c>
      <c r="Q86" s="18">
        <f>$P86-$M86</f>
        <v/>
      </c>
      <c r="R86" s="8">
        <f>IF(AND(ABS($O86)&lt;=tol_trade_inr,ABS($Q86)&lt;=tol_trade_inr),"PASS","FAIL")</f>
        <v/>
      </c>
    </row>
    <row r="87">
      <c r="A87" s="11" t="n">
        <v>44746</v>
      </c>
      <c r="B87" s="17" t="b">
        <v>1</v>
      </c>
      <c r="C87" s="9" t="n">
        <v>-312136.58</v>
      </c>
      <c r="D87" s="9" t="n">
        <v>-1738661.92</v>
      </c>
      <c r="E87" s="9" t="n">
        <v>0</v>
      </c>
      <c r="F87" s="9" t="n">
        <v>641057.8199999999</v>
      </c>
      <c r="G87" s="9" t="n">
        <v>0</v>
      </c>
      <c r="H87" s="9" t="n">
        <v>-146619.53</v>
      </c>
      <c r="I87" s="9" t="n">
        <v>0</v>
      </c>
      <c r="J87" s="9" t="n">
        <v>752420.34</v>
      </c>
      <c r="K87" s="9" t="n">
        <v>0</v>
      </c>
      <c r="L87" s="9" t="n">
        <v>-803939.87</v>
      </c>
      <c r="M87" s="9" t="n">
        <v>217165705.42</v>
      </c>
      <c r="N87" s="18">
        <f>SUM(C87:J87)+$K87</f>
        <v/>
      </c>
      <c r="O87" s="18">
        <f>$N87-$L87</f>
        <v/>
      </c>
      <c r="P87" s="18">
        <f>$P86+$L87</f>
        <v/>
      </c>
      <c r="Q87" s="18">
        <f>$P87-$M87</f>
        <v/>
      </c>
      <c r="R87" s="8">
        <f>IF(AND(ABS($O87)&lt;=tol_trade_inr,ABS($Q87)&lt;=tol_trade_inr),"PASS","FAIL")</f>
        <v/>
      </c>
    </row>
    <row r="88">
      <c r="A88" s="11" t="n">
        <v>44747</v>
      </c>
      <c r="B88" s="17" t="b">
        <v>1</v>
      </c>
      <c r="C88" s="9" t="n">
        <v>0</v>
      </c>
      <c r="D88" s="9" t="n">
        <v>2976431.49</v>
      </c>
      <c r="E88" s="9" t="n">
        <v>0</v>
      </c>
      <c r="F88" s="9" t="n">
        <v>208799.81</v>
      </c>
      <c r="G88" s="9" t="n">
        <v>0</v>
      </c>
      <c r="H88" s="9" t="n">
        <v>400720.66</v>
      </c>
      <c r="I88" s="9" t="n">
        <v>0</v>
      </c>
      <c r="J88" s="9" t="n">
        <v>-8899574.289999999</v>
      </c>
      <c r="K88" s="9" t="n">
        <v>0</v>
      </c>
      <c r="L88" s="9" t="n">
        <v>-5313622.32</v>
      </c>
      <c r="M88" s="9" t="n">
        <v>211852083.1</v>
      </c>
      <c r="N88" s="18">
        <f>SUM(C88:J88)+$K88</f>
        <v/>
      </c>
      <c r="O88" s="18">
        <f>$N88-$L88</f>
        <v/>
      </c>
      <c r="P88" s="18">
        <f>$P87+$L88</f>
        <v/>
      </c>
      <c r="Q88" s="18">
        <f>$P88-$M88</f>
        <v/>
      </c>
      <c r="R88" s="8">
        <f>IF(AND(ABS($O88)&lt;=tol_trade_inr,ABS($Q88)&lt;=tol_trade_inr),"PASS","FAIL")</f>
        <v/>
      </c>
    </row>
    <row r="89">
      <c r="A89" s="11" t="n">
        <v>44748</v>
      </c>
      <c r="B89" s="17" t="b">
        <v>1</v>
      </c>
      <c r="C89" s="9" t="n">
        <v>0</v>
      </c>
      <c r="D89" s="9" t="n">
        <v>-1567928.27</v>
      </c>
      <c r="E89" s="9" t="n">
        <v>0</v>
      </c>
      <c r="F89" s="9" t="n">
        <v>207920.86</v>
      </c>
      <c r="G89" s="9" t="n">
        <v>0</v>
      </c>
      <c r="H89" s="9" t="n">
        <v>-1300613.58</v>
      </c>
      <c r="I89" s="9" t="n">
        <v>0</v>
      </c>
      <c r="J89" s="9" t="n">
        <v>1734012.01</v>
      </c>
      <c r="K89" s="9" t="n">
        <v>0</v>
      </c>
      <c r="L89" s="9" t="n">
        <v>-926608.99</v>
      </c>
      <c r="M89" s="9" t="n">
        <v>210925474.11</v>
      </c>
      <c r="N89" s="18">
        <f>SUM(C89:J89)+$K89</f>
        <v/>
      </c>
      <c r="O89" s="18">
        <f>$N89-$L89</f>
        <v/>
      </c>
      <c r="P89" s="18">
        <f>$P88+$L89</f>
        <v/>
      </c>
      <c r="Q89" s="18">
        <f>$P89-$M89</f>
        <v/>
      </c>
      <c r="R89" s="8">
        <f>IF(AND(ABS($O89)&lt;=tol_trade_inr,ABS($Q89)&lt;=tol_trade_inr),"PASS","FAIL")</f>
        <v/>
      </c>
    </row>
    <row r="90">
      <c r="A90" s="11" t="n">
        <v>44749</v>
      </c>
      <c r="B90" s="17" t="b">
        <v>1</v>
      </c>
      <c r="C90" s="9" t="n">
        <v>0</v>
      </c>
      <c r="D90" s="9" t="n">
        <v>4893858.95</v>
      </c>
      <c r="E90" s="9" t="n">
        <v>0</v>
      </c>
      <c r="F90" s="9" t="n">
        <v>213255.74</v>
      </c>
      <c r="G90" s="9" t="n">
        <v>0</v>
      </c>
      <c r="H90" s="9" t="n">
        <v>212458.15</v>
      </c>
      <c r="I90" s="9" t="n">
        <v>0</v>
      </c>
      <c r="J90" s="9" t="n">
        <v>-1201080.96</v>
      </c>
      <c r="K90" s="9" t="n">
        <v>-0</v>
      </c>
      <c r="L90" s="9" t="n">
        <v>4118491.88</v>
      </c>
      <c r="M90" s="9" t="n">
        <v>215043965.99</v>
      </c>
      <c r="N90" s="18">
        <f>SUM(C90:J90)+$K90</f>
        <v/>
      </c>
      <c r="O90" s="18">
        <f>$N90-$L90</f>
        <v/>
      </c>
      <c r="P90" s="18">
        <f>$P89+$L90</f>
        <v/>
      </c>
      <c r="Q90" s="18">
        <f>$P90-$M90</f>
        <v/>
      </c>
      <c r="R90" s="8">
        <f>IF(AND(ABS($O90)&lt;=tol_trade_inr,ABS($Q90)&lt;=tol_trade_inr),"PASS","FAIL")</f>
        <v/>
      </c>
    </row>
    <row r="91">
      <c r="A91" s="11" t="n">
        <v>44750</v>
      </c>
      <c r="B91" s="17" t="b">
        <v>1</v>
      </c>
      <c r="C91" s="9" t="n">
        <v>0</v>
      </c>
      <c r="D91" s="9" t="n">
        <v>-1202769.74</v>
      </c>
      <c r="E91" s="9" t="n">
        <v>0</v>
      </c>
      <c r="F91" s="9" t="n">
        <v>211392.9</v>
      </c>
      <c r="G91" s="9" t="n">
        <v>0</v>
      </c>
      <c r="H91" s="9" t="n">
        <v>252050.01</v>
      </c>
      <c r="I91" s="9" t="n">
        <v>0</v>
      </c>
      <c r="J91" s="9" t="n">
        <v>-747727.52</v>
      </c>
      <c r="K91" s="9" t="n">
        <v>0</v>
      </c>
      <c r="L91" s="9" t="n">
        <v>-1487054.34</v>
      </c>
      <c r="M91" s="9" t="n">
        <v>213556911.64</v>
      </c>
      <c r="N91" s="18">
        <f>SUM(C91:J91)+$K91</f>
        <v/>
      </c>
      <c r="O91" s="18">
        <f>$N91-$L91</f>
        <v/>
      </c>
      <c r="P91" s="18">
        <f>$P90+$L91</f>
        <v/>
      </c>
      <c r="Q91" s="18">
        <f>$P91-$M91</f>
        <v/>
      </c>
      <c r="R91" s="8">
        <f>IF(AND(ABS($O91)&lt;=tol_trade_inr,ABS($Q91)&lt;=tol_trade_inr),"PASS","FAIL")</f>
        <v/>
      </c>
    </row>
    <row r="92">
      <c r="A92" s="11" t="n">
        <v>44753</v>
      </c>
      <c r="B92" s="17" t="b">
        <v>1</v>
      </c>
      <c r="C92" s="9" t="n">
        <v>0</v>
      </c>
      <c r="D92" s="9" t="n">
        <v>900267.59</v>
      </c>
      <c r="E92" s="9" t="n">
        <v>0</v>
      </c>
      <c r="F92" s="9" t="n">
        <v>638790.74</v>
      </c>
      <c r="G92" s="9" t="n">
        <v>0</v>
      </c>
      <c r="H92" s="9" t="n">
        <v>807978.4300000001</v>
      </c>
      <c r="I92" s="9" t="n">
        <v>0</v>
      </c>
      <c r="J92" s="9" t="n">
        <v>-2652625.38</v>
      </c>
      <c r="K92" s="9" t="n">
        <v>-0</v>
      </c>
      <c r="L92" s="9" t="n">
        <v>-305588.62</v>
      </c>
      <c r="M92" s="9" t="n">
        <v>213251323.02</v>
      </c>
      <c r="N92" s="18">
        <f>SUM(C92:J92)+$K92</f>
        <v/>
      </c>
      <c r="O92" s="18">
        <f>$N92-$L92</f>
        <v/>
      </c>
      <c r="P92" s="18">
        <f>$P91+$L92</f>
        <v/>
      </c>
      <c r="Q92" s="18">
        <f>$P92-$M92</f>
        <v/>
      </c>
      <c r="R92" s="8">
        <f>IF(AND(ABS($O92)&lt;=tol_trade_inr,ABS($Q92)&lt;=tol_trade_inr),"PASS","FAIL")</f>
        <v/>
      </c>
    </row>
    <row r="93">
      <c r="A93" s="11" t="n">
        <v>44754</v>
      </c>
      <c r="B93" s="17" t="b">
        <v>1</v>
      </c>
      <c r="C93" s="9" t="n">
        <v>0</v>
      </c>
      <c r="D93" s="9" t="n">
        <v>-3363005.57</v>
      </c>
      <c r="E93" s="9" t="n">
        <v>0</v>
      </c>
      <c r="F93" s="9" t="n">
        <v>207519.24</v>
      </c>
      <c r="G93" s="9" t="n">
        <v>0</v>
      </c>
      <c r="H93" s="9" t="n">
        <v>339466.24</v>
      </c>
      <c r="I93" s="9" t="n">
        <v>0</v>
      </c>
      <c r="J93" s="9" t="n">
        <v>1257781.24</v>
      </c>
      <c r="K93" s="9" t="n">
        <v>0</v>
      </c>
      <c r="L93" s="9" t="n">
        <v>-1558238.85</v>
      </c>
      <c r="M93" s="9" t="n">
        <v>211693084.17</v>
      </c>
      <c r="N93" s="18">
        <f>SUM(C93:J93)+$K93</f>
        <v/>
      </c>
      <c r="O93" s="18">
        <f>$N93-$L93</f>
        <v/>
      </c>
      <c r="P93" s="18">
        <f>$P92+$L93</f>
        <v/>
      </c>
      <c r="Q93" s="18">
        <f>$P93-$M93</f>
        <v/>
      </c>
      <c r="R93" s="8">
        <f>IF(AND(ABS($O93)&lt;=tol_trade_inr,ABS($Q93)&lt;=tol_trade_inr),"PASS","FAIL")</f>
        <v/>
      </c>
    </row>
    <row r="94">
      <c r="A94" s="11" t="n">
        <v>44755</v>
      </c>
      <c r="B94" s="17" t="b">
        <v>1</v>
      </c>
      <c r="C94" s="9" t="n">
        <v>0</v>
      </c>
      <c r="D94" s="9" t="n">
        <v>-934436.51</v>
      </c>
      <c r="E94" s="9" t="n">
        <v>0</v>
      </c>
      <c r="F94" s="9" t="n">
        <v>207015.1</v>
      </c>
      <c r="G94" s="9" t="n">
        <v>0</v>
      </c>
      <c r="H94" s="9" t="n">
        <v>115105.56</v>
      </c>
      <c r="I94" s="9" t="n">
        <v>0</v>
      </c>
      <c r="J94" s="9" t="n">
        <v>-330393.07</v>
      </c>
      <c r="K94" s="9" t="n">
        <v>0</v>
      </c>
      <c r="L94" s="9" t="n">
        <v>-942708.91</v>
      </c>
      <c r="M94" s="9" t="n">
        <v>210750375.26</v>
      </c>
      <c r="N94" s="18">
        <f>SUM(C94:J94)+$K94</f>
        <v/>
      </c>
      <c r="O94" s="18">
        <f>$N94-$L94</f>
        <v/>
      </c>
      <c r="P94" s="18">
        <f>$P93+$L94</f>
        <v/>
      </c>
      <c r="Q94" s="18">
        <f>$P94-$M94</f>
        <v/>
      </c>
      <c r="R94" s="8">
        <f>IF(AND(ABS($O94)&lt;=tol_trade_inr,ABS($Q94)&lt;=tol_trade_inr),"PASS","FAIL")</f>
        <v/>
      </c>
    </row>
    <row r="95">
      <c r="A95" s="11" t="n">
        <v>44756</v>
      </c>
      <c r="B95" s="17" t="b">
        <v>1</v>
      </c>
      <c r="C95" s="9" t="n">
        <v>0</v>
      </c>
      <c r="D95" s="9" t="n">
        <v>-945400.71</v>
      </c>
      <c r="E95" s="9" t="n">
        <v>0</v>
      </c>
      <c r="F95" s="9" t="n">
        <v>205836.95</v>
      </c>
      <c r="G95" s="9" t="n">
        <v>0</v>
      </c>
      <c r="H95" s="9" t="n">
        <v>1539153.92</v>
      </c>
      <c r="I95" s="9" t="n">
        <v>0</v>
      </c>
      <c r="J95" s="9" t="n">
        <v>-596706.53</v>
      </c>
      <c r="K95" s="9" t="n">
        <v>-0</v>
      </c>
      <c r="L95" s="9" t="n">
        <v>202883.62</v>
      </c>
      <c r="M95" s="9" t="n">
        <v>210953258.88</v>
      </c>
      <c r="N95" s="18">
        <f>SUM(C95:J95)+$K95</f>
        <v/>
      </c>
      <c r="O95" s="18">
        <f>$N95-$L95</f>
        <v/>
      </c>
      <c r="P95" s="18">
        <f>$P94+$L95</f>
        <v/>
      </c>
      <c r="Q95" s="18">
        <f>$P95-$M95</f>
        <v/>
      </c>
      <c r="R95" s="8">
        <f>IF(AND(ABS($O95)&lt;=tol_trade_inr,ABS($Q95)&lt;=tol_trade_inr),"PASS","FAIL")</f>
        <v/>
      </c>
    </row>
    <row r="96">
      <c r="A96" s="11" t="n">
        <v>44757</v>
      </c>
      <c r="B96" s="17" t="b">
        <v>1</v>
      </c>
      <c r="C96" s="9" t="n">
        <v>-184633.97</v>
      </c>
      <c r="D96" s="9" t="n">
        <v>-621682.72</v>
      </c>
      <c r="E96" s="9" t="n">
        <v>0</v>
      </c>
      <c r="F96" s="9" t="n">
        <v>206060.51</v>
      </c>
      <c r="G96" s="9" t="n">
        <v>0</v>
      </c>
      <c r="H96" s="9" t="n">
        <v>-664083.29</v>
      </c>
      <c r="I96" s="9" t="n">
        <v>0</v>
      </c>
      <c r="J96" s="9" t="n">
        <v>815023.67</v>
      </c>
      <c r="K96" s="9" t="n">
        <v>-0</v>
      </c>
      <c r="L96" s="9" t="n">
        <v>-449315.79</v>
      </c>
      <c r="M96" s="9" t="n">
        <v>210503943.09</v>
      </c>
      <c r="N96" s="18">
        <f>SUM(C96:J96)+$K96</f>
        <v/>
      </c>
      <c r="O96" s="18">
        <f>$N96-$L96</f>
        <v/>
      </c>
      <c r="P96" s="18">
        <f>$P95+$L96</f>
        <v/>
      </c>
      <c r="Q96" s="18">
        <f>$P96-$M96</f>
        <v/>
      </c>
      <c r="R96" s="8">
        <f>IF(AND(ABS($O96)&lt;=tol_trade_inr,ABS($Q96)&lt;=tol_trade_inr),"PASS","FAIL")</f>
        <v/>
      </c>
    </row>
    <row r="97">
      <c r="A97" s="11" t="n">
        <v>44760</v>
      </c>
      <c r="B97" s="17" t="b">
        <v>1</v>
      </c>
      <c r="C97" s="9" t="n">
        <v>0</v>
      </c>
      <c r="D97" s="9" t="n">
        <v>-1246700.88</v>
      </c>
      <c r="E97" s="9" t="n">
        <v>0</v>
      </c>
      <c r="F97" s="9" t="n">
        <v>-4424511.78</v>
      </c>
      <c r="G97" s="9" t="n">
        <v>0</v>
      </c>
      <c r="H97" s="9" t="n">
        <v>73584.73</v>
      </c>
      <c r="I97" s="9" t="n">
        <v>0</v>
      </c>
      <c r="J97" s="9" t="n">
        <v>-954607.24</v>
      </c>
      <c r="K97" s="9" t="n">
        <v>0</v>
      </c>
      <c r="L97" s="9" t="n">
        <v>-6552235.17</v>
      </c>
      <c r="M97" s="9" t="n">
        <v>203951707.92</v>
      </c>
      <c r="N97" s="18">
        <f>SUM(C97:J97)+$K97</f>
        <v/>
      </c>
      <c r="O97" s="18">
        <f>$N97-$L97</f>
        <v/>
      </c>
      <c r="P97" s="18">
        <f>$P96+$L97</f>
        <v/>
      </c>
      <c r="Q97" s="18">
        <f>$P97-$M97</f>
        <v/>
      </c>
      <c r="R97" s="8">
        <f>IF(AND(ABS($O97)&lt;=tol_trade_inr,ABS($Q97)&lt;=tol_trade_inr),"PASS","FAIL")</f>
        <v/>
      </c>
    </row>
    <row r="98">
      <c r="A98" s="11" t="n">
        <v>44761</v>
      </c>
      <c r="B98" s="17" t="b">
        <v>1</v>
      </c>
      <c r="C98" s="9" t="n">
        <v>0</v>
      </c>
      <c r="D98" s="9" t="n">
        <v>-638817.01</v>
      </c>
      <c r="E98" s="9" t="n">
        <v>0</v>
      </c>
      <c r="F98" s="9" t="n">
        <v>-1497861.86</v>
      </c>
      <c r="G98" s="9" t="n">
        <v>0</v>
      </c>
      <c r="H98" s="9" t="n">
        <v>-23002.91</v>
      </c>
      <c r="I98" s="9" t="n">
        <v>725984.73</v>
      </c>
      <c r="J98" s="9" t="n">
        <v>-1664387.56</v>
      </c>
      <c r="K98" s="9" t="n">
        <v>-0</v>
      </c>
      <c r="L98" s="9" t="n">
        <v>-3098084.61</v>
      </c>
      <c r="M98" s="9" t="n">
        <v>200853623.32</v>
      </c>
      <c r="N98" s="18">
        <f>SUM(C98:J98)+$K98</f>
        <v/>
      </c>
      <c r="O98" s="18">
        <f>$N98-$L98</f>
        <v/>
      </c>
      <c r="P98" s="18">
        <f>$P97+$L98</f>
        <v/>
      </c>
      <c r="Q98" s="18">
        <f>$P98-$M98</f>
        <v/>
      </c>
      <c r="R98" s="8">
        <f>IF(AND(ABS($O98)&lt;=tol_trade_inr,ABS($Q98)&lt;=tol_trade_inr),"PASS","FAIL")</f>
        <v/>
      </c>
    </row>
    <row r="99">
      <c r="A99" s="11" t="n">
        <v>44762</v>
      </c>
      <c r="B99" s="17" t="b">
        <v>1</v>
      </c>
      <c r="C99" s="9" t="n">
        <v>-0</v>
      </c>
      <c r="D99" s="9" t="n">
        <v>-659143.5</v>
      </c>
      <c r="E99" s="9" t="n">
        <v>0</v>
      </c>
      <c r="F99" s="9" t="n">
        <v>-1515102.21</v>
      </c>
      <c r="G99" s="9" t="n">
        <v>0</v>
      </c>
      <c r="H99" s="9" t="n">
        <v>37617.63</v>
      </c>
      <c r="I99" s="9" t="n">
        <v>0</v>
      </c>
      <c r="J99" s="9" t="n">
        <v>-4600586.86</v>
      </c>
      <c r="K99" s="9" t="n">
        <v>0</v>
      </c>
      <c r="L99" s="9" t="n">
        <v>-6737214.94</v>
      </c>
      <c r="M99" s="9" t="n">
        <v>194116408.38</v>
      </c>
      <c r="N99" s="18">
        <f>SUM(C99:J99)+$K99</f>
        <v/>
      </c>
      <c r="O99" s="18">
        <f>$N99-$L99</f>
        <v/>
      </c>
      <c r="P99" s="18">
        <f>$P98+$L99</f>
        <v/>
      </c>
      <c r="Q99" s="18">
        <f>$P99-$M99</f>
        <v/>
      </c>
      <c r="R99" s="8">
        <f>IF(AND(ABS($O99)&lt;=tol_trade_inr,ABS($Q99)&lt;=tol_trade_inr),"PASS","FAIL")</f>
        <v/>
      </c>
    </row>
    <row r="100">
      <c r="A100" s="11" t="n">
        <v>44763</v>
      </c>
      <c r="B100" s="17" t="b">
        <v>1</v>
      </c>
      <c r="C100" s="9" t="n">
        <v>0</v>
      </c>
      <c r="D100" s="9" t="n">
        <v>3597055.09</v>
      </c>
      <c r="E100" s="9" t="n">
        <v>0</v>
      </c>
      <c r="F100" s="9" t="n">
        <v>-1487150.41</v>
      </c>
      <c r="G100" s="9" t="n">
        <v>0</v>
      </c>
      <c r="H100" s="9" t="n">
        <v>401317.15</v>
      </c>
      <c r="I100" s="9" t="n">
        <v>0</v>
      </c>
      <c r="J100" s="9" t="n">
        <v>-2283485.87</v>
      </c>
      <c r="K100" s="9" t="n">
        <v>0</v>
      </c>
      <c r="L100" s="9" t="n">
        <v>227735.96</v>
      </c>
      <c r="M100" s="9" t="n">
        <v>194344144.34</v>
      </c>
      <c r="N100" s="18">
        <f>SUM(C100:J100)+$K100</f>
        <v/>
      </c>
      <c r="O100" s="18">
        <f>$N100-$L100</f>
        <v/>
      </c>
      <c r="P100" s="18">
        <f>$P99+$L100</f>
        <v/>
      </c>
      <c r="Q100" s="18">
        <f>$P100-$M100</f>
        <v/>
      </c>
      <c r="R100" s="8">
        <f>IF(AND(ABS($O100)&lt;=tol_trade_inr,ABS($Q100)&lt;=tol_trade_inr),"PASS","FAIL")</f>
        <v/>
      </c>
    </row>
    <row r="101">
      <c r="A101" s="11" t="n">
        <v>44764</v>
      </c>
      <c r="B101" s="17" t="b">
        <v>1</v>
      </c>
      <c r="C101" s="9" t="n">
        <v>0</v>
      </c>
      <c r="D101" s="9" t="n">
        <v>-209996.68</v>
      </c>
      <c r="E101" s="9" t="n">
        <v>0</v>
      </c>
      <c r="F101" s="9" t="n">
        <v>-1510059.23</v>
      </c>
      <c r="G101" s="9" t="n">
        <v>0</v>
      </c>
      <c r="H101" s="9" t="n">
        <v>51184.09</v>
      </c>
      <c r="I101" s="9" t="n">
        <v>0</v>
      </c>
      <c r="J101" s="9" t="n">
        <v>-633199.88</v>
      </c>
      <c r="K101" s="9" t="n">
        <v>-0</v>
      </c>
      <c r="L101" s="9" t="n">
        <v>-2302071.69</v>
      </c>
      <c r="M101" s="9" t="n">
        <v>192042072.65</v>
      </c>
      <c r="N101" s="18">
        <f>SUM(C101:J101)+$K101</f>
        <v/>
      </c>
      <c r="O101" s="18">
        <f>$N101-$L101</f>
        <v/>
      </c>
      <c r="P101" s="18">
        <f>$P100+$L101</f>
        <v/>
      </c>
      <c r="Q101" s="18">
        <f>$P101-$M101</f>
        <v/>
      </c>
      <c r="R101" s="8">
        <f>IF(AND(ABS($O101)&lt;=tol_trade_inr,ABS($Q101)&lt;=tol_trade_inr),"PASS","FAIL")</f>
        <v/>
      </c>
    </row>
    <row r="102">
      <c r="A102" s="11" t="n">
        <v>44767</v>
      </c>
      <c r="B102" s="17" t="b">
        <v>1</v>
      </c>
      <c r="C102" s="9" t="n">
        <v>0</v>
      </c>
      <c r="D102" s="9" t="n">
        <v>44120.83</v>
      </c>
      <c r="E102" s="9" t="n">
        <v>0</v>
      </c>
      <c r="F102" s="9" t="n">
        <v>-4476699.35</v>
      </c>
      <c r="G102" s="9" t="n">
        <v>0</v>
      </c>
      <c r="H102" s="9" t="n">
        <v>-34987.5</v>
      </c>
      <c r="I102" s="9" t="n">
        <v>0</v>
      </c>
      <c r="J102" s="9" t="n">
        <v>-218845.29</v>
      </c>
      <c r="K102" s="9" t="n">
        <v>0</v>
      </c>
      <c r="L102" s="9" t="n">
        <v>-4686411.31</v>
      </c>
      <c r="M102" s="9" t="n">
        <v>187355661.35</v>
      </c>
      <c r="N102" s="18">
        <f>SUM(C102:J102)+$K102</f>
        <v/>
      </c>
      <c r="O102" s="18">
        <f>$N102-$L102</f>
        <v/>
      </c>
      <c r="P102" s="18">
        <f>$P101+$L102</f>
        <v/>
      </c>
      <c r="Q102" s="18">
        <f>$P102-$M102</f>
        <v/>
      </c>
      <c r="R102" s="8">
        <f>IF(AND(ABS($O102)&lt;=tol_trade_inr,ABS($Q102)&lt;=tol_trade_inr),"PASS","FAIL")</f>
        <v/>
      </c>
    </row>
    <row r="103">
      <c r="A103" s="11" t="n">
        <v>44768</v>
      </c>
      <c r="B103" s="17" t="b">
        <v>1</v>
      </c>
      <c r="C103" s="9" t="n">
        <v>10155356.93</v>
      </c>
      <c r="D103" s="9" t="n">
        <v>10032.55</v>
      </c>
      <c r="E103" s="9" t="n">
        <v>0</v>
      </c>
      <c r="F103" s="9" t="n">
        <v>-1495788.27</v>
      </c>
      <c r="G103" s="9" t="n">
        <v>0</v>
      </c>
      <c r="H103" s="9" t="n">
        <v>12863.01</v>
      </c>
      <c r="I103" s="9" t="n">
        <v>0</v>
      </c>
      <c r="J103" s="9" t="n">
        <v>-2628874.01</v>
      </c>
      <c r="K103" s="9" t="n">
        <v>0</v>
      </c>
      <c r="L103" s="9" t="n">
        <v>6053590.2</v>
      </c>
      <c r="M103" s="9" t="n">
        <v>193409251.55</v>
      </c>
      <c r="N103" s="18">
        <f>SUM(C103:J103)+$K103</f>
        <v/>
      </c>
      <c r="O103" s="18">
        <f>$N103-$L103</f>
        <v/>
      </c>
      <c r="P103" s="18">
        <f>$P102+$L103</f>
        <v/>
      </c>
      <c r="Q103" s="18">
        <f>$P103-$M103</f>
        <v/>
      </c>
      <c r="R103" s="8">
        <f>IF(AND(ABS($O103)&lt;=tol_trade_inr,ABS($Q103)&lt;=tol_trade_inr),"PASS","FAIL")</f>
        <v/>
      </c>
    </row>
    <row r="104">
      <c r="A104" s="11" t="n">
        <v>44769</v>
      </c>
      <c r="B104" s="17" t="b">
        <v>1</v>
      </c>
      <c r="C104" s="9" t="n">
        <v>0</v>
      </c>
      <c r="D104" s="9" t="n">
        <v>5321820.15</v>
      </c>
      <c r="E104" s="9" t="n">
        <v>0</v>
      </c>
      <c r="F104" s="9" t="n">
        <v>-690295.16</v>
      </c>
      <c r="G104" s="9" t="n">
        <v>0</v>
      </c>
      <c r="H104" s="9" t="n">
        <v>-327726.74</v>
      </c>
      <c r="I104" s="9" t="n">
        <v>0</v>
      </c>
      <c r="J104" s="9" t="n">
        <v>-4285798.74</v>
      </c>
      <c r="K104" s="9" t="n">
        <v>0</v>
      </c>
      <c r="L104" s="9" t="n">
        <v>17999.52</v>
      </c>
      <c r="M104" s="9" t="n">
        <v>193427251.07</v>
      </c>
      <c r="N104" s="18">
        <f>SUM(C104:J104)+$K104</f>
        <v/>
      </c>
      <c r="O104" s="18">
        <f>$N104-$L104</f>
        <v/>
      </c>
      <c r="P104" s="18">
        <f>$P103+$L104</f>
        <v/>
      </c>
      <c r="Q104" s="18">
        <f>$P104-$M104</f>
        <v/>
      </c>
      <c r="R104" s="8">
        <f>IF(AND(ABS($O104)&lt;=tol_trade_inr,ABS($Q104)&lt;=tol_trade_inr),"PASS","FAIL")</f>
        <v/>
      </c>
    </row>
    <row r="105">
      <c r="A105" s="11" t="n">
        <v>44770</v>
      </c>
      <c r="B105" s="17" t="b">
        <v>1</v>
      </c>
      <c r="C105" s="9" t="n">
        <v>0</v>
      </c>
      <c r="D105" s="9" t="n">
        <v>-154371.72</v>
      </c>
      <c r="E105" s="9" t="n">
        <v>0</v>
      </c>
      <c r="F105" s="9" t="n">
        <v>-712583.1899999999</v>
      </c>
      <c r="G105" s="9" t="n">
        <v>0</v>
      </c>
      <c r="H105" s="9" t="n">
        <v>-20322.26</v>
      </c>
      <c r="I105" s="9" t="n">
        <v>-1637044.28</v>
      </c>
      <c r="J105" s="9" t="n">
        <v>-1154746.86</v>
      </c>
      <c r="K105" s="9" t="n">
        <v>-0</v>
      </c>
      <c r="L105" s="9" t="n">
        <v>-3679068.31</v>
      </c>
      <c r="M105" s="9" t="n">
        <v>189748182.76</v>
      </c>
      <c r="N105" s="18">
        <f>SUM(C105:J105)+$K105</f>
        <v/>
      </c>
      <c r="O105" s="18">
        <f>$N105-$L105</f>
        <v/>
      </c>
      <c r="P105" s="18">
        <f>$P104+$L105</f>
        <v/>
      </c>
      <c r="Q105" s="18">
        <f>$P105-$M105</f>
        <v/>
      </c>
      <c r="R105" s="8">
        <f>IF(AND(ABS($O105)&lt;=tol_trade_inr,ABS($Q105)&lt;=tol_trade_inr),"PASS","FAIL")</f>
        <v/>
      </c>
    </row>
    <row r="106">
      <c r="A106" s="11" t="n">
        <v>44771</v>
      </c>
      <c r="B106" s="17" t="b">
        <v>1</v>
      </c>
      <c r="C106" s="9" t="n">
        <v>0</v>
      </c>
      <c r="D106" s="9" t="n">
        <v>-15487.33</v>
      </c>
      <c r="E106" s="9" t="n">
        <v>0</v>
      </c>
      <c r="F106" s="9" t="n">
        <v>-706469.76</v>
      </c>
      <c r="G106" s="9" t="n">
        <v>0</v>
      </c>
      <c r="H106" s="9" t="n">
        <v>-16996.2</v>
      </c>
      <c r="I106" s="9" t="n">
        <v>0</v>
      </c>
      <c r="J106" s="9" t="n">
        <v>-508198.12</v>
      </c>
      <c r="K106" s="9" t="n">
        <v>-0</v>
      </c>
      <c r="L106" s="9" t="n">
        <v>-1247151.4</v>
      </c>
      <c r="M106" s="9" t="n">
        <v>188501031.35</v>
      </c>
      <c r="N106" s="18">
        <f>SUM(C106:J106)+$K106</f>
        <v/>
      </c>
      <c r="O106" s="18">
        <f>$N106-$L106</f>
        <v/>
      </c>
      <c r="P106" s="18">
        <f>$P105+$L106</f>
        <v/>
      </c>
      <c r="Q106" s="18">
        <f>$P106-$M106</f>
        <v/>
      </c>
      <c r="R106" s="8">
        <f>IF(AND(ABS($O106)&lt;=tol_trade_inr,ABS($Q106)&lt;=tol_trade_inr),"PASS","FAIL")</f>
        <v/>
      </c>
    </row>
    <row r="107">
      <c r="A107" s="11" t="n">
        <v>44774</v>
      </c>
      <c r="B107" s="17" t="b">
        <v>1</v>
      </c>
      <c r="C107" s="9" t="n">
        <v>-9000</v>
      </c>
      <c r="D107" s="9" t="n">
        <v>129787.08</v>
      </c>
      <c r="E107" s="9" t="n">
        <v>0</v>
      </c>
      <c r="F107" s="9" t="n">
        <v>-2123259.89</v>
      </c>
      <c r="G107" s="9" t="n">
        <v>0</v>
      </c>
      <c r="H107" s="9" t="n">
        <v>-4145.75</v>
      </c>
      <c r="I107" s="9" t="n">
        <v>0</v>
      </c>
      <c r="J107" s="9" t="n">
        <v>-1698865.36</v>
      </c>
      <c r="K107" s="9" t="n">
        <v>-0</v>
      </c>
      <c r="L107" s="9" t="n">
        <v>-3705483.91</v>
      </c>
      <c r="M107" s="9" t="n">
        <v>184795547.45</v>
      </c>
      <c r="N107" s="18">
        <f>SUM(C107:J107)+$K107</f>
        <v/>
      </c>
      <c r="O107" s="18">
        <f>$N107-$L107</f>
        <v/>
      </c>
      <c r="P107" s="18">
        <f>$P106+$L107</f>
        <v/>
      </c>
      <c r="Q107" s="18">
        <f>$P107-$M107</f>
        <v/>
      </c>
      <c r="R107" s="8">
        <f>IF(AND(ABS($O107)&lt;=tol_trade_inr,ABS($Q107)&lt;=tol_trade_inr),"PASS","FAIL")</f>
        <v/>
      </c>
    </row>
    <row r="108">
      <c r="A108" s="11" t="n">
        <v>44775</v>
      </c>
      <c r="B108" s="17" t="b">
        <v>1</v>
      </c>
      <c r="C108" s="9" t="n">
        <v>0</v>
      </c>
      <c r="D108" s="9" t="n">
        <v>-137997.79</v>
      </c>
      <c r="E108" s="9" t="n">
        <v>0</v>
      </c>
      <c r="F108" s="9" t="n">
        <v>-697465.85</v>
      </c>
      <c r="G108" s="9" t="n">
        <v>0</v>
      </c>
      <c r="H108" s="9" t="n">
        <v>-47605.73</v>
      </c>
      <c r="I108" s="9" t="n">
        <v>0</v>
      </c>
      <c r="J108" s="9" t="n">
        <v>750156</v>
      </c>
      <c r="K108" s="9" t="n">
        <v>0</v>
      </c>
      <c r="L108" s="9" t="n">
        <v>-132913.37</v>
      </c>
      <c r="M108" s="9" t="n">
        <v>184662634.07</v>
      </c>
      <c r="N108" s="18">
        <f>SUM(C108:J108)+$K108</f>
        <v/>
      </c>
      <c r="O108" s="18">
        <f>$N108-$L108</f>
        <v/>
      </c>
      <c r="P108" s="18">
        <f>$P107+$L108</f>
        <v/>
      </c>
      <c r="Q108" s="18">
        <f>$P108-$M108</f>
        <v/>
      </c>
      <c r="R108" s="8">
        <f>IF(AND(ABS($O108)&lt;=tol_trade_inr,ABS($Q108)&lt;=tol_trade_inr),"PASS","FAIL")</f>
        <v/>
      </c>
    </row>
    <row r="109">
      <c r="A109" s="11" t="n">
        <v>44776</v>
      </c>
      <c r="B109" s="17" t="b">
        <v>1</v>
      </c>
      <c r="C109" s="9" t="n">
        <v>-1330570.28</v>
      </c>
      <c r="D109" s="9" t="n">
        <v>-285513.86</v>
      </c>
      <c r="E109" s="9" t="n">
        <v>0</v>
      </c>
      <c r="F109" s="9" t="n">
        <v>-682816.4</v>
      </c>
      <c r="G109" s="9" t="n">
        <v>0</v>
      </c>
      <c r="H109" s="9" t="n">
        <v>55055.47</v>
      </c>
      <c r="I109" s="9" t="n">
        <v>0</v>
      </c>
      <c r="J109" s="9" t="n">
        <v>711432.84</v>
      </c>
      <c r="K109" s="9" t="n">
        <v>-0</v>
      </c>
      <c r="L109" s="9" t="n">
        <v>-1532412.23</v>
      </c>
      <c r="M109" s="9" t="n">
        <v>183130221.84</v>
      </c>
      <c r="N109" s="18">
        <f>SUM(C109:J109)+$K109</f>
        <v/>
      </c>
      <c r="O109" s="18">
        <f>$N109-$L109</f>
        <v/>
      </c>
      <c r="P109" s="18">
        <f>$P108+$L109</f>
        <v/>
      </c>
      <c r="Q109" s="18">
        <f>$P109-$M109</f>
        <v/>
      </c>
      <c r="R109" s="8">
        <f>IF(AND(ABS($O109)&lt;=tol_trade_inr,ABS($Q109)&lt;=tol_trade_inr),"PASS","FAIL")</f>
        <v/>
      </c>
    </row>
    <row r="110">
      <c r="A110" s="11" t="n">
        <v>44777</v>
      </c>
      <c r="B110" s="17" t="b">
        <v>1</v>
      </c>
      <c r="C110" s="9" t="n">
        <v>0</v>
      </c>
      <c r="D110" s="9" t="n">
        <v>-390080.51</v>
      </c>
      <c r="E110" s="9" t="n">
        <v>0</v>
      </c>
      <c r="F110" s="9" t="n">
        <v>-1169506.91</v>
      </c>
      <c r="G110" s="9" t="n">
        <v>0</v>
      </c>
      <c r="H110" s="9" t="n">
        <v>-359115.92</v>
      </c>
      <c r="I110" s="9" t="n">
        <v>0</v>
      </c>
      <c r="J110" s="9" t="n">
        <v>-75533.83</v>
      </c>
      <c r="K110" s="9" t="n">
        <v>-0</v>
      </c>
      <c r="L110" s="9" t="n">
        <v>-1994237.17</v>
      </c>
      <c r="M110" s="9" t="n">
        <v>181135984.66</v>
      </c>
      <c r="N110" s="18">
        <f>SUM(C110:J110)+$K110</f>
        <v/>
      </c>
      <c r="O110" s="18">
        <f>$N110-$L110</f>
        <v/>
      </c>
      <c r="P110" s="18">
        <f>$P109+$L110</f>
        <v/>
      </c>
      <c r="Q110" s="18">
        <f>$P110-$M110</f>
        <v/>
      </c>
      <c r="R110" s="8">
        <f>IF(AND(ABS($O110)&lt;=tol_trade_inr,ABS($Q110)&lt;=tol_trade_inr),"PASS","FAIL")</f>
        <v/>
      </c>
    </row>
    <row r="111">
      <c r="A111" s="11" t="n">
        <v>44778</v>
      </c>
      <c r="B111" s="17" t="b">
        <v>1</v>
      </c>
      <c r="C111" s="9" t="n">
        <v>-305608.81</v>
      </c>
      <c r="D111" s="9" t="n">
        <v>957313.02</v>
      </c>
      <c r="E111" s="9" t="n">
        <v>0</v>
      </c>
      <c r="F111" s="9" t="n">
        <v>-1208960.7</v>
      </c>
      <c r="G111" s="9" t="n">
        <v>0</v>
      </c>
      <c r="H111" s="9" t="n">
        <v>264762.08</v>
      </c>
      <c r="I111" s="9" t="n">
        <v>0</v>
      </c>
      <c r="J111" s="9" t="n">
        <v>-1404564.41</v>
      </c>
      <c r="K111" s="9" t="n">
        <v>0</v>
      </c>
      <c r="L111" s="9" t="n">
        <v>-1697058.83</v>
      </c>
      <c r="M111" s="9" t="n">
        <v>179438925.83</v>
      </c>
      <c r="N111" s="18">
        <f>SUM(C111:J111)+$K111</f>
        <v/>
      </c>
      <c r="O111" s="18">
        <f>$N111-$L111</f>
        <v/>
      </c>
      <c r="P111" s="18">
        <f>$P110+$L111</f>
        <v/>
      </c>
      <c r="Q111" s="18">
        <f>$P111-$M111</f>
        <v/>
      </c>
      <c r="R111" s="8">
        <f>IF(AND(ABS($O111)&lt;=tol_trade_inr,ABS($Q111)&lt;=tol_trade_inr),"PASS","FAIL")</f>
        <v/>
      </c>
    </row>
    <row r="112">
      <c r="A112" s="11" t="n">
        <v>44781</v>
      </c>
      <c r="B112" s="17" t="b">
        <v>1</v>
      </c>
      <c r="C112" s="9" t="n">
        <v>0</v>
      </c>
      <c r="D112" s="9" t="n">
        <v>-150035.44</v>
      </c>
      <c r="E112" s="9" t="n">
        <v>0</v>
      </c>
      <c r="F112" s="9" t="n">
        <v>-3595445.41</v>
      </c>
      <c r="G112" s="9" t="n">
        <v>0</v>
      </c>
      <c r="H112" s="9" t="n">
        <v>-776983.1899999999</v>
      </c>
      <c r="I112" s="9" t="n">
        <v>0</v>
      </c>
      <c r="J112" s="9" t="n">
        <v>89293.50999999999</v>
      </c>
      <c r="K112" s="9" t="n">
        <v>-0</v>
      </c>
      <c r="L112" s="9" t="n">
        <v>-4433170.54</v>
      </c>
      <c r="M112" s="9" t="n">
        <v>175005755.3</v>
      </c>
      <c r="N112" s="18">
        <f>SUM(C112:J112)+$K112</f>
        <v/>
      </c>
      <c r="O112" s="18">
        <f>$N112-$L112</f>
        <v/>
      </c>
      <c r="P112" s="18">
        <f>$P111+$L112</f>
        <v/>
      </c>
      <c r="Q112" s="18">
        <f>$P112-$M112</f>
        <v/>
      </c>
      <c r="R112" s="8">
        <f>IF(AND(ABS($O112)&lt;=tol_trade_inr,ABS($Q112)&lt;=tol_trade_inr),"PASS","FAIL")</f>
        <v/>
      </c>
    </row>
    <row r="113">
      <c r="A113" s="11" t="n">
        <v>44782</v>
      </c>
      <c r="B113" s="17" t="b">
        <v>1</v>
      </c>
      <c r="C113" s="9" t="n">
        <v>18025061.11</v>
      </c>
      <c r="D113" s="9" t="n">
        <v>583627.4300000001</v>
      </c>
      <c r="E113" s="9" t="n">
        <v>0</v>
      </c>
      <c r="F113" s="9" t="n">
        <v>-1232500.3</v>
      </c>
      <c r="G113" s="9" t="n">
        <v>0</v>
      </c>
      <c r="H113" s="9" t="n">
        <v>79859.33</v>
      </c>
      <c r="I113" s="9" t="n">
        <v>0</v>
      </c>
      <c r="J113" s="9" t="n">
        <v>-2414407.72</v>
      </c>
      <c r="K113" s="9" t="n">
        <v>0</v>
      </c>
      <c r="L113" s="9" t="n">
        <v>15041639.85</v>
      </c>
      <c r="M113" s="9" t="n">
        <v>190047395.15</v>
      </c>
      <c r="N113" s="18">
        <f>SUM(C113:J113)+$K113</f>
        <v/>
      </c>
      <c r="O113" s="18">
        <f>$N113-$L113</f>
        <v/>
      </c>
      <c r="P113" s="18">
        <f>$P112+$L113</f>
        <v/>
      </c>
      <c r="Q113" s="18">
        <f>$P113-$M113</f>
        <v/>
      </c>
      <c r="R113" s="8">
        <f>IF(AND(ABS($O113)&lt;=tol_trade_inr,ABS($Q113)&lt;=tol_trade_inr),"PASS","FAIL")</f>
        <v/>
      </c>
    </row>
    <row r="114">
      <c r="A114" s="11" t="n">
        <v>44783</v>
      </c>
      <c r="B114" s="17" t="b">
        <v>1</v>
      </c>
      <c r="C114" s="9" t="n">
        <v>0</v>
      </c>
      <c r="D114" s="9" t="n">
        <v>-1016675.69</v>
      </c>
      <c r="E114" s="9" t="n">
        <v>0</v>
      </c>
      <c r="F114" s="9" t="n">
        <v>-505353.68</v>
      </c>
      <c r="G114" s="9" t="n">
        <v>0</v>
      </c>
      <c r="H114" s="9" t="n">
        <v>91050.92</v>
      </c>
      <c r="I114" s="9" t="n">
        <v>0</v>
      </c>
      <c r="J114" s="9" t="n">
        <v>-90079.64999999999</v>
      </c>
      <c r="K114" s="9" t="n">
        <v>0</v>
      </c>
      <c r="L114" s="9" t="n">
        <v>-1521058.11</v>
      </c>
      <c r="M114" s="9" t="n">
        <v>188526337.04</v>
      </c>
      <c r="N114" s="18">
        <f>SUM(C114:J114)+$K114</f>
        <v/>
      </c>
      <c r="O114" s="18">
        <f>$N114-$L114</f>
        <v/>
      </c>
      <c r="P114" s="18">
        <f>$P113+$L114</f>
        <v/>
      </c>
      <c r="Q114" s="18">
        <f>$P114-$M114</f>
        <v/>
      </c>
      <c r="R114" s="8">
        <f>IF(AND(ABS($O114)&lt;=tol_trade_inr,ABS($Q114)&lt;=tol_trade_inr),"PASS","FAIL")</f>
        <v/>
      </c>
    </row>
    <row r="115">
      <c r="A115" s="11" t="n">
        <v>44784</v>
      </c>
      <c r="B115" s="17" t="b">
        <v>1</v>
      </c>
      <c r="C115" s="9" t="n">
        <v>0</v>
      </c>
      <c r="D115" s="9" t="n">
        <v>883094.96</v>
      </c>
      <c r="E115" s="9" t="n">
        <v>0</v>
      </c>
      <c r="F115" s="9" t="n">
        <v>-512400.14</v>
      </c>
      <c r="G115" s="9" t="n">
        <v>0</v>
      </c>
      <c r="H115" s="9" t="n">
        <v>-200315.97</v>
      </c>
      <c r="I115" s="9" t="n">
        <v>0</v>
      </c>
      <c r="J115" s="9" t="n">
        <v>475945.3</v>
      </c>
      <c r="K115" s="9" t="n">
        <v>-0</v>
      </c>
      <c r="L115" s="9" t="n">
        <v>646324.15</v>
      </c>
      <c r="M115" s="9" t="n">
        <v>189172661.19</v>
      </c>
      <c r="N115" s="18">
        <f>SUM(C115:J115)+$K115</f>
        <v/>
      </c>
      <c r="O115" s="18">
        <f>$N115-$L115</f>
        <v/>
      </c>
      <c r="P115" s="18">
        <f>$P114+$L115</f>
        <v/>
      </c>
      <c r="Q115" s="18">
        <f>$P115-$M115</f>
        <v/>
      </c>
      <c r="R115" s="8">
        <f>IF(AND(ABS($O115)&lt;=tol_trade_inr,ABS($Q115)&lt;=tol_trade_inr),"PASS","FAIL")</f>
        <v/>
      </c>
    </row>
    <row r="116">
      <c r="A116" s="11" t="n">
        <v>44785</v>
      </c>
      <c r="B116" s="17" t="b">
        <v>1</v>
      </c>
      <c r="C116" s="9" t="n">
        <v>0</v>
      </c>
      <c r="D116" s="9" t="n">
        <v>-293186.14</v>
      </c>
      <c r="E116" s="9" t="n">
        <v>0</v>
      </c>
      <c r="F116" s="9" t="n">
        <v>-508886.57</v>
      </c>
      <c r="G116" s="9" t="n">
        <v>0</v>
      </c>
      <c r="H116" s="9" t="n">
        <v>-257107.43</v>
      </c>
      <c r="I116" s="9" t="n">
        <v>0</v>
      </c>
      <c r="J116" s="9" t="n">
        <v>32030.27</v>
      </c>
      <c r="K116" s="9" t="n">
        <v>-0</v>
      </c>
      <c r="L116" s="9" t="n">
        <v>-1027149.86</v>
      </c>
      <c r="M116" s="9" t="n">
        <v>188145511.33</v>
      </c>
      <c r="N116" s="18">
        <f>SUM(C116:J116)+$K116</f>
        <v/>
      </c>
      <c r="O116" s="18">
        <f>$N116-$L116</f>
        <v/>
      </c>
      <c r="P116" s="18">
        <f>$P115+$L116</f>
        <v/>
      </c>
      <c r="Q116" s="18">
        <f>$P116-$M116</f>
        <v/>
      </c>
      <c r="R116" s="8">
        <f>IF(AND(ABS($O116)&lt;=tol_trade_inr,ABS($Q116)&lt;=tol_trade_inr),"PASS","FAIL")</f>
        <v/>
      </c>
    </row>
    <row r="117">
      <c r="A117" s="11" t="n">
        <v>44788</v>
      </c>
      <c r="B117" s="17" t="b">
        <v>1</v>
      </c>
      <c r="C117" s="9" t="n">
        <v>0</v>
      </c>
      <c r="D117" s="9" t="n">
        <v>398606.39</v>
      </c>
      <c r="E117" s="9" t="n">
        <v>0</v>
      </c>
      <c r="F117" s="9" t="n">
        <v>-1481539.87</v>
      </c>
      <c r="G117" s="9" t="n">
        <v>0</v>
      </c>
      <c r="H117" s="9" t="n">
        <v>524703.74</v>
      </c>
      <c r="I117" s="9" t="n">
        <v>0</v>
      </c>
      <c r="J117" s="9" t="n">
        <v>-416634.6</v>
      </c>
      <c r="K117" s="9" t="n">
        <v>0</v>
      </c>
      <c r="L117" s="9" t="n">
        <v>-974864.35</v>
      </c>
      <c r="M117" s="9" t="n">
        <v>187170646.98</v>
      </c>
      <c r="N117" s="18">
        <f>SUM(C117:J117)+$K117</f>
        <v/>
      </c>
      <c r="O117" s="18">
        <f>$N117-$L117</f>
        <v/>
      </c>
      <c r="P117" s="18">
        <f>$P116+$L117</f>
        <v/>
      </c>
      <c r="Q117" s="18">
        <f>$P117-$M117</f>
        <v/>
      </c>
      <c r="R117" s="8">
        <f>IF(AND(ABS($O117)&lt;=tol_trade_inr,ABS($Q117)&lt;=tol_trade_inr),"PASS","FAIL")</f>
        <v/>
      </c>
    </row>
    <row r="118">
      <c r="A118" s="11" t="n">
        <v>44789</v>
      </c>
      <c r="B118" s="17" t="b">
        <v>1</v>
      </c>
      <c r="C118" s="9" t="n">
        <v>-187555.62</v>
      </c>
      <c r="D118" s="9" t="n">
        <v>-1069377.75</v>
      </c>
      <c r="E118" s="9" t="n">
        <v>0</v>
      </c>
      <c r="F118" s="9" t="n">
        <v>619021.37</v>
      </c>
      <c r="G118" s="9" t="n">
        <v>0</v>
      </c>
      <c r="H118" s="9" t="n">
        <v>515161.33</v>
      </c>
      <c r="I118" s="9" t="n">
        <v>-3687028.75</v>
      </c>
      <c r="J118" s="9" t="n">
        <v>324591.58</v>
      </c>
      <c r="K118" s="9" t="n">
        <v>0</v>
      </c>
      <c r="L118" s="9" t="n">
        <v>-3485187.84</v>
      </c>
      <c r="M118" s="9" t="n">
        <v>183685459.15</v>
      </c>
      <c r="N118" s="18">
        <f>SUM(C118:J118)+$K118</f>
        <v/>
      </c>
      <c r="O118" s="18">
        <f>$N118-$L118</f>
        <v/>
      </c>
      <c r="P118" s="18">
        <f>$P117+$L118</f>
        <v/>
      </c>
      <c r="Q118" s="18">
        <f>$P118-$M118</f>
        <v/>
      </c>
      <c r="R118" s="8">
        <f>IF(AND(ABS($O118)&lt;=tol_trade_inr,ABS($Q118)&lt;=tol_trade_inr),"PASS","FAIL")</f>
        <v/>
      </c>
    </row>
    <row r="119">
      <c r="A119" s="11" t="n">
        <v>44790</v>
      </c>
      <c r="B119" s="17" t="b">
        <v>1</v>
      </c>
      <c r="C119" s="9" t="n">
        <v>-109620</v>
      </c>
      <c r="D119" s="9" t="n">
        <v>1001398.82</v>
      </c>
      <c r="E119" s="9" t="n">
        <v>0</v>
      </c>
      <c r="F119" s="9" t="n">
        <v>612001.65</v>
      </c>
      <c r="G119" s="9" t="n">
        <v>0</v>
      </c>
      <c r="H119" s="9" t="n">
        <v>-397397.01</v>
      </c>
      <c r="I119" s="9" t="n">
        <v>0</v>
      </c>
      <c r="J119" s="9" t="n">
        <v>-2676566.9</v>
      </c>
      <c r="K119" s="9" t="n">
        <v>0</v>
      </c>
      <c r="L119" s="9" t="n">
        <v>-1570183.44</v>
      </c>
      <c r="M119" s="9" t="n">
        <v>182115275.71</v>
      </c>
      <c r="N119" s="18">
        <f>SUM(C119:J119)+$K119</f>
        <v/>
      </c>
      <c r="O119" s="18">
        <f>$N119-$L119</f>
        <v/>
      </c>
      <c r="P119" s="18">
        <f>$P118+$L119</f>
        <v/>
      </c>
      <c r="Q119" s="18">
        <f>$P119-$M119</f>
        <v/>
      </c>
      <c r="R119" s="8">
        <f>IF(AND(ABS($O119)&lt;=tol_trade_inr,ABS($Q119)&lt;=tol_trade_inr),"PASS","FAIL")</f>
        <v/>
      </c>
    </row>
    <row r="120">
      <c r="A120" s="11" t="n">
        <v>44791</v>
      </c>
      <c r="B120" s="17" t="b">
        <v>1</v>
      </c>
      <c r="C120" s="9" t="n">
        <v>0</v>
      </c>
      <c r="D120" s="9" t="n">
        <v>-98215.34</v>
      </c>
      <c r="E120" s="9" t="n">
        <v>0</v>
      </c>
      <c r="F120" s="9" t="n">
        <v>611877.09</v>
      </c>
      <c r="G120" s="9" t="n">
        <v>0</v>
      </c>
      <c r="H120" s="9" t="n">
        <v>52373.63</v>
      </c>
      <c r="I120" s="9" t="n">
        <v>0</v>
      </c>
      <c r="J120" s="9" t="n">
        <v>-155209.59</v>
      </c>
      <c r="K120" s="9" t="n">
        <v>-0</v>
      </c>
      <c r="L120" s="9" t="n">
        <v>410825.79</v>
      </c>
      <c r="M120" s="9" t="n">
        <v>182526101.5</v>
      </c>
      <c r="N120" s="18">
        <f>SUM(C120:J120)+$K120</f>
        <v/>
      </c>
      <c r="O120" s="18">
        <f>$N120-$L120</f>
        <v/>
      </c>
      <c r="P120" s="18">
        <f>$P119+$L120</f>
        <v/>
      </c>
      <c r="Q120" s="18">
        <f>$P120-$M120</f>
        <v/>
      </c>
      <c r="R120" s="8">
        <f>IF(AND(ABS($O120)&lt;=tol_trade_inr,ABS($Q120)&lt;=tol_trade_inr),"PASS","FAIL")</f>
        <v/>
      </c>
    </row>
    <row r="121">
      <c r="A121" s="11" t="n">
        <v>44792</v>
      </c>
      <c r="B121" s="17" t="b">
        <v>1</v>
      </c>
      <c r="C121" s="9" t="n">
        <v>0</v>
      </c>
      <c r="D121" s="9" t="n">
        <v>1195613.68</v>
      </c>
      <c r="E121" s="9" t="n">
        <v>0</v>
      </c>
      <c r="F121" s="9" t="n">
        <v>604764.88</v>
      </c>
      <c r="G121" s="9" t="n">
        <v>0</v>
      </c>
      <c r="H121" s="9" t="n">
        <v>-527725.1899999999</v>
      </c>
      <c r="I121" s="9" t="n">
        <v>0</v>
      </c>
      <c r="J121" s="9" t="n">
        <v>-2411703.16</v>
      </c>
      <c r="K121" s="9" t="n">
        <v>-0</v>
      </c>
      <c r="L121" s="9" t="n">
        <v>-1139049.78</v>
      </c>
      <c r="M121" s="9" t="n">
        <v>181387051.72</v>
      </c>
      <c r="N121" s="18">
        <f>SUM(C121:J121)+$K121</f>
        <v/>
      </c>
      <c r="O121" s="18">
        <f>$N121-$L121</f>
        <v/>
      </c>
      <c r="P121" s="18">
        <f>$P120+$L121</f>
        <v/>
      </c>
      <c r="Q121" s="18">
        <f>$P121-$M121</f>
        <v/>
      </c>
      <c r="R121" s="8">
        <f>IF(AND(ABS($O121)&lt;=tol_trade_inr,ABS($Q121)&lt;=tol_trade_inr),"PASS","FAIL")</f>
        <v/>
      </c>
    </row>
    <row r="122">
      <c r="A122" s="11" t="n">
        <v>44795</v>
      </c>
      <c r="B122" s="17" t="b">
        <v>1</v>
      </c>
      <c r="C122" s="9" t="n">
        <v>0</v>
      </c>
      <c r="D122" s="9" t="n">
        <v>234885</v>
      </c>
      <c r="E122" s="9" t="n">
        <v>0</v>
      </c>
      <c r="F122" s="9" t="n">
        <v>1825141.99</v>
      </c>
      <c r="G122" s="9" t="n">
        <v>0</v>
      </c>
      <c r="H122" s="9" t="n">
        <v>8342.790000000001</v>
      </c>
      <c r="I122" s="9" t="n">
        <v>0</v>
      </c>
      <c r="J122" s="9" t="n">
        <v>-681318.0600000001</v>
      </c>
      <c r="K122" s="9" t="n">
        <v>0</v>
      </c>
      <c r="L122" s="9" t="n">
        <v>1387051.7</v>
      </c>
      <c r="M122" s="9" t="n">
        <v>182774103.43</v>
      </c>
      <c r="N122" s="18">
        <f>SUM(C122:J122)+$K122</f>
        <v/>
      </c>
      <c r="O122" s="18">
        <f>$N122-$L122</f>
        <v/>
      </c>
      <c r="P122" s="18">
        <f>$P121+$L122</f>
        <v/>
      </c>
      <c r="Q122" s="18">
        <f>$P122-$M122</f>
        <v/>
      </c>
      <c r="R122" s="8">
        <f>IF(AND(ABS($O122)&lt;=tol_trade_inr,ABS($Q122)&lt;=tol_trade_inr),"PASS","FAIL")</f>
        <v/>
      </c>
    </row>
    <row r="123">
      <c r="A123" s="11" t="n">
        <v>44796</v>
      </c>
      <c r="B123" s="17" t="b">
        <v>1</v>
      </c>
      <c r="C123" s="9" t="n">
        <v>0</v>
      </c>
      <c r="D123" s="9" t="n">
        <v>338965.05</v>
      </c>
      <c r="E123" s="9" t="n">
        <v>0</v>
      </c>
      <c r="F123" s="9" t="n">
        <v>620080.1800000001</v>
      </c>
      <c r="G123" s="9" t="n">
        <v>0</v>
      </c>
      <c r="H123" s="9" t="n">
        <v>-10241.44</v>
      </c>
      <c r="I123" s="9" t="n">
        <v>0</v>
      </c>
      <c r="J123" s="9" t="n">
        <v>-1180571.31</v>
      </c>
      <c r="K123" s="9" t="n">
        <v>0</v>
      </c>
      <c r="L123" s="9" t="n">
        <v>-231767.52</v>
      </c>
      <c r="M123" s="9" t="n">
        <v>182542335.9</v>
      </c>
      <c r="N123" s="18">
        <f>SUM(C123:J123)+$K123</f>
        <v/>
      </c>
      <c r="O123" s="18">
        <f>$N123-$L123</f>
        <v/>
      </c>
      <c r="P123" s="18">
        <f>$P122+$L123</f>
        <v/>
      </c>
      <c r="Q123" s="18">
        <f>$P123-$M123</f>
        <v/>
      </c>
      <c r="R123" s="8">
        <f>IF(AND(ABS($O123)&lt;=tol_trade_inr,ABS($Q123)&lt;=tol_trade_inr),"PASS","FAIL")</f>
        <v/>
      </c>
    </row>
    <row r="124">
      <c r="A124" s="11" t="n">
        <v>44797</v>
      </c>
      <c r="B124" s="17" t="b">
        <v>1</v>
      </c>
      <c r="C124" s="9" t="n">
        <v>-109620</v>
      </c>
      <c r="D124" s="9" t="n">
        <v>-114086.77</v>
      </c>
      <c r="E124" s="9" t="n">
        <v>0</v>
      </c>
      <c r="F124" s="9" t="n">
        <v>612264.27</v>
      </c>
      <c r="G124" s="9" t="n">
        <v>0</v>
      </c>
      <c r="H124" s="9" t="n">
        <v>37096.54</v>
      </c>
      <c r="I124" s="9" t="n">
        <v>0</v>
      </c>
      <c r="J124" s="9" t="n">
        <v>906673.14</v>
      </c>
      <c r="K124" s="9" t="n">
        <v>-0</v>
      </c>
      <c r="L124" s="9" t="n">
        <v>1332327.18</v>
      </c>
      <c r="M124" s="9" t="n">
        <v>183874663.09</v>
      </c>
      <c r="N124" s="18">
        <f>SUM(C124:J124)+$K124</f>
        <v/>
      </c>
      <c r="O124" s="18">
        <f>$N124-$L124</f>
        <v/>
      </c>
      <c r="P124" s="18">
        <f>$P123+$L124</f>
        <v/>
      </c>
      <c r="Q124" s="18">
        <f>$P124-$M124</f>
        <v/>
      </c>
      <c r="R124" s="8">
        <f>IF(AND(ABS($O124)&lt;=tol_trade_inr,ABS($Q124)&lt;=tol_trade_inr),"PASS","FAIL")</f>
        <v/>
      </c>
    </row>
    <row r="125">
      <c r="A125" s="11" t="n">
        <v>44798</v>
      </c>
      <c r="B125" s="17" t="b">
        <v>1</v>
      </c>
      <c r="C125" s="9" t="n">
        <v>0</v>
      </c>
      <c r="D125" s="9" t="n">
        <v>147114.87</v>
      </c>
      <c r="E125" s="9" t="n">
        <v>0</v>
      </c>
      <c r="F125" s="9" t="n">
        <v>620653.62</v>
      </c>
      <c r="G125" s="9" t="n">
        <v>0</v>
      </c>
      <c r="H125" s="9" t="n">
        <v>6267.31</v>
      </c>
      <c r="I125" s="9" t="n">
        <v>0</v>
      </c>
      <c r="J125" s="9" t="n">
        <v>-656125.67</v>
      </c>
      <c r="K125" s="9" t="n">
        <v>-0</v>
      </c>
      <c r="L125" s="9" t="n">
        <v>117910.12</v>
      </c>
      <c r="M125" s="9" t="n">
        <v>183992573.21</v>
      </c>
      <c r="N125" s="18">
        <f>SUM(C125:J125)+$K125</f>
        <v/>
      </c>
      <c r="O125" s="18">
        <f>$N125-$L125</f>
        <v/>
      </c>
      <c r="P125" s="18">
        <f>$P124+$L125</f>
        <v/>
      </c>
      <c r="Q125" s="18">
        <f>$P125-$M125</f>
        <v/>
      </c>
      <c r="R125" s="8">
        <f>IF(AND(ABS($O125)&lt;=tol_trade_inr,ABS($Q125)&lt;=tol_trade_inr),"PASS","FAIL")</f>
        <v/>
      </c>
    </row>
    <row r="126">
      <c r="A126" s="11" t="n">
        <v>44799</v>
      </c>
      <c r="B126" s="17" t="b">
        <v>1</v>
      </c>
      <c r="C126" s="9" t="n">
        <v>11290003.77</v>
      </c>
      <c r="D126" s="9" t="n">
        <v>390769.41</v>
      </c>
      <c r="E126" s="9" t="n">
        <v>0</v>
      </c>
      <c r="F126" s="9" t="n">
        <v>632749.12</v>
      </c>
      <c r="G126" s="9" t="n">
        <v>0</v>
      </c>
      <c r="H126" s="9" t="n">
        <v>-4919.42</v>
      </c>
      <c r="I126" s="9" t="n">
        <v>0</v>
      </c>
      <c r="J126" s="9" t="n">
        <v>305848.77</v>
      </c>
      <c r="K126" s="9" t="n">
        <v>0</v>
      </c>
      <c r="L126" s="9" t="n">
        <v>12614451.64</v>
      </c>
      <c r="M126" s="9" t="n">
        <v>196607024.85</v>
      </c>
      <c r="N126" s="18">
        <f>SUM(C126:J126)+$K126</f>
        <v/>
      </c>
      <c r="O126" s="18">
        <f>$N126-$L126</f>
        <v/>
      </c>
      <c r="P126" s="18">
        <f>$P125+$L126</f>
        <v/>
      </c>
      <c r="Q126" s="18">
        <f>$P126-$M126</f>
        <v/>
      </c>
      <c r="R126" s="8">
        <f>IF(AND(ABS($O126)&lt;=tol_trade_inr,ABS($Q126)&lt;=tol_trade_inr),"PASS","FAIL")</f>
        <v/>
      </c>
    </row>
    <row r="127">
      <c r="A127" s="11" t="n">
        <v>44803</v>
      </c>
      <c r="B127" s="17" t="b">
        <v>1</v>
      </c>
      <c r="C127" s="9" t="n">
        <v>0</v>
      </c>
      <c r="D127" s="9" t="n">
        <v>6039084.69</v>
      </c>
      <c r="E127" s="9" t="n">
        <v>0</v>
      </c>
      <c r="F127" s="9" t="n">
        <v>0</v>
      </c>
      <c r="G127" s="9" t="n">
        <v>0</v>
      </c>
      <c r="H127" s="9" t="n">
        <v>666753.3199999999</v>
      </c>
      <c r="I127" s="9" t="n">
        <v>0</v>
      </c>
      <c r="J127" s="9" t="n">
        <v>-7236859.23</v>
      </c>
      <c r="K127" s="9" t="n">
        <v>0</v>
      </c>
      <c r="L127" s="9" t="n">
        <v>-531021.22</v>
      </c>
      <c r="M127" s="9" t="n">
        <v>196076003.64</v>
      </c>
      <c r="N127" s="18">
        <f>SUM(C127:J127)+$K127</f>
        <v/>
      </c>
      <c r="O127" s="18">
        <f>$N127-$L127</f>
        <v/>
      </c>
      <c r="P127" s="18">
        <f>$P126+$L127</f>
        <v/>
      </c>
      <c r="Q127" s="18">
        <f>$P127-$M127</f>
        <v/>
      </c>
      <c r="R127" s="8">
        <f>IF(AND(ABS($O127)&lt;=tol_trade_inr,ABS($Q127)&lt;=tol_trade_inr),"PASS","FAIL")</f>
        <v/>
      </c>
    </row>
    <row r="128">
      <c r="A128" s="11" t="n">
        <v>44804</v>
      </c>
      <c r="B128" s="17" t="b">
        <v>1</v>
      </c>
      <c r="C128" s="9" t="n">
        <v>0</v>
      </c>
      <c r="D128" s="9" t="n">
        <v>0</v>
      </c>
      <c r="E128" s="9" t="n">
        <v>0</v>
      </c>
      <c r="F128" s="9" t="n">
        <v>0</v>
      </c>
      <c r="G128" s="9" t="n">
        <v>0</v>
      </c>
      <c r="H128" s="9" t="n">
        <v>-915.3200000000001</v>
      </c>
      <c r="I128" s="9" t="n">
        <v>0</v>
      </c>
      <c r="J128" s="9" t="n">
        <v>-138108.75</v>
      </c>
      <c r="K128" s="9" t="n">
        <v>-0</v>
      </c>
      <c r="L128" s="9" t="n">
        <v>-139024.07</v>
      </c>
      <c r="M128" s="9" t="n">
        <v>195936979.57</v>
      </c>
      <c r="N128" s="18">
        <f>SUM(C128:J128)+$K128</f>
        <v/>
      </c>
      <c r="O128" s="18">
        <f>$N128-$L128</f>
        <v/>
      </c>
      <c r="P128" s="18">
        <f>$P127+$L128</f>
        <v/>
      </c>
      <c r="Q128" s="18">
        <f>$P128-$M128</f>
        <v/>
      </c>
      <c r="R128" s="8">
        <f>IF(AND(ABS($O128)&lt;=tol_trade_inr,ABS($Q128)&lt;=tol_trade_inr),"PASS","FAIL")</f>
        <v/>
      </c>
    </row>
    <row r="129">
      <c r="A129" s="11" t="n">
        <v>44805</v>
      </c>
      <c r="B129" s="17" t="b">
        <v>0</v>
      </c>
      <c r="C129" s="9" t="n">
        <v>0</v>
      </c>
      <c r="D129" s="9" t="n">
        <v>0</v>
      </c>
      <c r="E129" s="9" t="n">
        <v>0</v>
      </c>
      <c r="F129" s="9" t="n">
        <v>0</v>
      </c>
      <c r="G129" s="9" t="n">
        <v>0</v>
      </c>
      <c r="H129" s="9" t="n">
        <v>-2617.91</v>
      </c>
      <c r="I129" s="9" t="n">
        <v>0</v>
      </c>
      <c r="J129" s="9" t="n">
        <v>-125861.53</v>
      </c>
      <c r="K129" s="9" t="n">
        <v>0</v>
      </c>
      <c r="L129" s="9" t="n">
        <v>-128479.44</v>
      </c>
      <c r="M129" s="9" t="n">
        <v>195808500.13</v>
      </c>
      <c r="N129" s="18">
        <f>SUM(C129:J129)+$K129</f>
        <v/>
      </c>
      <c r="O129" s="18">
        <f>$N129-$L129</f>
        <v/>
      </c>
      <c r="P129" s="18">
        <f>$P128+$L129</f>
        <v/>
      </c>
      <c r="Q129" s="18">
        <f>$P129-$M129</f>
        <v/>
      </c>
      <c r="R129" s="8">
        <f>IF(AND(ABS($O129)&lt;=tol_trade_inr,ABS($Q129)&lt;=tol_trade_inr),"PASS","FAIL")</f>
        <v/>
      </c>
    </row>
    <row r="130">
      <c r="A130" s="11" t="n">
        <v>44806</v>
      </c>
      <c r="B130" s="17" t="b">
        <v>0</v>
      </c>
      <c r="C130" s="9" t="n">
        <v>0</v>
      </c>
      <c r="D130" s="9" t="n">
        <v>0</v>
      </c>
      <c r="E130" s="9" t="n">
        <v>0</v>
      </c>
      <c r="F130" s="9" t="n">
        <v>0</v>
      </c>
      <c r="G130" s="9" t="n">
        <v>0</v>
      </c>
      <c r="H130" s="9" t="n">
        <v>-17225.98</v>
      </c>
      <c r="I130" s="9" t="n">
        <v>0</v>
      </c>
      <c r="J130" s="9" t="n">
        <v>-125771.82</v>
      </c>
      <c r="K130" s="9" t="n">
        <v>0</v>
      </c>
      <c r="L130" s="9" t="n">
        <v>-142997.8</v>
      </c>
      <c r="M130" s="9" t="n">
        <v>195665502.33</v>
      </c>
      <c r="N130" s="18">
        <f>SUM(C130:J130)+$K130</f>
        <v/>
      </c>
      <c r="O130" s="18">
        <f>$N130-$L130</f>
        <v/>
      </c>
      <c r="P130" s="18">
        <f>$P129+$L130</f>
        <v/>
      </c>
      <c r="Q130" s="18">
        <f>$P130-$M130</f>
        <v/>
      </c>
      <c r="R130" s="8">
        <f>IF(AND(ABS($O130)&lt;=tol_trade_inr,ABS($Q130)&lt;=tol_trade_inr),"PASS","FAIL")</f>
        <v/>
      </c>
    </row>
    <row r="131">
      <c r="A131" s="11" t="n">
        <v>44809</v>
      </c>
      <c r="B131" s="17" t="b">
        <v>0</v>
      </c>
      <c r="C131" s="9" t="n">
        <v>0</v>
      </c>
      <c r="D131" s="9" t="n">
        <v>0</v>
      </c>
      <c r="E131" s="9" t="n">
        <v>0</v>
      </c>
      <c r="F131" s="9" t="n">
        <v>0</v>
      </c>
      <c r="G131" s="9" t="n">
        <v>0</v>
      </c>
      <c r="H131" s="9" t="n">
        <v>-415.43</v>
      </c>
      <c r="I131" s="9" t="n">
        <v>0</v>
      </c>
      <c r="J131" s="9" t="n">
        <v>-351471.25</v>
      </c>
      <c r="K131" s="9" t="n">
        <v>0</v>
      </c>
      <c r="L131" s="9" t="n">
        <v>-351886.68</v>
      </c>
      <c r="M131" s="9" t="n">
        <v>195313615.64</v>
      </c>
      <c r="N131" s="18">
        <f>SUM(C131:J131)+$K131</f>
        <v/>
      </c>
      <c r="O131" s="18">
        <f>$N131-$L131</f>
        <v/>
      </c>
      <c r="P131" s="18">
        <f>$P130+$L131</f>
        <v/>
      </c>
      <c r="Q131" s="18">
        <f>$P131-$M131</f>
        <v/>
      </c>
      <c r="R131" s="8">
        <f>IF(AND(ABS($O131)&lt;=tol_trade_inr,ABS($Q131)&lt;=tol_trade_inr),"PASS","FAIL")</f>
        <v/>
      </c>
    </row>
    <row r="132">
      <c r="A132" s="11" t="n">
        <v>44810</v>
      </c>
      <c r="B132" s="17" t="b">
        <v>0</v>
      </c>
      <c r="C132" s="9" t="n">
        <v>0</v>
      </c>
      <c r="D132" s="9" t="n">
        <v>0</v>
      </c>
      <c r="E132" s="9" t="n">
        <v>0</v>
      </c>
      <c r="F132" s="9" t="n">
        <v>0</v>
      </c>
      <c r="G132" s="9" t="n">
        <v>0</v>
      </c>
      <c r="H132" s="9" t="n">
        <v>4159.56</v>
      </c>
      <c r="I132" s="9" t="n">
        <v>0</v>
      </c>
      <c r="J132" s="9" t="n">
        <v>-116822.99</v>
      </c>
      <c r="K132" s="9" t="n">
        <v>0</v>
      </c>
      <c r="L132" s="9" t="n">
        <v>-112663.42</v>
      </c>
      <c r="M132" s="9" t="n">
        <v>195200952.22</v>
      </c>
      <c r="N132" s="18">
        <f>SUM(C132:J132)+$K132</f>
        <v/>
      </c>
      <c r="O132" s="18">
        <f>$N132-$L132</f>
        <v/>
      </c>
      <c r="P132" s="18">
        <f>$P131+$L132</f>
        <v/>
      </c>
      <c r="Q132" s="18">
        <f>$P132-$M132</f>
        <v/>
      </c>
      <c r="R132" s="8">
        <f>IF(AND(ABS($O132)&lt;=tol_trade_inr,ABS($Q132)&lt;=tol_trade_inr),"PASS","FAIL")</f>
        <v/>
      </c>
    </row>
    <row r="133">
      <c r="A133" s="11" t="n">
        <v>44811</v>
      </c>
      <c r="B133" s="17" t="b">
        <v>0</v>
      </c>
      <c r="C133" s="9" t="n">
        <v>0</v>
      </c>
      <c r="D133" s="9" t="n">
        <v>0</v>
      </c>
      <c r="E133" s="9" t="n">
        <v>0</v>
      </c>
      <c r="F133" s="9" t="n">
        <v>0</v>
      </c>
      <c r="G133" s="9" t="n">
        <v>0</v>
      </c>
      <c r="H133" s="9" t="n">
        <v>-8819.959999999999</v>
      </c>
      <c r="I133" s="9" t="n">
        <v>0</v>
      </c>
      <c r="J133" s="9" t="n">
        <v>-117113.05</v>
      </c>
      <c r="K133" s="9" t="n">
        <v>-0</v>
      </c>
      <c r="L133" s="9" t="n">
        <v>-125933.01</v>
      </c>
      <c r="M133" s="9" t="n">
        <v>195075019.2</v>
      </c>
      <c r="N133" s="18">
        <f>SUM(C133:J133)+$K133</f>
        <v/>
      </c>
      <c r="O133" s="18">
        <f>$N133-$L133</f>
        <v/>
      </c>
      <c r="P133" s="18">
        <f>$P132+$L133</f>
        <v/>
      </c>
      <c r="Q133" s="18">
        <f>$P133-$M133</f>
        <v/>
      </c>
      <c r="R133" s="8">
        <f>IF(AND(ABS($O133)&lt;=tol_trade_inr,ABS($Q133)&lt;=tol_trade_inr),"PASS","FAIL")</f>
        <v/>
      </c>
    </row>
    <row r="134">
      <c r="A134" s="11" t="n">
        <v>44812</v>
      </c>
      <c r="B134" s="17" t="b">
        <v>0</v>
      </c>
      <c r="C134" s="9" t="n">
        <v>0</v>
      </c>
      <c r="D134" s="9" t="n">
        <v>0</v>
      </c>
      <c r="E134" s="9" t="n">
        <v>0</v>
      </c>
      <c r="F134" s="9" t="n">
        <v>0</v>
      </c>
      <c r="G134" s="9" t="n">
        <v>0</v>
      </c>
      <c r="H134" s="9" t="n">
        <v>17452.46</v>
      </c>
      <c r="I134" s="9" t="n">
        <v>0</v>
      </c>
      <c r="J134" s="9" t="n">
        <v>-117203.14</v>
      </c>
      <c r="K134" s="9" t="n">
        <v>0</v>
      </c>
      <c r="L134" s="9" t="n">
        <v>-99750.67999999999</v>
      </c>
      <c r="M134" s="9" t="n">
        <v>194975268.52</v>
      </c>
      <c r="N134" s="18">
        <f>SUM(C134:J134)+$K134</f>
        <v/>
      </c>
      <c r="O134" s="18">
        <f>$N134-$L134</f>
        <v/>
      </c>
      <c r="P134" s="18">
        <f>$P133+$L134</f>
        <v/>
      </c>
      <c r="Q134" s="18">
        <f>$P134-$M134</f>
        <v/>
      </c>
      <c r="R134" s="8">
        <f>IF(AND(ABS($O134)&lt;=tol_trade_inr,ABS($Q134)&lt;=tol_trade_inr),"PASS","FAIL")</f>
        <v/>
      </c>
    </row>
    <row r="135">
      <c r="A135" s="11" t="n">
        <v>44813</v>
      </c>
      <c r="B135" s="17" t="b">
        <v>0</v>
      </c>
      <c r="C135" s="9" t="n">
        <v>0</v>
      </c>
      <c r="D135" s="9" t="n">
        <v>0</v>
      </c>
      <c r="E135" s="9" t="n">
        <v>0</v>
      </c>
      <c r="F135" s="9" t="n">
        <v>0</v>
      </c>
      <c r="G135" s="9" t="n">
        <v>0</v>
      </c>
      <c r="H135" s="9" t="n">
        <v>5403.94</v>
      </c>
      <c r="I135" s="9" t="n">
        <v>0</v>
      </c>
      <c r="J135" s="9" t="n">
        <v>-120386.87</v>
      </c>
      <c r="K135" s="9" t="n">
        <v>-0</v>
      </c>
      <c r="L135" s="9" t="n">
        <v>-114982.93</v>
      </c>
      <c r="M135" s="9" t="n">
        <v>194860285.59</v>
      </c>
      <c r="N135" s="18">
        <f>SUM(C135:J135)+$K135</f>
        <v/>
      </c>
      <c r="O135" s="18">
        <f>$N135-$L135</f>
        <v/>
      </c>
      <c r="P135" s="18">
        <f>$P134+$L135</f>
        <v/>
      </c>
      <c r="Q135" s="18">
        <f>$P135-$M135</f>
        <v/>
      </c>
      <c r="R135" s="8">
        <f>IF(AND(ABS($O135)&lt;=tol_trade_inr,ABS($Q135)&lt;=tol_trade_inr),"PASS","FAIL")</f>
        <v/>
      </c>
    </row>
    <row r="136">
      <c r="A136" s="11" t="n">
        <v>44816</v>
      </c>
      <c r="B136" s="17" t="b">
        <v>0</v>
      </c>
      <c r="C136" s="9" t="n">
        <v>0</v>
      </c>
      <c r="D136" s="9" t="n">
        <v>0</v>
      </c>
      <c r="E136" s="9" t="n">
        <v>0</v>
      </c>
      <c r="F136" s="9" t="n">
        <v>0</v>
      </c>
      <c r="G136" s="9" t="n">
        <v>0</v>
      </c>
      <c r="H136" s="9" t="n">
        <v>4904.51</v>
      </c>
      <c r="I136" s="9" t="n">
        <v>0</v>
      </c>
      <c r="J136" s="9" t="n">
        <v>-329756.81</v>
      </c>
      <c r="K136" s="9" t="n">
        <v>0</v>
      </c>
      <c r="L136" s="9" t="n">
        <v>-324852.3</v>
      </c>
      <c r="M136" s="9" t="n">
        <v>194535433.29</v>
      </c>
      <c r="N136" s="18">
        <f>SUM(C136:J136)+$K136</f>
        <v/>
      </c>
      <c r="O136" s="18">
        <f>$N136-$L136</f>
        <v/>
      </c>
      <c r="P136" s="18">
        <f>$P135+$L136</f>
        <v/>
      </c>
      <c r="Q136" s="18">
        <f>$P136-$M136</f>
        <v/>
      </c>
      <c r="R136" s="8">
        <f>IF(AND(ABS($O136)&lt;=tol_trade_inr,ABS($Q136)&lt;=tol_trade_inr),"PASS","FAIL")</f>
        <v/>
      </c>
    </row>
    <row r="137">
      <c r="A137" s="11" t="n">
        <v>44817</v>
      </c>
      <c r="B137" s="17" t="b">
        <v>0</v>
      </c>
      <c r="C137" s="9" t="n">
        <v>0</v>
      </c>
      <c r="D137" s="9" t="n">
        <v>0</v>
      </c>
      <c r="E137" s="9" t="n">
        <v>0</v>
      </c>
      <c r="F137" s="9" t="n">
        <v>0</v>
      </c>
      <c r="G137" s="9" t="n">
        <v>0</v>
      </c>
      <c r="H137" s="9" t="n">
        <v>12460.71</v>
      </c>
      <c r="I137" s="9" t="n">
        <v>0</v>
      </c>
      <c r="J137" s="9" t="n">
        <v>-109796.77</v>
      </c>
      <c r="K137" s="9" t="n">
        <v>0</v>
      </c>
      <c r="L137" s="9" t="n">
        <v>-97336.07000000001</v>
      </c>
      <c r="M137" s="9" t="n">
        <v>194438097.23</v>
      </c>
      <c r="N137" s="18">
        <f>SUM(C137:J137)+$K137</f>
        <v/>
      </c>
      <c r="O137" s="18">
        <f>$N137-$L137</f>
        <v/>
      </c>
      <c r="P137" s="18">
        <f>$P136+$L137</f>
        <v/>
      </c>
      <c r="Q137" s="18">
        <f>$P137-$M137</f>
        <v/>
      </c>
      <c r="R137" s="8">
        <f>IF(AND(ABS($O137)&lt;=tol_trade_inr,ABS($Q137)&lt;=tol_trade_inr),"PASS","FAIL")</f>
        <v/>
      </c>
    </row>
    <row r="138">
      <c r="A138" s="11" t="n">
        <v>44818</v>
      </c>
      <c r="B138" s="17" t="b">
        <v>0</v>
      </c>
      <c r="C138" s="9" t="n">
        <v>0</v>
      </c>
      <c r="D138" s="9" t="n">
        <v>0</v>
      </c>
      <c r="E138" s="9" t="n">
        <v>0</v>
      </c>
      <c r="F138" s="9" t="n">
        <v>0</v>
      </c>
      <c r="G138" s="9" t="n">
        <v>0</v>
      </c>
      <c r="H138" s="9" t="n">
        <v>-14163.54</v>
      </c>
      <c r="I138" s="9" t="n">
        <v>0</v>
      </c>
      <c r="J138" s="9" t="n">
        <v>-110145.04</v>
      </c>
      <c r="K138" s="9" t="n">
        <v>-0</v>
      </c>
      <c r="L138" s="9" t="n">
        <v>-124308.58</v>
      </c>
      <c r="M138" s="9" t="n">
        <v>194313788.65</v>
      </c>
      <c r="N138" s="18">
        <f>SUM(C138:J138)+$K138</f>
        <v/>
      </c>
      <c r="O138" s="18">
        <f>$N138-$L138</f>
        <v/>
      </c>
      <c r="P138" s="18">
        <f>$P137+$L138</f>
        <v/>
      </c>
      <c r="Q138" s="18">
        <f>$P138-$M138</f>
        <v/>
      </c>
      <c r="R138" s="8">
        <f>IF(AND(ABS($O138)&lt;=tol_trade_inr,ABS($Q138)&lt;=tol_trade_inr),"PASS","FAIL")</f>
        <v/>
      </c>
    </row>
    <row r="139">
      <c r="A139" s="11" t="n">
        <v>44819</v>
      </c>
      <c r="B139" s="17" t="b">
        <v>0</v>
      </c>
      <c r="C139" s="9" t="n">
        <v>0</v>
      </c>
      <c r="D139" s="9" t="n">
        <v>0</v>
      </c>
      <c r="E139" s="9" t="n">
        <v>0</v>
      </c>
      <c r="F139" s="9" t="n">
        <v>0</v>
      </c>
      <c r="G139" s="9" t="n">
        <v>0</v>
      </c>
      <c r="H139" s="9" t="n">
        <v>-11371.91</v>
      </c>
      <c r="I139" s="9" t="n">
        <v>0</v>
      </c>
      <c r="J139" s="9" t="n">
        <v>-110071.54</v>
      </c>
      <c r="K139" s="9" t="n">
        <v>-0</v>
      </c>
      <c r="L139" s="9" t="n">
        <v>-121443.45</v>
      </c>
      <c r="M139" s="9" t="n">
        <v>194192345.2</v>
      </c>
      <c r="N139" s="18">
        <f>SUM(C139:J139)+$K139</f>
        <v/>
      </c>
      <c r="O139" s="18">
        <f>$N139-$L139</f>
        <v/>
      </c>
      <c r="P139" s="18">
        <f>$P138+$L139</f>
        <v/>
      </c>
      <c r="Q139" s="18">
        <f>$P139-$M139</f>
        <v/>
      </c>
      <c r="R139" s="8">
        <f>IF(AND(ABS($O139)&lt;=tol_trade_inr,ABS($Q139)&lt;=tol_trade_inr),"PASS","FAIL")</f>
        <v/>
      </c>
    </row>
    <row r="140">
      <c r="A140" s="11" t="n">
        <v>44820</v>
      </c>
      <c r="B140" s="17" t="b">
        <v>0</v>
      </c>
      <c r="C140" s="9" t="n">
        <v>0</v>
      </c>
      <c r="D140" s="9" t="n">
        <v>0</v>
      </c>
      <c r="E140" s="9" t="n">
        <v>0</v>
      </c>
      <c r="F140" s="9" t="n">
        <v>0</v>
      </c>
      <c r="G140" s="9" t="n">
        <v>0</v>
      </c>
      <c r="H140" s="9" t="n">
        <v>2011.33</v>
      </c>
      <c r="I140" s="9" t="n">
        <v>-24938.05</v>
      </c>
      <c r="J140" s="9" t="n">
        <v>-85129.96000000001</v>
      </c>
      <c r="K140" s="9" t="n">
        <v>-0</v>
      </c>
      <c r="L140" s="9" t="n">
        <v>-108056.68</v>
      </c>
      <c r="M140" s="9" t="n">
        <v>194084288.52</v>
      </c>
      <c r="N140" s="18">
        <f>SUM(C140:J140)+$K140</f>
        <v/>
      </c>
      <c r="O140" s="18">
        <f>$N140-$L140</f>
        <v/>
      </c>
      <c r="P140" s="18">
        <f>$P139+$L140</f>
        <v/>
      </c>
      <c r="Q140" s="18">
        <f>$P140-$M140</f>
        <v/>
      </c>
      <c r="R140" s="8">
        <f>IF(AND(ABS($O140)&lt;=tol_trade_inr,ABS($Q140)&lt;=tol_trade_inr),"PASS","FAIL")</f>
        <v/>
      </c>
    </row>
    <row r="141">
      <c r="A141" s="11" t="n">
        <v>44823</v>
      </c>
      <c r="B141" s="17" t="b">
        <v>0</v>
      </c>
      <c r="C141" s="9" t="n">
        <v>0</v>
      </c>
      <c r="D141" s="9" t="n">
        <v>0</v>
      </c>
      <c r="E141" s="9" t="n">
        <v>0</v>
      </c>
      <c r="F141" s="9" t="n">
        <v>0</v>
      </c>
      <c r="G141" s="9" t="n">
        <v>0</v>
      </c>
      <c r="H141" s="9" t="n">
        <v>-228.08</v>
      </c>
      <c r="I141" s="9" t="n">
        <v>-74814.14999999999</v>
      </c>
      <c r="J141" s="9" t="n">
        <v>-254925.42</v>
      </c>
      <c r="K141" s="9" t="n">
        <v>0</v>
      </c>
      <c r="L141" s="9" t="n">
        <v>-329967.65</v>
      </c>
      <c r="M141" s="9" t="n">
        <v>193754320.87</v>
      </c>
      <c r="N141" s="18">
        <f>SUM(C141:J141)+$K141</f>
        <v/>
      </c>
      <c r="O141" s="18">
        <f>$N141-$L141</f>
        <v/>
      </c>
      <c r="P141" s="18">
        <f>$P140+$L141</f>
        <v/>
      </c>
      <c r="Q141" s="18">
        <f>$P141-$M141</f>
        <v/>
      </c>
      <c r="R141" s="8">
        <f>IF(AND(ABS($O141)&lt;=tol_trade_inr,ABS($Q141)&lt;=tol_trade_inr),"PASS","FAIL")</f>
        <v/>
      </c>
    </row>
    <row r="142">
      <c r="A142" s="11" t="n">
        <v>44824</v>
      </c>
      <c r="B142" s="17" t="b">
        <v>0</v>
      </c>
      <c r="C142" s="9" t="n">
        <v>0</v>
      </c>
      <c r="D142" s="9" t="n">
        <v>0</v>
      </c>
      <c r="E142" s="9" t="n">
        <v>0</v>
      </c>
      <c r="F142" s="9" t="n">
        <v>0</v>
      </c>
      <c r="G142" s="9" t="n">
        <v>0</v>
      </c>
      <c r="H142" s="9" t="n">
        <v>480.88</v>
      </c>
      <c r="I142" s="9" t="n">
        <v>-24938.05</v>
      </c>
      <c r="J142" s="9" t="n">
        <v>-85154.8</v>
      </c>
      <c r="K142" s="9" t="n">
        <v>-0</v>
      </c>
      <c r="L142" s="9" t="n">
        <v>-109611.97</v>
      </c>
      <c r="M142" s="9" t="n">
        <v>193644708.89</v>
      </c>
      <c r="N142" s="18">
        <f>SUM(C142:J142)+$K142</f>
        <v/>
      </c>
      <c r="O142" s="18">
        <f>$N142-$L142</f>
        <v/>
      </c>
      <c r="P142" s="18">
        <f>$P141+$L142</f>
        <v/>
      </c>
      <c r="Q142" s="18">
        <f>$P142-$M142</f>
        <v/>
      </c>
      <c r="R142" s="8">
        <f>IF(AND(ABS($O142)&lt;=tol_trade_inr,ABS($Q142)&lt;=tol_trade_inr),"PASS","FAIL")</f>
        <v/>
      </c>
    </row>
    <row r="143">
      <c r="A143" s="11" t="n">
        <v>44825</v>
      </c>
      <c r="B143" s="17" t="b">
        <v>0</v>
      </c>
      <c r="C143" s="9" t="n">
        <v>0</v>
      </c>
      <c r="D143" s="9" t="n">
        <v>0</v>
      </c>
      <c r="E143" s="9" t="n">
        <v>0</v>
      </c>
      <c r="F143" s="9" t="n">
        <v>0</v>
      </c>
      <c r="G143" s="9" t="n">
        <v>0</v>
      </c>
      <c r="H143" s="9" t="n">
        <v>-7689.53</v>
      </c>
      <c r="I143" s="9" t="n">
        <v>-24938.05</v>
      </c>
      <c r="J143" s="9" t="n">
        <v>-85180.75999999999</v>
      </c>
      <c r="K143" s="9" t="n">
        <v>-0</v>
      </c>
      <c r="L143" s="9" t="n">
        <v>-117808.34</v>
      </c>
      <c r="M143" s="9" t="n">
        <v>193526900.55</v>
      </c>
      <c r="N143" s="18">
        <f>SUM(C143:J143)+$K143</f>
        <v/>
      </c>
      <c r="O143" s="18">
        <f>$N143-$L143</f>
        <v/>
      </c>
      <c r="P143" s="18">
        <f>$P142+$L143</f>
        <v/>
      </c>
      <c r="Q143" s="18">
        <f>$P143-$M143</f>
        <v/>
      </c>
      <c r="R143" s="8">
        <f>IF(AND(ABS($O143)&lt;=tol_trade_inr,ABS($Q143)&lt;=tol_trade_inr),"PASS","FAIL")</f>
        <v/>
      </c>
    </row>
    <row r="144">
      <c r="A144" s="11" t="n">
        <v>44826</v>
      </c>
      <c r="B144" s="17" t="b">
        <v>0</v>
      </c>
      <c r="C144" s="9" t="n">
        <v>0</v>
      </c>
      <c r="D144" s="9" t="n">
        <v>0</v>
      </c>
      <c r="E144" s="9" t="n">
        <v>0</v>
      </c>
      <c r="F144" s="9" t="n">
        <v>0</v>
      </c>
      <c r="G144" s="9" t="n">
        <v>0</v>
      </c>
      <c r="H144" s="9" t="n">
        <v>-38470.89</v>
      </c>
      <c r="I144" s="9" t="n">
        <v>-24938.05</v>
      </c>
      <c r="J144" s="9" t="n">
        <v>-85124.44</v>
      </c>
      <c r="K144" s="9" t="n">
        <v>0</v>
      </c>
      <c r="L144" s="9" t="n">
        <v>-148533.38</v>
      </c>
      <c r="M144" s="9" t="n">
        <v>193378367.17</v>
      </c>
      <c r="N144" s="18">
        <f>SUM(C144:J144)+$K144</f>
        <v/>
      </c>
      <c r="O144" s="18">
        <f>$N144-$L144</f>
        <v/>
      </c>
      <c r="P144" s="18">
        <f>$P143+$L144</f>
        <v/>
      </c>
      <c r="Q144" s="18">
        <f>$P144-$M144</f>
        <v/>
      </c>
      <c r="R144" s="8">
        <f>IF(AND(ABS($O144)&lt;=tol_trade_inr,ABS($Q144)&lt;=tol_trade_inr),"PASS","FAIL")</f>
        <v/>
      </c>
    </row>
    <row r="145">
      <c r="A145" s="11" t="n">
        <v>44827</v>
      </c>
      <c r="B145" s="17" t="b">
        <v>0</v>
      </c>
      <c r="C145" s="9" t="n">
        <v>0</v>
      </c>
      <c r="D145" s="9" t="n">
        <v>0</v>
      </c>
      <c r="E145" s="9" t="n">
        <v>0</v>
      </c>
      <c r="F145" s="9" t="n">
        <v>0</v>
      </c>
      <c r="G145" s="9" t="n">
        <v>0</v>
      </c>
      <c r="H145" s="9" t="n">
        <v>-9533.219999999999</v>
      </c>
      <c r="I145" s="9" t="n">
        <v>-24938.05</v>
      </c>
      <c r="J145" s="9" t="n">
        <v>-85191.61</v>
      </c>
      <c r="K145" s="9" t="n">
        <v>-0</v>
      </c>
      <c r="L145" s="9" t="n">
        <v>-119662.87</v>
      </c>
      <c r="M145" s="9" t="n">
        <v>193258704.3</v>
      </c>
      <c r="N145" s="18">
        <f>SUM(C145:J145)+$K145</f>
        <v/>
      </c>
      <c r="O145" s="18">
        <f>$N145-$L145</f>
        <v/>
      </c>
      <c r="P145" s="18">
        <f>$P144+$L145</f>
        <v/>
      </c>
      <c r="Q145" s="18">
        <f>$P145-$M145</f>
        <v/>
      </c>
      <c r="R145" s="8">
        <f>IF(AND(ABS($O145)&lt;=tol_trade_inr,ABS($Q145)&lt;=tol_trade_inr),"PASS","FAIL")</f>
        <v/>
      </c>
    </row>
    <row r="146">
      <c r="A146" s="11" t="n">
        <v>44830</v>
      </c>
      <c r="B146" s="17" t="b">
        <v>0</v>
      </c>
      <c r="C146" s="9" t="n">
        <v>0</v>
      </c>
      <c r="D146" s="9" t="n">
        <v>0</v>
      </c>
      <c r="E146" s="9" t="n">
        <v>0</v>
      </c>
      <c r="F146" s="9" t="n">
        <v>0</v>
      </c>
      <c r="G146" s="9" t="n">
        <v>0</v>
      </c>
      <c r="H146" s="9" t="n">
        <v>-21871.66</v>
      </c>
      <c r="I146" s="9" t="n">
        <v>-74814.14999999999</v>
      </c>
      <c r="J146" s="9" t="n">
        <v>-234948.04</v>
      </c>
      <c r="K146" s="9" t="n">
        <v>-0</v>
      </c>
      <c r="L146" s="9" t="n">
        <v>-331633.85</v>
      </c>
      <c r="M146" s="9" t="n">
        <v>192927070.45</v>
      </c>
      <c r="N146" s="18">
        <f>SUM(C146:J146)+$K146</f>
        <v/>
      </c>
      <c r="O146" s="18">
        <f>$N146-$L146</f>
        <v/>
      </c>
      <c r="P146" s="18">
        <f>$P145+$L146</f>
        <v/>
      </c>
      <c r="Q146" s="18">
        <f>$P146-$M146</f>
        <v/>
      </c>
      <c r="R146" s="8">
        <f>IF(AND(ABS($O146)&lt;=tol_trade_inr,ABS($Q146)&lt;=tol_trade_inr),"PASS","FAIL")</f>
        <v/>
      </c>
    </row>
    <row r="147">
      <c r="A147" s="11" t="n">
        <v>44831</v>
      </c>
      <c r="B147" s="17" t="b">
        <v>0</v>
      </c>
      <c r="C147" s="9" t="n">
        <v>0</v>
      </c>
      <c r="D147" s="9" t="n">
        <v>0</v>
      </c>
      <c r="E147" s="9" t="n">
        <v>0</v>
      </c>
      <c r="F147" s="9" t="n">
        <v>0</v>
      </c>
      <c r="G147" s="9" t="n">
        <v>0</v>
      </c>
      <c r="H147" s="9" t="n">
        <v>4885.27</v>
      </c>
      <c r="I147" s="9" t="n">
        <v>-24938.05</v>
      </c>
      <c r="J147" s="9" t="n">
        <v>-78445.5</v>
      </c>
      <c r="K147" s="9" t="n">
        <v>0</v>
      </c>
      <c r="L147" s="9" t="n">
        <v>-98498.27</v>
      </c>
      <c r="M147" s="9" t="n">
        <v>192828572.18</v>
      </c>
      <c r="N147" s="18">
        <f>SUM(C147:J147)+$K147</f>
        <v/>
      </c>
      <c r="O147" s="18">
        <f>$N147-$L147</f>
        <v/>
      </c>
      <c r="P147" s="18">
        <f>$P146+$L147</f>
        <v/>
      </c>
      <c r="Q147" s="18">
        <f>$P147-$M147</f>
        <v/>
      </c>
      <c r="R147" s="8">
        <f>IF(AND(ABS($O147)&lt;=tol_trade_inr,ABS($Q147)&lt;=tol_trade_inr),"PASS","FAIL")</f>
        <v/>
      </c>
    </row>
    <row r="148">
      <c r="A148" s="11" t="n">
        <v>44832</v>
      </c>
      <c r="B148" s="17" t="b">
        <v>0</v>
      </c>
      <c r="C148" s="9" t="n">
        <v>0</v>
      </c>
      <c r="D148" s="9" t="n">
        <v>0</v>
      </c>
      <c r="E148" s="9" t="n">
        <v>0</v>
      </c>
      <c r="F148" s="9" t="n">
        <v>0</v>
      </c>
      <c r="G148" s="9" t="n">
        <v>0</v>
      </c>
      <c r="H148" s="9" t="n">
        <v>-14518.31</v>
      </c>
      <c r="I148" s="9" t="n">
        <v>-24938.05</v>
      </c>
      <c r="J148" s="9" t="n">
        <v>-78368.57000000001</v>
      </c>
      <c r="K148" s="9" t="n">
        <v>-0</v>
      </c>
      <c r="L148" s="9" t="n">
        <v>-117824.93</v>
      </c>
      <c r="M148" s="9" t="n">
        <v>192710747.25</v>
      </c>
      <c r="N148" s="18">
        <f>SUM(C148:J148)+$K148</f>
        <v/>
      </c>
      <c r="O148" s="18">
        <f>$N148-$L148</f>
        <v/>
      </c>
      <c r="P148" s="18">
        <f>$P147+$L148</f>
        <v/>
      </c>
      <c r="Q148" s="18">
        <f>$P148-$M148</f>
        <v/>
      </c>
      <c r="R148" s="8">
        <f>IF(AND(ABS($O148)&lt;=tol_trade_inr,ABS($Q148)&lt;=tol_trade_inr),"PASS","FAIL")</f>
        <v/>
      </c>
    </row>
    <row r="149">
      <c r="A149" s="11" t="n">
        <v>44833</v>
      </c>
      <c r="B149" s="17" t="b">
        <v>0</v>
      </c>
      <c r="C149" s="9" t="n">
        <v>0</v>
      </c>
      <c r="D149" s="9" t="n">
        <v>0</v>
      </c>
      <c r="E149" s="9" t="n">
        <v>0</v>
      </c>
      <c r="F149" s="9" t="n">
        <v>0</v>
      </c>
      <c r="G149" s="9" t="n">
        <v>0</v>
      </c>
      <c r="H149" s="9" t="n">
        <v>4491.05</v>
      </c>
      <c r="I149" s="9" t="n">
        <v>-24938.05</v>
      </c>
      <c r="J149" s="9" t="n">
        <v>-78427.73</v>
      </c>
      <c r="K149" s="9" t="n">
        <v>0</v>
      </c>
      <c r="L149" s="9" t="n">
        <v>-98874.73</v>
      </c>
      <c r="M149" s="9" t="n">
        <v>192611872.52</v>
      </c>
      <c r="N149" s="18">
        <f>SUM(C149:J149)+$K149</f>
        <v/>
      </c>
      <c r="O149" s="18">
        <f>$N149-$L149</f>
        <v/>
      </c>
      <c r="P149" s="18">
        <f>$P148+$L149</f>
        <v/>
      </c>
      <c r="Q149" s="18">
        <f>$P149-$M149</f>
        <v/>
      </c>
      <c r="R149" s="8">
        <f>IF(AND(ABS($O149)&lt;=tol_trade_inr,ABS($Q149)&lt;=tol_trade_inr),"PASS","FAIL")</f>
        <v/>
      </c>
    </row>
    <row r="150">
      <c r="A150" s="11" t="n">
        <v>44834</v>
      </c>
      <c r="B150" s="17" t="b">
        <v>0</v>
      </c>
      <c r="C150" s="9" t="n">
        <v>0</v>
      </c>
      <c r="D150" s="9" t="n">
        <v>0</v>
      </c>
      <c r="E150" s="9" t="n">
        <v>0</v>
      </c>
      <c r="F150" s="9" t="n">
        <v>0</v>
      </c>
      <c r="G150" s="9" t="n">
        <v>0</v>
      </c>
      <c r="H150" s="9" t="n">
        <v>9868.139999999999</v>
      </c>
      <c r="I150" s="9" t="n">
        <v>-24938.05</v>
      </c>
      <c r="J150" s="9" t="n">
        <v>-84979.74000000001</v>
      </c>
      <c r="K150" s="9" t="n">
        <v>-0</v>
      </c>
      <c r="L150" s="9" t="n">
        <v>-100049.65</v>
      </c>
      <c r="M150" s="9" t="n">
        <v>192511822.87</v>
      </c>
      <c r="N150" s="18">
        <f>SUM(C150:J150)+$K150</f>
        <v/>
      </c>
      <c r="O150" s="18">
        <f>$N150-$L150</f>
        <v/>
      </c>
      <c r="P150" s="18">
        <f>$P149+$L150</f>
        <v/>
      </c>
      <c r="Q150" s="18">
        <f>$P150-$M150</f>
        <v/>
      </c>
      <c r="R150" s="8">
        <f>IF(AND(ABS($O150)&lt;=tol_trade_inr,ABS($Q150)&lt;=tol_trade_inr),"PASS","FAIL")</f>
        <v/>
      </c>
    </row>
    <row r="151">
      <c r="A151" s="11" t="n">
        <v>44837</v>
      </c>
      <c r="B151" s="17" t="b">
        <v>0</v>
      </c>
      <c r="C151" s="9" t="n">
        <v>0</v>
      </c>
      <c r="D151" s="9" t="n">
        <v>0</v>
      </c>
      <c r="E151" s="9" t="n">
        <v>0</v>
      </c>
      <c r="F151" s="9" t="n">
        <v>0</v>
      </c>
      <c r="G151" s="9" t="n">
        <v>0</v>
      </c>
      <c r="H151" s="9" t="n">
        <v>-6474.22</v>
      </c>
      <c r="I151" s="9" t="n">
        <v>-74814.14999999999</v>
      </c>
      <c r="J151" s="9" t="n">
        <v>-217422.98</v>
      </c>
      <c r="K151" s="9" t="n">
        <v>0</v>
      </c>
      <c r="L151" s="9" t="n">
        <v>-298711.35</v>
      </c>
      <c r="M151" s="9" t="n">
        <v>192213111.53</v>
      </c>
      <c r="N151" s="18">
        <f>SUM(C151:J151)+$K151</f>
        <v/>
      </c>
      <c r="O151" s="18">
        <f>$N151-$L151</f>
        <v/>
      </c>
      <c r="P151" s="18">
        <f>$P150+$L151</f>
        <v/>
      </c>
      <c r="Q151" s="18">
        <f>$P151-$M151</f>
        <v/>
      </c>
      <c r="R151" s="8">
        <f>IF(AND(ABS($O151)&lt;=tol_trade_inr,ABS($Q151)&lt;=tol_trade_inr),"PASS","FAIL")</f>
        <v/>
      </c>
    </row>
    <row r="152">
      <c r="A152" s="11" t="n">
        <v>44838</v>
      </c>
      <c r="B152" s="17" t="b">
        <v>0</v>
      </c>
      <c r="C152" s="9" t="n">
        <v>0</v>
      </c>
      <c r="D152" s="9" t="n">
        <v>0</v>
      </c>
      <c r="E152" s="9" t="n">
        <v>0</v>
      </c>
      <c r="F152" s="9" t="n">
        <v>0</v>
      </c>
      <c r="G152" s="9" t="n">
        <v>0</v>
      </c>
      <c r="H152" s="9" t="n">
        <v>4434.08</v>
      </c>
      <c r="I152" s="9" t="n">
        <v>-24938.05</v>
      </c>
      <c r="J152" s="9" t="n">
        <v>-72532.81</v>
      </c>
      <c r="K152" s="9" t="n">
        <v>-0</v>
      </c>
      <c r="L152" s="9" t="n">
        <v>-93036.78</v>
      </c>
      <c r="M152" s="9" t="n">
        <v>192120074.75</v>
      </c>
      <c r="N152" s="18">
        <f>SUM(C152:J152)+$K152</f>
        <v/>
      </c>
      <c r="O152" s="18">
        <f>$N152-$L152</f>
        <v/>
      </c>
      <c r="P152" s="18">
        <f>$P151+$L152</f>
        <v/>
      </c>
      <c r="Q152" s="18">
        <f>$P152-$M152</f>
        <v/>
      </c>
      <c r="R152" s="8">
        <f>IF(AND(ABS($O152)&lt;=tol_trade_inr,ABS($Q152)&lt;=tol_trade_inr),"PASS","FAIL")</f>
        <v/>
      </c>
    </row>
    <row r="153">
      <c r="A153" s="11" t="n">
        <v>44839</v>
      </c>
      <c r="B153" s="17" t="b">
        <v>0</v>
      </c>
      <c r="C153" s="9" t="n">
        <v>0</v>
      </c>
      <c r="D153" s="9" t="n">
        <v>0</v>
      </c>
      <c r="E153" s="9" t="n">
        <v>0</v>
      </c>
      <c r="F153" s="9" t="n">
        <v>0</v>
      </c>
      <c r="G153" s="9" t="n">
        <v>0</v>
      </c>
      <c r="H153" s="9" t="n">
        <v>-254.52</v>
      </c>
      <c r="I153" s="9" t="n">
        <v>-24938.05</v>
      </c>
      <c r="J153" s="9" t="n">
        <v>-72504.73</v>
      </c>
      <c r="K153" s="9" t="n">
        <v>-0</v>
      </c>
      <c r="L153" s="9" t="n">
        <v>-97697.3</v>
      </c>
      <c r="M153" s="9" t="n">
        <v>192022377.44</v>
      </c>
      <c r="N153" s="18">
        <f>SUM(C153:J153)+$K153</f>
        <v/>
      </c>
      <c r="O153" s="18">
        <f>$N153-$L153</f>
        <v/>
      </c>
      <c r="P153" s="18">
        <f>$P152+$L153</f>
        <v/>
      </c>
      <c r="Q153" s="18">
        <f>$P153-$M153</f>
        <v/>
      </c>
      <c r="R153" s="8">
        <f>IF(AND(ABS($O153)&lt;=tol_trade_inr,ABS($Q153)&lt;=tol_trade_inr),"PASS","FAIL")</f>
        <v/>
      </c>
    </row>
    <row r="154">
      <c r="A154" s="11" t="n">
        <v>44840</v>
      </c>
      <c r="B154" s="17" t="b">
        <v>0</v>
      </c>
      <c r="C154" s="9" t="n">
        <v>0</v>
      </c>
      <c r="D154" s="9" t="n">
        <v>0</v>
      </c>
      <c r="E154" s="9" t="n">
        <v>0</v>
      </c>
      <c r="F154" s="9" t="n">
        <v>0</v>
      </c>
      <c r="G154" s="9" t="n">
        <v>0</v>
      </c>
      <c r="H154" s="9" t="n">
        <v>-11247.71</v>
      </c>
      <c r="I154" s="9" t="n">
        <v>-24938.05</v>
      </c>
      <c r="J154" s="9" t="n">
        <v>-72516.59</v>
      </c>
      <c r="K154" s="9" t="n">
        <v>0</v>
      </c>
      <c r="L154" s="9" t="n">
        <v>-108702.35</v>
      </c>
      <c r="M154" s="9" t="n">
        <v>191913675.1</v>
      </c>
      <c r="N154" s="18">
        <f>SUM(C154:J154)+$K154</f>
        <v/>
      </c>
      <c r="O154" s="18">
        <f>$N154-$L154</f>
        <v/>
      </c>
      <c r="P154" s="18">
        <f>$P153+$L154</f>
        <v/>
      </c>
      <c r="Q154" s="18">
        <f>$P154-$M154</f>
        <v/>
      </c>
      <c r="R154" s="8">
        <f>IF(AND(ABS($O154)&lt;=tol_trade_inr,ABS($Q154)&lt;=tol_trade_inr),"PASS","FAIL")</f>
        <v/>
      </c>
    </row>
    <row r="155">
      <c r="A155" s="11" t="n">
        <v>44841</v>
      </c>
      <c r="B155" s="17" t="b">
        <v>0</v>
      </c>
      <c r="C155" s="9" t="n">
        <v>0</v>
      </c>
      <c r="D155" s="9" t="n">
        <v>0</v>
      </c>
      <c r="E155" s="9" t="n">
        <v>0</v>
      </c>
      <c r="F155" s="9" t="n">
        <v>0</v>
      </c>
      <c r="G155" s="9" t="n">
        <v>0</v>
      </c>
      <c r="H155" s="9" t="n">
        <v>-46.1</v>
      </c>
      <c r="I155" s="9" t="n">
        <v>-24938.05</v>
      </c>
      <c r="J155" s="9" t="n">
        <v>-72515.8</v>
      </c>
      <c r="K155" s="9" t="n">
        <v>-0</v>
      </c>
      <c r="L155" s="9" t="n">
        <v>-97499.95</v>
      </c>
      <c r="M155" s="9" t="n">
        <v>191816175.15</v>
      </c>
      <c r="N155" s="18">
        <f>SUM(C155:J155)+$K155</f>
        <v/>
      </c>
      <c r="O155" s="18">
        <f>$N155-$L155</f>
        <v/>
      </c>
      <c r="P155" s="18">
        <f>$P154+$L155</f>
        <v/>
      </c>
      <c r="Q155" s="18">
        <f>$P155-$M155</f>
        <v/>
      </c>
      <c r="R155" s="8">
        <f>IF(AND(ABS($O155)&lt;=tol_trade_inr,ABS($Q155)&lt;=tol_trade_inr),"PASS","FAIL")</f>
        <v/>
      </c>
    </row>
    <row r="156">
      <c r="A156" s="11" t="n">
        <v>44844</v>
      </c>
      <c r="B156" s="17" t="b">
        <v>0</v>
      </c>
      <c r="C156" s="9" t="n">
        <v>0</v>
      </c>
      <c r="D156" s="9" t="n">
        <v>0</v>
      </c>
      <c r="E156" s="9" t="n">
        <v>0</v>
      </c>
      <c r="F156" s="9" t="n">
        <v>0</v>
      </c>
      <c r="G156" s="9" t="n">
        <v>0</v>
      </c>
      <c r="H156" s="9" t="n">
        <v>-4637.44</v>
      </c>
      <c r="I156" s="9" t="n">
        <v>-74814.14999999999</v>
      </c>
      <c r="J156" s="9" t="n">
        <v>-203830.33</v>
      </c>
      <c r="K156" s="9" t="n">
        <v>-0</v>
      </c>
      <c r="L156" s="9" t="n">
        <v>-283281.92</v>
      </c>
      <c r="M156" s="9" t="n">
        <v>191532893.23</v>
      </c>
      <c r="N156" s="18">
        <f>SUM(C156:J156)+$K156</f>
        <v/>
      </c>
      <c r="O156" s="18">
        <f>$N156-$L156</f>
        <v/>
      </c>
      <c r="P156" s="18">
        <f>$P155+$L156</f>
        <v/>
      </c>
      <c r="Q156" s="18">
        <f>$P156-$M156</f>
        <v/>
      </c>
      <c r="R156" s="8">
        <f>IF(AND(ABS($O156)&lt;=tol_trade_inr,ABS($Q156)&lt;=tol_trade_inr),"PASS","FAIL")</f>
        <v/>
      </c>
    </row>
    <row r="157">
      <c r="A157" s="11" t="n">
        <v>44845</v>
      </c>
      <c r="B157" s="17" t="b">
        <v>0</v>
      </c>
      <c r="C157" s="9" t="n">
        <v>0</v>
      </c>
      <c r="D157" s="9" t="n">
        <v>0</v>
      </c>
      <c r="E157" s="9" t="n">
        <v>0</v>
      </c>
      <c r="F157" s="9" t="n">
        <v>0</v>
      </c>
      <c r="G157" s="9" t="n">
        <v>0</v>
      </c>
      <c r="H157" s="9" t="n">
        <v>4297.13</v>
      </c>
      <c r="I157" s="9" t="n">
        <v>-24938.05</v>
      </c>
      <c r="J157" s="9" t="n">
        <v>50056.63</v>
      </c>
      <c r="K157" s="9" t="n">
        <v>0</v>
      </c>
      <c r="L157" s="9" t="n">
        <v>29415.72</v>
      </c>
      <c r="M157" s="9" t="n">
        <v>191562308.94</v>
      </c>
      <c r="N157" s="18">
        <f>SUM(C157:J157)+$K157</f>
        <v/>
      </c>
      <c r="O157" s="18">
        <f>$N157-$L157</f>
        <v/>
      </c>
      <c r="P157" s="18">
        <f>$P156+$L157</f>
        <v/>
      </c>
      <c r="Q157" s="18">
        <f>$P157-$M157</f>
        <v/>
      </c>
      <c r="R157" s="8">
        <f>IF(AND(ABS($O157)&lt;=tol_trade_inr,ABS($Q157)&lt;=tol_trade_inr),"PASS","FAIL")</f>
        <v/>
      </c>
    </row>
    <row r="158">
      <c r="A158" s="11" t="n">
        <v>44846</v>
      </c>
      <c r="B158" s="17" t="b">
        <v>0</v>
      </c>
      <c r="C158" s="9" t="n">
        <v>0</v>
      </c>
      <c r="D158" s="9" t="n">
        <v>0</v>
      </c>
      <c r="E158" s="9" t="n">
        <v>0</v>
      </c>
      <c r="F158" s="9" t="n">
        <v>0</v>
      </c>
      <c r="G158" s="9" t="n">
        <v>0</v>
      </c>
      <c r="H158" s="9" t="n">
        <v>-1515.12</v>
      </c>
      <c r="I158" s="9" t="n">
        <v>0</v>
      </c>
      <c r="J158" s="9" t="n">
        <v>47767.43</v>
      </c>
      <c r="K158" s="9" t="n">
        <v>-0</v>
      </c>
      <c r="L158" s="9" t="n">
        <v>46252.31</v>
      </c>
      <c r="M158" s="9" t="n">
        <v>191608561.25</v>
      </c>
      <c r="N158" s="18">
        <f>SUM(C158:J158)+$K158</f>
        <v/>
      </c>
      <c r="O158" s="18">
        <f>$N158-$L158</f>
        <v/>
      </c>
      <c r="P158" s="18">
        <f>$P157+$L158</f>
        <v/>
      </c>
      <c r="Q158" s="18">
        <f>$P158-$M158</f>
        <v/>
      </c>
      <c r="R158" s="8">
        <f>IF(AND(ABS($O158)&lt;=tol_trade_inr,ABS($Q158)&lt;=tol_trade_inr),"PASS","FAIL")</f>
        <v/>
      </c>
    </row>
    <row r="159">
      <c r="A159" s="11" t="n">
        <v>44847</v>
      </c>
      <c r="B159" s="17" t="b">
        <v>0</v>
      </c>
      <c r="C159" s="9" t="n">
        <v>0</v>
      </c>
      <c r="D159" s="9" t="n">
        <v>0</v>
      </c>
      <c r="E159" s="9" t="n">
        <v>0</v>
      </c>
      <c r="F159" s="9" t="n">
        <v>0</v>
      </c>
      <c r="G159" s="9" t="n">
        <v>0</v>
      </c>
      <c r="H159" s="9" t="n">
        <v>3199.56</v>
      </c>
      <c r="I159" s="9" t="n">
        <v>0</v>
      </c>
      <c r="J159" s="9" t="n">
        <v>47780.34</v>
      </c>
      <c r="K159" s="9" t="n">
        <v>0</v>
      </c>
      <c r="L159" s="9" t="n">
        <v>50979.91</v>
      </c>
      <c r="M159" s="9" t="n">
        <v>191659541.16</v>
      </c>
      <c r="N159" s="18">
        <f>SUM(C159:J159)+$K159</f>
        <v/>
      </c>
      <c r="O159" s="18">
        <f>$N159-$L159</f>
        <v/>
      </c>
      <c r="P159" s="18">
        <f>$P158+$L159</f>
        <v/>
      </c>
      <c r="Q159" s="18">
        <f>$P159-$M159</f>
        <v/>
      </c>
      <c r="R159" s="8">
        <f>IF(AND(ABS($O159)&lt;=tol_trade_inr,ABS($Q159)&lt;=tol_trade_inr),"PASS","FAIL")</f>
        <v/>
      </c>
    </row>
    <row r="160">
      <c r="A160" s="11" t="n">
        <v>44848</v>
      </c>
      <c r="B160" s="17" t="b">
        <v>0</v>
      </c>
      <c r="C160" s="9" t="n">
        <v>0</v>
      </c>
      <c r="D160" s="9" t="n">
        <v>0</v>
      </c>
      <c r="E160" s="9" t="n">
        <v>0</v>
      </c>
      <c r="F160" s="9" t="n">
        <v>0</v>
      </c>
      <c r="G160" s="9" t="n">
        <v>0</v>
      </c>
      <c r="H160" s="9" t="n">
        <v>-2884.14</v>
      </c>
      <c r="I160" s="9" t="n">
        <v>0</v>
      </c>
      <c r="J160" s="9" t="n">
        <v>47754.96</v>
      </c>
      <c r="K160" s="9" t="n">
        <v>-0</v>
      </c>
      <c r="L160" s="9" t="n">
        <v>44870.82</v>
      </c>
      <c r="M160" s="9" t="n">
        <v>191704411.98</v>
      </c>
      <c r="N160" s="18">
        <f>SUM(C160:J160)+$K160</f>
        <v/>
      </c>
      <c r="O160" s="18">
        <f>$N160-$L160</f>
        <v/>
      </c>
      <c r="P160" s="18">
        <f>$P159+$L160</f>
        <v/>
      </c>
      <c r="Q160" s="18">
        <f>$P160-$M160</f>
        <v/>
      </c>
      <c r="R160" s="8">
        <f>IF(AND(ABS($O160)&lt;=tol_trade_inr,ABS($Q160)&lt;=tol_trade_inr),"PASS","FAIL")</f>
        <v/>
      </c>
    </row>
    <row r="161">
      <c r="A161" s="11" t="n">
        <v>44851</v>
      </c>
      <c r="B161" s="17" t="b">
        <v>0</v>
      </c>
      <c r="C161" s="9" t="n">
        <v>0</v>
      </c>
      <c r="D161" s="9" t="n">
        <v>0</v>
      </c>
      <c r="E161" s="9" t="n">
        <v>0</v>
      </c>
      <c r="F161" s="9" t="n">
        <v>0</v>
      </c>
      <c r="G161" s="9" t="n">
        <v>0</v>
      </c>
      <c r="H161" s="9" t="n">
        <v>425.68</v>
      </c>
      <c r="I161" s="9" t="n">
        <v>0</v>
      </c>
      <c r="J161" s="9" t="n">
        <v>156979.64</v>
      </c>
      <c r="K161" s="9" t="n">
        <v>0</v>
      </c>
      <c r="L161" s="9" t="n">
        <v>157405.32</v>
      </c>
      <c r="M161" s="9" t="n">
        <v>191861817.3</v>
      </c>
      <c r="N161" s="18">
        <f>SUM(C161:J161)+$K161</f>
        <v/>
      </c>
      <c r="O161" s="18">
        <f>$N161-$L161</f>
        <v/>
      </c>
      <c r="P161" s="18">
        <f>$P160+$L161</f>
        <v/>
      </c>
      <c r="Q161" s="18">
        <f>$P161-$M161</f>
        <v/>
      </c>
      <c r="R161" s="8">
        <f>IF(AND(ABS($O161)&lt;=tol_trade_inr,ABS($Q161)&lt;=tol_trade_inr),"PASS","FAIL")</f>
        <v/>
      </c>
    </row>
    <row r="162">
      <c r="A162" s="11" t="n">
        <v>44852</v>
      </c>
      <c r="B162" s="17" t="b">
        <v>0</v>
      </c>
      <c r="C162" s="9" t="n">
        <v>0</v>
      </c>
      <c r="D162" s="9" t="n">
        <v>0</v>
      </c>
      <c r="E162" s="9" t="n">
        <v>0</v>
      </c>
      <c r="F162" s="9" t="n">
        <v>0</v>
      </c>
      <c r="G162" s="9" t="n">
        <v>0</v>
      </c>
      <c r="H162" s="9" t="n">
        <v>-31.32</v>
      </c>
      <c r="I162" s="9" t="n">
        <v>0</v>
      </c>
      <c r="J162" s="9" t="n">
        <v>28260</v>
      </c>
      <c r="K162" s="9" t="n">
        <v>-0</v>
      </c>
      <c r="L162" s="9" t="n">
        <v>28228.68</v>
      </c>
      <c r="M162" s="9" t="n">
        <v>191890045.98</v>
      </c>
      <c r="N162" s="18">
        <f>SUM(C162:J162)+$K162</f>
        <v/>
      </c>
      <c r="O162" s="18">
        <f>$N162-$L162</f>
        <v/>
      </c>
      <c r="P162" s="18">
        <f>$P161+$L162</f>
        <v/>
      </c>
      <c r="Q162" s="18">
        <f>$P162-$M162</f>
        <v/>
      </c>
      <c r="R162" s="8">
        <f>IF(AND(ABS($O162)&lt;=tol_trade_inr,ABS($Q162)&lt;=tol_trade_inr),"PASS","FAIL")</f>
        <v/>
      </c>
    </row>
    <row r="163">
      <c r="A163" s="11" t="n">
        <v>44853</v>
      </c>
      <c r="B163" s="17" t="b">
        <v>0</v>
      </c>
      <c r="C163" s="9" t="n">
        <v>0</v>
      </c>
      <c r="D163" s="9" t="n">
        <v>0</v>
      </c>
      <c r="E163" s="9" t="n">
        <v>0</v>
      </c>
      <c r="F163" s="9" t="n">
        <v>0</v>
      </c>
      <c r="G163" s="9" t="n">
        <v>0</v>
      </c>
      <c r="H163" s="9" t="n">
        <v>-7115.63</v>
      </c>
      <c r="I163" s="9" t="n">
        <v>0</v>
      </c>
      <c r="J163" s="9" t="n">
        <v>28236.82</v>
      </c>
      <c r="K163" s="9" t="n">
        <v>0</v>
      </c>
      <c r="L163" s="9" t="n">
        <v>21121.19</v>
      </c>
      <c r="M163" s="9" t="n">
        <v>191911167.16</v>
      </c>
      <c r="N163" s="18">
        <f>SUM(C163:J163)+$K163</f>
        <v/>
      </c>
      <c r="O163" s="18">
        <f>$N163-$L163</f>
        <v/>
      </c>
      <c r="P163" s="18">
        <f>$P162+$L163</f>
        <v/>
      </c>
      <c r="Q163" s="18">
        <f>$P163-$M163</f>
        <v/>
      </c>
      <c r="R163" s="8">
        <f>IF(AND(ABS($O163)&lt;=tol_trade_inr,ABS($Q163)&lt;=tol_trade_inr),"PASS","FAIL")</f>
        <v/>
      </c>
    </row>
    <row r="164">
      <c r="A164" s="11" t="n">
        <v>44854</v>
      </c>
      <c r="B164" s="17" t="b">
        <v>0</v>
      </c>
      <c r="C164" s="9" t="n">
        <v>0</v>
      </c>
      <c r="D164" s="9" t="n">
        <v>0</v>
      </c>
      <c r="E164" s="9" t="n">
        <v>0</v>
      </c>
      <c r="F164" s="9" t="n">
        <v>0</v>
      </c>
      <c r="G164" s="9" t="n">
        <v>0</v>
      </c>
      <c r="H164" s="9" t="n">
        <v>2798.81</v>
      </c>
      <c r="I164" s="9" t="n">
        <v>0</v>
      </c>
      <c r="J164" s="9" t="n">
        <v>28234.11</v>
      </c>
      <c r="K164" s="9" t="n">
        <v>-0</v>
      </c>
      <c r="L164" s="9" t="n">
        <v>31032.92</v>
      </c>
      <c r="M164" s="9" t="n">
        <v>191942200.08</v>
      </c>
      <c r="N164" s="18">
        <f>SUM(C164:J164)+$K164</f>
        <v/>
      </c>
      <c r="O164" s="18">
        <f>$N164-$L164</f>
        <v/>
      </c>
      <c r="P164" s="18">
        <f>$P163+$L164</f>
        <v/>
      </c>
      <c r="Q164" s="18">
        <f>$P164-$M164</f>
        <v/>
      </c>
      <c r="R164" s="8">
        <f>IF(AND(ABS($O164)&lt;=tol_trade_inr,ABS($Q164)&lt;=tol_trade_inr),"PASS","FAIL")</f>
        <v/>
      </c>
    </row>
    <row r="165">
      <c r="A165" s="11" t="n">
        <v>44855</v>
      </c>
      <c r="B165" s="17" t="b">
        <v>0</v>
      </c>
      <c r="C165" s="9" t="n">
        <v>0</v>
      </c>
      <c r="D165" s="9" t="n">
        <v>0</v>
      </c>
      <c r="E165" s="9" t="n">
        <v>0</v>
      </c>
      <c r="F165" s="9" t="n">
        <v>0</v>
      </c>
      <c r="G165" s="9" t="n">
        <v>0</v>
      </c>
      <c r="H165" s="9" t="n">
        <v>-2242.08</v>
      </c>
      <c r="I165" s="9" t="n">
        <v>0</v>
      </c>
      <c r="J165" s="9" t="n">
        <v>28233.62</v>
      </c>
      <c r="K165" s="9" t="n">
        <v>0</v>
      </c>
      <c r="L165" s="9" t="n">
        <v>25991.54</v>
      </c>
      <c r="M165" s="9" t="n">
        <v>191968191.62</v>
      </c>
      <c r="N165" s="18">
        <f>SUM(C165:J165)+$K165</f>
        <v/>
      </c>
      <c r="O165" s="18">
        <f>$N165-$L165</f>
        <v/>
      </c>
      <c r="P165" s="18">
        <f>$P164+$L165</f>
        <v/>
      </c>
      <c r="Q165" s="18">
        <f>$P165-$M165</f>
        <v/>
      </c>
      <c r="R165" s="8">
        <f>IF(AND(ABS($O165)&lt;=tol_trade_inr,ABS($Q165)&lt;=tol_trade_inr),"PASS","FAIL")</f>
        <v/>
      </c>
    </row>
    <row r="166">
      <c r="A166" s="11" t="n">
        <v>44858</v>
      </c>
      <c r="B166" s="17" t="b">
        <v>0</v>
      </c>
      <c r="C166" s="9" t="n">
        <v>0</v>
      </c>
      <c r="D166" s="9" t="n">
        <v>0</v>
      </c>
      <c r="E166" s="9" t="n">
        <v>0</v>
      </c>
      <c r="F166" s="9" t="n">
        <v>0</v>
      </c>
      <c r="G166" s="9" t="n">
        <v>0</v>
      </c>
      <c r="H166" s="9" t="n">
        <v>1875.91</v>
      </c>
      <c r="I166" s="9" t="n">
        <v>0</v>
      </c>
      <c r="J166" s="9" t="n">
        <v>84703.13</v>
      </c>
      <c r="K166" s="9" t="n">
        <v>-0</v>
      </c>
      <c r="L166" s="9" t="n">
        <v>86579.03999999999</v>
      </c>
      <c r="M166" s="9" t="n">
        <v>192054770.66</v>
      </c>
      <c r="N166" s="18">
        <f>SUM(C166:J166)+$K166</f>
        <v/>
      </c>
      <c r="O166" s="18">
        <f>$N166-$L166</f>
        <v/>
      </c>
      <c r="P166" s="18">
        <f>$P165+$L166</f>
        <v/>
      </c>
      <c r="Q166" s="18">
        <f>$P166-$M166</f>
        <v/>
      </c>
      <c r="R166" s="8">
        <f>IF(AND(ABS($O166)&lt;=tol_trade_inr,ABS($Q166)&lt;=tol_trade_inr),"PASS","FAIL")</f>
        <v/>
      </c>
    </row>
    <row r="167">
      <c r="A167" s="11" t="n">
        <v>44859</v>
      </c>
      <c r="B167" s="17" t="b">
        <v>0</v>
      </c>
      <c r="C167" s="9" t="n">
        <v>0</v>
      </c>
      <c r="D167" s="9" t="n">
        <v>0</v>
      </c>
      <c r="E167" s="9" t="n">
        <v>0</v>
      </c>
      <c r="F167" s="9" t="n">
        <v>0</v>
      </c>
      <c r="G167" s="9" t="n">
        <v>0</v>
      </c>
      <c r="H167" s="9" t="n">
        <v>-238.06</v>
      </c>
      <c r="I167" s="9" t="n">
        <v>0</v>
      </c>
      <c r="J167" s="9" t="n">
        <v>238.06</v>
      </c>
      <c r="K167" s="9" t="n">
        <v>0</v>
      </c>
      <c r="L167" s="9" t="n">
        <v>0</v>
      </c>
      <c r="M167" s="9" t="n">
        <v>192054770.66</v>
      </c>
      <c r="N167" s="18">
        <f>SUM(C167:J167)+$K167</f>
        <v/>
      </c>
      <c r="O167" s="18">
        <f>$N167-$L167</f>
        <v/>
      </c>
      <c r="P167" s="18">
        <f>$P166+$L167</f>
        <v/>
      </c>
      <c r="Q167" s="18">
        <f>$P167-$M167</f>
        <v/>
      </c>
      <c r="R167" s="8">
        <f>IF(AND(ABS($O167)&lt;=tol_trade_inr,ABS($Q167)&lt;=tol_trade_inr),"PASS","FAIL")</f>
        <v/>
      </c>
    </row>
    <row r="168">
      <c r="A168" s="11" t="n">
        <v>44860</v>
      </c>
      <c r="B168" s="17" t="b">
        <v>0</v>
      </c>
      <c r="C168" s="9" t="n">
        <v>0</v>
      </c>
      <c r="D168" s="9" t="n">
        <v>0</v>
      </c>
      <c r="E168" s="9" t="n">
        <v>0</v>
      </c>
      <c r="F168" s="9" t="n">
        <v>0</v>
      </c>
      <c r="G168" s="9" t="n">
        <v>0</v>
      </c>
      <c r="H168" s="9" t="n">
        <v>0</v>
      </c>
      <c r="I168" s="9" t="n">
        <v>0</v>
      </c>
      <c r="J168" s="9" t="n">
        <v>0</v>
      </c>
      <c r="K168" s="9" t="n">
        <v>0</v>
      </c>
      <c r="L168" s="9" t="n">
        <v>0</v>
      </c>
      <c r="M168" s="9" t="n">
        <v>192054770.66</v>
      </c>
      <c r="N168" s="18">
        <f>SUM(C168:J168)+$K168</f>
        <v/>
      </c>
      <c r="O168" s="18">
        <f>$N168-$L168</f>
        <v/>
      </c>
      <c r="P168" s="18">
        <f>$P167+$L168</f>
        <v/>
      </c>
      <c r="Q168" s="18">
        <f>$P168-$M168</f>
        <v/>
      </c>
      <c r="R168" s="8">
        <f>IF(AND(ABS($O168)&lt;=tol_trade_inr,ABS($Q168)&lt;=tol_trade_inr),"PASS","FAIL")</f>
        <v/>
      </c>
    </row>
    <row r="169">
      <c r="A169" s="11" t="n">
        <v>44861</v>
      </c>
      <c r="B169" s="17" t="b">
        <v>0</v>
      </c>
      <c r="C169" s="9" t="n">
        <v>0</v>
      </c>
      <c r="D169" s="9" t="n">
        <v>0</v>
      </c>
      <c r="E169" s="9" t="n">
        <v>0</v>
      </c>
      <c r="F169" s="9" t="n">
        <v>0</v>
      </c>
      <c r="G169" s="9" t="n">
        <v>0</v>
      </c>
      <c r="H169" s="9" t="n">
        <v>0</v>
      </c>
      <c r="I169" s="9" t="n">
        <v>0</v>
      </c>
      <c r="J169" s="9" t="n">
        <v>0</v>
      </c>
      <c r="K169" s="9" t="n">
        <v>0</v>
      </c>
      <c r="L169" s="9" t="n">
        <v>0</v>
      </c>
      <c r="M169" s="9" t="n">
        <v>192054770.66</v>
      </c>
      <c r="N169" s="18">
        <f>SUM(C169:J169)+$K169</f>
        <v/>
      </c>
      <c r="O169" s="18">
        <f>$N169-$L169</f>
        <v/>
      </c>
      <c r="P169" s="18">
        <f>$P168+$L169</f>
        <v/>
      </c>
      <c r="Q169" s="18">
        <f>$P169-$M169</f>
        <v/>
      </c>
      <c r="R169" s="8">
        <f>IF(AND(ABS($O169)&lt;=tol_trade_inr,ABS($Q169)&lt;=tol_trade_inr),"PASS","FAIL")</f>
        <v/>
      </c>
    </row>
    <row r="170">
      <c r="A170" s="11" t="n">
        <v>44862</v>
      </c>
      <c r="B170" s="17" t="b">
        <v>0</v>
      </c>
      <c r="C170" s="9" t="n">
        <v>0</v>
      </c>
      <c r="D170" s="9" t="n">
        <v>0</v>
      </c>
      <c r="E170" s="9" t="n">
        <v>0</v>
      </c>
      <c r="F170" s="9" t="n">
        <v>0</v>
      </c>
      <c r="G170" s="9" t="n">
        <v>0</v>
      </c>
      <c r="H170" s="9" t="n">
        <v>0</v>
      </c>
      <c r="I170" s="9" t="n">
        <v>0</v>
      </c>
      <c r="J170" s="9" t="n">
        <v>0</v>
      </c>
      <c r="K170" s="9" t="n">
        <v>0</v>
      </c>
      <c r="L170" s="9" t="n">
        <v>0</v>
      </c>
      <c r="M170" s="9" t="n">
        <v>192054770.66</v>
      </c>
      <c r="N170" s="18">
        <f>SUM(C170:J170)+$K170</f>
        <v/>
      </c>
      <c r="O170" s="18">
        <f>$N170-$L170</f>
        <v/>
      </c>
      <c r="P170" s="18">
        <f>$P169+$L170</f>
        <v/>
      </c>
      <c r="Q170" s="18">
        <f>$P170-$M170</f>
        <v/>
      </c>
      <c r="R170" s="8">
        <f>IF(AND(ABS($O170)&lt;=tol_trade_inr,ABS($Q170)&lt;=tol_trade_inr),"PASS","FAIL")</f>
        <v/>
      </c>
    </row>
    <row r="171">
      <c r="A171" s="11" t="n">
        <v>44865</v>
      </c>
      <c r="B171" s="17" t="b">
        <v>0</v>
      </c>
      <c r="C171" s="9" t="n">
        <v>0</v>
      </c>
      <c r="D171" s="9" t="n">
        <v>0</v>
      </c>
      <c r="E171" s="9" t="n">
        <v>0</v>
      </c>
      <c r="F171" s="9" t="n">
        <v>0</v>
      </c>
      <c r="G171" s="9" t="n">
        <v>0</v>
      </c>
      <c r="H171" s="9" t="n">
        <v>0</v>
      </c>
      <c r="I171" s="9" t="n">
        <v>0</v>
      </c>
      <c r="J171" s="9" t="n">
        <v>0</v>
      </c>
      <c r="K171" s="9" t="n">
        <v>0</v>
      </c>
      <c r="L171" s="9" t="n">
        <v>0</v>
      </c>
      <c r="M171" s="9" t="n">
        <v>192054770.66</v>
      </c>
      <c r="N171" s="18">
        <f>SUM(C171:J171)+$K171</f>
        <v/>
      </c>
      <c r="O171" s="18">
        <f>$N171-$L171</f>
        <v/>
      </c>
      <c r="P171" s="18">
        <f>$P170+$L171</f>
        <v/>
      </c>
      <c r="Q171" s="18">
        <f>$P171-$M171</f>
        <v/>
      </c>
      <c r="R171" s="8">
        <f>IF(AND(ABS($O171)&lt;=tol_trade_inr,ABS($Q171)&lt;=tol_trade_inr),"PASS","FAIL")</f>
        <v/>
      </c>
    </row>
    <row r="174">
      <c r="A174" s="4" t="inlineStr">
        <is>
          <t>2. Lifetime P&amp;L by trade and factor (₹) — final cumulative values at HORIZON_END</t>
        </is>
      </c>
    </row>
    <row r="176" ht="30" customHeight="1">
      <c r="A176" s="5" t="inlineStr">
        <is>
          <t>trade_id</t>
        </is>
      </c>
      <c r="B176" s="5" t="inlineStr">
        <is>
          <t>new_deal</t>
        </is>
      </c>
      <c r="C176" s="5" t="inlineStr">
        <is>
          <t>lme_flat</t>
        </is>
      </c>
      <c r="D176" s="5" t="inlineStr">
        <is>
          <t>cross_exchange_basis</t>
        </is>
      </c>
      <c r="E176" s="5" t="inlineStr">
        <is>
          <t>grade_spread</t>
        </is>
      </c>
      <c r="F176" s="5" t="inlineStr">
        <is>
          <t>freight</t>
        </is>
      </c>
      <c r="G176" s="5" t="inlineStr">
        <is>
          <t>fx</t>
        </is>
      </c>
      <c r="H176" s="5" t="inlineStr">
        <is>
          <t>demurrage_penalty</t>
        </is>
      </c>
      <c r="I176" s="5" t="inlineStr">
        <is>
          <t>roll_term_structure</t>
        </is>
      </c>
      <c r="J176" s="5" t="inlineStr">
        <is>
          <t>residual</t>
        </is>
      </c>
      <c r="K176" s="5" t="inlineStr">
        <is>
          <t>cum_pnl_inr_py</t>
        </is>
      </c>
      <c r="L176" s="5" t="inlineStr">
        <is>
          <t>sum_buckets_inr</t>
        </is>
      </c>
      <c r="M176" s="5" t="inlineStr">
        <is>
          <t>diff_inr</t>
        </is>
      </c>
      <c r="N176" s="5" t="inlineStr">
        <is>
          <t>check</t>
        </is>
      </c>
    </row>
    <row r="177">
      <c r="A177" s="7" t="inlineStr">
        <is>
          <t>T01</t>
        </is>
      </c>
      <c r="B177" s="9" t="n">
        <v>21610083.26</v>
      </c>
      <c r="C177" s="9" t="n">
        <v>-11804490.98</v>
      </c>
      <c r="D177" s="9" t="n">
        <v>0</v>
      </c>
      <c r="E177" s="9" t="n">
        <v>47894661.95</v>
      </c>
      <c r="F177" s="9" t="n">
        <v>1018141.45</v>
      </c>
      <c r="G177" s="9" t="n">
        <v>6590884.050000001</v>
      </c>
      <c r="H177" s="9" t="n">
        <v>0</v>
      </c>
      <c r="I177" s="9" t="n">
        <v>-1025455.359999999</v>
      </c>
      <c r="J177" s="9" t="n">
        <v>0</v>
      </c>
      <c r="K177" s="9" t="n">
        <v>64283824.43</v>
      </c>
      <c r="L177" s="18">
        <f>SUM(B177:I177)+$J177</f>
        <v/>
      </c>
      <c r="M177" s="18">
        <f>$L177-$K177</f>
        <v/>
      </c>
      <c r="N177" s="8">
        <f>IF(ABS($M177)&lt;=tol_trade_inr,"PASS","FAIL")</f>
        <v/>
      </c>
    </row>
    <row r="178">
      <c r="A178" s="7" t="inlineStr">
        <is>
          <t>T02</t>
        </is>
      </c>
      <c r="B178" s="9" t="n">
        <v>37977856.12</v>
      </c>
      <c r="C178" s="9" t="n">
        <v>6503810.390000001</v>
      </c>
      <c r="D178" s="9" t="n">
        <v>0</v>
      </c>
      <c r="E178" s="9" t="n">
        <v>0</v>
      </c>
      <c r="F178" s="9" t="n">
        <v>0</v>
      </c>
      <c r="G178" s="9" t="n">
        <v>3309986.59</v>
      </c>
      <c r="H178" s="9" t="n">
        <v>0</v>
      </c>
      <c r="I178" s="9" t="n">
        <v>2755278.35</v>
      </c>
      <c r="J178" s="9" t="n">
        <v>0</v>
      </c>
      <c r="K178" s="9" t="n">
        <v>50546931.45</v>
      </c>
      <c r="L178" s="18">
        <f>SUM(B178:I178)+$J178</f>
        <v/>
      </c>
      <c r="M178" s="18">
        <f>$L178-$K178</f>
        <v/>
      </c>
      <c r="N178" s="8">
        <f>IF(ABS($M178)&lt;=tol_trade_inr,"PASS","FAIL")</f>
        <v/>
      </c>
    </row>
    <row r="179">
      <c r="A179" s="7" t="inlineStr">
        <is>
          <t>T03</t>
        </is>
      </c>
      <c r="B179" s="9" t="n">
        <v>13083120.88</v>
      </c>
      <c r="C179" s="9" t="n">
        <v>-5823190.43</v>
      </c>
      <c r="D179" s="9" t="n">
        <v>0</v>
      </c>
      <c r="E179" s="9" t="n">
        <v>21282419.86</v>
      </c>
      <c r="F179" s="9" t="n">
        <v>0</v>
      </c>
      <c r="G179" s="9" t="n">
        <v>681482.2100000001</v>
      </c>
      <c r="H179" s="9" t="n">
        <v>0</v>
      </c>
      <c r="I179" s="9" t="n">
        <v>-136426.8099999999</v>
      </c>
      <c r="J179" s="9" t="n">
        <v>0</v>
      </c>
      <c r="K179" s="9" t="n">
        <v>29087405.69</v>
      </c>
      <c r="L179" s="18">
        <f>SUM(B179:I179)+$J179</f>
        <v/>
      </c>
      <c r="M179" s="18">
        <f>$L179-$K179</f>
        <v/>
      </c>
      <c r="N179" s="8">
        <f>IF(ABS($M179)&lt;=tol_trade_inr,"PASS","FAIL")</f>
        <v/>
      </c>
    </row>
    <row r="180">
      <c r="A180" s="7" t="inlineStr">
        <is>
          <t>T04</t>
        </is>
      </c>
      <c r="B180" s="9" t="n">
        <v>2803574.99</v>
      </c>
      <c r="C180" s="9" t="n">
        <v>-21459682.43</v>
      </c>
      <c r="D180" s="9" t="n">
        <v>0</v>
      </c>
      <c r="E180" s="9" t="n">
        <v>26743174.43</v>
      </c>
      <c r="F180" s="9" t="n">
        <v>-2989.81</v>
      </c>
      <c r="G180" s="9" t="n">
        <v>961059.1799999999</v>
      </c>
      <c r="H180" s="9" t="n">
        <v>0</v>
      </c>
      <c r="I180" s="9" t="n">
        <v>-2562549.32</v>
      </c>
      <c r="J180" s="9" t="n">
        <v>0</v>
      </c>
      <c r="K180" s="9" t="n">
        <v>6482587.08</v>
      </c>
      <c r="L180" s="18">
        <f>SUM(B180:I180)+$J180</f>
        <v/>
      </c>
      <c r="M180" s="18">
        <f>$L180-$K180</f>
        <v/>
      </c>
      <c r="N180" s="8">
        <f>IF(ABS($M180)&lt;=tol_trade_inr,"PASS","FAIL")</f>
        <v/>
      </c>
    </row>
    <row r="181">
      <c r="A181" s="7" t="inlineStr">
        <is>
          <t>T05</t>
        </is>
      </c>
      <c r="B181" s="9" t="n">
        <v>45493781.85</v>
      </c>
      <c r="C181" s="9" t="n">
        <v>-1300544.999999999</v>
      </c>
      <c r="D181" s="9" t="n">
        <v>0</v>
      </c>
      <c r="E181" s="9" t="n">
        <v>0</v>
      </c>
      <c r="F181" s="9" t="n">
        <v>0</v>
      </c>
      <c r="G181" s="9" t="n">
        <v>980578.2900000004</v>
      </c>
      <c r="H181" s="9" t="n">
        <v>0</v>
      </c>
      <c r="I181" s="9" t="n">
        <v>-11521856.84</v>
      </c>
      <c r="J181" s="9" t="n">
        <v>0</v>
      </c>
      <c r="K181" s="9" t="n">
        <v>33651958.3</v>
      </c>
      <c r="L181" s="18">
        <f>SUM(B181:I181)+$J181</f>
        <v/>
      </c>
      <c r="M181" s="18">
        <f>$L181-$K181</f>
        <v/>
      </c>
      <c r="N181" s="8">
        <f>IF(ABS($M181)&lt;=tol_trade_inr,"PASS","FAIL")</f>
        <v/>
      </c>
    </row>
    <row r="182">
      <c r="A182" s="7" t="inlineStr">
        <is>
          <t>T06</t>
        </is>
      </c>
      <c r="B182" s="9" t="n">
        <v>4323313.159999999</v>
      </c>
      <c r="C182" s="9" t="n">
        <v>-5591130.73</v>
      </c>
      <c r="D182" s="9" t="n">
        <v>0</v>
      </c>
      <c r="E182" s="9" t="n">
        <v>10137470.55</v>
      </c>
      <c r="F182" s="9" t="n">
        <v>0</v>
      </c>
      <c r="G182" s="9" t="n">
        <v>-1155038.25</v>
      </c>
      <c r="H182" s="9" t="n">
        <v>0</v>
      </c>
      <c r="I182" s="9" t="n">
        <v>904479.5499999998</v>
      </c>
      <c r="J182" s="9" t="n">
        <v>0</v>
      </c>
      <c r="K182" s="9" t="n">
        <v>8619094.26</v>
      </c>
      <c r="L182" s="18">
        <f>SUM(B182:I182)+$J182</f>
        <v/>
      </c>
      <c r="M182" s="18">
        <f>$L182-$K182</f>
        <v/>
      </c>
      <c r="N182" s="8">
        <f>IF(ABS($M182)&lt;=tol_trade_inr,"PASS","FAIL")</f>
        <v/>
      </c>
    </row>
    <row r="183">
      <c r="A183" s="7" t="inlineStr">
        <is>
          <t>T07</t>
        </is>
      </c>
      <c r="B183" s="9" t="n">
        <v>10411293.01</v>
      </c>
      <c r="C183" s="9" t="n">
        <v>8926106.129999999</v>
      </c>
      <c r="D183" s="9" t="n">
        <v>0</v>
      </c>
      <c r="E183" s="9" t="n">
        <v>7437655.52</v>
      </c>
      <c r="F183" s="9" t="n">
        <v>152641.53</v>
      </c>
      <c r="G183" s="9" t="n">
        <v>-730412.6499999999</v>
      </c>
      <c r="H183" s="9" t="n">
        <v>-1556205.11</v>
      </c>
      <c r="I183" s="9" t="n">
        <v>-23579969.3</v>
      </c>
      <c r="J183" s="9" t="n">
        <v>0</v>
      </c>
      <c r="K183" s="9" t="n">
        <v>1061109.02</v>
      </c>
      <c r="L183" s="18">
        <f>SUM(B183:I183)+$J183</f>
        <v/>
      </c>
      <c r="M183" s="18">
        <f>$L183-$K183</f>
        <v/>
      </c>
      <c r="N183" s="8">
        <f>IF(ABS($M183)&lt;=tol_trade_inr,"PASS","FAIL")</f>
        <v/>
      </c>
    </row>
    <row r="184">
      <c r="A184" s="7" t="inlineStr">
        <is>
          <t>T08</t>
        </is>
      </c>
      <c r="B184" s="9" t="n">
        <v>20103994.38</v>
      </c>
      <c r="C184" s="9" t="n">
        <v>-8631499.879999999</v>
      </c>
      <c r="D184" s="9" t="n">
        <v>0</v>
      </c>
      <c r="E184" s="9" t="n">
        <v>-10922006.56</v>
      </c>
      <c r="F184" s="9" t="n">
        <v>0</v>
      </c>
      <c r="G184" s="9" t="n">
        <v>4381105.300000001</v>
      </c>
      <c r="H184" s="9" t="n">
        <v>-3690272.49</v>
      </c>
      <c r="I184" s="9" t="n">
        <v>-12967910.55</v>
      </c>
      <c r="J184" s="9" t="n">
        <v>0</v>
      </c>
      <c r="K184" s="9" t="n">
        <v>-11726589.84</v>
      </c>
      <c r="L184" s="18">
        <f>SUM(B184:I184)+$J184</f>
        <v/>
      </c>
      <c r="M184" s="18">
        <f>$L184-$K184</f>
        <v/>
      </c>
      <c r="N184" s="8">
        <f>IF(ABS($M184)&lt;=tol_trade_inr,"PASS","FAIL")</f>
        <v/>
      </c>
    </row>
    <row r="185">
      <c r="A185" s="7" t="inlineStr">
        <is>
          <t>T09</t>
        </is>
      </c>
      <c r="B185" s="9" t="n">
        <v>9434584.68</v>
      </c>
      <c r="C185" s="9" t="n">
        <v>9222634.649999999</v>
      </c>
      <c r="D185" s="9" t="n">
        <v>0</v>
      </c>
      <c r="E185" s="9" t="n">
        <v>747701.6799999999</v>
      </c>
      <c r="F185" s="9" t="n">
        <v>0</v>
      </c>
      <c r="G185" s="9" t="n">
        <v>-891548.58</v>
      </c>
      <c r="H185" s="9" t="n">
        <v>0</v>
      </c>
      <c r="I185" s="9" t="n">
        <v>-8464922.220000001</v>
      </c>
      <c r="J185" s="9" t="n">
        <v>0</v>
      </c>
      <c r="K185" s="9" t="n">
        <v>10048450.26</v>
      </c>
      <c r="L185" s="18">
        <f>SUM(B185:I185)+$J185</f>
        <v/>
      </c>
      <c r="M185" s="18">
        <f>$L185-$K185</f>
        <v/>
      </c>
      <c r="N185" s="8">
        <f>IF(ABS($M185)&lt;=tol_trade_inr,"PASS","FAIL")</f>
        <v/>
      </c>
    </row>
    <row r="186">
      <c r="A186" s="7" t="inlineStr">
        <is>
          <t>BOOK (Σ trades, formula)</t>
        </is>
      </c>
      <c r="B186" s="8">
        <f>SUM(B177:B185)</f>
        <v/>
      </c>
      <c r="C186" s="8">
        <f>SUM(C177:C185)</f>
        <v/>
      </c>
      <c r="D186" s="8">
        <f>SUM(D177:D185)</f>
        <v/>
      </c>
      <c r="E186" s="8">
        <f>SUM(E177:E185)</f>
        <v/>
      </c>
      <c r="F186" s="8">
        <f>SUM(F177:F185)</f>
        <v/>
      </c>
      <c r="G186" s="8">
        <f>SUM(G177:G185)</f>
        <v/>
      </c>
      <c r="H186" s="8">
        <f>SUM(H177:H185)</f>
        <v/>
      </c>
      <c r="I186" s="8">
        <f>SUM(I177:I185)</f>
        <v/>
      </c>
      <c r="J186" s="8">
        <f>SUM(J177:J185)</f>
        <v/>
      </c>
      <c r="K186" s="8">
        <f>SUM(K177:K185)</f>
        <v/>
      </c>
      <c r="L186" s="18">
        <f>SUM(B186:I186)+$J186</f>
        <v/>
      </c>
      <c r="M186" s="18">
        <f>SUM(B186:I186)+$J186-$K186</f>
        <v/>
      </c>
      <c r="N186" s="8">
        <f>IF(ABS($M186)&lt;=tol_trade_inr,"PASS","FAIL")</f>
        <v/>
      </c>
    </row>
    <row r="189">
      <c r="A189" s="4" t="inlineStr">
        <is>
          <t>3a. Worked chain — short 100 MCX lots, 07 → 08-Mar-2022 (design §6.3)</t>
        </is>
      </c>
    </row>
    <row r="190">
      <c r="A190" s="3" t="inlineStr">
        <is>
          <t>Position value = lots × lot_mt × 1,000 kg × F, where F is the duty-paid import-parity price carried to the contract month's panel expiry. Each step swaps one block of the market state and re-prices; the bucket is the change. (b), (c), (d) and (f) are zero for a futures leg — a panel PROXY day has zero cross-exchange basis by construction, and a futures position has no grade, freight or event exposure.</t>
        </is>
      </c>
    </row>
    <row r="192" ht="30" customHeight="1">
      <c r="A192" s="5" t="inlineStr">
        <is>
          <t>step</t>
        </is>
      </c>
      <c r="B192" s="5" t="inlineStr">
        <is>
          <t>bucket</t>
        </is>
      </c>
      <c r="C192" s="5" t="inlineStr">
        <is>
          <t>block_swapped</t>
        </is>
      </c>
      <c r="D192" s="5" t="inlineStr">
        <is>
          <t>cash_src_date</t>
        </is>
      </c>
      <c r="E192" s="5" t="inlineStr">
        <is>
          <t>fx_src_date</t>
        </is>
      </c>
      <c r="F192" s="5" t="inlineStr">
        <is>
          <t>rate_src_date</t>
        </is>
      </c>
      <c r="G192" s="5" t="inlineStr">
        <is>
          <t>clock_date</t>
        </is>
      </c>
      <c r="H192" s="5" t="inlineStr">
        <is>
          <t>lots_signed</t>
        </is>
      </c>
      <c r="I192" s="5" t="inlineStr">
        <is>
          <t>lot_mt</t>
        </is>
      </c>
      <c r="J192" s="5" t="inlineStr">
        <is>
          <t>contract_month</t>
        </is>
      </c>
      <c r="K192" s="5" t="inlineStr">
        <is>
          <t>lme_cash_usd_t</t>
        </is>
      </c>
      <c r="L192" s="5" t="inlineStr">
        <is>
          <t>usdinr</t>
        </is>
      </c>
      <c r="M192" s="5" t="inlineStr">
        <is>
          <t>inr_rate_3m_pa</t>
        </is>
      </c>
      <c r="N192" s="5" t="inlineStr">
        <is>
          <t>expiry_date</t>
        </is>
      </c>
      <c r="O192" s="5" t="inlineStr">
        <is>
          <t>dte_days</t>
        </is>
      </c>
      <c r="P192" s="5" t="inlineStr">
        <is>
          <t>mcx_price_inr_kg</t>
        </is>
      </c>
      <c r="Q192" s="5" t="inlineStr">
        <is>
          <t>position_value_inr</t>
        </is>
      </c>
      <c r="R192" s="5" t="inlineStr">
        <is>
          <t>bucket_inr</t>
        </is>
      </c>
      <c r="S192" s="5" t="inlineStr">
        <is>
          <t>py_bucket_inr</t>
        </is>
      </c>
      <c r="T192" s="5" t="inlineStr">
        <is>
          <t>diff_inr</t>
        </is>
      </c>
      <c r="U192" s="5" t="inlineStr">
        <is>
          <t>check</t>
        </is>
      </c>
    </row>
    <row r="193">
      <c r="A193" s="7" t="n">
        <v>0</v>
      </c>
      <c r="B193" s="7" t="inlineStr">
        <is>
          <t>—</t>
        </is>
      </c>
      <c r="C193" s="7" t="inlineStr">
        <is>
          <t>state at t-1</t>
        </is>
      </c>
      <c r="D193" s="12" t="n">
        <v>44627</v>
      </c>
      <c r="E193" s="12" t="n">
        <v>44627</v>
      </c>
      <c r="F193" s="12" t="n">
        <v>44627</v>
      </c>
      <c r="G193" s="12" t="n">
        <v>44627</v>
      </c>
      <c r="H193" s="6" t="n">
        <v>-100</v>
      </c>
      <c r="I193" s="13" t="n">
        <v>5</v>
      </c>
      <c r="J193" s="6" t="n">
        <v>202203</v>
      </c>
      <c r="K193" s="16">
        <f>INDEX(Market_Daily!$B$6:$B$256,MATCH($D193,Market_Daily!$A$6:$A$256,0))</f>
        <v/>
      </c>
      <c r="L193" s="16">
        <f>INDEX(Market_Daily!$F$6:$F$256,MATCH($E193,Market_Daily!$A$6:$A$256,0))</f>
        <v/>
      </c>
      <c r="M193" s="15">
        <f>INDEX(Market_Daily!$I$6:$I$256,MATCH($F193,Market_Daily!$A$6:$A$256,0))</f>
        <v/>
      </c>
      <c r="N193" s="26">
        <f>INDEX(mcx_expiries,MATCH($J193,mcx_months,0))</f>
        <v/>
      </c>
      <c r="O193" s="19">
        <f>MAX(0,$N193-$G193)</f>
        <v/>
      </c>
      <c r="P193" s="16">
        <f>($K193*$L193/kg_per_mt*(1+bcd_primary_al_hs7601*(1+sws_rate_on_bcd))+mcx_domestic_premium_inr_kg)*(1+$M193*$O193/day_count_inr)</f>
        <v/>
      </c>
      <c r="Q193" s="18">
        <f>$H193*$I193*kg_per_mt*$P193</f>
        <v/>
      </c>
      <c r="R193" s="18">
        <f>0</f>
        <v/>
      </c>
      <c r="S193" s="23" t="n">
        <v>0</v>
      </c>
      <c r="T193" s="18">
        <f>$R193-$S193</f>
        <v/>
      </c>
      <c r="U193" s="8">
        <f>IF(ABS($T193)&lt;=tol_trade_inr,"PASS","FAIL")</f>
        <v/>
      </c>
    </row>
    <row r="194">
      <c r="A194" s="7" t="n">
        <v>1</v>
      </c>
      <c r="B194" s="7" t="inlineStr">
        <is>
          <t>lme_flat</t>
        </is>
      </c>
      <c r="C194" s="7" t="inlineStr">
        <is>
          <t>lme_cash_usd_t</t>
        </is>
      </c>
      <c r="D194" s="12" t="n">
        <v>44628</v>
      </c>
      <c r="E194" s="12" t="n">
        <v>44627</v>
      </c>
      <c r="F194" s="12" t="n">
        <v>44627</v>
      </c>
      <c r="G194" s="12" t="n">
        <v>44627</v>
      </c>
      <c r="H194" s="6" t="n">
        <v>-100</v>
      </c>
      <c r="I194" s="13" t="n">
        <v>5</v>
      </c>
      <c r="J194" s="6" t="n">
        <v>202203</v>
      </c>
      <c r="K194" s="16">
        <f>INDEX(Market_Daily!$B$6:$B$256,MATCH($D194,Market_Daily!$A$6:$A$256,0))</f>
        <v/>
      </c>
      <c r="L194" s="16">
        <f>INDEX(Market_Daily!$F$6:$F$256,MATCH($E194,Market_Daily!$A$6:$A$256,0))</f>
        <v/>
      </c>
      <c r="M194" s="15">
        <f>INDEX(Market_Daily!$I$6:$I$256,MATCH($F194,Market_Daily!$A$6:$A$256,0))</f>
        <v/>
      </c>
      <c r="N194" s="26">
        <f>INDEX(mcx_expiries,MATCH($J194,mcx_months,0))</f>
        <v/>
      </c>
      <c r="O194" s="19">
        <f>MAX(0,$N194-$G194)</f>
        <v/>
      </c>
      <c r="P194" s="16">
        <f>($K194*$L194/kg_per_mt*(1+bcd_primary_al_hs7601*(1+sws_rate_on_bcd))+mcx_domestic_premium_inr_kg)*(1+$M194*$O194/day_count_inr)</f>
        <v/>
      </c>
      <c r="Q194" s="18">
        <f>$H194*$I194*kg_per_mt*$P194</f>
        <v/>
      </c>
      <c r="R194" s="18">
        <f>$Q194-$Q193</f>
        <v/>
      </c>
      <c r="S194" s="23" t="n">
        <v>20202398.0460562</v>
      </c>
      <c r="T194" s="18">
        <f>$R194-$S194</f>
        <v/>
      </c>
      <c r="U194" s="8">
        <f>IF(ABS($T194)&lt;=tol_trade_inr,"PASS","FAIL")</f>
        <v/>
      </c>
    </row>
    <row r="195">
      <c r="A195" s="7" t="n">
        <v>2</v>
      </c>
      <c r="B195" s="7" t="inlineStr">
        <is>
          <t>cross_exchange_basis</t>
        </is>
      </c>
      <c r="C195" s="7" t="inlineStr">
        <is>
          <t>mcx basis + domestic premium</t>
        </is>
      </c>
      <c r="D195" s="12" t="n">
        <v>44628</v>
      </c>
      <c r="E195" s="12" t="n">
        <v>44627</v>
      </c>
      <c r="F195" s="12" t="n">
        <v>44627</v>
      </c>
      <c r="G195" s="12" t="n">
        <v>44627</v>
      </c>
      <c r="H195" s="6" t="n">
        <v>-100</v>
      </c>
      <c r="I195" s="13" t="n">
        <v>5</v>
      </c>
      <c r="J195" s="6" t="n">
        <v>202203</v>
      </c>
      <c r="K195" s="16">
        <f>INDEX(Market_Daily!$B$6:$B$256,MATCH($D195,Market_Daily!$A$6:$A$256,0))</f>
        <v/>
      </c>
      <c r="L195" s="16">
        <f>INDEX(Market_Daily!$F$6:$F$256,MATCH($E195,Market_Daily!$A$6:$A$256,0))</f>
        <v/>
      </c>
      <c r="M195" s="15">
        <f>INDEX(Market_Daily!$I$6:$I$256,MATCH($F195,Market_Daily!$A$6:$A$256,0))</f>
        <v/>
      </c>
      <c r="N195" s="26">
        <f>INDEX(mcx_expiries,MATCH($J195,mcx_months,0))</f>
        <v/>
      </c>
      <c r="O195" s="19">
        <f>MAX(0,$N195-$G195)</f>
        <v/>
      </c>
      <c r="P195" s="16">
        <f>($K195*$L195/kg_per_mt*(1+bcd_primary_al_hs7601*(1+sws_rate_on_bcd))+mcx_domestic_premium_inr_kg)*(1+$M195*$O195/day_count_inr)</f>
        <v/>
      </c>
      <c r="Q195" s="18">
        <f>$H195*$I195*kg_per_mt*$P195</f>
        <v/>
      </c>
      <c r="R195" s="18">
        <f>$Q195-$Q194</f>
        <v/>
      </c>
      <c r="S195" s="23" t="n">
        <v>-0</v>
      </c>
      <c r="T195" s="18">
        <f>$R195-$S195</f>
        <v/>
      </c>
      <c r="U195" s="8">
        <f>IF(ABS($T195)&lt;=tol_trade_inr,"PASS","FAIL")</f>
        <v/>
      </c>
    </row>
    <row r="196">
      <c r="A196" s="7" t="n">
        <v>3</v>
      </c>
      <c r="B196" s="7" t="inlineStr">
        <is>
          <t>grade_spread</t>
        </is>
      </c>
      <c r="C196" s="7" t="inlineStr">
        <is>
          <t>grade_factor_frac</t>
        </is>
      </c>
      <c r="D196" s="12" t="n">
        <v>44628</v>
      </c>
      <c r="E196" s="12" t="n">
        <v>44627</v>
      </c>
      <c r="F196" s="12" t="n">
        <v>44627</v>
      </c>
      <c r="G196" s="12" t="n">
        <v>44627</v>
      </c>
      <c r="H196" s="6" t="n">
        <v>-100</v>
      </c>
      <c r="I196" s="13" t="n">
        <v>5</v>
      </c>
      <c r="J196" s="6" t="n">
        <v>202203</v>
      </c>
      <c r="K196" s="16">
        <f>INDEX(Market_Daily!$B$6:$B$256,MATCH($D196,Market_Daily!$A$6:$A$256,0))</f>
        <v/>
      </c>
      <c r="L196" s="16">
        <f>INDEX(Market_Daily!$F$6:$F$256,MATCH($E196,Market_Daily!$A$6:$A$256,0))</f>
        <v/>
      </c>
      <c r="M196" s="15">
        <f>INDEX(Market_Daily!$I$6:$I$256,MATCH($F196,Market_Daily!$A$6:$A$256,0))</f>
        <v/>
      </c>
      <c r="N196" s="26">
        <f>INDEX(mcx_expiries,MATCH($J196,mcx_months,0))</f>
        <v/>
      </c>
      <c r="O196" s="19">
        <f>MAX(0,$N196-$G196)</f>
        <v/>
      </c>
      <c r="P196" s="16">
        <f>($K196*$L196/kg_per_mt*(1+bcd_primary_al_hs7601*(1+sws_rate_on_bcd))+mcx_domestic_premium_inr_kg)*(1+$M196*$O196/day_count_inr)</f>
        <v/>
      </c>
      <c r="Q196" s="18">
        <f>$H196*$I196*kg_per_mt*$P196</f>
        <v/>
      </c>
      <c r="R196" s="18">
        <f>$Q196-$Q195</f>
        <v/>
      </c>
      <c r="S196" s="23" t="n">
        <v>-0</v>
      </c>
      <c r="T196" s="18">
        <f>$R196-$S196</f>
        <v/>
      </c>
      <c r="U196" s="8">
        <f>IF(ABS($T196)&lt;=tol_trade_inr,"PASS","FAIL")</f>
        <v/>
      </c>
    </row>
    <row r="197">
      <c r="A197" s="7" t="n">
        <v>4</v>
      </c>
      <c r="B197" s="7" t="inlineStr">
        <is>
          <t>freight</t>
        </is>
      </c>
      <c r="C197" s="7" t="inlineStr">
        <is>
          <t>freight_usd_t</t>
        </is>
      </c>
      <c r="D197" s="12" t="n">
        <v>44628</v>
      </c>
      <c r="E197" s="12" t="n">
        <v>44627</v>
      </c>
      <c r="F197" s="12" t="n">
        <v>44627</v>
      </c>
      <c r="G197" s="12" t="n">
        <v>44627</v>
      </c>
      <c r="H197" s="6" t="n">
        <v>-100</v>
      </c>
      <c r="I197" s="13" t="n">
        <v>5</v>
      </c>
      <c r="J197" s="6" t="n">
        <v>202203</v>
      </c>
      <c r="K197" s="16">
        <f>INDEX(Market_Daily!$B$6:$B$256,MATCH($D197,Market_Daily!$A$6:$A$256,0))</f>
        <v/>
      </c>
      <c r="L197" s="16">
        <f>INDEX(Market_Daily!$F$6:$F$256,MATCH($E197,Market_Daily!$A$6:$A$256,0))</f>
        <v/>
      </c>
      <c r="M197" s="15">
        <f>INDEX(Market_Daily!$I$6:$I$256,MATCH($F197,Market_Daily!$A$6:$A$256,0))</f>
        <v/>
      </c>
      <c r="N197" s="26">
        <f>INDEX(mcx_expiries,MATCH($J197,mcx_months,0))</f>
        <v/>
      </c>
      <c r="O197" s="19">
        <f>MAX(0,$N197-$G197)</f>
        <v/>
      </c>
      <c r="P197" s="16">
        <f>($K197*$L197/kg_per_mt*(1+bcd_primary_al_hs7601*(1+sws_rate_on_bcd))+mcx_domestic_premium_inr_kg)*(1+$M197*$O197/day_count_inr)</f>
        <v/>
      </c>
      <c r="Q197" s="18">
        <f>$H197*$I197*kg_per_mt*$P197</f>
        <v/>
      </c>
      <c r="R197" s="18">
        <f>$Q197-$Q196</f>
        <v/>
      </c>
      <c r="S197" s="23" t="n">
        <v>-0</v>
      </c>
      <c r="T197" s="18">
        <f>$R197-$S197</f>
        <v/>
      </c>
      <c r="U197" s="8">
        <f>IF(ABS($T197)&lt;=tol_trade_inr,"PASS","FAIL")</f>
        <v/>
      </c>
    </row>
    <row r="198">
      <c r="A198" s="7" t="n">
        <v>5</v>
      </c>
      <c r="B198" s="7" t="inlineStr">
        <is>
          <t>fx</t>
        </is>
      </c>
      <c r="C198" s="7" t="inlineStr">
        <is>
          <t>usdinr + customs_usdinr_import</t>
        </is>
      </c>
      <c r="D198" s="12" t="n">
        <v>44628</v>
      </c>
      <c r="E198" s="12" t="n">
        <v>44628</v>
      </c>
      <c r="F198" s="12" t="n">
        <v>44627</v>
      </c>
      <c r="G198" s="12" t="n">
        <v>44627</v>
      </c>
      <c r="H198" s="6" t="n">
        <v>-100</v>
      </c>
      <c r="I198" s="13" t="n">
        <v>5</v>
      </c>
      <c r="J198" s="6" t="n">
        <v>202203</v>
      </c>
      <c r="K198" s="16">
        <f>INDEX(Market_Daily!$B$6:$B$256,MATCH($D198,Market_Daily!$A$6:$A$256,0))</f>
        <v/>
      </c>
      <c r="L198" s="16">
        <f>INDEX(Market_Daily!$F$6:$F$256,MATCH($E198,Market_Daily!$A$6:$A$256,0))</f>
        <v/>
      </c>
      <c r="M198" s="15">
        <f>INDEX(Market_Daily!$I$6:$I$256,MATCH($F198,Market_Daily!$A$6:$A$256,0))</f>
        <v/>
      </c>
      <c r="N198" s="26">
        <f>INDEX(mcx_expiries,MATCH($J198,mcx_months,0))</f>
        <v/>
      </c>
      <c r="O198" s="19">
        <f>MAX(0,$N198-$G198)</f>
        <v/>
      </c>
      <c r="P198" s="16">
        <f>($K198*$L198/kg_per_mt*(1+bcd_primary_al_hs7601*(1+sws_rate_on_bcd))+mcx_domestic_premium_inr_kg)*(1+$M198*$O198/day_count_inr)</f>
        <v/>
      </c>
      <c r="Q198" s="18">
        <f>$H198*$I198*kg_per_mt*$P198</f>
        <v/>
      </c>
      <c r="R198" s="18">
        <f>$Q198-$Q197</f>
        <v/>
      </c>
      <c r="S198" s="23" t="n">
        <v>-234570.2781084356</v>
      </c>
      <c r="T198" s="18">
        <f>$R198-$S198</f>
        <v/>
      </c>
      <c r="U198" s="8">
        <f>IF(ABS($T198)&lt;=tol_trade_inr,"PASS","FAIL")</f>
        <v/>
      </c>
    </row>
    <row r="199">
      <c r="A199" s="7" t="n">
        <v>6</v>
      </c>
      <c r="B199" s="7" t="inlineStr">
        <is>
          <t>demurrage_penalty</t>
        </is>
      </c>
      <c r="C199" s="7" t="inlineStr">
        <is>
          <t>events-as-of</t>
        </is>
      </c>
      <c r="D199" s="12" t="n">
        <v>44628</v>
      </c>
      <c r="E199" s="12" t="n">
        <v>44628</v>
      </c>
      <c r="F199" s="12" t="n">
        <v>44627</v>
      </c>
      <c r="G199" s="12" t="n">
        <v>44627</v>
      </c>
      <c r="H199" s="6" t="n">
        <v>-100</v>
      </c>
      <c r="I199" s="13" t="n">
        <v>5</v>
      </c>
      <c r="J199" s="6" t="n">
        <v>202203</v>
      </c>
      <c r="K199" s="16">
        <f>INDEX(Market_Daily!$B$6:$B$256,MATCH($D199,Market_Daily!$A$6:$A$256,0))</f>
        <v/>
      </c>
      <c r="L199" s="16">
        <f>INDEX(Market_Daily!$F$6:$F$256,MATCH($E199,Market_Daily!$A$6:$A$256,0))</f>
        <v/>
      </c>
      <c r="M199" s="15">
        <f>INDEX(Market_Daily!$I$6:$I$256,MATCH($F199,Market_Daily!$A$6:$A$256,0))</f>
        <v/>
      </c>
      <c r="N199" s="26">
        <f>INDEX(mcx_expiries,MATCH($J199,mcx_months,0))</f>
        <v/>
      </c>
      <c r="O199" s="19">
        <f>MAX(0,$N199-$G199)</f>
        <v/>
      </c>
      <c r="P199" s="16">
        <f>($K199*$L199/kg_per_mt*(1+bcd_primary_al_hs7601*(1+sws_rate_on_bcd))+mcx_domestic_premium_inr_kg)*(1+$M199*$O199/day_count_inr)</f>
        <v/>
      </c>
      <c r="Q199" s="18">
        <f>$H199*$I199*kg_per_mt*$P199</f>
        <v/>
      </c>
      <c r="R199" s="18">
        <f>$Q199-$Q198</f>
        <v/>
      </c>
      <c r="S199" s="23" t="n">
        <v>-0</v>
      </c>
      <c r="T199" s="18">
        <f>$R199-$S199</f>
        <v/>
      </c>
      <c r="U199" s="8">
        <f>IF(ABS($T199)&lt;=tol_trade_inr,"PASS","FAIL")</f>
        <v/>
      </c>
    </row>
    <row r="200">
      <c r="A200" s="7" t="n">
        <v>7</v>
      </c>
      <c r="B200" s="7" t="inlineStr">
        <is>
          <t>roll_term_structure</t>
        </is>
      </c>
      <c r="C200" s="7" t="inlineStr">
        <is>
          <t>spread + rates + the clock</t>
        </is>
      </c>
      <c r="D200" s="12" t="n">
        <v>44628</v>
      </c>
      <c r="E200" s="12" t="n">
        <v>44628</v>
      </c>
      <c r="F200" s="12" t="n">
        <v>44628</v>
      </c>
      <c r="G200" s="12" t="n">
        <v>44628</v>
      </c>
      <c r="H200" s="6" t="n">
        <v>-100</v>
      </c>
      <c r="I200" s="13" t="n">
        <v>5</v>
      </c>
      <c r="J200" s="6" t="n">
        <v>202203</v>
      </c>
      <c r="K200" s="16">
        <f>INDEX(Market_Daily!$B$6:$B$256,MATCH($D200,Market_Daily!$A$6:$A$256,0))</f>
        <v/>
      </c>
      <c r="L200" s="16">
        <f>INDEX(Market_Daily!$F$6:$F$256,MATCH($E200,Market_Daily!$A$6:$A$256,0))</f>
        <v/>
      </c>
      <c r="M200" s="15">
        <f>INDEX(Market_Daily!$I$6:$I$256,MATCH($F200,Market_Daily!$A$6:$A$256,0))</f>
        <v/>
      </c>
      <c r="N200" s="26">
        <f>INDEX(mcx_expiries,MATCH($J200,mcx_months,0))</f>
        <v/>
      </c>
      <c r="O200" s="19">
        <f>MAX(0,$N200-$G200)</f>
        <v/>
      </c>
      <c r="P200" s="16">
        <f>($K200*$L200/kg_per_mt*(1+bcd_primary_al_hs7601*(1+sws_rate_on_bcd))+mcx_domestic_premium_inr_kg)*(1+$M200*$O200/day_count_inr)</f>
        <v/>
      </c>
      <c r="Q200" s="18">
        <f>$H200*$I200*kg_per_mt*$P200</f>
        <v/>
      </c>
      <c r="R200" s="18">
        <f>$Q200-$Q199</f>
        <v/>
      </c>
      <c r="S200" s="23" t="n">
        <v>15117.5783157953</v>
      </c>
      <c r="T200" s="18">
        <f>$R200-$S200</f>
        <v/>
      </c>
      <c r="U200" s="8">
        <f>IF(ABS($T200)&lt;=tol_trade_inr,"PASS","FAIL")</f>
        <v/>
      </c>
    </row>
    <row r="203">
      <c r="A203" s="4" t="inlineStr">
        <is>
          <t>3b. Worked chain — USD 1,000,000 payable due 15-Apr-2022 against the forward that hedges it</t>
        </is>
      </c>
    </row>
    <row r="204">
      <c r="A204" s="3" t="inlineStr">
        <is>
          <t>The forward was booked on 07-Mar at the covered-interest-parity mid plus the bank's margin against the desk, so its whole day-one value is −notional × fx_forward_bank_margin_inr and lands in new_deal. Afterwards the two legs cancel in (e) and in (g): that is the hedge-perfect property.</t>
        </is>
      </c>
    </row>
    <row r="206" ht="30" customHeight="1">
      <c r="A206" s="5" t="inlineStr">
        <is>
          <t>step</t>
        </is>
      </c>
      <c r="B206" s="5" t="inlineStr">
        <is>
          <t>bucket</t>
        </is>
      </c>
      <c r="C206" s="5" t="inlineStr">
        <is>
          <t>block_swapped</t>
        </is>
      </c>
      <c r="D206" s="5" t="inlineStr">
        <is>
          <t>fx_src_date</t>
        </is>
      </c>
      <c r="E206" s="5" t="inlineStr">
        <is>
          <t>rate_src_date</t>
        </is>
      </c>
      <c r="F206" s="5" t="inlineStr">
        <is>
          <t>clock_date</t>
        </is>
      </c>
      <c r="G206" s="5" t="inlineStr">
        <is>
          <t>notional_usd</t>
        </is>
      </c>
      <c r="H206" s="5" t="inlineStr">
        <is>
          <t>value_date</t>
        </is>
      </c>
      <c r="I206" s="5" t="inlineStr">
        <is>
          <t>strike_inr</t>
        </is>
      </c>
      <c r="J206" s="5" t="inlineStr">
        <is>
          <t>usdinr</t>
        </is>
      </c>
      <c r="K206" s="5" t="inlineStr">
        <is>
          <t>inr_rate_3m_pa</t>
        </is>
      </c>
      <c r="L206" s="5" t="inlineStr">
        <is>
          <t>usd_rate_3m_pa</t>
        </is>
      </c>
      <c r="M206" s="5" t="inlineStr">
        <is>
          <t>days_to_value</t>
        </is>
      </c>
      <c r="N206" s="5" t="inlineStr">
        <is>
          <t>fx_x_calc</t>
        </is>
      </c>
      <c r="O206" s="5" t="inlineStr">
        <is>
          <t>forward_value_inr</t>
        </is>
      </c>
      <c r="P206" s="5" t="inlineStr">
        <is>
          <t>payable_value_inr</t>
        </is>
      </c>
      <c r="Q206" s="5" t="inlineStr">
        <is>
          <t>net_value_inr</t>
        </is>
      </c>
      <c r="R206" s="5" t="inlineStr">
        <is>
          <t>forward_bucket_inr</t>
        </is>
      </c>
      <c r="S206" s="5" t="inlineStr">
        <is>
          <t>payable_bucket_inr</t>
        </is>
      </c>
      <c r="T206" s="5" t="inlineStr">
        <is>
          <t>net_bucket_inr</t>
        </is>
      </c>
      <c r="U206" s="5" t="inlineStr">
        <is>
          <t>py_forward_bucket_inr</t>
        </is>
      </c>
      <c r="V206" s="5" t="inlineStr">
        <is>
          <t>diff_inr</t>
        </is>
      </c>
      <c r="W206" s="5" t="inlineStr">
        <is>
          <t>check</t>
        </is>
      </c>
    </row>
    <row r="207">
      <c r="A207" s="7" t="n">
        <v>0</v>
      </c>
      <c r="B207" s="7" t="inlineStr">
        <is>
          <t>—</t>
        </is>
      </c>
      <c r="C207" s="7" t="inlineStr">
        <is>
          <t>state at t-1</t>
        </is>
      </c>
      <c r="D207" s="12" t="n">
        <v>44627</v>
      </c>
      <c r="E207" s="12" t="n">
        <v>44627</v>
      </c>
      <c r="F207" s="12" t="n">
        <v>44627</v>
      </c>
      <c r="G207" s="13" t="n">
        <v>1000000</v>
      </c>
      <c r="H207" s="12" t="n">
        <v>44666</v>
      </c>
      <c r="I207" s="21" t="n">
        <v>77.30601010849288</v>
      </c>
      <c r="J207" s="16">
        <f>INDEX(Market_Daily!$F$6:$F$256,MATCH($D207,Market_Daily!$A$6:$A$256,0))</f>
        <v/>
      </c>
      <c r="K207" s="15">
        <f>INDEX(Market_Daily!$I$6:$I$256,MATCH($E207,Market_Daily!$A$6:$A$256,0))</f>
        <v/>
      </c>
      <c r="L207" s="15">
        <f>INDEX(Market_Daily!$J$6:$J$256,MATCH($E207,Market_Daily!$A$6:$A$256,0))</f>
        <v/>
      </c>
      <c r="M207" s="8">
        <f>$H207-$F207</f>
        <v/>
      </c>
      <c r="N207" s="8">
        <f>($J207*(1+$K207*$M207/day_count_inr)/(1+$L207*$M207/day_count_usd))</f>
        <v/>
      </c>
      <c r="O207" s="18">
        <f>$G207*($N207-$I207)</f>
        <v/>
      </c>
      <c r="P207" s="18">
        <f>-$G207*$N207</f>
        <v/>
      </c>
      <c r="Q207" s="18">
        <f>$O207+$P207</f>
        <v/>
      </c>
      <c r="R207" s="18">
        <f>0</f>
        <v/>
      </c>
      <c r="S207" s="18">
        <f>0</f>
        <v/>
      </c>
      <c r="T207" s="18">
        <f>$R207+$S207</f>
        <v/>
      </c>
      <c r="U207" s="23" t="n">
        <v>0</v>
      </c>
      <c r="V207" s="18">
        <f>$R207-$U207</f>
        <v/>
      </c>
      <c r="W207" s="8">
        <f>IF(ABS($V207)&lt;=tol_trade_inr,"PASS","FAIL")</f>
        <v/>
      </c>
    </row>
    <row r="208">
      <c r="A208" s="7" t="n">
        <v>1</v>
      </c>
      <c r="B208" s="7" t="inlineStr">
        <is>
          <t>lme_flat</t>
        </is>
      </c>
      <c r="C208" s="7" t="inlineStr">
        <is>
          <t>lme_cash_usd_t</t>
        </is>
      </c>
      <c r="D208" s="12" t="n">
        <v>44627</v>
      </c>
      <c r="E208" s="12" t="n">
        <v>44627</v>
      </c>
      <c r="F208" s="12" t="n">
        <v>44627</v>
      </c>
      <c r="G208" s="13" t="n">
        <v>1000000</v>
      </c>
      <c r="H208" s="12" t="n">
        <v>44666</v>
      </c>
      <c r="I208" s="21" t="n">
        <v>77.30601010849288</v>
      </c>
      <c r="J208" s="16">
        <f>INDEX(Market_Daily!$F$6:$F$256,MATCH($D208,Market_Daily!$A$6:$A$256,0))</f>
        <v/>
      </c>
      <c r="K208" s="15">
        <f>INDEX(Market_Daily!$I$6:$I$256,MATCH($E208,Market_Daily!$A$6:$A$256,0))</f>
        <v/>
      </c>
      <c r="L208" s="15">
        <f>INDEX(Market_Daily!$J$6:$J$256,MATCH($E208,Market_Daily!$A$6:$A$256,0))</f>
        <v/>
      </c>
      <c r="M208" s="8">
        <f>$H208-$F208</f>
        <v/>
      </c>
      <c r="N208" s="8">
        <f>($J208*(1+$K208*$M208/day_count_inr)/(1+$L208*$M208/day_count_usd))</f>
        <v/>
      </c>
      <c r="O208" s="18">
        <f>$G208*($N208-$I208)</f>
        <v/>
      </c>
      <c r="P208" s="18">
        <f>-$G208*$N208</f>
        <v/>
      </c>
      <c r="Q208" s="18">
        <f>$O208+$P208</f>
        <v/>
      </c>
      <c r="R208" s="18">
        <f>$O208-$O207</f>
        <v/>
      </c>
      <c r="S208" s="18">
        <f>$P208-$P207</f>
        <v/>
      </c>
      <c r="T208" s="18">
        <f>$R208+$S208</f>
        <v/>
      </c>
      <c r="U208" s="23" t="n">
        <v>0</v>
      </c>
      <c r="V208" s="18">
        <f>$R208-$U208</f>
        <v/>
      </c>
      <c r="W208" s="8">
        <f>IF(ABS($V208)&lt;=tol_trade_inr,"PASS","FAIL")</f>
        <v/>
      </c>
    </row>
    <row r="209">
      <c r="A209" s="7" t="n">
        <v>2</v>
      </c>
      <c r="B209" s="7" t="inlineStr">
        <is>
          <t>cross_exchange_basis</t>
        </is>
      </c>
      <c r="C209" s="7" t="inlineStr">
        <is>
          <t>mcx basis + domestic premium</t>
        </is>
      </c>
      <c r="D209" s="12" t="n">
        <v>44627</v>
      </c>
      <c r="E209" s="12" t="n">
        <v>44627</v>
      </c>
      <c r="F209" s="12" t="n">
        <v>44627</v>
      </c>
      <c r="G209" s="13" t="n">
        <v>1000000</v>
      </c>
      <c r="H209" s="12" t="n">
        <v>44666</v>
      </c>
      <c r="I209" s="21" t="n">
        <v>77.30601010849288</v>
      </c>
      <c r="J209" s="16">
        <f>INDEX(Market_Daily!$F$6:$F$256,MATCH($D209,Market_Daily!$A$6:$A$256,0))</f>
        <v/>
      </c>
      <c r="K209" s="15">
        <f>INDEX(Market_Daily!$I$6:$I$256,MATCH($E209,Market_Daily!$A$6:$A$256,0))</f>
        <v/>
      </c>
      <c r="L209" s="15">
        <f>INDEX(Market_Daily!$J$6:$J$256,MATCH($E209,Market_Daily!$A$6:$A$256,0))</f>
        <v/>
      </c>
      <c r="M209" s="8">
        <f>$H209-$F209</f>
        <v/>
      </c>
      <c r="N209" s="8">
        <f>($J209*(1+$K209*$M209/day_count_inr)/(1+$L209*$M209/day_count_usd))</f>
        <v/>
      </c>
      <c r="O209" s="18">
        <f>$G209*($N209-$I209)</f>
        <v/>
      </c>
      <c r="P209" s="18">
        <f>-$G209*$N209</f>
        <v/>
      </c>
      <c r="Q209" s="18">
        <f>$O209+$P209</f>
        <v/>
      </c>
      <c r="R209" s="18">
        <f>$O209-$O208</f>
        <v/>
      </c>
      <c r="S209" s="18">
        <f>$P209-$P208</f>
        <v/>
      </c>
      <c r="T209" s="18">
        <f>$R209+$S209</f>
        <v/>
      </c>
      <c r="U209" s="23" t="n">
        <v>0</v>
      </c>
      <c r="V209" s="18">
        <f>$R209-$U209</f>
        <v/>
      </c>
      <c r="W209" s="8">
        <f>IF(ABS($V209)&lt;=tol_trade_inr,"PASS","FAIL")</f>
        <v/>
      </c>
    </row>
    <row r="210">
      <c r="A210" s="7" t="n">
        <v>3</v>
      </c>
      <c r="B210" s="7" t="inlineStr">
        <is>
          <t>grade_spread</t>
        </is>
      </c>
      <c r="C210" s="7" t="inlineStr">
        <is>
          <t>grade_factor_frac</t>
        </is>
      </c>
      <c r="D210" s="12" t="n">
        <v>44627</v>
      </c>
      <c r="E210" s="12" t="n">
        <v>44627</v>
      </c>
      <c r="F210" s="12" t="n">
        <v>44627</v>
      </c>
      <c r="G210" s="13" t="n">
        <v>1000000</v>
      </c>
      <c r="H210" s="12" t="n">
        <v>44666</v>
      </c>
      <c r="I210" s="21" t="n">
        <v>77.30601010849288</v>
      </c>
      <c r="J210" s="16">
        <f>INDEX(Market_Daily!$F$6:$F$256,MATCH($D210,Market_Daily!$A$6:$A$256,0))</f>
        <v/>
      </c>
      <c r="K210" s="15">
        <f>INDEX(Market_Daily!$I$6:$I$256,MATCH($E210,Market_Daily!$A$6:$A$256,0))</f>
        <v/>
      </c>
      <c r="L210" s="15">
        <f>INDEX(Market_Daily!$J$6:$J$256,MATCH($E210,Market_Daily!$A$6:$A$256,0))</f>
        <v/>
      </c>
      <c r="M210" s="8">
        <f>$H210-$F210</f>
        <v/>
      </c>
      <c r="N210" s="8">
        <f>($J210*(1+$K210*$M210/day_count_inr)/(1+$L210*$M210/day_count_usd))</f>
        <v/>
      </c>
      <c r="O210" s="18">
        <f>$G210*($N210-$I210)</f>
        <v/>
      </c>
      <c r="P210" s="18">
        <f>-$G210*$N210</f>
        <v/>
      </c>
      <c r="Q210" s="18">
        <f>$O210+$P210</f>
        <v/>
      </c>
      <c r="R210" s="18">
        <f>$O210-$O209</f>
        <v/>
      </c>
      <c r="S210" s="18">
        <f>$P210-$P209</f>
        <v/>
      </c>
      <c r="T210" s="18">
        <f>$R210+$S210</f>
        <v/>
      </c>
      <c r="U210" s="23" t="n">
        <v>0</v>
      </c>
      <c r="V210" s="18">
        <f>$R210-$U210</f>
        <v/>
      </c>
      <c r="W210" s="8">
        <f>IF(ABS($V210)&lt;=tol_trade_inr,"PASS","FAIL")</f>
        <v/>
      </c>
    </row>
    <row r="211">
      <c r="A211" s="7" t="n">
        <v>4</v>
      </c>
      <c r="B211" s="7" t="inlineStr">
        <is>
          <t>freight</t>
        </is>
      </c>
      <c r="C211" s="7" t="inlineStr">
        <is>
          <t>freight_usd_t</t>
        </is>
      </c>
      <c r="D211" s="12" t="n">
        <v>44627</v>
      </c>
      <c r="E211" s="12" t="n">
        <v>44627</v>
      </c>
      <c r="F211" s="12" t="n">
        <v>44627</v>
      </c>
      <c r="G211" s="13" t="n">
        <v>1000000</v>
      </c>
      <c r="H211" s="12" t="n">
        <v>44666</v>
      </c>
      <c r="I211" s="21" t="n">
        <v>77.30601010849288</v>
      </c>
      <c r="J211" s="16">
        <f>INDEX(Market_Daily!$F$6:$F$256,MATCH($D211,Market_Daily!$A$6:$A$256,0))</f>
        <v/>
      </c>
      <c r="K211" s="15">
        <f>INDEX(Market_Daily!$I$6:$I$256,MATCH($E211,Market_Daily!$A$6:$A$256,0))</f>
        <v/>
      </c>
      <c r="L211" s="15">
        <f>INDEX(Market_Daily!$J$6:$J$256,MATCH($E211,Market_Daily!$A$6:$A$256,0))</f>
        <v/>
      </c>
      <c r="M211" s="8">
        <f>$H211-$F211</f>
        <v/>
      </c>
      <c r="N211" s="8">
        <f>($J211*(1+$K211*$M211/day_count_inr)/(1+$L211*$M211/day_count_usd))</f>
        <v/>
      </c>
      <c r="O211" s="18">
        <f>$G211*($N211-$I211)</f>
        <v/>
      </c>
      <c r="P211" s="18">
        <f>-$G211*$N211</f>
        <v/>
      </c>
      <c r="Q211" s="18">
        <f>$O211+$P211</f>
        <v/>
      </c>
      <c r="R211" s="18">
        <f>$O211-$O210</f>
        <v/>
      </c>
      <c r="S211" s="18">
        <f>$P211-$P210</f>
        <v/>
      </c>
      <c r="T211" s="18">
        <f>$R211+$S211</f>
        <v/>
      </c>
      <c r="U211" s="23" t="n">
        <v>0</v>
      </c>
      <c r="V211" s="18">
        <f>$R211-$U211</f>
        <v/>
      </c>
      <c r="W211" s="8">
        <f>IF(ABS($V211)&lt;=tol_trade_inr,"PASS","FAIL")</f>
        <v/>
      </c>
    </row>
    <row r="212">
      <c r="A212" s="7" t="n">
        <v>5</v>
      </c>
      <c r="B212" s="7" t="inlineStr">
        <is>
          <t>fx</t>
        </is>
      </c>
      <c r="C212" s="7" t="inlineStr">
        <is>
          <t>usdinr + customs_usdinr_import</t>
        </is>
      </c>
      <c r="D212" s="12" t="n">
        <v>44628</v>
      </c>
      <c r="E212" s="12" t="n">
        <v>44627</v>
      </c>
      <c r="F212" s="12" t="n">
        <v>44627</v>
      </c>
      <c r="G212" s="13" t="n">
        <v>1000000</v>
      </c>
      <c r="H212" s="12" t="n">
        <v>44666</v>
      </c>
      <c r="I212" s="21" t="n">
        <v>77.30601010849288</v>
      </c>
      <c r="J212" s="16">
        <f>INDEX(Market_Daily!$F$6:$F$256,MATCH($D212,Market_Daily!$A$6:$A$256,0))</f>
        <v/>
      </c>
      <c r="K212" s="15">
        <f>INDEX(Market_Daily!$I$6:$I$256,MATCH($E212,Market_Daily!$A$6:$A$256,0))</f>
        <v/>
      </c>
      <c r="L212" s="15">
        <f>INDEX(Market_Daily!$J$6:$J$256,MATCH($E212,Market_Daily!$A$6:$A$256,0))</f>
        <v/>
      </c>
      <c r="M212" s="8">
        <f>$H212-$F212</f>
        <v/>
      </c>
      <c r="N212" s="8">
        <f>($J212*(1+$K212*$M212/day_count_inr)/(1+$L212*$M212/day_count_usd))</f>
        <v/>
      </c>
      <c r="O212" s="18">
        <f>$G212*($N212-$I212)</f>
        <v/>
      </c>
      <c r="P212" s="18">
        <f>-$G212*$N212</f>
        <v/>
      </c>
      <c r="Q212" s="18">
        <f>$O212+$P212</f>
        <v/>
      </c>
      <c r="R212" s="18">
        <f>$O212-$O211</f>
        <v/>
      </c>
      <c r="S212" s="18">
        <f>$P212-$P211</f>
        <v/>
      </c>
      <c r="T212" s="18">
        <f>$R212+$S212</f>
        <v/>
      </c>
      <c r="U212" s="23" t="n">
        <v>123947.1222696693</v>
      </c>
      <c r="V212" s="18">
        <f>$R212-$U212</f>
        <v/>
      </c>
      <c r="W212" s="8">
        <f>IF(ABS($V212)&lt;=tol_trade_inr,"PASS","FAIL")</f>
        <v/>
      </c>
    </row>
    <row r="213">
      <c r="A213" s="7" t="n">
        <v>6</v>
      </c>
      <c r="B213" s="7" t="inlineStr">
        <is>
          <t>demurrage_penalty</t>
        </is>
      </c>
      <c r="C213" s="7" t="inlineStr">
        <is>
          <t>events-as-of</t>
        </is>
      </c>
      <c r="D213" s="12" t="n">
        <v>44628</v>
      </c>
      <c r="E213" s="12" t="n">
        <v>44627</v>
      </c>
      <c r="F213" s="12" t="n">
        <v>44627</v>
      </c>
      <c r="G213" s="13" t="n">
        <v>1000000</v>
      </c>
      <c r="H213" s="12" t="n">
        <v>44666</v>
      </c>
      <c r="I213" s="21" t="n">
        <v>77.30601010849288</v>
      </c>
      <c r="J213" s="16">
        <f>INDEX(Market_Daily!$F$6:$F$256,MATCH($D213,Market_Daily!$A$6:$A$256,0))</f>
        <v/>
      </c>
      <c r="K213" s="15">
        <f>INDEX(Market_Daily!$I$6:$I$256,MATCH($E213,Market_Daily!$A$6:$A$256,0))</f>
        <v/>
      </c>
      <c r="L213" s="15">
        <f>INDEX(Market_Daily!$J$6:$J$256,MATCH($E213,Market_Daily!$A$6:$A$256,0))</f>
        <v/>
      </c>
      <c r="M213" s="8">
        <f>$H213-$F213</f>
        <v/>
      </c>
      <c r="N213" s="8">
        <f>($J213*(1+$K213*$M213/day_count_inr)/(1+$L213*$M213/day_count_usd))</f>
        <v/>
      </c>
      <c r="O213" s="18">
        <f>$G213*($N213-$I213)</f>
        <v/>
      </c>
      <c r="P213" s="18">
        <f>-$G213*$N213</f>
        <v/>
      </c>
      <c r="Q213" s="18">
        <f>$O213+$P213</f>
        <v/>
      </c>
      <c r="R213" s="18">
        <f>$O213-$O212</f>
        <v/>
      </c>
      <c r="S213" s="18">
        <f>$P213-$P212</f>
        <v/>
      </c>
      <c r="T213" s="18">
        <f>$R213+$S213</f>
        <v/>
      </c>
      <c r="U213" s="23" t="n">
        <v>0</v>
      </c>
      <c r="V213" s="18">
        <f>$R213-$U213</f>
        <v/>
      </c>
      <c r="W213" s="8">
        <f>IF(ABS($V213)&lt;=tol_trade_inr,"PASS","FAIL")</f>
        <v/>
      </c>
    </row>
    <row r="214">
      <c r="A214" s="7" t="n">
        <v>7</v>
      </c>
      <c r="B214" s="7" t="inlineStr">
        <is>
          <t>roll_term_structure</t>
        </is>
      </c>
      <c r="C214" s="7" t="inlineStr">
        <is>
          <t>spread + rates + the clock</t>
        </is>
      </c>
      <c r="D214" s="12" t="n">
        <v>44628</v>
      </c>
      <c r="E214" s="12" t="n">
        <v>44628</v>
      </c>
      <c r="F214" s="12" t="n">
        <v>44628</v>
      </c>
      <c r="G214" s="13" t="n">
        <v>1000000</v>
      </c>
      <c r="H214" s="12" t="n">
        <v>44666</v>
      </c>
      <c r="I214" s="21" t="n">
        <v>77.30601010849288</v>
      </c>
      <c r="J214" s="16">
        <f>INDEX(Market_Daily!$F$6:$F$256,MATCH($D214,Market_Daily!$A$6:$A$256,0))</f>
        <v/>
      </c>
      <c r="K214" s="15">
        <f>INDEX(Market_Daily!$I$6:$I$256,MATCH($E214,Market_Daily!$A$6:$A$256,0))</f>
        <v/>
      </c>
      <c r="L214" s="15">
        <f>INDEX(Market_Daily!$J$6:$J$256,MATCH($E214,Market_Daily!$A$6:$A$256,0))</f>
        <v/>
      </c>
      <c r="M214" s="8">
        <f>$H214-$F214</f>
        <v/>
      </c>
      <c r="N214" s="8">
        <f>($J214*(1+$K214*$M214/day_count_inr)/(1+$L214*$M214/day_count_usd))</f>
        <v/>
      </c>
      <c r="O214" s="18">
        <f>$G214*($N214-$I214)</f>
        <v/>
      </c>
      <c r="P214" s="18">
        <f>-$G214*$N214</f>
        <v/>
      </c>
      <c r="Q214" s="18">
        <f>$O214+$P214</f>
        <v/>
      </c>
      <c r="R214" s="18">
        <f>$O214-$O213</f>
        <v/>
      </c>
      <c r="S214" s="18">
        <f>$P214-$P213</f>
        <v/>
      </c>
      <c r="T214" s="18">
        <f>$R214+$S214</f>
        <v/>
      </c>
      <c r="U214" s="23" t="n">
        <v>-5534.421695074343</v>
      </c>
      <c r="V214" s="18">
        <f>$R214-$U214</f>
        <v/>
      </c>
      <c r="W214" s="8">
        <f>IF(ABS($V214)&lt;=tol_trade_inr,"PASS","FAIL")</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6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8" customWidth="1" min="3" max="3"/>
    <col width="18" customWidth="1" min="4" max="4"/>
    <col width="18" customWidth="1" min="5" max="5"/>
    <col width="18" customWidth="1" min="6" max="6"/>
    <col width="19" customWidth="1" min="7" max="7"/>
    <col width="19" customWidth="1" min="8" max="8"/>
    <col width="19" customWidth="1" min="9" max="9"/>
    <col width="15" customWidth="1" min="10" max="10"/>
    <col width="15" customWidth="1" min="11" max="11"/>
    <col width="13" customWidth="1" min="12" max="12"/>
    <col width="22" customWidth="1" min="13" max="13"/>
    <col width="15" customWidth="1" min="14" max="14"/>
    <col width="9" customWidth="1" min="15" max="15"/>
  </cols>
  <sheetData>
    <row r="1">
      <c r="A1" s="1" t="inlineStr">
        <is>
          <t>ACADEMIC SIMULATION — not actual trades</t>
        </is>
      </c>
    </row>
    <row r="2">
      <c r="A2" s="2" t="inlineStr">
        <is>
          <t>Equity_Curve — book cumulative P&amp;L, rebuilt from the ledger every day</t>
        </is>
      </c>
    </row>
    <row r="3">
      <c r="A3" s="3" t="inlineStr">
        <is>
          <t>cum P&amp;L = realised cash P&amp;L (formula, from Cashflows) + funding accrued (carried) + open MTM (carried; re-derived from MTM_Daily on the marking grid).</t>
        </is>
      </c>
    </row>
    <row r="5" ht="30" customHeight="1">
      <c r="A5" s="5" t="inlineStr">
        <is>
          <t>date</t>
        </is>
      </c>
      <c r="B5" s="5" t="inlineStr">
        <is>
          <t>in_window</t>
        </is>
      </c>
      <c r="C5" s="5" t="inlineStr">
        <is>
          <t>funding_cum_inr_py</t>
        </is>
      </c>
      <c r="D5" s="5" t="inlineStr">
        <is>
          <t>mtm_open_inr_py</t>
        </is>
      </c>
      <c r="E5" s="5" t="inlineStr">
        <is>
          <t>cum_pnl_inr_py</t>
        </is>
      </c>
      <c r="F5" s="5" t="inlineStr">
        <is>
          <t>daily_pnl_inr_py</t>
        </is>
      </c>
      <c r="G5" s="5" t="inlineStr">
        <is>
          <t>realised_pnl_cum_inr</t>
        </is>
      </c>
      <c r="H5" s="5" t="inlineStr">
        <is>
          <t>cum_pnl_calc_inr</t>
        </is>
      </c>
      <c r="I5" s="5" t="inlineStr">
        <is>
          <t>daily_pnl_calc_inr</t>
        </is>
      </c>
      <c r="J5" s="5" t="inlineStr">
        <is>
          <t>diff_cum_inr</t>
        </is>
      </c>
      <c r="K5" s="5" t="inlineStr">
        <is>
          <t>diff_daily_inr</t>
        </is>
      </c>
      <c r="L5" s="5" t="inlineStr">
        <is>
          <t>on_marking_grid</t>
        </is>
      </c>
      <c r="M5" s="5" t="inlineStr">
        <is>
          <t>mtm_open_from_mtm_sheet_inr</t>
        </is>
      </c>
      <c r="N5" s="5" t="inlineStr">
        <is>
          <t>diff_mtm_inr</t>
        </is>
      </c>
      <c r="O5" s="5" t="inlineStr">
        <is>
          <t>check</t>
        </is>
      </c>
    </row>
    <row r="6">
      <c r="A6" s="11" t="n">
        <v>44628</v>
      </c>
      <c r="B6" s="17" t="b">
        <v>1</v>
      </c>
      <c r="C6" s="9" t="n">
        <v>0</v>
      </c>
      <c r="D6" s="9" t="n">
        <v>1732880.819999963</v>
      </c>
      <c r="E6" s="9" t="n">
        <v>1732880.85</v>
      </c>
      <c r="F6" s="9" t="n">
        <v>1732880.85</v>
      </c>
      <c r="G6" s="18">
        <f>SUMIFS(Cashflows!$X$8:$X$1038,Cashflows!$F$8:$F$1038,"PNL",Cashflows!$K$8:$K$1038,"&lt;="&amp;$A6)</f>
        <v/>
      </c>
      <c r="H6" s="18">
        <f>$G6+$C6+$D6</f>
        <v/>
      </c>
      <c r="I6" s="18">
        <f>$H6</f>
        <v/>
      </c>
      <c r="J6" s="18">
        <f>$H6-$E6</f>
        <v/>
      </c>
      <c r="K6" s="18">
        <f>$I6-$F6</f>
        <v/>
      </c>
      <c r="L6" s="17" t="b">
        <v>1</v>
      </c>
      <c r="M6" s="18">
        <f>SUMIFS(MTM_Daily!$AO$6:$AO$1238,MTM_Daily!$A$6:$A$1238,$A6,MTM_Daily!$L$6:$L$1238,"PNL")</f>
        <v/>
      </c>
      <c r="N6" s="18">
        <f>$M6-$D6</f>
        <v/>
      </c>
      <c r="O6" s="8">
        <f>IF(ABS($J6)&lt;=tol_trade_inr,"PASS","FAIL")</f>
        <v/>
      </c>
    </row>
    <row r="7">
      <c r="A7" s="11" t="n">
        <v>44629</v>
      </c>
      <c r="B7" s="17" t="b">
        <v>1</v>
      </c>
      <c r="C7" s="9" t="n">
        <v>0</v>
      </c>
      <c r="D7" s="9" t="n">
        <v>2678665.199999958</v>
      </c>
      <c r="E7" s="9" t="n">
        <v>2396227.95</v>
      </c>
      <c r="F7" s="9" t="n">
        <v>663347.1</v>
      </c>
      <c r="G7" s="18">
        <f>SUMIFS(Cashflows!$X$8:$X$1038,Cashflows!$F$8:$F$1038,"PNL",Cashflows!$K$8:$K$1038,"&lt;="&amp;$A7)</f>
        <v/>
      </c>
      <c r="H7" s="18">
        <f>$G7+$C7+$D7</f>
        <v/>
      </c>
      <c r="I7" s="18">
        <f>$H7-$H6</f>
        <v/>
      </c>
      <c r="J7" s="18">
        <f>$H7-$E7</f>
        <v/>
      </c>
      <c r="K7" s="18">
        <f>$I7-$F7</f>
        <v/>
      </c>
      <c r="L7" s="17" t="b">
        <v>0</v>
      </c>
      <c r="O7" s="8">
        <f>IF(ABS($J7)&lt;=tol_trade_inr,"PASS","FAIL")</f>
        <v/>
      </c>
    </row>
    <row r="8">
      <c r="A8" s="11" t="n">
        <v>44630</v>
      </c>
      <c r="B8" s="17" t="b">
        <v>1</v>
      </c>
      <c r="C8" s="9" t="n">
        <v>-11567.4</v>
      </c>
      <c r="D8" s="9" t="n">
        <v>660624.599999994</v>
      </c>
      <c r="E8" s="9" t="n">
        <v>1559675.92</v>
      </c>
      <c r="F8" s="9" t="n">
        <v>-836552.04</v>
      </c>
      <c r="G8" s="18">
        <f>SUMIFS(Cashflows!$X$8:$X$1038,Cashflows!$F$8:$F$1038,"PNL",Cashflows!$K$8:$K$1038,"&lt;="&amp;$A8)</f>
        <v/>
      </c>
      <c r="H8" s="18">
        <f>$G8+$C8+$D8</f>
        <v/>
      </c>
      <c r="I8" s="18">
        <f>$H8-$H7</f>
        <v/>
      </c>
      <c r="J8" s="18">
        <f>$H8-$E8</f>
        <v/>
      </c>
      <c r="K8" s="18">
        <f>$I8-$F8</f>
        <v/>
      </c>
      <c r="L8" s="17" t="b">
        <v>0</v>
      </c>
      <c r="O8" s="8">
        <f>IF(ABS($J8)&lt;=tol_trade_inr,"PASS","FAIL")</f>
        <v/>
      </c>
    </row>
    <row r="9">
      <c r="A9" s="11" t="n">
        <v>44631</v>
      </c>
      <c r="B9" s="17" t="b">
        <v>1</v>
      </c>
      <c r="C9" s="9" t="n">
        <v>-22793.23</v>
      </c>
      <c r="D9" s="9" t="n">
        <v>33707215.67999993</v>
      </c>
      <c r="E9" s="9" t="n">
        <v>41914773.61</v>
      </c>
      <c r="F9" s="9" t="n">
        <v>40355097.69</v>
      </c>
      <c r="G9" s="18">
        <f>SUMIFS(Cashflows!$X$8:$X$1038,Cashflows!$F$8:$F$1038,"PNL",Cashflows!$K$8:$K$1038,"&lt;="&amp;$A9)</f>
        <v/>
      </c>
      <c r="H9" s="18">
        <f>$G9+$C9+$D9</f>
        <v/>
      </c>
      <c r="I9" s="18">
        <f>$H9-$H8</f>
        <v/>
      </c>
      <c r="J9" s="18">
        <f>$H9-$E9</f>
        <v/>
      </c>
      <c r="K9" s="18">
        <f>$I9-$F9</f>
        <v/>
      </c>
      <c r="L9" s="17" t="b">
        <v>1</v>
      </c>
      <c r="M9" s="18">
        <f>SUMIFS(MTM_Daily!$AO$6:$AO$1238,MTM_Daily!$A$6:$A$1238,$A9,MTM_Daily!$L$6:$L$1238,"PNL")</f>
        <v/>
      </c>
      <c r="N9" s="18">
        <f>$M9-$D9</f>
        <v/>
      </c>
      <c r="O9" s="8">
        <f>IF(ABS($J9)&lt;=tol_trade_inr,"PASS","FAIL")</f>
        <v/>
      </c>
    </row>
    <row r="10">
      <c r="A10" s="11" t="n">
        <v>44634</v>
      </c>
      <c r="B10" s="17" t="b">
        <v>1</v>
      </c>
      <c r="C10" s="9" t="n">
        <v>-58493.67</v>
      </c>
      <c r="D10" s="9" t="n">
        <v>15271420.03</v>
      </c>
      <c r="E10" s="9" t="n">
        <v>32799065.36</v>
      </c>
      <c r="F10" s="9" t="n">
        <v>-9115708.25</v>
      </c>
      <c r="G10" s="18">
        <f>SUMIFS(Cashflows!$X$8:$X$1038,Cashflows!$F$8:$F$1038,"PNL",Cashflows!$K$8:$K$1038,"&lt;="&amp;$A10)</f>
        <v/>
      </c>
      <c r="H10" s="18">
        <f>$G10+$C10+$D10</f>
        <v/>
      </c>
      <c r="I10" s="18">
        <f>$H10-$H9</f>
        <v/>
      </c>
      <c r="J10" s="18">
        <f>$H10-$E10</f>
        <v/>
      </c>
      <c r="K10" s="18">
        <f>$I10-$F10</f>
        <v/>
      </c>
      <c r="L10" s="17" t="b">
        <v>0</v>
      </c>
      <c r="O10" s="8">
        <f>IF(ABS($J10)&lt;=tol_trade_inr,"PASS","FAIL")</f>
        <v/>
      </c>
    </row>
    <row r="11">
      <c r="A11" s="11" t="n">
        <v>44635</v>
      </c>
      <c r="B11" s="17" t="b">
        <v>1</v>
      </c>
      <c r="C11" s="9" t="n">
        <v>-67687.61</v>
      </c>
      <c r="D11" s="9" t="n">
        <v>-14312396.23999996</v>
      </c>
      <c r="E11" s="9" t="n">
        <v>32777456.52</v>
      </c>
      <c r="F11" s="9" t="n">
        <v>-21608.84</v>
      </c>
      <c r="G11" s="18">
        <f>SUMIFS(Cashflows!$X$8:$X$1038,Cashflows!$F$8:$F$1038,"PNL",Cashflows!$K$8:$K$1038,"&lt;="&amp;$A11)</f>
        <v/>
      </c>
      <c r="H11" s="18">
        <f>$G11+$C11+$D11</f>
        <v/>
      </c>
      <c r="I11" s="18">
        <f>$H11-$H10</f>
        <v/>
      </c>
      <c r="J11" s="18">
        <f>$H11-$E11</f>
        <v/>
      </c>
      <c r="K11" s="18">
        <f>$I11-$F11</f>
        <v/>
      </c>
      <c r="L11" s="17" t="b">
        <v>0</v>
      </c>
      <c r="O11" s="8">
        <f>IF(ABS($J11)&lt;=tol_trade_inr,"PASS","FAIL")</f>
        <v/>
      </c>
    </row>
    <row r="12">
      <c r="A12" s="11" t="n">
        <v>44636</v>
      </c>
      <c r="B12" s="17" t="b">
        <v>1</v>
      </c>
      <c r="C12" s="9" t="n">
        <v>-68415.22</v>
      </c>
      <c r="D12" s="9" t="n">
        <v>72405.29999994521</v>
      </c>
      <c r="E12" s="9" t="n">
        <v>34683836.71</v>
      </c>
      <c r="F12" s="9" t="n">
        <v>1906380.19</v>
      </c>
      <c r="G12" s="18">
        <f>SUMIFS(Cashflows!$X$8:$X$1038,Cashflows!$F$8:$F$1038,"PNL",Cashflows!$K$8:$K$1038,"&lt;="&amp;$A12)</f>
        <v/>
      </c>
      <c r="H12" s="18">
        <f>$G12+$C12+$D12</f>
        <v/>
      </c>
      <c r="I12" s="18">
        <f>$H12-$H11</f>
        <v/>
      </c>
      <c r="J12" s="18">
        <f>$H12-$E12</f>
        <v/>
      </c>
      <c r="K12" s="18">
        <f>$I12-$F12</f>
        <v/>
      </c>
      <c r="L12" s="17" t="b">
        <v>0</v>
      </c>
      <c r="O12" s="8">
        <f>IF(ABS($J12)&lt;=tol_trade_inr,"PASS","FAIL")</f>
        <v/>
      </c>
    </row>
    <row r="13">
      <c r="A13" s="11" t="n">
        <v>44637</v>
      </c>
      <c r="B13" s="17" t="b">
        <v>1</v>
      </c>
      <c r="C13" s="9" t="n">
        <v>-72715.20999999999</v>
      </c>
      <c r="D13" s="9" t="n">
        <v>-307718.2999999666</v>
      </c>
      <c r="E13" s="9" t="n">
        <v>39385295.13</v>
      </c>
      <c r="F13" s="9" t="n">
        <v>4701458.42</v>
      </c>
      <c r="G13" s="18">
        <f>SUMIFS(Cashflows!$X$8:$X$1038,Cashflows!$F$8:$F$1038,"PNL",Cashflows!$K$8:$K$1038,"&lt;="&amp;$A13)</f>
        <v/>
      </c>
      <c r="H13" s="18">
        <f>$G13+$C13+$D13</f>
        <v/>
      </c>
      <c r="I13" s="18">
        <f>$H13-$H12</f>
        <v/>
      </c>
      <c r="J13" s="18">
        <f>$H13-$E13</f>
        <v/>
      </c>
      <c r="K13" s="18">
        <f>$I13-$F13</f>
        <v/>
      </c>
      <c r="L13" s="17" t="b">
        <v>0</v>
      </c>
      <c r="O13" s="8">
        <f>IF(ABS($J13)&lt;=tol_trade_inr,"PASS","FAIL")</f>
        <v/>
      </c>
    </row>
    <row r="14">
      <c r="A14" s="11" t="n">
        <v>44638</v>
      </c>
      <c r="B14" s="17" t="b">
        <v>1</v>
      </c>
      <c r="C14" s="9" t="n">
        <v>-75559.09999999999</v>
      </c>
      <c r="D14" s="9" t="n">
        <v>15271103.60999999</v>
      </c>
      <c r="E14" s="9" t="n">
        <v>39098612.42</v>
      </c>
      <c r="F14" s="9" t="n">
        <v>-286682.71</v>
      </c>
      <c r="G14" s="18">
        <f>SUMIFS(Cashflows!$X$8:$X$1038,Cashflows!$F$8:$F$1038,"PNL",Cashflows!$K$8:$K$1038,"&lt;="&amp;$A14)</f>
        <v/>
      </c>
      <c r="H14" s="18">
        <f>$G14+$C14+$D14</f>
        <v/>
      </c>
      <c r="I14" s="18">
        <f>$H14-$H13</f>
        <v/>
      </c>
      <c r="J14" s="18">
        <f>$H14-$E14</f>
        <v/>
      </c>
      <c r="K14" s="18">
        <f>$I14-$F14</f>
        <v/>
      </c>
      <c r="L14" s="17" t="b">
        <v>1</v>
      </c>
      <c r="M14" s="18">
        <f>SUMIFS(MTM_Daily!$AO$6:$AO$1238,MTM_Daily!$A$6:$A$1238,$A14,MTM_Daily!$L$6:$L$1238,"PNL")</f>
        <v/>
      </c>
      <c r="N14" s="18">
        <f>$M14-$D14</f>
        <v/>
      </c>
      <c r="O14" s="8">
        <f>IF(ABS($J14)&lt;=tol_trade_inr,"PASS","FAIL")</f>
        <v/>
      </c>
    </row>
    <row r="15">
      <c r="A15" s="11" t="n">
        <v>44641</v>
      </c>
      <c r="B15" s="17" t="b">
        <v>1</v>
      </c>
      <c r="C15" s="9" t="n">
        <v>-97715.28</v>
      </c>
      <c r="D15" s="9" t="n">
        <v>41447067.82</v>
      </c>
      <c r="E15" s="9" t="n">
        <v>42677525.36</v>
      </c>
      <c r="F15" s="9" t="n">
        <v>3578912.94</v>
      </c>
      <c r="G15" s="18">
        <f>SUMIFS(Cashflows!$X$8:$X$1038,Cashflows!$F$8:$F$1038,"PNL",Cashflows!$K$8:$K$1038,"&lt;="&amp;$A15)</f>
        <v/>
      </c>
      <c r="H15" s="18">
        <f>$G15+$C15+$D15</f>
        <v/>
      </c>
      <c r="I15" s="18">
        <f>$H15-$H14</f>
        <v/>
      </c>
      <c r="J15" s="18">
        <f>$H15-$E15</f>
        <v/>
      </c>
      <c r="K15" s="18">
        <f>$I15-$F15</f>
        <v/>
      </c>
      <c r="L15" s="17" t="b">
        <v>0</v>
      </c>
      <c r="O15" s="8">
        <f>IF(ABS($J15)&lt;=tol_trade_inr,"PASS","FAIL")</f>
        <v/>
      </c>
    </row>
    <row r="16">
      <c r="A16" s="11" t="n">
        <v>44642</v>
      </c>
      <c r="B16" s="17" t="b">
        <v>1</v>
      </c>
      <c r="C16" s="9" t="n">
        <v>-111554.49</v>
      </c>
      <c r="D16" s="9" t="n">
        <v>47361946.61999999</v>
      </c>
      <c r="E16" s="9" t="n">
        <v>44522903.34</v>
      </c>
      <c r="F16" s="9" t="n">
        <v>1845377.98</v>
      </c>
      <c r="G16" s="18">
        <f>SUMIFS(Cashflows!$X$8:$X$1038,Cashflows!$F$8:$F$1038,"PNL",Cashflows!$K$8:$K$1038,"&lt;="&amp;$A16)</f>
        <v/>
      </c>
      <c r="H16" s="18">
        <f>$G16+$C16+$D16</f>
        <v/>
      </c>
      <c r="I16" s="18">
        <f>$H16-$H15</f>
        <v/>
      </c>
      <c r="J16" s="18">
        <f>$H16-$E16</f>
        <v/>
      </c>
      <c r="K16" s="18">
        <f>$I16-$F16</f>
        <v/>
      </c>
      <c r="L16" s="17" t="b">
        <v>0</v>
      </c>
      <c r="O16" s="8">
        <f>IF(ABS($J16)&lt;=tol_trade_inr,"PASS","FAIL")</f>
        <v/>
      </c>
    </row>
    <row r="17">
      <c r="A17" s="11" t="n">
        <v>44643</v>
      </c>
      <c r="B17" s="17" t="b">
        <v>1</v>
      </c>
      <c r="C17" s="9" t="n">
        <v>-126559.68</v>
      </c>
      <c r="D17" s="9" t="n">
        <v>52080886.87999998</v>
      </c>
      <c r="E17" s="9" t="n">
        <v>45375108.75</v>
      </c>
      <c r="F17" s="9" t="n">
        <v>852205.41</v>
      </c>
      <c r="G17" s="18">
        <f>SUMIFS(Cashflows!$X$8:$X$1038,Cashflows!$F$8:$F$1038,"PNL",Cashflows!$K$8:$K$1038,"&lt;="&amp;$A17)</f>
        <v/>
      </c>
      <c r="H17" s="18">
        <f>$G17+$C17+$D17</f>
        <v/>
      </c>
      <c r="I17" s="18">
        <f>$H17-$H16</f>
        <v/>
      </c>
      <c r="J17" s="18">
        <f>$H17-$E17</f>
        <v/>
      </c>
      <c r="K17" s="18">
        <f>$I17-$F17</f>
        <v/>
      </c>
      <c r="L17" s="17" t="b">
        <v>1</v>
      </c>
      <c r="M17" s="18">
        <f>SUMIFS(MTM_Daily!$AO$6:$AO$1238,MTM_Daily!$A$6:$A$1238,$A17,MTM_Daily!$L$6:$L$1238,"PNL")</f>
        <v/>
      </c>
      <c r="N17" s="18">
        <f>$M17-$D17</f>
        <v/>
      </c>
      <c r="O17" s="8">
        <f>IF(ABS($J17)&lt;=tol_trade_inr,"PASS","FAIL")</f>
        <v/>
      </c>
    </row>
    <row r="18">
      <c r="A18" s="11" t="n">
        <v>44644</v>
      </c>
      <c r="B18" s="17" t="b">
        <v>1</v>
      </c>
      <c r="C18" s="9" t="n">
        <v>-148166.95</v>
      </c>
      <c r="D18" s="9" t="n">
        <v>80580628.89999996</v>
      </c>
      <c r="E18" s="9" t="n">
        <v>51932431.99</v>
      </c>
      <c r="F18" s="9" t="n">
        <v>6557323.24</v>
      </c>
      <c r="G18" s="18">
        <f>SUMIFS(Cashflows!$X$8:$X$1038,Cashflows!$F$8:$F$1038,"PNL",Cashflows!$K$8:$K$1038,"&lt;="&amp;$A18)</f>
        <v/>
      </c>
      <c r="H18" s="18">
        <f>$G18+$C18+$D18</f>
        <v/>
      </c>
      <c r="I18" s="18">
        <f>$H18-$H17</f>
        <v/>
      </c>
      <c r="J18" s="18">
        <f>$H18-$E18</f>
        <v/>
      </c>
      <c r="K18" s="18">
        <f>$I18-$F18</f>
        <v/>
      </c>
      <c r="L18" s="17" t="b">
        <v>0</v>
      </c>
      <c r="O18" s="8">
        <f>IF(ABS($J18)&lt;=tol_trade_inr,"PASS","FAIL")</f>
        <v/>
      </c>
    </row>
    <row r="19">
      <c r="A19" s="11" t="n">
        <v>44645</v>
      </c>
      <c r="B19" s="17" t="b">
        <v>1</v>
      </c>
      <c r="C19" s="9" t="n">
        <v>-176050.17</v>
      </c>
      <c r="D19" s="9" t="n">
        <v>62561338.20000006</v>
      </c>
      <c r="E19" s="9" t="n">
        <v>53531941.5</v>
      </c>
      <c r="F19" s="9" t="n">
        <v>1599509.51</v>
      </c>
      <c r="G19" s="18">
        <f>SUMIFS(Cashflows!$X$8:$X$1038,Cashflows!$F$8:$F$1038,"PNL",Cashflows!$K$8:$K$1038,"&lt;="&amp;$A19)</f>
        <v/>
      </c>
      <c r="H19" s="18">
        <f>$G19+$C19+$D19</f>
        <v/>
      </c>
      <c r="I19" s="18">
        <f>$H19-$H18</f>
        <v/>
      </c>
      <c r="J19" s="18">
        <f>$H19-$E19</f>
        <v/>
      </c>
      <c r="K19" s="18">
        <f>$I19-$F19</f>
        <v/>
      </c>
      <c r="L19" s="17" t="b">
        <v>0</v>
      </c>
      <c r="O19" s="8">
        <f>IF(ABS($J19)&lt;=tol_trade_inr,"PASS","FAIL")</f>
        <v/>
      </c>
    </row>
    <row r="20">
      <c r="A20" s="11" t="n">
        <v>44648</v>
      </c>
      <c r="B20" s="17" t="b">
        <v>1</v>
      </c>
      <c r="C20" s="9" t="n">
        <v>-242825.24</v>
      </c>
      <c r="D20" s="9" t="n">
        <v>74752092.24000001</v>
      </c>
      <c r="E20" s="9" t="n">
        <v>61588978.13</v>
      </c>
      <c r="F20" s="9" t="n">
        <v>8057036.63</v>
      </c>
      <c r="G20" s="18">
        <f>SUMIFS(Cashflows!$X$8:$X$1038,Cashflows!$F$8:$F$1038,"PNL",Cashflows!$K$8:$K$1038,"&lt;="&amp;$A20)</f>
        <v/>
      </c>
      <c r="H20" s="18">
        <f>$G20+$C20+$D20</f>
        <v/>
      </c>
      <c r="I20" s="18">
        <f>$H20-$H19</f>
        <v/>
      </c>
      <c r="J20" s="18">
        <f>$H20-$E20</f>
        <v/>
      </c>
      <c r="K20" s="18">
        <f>$I20-$F20</f>
        <v/>
      </c>
      <c r="L20" s="17" t="b">
        <v>0</v>
      </c>
      <c r="O20" s="8">
        <f>IF(ABS($J20)&lt;=tol_trade_inr,"PASS","FAIL")</f>
        <v/>
      </c>
    </row>
    <row r="21">
      <c r="A21" s="11" t="n">
        <v>44649</v>
      </c>
      <c r="B21" s="17" t="b">
        <v>1</v>
      </c>
      <c r="C21" s="9" t="n">
        <v>-266247.95</v>
      </c>
      <c r="D21" s="9" t="n">
        <v>73259306.55999994</v>
      </c>
      <c r="E21" s="9" t="n">
        <v>68706772.91</v>
      </c>
      <c r="F21" s="9" t="n">
        <v>7117794.77</v>
      </c>
      <c r="G21" s="18">
        <f>SUMIFS(Cashflows!$X$8:$X$1038,Cashflows!$F$8:$F$1038,"PNL",Cashflows!$K$8:$K$1038,"&lt;="&amp;$A21)</f>
        <v/>
      </c>
      <c r="H21" s="18">
        <f>$G21+$C21+$D21</f>
        <v/>
      </c>
      <c r="I21" s="18">
        <f>$H21-$H20</f>
        <v/>
      </c>
      <c r="J21" s="18">
        <f>$H21-$E21</f>
        <v/>
      </c>
      <c r="K21" s="18">
        <f>$I21-$F21</f>
        <v/>
      </c>
      <c r="L21" s="17" t="b">
        <v>0</v>
      </c>
      <c r="O21" s="8">
        <f>IF(ABS($J21)&lt;=tol_trade_inr,"PASS","FAIL")</f>
        <v/>
      </c>
    </row>
    <row r="22">
      <c r="A22" s="11" t="n">
        <v>44650</v>
      </c>
      <c r="B22" s="17" t="b">
        <v>1</v>
      </c>
      <c r="C22" s="9" t="n">
        <v>-287194.3</v>
      </c>
      <c r="D22" s="9" t="n">
        <v>56947559.22000004</v>
      </c>
      <c r="E22" s="9" t="n">
        <v>67128929.02</v>
      </c>
      <c r="F22" s="9" t="n">
        <v>-1577843.88</v>
      </c>
      <c r="G22" s="18">
        <f>SUMIFS(Cashflows!$X$8:$X$1038,Cashflows!$F$8:$F$1038,"PNL",Cashflows!$K$8:$K$1038,"&lt;="&amp;$A22)</f>
        <v/>
      </c>
      <c r="H22" s="18">
        <f>$G22+$C22+$D22</f>
        <v/>
      </c>
      <c r="I22" s="18">
        <f>$H22-$H21</f>
        <v/>
      </c>
      <c r="J22" s="18">
        <f>$H22-$E22</f>
        <v/>
      </c>
      <c r="K22" s="18">
        <f>$I22-$F22</f>
        <v/>
      </c>
      <c r="L22" s="17" t="b">
        <v>0</v>
      </c>
      <c r="O22" s="8">
        <f>IF(ABS($J22)&lt;=tol_trade_inr,"PASS","FAIL")</f>
        <v/>
      </c>
    </row>
    <row r="23">
      <c r="A23" s="11" t="n">
        <v>44651</v>
      </c>
      <c r="B23" s="17" t="b">
        <v>1</v>
      </c>
      <c r="C23" s="9" t="n">
        <v>-303906.49</v>
      </c>
      <c r="D23" s="9" t="n">
        <v>56892302.42999996</v>
      </c>
      <c r="E23" s="9" t="n">
        <v>68697801.06</v>
      </c>
      <c r="F23" s="9" t="n">
        <v>1568872.03</v>
      </c>
      <c r="G23" s="18">
        <f>SUMIFS(Cashflows!$X$8:$X$1038,Cashflows!$F$8:$F$1038,"PNL",Cashflows!$K$8:$K$1038,"&lt;="&amp;$A23)</f>
        <v/>
      </c>
      <c r="H23" s="18">
        <f>$G23+$C23+$D23</f>
        <v/>
      </c>
      <c r="I23" s="18">
        <f>$H23-$H22</f>
        <v/>
      </c>
      <c r="J23" s="18">
        <f>$H23-$E23</f>
        <v/>
      </c>
      <c r="K23" s="18">
        <f>$I23-$F23</f>
        <v/>
      </c>
      <c r="L23" s="17" t="b">
        <v>1</v>
      </c>
      <c r="M23" s="18">
        <f>SUMIFS(MTM_Daily!$AO$6:$AO$1238,MTM_Daily!$A$6:$A$1238,$A23,MTM_Daily!$L$6:$L$1238,"PNL")</f>
        <v/>
      </c>
      <c r="N23" s="18">
        <f>$M23-$D23</f>
        <v/>
      </c>
      <c r="O23" s="8">
        <f>IF(ABS($J23)&lt;=tol_trade_inr,"PASS","FAIL")</f>
        <v/>
      </c>
    </row>
    <row r="24">
      <c r="A24" s="11" t="n">
        <v>44652</v>
      </c>
      <c r="B24" s="17" t="b">
        <v>1</v>
      </c>
      <c r="C24" s="9" t="n">
        <v>-320148.9</v>
      </c>
      <c r="D24" s="9" t="n">
        <v>55179144.51000001</v>
      </c>
      <c r="E24" s="9" t="n">
        <v>69252717.75</v>
      </c>
      <c r="F24" s="9" t="n">
        <v>554916.6899999999</v>
      </c>
      <c r="G24" s="18">
        <f>SUMIFS(Cashflows!$X$8:$X$1038,Cashflows!$F$8:$F$1038,"PNL",Cashflows!$K$8:$K$1038,"&lt;="&amp;$A24)</f>
        <v/>
      </c>
      <c r="H24" s="18">
        <f>$G24+$C24+$D24</f>
        <v/>
      </c>
      <c r="I24" s="18">
        <f>$H24-$H23</f>
        <v/>
      </c>
      <c r="J24" s="18">
        <f>$H24-$E24</f>
        <v/>
      </c>
      <c r="K24" s="18">
        <f>$I24-$F24</f>
        <v/>
      </c>
      <c r="L24" s="17" t="b">
        <v>0</v>
      </c>
      <c r="O24" s="8">
        <f>IF(ABS($J24)&lt;=tol_trade_inr,"PASS","FAIL")</f>
        <v/>
      </c>
    </row>
    <row r="25">
      <c r="A25" s="11" t="n">
        <v>44655</v>
      </c>
      <c r="B25" s="17" t="b">
        <v>1</v>
      </c>
      <c r="C25" s="9" t="n">
        <v>-366914.11</v>
      </c>
      <c r="D25" s="9" t="n">
        <v>50394453.58999999</v>
      </c>
      <c r="E25" s="9" t="n">
        <v>77279046.17</v>
      </c>
      <c r="F25" s="9" t="n">
        <v>8026328.42</v>
      </c>
      <c r="G25" s="18">
        <f>SUMIFS(Cashflows!$X$8:$X$1038,Cashflows!$F$8:$F$1038,"PNL",Cashflows!$K$8:$K$1038,"&lt;="&amp;$A25)</f>
        <v/>
      </c>
      <c r="H25" s="18">
        <f>$G25+$C25+$D25</f>
        <v/>
      </c>
      <c r="I25" s="18">
        <f>$H25-$H24</f>
        <v/>
      </c>
      <c r="J25" s="18">
        <f>$H25-$E25</f>
        <v/>
      </c>
      <c r="K25" s="18">
        <f>$I25-$F25</f>
        <v/>
      </c>
      <c r="L25" s="17" t="b">
        <v>0</v>
      </c>
      <c r="O25" s="8">
        <f>IF(ABS($J25)&lt;=tol_trade_inr,"PASS","FAIL")</f>
        <v/>
      </c>
    </row>
    <row r="26">
      <c r="A26" s="11" t="n">
        <v>44656</v>
      </c>
      <c r="B26" s="17" t="b">
        <v>1</v>
      </c>
      <c r="C26" s="9" t="n">
        <v>-378816.88</v>
      </c>
      <c r="D26" s="9" t="n">
        <v>195442971.39</v>
      </c>
      <c r="E26" s="9" t="n">
        <v>80842918.53</v>
      </c>
      <c r="F26" s="9" t="n">
        <v>3563872.36</v>
      </c>
      <c r="G26" s="18">
        <f>SUMIFS(Cashflows!$X$8:$X$1038,Cashflows!$F$8:$F$1038,"PNL",Cashflows!$K$8:$K$1038,"&lt;="&amp;$A26)</f>
        <v/>
      </c>
      <c r="H26" s="18">
        <f>$G26+$C26+$D26</f>
        <v/>
      </c>
      <c r="I26" s="18">
        <f>$H26-$H25</f>
        <v/>
      </c>
      <c r="J26" s="18">
        <f>$H26-$E26</f>
        <v/>
      </c>
      <c r="K26" s="18">
        <f>$I26-$F26</f>
        <v/>
      </c>
      <c r="L26" s="17" t="b">
        <v>1</v>
      </c>
      <c r="M26" s="18">
        <f>SUMIFS(MTM_Daily!$AO$6:$AO$1238,MTM_Daily!$A$6:$A$1238,$A26,MTM_Daily!$L$6:$L$1238,"PNL")</f>
        <v/>
      </c>
      <c r="N26" s="18">
        <f>$M26-$D26</f>
        <v/>
      </c>
      <c r="O26" s="8">
        <f>IF(ABS($J26)&lt;=tol_trade_inr,"PASS","FAIL")</f>
        <v/>
      </c>
    </row>
    <row r="27">
      <c r="A27" s="11" t="n">
        <v>44657</v>
      </c>
      <c r="B27" s="17" t="b">
        <v>1</v>
      </c>
      <c r="C27" s="9" t="n">
        <v>-427331.35</v>
      </c>
      <c r="D27" s="9" t="n">
        <v>208397970.16</v>
      </c>
      <c r="E27" s="9" t="n">
        <v>82895601.20999999</v>
      </c>
      <c r="F27" s="9" t="n">
        <v>2052682.68</v>
      </c>
      <c r="G27" s="18">
        <f>SUMIFS(Cashflows!$X$8:$X$1038,Cashflows!$F$8:$F$1038,"PNL",Cashflows!$K$8:$K$1038,"&lt;="&amp;$A27)</f>
        <v/>
      </c>
      <c r="H27" s="18">
        <f>$G27+$C27+$D27</f>
        <v/>
      </c>
      <c r="I27" s="18">
        <f>$H27-$H26</f>
        <v/>
      </c>
      <c r="J27" s="18">
        <f>$H27-$E27</f>
        <v/>
      </c>
      <c r="K27" s="18">
        <f>$I27-$F27</f>
        <v/>
      </c>
      <c r="L27" s="17" t="b">
        <v>1</v>
      </c>
      <c r="M27" s="18">
        <f>SUMIFS(MTM_Daily!$AO$6:$AO$1238,MTM_Daily!$A$6:$A$1238,$A27,MTM_Daily!$L$6:$L$1238,"PNL")</f>
        <v/>
      </c>
      <c r="N27" s="18">
        <f>$M27-$D27</f>
        <v/>
      </c>
      <c r="O27" s="8">
        <f>IF(ABS($J27)&lt;=tol_trade_inr,"PASS","FAIL")</f>
        <v/>
      </c>
    </row>
    <row r="28">
      <c r="A28" s="11" t="n">
        <v>44658</v>
      </c>
      <c r="B28" s="17" t="b">
        <v>1</v>
      </c>
      <c r="C28" s="9" t="n">
        <v>-482159.57</v>
      </c>
      <c r="D28" s="9" t="n">
        <v>182745434.5</v>
      </c>
      <c r="E28" s="9" t="n">
        <v>79632455.76000001</v>
      </c>
      <c r="F28" s="9" t="n">
        <v>-3263145.46</v>
      </c>
      <c r="G28" s="18">
        <f>SUMIFS(Cashflows!$X$8:$X$1038,Cashflows!$F$8:$F$1038,"PNL",Cashflows!$K$8:$K$1038,"&lt;="&amp;$A28)</f>
        <v/>
      </c>
      <c r="H28" s="18">
        <f>$G28+$C28+$D28</f>
        <v/>
      </c>
      <c r="I28" s="18">
        <f>$H28-$H27</f>
        <v/>
      </c>
      <c r="J28" s="18">
        <f>$H28-$E28</f>
        <v/>
      </c>
      <c r="K28" s="18">
        <f>$I28-$F28</f>
        <v/>
      </c>
      <c r="L28" s="17" t="b">
        <v>0</v>
      </c>
      <c r="O28" s="8">
        <f>IF(ABS($J28)&lt;=tol_trade_inr,"PASS","FAIL")</f>
        <v/>
      </c>
    </row>
    <row r="29">
      <c r="A29" s="11" t="n">
        <v>44659</v>
      </c>
      <c r="B29" s="17" t="b">
        <v>1</v>
      </c>
      <c r="C29" s="9" t="n">
        <v>-530557.53</v>
      </c>
      <c r="D29" s="9" t="n">
        <v>199666166.72</v>
      </c>
      <c r="E29" s="9" t="n">
        <v>85868953.58</v>
      </c>
      <c r="F29" s="9" t="n">
        <v>6236497.82</v>
      </c>
      <c r="G29" s="18">
        <f>SUMIFS(Cashflows!$X$8:$X$1038,Cashflows!$F$8:$F$1038,"PNL",Cashflows!$K$8:$K$1038,"&lt;="&amp;$A29)</f>
        <v/>
      </c>
      <c r="H29" s="18">
        <f>$G29+$C29+$D29</f>
        <v/>
      </c>
      <c r="I29" s="18">
        <f>$H29-$H28</f>
        <v/>
      </c>
      <c r="J29" s="18">
        <f>$H29-$E29</f>
        <v/>
      </c>
      <c r="K29" s="18">
        <f>$I29-$F29</f>
        <v/>
      </c>
      <c r="L29" s="17" t="b">
        <v>0</v>
      </c>
      <c r="O29" s="8">
        <f>IF(ABS($J29)&lt;=tol_trade_inr,"PASS","FAIL")</f>
        <v/>
      </c>
    </row>
    <row r="30">
      <c r="A30" s="11" t="n">
        <v>44662</v>
      </c>
      <c r="B30" s="17" t="b">
        <v>1</v>
      </c>
      <c r="C30" s="9" t="n">
        <v>-684886.5800000001</v>
      </c>
      <c r="D30" s="9" t="n">
        <v>305692013.13</v>
      </c>
      <c r="E30" s="9" t="n">
        <v>79972933.75</v>
      </c>
      <c r="F30" s="9" t="n">
        <v>-5896019.83</v>
      </c>
      <c r="G30" s="18">
        <f>SUMIFS(Cashflows!$X$8:$X$1038,Cashflows!$F$8:$F$1038,"PNL",Cashflows!$K$8:$K$1038,"&lt;="&amp;$A30)</f>
        <v/>
      </c>
      <c r="H30" s="18">
        <f>$G30+$C30+$D30</f>
        <v/>
      </c>
      <c r="I30" s="18">
        <f>$H30-$H29</f>
        <v/>
      </c>
      <c r="J30" s="18">
        <f>$H30-$E30</f>
        <v/>
      </c>
      <c r="K30" s="18">
        <f>$I30-$F30</f>
        <v/>
      </c>
      <c r="L30" s="17" t="b">
        <v>0</v>
      </c>
      <c r="O30" s="8">
        <f>IF(ABS($J30)&lt;=tol_trade_inr,"PASS","FAIL")</f>
        <v/>
      </c>
    </row>
    <row r="31">
      <c r="A31" s="11" t="n">
        <v>44663</v>
      </c>
      <c r="B31" s="17" t="b">
        <v>1</v>
      </c>
      <c r="C31" s="9" t="n">
        <v>-769218.9600000001</v>
      </c>
      <c r="D31" s="9" t="n">
        <v>308275947.27</v>
      </c>
      <c r="E31" s="9" t="n">
        <v>83861872.16</v>
      </c>
      <c r="F31" s="9" t="n">
        <v>3888938.41</v>
      </c>
      <c r="G31" s="18">
        <f>SUMIFS(Cashflows!$X$8:$X$1038,Cashflows!$F$8:$F$1038,"PNL",Cashflows!$K$8:$K$1038,"&lt;="&amp;$A31)</f>
        <v/>
      </c>
      <c r="H31" s="18">
        <f>$G31+$C31+$D31</f>
        <v/>
      </c>
      <c r="I31" s="18">
        <f>$H31-$H30</f>
        <v/>
      </c>
      <c r="J31" s="18">
        <f>$H31-$E31</f>
        <v/>
      </c>
      <c r="K31" s="18">
        <f>$I31-$F31</f>
        <v/>
      </c>
      <c r="L31" s="17" t="b">
        <v>0</v>
      </c>
      <c r="O31" s="8">
        <f>IF(ABS($J31)&lt;=tol_trade_inr,"PASS","FAIL")</f>
        <v/>
      </c>
    </row>
    <row r="32">
      <c r="A32" s="11" t="n">
        <v>44664</v>
      </c>
      <c r="B32" s="17" t="b">
        <v>1</v>
      </c>
      <c r="C32" s="9" t="n">
        <v>-853137.8100000001</v>
      </c>
      <c r="D32" s="9" t="n">
        <v>308969270.17</v>
      </c>
      <c r="E32" s="9" t="n">
        <v>85880044.88</v>
      </c>
      <c r="F32" s="9" t="n">
        <v>2018172.72</v>
      </c>
      <c r="G32" s="18">
        <f>SUMIFS(Cashflows!$X$8:$X$1038,Cashflows!$F$8:$F$1038,"PNL",Cashflows!$K$8:$K$1038,"&lt;="&amp;$A32)</f>
        <v/>
      </c>
      <c r="H32" s="18">
        <f>$G32+$C32+$D32</f>
        <v/>
      </c>
      <c r="I32" s="18">
        <f>$H32-$H31</f>
        <v/>
      </c>
      <c r="J32" s="18">
        <f>$H32-$E32</f>
        <v/>
      </c>
      <c r="K32" s="18">
        <f>$I32-$F32</f>
        <v/>
      </c>
      <c r="L32" s="17" t="b">
        <v>0</v>
      </c>
      <c r="O32" s="8">
        <f>IF(ABS($J32)&lt;=tol_trade_inr,"PASS","FAIL")</f>
        <v/>
      </c>
    </row>
    <row r="33">
      <c r="A33" s="11" t="n">
        <v>44665</v>
      </c>
      <c r="B33" s="17" t="b">
        <v>1</v>
      </c>
      <c r="C33" s="9" t="n">
        <v>-936643.13</v>
      </c>
      <c r="D33" s="9" t="n">
        <v>469501721.34</v>
      </c>
      <c r="E33" s="9" t="n">
        <v>89557190.56999999</v>
      </c>
      <c r="F33" s="9" t="n">
        <v>3677145.69</v>
      </c>
      <c r="G33" s="18">
        <f>SUMIFS(Cashflows!$X$8:$X$1038,Cashflows!$F$8:$F$1038,"PNL",Cashflows!$K$8:$K$1038,"&lt;="&amp;$A33)</f>
        <v/>
      </c>
      <c r="H33" s="18">
        <f>$G33+$C33+$D33</f>
        <v/>
      </c>
      <c r="I33" s="18">
        <f>$H33-$H32</f>
        <v/>
      </c>
      <c r="J33" s="18">
        <f>$H33-$E33</f>
        <v/>
      </c>
      <c r="K33" s="18">
        <f>$I33-$F33</f>
        <v/>
      </c>
      <c r="L33" s="17" t="b">
        <v>0</v>
      </c>
      <c r="O33" s="8">
        <f>IF(ABS($J33)&lt;=tol_trade_inr,"PASS","FAIL")</f>
        <v/>
      </c>
    </row>
    <row r="34">
      <c r="A34" s="11" t="n">
        <v>44670</v>
      </c>
      <c r="B34" s="17" t="b">
        <v>1</v>
      </c>
      <c r="C34" s="9" t="n">
        <v>-1559090.51</v>
      </c>
      <c r="D34" s="9" t="n">
        <v>511645062.14</v>
      </c>
      <c r="E34" s="9" t="n">
        <v>103600582.34</v>
      </c>
      <c r="F34" s="9" t="n">
        <v>14043391.77</v>
      </c>
      <c r="G34" s="18">
        <f>SUMIFS(Cashflows!$X$8:$X$1038,Cashflows!$F$8:$F$1038,"PNL",Cashflows!$K$8:$K$1038,"&lt;="&amp;$A34)</f>
        <v/>
      </c>
      <c r="H34" s="18">
        <f>$G34+$C34+$D34</f>
        <v/>
      </c>
      <c r="I34" s="18">
        <f>$H34-$H33</f>
        <v/>
      </c>
      <c r="J34" s="18">
        <f>$H34-$E34</f>
        <v/>
      </c>
      <c r="K34" s="18">
        <f>$I34-$F34</f>
        <v/>
      </c>
      <c r="L34" s="17" t="b">
        <v>0</v>
      </c>
      <c r="O34" s="8">
        <f>IF(ABS($J34)&lt;=tol_trade_inr,"PASS","FAIL")</f>
        <v/>
      </c>
    </row>
    <row r="35">
      <c r="A35" s="11" t="n">
        <v>44671</v>
      </c>
      <c r="B35" s="17" t="b">
        <v>1</v>
      </c>
      <c r="C35" s="9" t="n">
        <v>-1702823.42</v>
      </c>
      <c r="D35" s="9" t="n">
        <v>602857329.62</v>
      </c>
      <c r="E35" s="9" t="n">
        <v>98995267.65000001</v>
      </c>
      <c r="F35" s="9" t="n">
        <v>-4605314.69</v>
      </c>
      <c r="G35" s="18">
        <f>SUMIFS(Cashflows!$X$8:$X$1038,Cashflows!$F$8:$F$1038,"PNL",Cashflows!$K$8:$K$1038,"&lt;="&amp;$A35)</f>
        <v/>
      </c>
      <c r="H35" s="18">
        <f>$G35+$C35+$D35</f>
        <v/>
      </c>
      <c r="I35" s="18">
        <f>$H35-$H34</f>
        <v/>
      </c>
      <c r="J35" s="18">
        <f>$H35-$E35</f>
        <v/>
      </c>
      <c r="K35" s="18">
        <f>$I35-$F35</f>
        <v/>
      </c>
      <c r="L35" s="17" t="b">
        <v>0</v>
      </c>
      <c r="O35" s="8">
        <f>IF(ABS($J35)&lt;=tol_trade_inr,"PASS","FAIL")</f>
        <v/>
      </c>
    </row>
    <row r="36">
      <c r="A36" s="11" t="n">
        <v>44672</v>
      </c>
      <c r="B36" s="17" t="b">
        <v>1</v>
      </c>
      <c r="C36" s="9" t="n">
        <v>-1871271.67</v>
      </c>
      <c r="D36" s="9" t="n">
        <v>659830939.92</v>
      </c>
      <c r="E36" s="9" t="n">
        <v>151311255.21</v>
      </c>
      <c r="F36" s="9" t="n">
        <v>52315987.56</v>
      </c>
      <c r="G36" s="18">
        <f>SUMIFS(Cashflows!$X$8:$X$1038,Cashflows!$F$8:$F$1038,"PNL",Cashflows!$K$8:$K$1038,"&lt;="&amp;$A36)</f>
        <v/>
      </c>
      <c r="H36" s="18">
        <f>$G36+$C36+$D36</f>
        <v/>
      </c>
      <c r="I36" s="18">
        <f>$H36-$H35</f>
        <v/>
      </c>
      <c r="J36" s="18">
        <f>$H36-$E36</f>
        <v/>
      </c>
      <c r="K36" s="18">
        <f>$I36-$F36</f>
        <v/>
      </c>
      <c r="L36" s="17" t="b">
        <v>1</v>
      </c>
      <c r="M36" s="18">
        <f>SUMIFS(MTM_Daily!$AO$6:$AO$1238,MTM_Daily!$A$6:$A$1238,$A36,MTM_Daily!$L$6:$L$1238,"PNL")</f>
        <v/>
      </c>
      <c r="N36" s="18">
        <f>$M36-$D36</f>
        <v/>
      </c>
      <c r="O36" s="8">
        <f>IF(ABS($J36)&lt;=tol_trade_inr,"PASS","FAIL")</f>
        <v/>
      </c>
    </row>
    <row r="37">
      <c r="A37" s="11" t="n">
        <v>44673</v>
      </c>
      <c r="B37" s="17" t="b">
        <v>1</v>
      </c>
      <c r="C37" s="9" t="n">
        <v>-2044747.87</v>
      </c>
      <c r="D37" s="9" t="n">
        <v>659796805.49</v>
      </c>
      <c r="E37" s="9" t="n">
        <v>153239322.79</v>
      </c>
      <c r="F37" s="9" t="n">
        <v>1928067.58</v>
      </c>
      <c r="G37" s="18">
        <f>SUMIFS(Cashflows!$X$8:$X$1038,Cashflows!$F$8:$F$1038,"PNL",Cashflows!$K$8:$K$1038,"&lt;="&amp;$A37)</f>
        <v/>
      </c>
      <c r="H37" s="18">
        <f>$G37+$C37+$D37</f>
        <v/>
      </c>
      <c r="I37" s="18">
        <f>$H37-$H36</f>
        <v/>
      </c>
      <c r="J37" s="18">
        <f>$H37-$E37</f>
        <v/>
      </c>
      <c r="K37" s="18">
        <f>$I37-$F37</f>
        <v/>
      </c>
      <c r="L37" s="17" t="b">
        <v>1</v>
      </c>
      <c r="M37" s="18">
        <f>SUMIFS(MTM_Daily!$AO$6:$AO$1238,MTM_Daily!$A$6:$A$1238,$A37,MTM_Daily!$L$6:$L$1238,"PNL")</f>
        <v/>
      </c>
      <c r="N37" s="18">
        <f>$M37-$D37</f>
        <v/>
      </c>
      <c r="O37" s="8">
        <f>IF(ABS($J37)&lt;=tol_trade_inr,"PASS","FAIL")</f>
        <v/>
      </c>
    </row>
    <row r="38">
      <c r="A38" s="11" t="n">
        <v>44676</v>
      </c>
      <c r="B38" s="17" t="b">
        <v>1</v>
      </c>
      <c r="C38" s="9" t="n">
        <v>-2563305.7</v>
      </c>
      <c r="D38" s="9" t="n">
        <v>636147969.87</v>
      </c>
      <c r="E38" s="9" t="n">
        <v>172484172.48</v>
      </c>
      <c r="F38" s="9" t="n">
        <v>19244849.69</v>
      </c>
      <c r="G38" s="18">
        <f>SUMIFS(Cashflows!$X$8:$X$1038,Cashflows!$F$8:$F$1038,"PNL",Cashflows!$K$8:$K$1038,"&lt;="&amp;$A38)</f>
        <v/>
      </c>
      <c r="H38" s="18">
        <f>$G38+$C38+$D38</f>
        <v/>
      </c>
      <c r="I38" s="18">
        <f>$H38-$H37</f>
        <v/>
      </c>
      <c r="J38" s="18">
        <f>$H38-$E38</f>
        <v/>
      </c>
      <c r="K38" s="18">
        <f>$I38-$F38</f>
        <v/>
      </c>
      <c r="L38" s="17" t="b">
        <v>0</v>
      </c>
      <c r="O38" s="8">
        <f>IF(ABS($J38)&lt;=tol_trade_inr,"PASS","FAIL")</f>
        <v/>
      </c>
    </row>
    <row r="39">
      <c r="A39" s="11" t="n">
        <v>44677</v>
      </c>
      <c r="B39" s="17" t="b">
        <v>1</v>
      </c>
      <c r="C39" s="9" t="n">
        <v>-2719224.91</v>
      </c>
      <c r="D39" s="9" t="n">
        <v>653139527.8199999</v>
      </c>
      <c r="E39" s="9" t="n">
        <v>187920690.36</v>
      </c>
      <c r="F39" s="9" t="n">
        <v>15436517.88</v>
      </c>
      <c r="G39" s="18">
        <f>SUMIFS(Cashflows!$X$8:$X$1038,Cashflows!$F$8:$F$1038,"PNL",Cashflows!$K$8:$K$1038,"&lt;="&amp;$A39)</f>
        <v/>
      </c>
      <c r="H39" s="18">
        <f>$G39+$C39+$D39</f>
        <v/>
      </c>
      <c r="I39" s="18">
        <f>$H39-$H38</f>
        <v/>
      </c>
      <c r="J39" s="18">
        <f>$H39-$E39</f>
        <v/>
      </c>
      <c r="K39" s="18">
        <f>$I39-$F39</f>
        <v/>
      </c>
      <c r="L39" s="17" t="b">
        <v>0</v>
      </c>
      <c r="O39" s="8">
        <f>IF(ABS($J39)&lt;=tol_trade_inr,"PASS","FAIL")</f>
        <v/>
      </c>
    </row>
    <row r="40">
      <c r="A40" s="11" t="n">
        <v>44678</v>
      </c>
      <c r="B40" s="17" t="b">
        <v>1</v>
      </c>
      <c r="C40" s="9" t="n">
        <v>-2870725.14</v>
      </c>
      <c r="D40" s="9" t="n">
        <v>658646222</v>
      </c>
      <c r="E40" s="9" t="n">
        <v>188612989.54</v>
      </c>
      <c r="F40" s="9" t="n">
        <v>692299.1800000001</v>
      </c>
      <c r="G40" s="18">
        <f>SUMIFS(Cashflows!$X$8:$X$1038,Cashflows!$F$8:$F$1038,"PNL",Cashflows!$K$8:$K$1038,"&lt;="&amp;$A40)</f>
        <v/>
      </c>
      <c r="H40" s="18">
        <f>$G40+$C40+$D40</f>
        <v/>
      </c>
      <c r="I40" s="18">
        <f>$H40-$H39</f>
        <v/>
      </c>
      <c r="J40" s="18">
        <f>$H40-$E40</f>
        <v/>
      </c>
      <c r="K40" s="18">
        <f>$I40-$F40</f>
        <v/>
      </c>
      <c r="L40" s="17" t="b">
        <v>0</v>
      </c>
      <c r="O40" s="8">
        <f>IF(ABS($J40)&lt;=tol_trade_inr,"PASS","FAIL")</f>
        <v/>
      </c>
    </row>
    <row r="41">
      <c r="A41" s="11" t="n">
        <v>44679</v>
      </c>
      <c r="B41" s="17" t="b">
        <v>1</v>
      </c>
      <c r="C41" s="9" t="n">
        <v>-3023445.68</v>
      </c>
      <c r="D41" s="9" t="n">
        <v>660772977.0699999</v>
      </c>
      <c r="E41" s="9" t="n">
        <v>186107007.92</v>
      </c>
      <c r="F41" s="9" t="n">
        <v>-2505981.62</v>
      </c>
      <c r="G41" s="18">
        <f>SUMIFS(Cashflows!$X$8:$X$1038,Cashflows!$F$8:$F$1038,"PNL",Cashflows!$K$8:$K$1038,"&lt;="&amp;$A41)</f>
        <v/>
      </c>
      <c r="H41" s="18">
        <f>$G41+$C41+$D41</f>
        <v/>
      </c>
      <c r="I41" s="18">
        <f>$H41-$H40</f>
        <v/>
      </c>
      <c r="J41" s="18">
        <f>$H41-$E41</f>
        <v/>
      </c>
      <c r="K41" s="18">
        <f>$I41-$F41</f>
        <v/>
      </c>
      <c r="L41" s="17" t="b">
        <v>0</v>
      </c>
      <c r="O41" s="8">
        <f>IF(ABS($J41)&lt;=tol_trade_inr,"PASS","FAIL")</f>
        <v/>
      </c>
    </row>
    <row r="42">
      <c r="A42" s="11" t="n">
        <v>44680</v>
      </c>
      <c r="B42" s="17" t="b">
        <v>1</v>
      </c>
      <c r="C42" s="9" t="n">
        <v>-3182754.48</v>
      </c>
      <c r="D42" s="9" t="n">
        <v>770688015.15</v>
      </c>
      <c r="E42" s="9" t="n">
        <v>184203040.81</v>
      </c>
      <c r="F42" s="9" t="n">
        <v>-1903967.1</v>
      </c>
      <c r="G42" s="18">
        <f>SUMIFS(Cashflows!$X$8:$X$1038,Cashflows!$F$8:$F$1038,"PNL",Cashflows!$K$8:$K$1038,"&lt;="&amp;$A42)</f>
        <v/>
      </c>
      <c r="H42" s="18">
        <f>$G42+$C42+$D42</f>
        <v/>
      </c>
      <c r="I42" s="18">
        <f>$H42-$H41</f>
        <v/>
      </c>
      <c r="J42" s="18">
        <f>$H42-$E42</f>
        <v/>
      </c>
      <c r="K42" s="18">
        <f>$I42-$F42</f>
        <v/>
      </c>
      <c r="L42" s="17" t="b">
        <v>1</v>
      </c>
      <c r="M42" s="18">
        <f>SUMIFS(MTM_Daily!$AO$6:$AO$1238,MTM_Daily!$A$6:$A$1238,$A42,MTM_Daily!$L$6:$L$1238,"PNL")</f>
        <v/>
      </c>
      <c r="N42" s="18">
        <f>$M42-$D42</f>
        <v/>
      </c>
      <c r="O42" s="8">
        <f>IF(ABS($J42)&lt;=tol_trade_inr,"PASS","FAIL")</f>
        <v/>
      </c>
    </row>
    <row r="43">
      <c r="A43" s="11" t="n">
        <v>44684</v>
      </c>
      <c r="B43" s="17" t="b">
        <v>1</v>
      </c>
      <c r="C43" s="9" t="n">
        <v>-3936839.91</v>
      </c>
      <c r="D43" s="9" t="n">
        <v>762739866.3399999</v>
      </c>
      <c r="E43" s="9" t="n">
        <v>183129638.1</v>
      </c>
      <c r="F43" s="9" t="n">
        <v>-1073402.71</v>
      </c>
      <c r="G43" s="18">
        <f>SUMIFS(Cashflows!$X$8:$X$1038,Cashflows!$F$8:$F$1038,"PNL",Cashflows!$K$8:$K$1038,"&lt;="&amp;$A43)</f>
        <v/>
      </c>
      <c r="H43" s="18">
        <f>$G43+$C43+$D43</f>
        <v/>
      </c>
      <c r="I43" s="18">
        <f>$H43-$H42</f>
        <v/>
      </c>
      <c r="J43" s="18">
        <f>$H43-$E43</f>
        <v/>
      </c>
      <c r="K43" s="18">
        <f>$I43-$F43</f>
        <v/>
      </c>
      <c r="L43" s="17" t="b">
        <v>0</v>
      </c>
      <c r="O43" s="8">
        <f>IF(ABS($J43)&lt;=tol_trade_inr,"PASS","FAIL")</f>
        <v/>
      </c>
    </row>
    <row r="44">
      <c r="A44" s="11" t="n">
        <v>44685</v>
      </c>
      <c r="B44" s="17" t="b">
        <v>1</v>
      </c>
      <c r="C44" s="9" t="n">
        <v>-4122758.27</v>
      </c>
      <c r="D44" s="9" t="n">
        <v>885999063.86</v>
      </c>
      <c r="E44" s="9" t="n">
        <v>184255148.09</v>
      </c>
      <c r="F44" s="9" t="n">
        <v>1125509.99</v>
      </c>
      <c r="G44" s="18">
        <f>SUMIFS(Cashflows!$X$8:$X$1038,Cashflows!$F$8:$F$1038,"PNL",Cashflows!$K$8:$K$1038,"&lt;="&amp;$A44)</f>
        <v/>
      </c>
      <c r="H44" s="18">
        <f>$G44+$C44+$D44</f>
        <v/>
      </c>
      <c r="I44" s="18">
        <f>$H44-$H43</f>
        <v/>
      </c>
      <c r="J44" s="18">
        <f>$H44-$E44</f>
        <v/>
      </c>
      <c r="K44" s="18">
        <f>$I44-$F44</f>
        <v/>
      </c>
      <c r="L44" s="17" t="b">
        <v>0</v>
      </c>
      <c r="O44" s="8">
        <f>IF(ABS($J44)&lt;=tol_trade_inr,"PASS","FAIL")</f>
        <v/>
      </c>
    </row>
    <row r="45">
      <c r="A45" s="11" t="n">
        <v>44686</v>
      </c>
      <c r="B45" s="17" t="b">
        <v>1</v>
      </c>
      <c r="C45" s="9" t="n">
        <v>-4340793.83</v>
      </c>
      <c r="D45" s="9" t="n">
        <v>884890623.48</v>
      </c>
      <c r="E45" s="9" t="n">
        <v>183831736.26</v>
      </c>
      <c r="F45" s="9" t="n">
        <v>-423411.83</v>
      </c>
      <c r="G45" s="18">
        <f>SUMIFS(Cashflows!$X$8:$X$1038,Cashflows!$F$8:$F$1038,"PNL",Cashflows!$K$8:$K$1038,"&lt;="&amp;$A45)</f>
        <v/>
      </c>
      <c r="H45" s="18">
        <f>$G45+$C45+$D45</f>
        <v/>
      </c>
      <c r="I45" s="18">
        <f>$H45-$H44</f>
        <v/>
      </c>
      <c r="J45" s="18">
        <f>$H45-$E45</f>
        <v/>
      </c>
      <c r="K45" s="18">
        <f>$I45-$F45</f>
        <v/>
      </c>
      <c r="L45" s="17" t="b">
        <v>0</v>
      </c>
      <c r="O45" s="8">
        <f>IF(ABS($J45)&lt;=tol_trade_inr,"PASS","FAIL")</f>
        <v/>
      </c>
    </row>
    <row r="46">
      <c r="A46" s="11" t="n">
        <v>44687</v>
      </c>
      <c r="B46" s="17" t="b">
        <v>1</v>
      </c>
      <c r="C46" s="9" t="n">
        <v>-4558521.25</v>
      </c>
      <c r="D46" s="9" t="n">
        <v>880326803.84</v>
      </c>
      <c r="E46" s="9" t="n">
        <v>182797781.56</v>
      </c>
      <c r="F46" s="9" t="n">
        <v>-1033954.71</v>
      </c>
      <c r="G46" s="18">
        <f>SUMIFS(Cashflows!$X$8:$X$1038,Cashflows!$F$8:$F$1038,"PNL",Cashflows!$K$8:$K$1038,"&lt;="&amp;$A46)</f>
        <v/>
      </c>
      <c r="H46" s="18">
        <f>$G46+$C46+$D46</f>
        <v/>
      </c>
      <c r="I46" s="18">
        <f>$H46-$H45</f>
        <v/>
      </c>
      <c r="J46" s="18">
        <f>$H46-$E46</f>
        <v/>
      </c>
      <c r="K46" s="18">
        <f>$I46-$F46</f>
        <v/>
      </c>
      <c r="L46" s="17" t="b">
        <v>0</v>
      </c>
      <c r="O46" s="8">
        <f>IF(ABS($J46)&lt;=tol_trade_inr,"PASS","FAIL")</f>
        <v/>
      </c>
    </row>
    <row r="47">
      <c r="A47" s="11" t="n">
        <v>44690</v>
      </c>
      <c r="B47" s="17" t="b">
        <v>1</v>
      </c>
      <c r="C47" s="9" t="n">
        <v>-5207867.439999999</v>
      </c>
      <c r="D47" s="9" t="n">
        <v>887041894.5700001</v>
      </c>
      <c r="E47" s="9" t="n">
        <v>183133507.76</v>
      </c>
      <c r="F47" s="9" t="n">
        <v>335726.2</v>
      </c>
      <c r="G47" s="18">
        <f>SUMIFS(Cashflows!$X$8:$X$1038,Cashflows!$F$8:$F$1038,"PNL",Cashflows!$K$8:$K$1038,"&lt;="&amp;$A47)</f>
        <v/>
      </c>
      <c r="H47" s="18">
        <f>$G47+$C47+$D47</f>
        <v/>
      </c>
      <c r="I47" s="18">
        <f>$H47-$H46</f>
        <v/>
      </c>
      <c r="J47" s="18">
        <f>$H47-$E47</f>
        <v/>
      </c>
      <c r="K47" s="18">
        <f>$I47-$F47</f>
        <v/>
      </c>
      <c r="L47" s="17" t="b">
        <v>1</v>
      </c>
      <c r="M47" s="18">
        <f>SUMIFS(MTM_Daily!$AO$6:$AO$1238,MTM_Daily!$A$6:$A$1238,$A47,MTM_Daily!$L$6:$L$1238,"PNL")</f>
        <v/>
      </c>
      <c r="N47" s="18">
        <f>$M47-$D47</f>
        <v/>
      </c>
      <c r="O47" s="8">
        <f>IF(ABS($J47)&lt;=tol_trade_inr,"PASS","FAIL")</f>
        <v/>
      </c>
    </row>
    <row r="48">
      <c r="A48" s="11" t="n">
        <v>44691</v>
      </c>
      <c r="B48" s="17" t="b">
        <v>1</v>
      </c>
      <c r="C48" s="9" t="n">
        <v>-5430013.2</v>
      </c>
      <c r="D48" s="9" t="n">
        <v>885324863.6500001</v>
      </c>
      <c r="E48" s="9" t="n">
        <v>181602181.32</v>
      </c>
      <c r="F48" s="9" t="n">
        <v>-1531326.43</v>
      </c>
      <c r="G48" s="18">
        <f>SUMIFS(Cashflows!$X$8:$X$1038,Cashflows!$F$8:$F$1038,"PNL",Cashflows!$K$8:$K$1038,"&lt;="&amp;$A48)</f>
        <v/>
      </c>
      <c r="H48" s="18">
        <f>$G48+$C48+$D48</f>
        <v/>
      </c>
      <c r="I48" s="18">
        <f>$H48-$H47</f>
        <v/>
      </c>
      <c r="J48" s="18">
        <f>$H48-$E48</f>
        <v/>
      </c>
      <c r="K48" s="18">
        <f>$I48-$F48</f>
        <v/>
      </c>
      <c r="L48" s="17" t="b">
        <v>1</v>
      </c>
      <c r="M48" s="18">
        <f>SUMIFS(MTM_Daily!$AO$6:$AO$1238,MTM_Daily!$A$6:$A$1238,$A48,MTM_Daily!$L$6:$L$1238,"PNL")</f>
        <v/>
      </c>
      <c r="N48" s="18">
        <f>$M48-$D48</f>
        <v/>
      </c>
      <c r="O48" s="8">
        <f>IF(ABS($J48)&lt;=tol_trade_inr,"PASS","FAIL")</f>
        <v/>
      </c>
    </row>
    <row r="49">
      <c r="A49" s="11" t="n">
        <v>44692</v>
      </c>
      <c r="B49" s="17" t="b">
        <v>1</v>
      </c>
      <c r="C49" s="9" t="n">
        <v>-5657111.569999999</v>
      </c>
      <c r="D49" s="9" t="n">
        <v>1011881075.11</v>
      </c>
      <c r="E49" s="9" t="n">
        <v>186184272.6</v>
      </c>
      <c r="F49" s="9" t="n">
        <v>4582091.28</v>
      </c>
      <c r="G49" s="18">
        <f>SUMIFS(Cashflows!$X$8:$X$1038,Cashflows!$F$8:$F$1038,"PNL",Cashflows!$K$8:$K$1038,"&lt;="&amp;$A49)</f>
        <v/>
      </c>
      <c r="H49" s="18">
        <f>$G49+$C49+$D49</f>
        <v/>
      </c>
      <c r="I49" s="18">
        <f>$H49-$H48</f>
        <v/>
      </c>
      <c r="J49" s="18">
        <f>$H49-$E49</f>
        <v/>
      </c>
      <c r="K49" s="18">
        <f>$I49-$F49</f>
        <v/>
      </c>
      <c r="L49" s="17" t="b">
        <v>0</v>
      </c>
      <c r="O49" s="8">
        <f>IF(ABS($J49)&lt;=tol_trade_inr,"PASS","FAIL")</f>
        <v/>
      </c>
    </row>
    <row r="50">
      <c r="A50" s="11" t="n">
        <v>44693</v>
      </c>
      <c r="B50" s="17" t="b">
        <v>1</v>
      </c>
      <c r="C50" s="9" t="n">
        <v>-5916560.71</v>
      </c>
      <c r="D50" s="9" t="n">
        <v>1006724651.2</v>
      </c>
      <c r="E50" s="9" t="n">
        <v>184463707.89</v>
      </c>
      <c r="F50" s="9" t="n">
        <v>-1720564.71</v>
      </c>
      <c r="G50" s="18">
        <f>SUMIFS(Cashflows!$X$8:$X$1038,Cashflows!$F$8:$F$1038,"PNL",Cashflows!$K$8:$K$1038,"&lt;="&amp;$A50)</f>
        <v/>
      </c>
      <c r="H50" s="18">
        <f>$G50+$C50+$D50</f>
        <v/>
      </c>
      <c r="I50" s="18">
        <f>$H50-$H49</f>
        <v/>
      </c>
      <c r="J50" s="18">
        <f>$H50-$E50</f>
        <v/>
      </c>
      <c r="K50" s="18">
        <f>$I50-$F50</f>
        <v/>
      </c>
      <c r="L50" s="17" t="b">
        <v>0</v>
      </c>
      <c r="O50" s="8">
        <f>IF(ABS($J50)&lt;=tol_trade_inr,"PASS","FAIL")</f>
        <v/>
      </c>
    </row>
    <row r="51">
      <c r="A51" s="11" t="n">
        <v>44694</v>
      </c>
      <c r="B51" s="17" t="b">
        <v>1</v>
      </c>
      <c r="C51" s="9" t="n">
        <v>-6174814.36</v>
      </c>
      <c r="D51" s="9" t="n">
        <v>1012449535.96</v>
      </c>
      <c r="E51" s="9" t="n">
        <v>186483805.72</v>
      </c>
      <c r="F51" s="9" t="n">
        <v>2020097.83</v>
      </c>
      <c r="G51" s="18">
        <f>SUMIFS(Cashflows!$X$8:$X$1038,Cashflows!$F$8:$F$1038,"PNL",Cashflows!$K$8:$K$1038,"&lt;="&amp;$A51)</f>
        <v/>
      </c>
      <c r="H51" s="18">
        <f>$G51+$C51+$D51</f>
        <v/>
      </c>
      <c r="I51" s="18">
        <f>$H51-$H50</f>
        <v/>
      </c>
      <c r="J51" s="18">
        <f>$H51-$E51</f>
        <v/>
      </c>
      <c r="K51" s="18">
        <f>$I51-$F51</f>
        <v/>
      </c>
      <c r="L51" s="17" t="b">
        <v>0</v>
      </c>
      <c r="O51" s="8">
        <f>IF(ABS($J51)&lt;=tol_trade_inr,"PASS","FAIL")</f>
        <v/>
      </c>
    </row>
    <row r="52">
      <c r="A52" s="11" t="n">
        <v>44697</v>
      </c>
      <c r="B52" s="17" t="b">
        <v>1</v>
      </c>
      <c r="C52" s="9" t="n">
        <v>-6952851.52</v>
      </c>
      <c r="D52" s="9" t="n">
        <v>1040944578.98</v>
      </c>
      <c r="E52" s="9" t="n">
        <v>195954881.63</v>
      </c>
      <c r="F52" s="9" t="n">
        <v>9471075.92</v>
      </c>
      <c r="G52" s="18">
        <f>SUMIFS(Cashflows!$X$8:$X$1038,Cashflows!$F$8:$F$1038,"PNL",Cashflows!$K$8:$K$1038,"&lt;="&amp;$A52)</f>
        <v/>
      </c>
      <c r="H52" s="18">
        <f>$G52+$C52+$D52</f>
        <v/>
      </c>
      <c r="I52" s="18">
        <f>$H52-$H51</f>
        <v/>
      </c>
      <c r="J52" s="18">
        <f>$H52-$E52</f>
        <v/>
      </c>
      <c r="K52" s="18">
        <f>$I52-$F52</f>
        <v/>
      </c>
      <c r="L52" s="17" t="b">
        <v>0</v>
      </c>
      <c r="O52" s="8">
        <f>IF(ABS($J52)&lt;=tol_trade_inr,"PASS","FAIL")</f>
        <v/>
      </c>
    </row>
    <row r="53">
      <c r="A53" s="11" t="n">
        <v>44698</v>
      </c>
      <c r="B53" s="17" t="b">
        <v>1</v>
      </c>
      <c r="C53" s="9" t="n">
        <v>-7227984.04</v>
      </c>
      <c r="D53" s="9" t="n">
        <v>1053317686.49</v>
      </c>
      <c r="E53" s="9" t="n">
        <v>197958091.84</v>
      </c>
      <c r="F53" s="9" t="n">
        <v>2003210.2</v>
      </c>
      <c r="G53" s="18">
        <f>SUMIFS(Cashflows!$X$8:$X$1038,Cashflows!$F$8:$F$1038,"PNL",Cashflows!$K$8:$K$1038,"&lt;="&amp;$A53)</f>
        <v/>
      </c>
      <c r="H53" s="18">
        <f>$G53+$C53+$D53</f>
        <v/>
      </c>
      <c r="I53" s="18">
        <f>$H53-$H52</f>
        <v/>
      </c>
      <c r="J53" s="18">
        <f>$H53-$E53</f>
        <v/>
      </c>
      <c r="K53" s="18">
        <f>$I53-$F53</f>
        <v/>
      </c>
      <c r="L53" s="17" t="b">
        <v>0</v>
      </c>
      <c r="O53" s="8">
        <f>IF(ABS($J53)&lt;=tol_trade_inr,"PASS","FAIL")</f>
        <v/>
      </c>
    </row>
    <row r="54">
      <c r="A54" s="11" t="n">
        <v>44699</v>
      </c>
      <c r="B54" s="17" t="b">
        <v>1</v>
      </c>
      <c r="C54" s="9" t="n">
        <v>-7501395.24</v>
      </c>
      <c r="D54" s="9" t="n">
        <v>1064249638.18</v>
      </c>
      <c r="E54" s="9" t="n">
        <v>199804181.53</v>
      </c>
      <c r="F54" s="9" t="n">
        <v>1846089.69</v>
      </c>
      <c r="G54" s="18">
        <f>SUMIFS(Cashflows!$X$8:$X$1038,Cashflows!$F$8:$F$1038,"PNL",Cashflows!$K$8:$K$1038,"&lt;="&amp;$A54)</f>
        <v/>
      </c>
      <c r="H54" s="18">
        <f>$G54+$C54+$D54</f>
        <v/>
      </c>
      <c r="I54" s="18">
        <f>$H54-$H53</f>
        <v/>
      </c>
      <c r="J54" s="18">
        <f>$H54-$E54</f>
        <v/>
      </c>
      <c r="K54" s="18">
        <f>$I54-$F54</f>
        <v/>
      </c>
      <c r="L54" s="17" t="b">
        <v>0</v>
      </c>
      <c r="O54" s="8">
        <f>IF(ABS($J54)&lt;=tol_trade_inr,"PASS","FAIL")</f>
        <v/>
      </c>
    </row>
    <row r="55">
      <c r="A55" s="11" t="n">
        <v>44700</v>
      </c>
      <c r="B55" s="17" t="b">
        <v>1</v>
      </c>
      <c r="C55" s="9" t="n">
        <v>-7784984.149999999</v>
      </c>
      <c r="D55" s="9" t="n">
        <v>1060016486.8</v>
      </c>
      <c r="E55" s="9" t="n">
        <v>198015242.88</v>
      </c>
      <c r="F55" s="9" t="n">
        <v>-1788938.65</v>
      </c>
      <c r="G55" s="18">
        <f>SUMIFS(Cashflows!$X$8:$X$1038,Cashflows!$F$8:$F$1038,"PNL",Cashflows!$K$8:$K$1038,"&lt;="&amp;$A55)</f>
        <v/>
      </c>
      <c r="H55" s="18">
        <f>$G55+$C55+$D55</f>
        <v/>
      </c>
      <c r="I55" s="18">
        <f>$H55-$H54</f>
        <v/>
      </c>
      <c r="J55" s="18">
        <f>$H55-$E55</f>
        <v/>
      </c>
      <c r="K55" s="18">
        <f>$I55-$F55</f>
        <v/>
      </c>
      <c r="L55" s="17" t="b">
        <v>0</v>
      </c>
      <c r="O55" s="8">
        <f>IF(ABS($J55)&lt;=tol_trade_inr,"PASS","FAIL")</f>
        <v/>
      </c>
    </row>
    <row r="56">
      <c r="A56" s="11" t="n">
        <v>44701</v>
      </c>
      <c r="B56" s="17" t="b">
        <v>1</v>
      </c>
      <c r="C56" s="9" t="n">
        <v>-8067775.66</v>
      </c>
      <c r="D56" s="9" t="n">
        <v>910625235.7299999</v>
      </c>
      <c r="E56" s="9" t="n">
        <v>200079834.97</v>
      </c>
      <c r="F56" s="9" t="n">
        <v>2064592.1</v>
      </c>
      <c r="G56" s="18">
        <f>SUMIFS(Cashflows!$X$8:$X$1038,Cashflows!$F$8:$F$1038,"PNL",Cashflows!$K$8:$K$1038,"&lt;="&amp;$A56)</f>
        <v/>
      </c>
      <c r="H56" s="18">
        <f>$G56+$C56+$D56</f>
        <v/>
      </c>
      <c r="I56" s="18">
        <f>$H56-$H55</f>
        <v/>
      </c>
      <c r="J56" s="18">
        <f>$H56-$E56</f>
        <v/>
      </c>
      <c r="K56" s="18">
        <f>$I56-$F56</f>
        <v/>
      </c>
      <c r="L56" s="17" t="b">
        <v>0</v>
      </c>
      <c r="O56" s="8">
        <f>IF(ABS($J56)&lt;=tol_trade_inr,"PASS","FAIL")</f>
        <v/>
      </c>
    </row>
    <row r="57">
      <c r="A57" s="11" t="n">
        <v>44704</v>
      </c>
      <c r="B57" s="17" t="b">
        <v>1</v>
      </c>
      <c r="C57" s="9" t="n">
        <v>-8796627.93</v>
      </c>
      <c r="D57" s="9" t="n">
        <v>919269936.5</v>
      </c>
      <c r="E57" s="9" t="n">
        <v>203859693.98</v>
      </c>
      <c r="F57" s="9" t="n">
        <v>3779859.01</v>
      </c>
      <c r="G57" s="18">
        <f>SUMIFS(Cashflows!$X$8:$X$1038,Cashflows!$F$8:$F$1038,"PNL",Cashflows!$K$8:$K$1038,"&lt;="&amp;$A57)</f>
        <v/>
      </c>
      <c r="H57" s="18">
        <f>$G57+$C57+$D57</f>
        <v/>
      </c>
      <c r="I57" s="18">
        <f>$H57-$H56</f>
        <v/>
      </c>
      <c r="J57" s="18">
        <f>$H57-$E57</f>
        <v/>
      </c>
      <c r="K57" s="18">
        <f>$I57-$F57</f>
        <v/>
      </c>
      <c r="L57" s="17" t="b">
        <v>0</v>
      </c>
      <c r="O57" s="8">
        <f>IF(ABS($J57)&lt;=tol_trade_inr,"PASS","FAIL")</f>
        <v/>
      </c>
    </row>
    <row r="58">
      <c r="A58" s="11" t="n">
        <v>44705</v>
      </c>
      <c r="B58" s="17" t="b">
        <v>1</v>
      </c>
      <c r="C58" s="9" t="n">
        <v>-9040787.76</v>
      </c>
      <c r="D58" s="9" t="n">
        <v>759985653.28</v>
      </c>
      <c r="E58" s="9" t="n">
        <v>206265591.24</v>
      </c>
      <c r="F58" s="9" t="n">
        <v>2405897.26</v>
      </c>
      <c r="G58" s="18">
        <f>SUMIFS(Cashflows!$X$8:$X$1038,Cashflows!$F$8:$F$1038,"PNL",Cashflows!$K$8:$K$1038,"&lt;="&amp;$A58)</f>
        <v/>
      </c>
      <c r="H58" s="18">
        <f>$G58+$C58+$D58</f>
        <v/>
      </c>
      <c r="I58" s="18">
        <f>$H58-$H57</f>
        <v/>
      </c>
      <c r="J58" s="18">
        <f>$H58-$E58</f>
        <v/>
      </c>
      <c r="K58" s="18">
        <f>$I58-$F58</f>
        <v/>
      </c>
      <c r="L58" s="17" t="b">
        <v>0</v>
      </c>
      <c r="O58" s="8">
        <f>IF(ABS($J58)&lt;=tol_trade_inr,"PASS","FAIL")</f>
        <v/>
      </c>
    </row>
    <row r="59">
      <c r="A59" s="11" t="n">
        <v>44706</v>
      </c>
      <c r="B59" s="17" t="b">
        <v>1</v>
      </c>
      <c r="C59" s="9" t="n">
        <v>-9238766.689999999</v>
      </c>
      <c r="D59" s="9" t="n">
        <v>756438161.5899999</v>
      </c>
      <c r="E59" s="9" t="n">
        <v>208134366.06</v>
      </c>
      <c r="F59" s="9" t="n">
        <v>1868774.82</v>
      </c>
      <c r="G59" s="18">
        <f>SUMIFS(Cashflows!$X$8:$X$1038,Cashflows!$F$8:$F$1038,"PNL",Cashflows!$K$8:$K$1038,"&lt;="&amp;$A59)</f>
        <v/>
      </c>
      <c r="H59" s="18">
        <f>$G59+$C59+$D59</f>
        <v/>
      </c>
      <c r="I59" s="18">
        <f>$H59-$H58</f>
        <v/>
      </c>
      <c r="J59" s="18">
        <f>$H59-$E59</f>
        <v/>
      </c>
      <c r="K59" s="18">
        <f>$I59-$F59</f>
        <v/>
      </c>
      <c r="L59" s="17" t="b">
        <v>1</v>
      </c>
      <c r="M59" s="18">
        <f>SUMIFS(MTM_Daily!$AO$6:$AO$1238,MTM_Daily!$A$6:$A$1238,$A59,MTM_Daily!$L$6:$L$1238,"PNL")</f>
        <v/>
      </c>
      <c r="N59" s="18">
        <f>$M59-$D59</f>
        <v/>
      </c>
      <c r="O59" s="8">
        <f>IF(ABS($J59)&lt;=tol_trade_inr,"PASS","FAIL")</f>
        <v/>
      </c>
    </row>
    <row r="60">
      <c r="A60" s="11" t="n">
        <v>44707</v>
      </c>
      <c r="B60" s="17" t="b">
        <v>1</v>
      </c>
      <c r="C60" s="9" t="n">
        <v>-9442922.859999999</v>
      </c>
      <c r="D60" s="9" t="n">
        <v>757400341.52</v>
      </c>
      <c r="E60" s="9" t="n">
        <v>209699113.08</v>
      </c>
      <c r="F60" s="9" t="n">
        <v>1564747.02</v>
      </c>
      <c r="G60" s="18">
        <f>SUMIFS(Cashflows!$X$8:$X$1038,Cashflows!$F$8:$F$1038,"PNL",Cashflows!$K$8:$K$1038,"&lt;="&amp;$A60)</f>
        <v/>
      </c>
      <c r="H60" s="18">
        <f>$G60+$C60+$D60</f>
        <v/>
      </c>
      <c r="I60" s="18">
        <f>$H60-$H59</f>
        <v/>
      </c>
      <c r="J60" s="18">
        <f>$H60-$E60</f>
        <v/>
      </c>
      <c r="K60" s="18">
        <f>$I60-$F60</f>
        <v/>
      </c>
      <c r="L60" s="17" t="b">
        <v>0</v>
      </c>
      <c r="O60" s="8">
        <f>IF(ABS($J60)&lt;=tol_trade_inr,"PASS","FAIL")</f>
        <v/>
      </c>
    </row>
    <row r="61">
      <c r="A61" s="11" t="n">
        <v>44708</v>
      </c>
      <c r="B61" s="17" t="b">
        <v>1</v>
      </c>
      <c r="C61" s="9" t="n">
        <v>-9641903.109999999</v>
      </c>
      <c r="D61" s="9" t="n">
        <v>758509084.24</v>
      </c>
      <c r="E61" s="9" t="n">
        <v>208550673.44</v>
      </c>
      <c r="F61" s="9" t="n">
        <v>-1148439.63</v>
      </c>
      <c r="G61" s="18">
        <f>SUMIFS(Cashflows!$X$8:$X$1038,Cashflows!$F$8:$F$1038,"PNL",Cashflows!$K$8:$K$1038,"&lt;="&amp;$A61)</f>
        <v/>
      </c>
      <c r="H61" s="18">
        <f>$G61+$C61+$D61</f>
        <v/>
      </c>
      <c r="I61" s="18">
        <f>$H61-$H60</f>
        <v/>
      </c>
      <c r="J61" s="18">
        <f>$H61-$E61</f>
        <v/>
      </c>
      <c r="K61" s="18">
        <f>$I61-$F61</f>
        <v/>
      </c>
      <c r="L61" s="17" t="b">
        <v>0</v>
      </c>
      <c r="O61" s="8">
        <f>IF(ABS($J61)&lt;=tol_trade_inr,"PASS","FAIL")</f>
        <v/>
      </c>
    </row>
    <row r="62">
      <c r="A62" s="11" t="n">
        <v>44711</v>
      </c>
      <c r="B62" s="17" t="b">
        <v>1</v>
      </c>
      <c r="C62" s="9" t="n">
        <v>-10240428.52</v>
      </c>
      <c r="D62" s="9" t="n">
        <v>546230337.1800001</v>
      </c>
      <c r="E62" s="9" t="n">
        <v>212930029.84</v>
      </c>
      <c r="F62" s="9" t="n">
        <v>4379356.4</v>
      </c>
      <c r="G62" s="18">
        <f>SUMIFS(Cashflows!$X$8:$X$1038,Cashflows!$F$8:$F$1038,"PNL",Cashflows!$K$8:$K$1038,"&lt;="&amp;$A62)</f>
        <v/>
      </c>
      <c r="H62" s="18">
        <f>$G62+$C62+$D62</f>
        <v/>
      </c>
      <c r="I62" s="18">
        <f>$H62-$H61</f>
        <v/>
      </c>
      <c r="J62" s="18">
        <f>$H62-$E62</f>
        <v/>
      </c>
      <c r="K62" s="18">
        <f>$I62-$F62</f>
        <v/>
      </c>
      <c r="L62" s="17" t="b">
        <v>0</v>
      </c>
      <c r="O62" s="8">
        <f>IF(ABS($J62)&lt;=tol_trade_inr,"PASS","FAIL")</f>
        <v/>
      </c>
    </row>
    <row r="63">
      <c r="A63" s="11" t="n">
        <v>44712</v>
      </c>
      <c r="B63" s="17" t="b">
        <v>1</v>
      </c>
      <c r="C63" s="9" t="n">
        <v>-10382421.91</v>
      </c>
      <c r="D63" s="9" t="n">
        <v>540893697.53</v>
      </c>
      <c r="E63" s="9" t="n">
        <v>213729567.88</v>
      </c>
      <c r="F63" s="9" t="n">
        <v>799538.03</v>
      </c>
      <c r="G63" s="18">
        <f>SUMIFS(Cashflows!$X$8:$X$1038,Cashflows!$F$8:$F$1038,"PNL",Cashflows!$K$8:$K$1038,"&lt;="&amp;$A63)</f>
        <v/>
      </c>
      <c r="H63" s="18">
        <f>$G63+$C63+$D63</f>
        <v/>
      </c>
      <c r="I63" s="18">
        <f>$H63-$H62</f>
        <v/>
      </c>
      <c r="J63" s="18">
        <f>$H63-$E63</f>
        <v/>
      </c>
      <c r="K63" s="18">
        <f>$I63-$F63</f>
        <v/>
      </c>
      <c r="L63" s="17" t="b">
        <v>1</v>
      </c>
      <c r="M63" s="18">
        <f>SUMIFS(MTM_Daily!$AO$6:$AO$1238,MTM_Daily!$A$6:$A$1238,$A63,MTM_Daily!$L$6:$L$1238,"PNL")</f>
        <v/>
      </c>
      <c r="N63" s="18">
        <f>$M63-$D63</f>
        <v/>
      </c>
      <c r="O63" s="8">
        <f>IF(ABS($J63)&lt;=tol_trade_inr,"PASS","FAIL")</f>
        <v/>
      </c>
    </row>
    <row r="64">
      <c r="A64" s="11" t="n">
        <v>44713</v>
      </c>
      <c r="B64" s="17" t="b">
        <v>1</v>
      </c>
      <c r="C64" s="9" t="n">
        <v>-10527874.77</v>
      </c>
      <c r="D64" s="9" t="n">
        <v>623593678.5599999</v>
      </c>
      <c r="E64" s="9" t="n">
        <v>215095164.92</v>
      </c>
      <c r="F64" s="9" t="n">
        <v>1365597.04</v>
      </c>
      <c r="G64" s="18">
        <f>SUMIFS(Cashflows!$X$8:$X$1038,Cashflows!$F$8:$F$1038,"PNL",Cashflows!$K$8:$K$1038,"&lt;="&amp;$A64)</f>
        <v/>
      </c>
      <c r="H64" s="18">
        <f>$G64+$C64+$D64</f>
        <v/>
      </c>
      <c r="I64" s="18">
        <f>$H64-$H63</f>
        <v/>
      </c>
      <c r="J64" s="18">
        <f>$H64-$E64</f>
        <v/>
      </c>
      <c r="K64" s="18">
        <f>$I64-$F64</f>
        <v/>
      </c>
      <c r="L64" s="17" t="b">
        <v>0</v>
      </c>
      <c r="O64" s="8">
        <f>IF(ABS($J64)&lt;=tol_trade_inr,"PASS","FAIL")</f>
        <v/>
      </c>
    </row>
    <row r="65">
      <c r="A65" s="11" t="n">
        <v>44718</v>
      </c>
      <c r="B65" s="17" t="b">
        <v>1</v>
      </c>
      <c r="C65" s="9" t="n">
        <v>-11332823.02</v>
      </c>
      <c r="D65" s="9" t="n">
        <v>634246329.75</v>
      </c>
      <c r="E65" s="9" t="n">
        <v>218778349</v>
      </c>
      <c r="F65" s="9" t="n">
        <v>3683184.09</v>
      </c>
      <c r="G65" s="18">
        <f>SUMIFS(Cashflows!$X$8:$X$1038,Cashflows!$F$8:$F$1038,"PNL",Cashflows!$K$8:$K$1038,"&lt;="&amp;$A65)</f>
        <v/>
      </c>
      <c r="H65" s="18">
        <f>$G65+$C65+$D65</f>
        <v/>
      </c>
      <c r="I65" s="18">
        <f>$H65-$H64</f>
        <v/>
      </c>
      <c r="J65" s="18">
        <f>$H65-$E65</f>
        <v/>
      </c>
      <c r="K65" s="18">
        <f>$I65-$F65</f>
        <v/>
      </c>
      <c r="L65" s="17" t="b">
        <v>0</v>
      </c>
      <c r="O65" s="8">
        <f>IF(ABS($J65)&lt;=tol_trade_inr,"PASS","FAIL")</f>
        <v/>
      </c>
    </row>
    <row r="66">
      <c r="A66" s="11" t="n">
        <v>44719</v>
      </c>
      <c r="B66" s="17" t="b">
        <v>1</v>
      </c>
      <c r="C66" s="9" t="n">
        <v>-11485375.13</v>
      </c>
      <c r="D66" s="9" t="n">
        <v>633956781.8099999</v>
      </c>
      <c r="E66" s="9" t="n">
        <v>218177568.9</v>
      </c>
      <c r="F66" s="9" t="n">
        <v>-600780.11</v>
      </c>
      <c r="G66" s="18">
        <f>SUMIFS(Cashflows!$X$8:$X$1038,Cashflows!$F$8:$F$1038,"PNL",Cashflows!$K$8:$K$1038,"&lt;="&amp;$A66)</f>
        <v/>
      </c>
      <c r="H66" s="18">
        <f>$G66+$C66+$D66</f>
        <v/>
      </c>
      <c r="I66" s="18">
        <f>$H66-$H65</f>
        <v/>
      </c>
      <c r="J66" s="18">
        <f>$H66-$E66</f>
        <v/>
      </c>
      <c r="K66" s="18">
        <f>$I66-$F66</f>
        <v/>
      </c>
      <c r="L66" s="17" t="b">
        <v>0</v>
      </c>
      <c r="O66" s="8">
        <f>IF(ABS($J66)&lt;=tol_trade_inr,"PASS","FAIL")</f>
        <v/>
      </c>
    </row>
    <row r="67">
      <c r="A67" s="11" t="n">
        <v>44720</v>
      </c>
      <c r="B67" s="17" t="b">
        <v>1</v>
      </c>
      <c r="C67" s="9" t="n">
        <v>-11643974.65</v>
      </c>
      <c r="D67" s="9" t="n">
        <v>412434544.6899999</v>
      </c>
      <c r="E67" s="9" t="n">
        <v>223891062.09</v>
      </c>
      <c r="F67" s="9" t="n">
        <v>5713493.19</v>
      </c>
      <c r="G67" s="18">
        <f>SUMIFS(Cashflows!$X$8:$X$1038,Cashflows!$F$8:$F$1038,"PNL",Cashflows!$K$8:$K$1038,"&lt;="&amp;$A67)</f>
        <v/>
      </c>
      <c r="H67" s="18">
        <f>$G67+$C67+$D67</f>
        <v/>
      </c>
      <c r="I67" s="18">
        <f>$H67-$H66</f>
        <v/>
      </c>
      <c r="J67" s="18">
        <f>$H67-$E67</f>
        <v/>
      </c>
      <c r="K67" s="18">
        <f>$I67-$F67</f>
        <v/>
      </c>
      <c r="L67" s="17" t="b">
        <v>1</v>
      </c>
      <c r="M67" s="18">
        <f>SUMIFS(MTM_Daily!$AO$6:$AO$1238,MTM_Daily!$A$6:$A$1238,$A67,MTM_Daily!$L$6:$L$1238,"PNL")</f>
        <v/>
      </c>
      <c r="N67" s="18">
        <f>$M67-$D67</f>
        <v/>
      </c>
      <c r="O67" s="8">
        <f>IF(ABS($J67)&lt;=tol_trade_inr,"PASS","FAIL")</f>
        <v/>
      </c>
    </row>
    <row r="68">
      <c r="A68" s="11" t="n">
        <v>44721</v>
      </c>
      <c r="B68" s="17" t="b">
        <v>1</v>
      </c>
      <c r="C68" s="9" t="n">
        <v>-11742337.08</v>
      </c>
      <c r="D68" s="9" t="n">
        <v>393151001.72</v>
      </c>
      <c r="E68" s="9" t="n">
        <v>224878677.02</v>
      </c>
      <c r="F68" s="9" t="n">
        <v>987614.9300000001</v>
      </c>
      <c r="G68" s="18">
        <f>SUMIFS(Cashflows!$X$8:$X$1038,Cashflows!$F$8:$F$1038,"PNL",Cashflows!$K$8:$K$1038,"&lt;="&amp;$A68)</f>
        <v/>
      </c>
      <c r="H68" s="18">
        <f>$G68+$C68+$D68</f>
        <v/>
      </c>
      <c r="I68" s="18">
        <f>$H68-$H67</f>
        <v/>
      </c>
      <c r="J68" s="18">
        <f>$H68-$E68</f>
        <v/>
      </c>
      <c r="K68" s="18">
        <f>$I68-$F68</f>
        <v/>
      </c>
      <c r="L68" s="17" t="b">
        <v>0</v>
      </c>
      <c r="O68" s="8">
        <f>IF(ABS($J68)&lt;=tol_trade_inr,"PASS","FAIL")</f>
        <v/>
      </c>
    </row>
    <row r="69">
      <c r="A69" s="11" t="n">
        <v>44722</v>
      </c>
      <c r="B69" s="17" t="b">
        <v>1</v>
      </c>
      <c r="C69" s="9" t="n">
        <v>-11835243.97</v>
      </c>
      <c r="D69" s="9" t="n">
        <v>380525533.14</v>
      </c>
      <c r="E69" s="9" t="n">
        <v>219824177.35</v>
      </c>
      <c r="F69" s="9" t="n">
        <v>-5054499.67</v>
      </c>
      <c r="G69" s="18">
        <f>SUMIFS(Cashflows!$X$8:$X$1038,Cashflows!$F$8:$F$1038,"PNL",Cashflows!$K$8:$K$1038,"&lt;="&amp;$A69)</f>
        <v/>
      </c>
      <c r="H69" s="18">
        <f>$G69+$C69+$D69</f>
        <v/>
      </c>
      <c r="I69" s="18">
        <f>$H69-$H68</f>
        <v/>
      </c>
      <c r="J69" s="18">
        <f>$H69-$E69</f>
        <v/>
      </c>
      <c r="K69" s="18">
        <f>$I69-$F69</f>
        <v/>
      </c>
      <c r="L69" s="17" t="b">
        <v>0</v>
      </c>
      <c r="O69" s="8">
        <f>IF(ABS($J69)&lt;=tol_trade_inr,"PASS","FAIL")</f>
        <v/>
      </c>
    </row>
    <row r="70">
      <c r="A70" s="11" t="n">
        <v>44725</v>
      </c>
      <c r="B70" s="17" t="b">
        <v>1</v>
      </c>
      <c r="C70" s="9" t="n">
        <v>-12107204.75</v>
      </c>
      <c r="D70" s="9" t="n">
        <v>367285061.0100001</v>
      </c>
      <c r="E70" s="9" t="n">
        <v>218081704.92</v>
      </c>
      <c r="F70" s="9" t="n">
        <v>-1742472.43</v>
      </c>
      <c r="G70" s="18">
        <f>SUMIFS(Cashflows!$X$8:$X$1038,Cashflows!$F$8:$F$1038,"PNL",Cashflows!$K$8:$K$1038,"&lt;="&amp;$A70)</f>
        <v/>
      </c>
      <c r="H70" s="18">
        <f>$G70+$C70+$D70</f>
        <v/>
      </c>
      <c r="I70" s="18">
        <f>$H70-$H69</f>
        <v/>
      </c>
      <c r="J70" s="18">
        <f>$H70-$E70</f>
        <v/>
      </c>
      <c r="K70" s="18">
        <f>$I70-$F70</f>
        <v/>
      </c>
      <c r="L70" s="17" t="b">
        <v>0</v>
      </c>
      <c r="O70" s="8">
        <f>IF(ABS($J70)&lt;=tol_trade_inr,"PASS","FAIL")</f>
        <v/>
      </c>
    </row>
    <row r="71">
      <c r="A71" s="11" t="n">
        <v>44726</v>
      </c>
      <c r="B71" s="17" t="b">
        <v>1</v>
      </c>
      <c r="C71" s="9" t="n">
        <v>-12202614.7</v>
      </c>
      <c r="D71" s="9" t="n">
        <v>297156701.38</v>
      </c>
      <c r="E71" s="9" t="n">
        <v>220195586.25</v>
      </c>
      <c r="F71" s="9" t="n">
        <v>2113881.33</v>
      </c>
      <c r="G71" s="18">
        <f>SUMIFS(Cashflows!$X$8:$X$1038,Cashflows!$F$8:$F$1038,"PNL",Cashflows!$K$8:$K$1038,"&lt;="&amp;$A71)</f>
        <v/>
      </c>
      <c r="H71" s="18">
        <f>$G71+$C71+$D71</f>
        <v/>
      </c>
      <c r="I71" s="18">
        <f>$H71-$H70</f>
        <v/>
      </c>
      <c r="J71" s="18">
        <f>$H71-$E71</f>
        <v/>
      </c>
      <c r="K71" s="18">
        <f>$I71-$F71</f>
        <v/>
      </c>
      <c r="L71" s="17" t="b">
        <v>0</v>
      </c>
      <c r="O71" s="8">
        <f>IF(ABS($J71)&lt;=tol_trade_inr,"PASS","FAIL")</f>
        <v/>
      </c>
    </row>
    <row r="72">
      <c r="A72" s="11" t="n">
        <v>44727</v>
      </c>
      <c r="B72" s="17" t="b">
        <v>1</v>
      </c>
      <c r="C72" s="9" t="n">
        <v>-12284887.23</v>
      </c>
      <c r="D72" s="9" t="n">
        <v>456025275.57</v>
      </c>
      <c r="E72" s="9" t="n">
        <v>219248607.79</v>
      </c>
      <c r="F72" s="9" t="n">
        <v>-946978.46</v>
      </c>
      <c r="G72" s="18">
        <f>SUMIFS(Cashflows!$X$8:$X$1038,Cashflows!$F$8:$F$1038,"PNL",Cashflows!$K$8:$K$1038,"&lt;="&amp;$A72)</f>
        <v/>
      </c>
      <c r="H72" s="18">
        <f>$G72+$C72+$D72</f>
        <v/>
      </c>
      <c r="I72" s="18">
        <f>$H72-$H71</f>
        <v/>
      </c>
      <c r="J72" s="18">
        <f>$H72-$E72</f>
        <v/>
      </c>
      <c r="K72" s="18">
        <f>$I72-$F72</f>
        <v/>
      </c>
      <c r="L72" s="17" t="b">
        <v>0</v>
      </c>
      <c r="O72" s="8">
        <f>IF(ABS($J72)&lt;=tol_trade_inr,"PASS","FAIL")</f>
        <v/>
      </c>
    </row>
    <row r="73">
      <c r="A73" s="11" t="n">
        <v>44728</v>
      </c>
      <c r="B73" s="17" t="b">
        <v>1</v>
      </c>
      <c r="C73" s="9" t="n">
        <v>-12412162.49</v>
      </c>
      <c r="D73" s="9" t="n">
        <v>441580998.94</v>
      </c>
      <c r="E73" s="9" t="n">
        <v>215048452.94</v>
      </c>
      <c r="F73" s="9" t="n">
        <v>-4200154.85</v>
      </c>
      <c r="G73" s="18">
        <f>SUMIFS(Cashflows!$X$8:$X$1038,Cashflows!$F$8:$F$1038,"PNL",Cashflows!$K$8:$K$1038,"&lt;="&amp;$A73)</f>
        <v/>
      </c>
      <c r="H73" s="18">
        <f>$G73+$C73+$D73</f>
        <v/>
      </c>
      <c r="I73" s="18">
        <f>$H73-$H72</f>
        <v/>
      </c>
      <c r="J73" s="18">
        <f>$H73-$E73</f>
        <v/>
      </c>
      <c r="K73" s="18">
        <f>$I73-$F73</f>
        <v/>
      </c>
      <c r="L73" s="17" t="b">
        <v>0</v>
      </c>
      <c r="O73" s="8">
        <f>IF(ABS($J73)&lt;=tol_trade_inr,"PASS","FAIL")</f>
        <v/>
      </c>
    </row>
    <row r="74">
      <c r="A74" s="11" t="n">
        <v>44729</v>
      </c>
      <c r="B74" s="17" t="b">
        <v>1</v>
      </c>
      <c r="C74" s="9" t="n">
        <v>-12544336.17</v>
      </c>
      <c r="D74" s="9" t="n">
        <v>436437041.4300001</v>
      </c>
      <c r="E74" s="9" t="n">
        <v>216916253.15</v>
      </c>
      <c r="F74" s="9" t="n">
        <v>1867800.22</v>
      </c>
      <c r="G74" s="18">
        <f>SUMIFS(Cashflows!$X$8:$X$1038,Cashflows!$F$8:$F$1038,"PNL",Cashflows!$K$8:$K$1038,"&lt;="&amp;$A74)</f>
        <v/>
      </c>
      <c r="H74" s="18">
        <f>$G74+$C74+$D74</f>
        <v/>
      </c>
      <c r="I74" s="18">
        <f>$H74-$H73</f>
        <v/>
      </c>
      <c r="J74" s="18">
        <f>$H74-$E74</f>
        <v/>
      </c>
      <c r="K74" s="18">
        <f>$I74-$F74</f>
        <v/>
      </c>
      <c r="L74" s="17" t="b">
        <v>0</v>
      </c>
      <c r="O74" s="8">
        <f>IF(ABS($J74)&lt;=tol_trade_inr,"PASS","FAIL")</f>
        <v/>
      </c>
    </row>
    <row r="75">
      <c r="A75" s="11" t="n">
        <v>44732</v>
      </c>
      <c r="B75" s="17" t="b">
        <v>1</v>
      </c>
      <c r="C75" s="9" t="n">
        <v>-12934462.89</v>
      </c>
      <c r="D75" s="9" t="n">
        <v>435857191.51</v>
      </c>
      <c r="E75" s="9" t="n">
        <v>216101238.86</v>
      </c>
      <c r="F75" s="9" t="n">
        <v>-815014.3</v>
      </c>
      <c r="G75" s="18">
        <f>SUMIFS(Cashflows!$X$8:$X$1038,Cashflows!$F$8:$F$1038,"PNL",Cashflows!$K$8:$K$1038,"&lt;="&amp;$A75)</f>
        <v/>
      </c>
      <c r="H75" s="18">
        <f>$G75+$C75+$D75</f>
        <v/>
      </c>
      <c r="I75" s="18">
        <f>$H75-$H74</f>
        <v/>
      </c>
      <c r="J75" s="18">
        <f>$H75-$E75</f>
        <v/>
      </c>
      <c r="K75" s="18">
        <f>$I75-$F75</f>
        <v/>
      </c>
      <c r="L75" s="17" t="b">
        <v>0</v>
      </c>
      <c r="O75" s="8">
        <f>IF(ABS($J75)&lt;=tol_trade_inr,"PASS","FAIL")</f>
        <v/>
      </c>
    </row>
    <row r="76">
      <c r="A76" s="11" t="n">
        <v>44733</v>
      </c>
      <c r="B76" s="17" t="b">
        <v>1</v>
      </c>
      <c r="C76" s="9" t="n">
        <v>-13072166.08</v>
      </c>
      <c r="D76" s="9" t="n">
        <v>449966400.04</v>
      </c>
      <c r="E76" s="9" t="n">
        <v>212824735.57</v>
      </c>
      <c r="F76" s="9" t="n">
        <v>-3276503.29</v>
      </c>
      <c r="G76" s="18">
        <f>SUMIFS(Cashflows!$X$8:$X$1038,Cashflows!$F$8:$F$1038,"PNL",Cashflows!$K$8:$K$1038,"&lt;="&amp;$A76)</f>
        <v/>
      </c>
      <c r="H76" s="18">
        <f>$G76+$C76+$D76</f>
        <v/>
      </c>
      <c r="I76" s="18">
        <f>$H76-$H75</f>
        <v/>
      </c>
      <c r="J76" s="18">
        <f>$H76-$E76</f>
        <v/>
      </c>
      <c r="K76" s="18">
        <f>$I76-$F76</f>
        <v/>
      </c>
      <c r="L76" s="17" t="b">
        <v>0</v>
      </c>
      <c r="O76" s="8">
        <f>IF(ABS($J76)&lt;=tol_trade_inr,"PASS","FAIL")</f>
        <v/>
      </c>
    </row>
    <row r="77">
      <c r="A77" s="11" t="n">
        <v>44734</v>
      </c>
      <c r="B77" s="17" t="b">
        <v>1</v>
      </c>
      <c r="C77" s="9" t="n">
        <v>-13215041.18</v>
      </c>
      <c r="D77" s="9" t="n">
        <v>592156765.54</v>
      </c>
      <c r="E77" s="9" t="n">
        <v>214772058.14</v>
      </c>
      <c r="F77" s="9" t="n">
        <v>1947322.57</v>
      </c>
      <c r="G77" s="18">
        <f>SUMIFS(Cashflows!$X$8:$X$1038,Cashflows!$F$8:$F$1038,"PNL",Cashflows!$K$8:$K$1038,"&lt;="&amp;$A77)</f>
        <v/>
      </c>
      <c r="H77" s="18">
        <f>$G77+$C77+$D77</f>
        <v/>
      </c>
      <c r="I77" s="18">
        <f>$H77-$H76</f>
        <v/>
      </c>
      <c r="J77" s="18">
        <f>$H77-$E77</f>
        <v/>
      </c>
      <c r="K77" s="18">
        <f>$I77-$F77</f>
        <v/>
      </c>
      <c r="L77" s="17" t="b">
        <v>0</v>
      </c>
      <c r="O77" s="8">
        <f>IF(ABS($J77)&lt;=tol_trade_inr,"PASS","FAIL")</f>
        <v/>
      </c>
    </row>
    <row r="78">
      <c r="A78" s="11" t="n">
        <v>44735</v>
      </c>
      <c r="B78" s="17" t="b">
        <v>1</v>
      </c>
      <c r="C78" s="9" t="n">
        <v>-13395493.75</v>
      </c>
      <c r="D78" s="9" t="n">
        <v>430863125.8</v>
      </c>
      <c r="E78" s="9" t="n">
        <v>214293032.89</v>
      </c>
      <c r="F78" s="9" t="n">
        <v>-479025.24</v>
      </c>
      <c r="G78" s="18">
        <f>SUMIFS(Cashflows!$X$8:$X$1038,Cashflows!$F$8:$F$1038,"PNL",Cashflows!$K$8:$K$1038,"&lt;="&amp;$A78)</f>
        <v/>
      </c>
      <c r="H78" s="18">
        <f>$G78+$C78+$D78</f>
        <v/>
      </c>
      <c r="I78" s="18">
        <f>$H78-$H77</f>
        <v/>
      </c>
      <c r="J78" s="18">
        <f>$H78-$E78</f>
        <v/>
      </c>
      <c r="K78" s="18">
        <f>$I78-$F78</f>
        <v/>
      </c>
      <c r="L78" s="17" t="b">
        <v>0</v>
      </c>
      <c r="O78" s="8">
        <f>IF(ABS($J78)&lt;=tol_trade_inr,"PASS","FAIL")</f>
        <v/>
      </c>
    </row>
    <row r="79">
      <c r="A79" s="11" t="n">
        <v>44736</v>
      </c>
      <c r="B79" s="17" t="b">
        <v>1</v>
      </c>
      <c r="C79" s="9" t="n">
        <v>-13524505.06</v>
      </c>
      <c r="D79" s="9" t="n">
        <v>419839083.89</v>
      </c>
      <c r="E79" s="9" t="n">
        <v>215000916.36</v>
      </c>
      <c r="F79" s="9" t="n">
        <v>707883.47</v>
      </c>
      <c r="G79" s="18">
        <f>SUMIFS(Cashflows!$X$8:$X$1038,Cashflows!$F$8:$F$1038,"PNL",Cashflows!$K$8:$K$1038,"&lt;="&amp;$A79)</f>
        <v/>
      </c>
      <c r="H79" s="18">
        <f>$G79+$C79+$D79</f>
        <v/>
      </c>
      <c r="I79" s="18">
        <f>$H79-$H78</f>
        <v/>
      </c>
      <c r="J79" s="18">
        <f>$H79-$E79</f>
        <v/>
      </c>
      <c r="K79" s="18">
        <f>$I79-$F79</f>
        <v/>
      </c>
      <c r="L79" s="17" t="b">
        <v>0</v>
      </c>
      <c r="O79" s="8">
        <f>IF(ABS($J79)&lt;=tol_trade_inr,"PASS","FAIL")</f>
        <v/>
      </c>
    </row>
    <row r="80">
      <c r="A80" s="11" t="n">
        <v>44739</v>
      </c>
      <c r="B80" s="17" t="b">
        <v>1</v>
      </c>
      <c r="C80" s="9" t="n">
        <v>-13900922.67</v>
      </c>
      <c r="D80" s="9" t="n">
        <v>429020733.48</v>
      </c>
      <c r="E80" s="9" t="n">
        <v>218256101.19</v>
      </c>
      <c r="F80" s="9" t="n">
        <v>3255184.83</v>
      </c>
      <c r="G80" s="18">
        <f>SUMIFS(Cashflows!$X$8:$X$1038,Cashflows!$F$8:$F$1038,"PNL",Cashflows!$K$8:$K$1038,"&lt;="&amp;$A80)</f>
        <v/>
      </c>
      <c r="H80" s="18">
        <f>$G80+$C80+$D80</f>
        <v/>
      </c>
      <c r="I80" s="18">
        <f>$H80-$H79</f>
        <v/>
      </c>
      <c r="J80" s="18">
        <f>$H80-$E80</f>
        <v/>
      </c>
      <c r="K80" s="18">
        <f>$I80-$F80</f>
        <v/>
      </c>
      <c r="L80" s="17" t="b">
        <v>0</v>
      </c>
      <c r="O80" s="8">
        <f>IF(ABS($J80)&lt;=tol_trade_inr,"PASS","FAIL")</f>
        <v/>
      </c>
    </row>
    <row r="81">
      <c r="A81" s="11" t="n">
        <v>44740</v>
      </c>
      <c r="B81" s="17" t="b">
        <v>1</v>
      </c>
      <c r="C81" s="9" t="n">
        <v>-14028051.1</v>
      </c>
      <c r="D81" s="9" t="n">
        <v>450622340.91</v>
      </c>
      <c r="E81" s="9" t="n">
        <v>218056094.93</v>
      </c>
      <c r="F81" s="9" t="n">
        <v>-200006.26</v>
      </c>
      <c r="G81" s="18">
        <f>SUMIFS(Cashflows!$X$8:$X$1038,Cashflows!$F$8:$F$1038,"PNL",Cashflows!$K$8:$K$1038,"&lt;="&amp;$A81)</f>
        <v/>
      </c>
      <c r="H81" s="18">
        <f>$G81+$C81+$D81</f>
        <v/>
      </c>
      <c r="I81" s="18">
        <f>$H81-$H80</f>
        <v/>
      </c>
      <c r="J81" s="18">
        <f>$H81-$E81</f>
        <v/>
      </c>
      <c r="K81" s="18">
        <f>$I81-$F81</f>
        <v/>
      </c>
      <c r="L81" s="17" t="b">
        <v>0</v>
      </c>
      <c r="O81" s="8">
        <f>IF(ABS($J81)&lt;=tol_trade_inr,"PASS","FAIL")</f>
        <v/>
      </c>
    </row>
    <row r="82">
      <c r="A82" s="11" t="n">
        <v>44741</v>
      </c>
      <c r="B82" s="17" t="b">
        <v>1</v>
      </c>
      <c r="C82" s="9" t="n">
        <v>-14169837.08</v>
      </c>
      <c r="D82" s="9" t="n">
        <v>560072531.28</v>
      </c>
      <c r="E82" s="9" t="n">
        <v>217325735.23</v>
      </c>
      <c r="F82" s="9" t="n">
        <v>-730359.71</v>
      </c>
      <c r="G82" s="18">
        <f>SUMIFS(Cashflows!$X$8:$X$1038,Cashflows!$F$8:$F$1038,"PNL",Cashflows!$K$8:$K$1038,"&lt;="&amp;$A82)</f>
        <v/>
      </c>
      <c r="H82" s="18">
        <f>$G82+$C82+$D82</f>
        <v/>
      </c>
      <c r="I82" s="18">
        <f>$H82-$H81</f>
        <v/>
      </c>
      <c r="J82" s="18">
        <f>$H82-$E82</f>
        <v/>
      </c>
      <c r="K82" s="18">
        <f>$I82-$F82</f>
        <v/>
      </c>
      <c r="L82" s="17" t="b">
        <v>0</v>
      </c>
      <c r="O82" s="8">
        <f>IF(ABS($J82)&lt;=tol_trade_inr,"PASS","FAIL")</f>
        <v/>
      </c>
    </row>
    <row r="83">
      <c r="A83" s="11" t="n">
        <v>44742</v>
      </c>
      <c r="B83" s="17" t="b">
        <v>1</v>
      </c>
      <c r="C83" s="9" t="n">
        <v>-14333167.25</v>
      </c>
      <c r="D83" s="9" t="n">
        <v>548034393.0899999</v>
      </c>
      <c r="E83" s="9" t="n">
        <v>219298462.27</v>
      </c>
      <c r="F83" s="9" t="n">
        <v>1972727.04</v>
      </c>
      <c r="G83" s="18">
        <f>SUMIFS(Cashflows!$X$8:$X$1038,Cashflows!$F$8:$F$1038,"PNL",Cashflows!$K$8:$K$1038,"&lt;="&amp;$A83)</f>
        <v/>
      </c>
      <c r="H83" s="18">
        <f>$G83+$C83+$D83</f>
        <v/>
      </c>
      <c r="I83" s="18">
        <f>$H83-$H82</f>
        <v/>
      </c>
      <c r="J83" s="18">
        <f>$H83-$E83</f>
        <v/>
      </c>
      <c r="K83" s="18">
        <f>$I83-$F83</f>
        <v/>
      </c>
      <c r="L83" s="17" t="b">
        <v>1</v>
      </c>
      <c r="M83" s="18">
        <f>SUMIFS(MTM_Daily!$AO$6:$AO$1238,MTM_Daily!$A$6:$A$1238,$A83,MTM_Daily!$L$6:$L$1238,"PNL")</f>
        <v/>
      </c>
      <c r="N83" s="18">
        <f>$M83-$D83</f>
        <v/>
      </c>
      <c r="O83" s="8">
        <f>IF(ABS($J83)&lt;=tol_trade_inr,"PASS","FAIL")</f>
        <v/>
      </c>
    </row>
    <row r="84">
      <c r="A84" s="11" t="n">
        <v>44743</v>
      </c>
      <c r="B84" s="17" t="b">
        <v>1</v>
      </c>
      <c r="C84" s="9" t="n">
        <v>-14492268.47</v>
      </c>
      <c r="D84" s="9" t="n">
        <v>543030986.3599999</v>
      </c>
      <c r="E84" s="9" t="n">
        <v>217969645.28</v>
      </c>
      <c r="F84" s="9" t="n">
        <v>-1328816.98</v>
      </c>
      <c r="G84" s="18">
        <f>SUMIFS(Cashflows!$X$8:$X$1038,Cashflows!$F$8:$F$1038,"PNL",Cashflows!$K$8:$K$1038,"&lt;="&amp;$A84)</f>
        <v/>
      </c>
      <c r="H84" s="18">
        <f>$G84+$C84+$D84</f>
        <v/>
      </c>
      <c r="I84" s="18">
        <f>$H84-$H83</f>
        <v/>
      </c>
      <c r="J84" s="18">
        <f>$H84-$E84</f>
        <v/>
      </c>
      <c r="K84" s="18">
        <f>$I84-$F84</f>
        <v/>
      </c>
      <c r="L84" s="17" t="b">
        <v>0</v>
      </c>
      <c r="O84" s="8">
        <f>IF(ABS($J84)&lt;=tol_trade_inr,"PASS","FAIL")</f>
        <v/>
      </c>
    </row>
    <row r="85">
      <c r="A85" s="11" t="n">
        <v>44746</v>
      </c>
      <c r="B85" s="17" t="b">
        <v>1</v>
      </c>
      <c r="C85" s="9" t="n">
        <v>-14966140.66</v>
      </c>
      <c r="D85" s="9" t="n">
        <v>650158439.7900001</v>
      </c>
      <c r="E85" s="9" t="n">
        <v>217165705.42</v>
      </c>
      <c r="F85" s="9" t="n">
        <v>-803939.87</v>
      </c>
      <c r="G85" s="18">
        <f>SUMIFS(Cashflows!$X$8:$X$1038,Cashflows!$F$8:$F$1038,"PNL",Cashflows!$K$8:$K$1038,"&lt;="&amp;$A85)</f>
        <v/>
      </c>
      <c r="H85" s="18">
        <f>$G85+$C85+$D85</f>
        <v/>
      </c>
      <c r="I85" s="18">
        <f>$H85-$H84</f>
        <v/>
      </c>
      <c r="J85" s="18">
        <f>$H85-$E85</f>
        <v/>
      </c>
      <c r="K85" s="18">
        <f>$I85-$F85</f>
        <v/>
      </c>
      <c r="L85" s="17" t="b">
        <v>0</v>
      </c>
      <c r="O85" s="8">
        <f>IF(ABS($J85)&lt;=tol_trade_inr,"PASS","FAIL")</f>
        <v/>
      </c>
    </row>
    <row r="86">
      <c r="A86" s="11" t="n">
        <v>44747</v>
      </c>
      <c r="B86" s="17" t="b">
        <v>1</v>
      </c>
      <c r="C86" s="9" t="n">
        <v>-15153983.19</v>
      </c>
      <c r="D86" s="9" t="n">
        <v>640357530.0700001</v>
      </c>
      <c r="E86" s="9" t="n">
        <v>211852083.1</v>
      </c>
      <c r="F86" s="9" t="n">
        <v>-5313622.32</v>
      </c>
      <c r="G86" s="18">
        <f>SUMIFS(Cashflows!$X$8:$X$1038,Cashflows!$F$8:$F$1038,"PNL",Cashflows!$K$8:$K$1038,"&lt;="&amp;$A86)</f>
        <v/>
      </c>
      <c r="H86" s="18">
        <f>$G86+$C86+$D86</f>
        <v/>
      </c>
      <c r="I86" s="18">
        <f>$H86-$H85</f>
        <v/>
      </c>
      <c r="J86" s="18">
        <f>$H86-$E86</f>
        <v/>
      </c>
      <c r="K86" s="18">
        <f>$I86-$F86</f>
        <v/>
      </c>
      <c r="L86" s="17" t="b">
        <v>0</v>
      </c>
      <c r="O86" s="8">
        <f>IF(ABS($J86)&lt;=tol_trade_inr,"PASS","FAIL")</f>
        <v/>
      </c>
    </row>
    <row r="87">
      <c r="A87" s="11" t="n">
        <v>44748</v>
      </c>
      <c r="B87" s="17" t="b">
        <v>1</v>
      </c>
      <c r="C87" s="9" t="n">
        <v>-15340430.88</v>
      </c>
      <c r="D87" s="9" t="n">
        <v>758307633.14</v>
      </c>
      <c r="E87" s="9" t="n">
        <v>210925474.11</v>
      </c>
      <c r="F87" s="9" t="n">
        <v>-926608.99</v>
      </c>
      <c r="G87" s="18">
        <f>SUMIFS(Cashflows!$X$8:$X$1038,Cashflows!$F$8:$F$1038,"PNL",Cashflows!$K$8:$K$1038,"&lt;="&amp;$A87)</f>
        <v/>
      </c>
      <c r="H87" s="18">
        <f>$G87+$C87+$D87</f>
        <v/>
      </c>
      <c r="I87" s="18">
        <f>$H87-$H86</f>
        <v/>
      </c>
      <c r="J87" s="18">
        <f>$H87-$E87</f>
        <v/>
      </c>
      <c r="K87" s="18">
        <f>$I87-$F87</f>
        <v/>
      </c>
      <c r="L87" s="17" t="b">
        <v>0</v>
      </c>
      <c r="O87" s="8">
        <f>IF(ABS($J87)&lt;=tol_trade_inr,"PASS","FAIL")</f>
        <v/>
      </c>
    </row>
    <row r="88">
      <c r="A88" s="11" t="n">
        <v>44749</v>
      </c>
      <c r="B88" s="17" t="b">
        <v>1</v>
      </c>
      <c r="C88" s="9" t="n">
        <v>-15559003.5</v>
      </c>
      <c r="D88" s="9" t="n">
        <v>764205494.8599999</v>
      </c>
      <c r="E88" s="9" t="n">
        <v>215043965.99</v>
      </c>
      <c r="F88" s="9" t="n">
        <v>4118491.88</v>
      </c>
      <c r="G88" s="18">
        <f>SUMIFS(Cashflows!$X$8:$X$1038,Cashflows!$F$8:$F$1038,"PNL",Cashflows!$K$8:$K$1038,"&lt;="&amp;$A88)</f>
        <v/>
      </c>
      <c r="H88" s="18">
        <f>$G88+$C88+$D88</f>
        <v/>
      </c>
      <c r="I88" s="18">
        <f>$H88-$H87</f>
        <v/>
      </c>
      <c r="J88" s="18">
        <f>$H88-$E88</f>
        <v/>
      </c>
      <c r="K88" s="18">
        <f>$I88-$F88</f>
        <v/>
      </c>
      <c r="L88" s="17" t="b">
        <v>0</v>
      </c>
      <c r="O88" s="8">
        <f>IF(ABS($J88)&lt;=tol_trade_inr,"PASS","FAIL")</f>
        <v/>
      </c>
    </row>
    <row r="89">
      <c r="A89" s="11" t="n">
        <v>44750</v>
      </c>
      <c r="B89" s="17" t="b">
        <v>1</v>
      </c>
      <c r="C89" s="9" t="n">
        <v>-15778173.55</v>
      </c>
      <c r="D89" s="9" t="n">
        <v>761187170.9400001</v>
      </c>
      <c r="E89" s="9" t="n">
        <v>213556911.64</v>
      </c>
      <c r="F89" s="9" t="n">
        <v>-1487054.34</v>
      </c>
      <c r="G89" s="18">
        <f>SUMIFS(Cashflows!$X$8:$X$1038,Cashflows!$F$8:$F$1038,"PNL",Cashflows!$K$8:$K$1038,"&lt;="&amp;$A89)</f>
        <v/>
      </c>
      <c r="H89" s="18">
        <f>$G89+$C89+$D89</f>
        <v/>
      </c>
      <c r="I89" s="18">
        <f>$H89-$H88</f>
        <v/>
      </c>
      <c r="J89" s="18">
        <f>$H89-$E89</f>
        <v/>
      </c>
      <c r="K89" s="18">
        <f>$I89-$F89</f>
        <v/>
      </c>
      <c r="L89" s="17" t="b">
        <v>0</v>
      </c>
      <c r="O89" s="8">
        <f>IF(ABS($J89)&lt;=tol_trade_inr,"PASS","FAIL")</f>
        <v/>
      </c>
    </row>
    <row r="90">
      <c r="A90" s="11" t="n">
        <v>44753</v>
      </c>
      <c r="B90" s="17" t="b">
        <v>1</v>
      </c>
      <c r="C90" s="9" t="n">
        <v>-16434116.97</v>
      </c>
      <c r="D90" s="9" t="n">
        <v>910802133.08</v>
      </c>
      <c r="E90" s="9" t="n">
        <v>213251323.02</v>
      </c>
      <c r="F90" s="9" t="n">
        <v>-305588.62</v>
      </c>
      <c r="G90" s="18">
        <f>SUMIFS(Cashflows!$X$8:$X$1038,Cashflows!$F$8:$F$1038,"PNL",Cashflows!$K$8:$K$1038,"&lt;="&amp;$A90)</f>
        <v/>
      </c>
      <c r="H90" s="18">
        <f>$G90+$C90+$D90</f>
        <v/>
      </c>
      <c r="I90" s="18">
        <f>$H90-$H89</f>
        <v/>
      </c>
      <c r="J90" s="18">
        <f>$H90-$E90</f>
        <v/>
      </c>
      <c r="K90" s="18">
        <f>$I90-$F90</f>
        <v/>
      </c>
      <c r="L90" s="17" t="b">
        <v>0</v>
      </c>
      <c r="O90" s="8">
        <f>IF(ABS($J90)&lt;=tol_trade_inr,"PASS","FAIL")</f>
        <v/>
      </c>
    </row>
    <row r="91">
      <c r="A91" s="11" t="n">
        <v>44754</v>
      </c>
      <c r="B91" s="17" t="b">
        <v>1</v>
      </c>
      <c r="C91" s="9" t="n">
        <v>-16693317.72</v>
      </c>
      <c r="D91" s="9" t="n">
        <v>993800958.9399999</v>
      </c>
      <c r="E91" s="9" t="n">
        <v>211693084.17</v>
      </c>
      <c r="F91" s="9" t="n">
        <v>-1558238.85</v>
      </c>
      <c r="G91" s="18">
        <f>SUMIFS(Cashflows!$X$8:$X$1038,Cashflows!$F$8:$F$1038,"PNL",Cashflows!$K$8:$K$1038,"&lt;="&amp;$A91)</f>
        <v/>
      </c>
      <c r="H91" s="18">
        <f>$G91+$C91+$D91</f>
        <v/>
      </c>
      <c r="I91" s="18">
        <f>$H91-$H90</f>
        <v/>
      </c>
      <c r="J91" s="18">
        <f>$H91-$E91</f>
        <v/>
      </c>
      <c r="K91" s="18">
        <f>$I91-$F91</f>
        <v/>
      </c>
      <c r="L91" s="17" t="b">
        <v>0</v>
      </c>
      <c r="O91" s="8">
        <f>IF(ABS($J91)&lt;=tol_trade_inr,"PASS","FAIL")</f>
        <v/>
      </c>
    </row>
    <row r="92">
      <c r="A92" s="11" t="n">
        <v>44755</v>
      </c>
      <c r="B92" s="17" t="b">
        <v>1</v>
      </c>
      <c r="C92" s="9" t="n">
        <v>-16988463.99</v>
      </c>
      <c r="D92" s="9" t="n">
        <v>991620985.46</v>
      </c>
      <c r="E92" s="9" t="n">
        <v>210750375.26</v>
      </c>
      <c r="F92" s="9" t="n">
        <v>-942708.91</v>
      </c>
      <c r="G92" s="18">
        <f>SUMIFS(Cashflows!$X$8:$X$1038,Cashflows!$F$8:$F$1038,"PNL",Cashflows!$K$8:$K$1038,"&lt;="&amp;$A92)</f>
        <v/>
      </c>
      <c r="H92" s="18">
        <f>$G92+$C92+$D92</f>
        <v/>
      </c>
      <c r="I92" s="18">
        <f>$H92-$H91</f>
        <v/>
      </c>
      <c r="J92" s="18">
        <f>$H92-$E92</f>
        <v/>
      </c>
      <c r="K92" s="18">
        <f>$I92-$F92</f>
        <v/>
      </c>
      <c r="L92" s="17" t="b">
        <v>0</v>
      </c>
      <c r="O92" s="8">
        <f>IF(ABS($J92)&lt;=tol_trade_inr,"PASS","FAIL")</f>
        <v/>
      </c>
    </row>
    <row r="93">
      <c r="A93" s="11" t="n">
        <v>44756</v>
      </c>
      <c r="B93" s="17" t="b">
        <v>1</v>
      </c>
      <c r="C93" s="9" t="n">
        <v>-17283153.06</v>
      </c>
      <c r="D93" s="9" t="n">
        <v>991962263.63</v>
      </c>
      <c r="E93" s="9" t="n">
        <v>210953258.88</v>
      </c>
      <c r="F93" s="9" t="n">
        <v>202883.62</v>
      </c>
      <c r="G93" s="18">
        <f>SUMIFS(Cashflows!$X$8:$X$1038,Cashflows!$F$8:$F$1038,"PNL",Cashflows!$K$8:$K$1038,"&lt;="&amp;$A93)</f>
        <v/>
      </c>
      <c r="H93" s="18">
        <f>$G93+$C93+$D93</f>
        <v/>
      </c>
      <c r="I93" s="18">
        <f>$H93-$H92</f>
        <v/>
      </c>
      <c r="J93" s="18">
        <f>$H93-$E93</f>
        <v/>
      </c>
      <c r="K93" s="18">
        <f>$I93-$F93</f>
        <v/>
      </c>
      <c r="L93" s="17" t="b">
        <v>1</v>
      </c>
      <c r="M93" s="18">
        <f>SUMIFS(MTM_Daily!$AO$6:$AO$1238,MTM_Daily!$A$6:$A$1238,$A93,MTM_Daily!$L$6:$L$1238,"PNL")</f>
        <v/>
      </c>
      <c r="N93" s="18">
        <f>$M93-$D93</f>
        <v/>
      </c>
      <c r="O93" s="8">
        <f>IF(ABS($J93)&lt;=tol_trade_inr,"PASS","FAIL")</f>
        <v/>
      </c>
    </row>
    <row r="94">
      <c r="A94" s="11" t="n">
        <v>44757</v>
      </c>
      <c r="B94" s="17" t="b">
        <v>1</v>
      </c>
      <c r="C94" s="9" t="n">
        <v>-17577795.48</v>
      </c>
      <c r="D94" s="9" t="n">
        <v>990453060.25</v>
      </c>
      <c r="E94" s="9" t="n">
        <v>210503943.09</v>
      </c>
      <c r="F94" s="9" t="n">
        <v>-449315.79</v>
      </c>
      <c r="G94" s="18">
        <f>SUMIFS(Cashflows!$X$8:$X$1038,Cashflows!$F$8:$F$1038,"PNL",Cashflows!$K$8:$K$1038,"&lt;="&amp;$A94)</f>
        <v/>
      </c>
      <c r="H94" s="18">
        <f>$G94+$C94+$D94</f>
        <v/>
      </c>
      <c r="I94" s="18">
        <f>$H94-$H93</f>
        <v/>
      </c>
      <c r="J94" s="18">
        <f>$H94-$E94</f>
        <v/>
      </c>
      <c r="K94" s="18">
        <f>$I94-$F94</f>
        <v/>
      </c>
      <c r="L94" s="17" t="b">
        <v>1</v>
      </c>
      <c r="M94" s="18">
        <f>SUMIFS(MTM_Daily!$AO$6:$AO$1238,MTM_Daily!$A$6:$A$1238,$A94,MTM_Daily!$L$6:$L$1238,"PNL")</f>
        <v/>
      </c>
      <c r="N94" s="18">
        <f>$M94-$D94</f>
        <v/>
      </c>
      <c r="O94" s="8">
        <f>IF(ABS($J94)&lt;=tol_trade_inr,"PASS","FAIL")</f>
        <v/>
      </c>
    </row>
    <row r="95">
      <c r="A95" s="11" t="n">
        <v>44760</v>
      </c>
      <c r="B95" s="17" t="b">
        <v>1</v>
      </c>
      <c r="C95" s="9" t="n">
        <v>-18471875.98</v>
      </c>
      <c r="D95" s="9" t="n">
        <v>1153928798.91</v>
      </c>
      <c r="E95" s="9" t="n">
        <v>203951707.92</v>
      </c>
      <c r="F95" s="9" t="n">
        <v>-6552235.17</v>
      </c>
      <c r="G95" s="18">
        <f>SUMIFS(Cashflows!$X$8:$X$1038,Cashflows!$F$8:$F$1038,"PNL",Cashflows!$K$8:$K$1038,"&lt;="&amp;$A95)</f>
        <v/>
      </c>
      <c r="H95" s="18">
        <f>$G95+$C95+$D95</f>
        <v/>
      </c>
      <c r="I95" s="18">
        <f>$H95-$H94</f>
        <v/>
      </c>
      <c r="J95" s="18">
        <f>$H95-$E95</f>
        <v/>
      </c>
      <c r="K95" s="18">
        <f>$I95-$F95</f>
        <v/>
      </c>
      <c r="L95" s="17" t="b">
        <v>0</v>
      </c>
      <c r="O95" s="8">
        <f>IF(ABS($J95)&lt;=tol_trade_inr,"PASS","FAIL")</f>
        <v/>
      </c>
    </row>
    <row r="96">
      <c r="A96" s="11" t="n">
        <v>44761</v>
      </c>
      <c r="B96" s="17" t="b">
        <v>1</v>
      </c>
      <c r="C96" s="9" t="n">
        <v>-18816582.19</v>
      </c>
      <c r="D96" s="9" t="n">
        <v>1162487571.76</v>
      </c>
      <c r="E96" s="9" t="n">
        <v>200853623.32</v>
      </c>
      <c r="F96" s="9" t="n">
        <v>-3098084.61</v>
      </c>
      <c r="G96" s="18">
        <f>SUMIFS(Cashflows!$X$8:$X$1038,Cashflows!$F$8:$F$1038,"PNL",Cashflows!$K$8:$K$1038,"&lt;="&amp;$A96)</f>
        <v/>
      </c>
      <c r="H96" s="18">
        <f>$G96+$C96+$D96</f>
        <v/>
      </c>
      <c r="I96" s="18">
        <f>$H96-$H95</f>
        <v/>
      </c>
      <c r="J96" s="18">
        <f>$H96-$E96</f>
        <v/>
      </c>
      <c r="K96" s="18">
        <f>$I96-$F96</f>
        <v/>
      </c>
      <c r="L96" s="17" t="b">
        <v>0</v>
      </c>
      <c r="O96" s="8">
        <f>IF(ABS($J96)&lt;=tol_trade_inr,"PASS","FAIL")</f>
        <v/>
      </c>
    </row>
    <row r="97">
      <c r="A97" s="11" t="n">
        <v>44762</v>
      </c>
      <c r="B97" s="17" t="b">
        <v>1</v>
      </c>
      <c r="C97" s="9" t="n">
        <v>-19172909.84</v>
      </c>
      <c r="D97" s="9" t="n">
        <v>1166085899.7</v>
      </c>
      <c r="E97" s="9" t="n">
        <v>194116408.38</v>
      </c>
      <c r="F97" s="9" t="n">
        <v>-6737214.94</v>
      </c>
      <c r="G97" s="18">
        <f>SUMIFS(Cashflows!$X$8:$X$1038,Cashflows!$F$8:$F$1038,"PNL",Cashflows!$K$8:$K$1038,"&lt;="&amp;$A97)</f>
        <v/>
      </c>
      <c r="H97" s="18">
        <f>$G97+$C97+$D97</f>
        <v/>
      </c>
      <c r="I97" s="18">
        <f>$H97-$H96</f>
        <v/>
      </c>
      <c r="J97" s="18">
        <f>$H97-$E97</f>
        <v/>
      </c>
      <c r="K97" s="18">
        <f>$I97-$F97</f>
        <v/>
      </c>
      <c r="L97" s="17" t="b">
        <v>0</v>
      </c>
      <c r="O97" s="8">
        <f>IF(ABS($J97)&lt;=tol_trade_inr,"PASS","FAIL")</f>
        <v/>
      </c>
    </row>
    <row r="98">
      <c r="A98" s="11" t="n">
        <v>44763</v>
      </c>
      <c r="B98" s="17" t="b">
        <v>1</v>
      </c>
      <c r="C98" s="9" t="n">
        <v>-19532268.4</v>
      </c>
      <c r="D98" s="9" t="n">
        <v>1159347277.14</v>
      </c>
      <c r="E98" s="9" t="n">
        <v>194344144.34</v>
      </c>
      <c r="F98" s="9" t="n">
        <v>227735.96</v>
      </c>
      <c r="G98" s="18">
        <f>SUMIFS(Cashflows!$X$8:$X$1038,Cashflows!$F$8:$F$1038,"PNL",Cashflows!$K$8:$K$1038,"&lt;="&amp;$A98)</f>
        <v/>
      </c>
      <c r="H98" s="18">
        <f>$G98+$C98+$D98</f>
        <v/>
      </c>
      <c r="I98" s="18">
        <f>$H98-$H97</f>
        <v/>
      </c>
      <c r="J98" s="18">
        <f>$H98-$E98</f>
        <v/>
      </c>
      <c r="K98" s="18">
        <f>$I98-$F98</f>
        <v/>
      </c>
      <c r="L98" s="17" t="b">
        <v>0</v>
      </c>
      <c r="O98" s="8">
        <f>IF(ABS($J98)&lt;=tol_trade_inr,"PASS","FAIL")</f>
        <v/>
      </c>
    </row>
    <row r="99">
      <c r="A99" s="11" t="n">
        <v>44764</v>
      </c>
      <c r="B99" s="17" t="b">
        <v>1</v>
      </c>
      <c r="C99" s="9" t="n">
        <v>-19889419.2</v>
      </c>
      <c r="D99" s="9" t="n">
        <v>1164410655.82</v>
      </c>
      <c r="E99" s="9" t="n">
        <v>192042072.65</v>
      </c>
      <c r="F99" s="9" t="n">
        <v>-2302071.69</v>
      </c>
      <c r="G99" s="18">
        <f>SUMIFS(Cashflows!$X$8:$X$1038,Cashflows!$F$8:$F$1038,"PNL",Cashflows!$K$8:$K$1038,"&lt;="&amp;$A99)</f>
        <v/>
      </c>
      <c r="H99" s="18">
        <f>$G99+$C99+$D99</f>
        <v/>
      </c>
      <c r="I99" s="18">
        <f>$H99-$H98</f>
        <v/>
      </c>
      <c r="J99" s="18">
        <f>$H99-$E99</f>
        <v/>
      </c>
      <c r="K99" s="18">
        <f>$I99-$F99</f>
        <v/>
      </c>
      <c r="L99" s="17" t="b">
        <v>0</v>
      </c>
      <c r="O99" s="8">
        <f>IF(ABS($J99)&lt;=tol_trade_inr,"PASS","FAIL")</f>
        <v/>
      </c>
    </row>
    <row r="100">
      <c r="A100" s="11" t="n">
        <v>44767</v>
      </c>
      <c r="B100" s="17" t="b">
        <v>1</v>
      </c>
      <c r="C100" s="9" t="n">
        <v>-20948351.41</v>
      </c>
      <c r="D100" s="9" t="n">
        <v>1092869073.14</v>
      </c>
      <c r="E100" s="9" t="n">
        <v>187355661.35</v>
      </c>
      <c r="F100" s="9" t="n">
        <v>-4686411.31</v>
      </c>
      <c r="G100" s="18">
        <f>SUMIFS(Cashflows!$X$8:$X$1038,Cashflows!$F$8:$F$1038,"PNL",Cashflows!$K$8:$K$1038,"&lt;="&amp;$A100)</f>
        <v/>
      </c>
      <c r="H100" s="18">
        <f>$G100+$C100+$D100</f>
        <v/>
      </c>
      <c r="I100" s="18">
        <f>$H100-$H99</f>
        <v/>
      </c>
      <c r="J100" s="18">
        <f>$H100-$E100</f>
        <v/>
      </c>
      <c r="K100" s="18">
        <f>$I100-$F100</f>
        <v/>
      </c>
      <c r="L100" s="17" t="b">
        <v>0</v>
      </c>
      <c r="O100" s="8">
        <f>IF(ABS($J100)&lt;=tol_trade_inr,"PASS","FAIL")</f>
        <v/>
      </c>
    </row>
    <row r="101">
      <c r="A101" s="11" t="n">
        <v>44768</v>
      </c>
      <c r="B101" s="17" t="b">
        <v>1</v>
      </c>
      <c r="C101" s="9" t="n">
        <v>-21282540.13</v>
      </c>
      <c r="D101" s="9" t="n">
        <v>1105302603.01</v>
      </c>
      <c r="E101" s="9" t="n">
        <v>193409251.55</v>
      </c>
      <c r="F101" s="9" t="n">
        <v>6053590.2</v>
      </c>
      <c r="G101" s="18">
        <f>SUMIFS(Cashflows!$X$8:$X$1038,Cashflows!$F$8:$F$1038,"PNL",Cashflows!$K$8:$K$1038,"&lt;="&amp;$A101)</f>
        <v/>
      </c>
      <c r="H101" s="18">
        <f>$G101+$C101+$D101</f>
        <v/>
      </c>
      <c r="I101" s="18">
        <f>$H101-$H100</f>
        <v/>
      </c>
      <c r="J101" s="18">
        <f>$H101-$E101</f>
        <v/>
      </c>
      <c r="K101" s="18">
        <f>$I101-$F101</f>
        <v/>
      </c>
      <c r="L101" s="17" t="b">
        <v>0</v>
      </c>
      <c r="O101" s="8">
        <f>IF(ABS($J101)&lt;=tol_trade_inr,"PASS","FAIL")</f>
        <v/>
      </c>
    </row>
    <row r="102">
      <c r="A102" s="11" t="n">
        <v>44769</v>
      </c>
      <c r="B102" s="17" t="b">
        <v>1</v>
      </c>
      <c r="C102" s="9" t="n">
        <v>-21619703.88</v>
      </c>
      <c r="D102" s="9" t="n">
        <v>1101292508.35</v>
      </c>
      <c r="E102" s="9" t="n">
        <v>193427251.07</v>
      </c>
      <c r="F102" s="9" t="n">
        <v>17999.52</v>
      </c>
      <c r="G102" s="18">
        <f>SUMIFS(Cashflows!$X$8:$X$1038,Cashflows!$F$8:$F$1038,"PNL",Cashflows!$K$8:$K$1038,"&lt;="&amp;$A102)</f>
        <v/>
      </c>
      <c r="H102" s="18">
        <f>$G102+$C102+$D102</f>
        <v/>
      </c>
      <c r="I102" s="18">
        <f>$H102-$H101</f>
        <v/>
      </c>
      <c r="J102" s="18">
        <f>$H102-$E102</f>
        <v/>
      </c>
      <c r="K102" s="18">
        <f>$I102-$F102</f>
        <v/>
      </c>
      <c r="L102" s="17" t="b">
        <v>0</v>
      </c>
      <c r="O102" s="8">
        <f>IF(ABS($J102)&lt;=tol_trade_inr,"PASS","FAIL")</f>
        <v/>
      </c>
    </row>
    <row r="103">
      <c r="A103" s="11" t="n">
        <v>44770</v>
      </c>
      <c r="B103" s="17" t="b">
        <v>1</v>
      </c>
      <c r="C103" s="9" t="n">
        <v>-21955552.09</v>
      </c>
      <c r="D103" s="9" t="n">
        <v>1103929204.52</v>
      </c>
      <c r="E103" s="9" t="n">
        <v>189748182.76</v>
      </c>
      <c r="F103" s="9" t="n">
        <v>-3679068.31</v>
      </c>
      <c r="G103" s="18">
        <f>SUMIFS(Cashflows!$X$8:$X$1038,Cashflows!$F$8:$F$1038,"PNL",Cashflows!$K$8:$K$1038,"&lt;="&amp;$A103)</f>
        <v/>
      </c>
      <c r="H103" s="18">
        <f>$G103+$C103+$D103</f>
        <v/>
      </c>
      <c r="I103" s="18">
        <f>$H103-$H102</f>
        <v/>
      </c>
      <c r="J103" s="18">
        <f>$H103-$E103</f>
        <v/>
      </c>
      <c r="K103" s="18">
        <f>$I103-$F103</f>
        <v/>
      </c>
      <c r="L103" s="17" t="b">
        <v>1</v>
      </c>
      <c r="M103" s="18">
        <f>SUMIFS(MTM_Daily!$AO$6:$AO$1238,MTM_Daily!$A$6:$A$1238,$A103,MTM_Daily!$L$6:$L$1238,"PNL")</f>
        <v/>
      </c>
      <c r="N103" s="18">
        <f>$M103-$D103</f>
        <v/>
      </c>
      <c r="O103" s="8">
        <f>IF(ABS($J103)&lt;=tol_trade_inr,"PASS","FAIL")</f>
        <v/>
      </c>
    </row>
    <row r="104">
      <c r="A104" s="11" t="n">
        <v>44771</v>
      </c>
      <c r="B104" s="17" t="b">
        <v>1</v>
      </c>
      <c r="C104" s="9" t="n">
        <v>-22287668.58</v>
      </c>
      <c r="D104" s="9" t="n">
        <v>1101246456.15</v>
      </c>
      <c r="E104" s="9" t="n">
        <v>188501031.35</v>
      </c>
      <c r="F104" s="9" t="n">
        <v>-1247151.4</v>
      </c>
      <c r="G104" s="18">
        <f>SUMIFS(Cashflows!$X$8:$X$1038,Cashflows!$F$8:$F$1038,"PNL",Cashflows!$K$8:$K$1038,"&lt;="&amp;$A104)</f>
        <v/>
      </c>
      <c r="H104" s="18">
        <f>$G104+$C104+$D104</f>
        <v/>
      </c>
      <c r="I104" s="18">
        <f>$H104-$H103</f>
        <v/>
      </c>
      <c r="J104" s="18">
        <f>$H104-$E104</f>
        <v/>
      </c>
      <c r="K104" s="18">
        <f>$I104-$F104</f>
        <v/>
      </c>
      <c r="L104" s="17" t="b">
        <v>1</v>
      </c>
      <c r="M104" s="18">
        <f>SUMIFS(MTM_Daily!$AO$6:$AO$1238,MTM_Daily!$A$6:$A$1238,$A104,MTM_Daily!$L$6:$L$1238,"PNL")</f>
        <v/>
      </c>
      <c r="N104" s="18">
        <f>$M104-$D104</f>
        <v/>
      </c>
      <c r="O104" s="8">
        <f>IF(ABS($J104)&lt;=tol_trade_inr,"PASS","FAIL")</f>
        <v/>
      </c>
    </row>
    <row r="105">
      <c r="A105" s="11" t="n">
        <v>44774</v>
      </c>
      <c r="B105" s="17" t="b">
        <v>1</v>
      </c>
      <c r="C105" s="9" t="n">
        <v>-23271711.81</v>
      </c>
      <c r="D105" s="9" t="n">
        <v>1099438815.27</v>
      </c>
      <c r="E105" s="9" t="n">
        <v>184795547.45</v>
      </c>
      <c r="F105" s="9" t="n">
        <v>-3705483.91</v>
      </c>
      <c r="G105" s="18">
        <f>SUMIFS(Cashflows!$X$8:$X$1038,Cashflows!$F$8:$F$1038,"PNL",Cashflows!$K$8:$K$1038,"&lt;="&amp;$A105)</f>
        <v/>
      </c>
      <c r="H105" s="18">
        <f>$G105+$C105+$D105</f>
        <v/>
      </c>
      <c r="I105" s="18">
        <f>$H105-$H104</f>
        <v/>
      </c>
      <c r="J105" s="18">
        <f>$H105-$E105</f>
        <v/>
      </c>
      <c r="K105" s="18">
        <f>$I105-$F105</f>
        <v/>
      </c>
      <c r="L105" s="17" t="b">
        <v>0</v>
      </c>
      <c r="O105" s="8">
        <f>IF(ABS($J105)&lt;=tol_trade_inr,"PASS","FAIL")</f>
        <v/>
      </c>
    </row>
    <row r="106">
      <c r="A106" s="11" t="n">
        <v>44775</v>
      </c>
      <c r="B106" s="17" t="b">
        <v>1</v>
      </c>
      <c r="C106" s="9" t="n">
        <v>-23600001.62</v>
      </c>
      <c r="D106" s="9" t="n">
        <v>1095913414.71</v>
      </c>
      <c r="E106" s="9" t="n">
        <v>184662634.07</v>
      </c>
      <c r="F106" s="9" t="n">
        <v>-132913.37</v>
      </c>
      <c r="G106" s="18">
        <f>SUMIFS(Cashflows!$X$8:$X$1038,Cashflows!$F$8:$F$1038,"PNL",Cashflows!$K$8:$K$1038,"&lt;="&amp;$A106)</f>
        <v/>
      </c>
      <c r="H106" s="18">
        <f>$G106+$C106+$D106</f>
        <v/>
      </c>
      <c r="I106" s="18">
        <f>$H106-$H105</f>
        <v/>
      </c>
      <c r="J106" s="18">
        <f>$H106-$E106</f>
        <v/>
      </c>
      <c r="K106" s="18">
        <f>$I106-$F106</f>
        <v/>
      </c>
      <c r="L106" s="17" t="b">
        <v>0</v>
      </c>
      <c r="O106" s="8">
        <f>IF(ABS($J106)&lt;=tol_trade_inr,"PASS","FAIL")</f>
        <v/>
      </c>
    </row>
    <row r="107">
      <c r="A107" s="11" t="n">
        <v>44776</v>
      </c>
      <c r="B107" s="17" t="b">
        <v>1</v>
      </c>
      <c r="C107" s="9" t="n">
        <v>-23927170.1</v>
      </c>
      <c r="D107" s="9" t="n">
        <v>1094857687.31</v>
      </c>
      <c r="E107" s="9" t="n">
        <v>183130221.84</v>
      </c>
      <c r="F107" s="9" t="n">
        <v>-1532412.23</v>
      </c>
      <c r="G107" s="18">
        <f>SUMIFS(Cashflows!$X$8:$X$1038,Cashflows!$F$8:$F$1038,"PNL",Cashflows!$K$8:$K$1038,"&lt;="&amp;$A107)</f>
        <v/>
      </c>
      <c r="H107" s="18">
        <f>$G107+$C107+$D107</f>
        <v/>
      </c>
      <c r="I107" s="18">
        <f>$H107-$H106</f>
        <v/>
      </c>
      <c r="J107" s="18">
        <f>$H107-$E107</f>
        <v/>
      </c>
      <c r="K107" s="18">
        <f>$I107-$F107</f>
        <v/>
      </c>
      <c r="L107" s="17" t="b">
        <v>1</v>
      </c>
      <c r="M107" s="18">
        <f>SUMIFS(MTM_Daily!$AO$6:$AO$1238,MTM_Daily!$A$6:$A$1238,$A107,MTM_Daily!$L$6:$L$1238,"PNL")</f>
        <v/>
      </c>
      <c r="N107" s="18">
        <f>$M107-$D107</f>
        <v/>
      </c>
      <c r="O107" s="8">
        <f>IF(ABS($J107)&lt;=tol_trade_inr,"PASS","FAIL")</f>
        <v/>
      </c>
    </row>
    <row r="108">
      <c r="A108" s="11" t="n">
        <v>44777</v>
      </c>
      <c r="B108" s="17" t="b">
        <v>1</v>
      </c>
      <c r="C108" s="9" t="n">
        <v>-24258750.4</v>
      </c>
      <c r="D108" s="9" t="n">
        <v>1089218911.96</v>
      </c>
      <c r="E108" s="9" t="n">
        <v>181135984.66</v>
      </c>
      <c r="F108" s="9" t="n">
        <v>-1994237.17</v>
      </c>
      <c r="G108" s="18">
        <f>SUMIFS(Cashflows!$X$8:$X$1038,Cashflows!$F$8:$F$1038,"PNL",Cashflows!$K$8:$K$1038,"&lt;="&amp;$A108)</f>
        <v/>
      </c>
      <c r="H108" s="18">
        <f>$G108+$C108+$D108</f>
        <v/>
      </c>
      <c r="I108" s="18">
        <f>$H108-$H107</f>
        <v/>
      </c>
      <c r="J108" s="18">
        <f>$H108-$E108</f>
        <v/>
      </c>
      <c r="K108" s="18">
        <f>$I108-$F108</f>
        <v/>
      </c>
      <c r="L108" s="17" t="b">
        <v>0</v>
      </c>
      <c r="O108" s="8">
        <f>IF(ABS($J108)&lt;=tol_trade_inr,"PASS","FAIL")</f>
        <v/>
      </c>
    </row>
    <row r="109">
      <c r="A109" s="11" t="n">
        <v>44778</v>
      </c>
      <c r="B109" s="17" t="b">
        <v>1</v>
      </c>
      <c r="C109" s="9" t="n">
        <v>-24581229.92</v>
      </c>
      <c r="D109" s="9" t="n">
        <v>1099809462.35</v>
      </c>
      <c r="E109" s="9" t="n">
        <v>179438925.83</v>
      </c>
      <c r="F109" s="9" t="n">
        <v>-1697058.83</v>
      </c>
      <c r="G109" s="18">
        <f>SUMIFS(Cashflows!$X$8:$X$1038,Cashflows!$F$8:$F$1038,"PNL",Cashflows!$K$8:$K$1038,"&lt;="&amp;$A109)</f>
        <v/>
      </c>
      <c r="H109" s="18">
        <f>$G109+$C109+$D109</f>
        <v/>
      </c>
      <c r="I109" s="18">
        <f>$H109-$H108</f>
        <v/>
      </c>
      <c r="J109" s="18">
        <f>$H109-$E109</f>
        <v/>
      </c>
      <c r="K109" s="18">
        <f>$I109-$F109</f>
        <v/>
      </c>
      <c r="L109" s="17" t="b">
        <v>0</v>
      </c>
      <c r="O109" s="8">
        <f>IF(ABS($J109)&lt;=tol_trade_inr,"PASS","FAIL")</f>
        <v/>
      </c>
    </row>
    <row r="110">
      <c r="A110" s="11" t="n">
        <v>44781</v>
      </c>
      <c r="B110" s="17" t="b">
        <v>1</v>
      </c>
      <c r="C110" s="9" t="n">
        <v>-25559461.02</v>
      </c>
      <c r="D110" s="9" t="n">
        <v>545168963.8099999</v>
      </c>
      <c r="E110" s="9" t="n">
        <v>175005755.3</v>
      </c>
      <c r="F110" s="9" t="n">
        <v>-4433170.54</v>
      </c>
      <c r="G110" s="18">
        <f>SUMIFS(Cashflows!$X$8:$X$1038,Cashflows!$F$8:$F$1038,"PNL",Cashflows!$K$8:$K$1038,"&lt;="&amp;$A110)</f>
        <v/>
      </c>
      <c r="H110" s="18">
        <f>$G110+$C110+$D110</f>
        <v/>
      </c>
      <c r="I110" s="18">
        <f>$H110-$H109</f>
        <v/>
      </c>
      <c r="J110" s="18">
        <f>$H110-$E110</f>
        <v/>
      </c>
      <c r="K110" s="18">
        <f>$I110-$F110</f>
        <v/>
      </c>
      <c r="L110" s="17" t="b">
        <v>0</v>
      </c>
      <c r="O110" s="8">
        <f>IF(ABS($J110)&lt;=tol_trade_inr,"PASS","FAIL")</f>
        <v/>
      </c>
    </row>
    <row r="111">
      <c r="A111" s="11" t="n">
        <v>44782</v>
      </c>
      <c r="B111" s="17" t="b">
        <v>1</v>
      </c>
      <c r="C111" s="9" t="n">
        <v>-25738112.89</v>
      </c>
      <c r="D111" s="9" t="n">
        <v>575993771.92</v>
      </c>
      <c r="E111" s="9" t="n">
        <v>190047395.15</v>
      </c>
      <c r="F111" s="9" t="n">
        <v>15041639.85</v>
      </c>
      <c r="G111" s="18">
        <f>SUMIFS(Cashflows!$X$8:$X$1038,Cashflows!$F$8:$F$1038,"PNL",Cashflows!$K$8:$K$1038,"&lt;="&amp;$A111)</f>
        <v/>
      </c>
      <c r="H111" s="18">
        <f>$G111+$C111+$D111</f>
        <v/>
      </c>
      <c r="I111" s="18">
        <f>$H111-$H110</f>
        <v/>
      </c>
      <c r="J111" s="18">
        <f>$H111-$E111</f>
        <v/>
      </c>
      <c r="K111" s="18">
        <f>$I111-$F111</f>
        <v/>
      </c>
      <c r="L111" s="17" t="b">
        <v>0</v>
      </c>
      <c r="O111" s="8">
        <f>IF(ABS($J111)&lt;=tol_trade_inr,"PASS","FAIL")</f>
        <v/>
      </c>
    </row>
    <row r="112">
      <c r="A112" s="11" t="n">
        <v>44783</v>
      </c>
      <c r="B112" s="17" t="b">
        <v>1</v>
      </c>
      <c r="C112" s="9" t="n">
        <v>-25927839.56</v>
      </c>
      <c r="D112" s="9" t="n">
        <v>569925974.5899999</v>
      </c>
      <c r="E112" s="9" t="n">
        <v>188526337.04</v>
      </c>
      <c r="F112" s="9" t="n">
        <v>-1521058.11</v>
      </c>
      <c r="G112" s="18">
        <f>SUMIFS(Cashflows!$X$8:$X$1038,Cashflows!$F$8:$F$1038,"PNL",Cashflows!$K$8:$K$1038,"&lt;="&amp;$A112)</f>
        <v/>
      </c>
      <c r="H112" s="18">
        <f>$G112+$C112+$D112</f>
        <v/>
      </c>
      <c r="I112" s="18">
        <f>$H112-$H111</f>
        <v/>
      </c>
      <c r="J112" s="18">
        <f>$H112-$E112</f>
        <v/>
      </c>
      <c r="K112" s="18">
        <f>$I112-$F112</f>
        <v/>
      </c>
      <c r="L112" s="17" t="b">
        <v>0</v>
      </c>
      <c r="O112" s="8">
        <f>IF(ABS($J112)&lt;=tol_trade_inr,"PASS","FAIL")</f>
        <v/>
      </c>
    </row>
    <row r="113">
      <c r="A113" s="11" t="n">
        <v>44784</v>
      </c>
      <c r="B113" s="17" t="b">
        <v>1</v>
      </c>
      <c r="C113" s="9" t="n">
        <v>-26116138.82</v>
      </c>
      <c r="D113" s="9" t="n">
        <v>577300018.9099998</v>
      </c>
      <c r="E113" s="9" t="n">
        <v>189172661.19</v>
      </c>
      <c r="F113" s="9" t="n">
        <v>646324.15</v>
      </c>
      <c r="G113" s="18">
        <f>SUMIFS(Cashflows!$X$8:$X$1038,Cashflows!$F$8:$F$1038,"PNL",Cashflows!$K$8:$K$1038,"&lt;="&amp;$A113)</f>
        <v/>
      </c>
      <c r="H113" s="18">
        <f>$G113+$C113+$D113</f>
        <v/>
      </c>
      <c r="I113" s="18">
        <f>$H113-$H112</f>
        <v/>
      </c>
      <c r="J113" s="18">
        <f>$H113-$E113</f>
        <v/>
      </c>
      <c r="K113" s="18">
        <f>$I113-$F113</f>
        <v/>
      </c>
      <c r="L113" s="17" t="b">
        <v>0</v>
      </c>
      <c r="O113" s="8">
        <f>IF(ABS($J113)&lt;=tol_trade_inr,"PASS","FAIL")</f>
        <v/>
      </c>
    </row>
    <row r="114">
      <c r="A114" s="11" t="n">
        <v>44785</v>
      </c>
      <c r="B114" s="17" t="b">
        <v>1</v>
      </c>
      <c r="C114" s="9" t="n">
        <v>-26306408.85</v>
      </c>
      <c r="D114" s="9" t="n">
        <v>352838421.87</v>
      </c>
      <c r="E114" s="9" t="n">
        <v>188145511.33</v>
      </c>
      <c r="F114" s="9" t="n">
        <v>-1027149.86</v>
      </c>
      <c r="G114" s="18">
        <f>SUMIFS(Cashflows!$X$8:$X$1038,Cashflows!$F$8:$F$1038,"PNL",Cashflows!$K$8:$K$1038,"&lt;="&amp;$A114)</f>
        <v/>
      </c>
      <c r="H114" s="18">
        <f>$G114+$C114+$D114</f>
        <v/>
      </c>
      <c r="I114" s="18">
        <f>$H114-$H113</f>
        <v/>
      </c>
      <c r="J114" s="18">
        <f>$H114-$E114</f>
        <v/>
      </c>
      <c r="K114" s="18">
        <f>$I114-$F114</f>
        <v/>
      </c>
      <c r="L114" s="17" t="b">
        <v>0</v>
      </c>
      <c r="O114" s="8">
        <f>IF(ABS($J114)&lt;=tol_trade_inr,"PASS","FAIL")</f>
        <v/>
      </c>
    </row>
    <row r="115">
      <c r="A115" s="11" t="n">
        <v>44788</v>
      </c>
      <c r="B115" s="17" t="b">
        <v>1</v>
      </c>
      <c r="C115" s="9" t="n">
        <v>-26697544.56</v>
      </c>
      <c r="D115" s="9" t="n">
        <v>337780681.6</v>
      </c>
      <c r="E115" s="9" t="n">
        <v>187170646.98</v>
      </c>
      <c r="F115" s="9" t="n">
        <v>-974864.35</v>
      </c>
      <c r="G115" s="18">
        <f>SUMIFS(Cashflows!$X$8:$X$1038,Cashflows!$F$8:$F$1038,"PNL",Cashflows!$K$8:$K$1038,"&lt;="&amp;$A115)</f>
        <v/>
      </c>
      <c r="H115" s="18">
        <f>$G115+$C115+$D115</f>
        <v/>
      </c>
      <c r="I115" s="18">
        <f>$H115-$H114</f>
        <v/>
      </c>
      <c r="J115" s="18">
        <f>$H115-$E115</f>
        <v/>
      </c>
      <c r="K115" s="18">
        <f>$I115-$F115</f>
        <v/>
      </c>
      <c r="L115" s="17" t="b">
        <v>0</v>
      </c>
      <c r="O115" s="8">
        <f>IF(ABS($J115)&lt;=tol_trade_inr,"PASS","FAIL")</f>
        <v/>
      </c>
    </row>
    <row r="116">
      <c r="A116" s="11" t="n">
        <v>44789</v>
      </c>
      <c r="B116" s="17" t="b">
        <v>1</v>
      </c>
      <c r="C116" s="9" t="n">
        <v>-26826081.43</v>
      </c>
      <c r="D116" s="9" t="n">
        <v>349349753.1</v>
      </c>
      <c r="E116" s="9" t="n">
        <v>183685459.15</v>
      </c>
      <c r="F116" s="9" t="n">
        <v>-3485187.84</v>
      </c>
      <c r="G116" s="18">
        <f>SUMIFS(Cashflows!$X$8:$X$1038,Cashflows!$F$8:$F$1038,"PNL",Cashflows!$K$8:$K$1038,"&lt;="&amp;$A116)</f>
        <v/>
      </c>
      <c r="H116" s="18">
        <f>$G116+$C116+$D116</f>
        <v/>
      </c>
      <c r="I116" s="18">
        <f>$H116-$H115</f>
        <v/>
      </c>
      <c r="J116" s="18">
        <f>$H116-$E116</f>
        <v/>
      </c>
      <c r="K116" s="18">
        <f>$I116-$F116</f>
        <v/>
      </c>
      <c r="L116" s="17" t="b">
        <v>0</v>
      </c>
      <c r="O116" s="8">
        <f>IF(ABS($J116)&lt;=tol_trade_inr,"PASS","FAIL")</f>
        <v/>
      </c>
    </row>
    <row r="117">
      <c r="A117" s="11" t="n">
        <v>44790</v>
      </c>
      <c r="B117" s="17" t="b">
        <v>1</v>
      </c>
      <c r="C117" s="9" t="n">
        <v>-26958772.73</v>
      </c>
      <c r="D117" s="9" t="n">
        <v>346408295.12</v>
      </c>
      <c r="E117" s="9" t="n">
        <v>182115275.71</v>
      </c>
      <c r="F117" s="9" t="n">
        <v>-1570183.44</v>
      </c>
      <c r="G117" s="18">
        <f>SUMIFS(Cashflows!$X$8:$X$1038,Cashflows!$F$8:$F$1038,"PNL",Cashflows!$K$8:$K$1038,"&lt;="&amp;$A117)</f>
        <v/>
      </c>
      <c r="H117" s="18">
        <f>$G117+$C117+$D117</f>
        <v/>
      </c>
      <c r="I117" s="18">
        <f>$H117-$H116</f>
        <v/>
      </c>
      <c r="J117" s="18">
        <f>$H117-$E117</f>
        <v/>
      </c>
      <c r="K117" s="18">
        <f>$I117-$F117</f>
        <v/>
      </c>
      <c r="L117" s="17" t="b">
        <v>0</v>
      </c>
      <c r="O117" s="8">
        <f>IF(ABS($J117)&lt;=tol_trade_inr,"PASS","FAIL")</f>
        <v/>
      </c>
    </row>
    <row r="118">
      <c r="A118" s="11" t="n">
        <v>44791</v>
      </c>
      <c r="B118" s="17" t="b">
        <v>1</v>
      </c>
      <c r="C118" s="9" t="n">
        <v>-27090996.89</v>
      </c>
      <c r="D118" s="9" t="n">
        <v>346775199.31</v>
      </c>
      <c r="E118" s="9" t="n">
        <v>182526101.5</v>
      </c>
      <c r="F118" s="9" t="n">
        <v>410825.79</v>
      </c>
      <c r="G118" s="18">
        <f>SUMIFS(Cashflows!$X$8:$X$1038,Cashflows!$F$8:$F$1038,"PNL",Cashflows!$K$8:$K$1038,"&lt;="&amp;$A118)</f>
        <v/>
      </c>
      <c r="H118" s="18">
        <f>$G118+$C118+$D118</f>
        <v/>
      </c>
      <c r="I118" s="18">
        <f>$H118-$H117</f>
        <v/>
      </c>
      <c r="J118" s="18">
        <f>$H118-$E118</f>
        <v/>
      </c>
      <c r="K118" s="18">
        <f>$I118-$F118</f>
        <v/>
      </c>
      <c r="L118" s="17" t="b">
        <v>0</v>
      </c>
      <c r="O118" s="8">
        <f>IF(ABS($J118)&lt;=tol_trade_inr,"PASS","FAIL")</f>
        <v/>
      </c>
    </row>
    <row r="119">
      <c r="A119" s="11" t="n">
        <v>44792</v>
      </c>
      <c r="B119" s="17" t="b">
        <v>1</v>
      </c>
      <c r="C119" s="9" t="n">
        <v>-27223198.38</v>
      </c>
      <c r="D119" s="9" t="n">
        <v>343784874.41</v>
      </c>
      <c r="E119" s="9" t="n">
        <v>181387051.72</v>
      </c>
      <c r="F119" s="9" t="n">
        <v>-1139049.78</v>
      </c>
      <c r="G119" s="18">
        <f>SUMIFS(Cashflows!$X$8:$X$1038,Cashflows!$F$8:$F$1038,"PNL",Cashflows!$K$8:$K$1038,"&lt;="&amp;$A119)</f>
        <v/>
      </c>
      <c r="H119" s="18">
        <f>$G119+$C119+$D119</f>
        <v/>
      </c>
      <c r="I119" s="18">
        <f>$H119-$H118</f>
        <v/>
      </c>
      <c r="J119" s="18">
        <f>$H119-$E119</f>
        <v/>
      </c>
      <c r="K119" s="18">
        <f>$I119-$F119</f>
        <v/>
      </c>
      <c r="L119" s="17" t="b">
        <v>0</v>
      </c>
      <c r="O119" s="8">
        <f>IF(ABS($J119)&lt;=tol_trade_inr,"PASS","FAIL")</f>
        <v/>
      </c>
    </row>
    <row r="120">
      <c r="A120" s="11" t="n">
        <v>44795</v>
      </c>
      <c r="B120" s="17" t="b">
        <v>1</v>
      </c>
      <c r="C120" s="9" t="n">
        <v>-27617973.71</v>
      </c>
      <c r="D120" s="9" t="n">
        <v>346248530.4399999</v>
      </c>
      <c r="E120" s="9" t="n">
        <v>182774103.43</v>
      </c>
      <c r="F120" s="9" t="n">
        <v>1387051.7</v>
      </c>
      <c r="G120" s="18">
        <f>SUMIFS(Cashflows!$X$8:$X$1038,Cashflows!$F$8:$F$1038,"PNL",Cashflows!$K$8:$K$1038,"&lt;="&amp;$A120)</f>
        <v/>
      </c>
      <c r="H120" s="18">
        <f>$G120+$C120+$D120</f>
        <v/>
      </c>
      <c r="I120" s="18">
        <f>$H120-$H119</f>
        <v/>
      </c>
      <c r="J120" s="18">
        <f>$H120-$E120</f>
        <v/>
      </c>
      <c r="K120" s="18">
        <f>$I120-$F120</f>
        <v/>
      </c>
      <c r="L120" s="17" t="b">
        <v>0</v>
      </c>
      <c r="O120" s="8">
        <f>IF(ABS($J120)&lt;=tol_trade_inr,"PASS","FAIL")</f>
        <v/>
      </c>
    </row>
    <row r="121">
      <c r="A121" s="11" t="n">
        <v>44796</v>
      </c>
      <c r="B121" s="17" t="b">
        <v>1</v>
      </c>
      <c r="C121" s="9" t="n">
        <v>-27749775.08</v>
      </c>
      <c r="D121" s="9" t="n">
        <v>352054756.17</v>
      </c>
      <c r="E121" s="9" t="n">
        <v>182542335.9</v>
      </c>
      <c r="F121" s="9" t="n">
        <v>-231767.52</v>
      </c>
      <c r="G121" s="18">
        <f>SUMIFS(Cashflows!$X$8:$X$1038,Cashflows!$F$8:$F$1038,"PNL",Cashflows!$K$8:$K$1038,"&lt;="&amp;$A121)</f>
        <v/>
      </c>
      <c r="H121" s="18">
        <f>$G121+$C121+$D121</f>
        <v/>
      </c>
      <c r="I121" s="18">
        <f>$H121-$H120</f>
        <v/>
      </c>
      <c r="J121" s="18">
        <f>$H121-$E121</f>
        <v/>
      </c>
      <c r="K121" s="18">
        <f>$I121-$F121</f>
        <v/>
      </c>
      <c r="L121" s="17" t="b">
        <v>0</v>
      </c>
      <c r="O121" s="8">
        <f>IF(ABS($J121)&lt;=tol_trade_inr,"PASS","FAIL")</f>
        <v/>
      </c>
    </row>
    <row r="122">
      <c r="A122" s="11" t="n">
        <v>44797</v>
      </c>
      <c r="B122" s="17" t="b">
        <v>1</v>
      </c>
      <c r="C122" s="9" t="n">
        <v>-27887889.99</v>
      </c>
      <c r="D122" s="9" t="n">
        <v>352594321.65</v>
      </c>
      <c r="E122" s="9" t="n">
        <v>183874663.09</v>
      </c>
      <c r="F122" s="9" t="n">
        <v>1332327.18</v>
      </c>
      <c r="G122" s="18">
        <f>SUMIFS(Cashflows!$X$8:$X$1038,Cashflows!$F$8:$F$1038,"PNL",Cashflows!$K$8:$K$1038,"&lt;="&amp;$A122)</f>
        <v/>
      </c>
      <c r="H122" s="18">
        <f>$G122+$C122+$D122</f>
        <v/>
      </c>
      <c r="I122" s="18">
        <f>$H122-$H121</f>
        <v/>
      </c>
      <c r="J122" s="18">
        <f>$H122-$E122</f>
        <v/>
      </c>
      <c r="K122" s="18">
        <f>$I122-$F122</f>
        <v/>
      </c>
      <c r="L122" s="17" t="b">
        <v>0</v>
      </c>
      <c r="O122" s="8">
        <f>IF(ABS($J122)&lt;=tol_trade_inr,"PASS","FAIL")</f>
        <v/>
      </c>
    </row>
    <row r="123">
      <c r="A123" s="11" t="n">
        <v>44798</v>
      </c>
      <c r="B123" s="17" t="b">
        <v>1</v>
      </c>
      <c r="C123" s="9" t="n">
        <v>-28025710.5</v>
      </c>
      <c r="D123" s="9" t="n">
        <v>354364294.1</v>
      </c>
      <c r="E123" s="9" t="n">
        <v>183992573.21</v>
      </c>
      <c r="F123" s="9" t="n">
        <v>117910.12</v>
      </c>
      <c r="G123" s="18">
        <f>SUMIFS(Cashflows!$X$8:$X$1038,Cashflows!$F$8:$F$1038,"PNL",Cashflows!$K$8:$K$1038,"&lt;="&amp;$A123)</f>
        <v/>
      </c>
      <c r="H123" s="18">
        <f>$G123+$C123+$D123</f>
        <v/>
      </c>
      <c r="I123" s="18">
        <f>$H123-$H122</f>
        <v/>
      </c>
      <c r="J123" s="18">
        <f>$H123-$E123</f>
        <v/>
      </c>
      <c r="K123" s="18">
        <f>$I123-$F123</f>
        <v/>
      </c>
      <c r="L123" s="17" t="b">
        <v>0</v>
      </c>
      <c r="O123" s="8">
        <f>IF(ABS($J123)&lt;=tol_trade_inr,"PASS","FAIL")</f>
        <v/>
      </c>
    </row>
    <row r="124">
      <c r="A124" s="11" t="n">
        <v>44799</v>
      </c>
      <c r="B124" s="17" t="b">
        <v>1</v>
      </c>
      <c r="C124" s="9" t="n">
        <v>-28163996.48</v>
      </c>
      <c r="D124" s="9" t="n">
        <v>370700996.19</v>
      </c>
      <c r="E124" s="9" t="n">
        <v>196607024.85</v>
      </c>
      <c r="F124" s="9" t="n">
        <v>12614451.64</v>
      </c>
      <c r="G124" s="18">
        <f>SUMIFS(Cashflows!$X$8:$X$1038,Cashflows!$F$8:$F$1038,"PNL",Cashflows!$K$8:$K$1038,"&lt;="&amp;$A124)</f>
        <v/>
      </c>
      <c r="H124" s="18">
        <f>$G124+$C124+$D124</f>
        <v/>
      </c>
      <c r="I124" s="18">
        <f>$H124-$H123</f>
        <v/>
      </c>
      <c r="J124" s="18">
        <f>$H124-$E124</f>
        <v/>
      </c>
      <c r="K124" s="18">
        <f>$I124-$F124</f>
        <v/>
      </c>
      <c r="L124" s="17" t="b">
        <v>0</v>
      </c>
      <c r="O124" s="8">
        <f>IF(ABS($J124)&lt;=tol_trade_inr,"PASS","FAIL")</f>
        <v/>
      </c>
    </row>
    <row r="125">
      <c r="A125" s="11" t="n">
        <v>44803</v>
      </c>
      <c r="B125" s="17" t="b">
        <v>1</v>
      </c>
      <c r="C125" s="9" t="n">
        <v>-28702507.25</v>
      </c>
      <c r="D125" s="9" t="n">
        <v>373137867.8699999</v>
      </c>
      <c r="E125" s="9" t="n">
        <v>196076003.64</v>
      </c>
      <c r="F125" s="9" t="n">
        <v>-531021.22</v>
      </c>
      <c r="G125" s="18">
        <f>SUMIFS(Cashflows!$X$8:$X$1038,Cashflows!$F$8:$F$1038,"PNL",Cashflows!$K$8:$K$1038,"&lt;="&amp;$A125)</f>
        <v/>
      </c>
      <c r="H125" s="18">
        <f>$G125+$C125+$D125</f>
        <v/>
      </c>
      <c r="I125" s="18">
        <f>$H125-$H124</f>
        <v/>
      </c>
      <c r="J125" s="18">
        <f>$H125-$E125</f>
        <v/>
      </c>
      <c r="K125" s="18">
        <f>$I125-$F125</f>
        <v/>
      </c>
      <c r="L125" s="17" t="b">
        <v>0</v>
      </c>
      <c r="O125" s="8">
        <f>IF(ABS($J125)&lt;=tol_trade_inr,"PASS","FAIL")</f>
        <v/>
      </c>
    </row>
    <row r="126">
      <c r="A126" s="11" t="n">
        <v>44804</v>
      </c>
      <c r="B126" s="17" t="b">
        <v>1</v>
      </c>
      <c r="C126" s="9" t="n">
        <v>-28842379.71</v>
      </c>
      <c r="D126" s="9" t="n">
        <v>322710794.69</v>
      </c>
      <c r="E126" s="9" t="n">
        <v>195936979.57</v>
      </c>
      <c r="F126" s="9" t="n">
        <v>-139024.07</v>
      </c>
      <c r="G126" s="18">
        <f>SUMIFS(Cashflows!$X$8:$X$1038,Cashflows!$F$8:$F$1038,"PNL",Cashflows!$K$8:$K$1038,"&lt;="&amp;$A126)</f>
        <v/>
      </c>
      <c r="H126" s="18">
        <f>$G126+$C126+$D126</f>
        <v/>
      </c>
      <c r="I126" s="18">
        <f>$H126-$H125</f>
        <v/>
      </c>
      <c r="J126" s="18">
        <f>$H126-$E126</f>
        <v/>
      </c>
      <c r="K126" s="18">
        <f>$I126-$F126</f>
        <v/>
      </c>
      <c r="L126" s="17" t="b">
        <v>1</v>
      </c>
      <c r="M126" s="18">
        <f>SUMIFS(MTM_Daily!$AO$6:$AO$1238,MTM_Daily!$A$6:$A$1238,$A126,MTM_Daily!$L$6:$L$1238,"PNL")</f>
        <v/>
      </c>
      <c r="N126" s="18">
        <f>$M126-$D126</f>
        <v/>
      </c>
      <c r="O126" s="8">
        <f>IF(ABS($J126)&lt;=tol_trade_inr,"PASS","FAIL")</f>
        <v/>
      </c>
    </row>
    <row r="127">
      <c r="A127" s="11" t="n">
        <v>44805</v>
      </c>
      <c r="B127" s="17" t="b">
        <v>0</v>
      </c>
      <c r="C127" s="9" t="n">
        <v>-28968160</v>
      </c>
      <c r="D127" s="9" t="n">
        <v>323668095.5099999</v>
      </c>
      <c r="E127" s="9" t="n">
        <v>195808500.13</v>
      </c>
      <c r="F127" s="9" t="n">
        <v>-128479.44</v>
      </c>
      <c r="G127" s="18">
        <f>SUMIFS(Cashflows!$X$8:$X$1038,Cashflows!$F$8:$F$1038,"PNL",Cashflows!$K$8:$K$1038,"&lt;="&amp;$A127)</f>
        <v/>
      </c>
      <c r="H127" s="18">
        <f>$G127+$C127+$D127</f>
        <v/>
      </c>
      <c r="I127" s="18">
        <f>$H127-$H126</f>
        <v/>
      </c>
      <c r="J127" s="18">
        <f>$H127-$E127</f>
        <v/>
      </c>
      <c r="K127" s="18">
        <f>$I127-$F127</f>
        <v/>
      </c>
      <c r="L127" s="17" t="b">
        <v>0</v>
      </c>
      <c r="O127" s="8">
        <f>IF(ABS($J127)&lt;=tol_trade_inr,"PASS","FAIL")</f>
        <v/>
      </c>
    </row>
    <row r="128">
      <c r="A128" s="11" t="n">
        <v>44806</v>
      </c>
      <c r="B128" s="17" t="b">
        <v>0</v>
      </c>
      <c r="C128" s="9" t="n">
        <v>-29094208.56</v>
      </c>
      <c r="D128" s="9" t="n">
        <v>323651146.29</v>
      </c>
      <c r="E128" s="9" t="n">
        <v>195665502.33</v>
      </c>
      <c r="F128" s="9" t="n">
        <v>-142997.8</v>
      </c>
      <c r="G128" s="18">
        <f>SUMIFS(Cashflows!$X$8:$X$1038,Cashflows!$F$8:$F$1038,"PNL",Cashflows!$K$8:$K$1038,"&lt;="&amp;$A128)</f>
        <v/>
      </c>
      <c r="H128" s="18">
        <f>$G128+$C128+$D128</f>
        <v/>
      </c>
      <c r="I128" s="18">
        <f>$H128-$H127</f>
        <v/>
      </c>
      <c r="J128" s="18">
        <f>$H128-$E128</f>
        <v/>
      </c>
      <c r="K128" s="18">
        <f>$I128-$F128</f>
        <v/>
      </c>
      <c r="L128" s="17" t="b">
        <v>0</v>
      </c>
      <c r="O128" s="8">
        <f>IF(ABS($J128)&lt;=tol_trade_inr,"PASS","FAIL")</f>
        <v/>
      </c>
    </row>
    <row r="129">
      <c r="A129" s="11" t="n">
        <v>44809</v>
      </c>
      <c r="B129" s="17" t="b">
        <v>0</v>
      </c>
      <c r="C129" s="9" t="n">
        <v>-29446845.27</v>
      </c>
      <c r="D129" s="9" t="n">
        <v>323651896.3</v>
      </c>
      <c r="E129" s="9" t="n">
        <v>195313615.64</v>
      </c>
      <c r="F129" s="9" t="n">
        <v>-351886.68</v>
      </c>
      <c r="G129" s="18">
        <f>SUMIFS(Cashflows!$X$8:$X$1038,Cashflows!$F$8:$F$1038,"PNL",Cashflows!$K$8:$K$1038,"&lt;="&amp;$A129)</f>
        <v/>
      </c>
      <c r="H129" s="18">
        <f>$G129+$C129+$D129</f>
        <v/>
      </c>
      <c r="I129" s="18">
        <f>$H129-$H128</f>
        <v/>
      </c>
      <c r="J129" s="18">
        <f>$H129-$E129</f>
        <v/>
      </c>
      <c r="K129" s="18">
        <f>$I129-$F129</f>
        <v/>
      </c>
      <c r="L129" s="17" t="b">
        <v>0</v>
      </c>
      <c r="O129" s="8">
        <f>IF(ABS($J129)&lt;=tol_trade_inr,"PASS","FAIL")</f>
        <v/>
      </c>
    </row>
    <row r="130">
      <c r="A130" s="11" t="n">
        <v>44810</v>
      </c>
      <c r="B130" s="17" t="b">
        <v>0</v>
      </c>
      <c r="C130" s="9" t="n">
        <v>-29564390.84</v>
      </c>
      <c r="D130" s="9" t="n">
        <v>323656778.45</v>
      </c>
      <c r="E130" s="9" t="n">
        <v>195200952.22</v>
      </c>
      <c r="F130" s="9" t="n">
        <v>-112663.42</v>
      </c>
      <c r="G130" s="18">
        <f>SUMIFS(Cashflows!$X$8:$X$1038,Cashflows!$F$8:$F$1038,"PNL",Cashflows!$K$8:$K$1038,"&lt;="&amp;$A130)</f>
        <v/>
      </c>
      <c r="H130" s="18">
        <f>$G130+$C130+$D130</f>
        <v/>
      </c>
      <c r="I130" s="18">
        <f>$H130-$H129</f>
        <v/>
      </c>
      <c r="J130" s="18">
        <f>$H130-$E130</f>
        <v/>
      </c>
      <c r="K130" s="18">
        <f>$I130-$F130</f>
        <v/>
      </c>
      <c r="L130" s="17" t="b">
        <v>0</v>
      </c>
      <c r="O130" s="8">
        <f>IF(ABS($J130)&lt;=tol_trade_inr,"PASS","FAIL")</f>
        <v/>
      </c>
    </row>
    <row r="131">
      <c r="A131" s="11" t="n">
        <v>44811</v>
      </c>
      <c r="B131" s="17" t="b">
        <v>0</v>
      </c>
      <c r="C131" s="9" t="n">
        <v>-29681936.4</v>
      </c>
      <c r="D131" s="9" t="n">
        <v>323648391.01</v>
      </c>
      <c r="E131" s="9" t="n">
        <v>195075019.2</v>
      </c>
      <c r="F131" s="9" t="n">
        <v>-125933.01</v>
      </c>
      <c r="G131" s="18">
        <f>SUMIFS(Cashflows!$X$8:$X$1038,Cashflows!$F$8:$F$1038,"PNL",Cashflows!$K$8:$K$1038,"&lt;="&amp;$A131)</f>
        <v/>
      </c>
      <c r="H131" s="18">
        <f>$G131+$C131+$D131</f>
        <v/>
      </c>
      <c r="I131" s="18">
        <f>$H131-$H130</f>
        <v/>
      </c>
      <c r="J131" s="18">
        <f>$H131-$E131</f>
        <v/>
      </c>
      <c r="K131" s="18">
        <f>$I131-$F131</f>
        <v/>
      </c>
      <c r="L131" s="17" t="b">
        <v>0</v>
      </c>
      <c r="O131" s="8">
        <f>IF(ABS($J131)&lt;=tol_trade_inr,"PASS","FAIL")</f>
        <v/>
      </c>
    </row>
    <row r="132">
      <c r="A132" s="11" t="n">
        <v>44812</v>
      </c>
      <c r="B132" s="17" t="b">
        <v>0</v>
      </c>
      <c r="C132" s="9" t="n">
        <v>-29799481.97</v>
      </c>
      <c r="D132" s="9" t="n">
        <v>328427693.17</v>
      </c>
      <c r="E132" s="9" t="n">
        <v>194975268.52</v>
      </c>
      <c r="F132" s="9" t="n">
        <v>-99750.67999999999</v>
      </c>
      <c r="G132" s="18">
        <f>SUMIFS(Cashflows!$X$8:$X$1038,Cashflows!$F$8:$F$1038,"PNL",Cashflows!$K$8:$K$1038,"&lt;="&amp;$A132)</f>
        <v/>
      </c>
      <c r="H132" s="18">
        <f>$G132+$C132+$D132</f>
        <v/>
      </c>
      <c r="I132" s="18">
        <f>$H132-$H131</f>
        <v/>
      </c>
      <c r="J132" s="18">
        <f>$H132-$E132</f>
        <v/>
      </c>
      <c r="K132" s="18">
        <f>$I132-$F132</f>
        <v/>
      </c>
      <c r="L132" s="17" t="b">
        <v>0</v>
      </c>
      <c r="O132" s="8">
        <f>IF(ABS($J132)&lt;=tol_trade_inr,"PASS","FAIL")</f>
        <v/>
      </c>
    </row>
    <row r="133">
      <c r="A133" s="11" t="n">
        <v>44813</v>
      </c>
      <c r="B133" s="17" t="b">
        <v>0</v>
      </c>
      <c r="C133" s="9" t="n">
        <v>-29918358.15</v>
      </c>
      <c r="D133" s="9" t="n">
        <v>328431586.41</v>
      </c>
      <c r="E133" s="9" t="n">
        <v>194860285.59</v>
      </c>
      <c r="F133" s="9" t="n">
        <v>-114982.93</v>
      </c>
      <c r="G133" s="18">
        <f>SUMIFS(Cashflows!$X$8:$X$1038,Cashflows!$F$8:$F$1038,"PNL",Cashflows!$K$8:$K$1038,"&lt;="&amp;$A133)</f>
        <v/>
      </c>
      <c r="H133" s="18">
        <f>$G133+$C133+$D133</f>
        <v/>
      </c>
      <c r="I133" s="18">
        <f>$H133-$H132</f>
        <v/>
      </c>
      <c r="J133" s="18">
        <f>$H133-$E133</f>
        <v/>
      </c>
      <c r="K133" s="18">
        <f>$I133-$F133</f>
        <v/>
      </c>
      <c r="L133" s="17" t="b">
        <v>0</v>
      </c>
      <c r="O133" s="8">
        <f>IF(ABS($J133)&lt;=tol_trade_inr,"PASS","FAIL")</f>
        <v/>
      </c>
    </row>
    <row r="134">
      <c r="A134" s="11" t="n">
        <v>44816</v>
      </c>
      <c r="B134" s="17" t="b">
        <v>0</v>
      </c>
      <c r="C134" s="9" t="n">
        <v>-30249142.52</v>
      </c>
      <c r="D134" s="9" t="n">
        <v>328437518.46</v>
      </c>
      <c r="E134" s="9" t="n">
        <v>194535433.29</v>
      </c>
      <c r="F134" s="9" t="n">
        <v>-324852.3</v>
      </c>
      <c r="G134" s="18">
        <f>SUMIFS(Cashflows!$X$8:$X$1038,Cashflows!$F$8:$F$1038,"PNL",Cashflows!$K$8:$K$1038,"&lt;="&amp;$A134)</f>
        <v/>
      </c>
      <c r="H134" s="18">
        <f>$G134+$C134+$D134</f>
        <v/>
      </c>
      <c r="I134" s="18">
        <f>$H134-$H133</f>
        <v/>
      </c>
      <c r="J134" s="18">
        <f>$H134-$E134</f>
        <v/>
      </c>
      <c r="K134" s="18">
        <f>$I134-$F134</f>
        <v/>
      </c>
      <c r="L134" s="17" t="b">
        <v>0</v>
      </c>
      <c r="O134" s="8">
        <f>IF(ABS($J134)&lt;=tol_trade_inr,"PASS","FAIL")</f>
        <v/>
      </c>
    </row>
    <row r="135">
      <c r="A135" s="11" t="n">
        <v>44817</v>
      </c>
      <c r="B135" s="17" t="b">
        <v>0</v>
      </c>
      <c r="C135" s="9" t="n">
        <v>-30359403.96</v>
      </c>
      <c r="D135" s="9" t="n">
        <v>328450443.86</v>
      </c>
      <c r="E135" s="9" t="n">
        <v>194438097.23</v>
      </c>
      <c r="F135" s="9" t="n">
        <v>-97336.07000000001</v>
      </c>
      <c r="G135" s="18">
        <f>SUMIFS(Cashflows!$X$8:$X$1038,Cashflows!$F$8:$F$1038,"PNL",Cashflows!$K$8:$K$1038,"&lt;="&amp;$A135)</f>
        <v/>
      </c>
      <c r="H135" s="18">
        <f>$G135+$C135+$D135</f>
        <v/>
      </c>
      <c r="I135" s="18">
        <f>$H135-$H134</f>
        <v/>
      </c>
      <c r="J135" s="18">
        <f>$H135-$E135</f>
        <v/>
      </c>
      <c r="K135" s="18">
        <f>$I135-$F135</f>
        <v/>
      </c>
      <c r="L135" s="17" t="b">
        <v>0</v>
      </c>
      <c r="O135" s="8">
        <f>IF(ABS($J135)&lt;=tol_trade_inr,"PASS","FAIL")</f>
        <v/>
      </c>
    </row>
    <row r="136">
      <c r="A136" s="11" t="n">
        <v>44818</v>
      </c>
      <c r="B136" s="17" t="b">
        <v>0</v>
      </c>
      <c r="C136" s="9" t="n">
        <v>-30469665.41</v>
      </c>
      <c r="D136" s="9" t="n">
        <v>328436396.72</v>
      </c>
      <c r="E136" s="9" t="n">
        <v>194313788.65</v>
      </c>
      <c r="F136" s="9" t="n">
        <v>-124308.58</v>
      </c>
      <c r="G136" s="18">
        <f>SUMIFS(Cashflows!$X$8:$X$1038,Cashflows!$F$8:$F$1038,"PNL",Cashflows!$K$8:$K$1038,"&lt;="&amp;$A136)</f>
        <v/>
      </c>
      <c r="H136" s="18">
        <f>$G136+$C136+$D136</f>
        <v/>
      </c>
      <c r="I136" s="18">
        <f>$H136-$H135</f>
        <v/>
      </c>
      <c r="J136" s="18">
        <f>$H136-$E136</f>
        <v/>
      </c>
      <c r="K136" s="18">
        <f>$I136-$F136</f>
        <v/>
      </c>
      <c r="L136" s="17" t="b">
        <v>0</v>
      </c>
      <c r="O136" s="8">
        <f>IF(ABS($J136)&lt;=tol_trade_inr,"PASS","FAIL")</f>
        <v/>
      </c>
    </row>
    <row r="137">
      <c r="A137" s="11" t="n">
        <v>44819</v>
      </c>
      <c r="B137" s="17" t="b">
        <v>0</v>
      </c>
      <c r="C137" s="9" t="n">
        <v>-30579926.87</v>
      </c>
      <c r="D137" s="9" t="n">
        <v>328425214.72</v>
      </c>
      <c r="E137" s="9" t="n">
        <v>194192345.2</v>
      </c>
      <c r="F137" s="9" t="n">
        <v>-121443.45</v>
      </c>
      <c r="G137" s="18">
        <f>SUMIFS(Cashflows!$X$8:$X$1038,Cashflows!$F$8:$F$1038,"PNL",Cashflows!$K$8:$K$1038,"&lt;="&amp;$A137)</f>
        <v/>
      </c>
      <c r="H137" s="18">
        <f>$G137+$C137+$D137</f>
        <v/>
      </c>
      <c r="I137" s="18">
        <f>$H137-$H136</f>
        <v/>
      </c>
      <c r="J137" s="18">
        <f>$H137-$E137</f>
        <v/>
      </c>
      <c r="K137" s="18">
        <f>$I137-$F137</f>
        <v/>
      </c>
      <c r="L137" s="17" t="b">
        <v>0</v>
      </c>
      <c r="O137" s="8">
        <f>IF(ABS($J137)&lt;=tol_trade_inr,"PASS","FAIL")</f>
        <v/>
      </c>
    </row>
    <row r="138">
      <c r="A138" s="11" t="n">
        <v>44820</v>
      </c>
      <c r="B138" s="17" t="b">
        <v>0</v>
      </c>
      <c r="C138" s="9" t="n">
        <v>-30690188.33</v>
      </c>
      <c r="D138" s="9" t="n">
        <v>328427419.4999999</v>
      </c>
      <c r="E138" s="9" t="n">
        <v>194084288.52</v>
      </c>
      <c r="F138" s="9" t="n">
        <v>-108056.68</v>
      </c>
      <c r="G138" s="18">
        <f>SUMIFS(Cashflows!$X$8:$X$1038,Cashflows!$F$8:$F$1038,"PNL",Cashflows!$K$8:$K$1038,"&lt;="&amp;$A138)</f>
        <v/>
      </c>
      <c r="H138" s="18">
        <f>$G138+$C138+$D138</f>
        <v/>
      </c>
      <c r="I138" s="18">
        <f>$H138-$H137</f>
        <v/>
      </c>
      <c r="J138" s="18">
        <f>$H138-$E138</f>
        <v/>
      </c>
      <c r="K138" s="18">
        <f>$I138-$F138</f>
        <v/>
      </c>
      <c r="L138" s="17" t="b">
        <v>0</v>
      </c>
      <c r="O138" s="8">
        <f>IF(ABS($J138)&lt;=tol_trade_inr,"PASS","FAIL")</f>
        <v/>
      </c>
    </row>
    <row r="139">
      <c r="A139" s="11" t="n">
        <v>44823</v>
      </c>
      <c r="B139" s="17" t="b">
        <v>0</v>
      </c>
      <c r="C139" s="9" t="n">
        <v>-31020972.68</v>
      </c>
      <c r="D139" s="9" t="n">
        <v>328428236.22</v>
      </c>
      <c r="E139" s="9" t="n">
        <v>193754320.87</v>
      </c>
      <c r="F139" s="9" t="n">
        <v>-329967.65</v>
      </c>
      <c r="G139" s="18">
        <f>SUMIFS(Cashflows!$X$8:$X$1038,Cashflows!$F$8:$F$1038,"PNL",Cashflows!$K$8:$K$1038,"&lt;="&amp;$A139)</f>
        <v/>
      </c>
      <c r="H139" s="18">
        <f>$G139+$C139+$D139</f>
        <v/>
      </c>
      <c r="I139" s="18">
        <f>$H139-$H138</f>
        <v/>
      </c>
      <c r="J139" s="18">
        <f>$H139-$E139</f>
        <v/>
      </c>
      <c r="K139" s="18">
        <f>$I139-$F139</f>
        <v/>
      </c>
      <c r="L139" s="17" t="b">
        <v>0</v>
      </c>
      <c r="O139" s="8">
        <f>IF(ABS($J139)&lt;=tol_trade_inr,"PASS","FAIL")</f>
        <v/>
      </c>
    </row>
    <row r="140">
      <c r="A140" s="11" t="n">
        <v>44824</v>
      </c>
      <c r="B140" s="17" t="b">
        <v>0</v>
      </c>
      <c r="C140" s="9" t="n">
        <v>-31131234.13</v>
      </c>
      <c r="D140" s="9" t="n">
        <v>328428885.69</v>
      </c>
      <c r="E140" s="9" t="n">
        <v>193644708.89</v>
      </c>
      <c r="F140" s="9" t="n">
        <v>-109611.97</v>
      </c>
      <c r="G140" s="18">
        <f>SUMIFS(Cashflows!$X$8:$X$1038,Cashflows!$F$8:$F$1038,"PNL",Cashflows!$K$8:$K$1038,"&lt;="&amp;$A140)</f>
        <v/>
      </c>
      <c r="H140" s="18">
        <f>$G140+$C140+$D140</f>
        <v/>
      </c>
      <c r="I140" s="18">
        <f>$H140-$H139</f>
        <v/>
      </c>
      <c r="J140" s="18">
        <f>$H140-$E140</f>
        <v/>
      </c>
      <c r="K140" s="18">
        <f>$I140-$F140</f>
        <v/>
      </c>
      <c r="L140" s="17" t="b">
        <v>0</v>
      </c>
      <c r="O140" s="8">
        <f>IF(ABS($J140)&lt;=tol_trade_inr,"PASS","FAIL")</f>
        <v/>
      </c>
    </row>
    <row r="141">
      <c r="A141" s="11" t="n">
        <v>44825</v>
      </c>
      <c r="B141" s="17" t="b">
        <v>0</v>
      </c>
      <c r="C141" s="9" t="n">
        <v>-31241495.58</v>
      </c>
      <c r="D141" s="9" t="n">
        <v>328421338.81</v>
      </c>
      <c r="E141" s="9" t="n">
        <v>193526900.55</v>
      </c>
      <c r="F141" s="9" t="n">
        <v>-117808.34</v>
      </c>
      <c r="G141" s="18">
        <f>SUMIFS(Cashflows!$X$8:$X$1038,Cashflows!$F$8:$F$1038,"PNL",Cashflows!$K$8:$K$1038,"&lt;="&amp;$A141)</f>
        <v/>
      </c>
      <c r="H141" s="18">
        <f>$G141+$C141+$D141</f>
        <v/>
      </c>
      <c r="I141" s="18">
        <f>$H141-$H140</f>
        <v/>
      </c>
      <c r="J141" s="18">
        <f>$H141-$E141</f>
        <v/>
      </c>
      <c r="K141" s="18">
        <f>$I141-$F141</f>
        <v/>
      </c>
      <c r="L141" s="17" t="b">
        <v>0</v>
      </c>
      <c r="O141" s="8">
        <f>IF(ABS($J141)&lt;=tol_trade_inr,"PASS","FAIL")</f>
        <v/>
      </c>
    </row>
    <row r="142">
      <c r="A142" s="11" t="n">
        <v>44826</v>
      </c>
      <c r="B142" s="17" t="b">
        <v>0</v>
      </c>
      <c r="C142" s="9" t="n">
        <v>-31351757.03</v>
      </c>
      <c r="D142" s="9" t="n">
        <v>328383066.86</v>
      </c>
      <c r="E142" s="9" t="n">
        <v>193378367.17</v>
      </c>
      <c r="F142" s="9" t="n">
        <v>-148533.38</v>
      </c>
      <c r="G142" s="18">
        <f>SUMIFS(Cashflows!$X$8:$X$1038,Cashflows!$F$8:$F$1038,"PNL",Cashflows!$K$8:$K$1038,"&lt;="&amp;$A142)</f>
        <v/>
      </c>
      <c r="H142" s="18">
        <f>$G142+$C142+$D142</f>
        <v/>
      </c>
      <c r="I142" s="18">
        <f>$H142-$H141</f>
        <v/>
      </c>
      <c r="J142" s="18">
        <f>$H142-$E142</f>
        <v/>
      </c>
      <c r="K142" s="18">
        <f>$I142-$F142</f>
        <v/>
      </c>
      <c r="L142" s="17" t="b">
        <v>0</v>
      </c>
      <c r="O142" s="8">
        <f>IF(ABS($J142)&lt;=tol_trade_inr,"PASS","FAIL")</f>
        <v/>
      </c>
    </row>
    <row r="143">
      <c r="A143" s="11" t="n">
        <v>44827</v>
      </c>
      <c r="B143" s="17" t="b">
        <v>0</v>
      </c>
      <c r="C143" s="9" t="n">
        <v>-31462018.49</v>
      </c>
      <c r="D143" s="9" t="n">
        <v>328373665.45</v>
      </c>
      <c r="E143" s="9" t="n">
        <v>193258704.3</v>
      </c>
      <c r="F143" s="9" t="n">
        <v>-119662.87</v>
      </c>
      <c r="G143" s="18">
        <f>SUMIFS(Cashflows!$X$8:$X$1038,Cashflows!$F$8:$F$1038,"PNL",Cashflows!$K$8:$K$1038,"&lt;="&amp;$A143)</f>
        <v/>
      </c>
      <c r="H143" s="18">
        <f>$G143+$C143+$D143</f>
        <v/>
      </c>
      <c r="I143" s="18">
        <f>$H143-$H142</f>
        <v/>
      </c>
      <c r="J143" s="18">
        <f>$H143-$E143</f>
        <v/>
      </c>
      <c r="K143" s="18">
        <f>$I143-$F143</f>
        <v/>
      </c>
      <c r="L143" s="17" t="b">
        <v>0</v>
      </c>
      <c r="O143" s="8">
        <f>IF(ABS($J143)&lt;=tol_trade_inr,"PASS","FAIL")</f>
        <v/>
      </c>
    </row>
    <row r="144">
      <c r="A144" s="11" t="n">
        <v>44830</v>
      </c>
      <c r="B144" s="17" t="b">
        <v>0</v>
      </c>
      <c r="C144" s="9" t="n">
        <v>-31772710.46</v>
      </c>
      <c r="D144" s="9" t="n">
        <v>328352723.57</v>
      </c>
      <c r="E144" s="9" t="n">
        <v>192927070.45</v>
      </c>
      <c r="F144" s="9" t="n">
        <v>-331633.85</v>
      </c>
      <c r="G144" s="18">
        <f>SUMIFS(Cashflows!$X$8:$X$1038,Cashflows!$F$8:$F$1038,"PNL",Cashflows!$K$8:$K$1038,"&lt;="&amp;$A144)</f>
        <v/>
      </c>
      <c r="H144" s="18">
        <f>$G144+$C144+$D144</f>
        <v/>
      </c>
      <c r="I144" s="18">
        <f>$H144-$H143</f>
        <v/>
      </c>
      <c r="J144" s="18">
        <f>$H144-$E144</f>
        <v/>
      </c>
      <c r="K144" s="18">
        <f>$I144-$F144</f>
        <v/>
      </c>
      <c r="L144" s="17" t="b">
        <v>0</v>
      </c>
      <c r="O144" s="8">
        <f>IF(ABS($J144)&lt;=tol_trade_inr,"PASS","FAIL")</f>
        <v/>
      </c>
    </row>
    <row r="145">
      <c r="A145" s="11" t="n">
        <v>44831</v>
      </c>
      <c r="B145" s="17" t="b">
        <v>0</v>
      </c>
      <c r="C145" s="9" t="n">
        <v>-31876274.46</v>
      </c>
      <c r="D145" s="9" t="n">
        <v>328357789.32</v>
      </c>
      <c r="E145" s="9" t="n">
        <v>192828572.18</v>
      </c>
      <c r="F145" s="9" t="n">
        <v>-98498.27</v>
      </c>
      <c r="G145" s="18">
        <f>SUMIFS(Cashflows!$X$8:$X$1038,Cashflows!$F$8:$F$1038,"PNL",Cashflows!$K$8:$K$1038,"&lt;="&amp;$A145)</f>
        <v/>
      </c>
      <c r="H145" s="18">
        <f>$G145+$C145+$D145</f>
        <v/>
      </c>
      <c r="I145" s="18">
        <f>$H145-$H144</f>
        <v/>
      </c>
      <c r="J145" s="18">
        <f>$H145-$E145</f>
        <v/>
      </c>
      <c r="K145" s="18">
        <f>$I145-$F145</f>
        <v/>
      </c>
      <c r="L145" s="17" t="b">
        <v>0</v>
      </c>
      <c r="O145" s="8">
        <f>IF(ABS($J145)&lt;=tol_trade_inr,"PASS","FAIL")</f>
        <v/>
      </c>
    </row>
    <row r="146">
      <c r="A146" s="11" t="n">
        <v>44832</v>
      </c>
      <c r="B146" s="17" t="b">
        <v>0</v>
      </c>
      <c r="C146" s="9" t="n">
        <v>-31979838.45</v>
      </c>
      <c r="D146" s="9" t="n">
        <v>328343528.35</v>
      </c>
      <c r="E146" s="9" t="n">
        <v>192710747.25</v>
      </c>
      <c r="F146" s="9" t="n">
        <v>-117824.93</v>
      </c>
      <c r="G146" s="18">
        <f>SUMIFS(Cashflows!$X$8:$X$1038,Cashflows!$F$8:$F$1038,"PNL",Cashflows!$K$8:$K$1038,"&lt;="&amp;$A146)</f>
        <v/>
      </c>
      <c r="H146" s="18">
        <f>$G146+$C146+$D146</f>
        <v/>
      </c>
      <c r="I146" s="18">
        <f>$H146-$H145</f>
        <v/>
      </c>
      <c r="J146" s="18">
        <f>$H146-$E146</f>
        <v/>
      </c>
      <c r="K146" s="18">
        <f>$I146-$F146</f>
        <v/>
      </c>
      <c r="L146" s="17" t="b">
        <v>0</v>
      </c>
      <c r="O146" s="8">
        <f>IF(ABS($J146)&lt;=tol_trade_inr,"PASS","FAIL")</f>
        <v/>
      </c>
    </row>
    <row r="147">
      <c r="A147" s="11" t="n">
        <v>44833</v>
      </c>
      <c r="B147" s="17" t="b">
        <v>0</v>
      </c>
      <c r="C147" s="9" t="n">
        <v>-32083402.44</v>
      </c>
      <c r="D147" s="9" t="n">
        <v>330226226.0199999</v>
      </c>
      <c r="E147" s="9" t="n">
        <v>192611872.52</v>
      </c>
      <c r="F147" s="9" t="n">
        <v>-98874.73</v>
      </c>
      <c r="G147" s="18">
        <f>SUMIFS(Cashflows!$X$8:$X$1038,Cashflows!$F$8:$F$1038,"PNL",Cashflows!$K$8:$K$1038,"&lt;="&amp;$A147)</f>
        <v/>
      </c>
      <c r="H147" s="18">
        <f>$G147+$C147+$D147</f>
        <v/>
      </c>
      <c r="I147" s="18">
        <f>$H147-$H146</f>
        <v/>
      </c>
      <c r="J147" s="18">
        <f>$H147-$E147</f>
        <v/>
      </c>
      <c r="K147" s="18">
        <f>$I147-$F147</f>
        <v/>
      </c>
      <c r="L147" s="17" t="b">
        <v>0</v>
      </c>
      <c r="O147" s="8">
        <f>IF(ABS($J147)&lt;=tol_trade_inr,"PASS","FAIL")</f>
        <v/>
      </c>
    </row>
    <row r="148">
      <c r="A148" s="11" t="n">
        <v>44834</v>
      </c>
      <c r="B148" s="17" t="b">
        <v>0</v>
      </c>
      <c r="C148" s="9" t="n">
        <v>-32187491.25</v>
      </c>
      <c r="D148" s="9" t="n">
        <v>330230265.17</v>
      </c>
      <c r="E148" s="9" t="n">
        <v>192511822.87</v>
      </c>
      <c r="F148" s="9" t="n">
        <v>-100049.65</v>
      </c>
      <c r="G148" s="18">
        <f>SUMIFS(Cashflows!$X$8:$X$1038,Cashflows!$F$8:$F$1038,"PNL",Cashflows!$K$8:$K$1038,"&lt;="&amp;$A148)</f>
        <v/>
      </c>
      <c r="H148" s="18">
        <f>$G148+$C148+$D148</f>
        <v/>
      </c>
      <c r="I148" s="18">
        <f>$H148-$H147</f>
        <v/>
      </c>
      <c r="J148" s="18">
        <f>$H148-$E148</f>
        <v/>
      </c>
      <c r="K148" s="18">
        <f>$I148-$F148</f>
        <v/>
      </c>
      <c r="L148" s="17" t="b">
        <v>1</v>
      </c>
      <c r="M148" s="18">
        <f>SUMIFS(MTM_Daily!$AO$6:$AO$1238,MTM_Daily!$A$6:$A$1238,$A148,MTM_Daily!$L$6:$L$1238,"PNL")</f>
        <v/>
      </c>
      <c r="N148" s="18">
        <f>$M148-$D148</f>
        <v/>
      </c>
      <c r="O148" s="8">
        <f>IF(ABS($J148)&lt;=tol_trade_inr,"PASS","FAIL")</f>
        <v/>
      </c>
    </row>
    <row r="149">
      <c r="A149" s="11" t="n">
        <v>44837</v>
      </c>
      <c r="B149" s="17" t="b">
        <v>0</v>
      </c>
      <c r="C149" s="9" t="n">
        <v>-32480195.52</v>
      </c>
      <c r="D149" s="9" t="n">
        <v>330224258.11</v>
      </c>
      <c r="E149" s="9" t="n">
        <v>192213111.53</v>
      </c>
      <c r="F149" s="9" t="n">
        <v>-298711.35</v>
      </c>
      <c r="G149" s="18">
        <f>SUMIFS(Cashflows!$X$8:$X$1038,Cashflows!$F$8:$F$1038,"PNL",Cashflows!$K$8:$K$1038,"&lt;="&amp;$A149)</f>
        <v/>
      </c>
      <c r="H149" s="18">
        <f>$G149+$C149+$D149</f>
        <v/>
      </c>
      <c r="I149" s="18">
        <f>$H149-$H148</f>
        <v/>
      </c>
      <c r="J149" s="18">
        <f>$H149-$E149</f>
        <v/>
      </c>
      <c r="K149" s="18">
        <f>$I149-$F149</f>
        <v/>
      </c>
      <c r="L149" s="17" t="b">
        <v>0</v>
      </c>
      <c r="O149" s="8">
        <f>IF(ABS($J149)&lt;=tol_trade_inr,"PASS","FAIL")</f>
        <v/>
      </c>
    </row>
    <row r="150">
      <c r="A150" s="11" t="n">
        <v>44838</v>
      </c>
      <c r="B150" s="17" t="b">
        <v>0</v>
      </c>
      <c r="C150" s="9" t="n">
        <v>-32577763.61</v>
      </c>
      <c r="D150" s="9" t="n">
        <v>330228789.41</v>
      </c>
      <c r="E150" s="9" t="n">
        <v>192120074.75</v>
      </c>
      <c r="F150" s="9" t="n">
        <v>-93036.78</v>
      </c>
      <c r="G150" s="18">
        <f>SUMIFS(Cashflows!$X$8:$X$1038,Cashflows!$F$8:$F$1038,"PNL",Cashflows!$K$8:$K$1038,"&lt;="&amp;$A150)</f>
        <v/>
      </c>
      <c r="H150" s="18">
        <f>$G150+$C150+$D150</f>
        <v/>
      </c>
      <c r="I150" s="18">
        <f>$H150-$H149</f>
        <v/>
      </c>
      <c r="J150" s="18">
        <f>$H150-$E150</f>
        <v/>
      </c>
      <c r="K150" s="18">
        <f>$I150-$F150</f>
        <v/>
      </c>
      <c r="L150" s="17" t="b">
        <v>0</v>
      </c>
      <c r="O150" s="8">
        <f>IF(ABS($J150)&lt;=tol_trade_inr,"PASS","FAIL")</f>
        <v/>
      </c>
    </row>
    <row r="151">
      <c r="A151" s="11" t="n">
        <v>44839</v>
      </c>
      <c r="B151" s="17" t="b">
        <v>0</v>
      </c>
      <c r="C151" s="9" t="n">
        <v>-32675331.7</v>
      </c>
      <c r="D151" s="9" t="n">
        <v>330228660.1999999</v>
      </c>
      <c r="E151" s="9" t="n">
        <v>192022377.44</v>
      </c>
      <c r="F151" s="9" t="n">
        <v>-97697.3</v>
      </c>
      <c r="G151" s="18">
        <f>SUMIFS(Cashflows!$X$8:$X$1038,Cashflows!$F$8:$F$1038,"PNL",Cashflows!$K$8:$K$1038,"&lt;="&amp;$A151)</f>
        <v/>
      </c>
      <c r="H151" s="18">
        <f>$G151+$C151+$D151</f>
        <v/>
      </c>
      <c r="I151" s="18">
        <f>$H151-$H150</f>
        <v/>
      </c>
      <c r="J151" s="18">
        <f>$H151-$E151</f>
        <v/>
      </c>
      <c r="K151" s="18">
        <f>$I151-$F151</f>
        <v/>
      </c>
      <c r="L151" s="17" t="b">
        <v>0</v>
      </c>
      <c r="O151" s="8">
        <f>IF(ABS($J151)&lt;=tol_trade_inr,"PASS","FAIL")</f>
        <v/>
      </c>
    </row>
    <row r="152">
      <c r="A152" s="11" t="n">
        <v>44840</v>
      </c>
      <c r="B152" s="17" t="b">
        <v>0</v>
      </c>
      <c r="C152" s="9" t="n">
        <v>-32772899.79</v>
      </c>
      <c r="D152" s="9" t="n">
        <v>330217525.93</v>
      </c>
      <c r="E152" s="9" t="n">
        <v>191913675.1</v>
      </c>
      <c r="F152" s="9" t="n">
        <v>-108702.35</v>
      </c>
      <c r="G152" s="18">
        <f>SUMIFS(Cashflows!$X$8:$X$1038,Cashflows!$F$8:$F$1038,"PNL",Cashflows!$K$8:$K$1038,"&lt;="&amp;$A152)</f>
        <v/>
      </c>
      <c r="H152" s="18">
        <f>$G152+$C152+$D152</f>
        <v/>
      </c>
      <c r="I152" s="18">
        <f>$H152-$H151</f>
        <v/>
      </c>
      <c r="J152" s="18">
        <f>$H152-$E152</f>
        <v/>
      </c>
      <c r="K152" s="18">
        <f>$I152-$F152</f>
        <v/>
      </c>
      <c r="L152" s="17" t="b">
        <v>0</v>
      </c>
      <c r="O152" s="8">
        <f>IF(ABS($J152)&lt;=tol_trade_inr,"PASS","FAIL")</f>
        <v/>
      </c>
    </row>
    <row r="153">
      <c r="A153" s="11" t="n">
        <v>44841</v>
      </c>
      <c r="B153" s="17" t="b">
        <v>0</v>
      </c>
      <c r="C153" s="9" t="n">
        <v>-32870467.88</v>
      </c>
      <c r="D153" s="9" t="n">
        <v>330217594.09</v>
      </c>
      <c r="E153" s="9" t="n">
        <v>191816175.15</v>
      </c>
      <c r="F153" s="9" t="n">
        <v>-97499.95</v>
      </c>
      <c r="G153" s="18">
        <f>SUMIFS(Cashflows!$X$8:$X$1038,Cashflows!$F$8:$F$1038,"PNL",Cashflows!$K$8:$K$1038,"&lt;="&amp;$A153)</f>
        <v/>
      </c>
      <c r="H153" s="18">
        <f>$G153+$C153+$D153</f>
        <v/>
      </c>
      <c r="I153" s="18">
        <f>$H153-$H152</f>
        <v/>
      </c>
      <c r="J153" s="18">
        <f>$H153-$E153</f>
        <v/>
      </c>
      <c r="K153" s="18">
        <f>$I153-$F153</f>
        <v/>
      </c>
      <c r="L153" s="17" t="b">
        <v>0</v>
      </c>
      <c r="O153" s="8">
        <f>IF(ABS($J153)&lt;=tol_trade_inr,"PASS","FAIL")</f>
        <v/>
      </c>
    </row>
    <row r="154">
      <c r="A154" s="11" t="n">
        <v>44844</v>
      </c>
      <c r="B154" s="17" t="b">
        <v>0</v>
      </c>
      <c r="C154" s="9" t="n">
        <v>-33149474.49</v>
      </c>
      <c r="D154" s="9" t="n">
        <v>-87953552.15000001</v>
      </c>
      <c r="E154" s="9" t="n">
        <v>191532893.23</v>
      </c>
      <c r="F154" s="9" t="n">
        <v>-283281.92</v>
      </c>
      <c r="G154" s="18">
        <f>SUMIFS(Cashflows!$X$8:$X$1038,Cashflows!$F$8:$F$1038,"PNL",Cashflows!$K$8:$K$1038,"&lt;="&amp;$A154)</f>
        <v/>
      </c>
      <c r="H154" s="18">
        <f>$G154+$C154+$D154</f>
        <v/>
      </c>
      <c r="I154" s="18">
        <f>$H154-$H153</f>
        <v/>
      </c>
      <c r="J154" s="18">
        <f>$H154-$E154</f>
        <v/>
      </c>
      <c r="K154" s="18">
        <f>$I154-$F154</f>
        <v/>
      </c>
      <c r="L154" s="17" t="b">
        <v>0</v>
      </c>
      <c r="O154" s="8">
        <f>IF(ABS($J154)&lt;=tol_trade_inr,"PASS","FAIL")</f>
        <v/>
      </c>
    </row>
    <row r="155">
      <c r="A155" s="11" t="n">
        <v>44845</v>
      </c>
      <c r="B155" s="17" t="b">
        <v>0</v>
      </c>
      <c r="C155" s="9" t="n">
        <v>-33124567.42</v>
      </c>
      <c r="D155" s="9" t="n">
        <v>-177188146.52</v>
      </c>
      <c r="E155" s="9" t="n">
        <v>191562308.94</v>
      </c>
      <c r="F155" s="9" t="n">
        <v>29415.72</v>
      </c>
      <c r="G155" s="18">
        <f>SUMIFS(Cashflows!$X$8:$X$1038,Cashflows!$F$8:$F$1038,"PNL",Cashflows!$K$8:$K$1038,"&lt;="&amp;$A155)</f>
        <v/>
      </c>
      <c r="H155" s="18">
        <f>$G155+$C155+$D155</f>
        <v/>
      </c>
      <c r="I155" s="18">
        <f>$H155-$H154</f>
        <v/>
      </c>
      <c r="J155" s="18">
        <f>$H155-$E155</f>
        <v/>
      </c>
      <c r="K155" s="18">
        <f>$I155-$F155</f>
        <v/>
      </c>
      <c r="L155" s="17" t="b">
        <v>1</v>
      </c>
      <c r="M155" s="18">
        <f>SUMIFS(MTM_Daily!$AO$6:$AO$1238,MTM_Daily!$A$6:$A$1238,$A155,MTM_Daily!$L$6:$L$1238,"PNL")</f>
        <v/>
      </c>
      <c r="N155" s="18">
        <f>$M155-$D155</f>
        <v/>
      </c>
      <c r="O155" s="8">
        <f>IF(ABS($J155)&lt;=tol_trade_inr,"PASS","FAIL")</f>
        <v/>
      </c>
    </row>
    <row r="156">
      <c r="A156" s="11" t="n">
        <v>44846</v>
      </c>
      <c r="B156" s="17" t="b">
        <v>0</v>
      </c>
      <c r="C156" s="9" t="n">
        <v>-33076921.65</v>
      </c>
      <c r="D156" s="9" t="n">
        <v>-177189539.99</v>
      </c>
      <c r="E156" s="9" t="n">
        <v>191608561.25</v>
      </c>
      <c r="F156" s="9" t="n">
        <v>46252.31</v>
      </c>
      <c r="G156" s="18">
        <f>SUMIFS(Cashflows!$X$8:$X$1038,Cashflows!$F$8:$F$1038,"PNL",Cashflows!$K$8:$K$1038,"&lt;="&amp;$A156)</f>
        <v/>
      </c>
      <c r="H156" s="18">
        <f>$G156+$C156+$D156</f>
        <v/>
      </c>
      <c r="I156" s="18">
        <f>$H156-$H155</f>
        <v/>
      </c>
      <c r="J156" s="18">
        <f>$H156-$E156</f>
        <v/>
      </c>
      <c r="K156" s="18">
        <f>$I156-$F156</f>
        <v/>
      </c>
      <c r="L156" s="17" t="b">
        <v>0</v>
      </c>
      <c r="O156" s="8">
        <f>IF(ABS($J156)&lt;=tol_trade_inr,"PASS","FAIL")</f>
        <v/>
      </c>
    </row>
    <row r="157">
      <c r="A157" s="11" t="n">
        <v>44847</v>
      </c>
      <c r="B157" s="17" t="b">
        <v>0</v>
      </c>
      <c r="C157" s="9" t="n">
        <v>-33029275.88</v>
      </c>
      <c r="D157" s="9" t="n">
        <v>-177186205.85</v>
      </c>
      <c r="E157" s="9" t="n">
        <v>191659541.16</v>
      </c>
      <c r="F157" s="9" t="n">
        <v>50979.91</v>
      </c>
      <c r="G157" s="18">
        <f>SUMIFS(Cashflows!$X$8:$X$1038,Cashflows!$F$8:$F$1038,"PNL",Cashflows!$K$8:$K$1038,"&lt;="&amp;$A157)</f>
        <v/>
      </c>
      <c r="H157" s="18">
        <f>$G157+$C157+$D157</f>
        <v/>
      </c>
      <c r="I157" s="18">
        <f>$H157-$H156</f>
        <v/>
      </c>
      <c r="J157" s="18">
        <f>$H157-$E157</f>
        <v/>
      </c>
      <c r="K157" s="18">
        <f>$I157-$F157</f>
        <v/>
      </c>
      <c r="L157" s="17" t="b">
        <v>0</v>
      </c>
      <c r="O157" s="8">
        <f>IF(ABS($J157)&lt;=tol_trade_inr,"PASS","FAIL")</f>
        <v/>
      </c>
    </row>
    <row r="158">
      <c r="A158" s="11" t="n">
        <v>44848</v>
      </c>
      <c r="B158" s="17" t="b">
        <v>0</v>
      </c>
      <c r="C158" s="9" t="n">
        <v>-32981630.11</v>
      </c>
      <c r="D158" s="9" t="n">
        <v>-177188980.79</v>
      </c>
      <c r="E158" s="9" t="n">
        <v>191704411.98</v>
      </c>
      <c r="F158" s="9" t="n">
        <v>44870.82</v>
      </c>
      <c r="G158" s="18">
        <f>SUMIFS(Cashflows!$X$8:$X$1038,Cashflows!$F$8:$F$1038,"PNL",Cashflows!$K$8:$K$1038,"&lt;="&amp;$A158)</f>
        <v/>
      </c>
      <c r="H158" s="18">
        <f>$G158+$C158+$D158</f>
        <v/>
      </c>
      <c r="I158" s="18">
        <f>$H158-$H157</f>
        <v/>
      </c>
      <c r="J158" s="18">
        <f>$H158-$E158</f>
        <v/>
      </c>
      <c r="K158" s="18">
        <f>$I158-$F158</f>
        <v/>
      </c>
      <c r="L158" s="17" t="b">
        <v>0</v>
      </c>
      <c r="O158" s="8">
        <f>IF(ABS($J158)&lt;=tol_trade_inr,"PASS","FAIL")</f>
        <v/>
      </c>
    </row>
    <row r="159">
      <c r="A159" s="11" t="n">
        <v>44851</v>
      </c>
      <c r="B159" s="17" t="b">
        <v>0</v>
      </c>
      <c r="C159" s="9" t="n">
        <v>-32824995.15</v>
      </c>
      <c r="D159" s="9" t="n">
        <v>-88800247.97999999</v>
      </c>
      <c r="E159" s="9" t="n">
        <v>191861817.3</v>
      </c>
      <c r="F159" s="9" t="n">
        <v>157405.32</v>
      </c>
      <c r="G159" s="18">
        <f>SUMIFS(Cashflows!$X$8:$X$1038,Cashflows!$F$8:$F$1038,"PNL",Cashflows!$K$8:$K$1038,"&lt;="&amp;$A159)</f>
        <v/>
      </c>
      <c r="H159" s="18">
        <f>$G159+$C159+$D159</f>
        <v/>
      </c>
      <c r="I159" s="18">
        <f>$H159-$H158</f>
        <v/>
      </c>
      <c r="J159" s="18">
        <f>$H159-$E159</f>
        <v/>
      </c>
      <c r="K159" s="18">
        <f>$I159-$F159</f>
        <v/>
      </c>
      <c r="L159" s="17" t="b">
        <v>0</v>
      </c>
      <c r="O159" s="8">
        <f>IF(ABS($J159)&lt;=tol_trade_inr,"PASS","FAIL")</f>
        <v/>
      </c>
    </row>
    <row r="160">
      <c r="A160" s="11" t="n">
        <v>44852</v>
      </c>
      <c r="B160" s="17" t="b">
        <v>0</v>
      </c>
      <c r="C160" s="9" t="n">
        <v>-32796809.39</v>
      </c>
      <c r="D160" s="9" t="n">
        <v>-88800205.05</v>
      </c>
      <c r="E160" s="9" t="n">
        <v>191890045.98</v>
      </c>
      <c r="F160" s="9" t="n">
        <v>28228.68</v>
      </c>
      <c r="G160" s="18">
        <f>SUMIFS(Cashflows!$X$8:$X$1038,Cashflows!$F$8:$F$1038,"PNL",Cashflows!$K$8:$K$1038,"&lt;="&amp;$A160)</f>
        <v/>
      </c>
      <c r="H160" s="18">
        <f>$G160+$C160+$D160</f>
        <v/>
      </c>
      <c r="I160" s="18">
        <f>$H160-$H159</f>
        <v/>
      </c>
      <c r="J160" s="18">
        <f>$H160-$E160</f>
        <v/>
      </c>
      <c r="K160" s="18">
        <f>$I160-$F160</f>
        <v/>
      </c>
      <c r="L160" s="17" t="b">
        <v>0</v>
      </c>
      <c r="O160" s="8">
        <f>IF(ABS($J160)&lt;=tol_trade_inr,"PASS","FAIL")</f>
        <v/>
      </c>
    </row>
    <row r="161">
      <c r="A161" s="11" t="n">
        <v>44853</v>
      </c>
      <c r="B161" s="17" t="b">
        <v>0</v>
      </c>
      <c r="C161" s="9" t="n">
        <v>-32768623.64</v>
      </c>
      <c r="D161" s="9" t="n">
        <v>-88807269.61999999</v>
      </c>
      <c r="E161" s="9" t="n">
        <v>191911167.16</v>
      </c>
      <c r="F161" s="9" t="n">
        <v>21121.19</v>
      </c>
      <c r="G161" s="18">
        <f>SUMIFS(Cashflows!$X$8:$X$1038,Cashflows!$F$8:$F$1038,"PNL",Cashflows!$K$8:$K$1038,"&lt;="&amp;$A161)</f>
        <v/>
      </c>
      <c r="H161" s="18">
        <f>$G161+$C161+$D161</f>
        <v/>
      </c>
      <c r="I161" s="18">
        <f>$H161-$H160</f>
        <v/>
      </c>
      <c r="J161" s="18">
        <f>$H161-$E161</f>
        <v/>
      </c>
      <c r="K161" s="18">
        <f>$I161-$F161</f>
        <v/>
      </c>
      <c r="L161" s="17" t="b">
        <v>0</v>
      </c>
      <c r="O161" s="8">
        <f>IF(ABS($J161)&lt;=tol_trade_inr,"PASS","FAIL")</f>
        <v/>
      </c>
    </row>
    <row r="162">
      <c r="A162" s="11" t="n">
        <v>44854</v>
      </c>
      <c r="B162" s="17" t="b">
        <v>0</v>
      </c>
      <c r="C162" s="9" t="n">
        <v>-32740437.88</v>
      </c>
      <c r="D162" s="9" t="n">
        <v>-88804422.46000001</v>
      </c>
      <c r="E162" s="9" t="n">
        <v>191942200.08</v>
      </c>
      <c r="F162" s="9" t="n">
        <v>31032.92</v>
      </c>
      <c r="G162" s="18">
        <f>SUMIFS(Cashflows!$X$8:$X$1038,Cashflows!$F$8:$F$1038,"PNL",Cashflows!$K$8:$K$1038,"&lt;="&amp;$A162)</f>
        <v/>
      </c>
      <c r="H162" s="18">
        <f>$G162+$C162+$D162</f>
        <v/>
      </c>
      <c r="I162" s="18">
        <f>$H162-$H161</f>
        <v/>
      </c>
      <c r="J162" s="18">
        <f>$H162-$E162</f>
        <v/>
      </c>
      <c r="K162" s="18">
        <f>$I162-$F162</f>
        <v/>
      </c>
      <c r="L162" s="17" t="b">
        <v>0</v>
      </c>
      <c r="O162" s="8">
        <f>IF(ABS($J162)&lt;=tol_trade_inr,"PASS","FAIL")</f>
        <v/>
      </c>
    </row>
    <row r="163">
      <c r="A163" s="11" t="n">
        <v>44855</v>
      </c>
      <c r="B163" s="17" t="b">
        <v>0</v>
      </c>
      <c r="C163" s="9" t="n">
        <v>-32712252.13</v>
      </c>
      <c r="D163" s="9" t="n">
        <v>-88806616.67999999</v>
      </c>
      <c r="E163" s="9" t="n">
        <v>191968191.62</v>
      </c>
      <c r="F163" s="9" t="n">
        <v>25991.54</v>
      </c>
      <c r="G163" s="18">
        <f>SUMIFS(Cashflows!$X$8:$X$1038,Cashflows!$F$8:$F$1038,"PNL",Cashflows!$K$8:$K$1038,"&lt;="&amp;$A163)</f>
        <v/>
      </c>
      <c r="H163" s="18">
        <f>$G163+$C163+$D163</f>
        <v/>
      </c>
      <c r="I163" s="18">
        <f>$H163-$H162</f>
        <v/>
      </c>
      <c r="J163" s="18">
        <f>$H163-$E163</f>
        <v/>
      </c>
      <c r="K163" s="18">
        <f>$I163-$F163</f>
        <v/>
      </c>
      <c r="L163" s="17" t="b">
        <v>0</v>
      </c>
      <c r="O163" s="8">
        <f>IF(ABS($J163)&lt;=tol_trade_inr,"PASS","FAIL")</f>
        <v/>
      </c>
    </row>
    <row r="164">
      <c r="A164" s="11" t="n">
        <v>44858</v>
      </c>
      <c r="B164" s="17" t="b">
        <v>0</v>
      </c>
      <c r="C164" s="9" t="n">
        <v>-32627694.86</v>
      </c>
      <c r="D164" s="9" t="n">
        <v>0</v>
      </c>
      <c r="E164" s="9" t="n">
        <v>192054770.66</v>
      </c>
      <c r="F164" s="9" t="n">
        <v>86579.03999999999</v>
      </c>
      <c r="G164" s="18">
        <f>SUMIFS(Cashflows!$X$8:$X$1038,Cashflows!$F$8:$F$1038,"PNL",Cashflows!$K$8:$K$1038,"&lt;="&amp;$A164)</f>
        <v/>
      </c>
      <c r="H164" s="18">
        <f>$G164+$C164+$D164</f>
        <v/>
      </c>
      <c r="I164" s="18">
        <f>$H164-$H163</f>
        <v/>
      </c>
      <c r="J164" s="18">
        <f>$H164-$E164</f>
        <v/>
      </c>
      <c r="K164" s="18">
        <f>$I164-$F164</f>
        <v/>
      </c>
      <c r="L164" s="17" t="b">
        <v>0</v>
      </c>
      <c r="O164" s="8">
        <f>IF(ABS($J164)&lt;=tol_trade_inr,"PASS","FAIL")</f>
        <v/>
      </c>
    </row>
    <row r="165">
      <c r="A165" s="11" t="n">
        <v>44859</v>
      </c>
      <c r="B165" s="17" t="b">
        <v>0</v>
      </c>
      <c r="C165" s="9" t="n">
        <v>-32627694.86</v>
      </c>
      <c r="D165" s="9" t="n">
        <v>0</v>
      </c>
      <c r="E165" s="9" t="n">
        <v>192054770.66</v>
      </c>
      <c r="F165" s="9" t="n">
        <v>0</v>
      </c>
      <c r="G165" s="18">
        <f>SUMIFS(Cashflows!$X$8:$X$1038,Cashflows!$F$8:$F$1038,"PNL",Cashflows!$K$8:$K$1038,"&lt;="&amp;$A165)</f>
        <v/>
      </c>
      <c r="H165" s="18">
        <f>$G165+$C165+$D165</f>
        <v/>
      </c>
      <c r="I165" s="18">
        <f>$H165-$H164</f>
        <v/>
      </c>
      <c r="J165" s="18">
        <f>$H165-$E165</f>
        <v/>
      </c>
      <c r="K165" s="18">
        <f>$I165-$F165</f>
        <v/>
      </c>
      <c r="L165" s="17" t="b">
        <v>0</v>
      </c>
      <c r="O165" s="8">
        <f>IF(ABS($J165)&lt;=tol_trade_inr,"PASS","FAIL")</f>
        <v/>
      </c>
    </row>
    <row r="166">
      <c r="A166" s="11" t="n">
        <v>44860</v>
      </c>
      <c r="B166" s="17" t="b">
        <v>0</v>
      </c>
      <c r="C166" s="9" t="n">
        <v>-32627694.86</v>
      </c>
      <c r="D166" s="9" t="n">
        <v>0</v>
      </c>
      <c r="E166" s="9" t="n">
        <v>192054770.66</v>
      </c>
      <c r="F166" s="9" t="n">
        <v>0</v>
      </c>
      <c r="G166" s="18">
        <f>SUMIFS(Cashflows!$X$8:$X$1038,Cashflows!$F$8:$F$1038,"PNL",Cashflows!$K$8:$K$1038,"&lt;="&amp;$A166)</f>
        <v/>
      </c>
      <c r="H166" s="18">
        <f>$G166+$C166+$D166</f>
        <v/>
      </c>
      <c r="I166" s="18">
        <f>$H166-$H165</f>
        <v/>
      </c>
      <c r="J166" s="18">
        <f>$H166-$E166</f>
        <v/>
      </c>
      <c r="K166" s="18">
        <f>$I166-$F166</f>
        <v/>
      </c>
      <c r="L166" s="17" t="b">
        <v>0</v>
      </c>
      <c r="O166" s="8">
        <f>IF(ABS($J166)&lt;=tol_trade_inr,"PASS","FAIL")</f>
        <v/>
      </c>
    </row>
    <row r="167">
      <c r="A167" s="11" t="n">
        <v>44861</v>
      </c>
      <c r="B167" s="17" t="b">
        <v>0</v>
      </c>
      <c r="C167" s="9" t="n">
        <v>-32627694.86</v>
      </c>
      <c r="D167" s="9" t="n">
        <v>0</v>
      </c>
      <c r="E167" s="9" t="n">
        <v>192054770.66</v>
      </c>
      <c r="F167" s="9" t="n">
        <v>0</v>
      </c>
      <c r="G167" s="18">
        <f>SUMIFS(Cashflows!$X$8:$X$1038,Cashflows!$F$8:$F$1038,"PNL",Cashflows!$K$8:$K$1038,"&lt;="&amp;$A167)</f>
        <v/>
      </c>
      <c r="H167" s="18">
        <f>$G167+$C167+$D167</f>
        <v/>
      </c>
      <c r="I167" s="18">
        <f>$H167-$H166</f>
        <v/>
      </c>
      <c r="J167" s="18">
        <f>$H167-$E167</f>
        <v/>
      </c>
      <c r="K167" s="18">
        <f>$I167-$F167</f>
        <v/>
      </c>
      <c r="L167" s="17" t="b">
        <v>0</v>
      </c>
      <c r="O167" s="8">
        <f>IF(ABS($J167)&lt;=tol_trade_inr,"PASS","FAIL")</f>
        <v/>
      </c>
    </row>
    <row r="168">
      <c r="A168" s="11" t="n">
        <v>44862</v>
      </c>
      <c r="B168" s="17" t="b">
        <v>0</v>
      </c>
      <c r="C168" s="9" t="n">
        <v>-32627694.86</v>
      </c>
      <c r="D168" s="9" t="n">
        <v>0</v>
      </c>
      <c r="E168" s="9" t="n">
        <v>192054770.66</v>
      </c>
      <c r="F168" s="9" t="n">
        <v>0</v>
      </c>
      <c r="G168" s="18">
        <f>SUMIFS(Cashflows!$X$8:$X$1038,Cashflows!$F$8:$F$1038,"PNL",Cashflows!$K$8:$K$1038,"&lt;="&amp;$A168)</f>
        <v/>
      </c>
      <c r="H168" s="18">
        <f>$G168+$C168+$D168</f>
        <v/>
      </c>
      <c r="I168" s="18">
        <f>$H168-$H167</f>
        <v/>
      </c>
      <c r="J168" s="18">
        <f>$H168-$E168</f>
        <v/>
      </c>
      <c r="K168" s="18">
        <f>$I168-$F168</f>
        <v/>
      </c>
      <c r="L168" s="17" t="b">
        <v>0</v>
      </c>
      <c r="O168" s="8">
        <f>IF(ABS($J168)&lt;=tol_trade_inr,"PASS","FAIL")</f>
        <v/>
      </c>
    </row>
    <row r="169">
      <c r="A169" s="11" t="n">
        <v>44865</v>
      </c>
      <c r="B169" s="17" t="b">
        <v>0</v>
      </c>
      <c r="C169" s="9" t="n">
        <v>-32627694.86</v>
      </c>
      <c r="D169" s="9" t="n">
        <v>0</v>
      </c>
      <c r="E169" s="9" t="n">
        <v>192054770.66</v>
      </c>
      <c r="F169" s="9" t="n">
        <v>0</v>
      </c>
      <c r="G169" s="18">
        <f>SUMIFS(Cashflows!$X$8:$X$1038,Cashflows!$F$8:$F$1038,"PNL",Cashflows!$K$8:$K$1038,"&lt;="&amp;$A169)</f>
        <v/>
      </c>
      <c r="H169" s="18">
        <f>$G169+$C169+$D169</f>
        <v/>
      </c>
      <c r="I169" s="18">
        <f>$H169-$H168</f>
        <v/>
      </c>
      <c r="J169" s="18">
        <f>$H169-$E169</f>
        <v/>
      </c>
      <c r="K169" s="18">
        <f>$I169-$F169</f>
        <v/>
      </c>
      <c r="L169" s="17" t="b">
        <v>1</v>
      </c>
      <c r="M169" s="18">
        <f>SUMIFS(MTM_Daily!$AO$6:$AO$1238,MTM_Daily!$A$6:$A$1238,$A169,MTM_Daily!$L$6:$L$1238,"PNL")</f>
        <v/>
      </c>
      <c r="N169" s="18">
        <f>$M169-$D169</f>
        <v/>
      </c>
      <c r="O169" s="8">
        <f>IF(ABS($J169)&lt;=tol_trade_inr,"PASS","FAIL")</f>
        <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P836"/>
  <sheetViews>
    <sheetView showGridLines="0" workbookViewId="0">
      <selection activeCell="A1" sqref="A1"/>
    </sheetView>
  </sheetViews>
  <sheetFormatPr baseColWidth="8" defaultRowHeight="15"/>
  <cols>
    <col width="46" customWidth="1" min="1" max="1"/>
    <col width="9" customWidth="1" min="2" max="2"/>
    <col width="18" customWidth="1" min="3" max="3"/>
    <col width="18" customWidth="1" min="4" max="4"/>
    <col width="9" customWidth="1" min="5" max="5"/>
    <col width="10" customWidth="1" min="6" max="6"/>
    <col width="9" customWidth="1" min="7" max="7"/>
    <col width="9" customWidth="1" min="8" max="8"/>
    <col width="9" customWidth="1" min="9" max="9"/>
    <col width="21" customWidth="1" min="10" max="10"/>
    <col width="17" customWidth="1" min="11" max="11"/>
    <col width="13" customWidth="1" min="12" max="12"/>
    <col width="13" customWidth="1" min="13" max="13"/>
    <col width="14" customWidth="1" min="14" max="14"/>
    <col width="13" customWidth="1" min="15" max="15"/>
    <col width="9" customWidth="1" min="16" max="16"/>
  </cols>
  <sheetData>
    <row r="1">
      <c r="A1" s="1" t="inlineStr">
        <is>
          <t>ACADEMIC SIMULATION — not actual trades</t>
        </is>
      </c>
    </row>
    <row r="2">
      <c r="A2" s="2" t="inlineStr">
        <is>
          <t>Checks — workbook formulas differenced against the Python engine</t>
        </is>
      </c>
    </row>
    <row r="3">
      <c r="A3" s="3" t="inlineStr">
        <is>
          <t>Green = the published Python value. Black = the workbook's own formula, referenced from its sheet. Every family carries a named tolerance from Inputs.</t>
        </is>
      </c>
    </row>
    <row r="4">
      <c r="A4" s="4" t="inlineStr">
        <is>
          <t>Scoreboard — recomputed from the blocks below</t>
        </is>
      </c>
    </row>
    <row r="5" ht="30" customHeight="1">
      <c r="A5" s="5" t="inlineStr">
        <is>
          <t>family</t>
        </is>
      </c>
      <c r="B5" s="5" t="inlineStr">
        <is>
          <t>n_rows</t>
        </is>
      </c>
      <c r="C5" s="5" t="inlineStr">
        <is>
          <t>tolerance</t>
        </is>
      </c>
      <c r="D5" s="5" t="inlineStr">
        <is>
          <t>max_abs_diff</t>
        </is>
      </c>
      <c r="E5" s="5" t="inlineStr">
        <is>
          <t>n_fail</t>
        </is>
      </c>
      <c r="F5" s="5" t="inlineStr">
        <is>
          <t>status</t>
        </is>
      </c>
    </row>
    <row r="6">
      <c r="A6" s="7" t="inlineStr">
        <is>
          <t>Parity — net arb, §5a cases and landed cost (every week × grade × lane)</t>
        </is>
      </c>
      <c r="B6" s="7" t="n">
        <v>258</v>
      </c>
      <c r="C6" s="7" t="inlineStr">
        <is>
          <t>tol_parity_inr_t = ₹1/t</t>
        </is>
      </c>
      <c r="D6" s="8">
        <f>MAX(MAX(Checks!$L$20:$L$277),-MIN(Checks!$L$20:$L$277))</f>
        <v/>
      </c>
      <c r="E6" s="8">
        <f>COUNTIF(Checks!$P$20:$P$277,"FAIL")</f>
        <v/>
      </c>
      <c r="F6" s="8">
        <f>IF($E6=0,"PASS","FAIL")</f>
        <v/>
      </c>
    </row>
    <row r="7">
      <c r="A7" s="7" t="inlineStr">
        <is>
          <t>Sensitivity grid grid_lme_fx — P&amp;L impact on 1,000 MT</t>
        </is>
      </c>
      <c r="B7" s="7" t="n">
        <v>270</v>
      </c>
      <c r="C7" s="7" t="inlineStr">
        <is>
          <t>tol_grid_inr = ₹10</t>
        </is>
      </c>
      <c r="D7" s="8">
        <f>MAX(MAX(Checks!$F$283:$F$552),-MIN(Checks!$F$283:$F$552))</f>
        <v/>
      </c>
      <c r="E7" s="8">
        <f>COUNTIF(Checks!$G$283:$G$552,"FAIL")</f>
        <v/>
      </c>
      <c r="F7" s="8">
        <f>IF($E7=0,"PASS","FAIL")</f>
        <v/>
      </c>
    </row>
    <row r="8">
      <c r="A8" s="7" t="inlineStr">
        <is>
          <t>Sensitivity grid grid_freight_duty — P&amp;L impact on 1,000 MT</t>
        </is>
      </c>
      <c r="B8" s="7" t="n">
        <v>180</v>
      </c>
      <c r="C8" s="7" t="inlineStr">
        <is>
          <t>tol_grid_inr = ₹10</t>
        </is>
      </c>
      <c r="D8" s="8">
        <f>MAX(MAX(Checks!$G$558:$G$737),-MIN(Checks!$G$558:$G$737))</f>
        <v/>
      </c>
      <c r="E8" s="8">
        <f>COUNTIF(Checks!$H$558:$H$737,"FAIL")</f>
        <v/>
      </c>
      <c r="F8" s="8">
        <f>IF($E8=0,"PASS","FAIL")</f>
        <v/>
      </c>
    </row>
    <row r="9">
      <c r="A9" s="7" t="inlineStr">
        <is>
          <t>Term structure — implied and realised M+1 average of LME cash</t>
        </is>
      </c>
      <c r="B9" s="7" t="n">
        <v>43</v>
      </c>
      <c r="C9" s="7" t="inlineStr">
        <is>
          <t>tol_usd_t = USD 0.01/t</t>
        </is>
      </c>
      <c r="D9" s="8">
        <f>MAX(MAX(Checks!$G$743:$G$785),-MIN(Checks!$G$743:$G$785))</f>
        <v/>
      </c>
      <c r="E9" s="8">
        <f>COUNTIF(Checks!$I$743:$I$785,"FAIL")</f>
        <v/>
      </c>
      <c r="F9" s="8">
        <f>IF($E9=0,"PASS","FAIL")</f>
        <v/>
      </c>
    </row>
    <row r="10">
      <c r="A10" s="7" t="inlineStr">
        <is>
          <t>Per-trade cumulative P&amp;L at WINDOW_END and HORIZON_END</t>
        </is>
      </c>
      <c r="B10" s="7" t="n">
        <v>18</v>
      </c>
      <c r="C10" s="7" t="inlineStr">
        <is>
          <t>tol_trade_inr = ₹10</t>
        </is>
      </c>
      <c r="D10" s="8">
        <f>MAX(MAX(Checks!$G$791:$G$808),-MIN(Checks!$G$791:$G$808))</f>
        <v/>
      </c>
      <c r="E10" s="8">
        <f>COUNTIF(Checks!$H$791:$H$808,"FAIL")</f>
        <v/>
      </c>
      <c r="F10" s="8">
        <f>IF($E10=0,"PASS","FAIL")</f>
        <v/>
      </c>
    </row>
    <row r="11">
      <c r="A11" s="7" t="inlineStr">
        <is>
          <t>Book P&amp;L by factor — lifetime, Σ trades and Σ book-days</t>
        </is>
      </c>
      <c r="B11" s="7" t="n">
        <v>9</v>
      </c>
      <c r="C11" s="7" t="inlineStr">
        <is>
          <t>tol_trade_inr = ₹10</t>
        </is>
      </c>
      <c r="D11" s="8">
        <f>MAX(MAX(Checks!$E$814:$E$822),-MIN(Checks!$E$814:$E$822))</f>
        <v/>
      </c>
      <c r="E11" s="8">
        <f>COUNTIF(Checks!$G$814:$G$822,"FAIL")</f>
        <v/>
      </c>
      <c r="F11" s="8">
        <f>IF($E11=0,"PASS","FAIL")</f>
        <v/>
      </c>
    </row>
    <row r="12">
      <c r="A12" s="7" t="inlineStr">
        <is>
          <t>Structural controls (basis, ledger, margin, marks, equity, attribution, discipline)</t>
        </is>
      </c>
      <c r="B12" s="7" t="n">
        <v>9</v>
      </c>
      <c r="C12" s="7" t="inlineStr">
        <is>
          <t>per row</t>
        </is>
      </c>
      <c r="D12" s="8">
        <f>MAX(MAX(Checks!$D$828:$D$836),-MIN(Checks!$D$828:$D$836))</f>
        <v/>
      </c>
      <c r="E12" s="8">
        <f>COUNTIF(Checks!$E$828:$E$836,"FAIL")</f>
        <v/>
      </c>
      <c r="F12" s="8">
        <f>IF($E12=0,"PASS","FAIL")</f>
        <v/>
      </c>
    </row>
    <row r="13">
      <c r="A13" s="4" t="inlineStr">
        <is>
          <t>ALL CHECKS</t>
        </is>
      </c>
      <c r="B13" s="27">
        <f>IF(SUM(Checks!$E$6:$E$12)=0,"PASS","FAIL")</f>
        <v/>
      </c>
    </row>
    <row r="17">
      <c r="A17" s="4" t="inlineStr">
        <is>
          <t>1. Parity — CONTRACTS §5 net arb and the two §5a cases, every row</t>
        </is>
      </c>
    </row>
    <row r="19" ht="30" customHeight="1">
      <c r="A19" s="5" t="inlineStr">
        <is>
          <t>week_end</t>
        </is>
      </c>
      <c r="B19" s="5" t="inlineStr">
        <is>
          <t>grade</t>
        </is>
      </c>
      <c r="C19" s="5" t="inlineStr">
        <is>
          <t>lane</t>
        </is>
      </c>
      <c r="D19" s="5" t="inlineStr">
        <is>
          <t>py_net_arb_inr_t</t>
        </is>
      </c>
      <c r="E19" s="5" t="inlineStr">
        <is>
          <t>py_net_arb_pit_inr_t</t>
        </is>
      </c>
      <c r="F19" s="5" t="inlineStr">
        <is>
          <t>py_net_arb_conv18k_inr_t</t>
        </is>
      </c>
      <c r="G19" s="5" t="inlineStr">
        <is>
          <t>py_landed_inr_t</t>
        </is>
      </c>
      <c r="H19" s="5" t="inlineStr">
        <is>
          <t>xl_net_arb_inr_t</t>
        </is>
      </c>
      <c r="I19" s="5" t="inlineStr">
        <is>
          <t>xl_net_arb_pit_inr_t</t>
        </is>
      </c>
      <c r="J19" s="5" t="inlineStr">
        <is>
          <t>xl_net_arb_conv18k_inr_t</t>
        </is>
      </c>
      <c r="K19" s="5" t="inlineStr">
        <is>
          <t>xl_landed_inr_t</t>
        </is>
      </c>
      <c r="L19" s="5" t="inlineStr">
        <is>
          <t>diff</t>
        </is>
      </c>
      <c r="M19" s="5" t="inlineStr">
        <is>
          <t>diff_pit</t>
        </is>
      </c>
      <c r="N19" s="5" t="inlineStr">
        <is>
          <t>diff_conv18k</t>
        </is>
      </c>
      <c r="O19" s="5" t="inlineStr">
        <is>
          <t>diff_landed</t>
        </is>
      </c>
      <c r="P19" s="5" t="inlineStr">
        <is>
          <t>check</t>
        </is>
      </c>
    </row>
    <row r="20">
      <c r="A20" s="11" t="n">
        <v>44568</v>
      </c>
      <c r="B20" s="7" t="inlineStr">
        <is>
          <t>zorba</t>
        </is>
      </c>
      <c r="C20" s="7" t="inlineStr">
        <is>
          <t>JEA_NSA</t>
        </is>
      </c>
      <c r="D20" s="23" t="n">
        <v>18435.05</v>
      </c>
      <c r="E20" s="23" t="n">
        <v>22548.6</v>
      </c>
      <c r="F20" s="23" t="n">
        <v>13242.3</v>
      </c>
      <c r="G20" s="23" t="n">
        <v>175810.15</v>
      </c>
      <c r="H20" s="18">
        <f>Parity!$AY$6</f>
        <v/>
      </c>
      <c r="I20" s="18">
        <f>Parity!$BD$6</f>
        <v/>
      </c>
      <c r="J20" s="18">
        <f>Parity!$BE$6</f>
        <v/>
      </c>
      <c r="K20" s="18">
        <f>Parity!$AT$6</f>
        <v/>
      </c>
      <c r="L20" s="8">
        <f>$H20-$D20</f>
        <v/>
      </c>
      <c r="M20" s="8">
        <f>$I20-$E20</f>
        <v/>
      </c>
      <c r="N20" s="8">
        <f>$J20-$F20</f>
        <v/>
      </c>
      <c r="O20" s="8">
        <f>$K20-$G20</f>
        <v/>
      </c>
      <c r="P20" s="8">
        <f>IF(AND(ABS($L20)&lt;=tol_parity_inr_t,ABS($M20)&lt;=tol_parity_inr_t,ABS($N20)&lt;=tol_parity_inr_t,ABS($O20)&lt;=tol_parity_inr_t),"PASS","FAIL")</f>
        <v/>
      </c>
    </row>
    <row r="21">
      <c r="A21" s="11" t="n">
        <v>44568</v>
      </c>
      <c r="B21" s="7" t="inlineStr">
        <is>
          <t>zorba</t>
        </is>
      </c>
      <c r="C21" s="7" t="inlineStr">
        <is>
          <t>USEC_MUN</t>
        </is>
      </c>
      <c r="D21" s="23" t="n">
        <v>16526.64</v>
      </c>
      <c r="E21" s="23" t="n">
        <v>20675.08</v>
      </c>
      <c r="F21" s="23" t="n">
        <v>11333.89</v>
      </c>
      <c r="G21" s="23" t="n">
        <v>178284.66</v>
      </c>
      <c r="H21" s="18">
        <f>Parity!$AY$7</f>
        <v/>
      </c>
      <c r="I21" s="18">
        <f>Parity!$BD$7</f>
        <v/>
      </c>
      <c r="J21" s="18">
        <f>Parity!$BE$7</f>
        <v/>
      </c>
      <c r="K21" s="18">
        <f>Parity!$AT$7</f>
        <v/>
      </c>
      <c r="L21" s="8">
        <f>$H21-$D21</f>
        <v/>
      </c>
      <c r="M21" s="8">
        <f>$I21-$E21</f>
        <v/>
      </c>
      <c r="N21" s="8">
        <f>$J21-$F21</f>
        <v/>
      </c>
      <c r="O21" s="8">
        <f>$K21-$G21</f>
        <v/>
      </c>
      <c r="P21" s="8">
        <f>IF(AND(ABS($L21)&lt;=tol_parity_inr_t,ABS($M21)&lt;=tol_parity_inr_t,ABS($N21)&lt;=tol_parity_inr_t,ABS($O21)&lt;=tol_parity_inr_t),"PASS","FAIL")</f>
        <v/>
      </c>
    </row>
    <row r="22">
      <c r="A22" s="11" t="n">
        <v>44568</v>
      </c>
      <c r="B22" s="7" t="inlineStr">
        <is>
          <t>taint_tabor</t>
        </is>
      </c>
      <c r="C22" s="7" t="inlineStr">
        <is>
          <t>JEA_NSA</t>
        </is>
      </c>
      <c r="D22" s="23" t="n">
        <v>16093.51</v>
      </c>
      <c r="E22" s="23" t="n">
        <v>20207.05</v>
      </c>
      <c r="F22" s="23" t="n">
        <v>10710.95</v>
      </c>
      <c r="G22" s="23" t="n">
        <v>176305.99</v>
      </c>
      <c r="H22" s="18">
        <f>Parity!$AY$8</f>
        <v/>
      </c>
      <c r="I22" s="18">
        <f>Parity!$BD$8</f>
        <v/>
      </c>
      <c r="J22" s="18">
        <f>Parity!$BE$8</f>
        <v/>
      </c>
      <c r="K22" s="18">
        <f>Parity!$AT$8</f>
        <v/>
      </c>
      <c r="L22" s="8">
        <f>$H22-$D22</f>
        <v/>
      </c>
      <c r="M22" s="8">
        <f>$I22-$E22</f>
        <v/>
      </c>
      <c r="N22" s="8">
        <f>$J22-$F22</f>
        <v/>
      </c>
      <c r="O22" s="8">
        <f>$K22-$G22</f>
        <v/>
      </c>
      <c r="P22" s="8">
        <f>IF(AND(ABS($L22)&lt;=tol_parity_inr_t,ABS($M22)&lt;=tol_parity_inr_t,ABS($N22)&lt;=tol_parity_inr_t,ABS($O22)&lt;=tol_parity_inr_t),"PASS","FAIL")</f>
        <v/>
      </c>
    </row>
    <row r="23">
      <c r="A23" s="11" t="n">
        <v>44568</v>
      </c>
      <c r="B23" s="7" t="inlineStr">
        <is>
          <t>taint_tabor</t>
        </is>
      </c>
      <c r="C23" s="7" t="inlineStr">
        <is>
          <t>USEC_MUN</t>
        </is>
      </c>
      <c r="D23" s="23" t="n">
        <v>14701.63</v>
      </c>
      <c r="E23" s="23" t="n">
        <v>18850.07</v>
      </c>
      <c r="F23" s="23" t="n">
        <v>9319.08</v>
      </c>
      <c r="G23" s="23" t="n">
        <v>178284.66</v>
      </c>
      <c r="H23" s="18">
        <f>Parity!$AY$9</f>
        <v/>
      </c>
      <c r="I23" s="18">
        <f>Parity!$BD$9</f>
        <v/>
      </c>
      <c r="J23" s="18">
        <f>Parity!$BE$9</f>
        <v/>
      </c>
      <c r="K23" s="18">
        <f>Parity!$AT$9</f>
        <v/>
      </c>
      <c r="L23" s="8">
        <f>$H23-$D23</f>
        <v/>
      </c>
      <c r="M23" s="8">
        <f>$I23-$E23</f>
        <v/>
      </c>
      <c r="N23" s="8">
        <f>$J23-$F23</f>
        <v/>
      </c>
      <c r="O23" s="8">
        <f>$K23-$G23</f>
        <v/>
      </c>
      <c r="P23" s="8">
        <f>IF(AND(ABS($L23)&lt;=tol_parity_inr_t,ABS($M23)&lt;=tol_parity_inr_t,ABS($N23)&lt;=tol_parity_inr_t,ABS($O23)&lt;=tol_parity_inr_t),"PASS","FAIL")</f>
        <v/>
      </c>
    </row>
    <row r="24">
      <c r="A24" s="11" t="n">
        <v>44568</v>
      </c>
      <c r="B24" s="7" t="inlineStr">
        <is>
          <t>tense</t>
        </is>
      </c>
      <c r="C24" s="7" t="inlineStr">
        <is>
          <t>JEA_NSA</t>
        </is>
      </c>
      <c r="D24" s="23" t="n">
        <v>32091.55</v>
      </c>
      <c r="E24" s="23" t="n">
        <v>36205.1</v>
      </c>
      <c r="F24" s="23" t="n">
        <v>26591.99</v>
      </c>
      <c r="G24" s="23" t="n">
        <v>164490.55</v>
      </c>
      <c r="H24" s="18">
        <f>Parity!$AY$10</f>
        <v/>
      </c>
      <c r="I24" s="18">
        <f>Parity!$BD$10</f>
        <v/>
      </c>
      <c r="J24" s="18">
        <f>Parity!$BE$10</f>
        <v/>
      </c>
      <c r="K24" s="18">
        <f>Parity!$AT$10</f>
        <v/>
      </c>
      <c r="L24" s="8">
        <f>$H24-$D24</f>
        <v/>
      </c>
      <c r="M24" s="8">
        <f>$I24-$E24</f>
        <v/>
      </c>
      <c r="N24" s="8">
        <f>$J24-$F24</f>
        <v/>
      </c>
      <c r="O24" s="8">
        <f>$K24-$G24</f>
        <v/>
      </c>
      <c r="P24" s="8">
        <f>IF(AND(ABS($L24)&lt;=tol_parity_inr_t,ABS($M24)&lt;=tol_parity_inr_t,ABS($N24)&lt;=tol_parity_inr_t,ABS($O24)&lt;=tol_parity_inr_t),"PASS","FAIL")</f>
        <v/>
      </c>
    </row>
    <row r="25">
      <c r="A25" s="11" t="n">
        <v>44568</v>
      </c>
      <c r="B25" s="7" t="inlineStr">
        <is>
          <t>tense</t>
        </is>
      </c>
      <c r="C25" s="7" t="inlineStr">
        <is>
          <t>USEC_MUN</t>
        </is>
      </c>
      <c r="D25" s="23" t="n">
        <v>30379.28</v>
      </c>
      <c r="E25" s="23" t="n">
        <v>34527.72</v>
      </c>
      <c r="F25" s="23" t="n">
        <v>24879.71</v>
      </c>
      <c r="G25" s="23" t="n">
        <v>166802.36</v>
      </c>
      <c r="H25" s="18">
        <f>Parity!$AY$11</f>
        <v/>
      </c>
      <c r="I25" s="18">
        <f>Parity!$BD$11</f>
        <v/>
      </c>
      <c r="J25" s="18">
        <f>Parity!$BE$11</f>
        <v/>
      </c>
      <c r="K25" s="18">
        <f>Parity!$AT$11</f>
        <v/>
      </c>
      <c r="L25" s="8">
        <f>$H25-$D25</f>
        <v/>
      </c>
      <c r="M25" s="8">
        <f>$I25-$E25</f>
        <v/>
      </c>
      <c r="N25" s="8">
        <f>$J25-$F25</f>
        <v/>
      </c>
      <c r="O25" s="8">
        <f>$K25-$G25</f>
        <v/>
      </c>
      <c r="P25" s="8">
        <f>IF(AND(ABS($L25)&lt;=tol_parity_inr_t,ABS($M25)&lt;=tol_parity_inr_t,ABS($N25)&lt;=tol_parity_inr_t,ABS($O25)&lt;=tol_parity_inr_t),"PASS","FAIL")</f>
        <v/>
      </c>
    </row>
    <row r="26">
      <c r="A26" s="11" t="n">
        <v>44575</v>
      </c>
      <c r="B26" s="7" t="inlineStr">
        <is>
          <t>zorba</t>
        </is>
      </c>
      <c r="C26" s="7" t="inlineStr">
        <is>
          <t>JEA_NSA</t>
        </is>
      </c>
      <c r="D26" s="23" t="n">
        <v>23168.61</v>
      </c>
      <c r="E26" s="23" t="n">
        <v>25307.71</v>
      </c>
      <c r="F26" s="23" t="n">
        <v>17975.86</v>
      </c>
      <c r="G26" s="23" t="n">
        <v>174763.31</v>
      </c>
      <c r="H26" s="18">
        <f>Parity!$AY$12</f>
        <v/>
      </c>
      <c r="I26" s="18">
        <f>Parity!$BD$12</f>
        <v/>
      </c>
      <c r="J26" s="18">
        <f>Parity!$BE$12</f>
        <v/>
      </c>
      <c r="K26" s="18">
        <f>Parity!$AT$12</f>
        <v/>
      </c>
      <c r="L26" s="8">
        <f>$H26-$D26</f>
        <v/>
      </c>
      <c r="M26" s="8">
        <f>$I26-$E26</f>
        <v/>
      </c>
      <c r="N26" s="8">
        <f>$J26-$F26</f>
        <v/>
      </c>
      <c r="O26" s="8">
        <f>$K26-$G26</f>
        <v/>
      </c>
      <c r="P26" s="8">
        <f>IF(AND(ABS($L26)&lt;=tol_parity_inr_t,ABS($M26)&lt;=tol_parity_inr_t,ABS($N26)&lt;=tol_parity_inr_t,ABS($O26)&lt;=tol_parity_inr_t),"PASS","FAIL")</f>
        <v/>
      </c>
    </row>
    <row r="27">
      <c r="A27" s="11" t="n">
        <v>44575</v>
      </c>
      <c r="B27" s="7" t="inlineStr">
        <is>
          <t>zorba</t>
        </is>
      </c>
      <c r="C27" s="7" t="inlineStr">
        <is>
          <t>USEC_MUN</t>
        </is>
      </c>
      <c r="D27" s="23" t="n">
        <v>21279.18</v>
      </c>
      <c r="E27" s="23" t="n">
        <v>23436.43</v>
      </c>
      <c r="F27" s="23" t="n">
        <v>16086.43</v>
      </c>
      <c r="G27" s="23" t="n">
        <v>177229.14</v>
      </c>
      <c r="H27" s="18">
        <f>Parity!$AY$13</f>
        <v/>
      </c>
      <c r="I27" s="18">
        <f>Parity!$BD$13</f>
        <v/>
      </c>
      <c r="J27" s="18">
        <f>Parity!$BE$13</f>
        <v/>
      </c>
      <c r="K27" s="18">
        <f>Parity!$AT$13</f>
        <v/>
      </c>
      <c r="L27" s="8">
        <f>$H27-$D27</f>
        <v/>
      </c>
      <c r="M27" s="8">
        <f>$I27-$E27</f>
        <v/>
      </c>
      <c r="N27" s="8">
        <f>$J27-$F27</f>
        <v/>
      </c>
      <c r="O27" s="8">
        <f>$K27-$G27</f>
        <v/>
      </c>
      <c r="P27" s="8">
        <f>IF(AND(ABS($L27)&lt;=tol_parity_inr_t,ABS($M27)&lt;=tol_parity_inr_t,ABS($N27)&lt;=tol_parity_inr_t,ABS($O27)&lt;=tol_parity_inr_t),"PASS","FAIL")</f>
        <v/>
      </c>
    </row>
    <row r="28">
      <c r="A28" s="11" t="n">
        <v>44575</v>
      </c>
      <c r="B28" s="7" t="inlineStr">
        <is>
          <t>taint_tabor</t>
        </is>
      </c>
      <c r="C28" s="7" t="inlineStr">
        <is>
          <t>JEA_NSA</t>
        </is>
      </c>
      <c r="D28" s="23" t="n">
        <v>20830.5</v>
      </c>
      <c r="E28" s="23" t="n">
        <v>22969.6</v>
      </c>
      <c r="F28" s="23" t="n">
        <v>15447.95</v>
      </c>
      <c r="G28" s="23" t="n">
        <v>175259.1</v>
      </c>
      <c r="H28" s="18">
        <f>Parity!$AY$14</f>
        <v/>
      </c>
      <c r="I28" s="18">
        <f>Parity!$BD$14</f>
        <v/>
      </c>
      <c r="J28" s="18">
        <f>Parity!$BE$14</f>
        <v/>
      </c>
      <c r="K28" s="18">
        <f>Parity!$AT$14</f>
        <v/>
      </c>
      <c r="L28" s="8">
        <f>$H28-$D28</f>
        <v/>
      </c>
      <c r="M28" s="8">
        <f>$I28-$E28</f>
        <v/>
      </c>
      <c r="N28" s="8">
        <f>$J28-$F28</f>
        <v/>
      </c>
      <c r="O28" s="8">
        <f>$K28-$G28</f>
        <v/>
      </c>
      <c r="P28" s="8">
        <f>IF(AND(ABS($L28)&lt;=tol_parity_inr_t,ABS($M28)&lt;=tol_parity_inr_t,ABS($N28)&lt;=tol_parity_inr_t,ABS($O28)&lt;=tol_parity_inr_t),"PASS","FAIL")</f>
        <v/>
      </c>
    </row>
    <row r="29">
      <c r="A29" s="11" t="n">
        <v>44575</v>
      </c>
      <c r="B29" s="7" t="inlineStr">
        <is>
          <t>taint_tabor</t>
        </is>
      </c>
      <c r="C29" s="7" t="inlineStr">
        <is>
          <t>USEC_MUN</t>
        </is>
      </c>
      <c r="D29" s="23" t="n">
        <v>19457.93</v>
      </c>
      <c r="E29" s="23" t="n">
        <v>21615.17</v>
      </c>
      <c r="F29" s="23" t="n">
        <v>14075.38</v>
      </c>
      <c r="G29" s="23" t="n">
        <v>177229.14</v>
      </c>
      <c r="H29" s="18">
        <f>Parity!$AY$15</f>
        <v/>
      </c>
      <c r="I29" s="18">
        <f>Parity!$BD$15</f>
        <v/>
      </c>
      <c r="J29" s="18">
        <f>Parity!$BE$15</f>
        <v/>
      </c>
      <c r="K29" s="18">
        <f>Parity!$AT$15</f>
        <v/>
      </c>
      <c r="L29" s="8">
        <f>$H29-$D29</f>
        <v/>
      </c>
      <c r="M29" s="8">
        <f>$I29-$E29</f>
        <v/>
      </c>
      <c r="N29" s="8">
        <f>$J29-$F29</f>
        <v/>
      </c>
      <c r="O29" s="8">
        <f>$K29-$G29</f>
        <v/>
      </c>
      <c r="P29" s="8">
        <f>IF(AND(ABS($L29)&lt;=tol_parity_inr_t,ABS($M29)&lt;=tol_parity_inr_t,ABS($N29)&lt;=tol_parity_inr_t,ABS($O29)&lt;=tol_parity_inr_t),"PASS","FAIL")</f>
        <v/>
      </c>
    </row>
    <row r="30">
      <c r="A30" s="11" t="n">
        <v>44575</v>
      </c>
      <c r="B30" s="7" t="inlineStr">
        <is>
          <t>tense</t>
        </is>
      </c>
      <c r="C30" s="7" t="inlineStr">
        <is>
          <t>JEA_NSA</t>
        </is>
      </c>
      <c r="D30" s="23" t="n">
        <v>37075.64</v>
      </c>
      <c r="E30" s="23" t="n">
        <v>39214.74</v>
      </c>
      <c r="F30" s="23" t="n">
        <v>31576.07</v>
      </c>
      <c r="G30" s="23" t="n">
        <v>163276.78</v>
      </c>
      <c r="H30" s="18">
        <f>Parity!$AY$16</f>
        <v/>
      </c>
      <c r="I30" s="18">
        <f>Parity!$BD$16</f>
        <v/>
      </c>
      <c r="J30" s="18">
        <f>Parity!$BE$16</f>
        <v/>
      </c>
      <c r="K30" s="18">
        <f>Parity!$AT$16</f>
        <v/>
      </c>
      <c r="L30" s="8">
        <f>$H30-$D30</f>
        <v/>
      </c>
      <c r="M30" s="8">
        <f>$I30-$E30</f>
        <v/>
      </c>
      <c r="N30" s="8">
        <f>$J30-$F30</f>
        <v/>
      </c>
      <c r="O30" s="8">
        <f>$K30-$G30</f>
        <v/>
      </c>
      <c r="P30" s="8">
        <f>IF(AND(ABS($L30)&lt;=tol_parity_inr_t,ABS($M30)&lt;=tol_parity_inr_t,ABS($N30)&lt;=tol_parity_inr_t,ABS($O30)&lt;=tol_parity_inr_t),"PASS","FAIL")</f>
        <v/>
      </c>
    </row>
    <row r="31">
      <c r="A31" s="11" t="n">
        <v>44575</v>
      </c>
      <c r="B31" s="7" t="inlineStr">
        <is>
          <t>tense</t>
        </is>
      </c>
      <c r="C31" s="7" t="inlineStr">
        <is>
          <t>USEC_MUN</t>
        </is>
      </c>
      <c r="D31" s="23" t="n">
        <v>35384.37</v>
      </c>
      <c r="E31" s="23" t="n">
        <v>37541.61</v>
      </c>
      <c r="F31" s="23" t="n">
        <v>29884.8</v>
      </c>
      <c r="G31" s="23" t="n">
        <v>165578.5</v>
      </c>
      <c r="H31" s="18">
        <f>Parity!$AY$17</f>
        <v/>
      </c>
      <c r="I31" s="18">
        <f>Parity!$BD$17</f>
        <v/>
      </c>
      <c r="J31" s="18">
        <f>Parity!$BE$17</f>
        <v/>
      </c>
      <c r="K31" s="18">
        <f>Parity!$AT$17</f>
        <v/>
      </c>
      <c r="L31" s="8">
        <f>$H31-$D31</f>
        <v/>
      </c>
      <c r="M31" s="8">
        <f>$I31-$E31</f>
        <v/>
      </c>
      <c r="N31" s="8">
        <f>$J31-$F31</f>
        <v/>
      </c>
      <c r="O31" s="8">
        <f>$K31-$G31</f>
        <v/>
      </c>
      <c r="P31" s="8">
        <f>IF(AND(ABS($L31)&lt;=tol_parity_inr_t,ABS($M31)&lt;=tol_parity_inr_t,ABS($N31)&lt;=tol_parity_inr_t,ABS($O31)&lt;=tol_parity_inr_t),"PASS","FAIL")</f>
        <v/>
      </c>
    </row>
    <row r="32">
      <c r="A32" s="11" t="n">
        <v>44582</v>
      </c>
      <c r="B32" s="7" t="inlineStr">
        <is>
          <t>zorba</t>
        </is>
      </c>
      <c r="C32" s="7" t="inlineStr">
        <is>
          <t>JEA_NSA</t>
        </is>
      </c>
      <c r="D32" s="23" t="n">
        <v>26119.04</v>
      </c>
      <c r="E32" s="23" t="n">
        <v>23739.9</v>
      </c>
      <c r="F32" s="23" t="n">
        <v>20926.3</v>
      </c>
      <c r="G32" s="23" t="n">
        <v>179559.54</v>
      </c>
      <c r="H32" s="18">
        <f>Parity!$AY$18</f>
        <v/>
      </c>
      <c r="I32" s="18">
        <f>Parity!$BD$18</f>
        <v/>
      </c>
      <c r="J32" s="18">
        <f>Parity!$BE$18</f>
        <v/>
      </c>
      <c r="K32" s="18">
        <f>Parity!$AT$18</f>
        <v/>
      </c>
      <c r="L32" s="8">
        <f>$H32-$D32</f>
        <v/>
      </c>
      <c r="M32" s="8">
        <f>$I32-$E32</f>
        <v/>
      </c>
      <c r="N32" s="8">
        <f>$J32-$F32</f>
        <v/>
      </c>
      <c r="O32" s="8">
        <f>$K32-$G32</f>
        <v/>
      </c>
      <c r="P32" s="8">
        <f>IF(AND(ABS($L32)&lt;=tol_parity_inr_t,ABS($M32)&lt;=tol_parity_inr_t,ABS($N32)&lt;=tol_parity_inr_t,ABS($O32)&lt;=tol_parity_inr_t),"PASS","FAIL")</f>
        <v/>
      </c>
    </row>
    <row r="33">
      <c r="A33" s="11" t="n">
        <v>44582</v>
      </c>
      <c r="B33" s="7" t="inlineStr">
        <is>
          <t>zorba</t>
        </is>
      </c>
      <c r="C33" s="7" t="inlineStr">
        <is>
          <t>USEC_MUN</t>
        </is>
      </c>
      <c r="D33" s="23" t="n">
        <v>24210.51</v>
      </c>
      <c r="E33" s="23" t="n">
        <v>21811.18</v>
      </c>
      <c r="F33" s="23" t="n">
        <v>19017.76</v>
      </c>
      <c r="G33" s="23" t="n">
        <v>182065.76</v>
      </c>
      <c r="H33" s="18">
        <f>Parity!$AY$19</f>
        <v/>
      </c>
      <c r="I33" s="18">
        <f>Parity!$BD$19</f>
        <v/>
      </c>
      <c r="J33" s="18">
        <f>Parity!$BE$19</f>
        <v/>
      </c>
      <c r="K33" s="18">
        <f>Parity!$AT$19</f>
        <v/>
      </c>
      <c r="L33" s="8">
        <f>$H33-$D33</f>
        <v/>
      </c>
      <c r="M33" s="8">
        <f>$I33-$E33</f>
        <v/>
      </c>
      <c r="N33" s="8">
        <f>$J33-$F33</f>
        <v/>
      </c>
      <c r="O33" s="8">
        <f>$K33-$G33</f>
        <v/>
      </c>
      <c r="P33" s="8">
        <f>IF(AND(ABS($L33)&lt;=tol_parity_inr_t,ABS($M33)&lt;=tol_parity_inr_t,ABS($N33)&lt;=tol_parity_inr_t,ABS($O33)&lt;=tol_parity_inr_t),"PASS","FAIL")</f>
        <v/>
      </c>
    </row>
    <row r="34">
      <c r="A34" s="11" t="n">
        <v>44582</v>
      </c>
      <c r="B34" s="7" t="inlineStr">
        <is>
          <t>taint_tabor</t>
        </is>
      </c>
      <c r="C34" s="7" t="inlineStr">
        <is>
          <t>JEA_NSA</t>
        </is>
      </c>
      <c r="D34" s="23" t="n">
        <v>23794.12</v>
      </c>
      <c r="E34" s="23" t="n">
        <v>21414.97</v>
      </c>
      <c r="F34" s="23" t="n">
        <v>18411.57</v>
      </c>
      <c r="G34" s="23" t="n">
        <v>180055.41</v>
      </c>
      <c r="H34" s="18">
        <f>Parity!$AY$20</f>
        <v/>
      </c>
      <c r="I34" s="18">
        <f>Parity!$BD$20</f>
        <v/>
      </c>
      <c r="J34" s="18">
        <f>Parity!$BE$20</f>
        <v/>
      </c>
      <c r="K34" s="18">
        <f>Parity!$AT$20</f>
        <v/>
      </c>
      <c r="L34" s="8">
        <f>$H34-$D34</f>
        <v/>
      </c>
      <c r="M34" s="8">
        <f>$I34-$E34</f>
        <v/>
      </c>
      <c r="N34" s="8">
        <f>$J34-$F34</f>
        <v/>
      </c>
      <c r="O34" s="8">
        <f>$K34-$G34</f>
        <v/>
      </c>
      <c r="P34" s="8">
        <f>IF(AND(ABS($L34)&lt;=tol_parity_inr_t,ABS($M34)&lt;=tol_parity_inr_t,ABS($N34)&lt;=tol_parity_inr_t,ABS($O34)&lt;=tol_parity_inr_t),"PASS","FAIL")</f>
        <v/>
      </c>
    </row>
    <row r="35">
      <c r="A35" s="11" t="n">
        <v>44582</v>
      </c>
      <c r="B35" s="7" t="inlineStr">
        <is>
          <t>taint_tabor</t>
        </is>
      </c>
      <c r="C35" s="7" t="inlineStr">
        <is>
          <t>USEC_MUN</t>
        </is>
      </c>
      <c r="D35" s="23" t="n">
        <v>22403.31</v>
      </c>
      <c r="E35" s="23" t="n">
        <v>20003.97</v>
      </c>
      <c r="F35" s="23" t="n">
        <v>17020.75</v>
      </c>
      <c r="G35" s="23" t="n">
        <v>182065.76</v>
      </c>
      <c r="H35" s="18">
        <f>Parity!$AY$21</f>
        <v/>
      </c>
      <c r="I35" s="18">
        <f>Parity!$BD$21</f>
        <v/>
      </c>
      <c r="J35" s="18">
        <f>Parity!$BE$21</f>
        <v/>
      </c>
      <c r="K35" s="18">
        <f>Parity!$AT$21</f>
        <v/>
      </c>
      <c r="L35" s="8">
        <f>$H35-$D35</f>
        <v/>
      </c>
      <c r="M35" s="8">
        <f>$I35-$E35</f>
        <v/>
      </c>
      <c r="N35" s="8">
        <f>$J35-$F35</f>
        <v/>
      </c>
      <c r="O35" s="8">
        <f>$K35-$G35</f>
        <v/>
      </c>
      <c r="P35" s="8">
        <f>IF(AND(ABS($L35)&lt;=tol_parity_inr_t,ABS($M35)&lt;=tol_parity_inr_t,ABS($N35)&lt;=tol_parity_inr_t,ABS($O35)&lt;=tol_parity_inr_t),"PASS","FAIL")</f>
        <v/>
      </c>
    </row>
    <row r="36">
      <c r="A36" s="11" t="n">
        <v>44582</v>
      </c>
      <c r="B36" s="7" t="inlineStr">
        <is>
          <t>tense</t>
        </is>
      </c>
      <c r="C36" s="7" t="inlineStr">
        <is>
          <t>JEA_NSA</t>
        </is>
      </c>
      <c r="D36" s="23" t="n">
        <v>40551.13</v>
      </c>
      <c r="E36" s="23" t="n">
        <v>38171.99</v>
      </c>
      <c r="F36" s="23" t="n">
        <v>35051.57</v>
      </c>
      <c r="G36" s="23" t="n">
        <v>167729.91</v>
      </c>
      <c r="H36" s="18">
        <f>Parity!$AY$22</f>
        <v/>
      </c>
      <c r="I36" s="18">
        <f>Parity!$BD$22</f>
        <v/>
      </c>
      <c r="J36" s="18">
        <f>Parity!$BE$22</f>
        <v/>
      </c>
      <c r="K36" s="18">
        <f>Parity!$AT$22</f>
        <v/>
      </c>
      <c r="L36" s="8">
        <f>$H36-$D36</f>
        <v/>
      </c>
      <c r="M36" s="8">
        <f>$I36-$E36</f>
        <v/>
      </c>
      <c r="N36" s="8">
        <f>$J36-$F36</f>
        <v/>
      </c>
      <c r="O36" s="8">
        <f>$K36-$G36</f>
        <v/>
      </c>
      <c r="P36" s="8">
        <f>IF(AND(ABS($L36)&lt;=tol_parity_inr_t,ABS($M36)&lt;=tol_parity_inr_t,ABS($N36)&lt;=tol_parity_inr_t,ABS($O36)&lt;=tol_parity_inr_t),"PASS","FAIL")</f>
        <v/>
      </c>
    </row>
    <row r="37">
      <c r="A37" s="11" t="n">
        <v>44582</v>
      </c>
      <c r="B37" s="7" t="inlineStr">
        <is>
          <t>tense</t>
        </is>
      </c>
      <c r="C37" s="7" t="inlineStr">
        <is>
          <t>USEC_MUN</t>
        </is>
      </c>
      <c r="D37" s="23" t="n">
        <v>38844.94</v>
      </c>
      <c r="E37" s="23" t="n">
        <v>36445.61</v>
      </c>
      <c r="F37" s="23" t="n">
        <v>33345.37</v>
      </c>
      <c r="G37" s="23" t="n">
        <v>170069.11</v>
      </c>
      <c r="H37" s="18">
        <f>Parity!$AY$23</f>
        <v/>
      </c>
      <c r="I37" s="18">
        <f>Parity!$BD$23</f>
        <v/>
      </c>
      <c r="J37" s="18">
        <f>Parity!$BE$23</f>
        <v/>
      </c>
      <c r="K37" s="18">
        <f>Parity!$AT$23</f>
        <v/>
      </c>
      <c r="L37" s="8">
        <f>$H37-$D37</f>
        <v/>
      </c>
      <c r="M37" s="8">
        <f>$I37-$E37</f>
        <v/>
      </c>
      <c r="N37" s="8">
        <f>$J37-$F37</f>
        <v/>
      </c>
      <c r="O37" s="8">
        <f>$K37-$G37</f>
        <v/>
      </c>
      <c r="P37" s="8">
        <f>IF(AND(ABS($L37)&lt;=tol_parity_inr_t,ABS($M37)&lt;=tol_parity_inr_t,ABS($N37)&lt;=tol_parity_inr_t,ABS($O37)&lt;=tol_parity_inr_t),"PASS","FAIL")</f>
        <v/>
      </c>
    </row>
    <row r="38">
      <c r="A38" s="11" t="n">
        <v>44589</v>
      </c>
      <c r="B38" s="7" t="inlineStr">
        <is>
          <t>zorba</t>
        </is>
      </c>
      <c r="C38" s="7" t="inlineStr">
        <is>
          <t>JEA_NSA</t>
        </is>
      </c>
      <c r="D38" s="23" t="n">
        <v>26946.12</v>
      </c>
      <c r="E38" s="23" t="n">
        <v>19445.03</v>
      </c>
      <c r="F38" s="23" t="n">
        <v>21753.37</v>
      </c>
      <c r="G38" s="23" t="n">
        <v>182811.88</v>
      </c>
      <c r="H38" s="18">
        <f>Parity!$AY$24</f>
        <v/>
      </c>
      <c r="I38" s="18">
        <f>Parity!$BD$24</f>
        <v/>
      </c>
      <c r="J38" s="18">
        <f>Parity!$BE$24</f>
        <v/>
      </c>
      <c r="K38" s="18">
        <f>Parity!$AT$24</f>
        <v/>
      </c>
      <c r="L38" s="8">
        <f>$H38-$D38</f>
        <v/>
      </c>
      <c r="M38" s="8">
        <f>$I38-$E38</f>
        <v/>
      </c>
      <c r="N38" s="8">
        <f>$J38-$F38</f>
        <v/>
      </c>
      <c r="O38" s="8">
        <f>$K38-$G38</f>
        <v/>
      </c>
      <c r="P38" s="8">
        <f>IF(AND(ABS($L38)&lt;=tol_parity_inr_t,ABS($M38)&lt;=tol_parity_inr_t,ABS($N38)&lt;=tol_parity_inr_t,ABS($O38)&lt;=tol_parity_inr_t),"PASS","FAIL")</f>
        <v/>
      </c>
    </row>
    <row r="39">
      <c r="A39" s="11" t="n">
        <v>44589</v>
      </c>
      <c r="B39" s="7" t="inlineStr">
        <is>
          <t>zorba</t>
        </is>
      </c>
      <c r="C39" s="7" t="inlineStr">
        <is>
          <t>USEC_MUN</t>
        </is>
      </c>
      <c r="D39" s="23" t="n">
        <v>25022.37</v>
      </c>
      <c r="E39" s="23" t="n">
        <v>17457.65</v>
      </c>
      <c r="F39" s="23" t="n">
        <v>19829.62</v>
      </c>
      <c r="G39" s="23" t="n">
        <v>185344.65</v>
      </c>
      <c r="H39" s="18">
        <f>Parity!$AY$25</f>
        <v/>
      </c>
      <c r="I39" s="18">
        <f>Parity!$BD$25</f>
        <v/>
      </c>
      <c r="J39" s="18">
        <f>Parity!$BE$25</f>
        <v/>
      </c>
      <c r="K39" s="18">
        <f>Parity!$AT$25</f>
        <v/>
      </c>
      <c r="L39" s="8">
        <f>$H39-$D39</f>
        <v/>
      </c>
      <c r="M39" s="8">
        <f>$I39-$E39</f>
        <v/>
      </c>
      <c r="N39" s="8">
        <f>$J39-$F39</f>
        <v/>
      </c>
      <c r="O39" s="8">
        <f>$K39-$G39</f>
        <v/>
      </c>
      <c r="P39" s="8">
        <f>IF(AND(ABS($L39)&lt;=tol_parity_inr_t,ABS($M39)&lt;=tol_parity_inr_t,ABS($N39)&lt;=tol_parity_inr_t,ABS($O39)&lt;=tol_parity_inr_t),"PASS","FAIL")</f>
        <v/>
      </c>
    </row>
    <row r="40">
      <c r="A40" s="11" t="n">
        <v>44589</v>
      </c>
      <c r="B40" s="7" t="inlineStr">
        <is>
          <t>taint_tabor</t>
        </is>
      </c>
      <c r="C40" s="7" t="inlineStr">
        <is>
          <t>JEA_NSA</t>
        </is>
      </c>
      <c r="D40" s="23" t="n">
        <v>24610.5</v>
      </c>
      <c r="E40" s="23" t="n">
        <v>17109.41</v>
      </c>
      <c r="F40" s="23" t="n">
        <v>19227.95</v>
      </c>
      <c r="G40" s="23" t="n">
        <v>183308.06</v>
      </c>
      <c r="H40" s="18">
        <f>Parity!$AY$26</f>
        <v/>
      </c>
      <c r="I40" s="18">
        <f>Parity!$BD$26</f>
        <v/>
      </c>
      <c r="J40" s="18">
        <f>Parity!$BE$26</f>
        <v/>
      </c>
      <c r="K40" s="18">
        <f>Parity!$AT$26</f>
        <v/>
      </c>
      <c r="L40" s="8">
        <f>$H40-$D40</f>
        <v/>
      </c>
      <c r="M40" s="8">
        <f>$I40-$E40</f>
        <v/>
      </c>
      <c r="N40" s="8">
        <f>$J40-$F40</f>
        <v/>
      </c>
      <c r="O40" s="8">
        <f>$K40-$G40</f>
        <v/>
      </c>
      <c r="P40" s="8">
        <f>IF(AND(ABS($L40)&lt;=tol_parity_inr_t,ABS($M40)&lt;=tol_parity_inr_t,ABS($N40)&lt;=tol_parity_inr_t,ABS($O40)&lt;=tol_parity_inr_t),"PASS","FAIL")</f>
        <v/>
      </c>
    </row>
    <row r="41">
      <c r="A41" s="11" t="n">
        <v>44589</v>
      </c>
      <c r="B41" s="7" t="inlineStr">
        <is>
          <t>taint_tabor</t>
        </is>
      </c>
      <c r="C41" s="7" t="inlineStr">
        <is>
          <t>USEC_MUN</t>
        </is>
      </c>
      <c r="D41" s="23" t="n">
        <v>23205.2</v>
      </c>
      <c r="E41" s="23" t="n">
        <v>15640.48</v>
      </c>
      <c r="F41" s="23" t="n">
        <v>17822.64</v>
      </c>
      <c r="G41" s="23" t="n">
        <v>185344.65</v>
      </c>
      <c r="H41" s="18">
        <f>Parity!$AY$27</f>
        <v/>
      </c>
      <c r="I41" s="18">
        <f>Parity!$BD$27</f>
        <v/>
      </c>
      <c r="J41" s="18">
        <f>Parity!$BE$27</f>
        <v/>
      </c>
      <c r="K41" s="18">
        <f>Parity!$AT$27</f>
        <v/>
      </c>
      <c r="L41" s="8">
        <f>$H41-$D41</f>
        <v/>
      </c>
      <c r="M41" s="8">
        <f>$I41-$E41</f>
        <v/>
      </c>
      <c r="N41" s="8">
        <f>$J41-$F41</f>
        <v/>
      </c>
      <c r="O41" s="8">
        <f>$K41-$G41</f>
        <v/>
      </c>
      <c r="P41" s="8">
        <f>IF(AND(ABS($L41)&lt;=tol_parity_inr_t,ABS($M41)&lt;=tol_parity_inr_t,ABS($N41)&lt;=tol_parity_inr_t,ABS($O41)&lt;=tol_parity_inr_t),"PASS","FAIL")</f>
        <v/>
      </c>
    </row>
    <row r="42">
      <c r="A42" s="11" t="n">
        <v>44589</v>
      </c>
      <c r="B42" s="7" t="inlineStr">
        <is>
          <t>tense</t>
        </is>
      </c>
      <c r="C42" s="7" t="inlineStr">
        <is>
          <t>JEA_NSA</t>
        </is>
      </c>
      <c r="D42" s="23" t="n">
        <v>41659.03</v>
      </c>
      <c r="E42" s="23" t="n">
        <v>34157.94</v>
      </c>
      <c r="F42" s="23" t="n">
        <v>36159.46</v>
      </c>
      <c r="G42" s="23" t="n">
        <v>170779.51</v>
      </c>
      <c r="H42" s="18">
        <f>Parity!$AY$28</f>
        <v/>
      </c>
      <c r="I42" s="18">
        <f>Parity!$BD$28</f>
        <v/>
      </c>
      <c r="J42" s="18">
        <f>Parity!$BE$28</f>
        <v/>
      </c>
      <c r="K42" s="18">
        <f>Parity!$AT$28</f>
        <v/>
      </c>
      <c r="L42" s="8">
        <f>$H42-$D42</f>
        <v/>
      </c>
      <c r="M42" s="8">
        <f>$I42-$E42</f>
        <v/>
      </c>
      <c r="N42" s="8">
        <f>$J42-$F42</f>
        <v/>
      </c>
      <c r="O42" s="8">
        <f>$K42-$G42</f>
        <v/>
      </c>
      <c r="P42" s="8">
        <f>IF(AND(ABS($L42)&lt;=tol_parity_inr_t,ABS($M42)&lt;=tol_parity_inr_t,ABS($N42)&lt;=tol_parity_inr_t,ABS($O42)&lt;=tol_parity_inr_t),"PASS","FAIL")</f>
        <v/>
      </c>
    </row>
    <row r="43">
      <c r="A43" s="11" t="n">
        <v>44589</v>
      </c>
      <c r="B43" s="7" t="inlineStr">
        <is>
          <t>tense</t>
        </is>
      </c>
      <c r="C43" s="7" t="inlineStr">
        <is>
          <t>USEC_MUN</t>
        </is>
      </c>
      <c r="D43" s="23" t="n">
        <v>39940.05</v>
      </c>
      <c r="E43" s="23" t="n">
        <v>32375.33</v>
      </c>
      <c r="F43" s="23" t="n">
        <v>34440.48</v>
      </c>
      <c r="G43" s="23" t="n">
        <v>173143.49</v>
      </c>
      <c r="H43" s="18">
        <f>Parity!$AY$29</f>
        <v/>
      </c>
      <c r="I43" s="18">
        <f>Parity!$BD$29</f>
        <v/>
      </c>
      <c r="J43" s="18">
        <f>Parity!$BE$29</f>
        <v/>
      </c>
      <c r="K43" s="18">
        <f>Parity!$AT$29</f>
        <v/>
      </c>
      <c r="L43" s="8">
        <f>$H43-$D43</f>
        <v/>
      </c>
      <c r="M43" s="8">
        <f>$I43-$E43</f>
        <v/>
      </c>
      <c r="N43" s="8">
        <f>$J43-$F43</f>
        <v/>
      </c>
      <c r="O43" s="8">
        <f>$K43-$G43</f>
        <v/>
      </c>
      <c r="P43" s="8">
        <f>IF(AND(ABS($L43)&lt;=tol_parity_inr_t,ABS($M43)&lt;=tol_parity_inr_t,ABS($N43)&lt;=tol_parity_inr_t,ABS($O43)&lt;=tol_parity_inr_t),"PASS","FAIL")</f>
        <v/>
      </c>
    </row>
    <row r="44">
      <c r="A44" s="11" t="n">
        <v>44596</v>
      </c>
      <c r="B44" s="7" t="inlineStr">
        <is>
          <t>zorba</t>
        </is>
      </c>
      <c r="C44" s="7" t="inlineStr">
        <is>
          <t>JEA_NSA</t>
        </is>
      </c>
      <c r="D44" s="23" t="n">
        <v>26545.08</v>
      </c>
      <c r="E44" s="23" t="n">
        <v>14107.22</v>
      </c>
      <c r="F44" s="23" t="n">
        <v>21352.33</v>
      </c>
      <c r="G44" s="23" t="n">
        <v>180945.31</v>
      </c>
      <c r="H44" s="18">
        <f>Parity!$AY$30</f>
        <v/>
      </c>
      <c r="I44" s="18">
        <f>Parity!$BD$30</f>
        <v/>
      </c>
      <c r="J44" s="18">
        <f>Parity!$BE$30</f>
        <v/>
      </c>
      <c r="K44" s="18">
        <f>Parity!$AT$30</f>
        <v/>
      </c>
      <c r="L44" s="8">
        <f>$H44-$D44</f>
        <v/>
      </c>
      <c r="M44" s="8">
        <f>$I44-$E44</f>
        <v/>
      </c>
      <c r="N44" s="8">
        <f>$J44-$F44</f>
        <v/>
      </c>
      <c r="O44" s="8">
        <f>$K44-$G44</f>
        <v/>
      </c>
      <c r="P44" s="8">
        <f>IF(AND(ABS($L44)&lt;=tol_parity_inr_t,ABS($M44)&lt;=tol_parity_inr_t,ABS($N44)&lt;=tol_parity_inr_t,ABS($O44)&lt;=tol_parity_inr_t),"PASS","FAIL")</f>
        <v/>
      </c>
    </row>
    <row r="45">
      <c r="A45" s="11" t="n">
        <v>44596</v>
      </c>
      <c r="B45" s="7" t="inlineStr">
        <is>
          <t>zorba</t>
        </is>
      </c>
      <c r="C45" s="7" t="inlineStr">
        <is>
          <t>USEC_MUN</t>
        </is>
      </c>
      <c r="D45" s="23" t="n">
        <v>24722.38</v>
      </c>
      <c r="E45" s="23" t="n">
        <v>12179.02</v>
      </c>
      <c r="F45" s="23" t="n">
        <v>19529.64</v>
      </c>
      <c r="G45" s="23" t="n">
        <v>183462.79</v>
      </c>
      <c r="H45" s="18">
        <f>Parity!$AY$31</f>
        <v/>
      </c>
      <c r="I45" s="18">
        <f>Parity!$BD$31</f>
        <v/>
      </c>
      <c r="J45" s="18">
        <f>Parity!$BE$31</f>
        <v/>
      </c>
      <c r="K45" s="18">
        <f>Parity!$AT$31</f>
        <v/>
      </c>
      <c r="L45" s="8">
        <f>$H45-$D45</f>
        <v/>
      </c>
      <c r="M45" s="8">
        <f>$I45-$E45</f>
        <v/>
      </c>
      <c r="N45" s="8">
        <f>$J45-$F45</f>
        <v/>
      </c>
      <c r="O45" s="8">
        <f>$K45-$G45</f>
        <v/>
      </c>
      <c r="P45" s="8">
        <f>IF(AND(ABS($L45)&lt;=tol_parity_inr_t,ABS($M45)&lt;=tol_parity_inr_t,ABS($N45)&lt;=tol_parity_inr_t,ABS($O45)&lt;=tol_parity_inr_t),"PASS","FAIL")</f>
        <v/>
      </c>
    </row>
    <row r="46">
      <c r="A46" s="11" t="n">
        <v>44596</v>
      </c>
      <c r="B46" s="7" t="inlineStr">
        <is>
          <t>taint_tabor</t>
        </is>
      </c>
      <c r="C46" s="7" t="inlineStr">
        <is>
          <t>JEA_NSA</t>
        </is>
      </c>
      <c r="D46" s="23" t="n">
        <v>24234.24</v>
      </c>
      <c r="E46" s="23" t="n">
        <v>11796.38</v>
      </c>
      <c r="F46" s="23" t="n">
        <v>18851.68</v>
      </c>
      <c r="G46" s="23" t="n">
        <v>181441.33</v>
      </c>
      <c r="H46" s="18">
        <f>Parity!$AY$32</f>
        <v/>
      </c>
      <c r="I46" s="18">
        <f>Parity!$BD$32</f>
        <v/>
      </c>
      <c r="J46" s="18">
        <f>Parity!$BE$32</f>
        <v/>
      </c>
      <c r="K46" s="18">
        <f>Parity!$AT$32</f>
        <v/>
      </c>
      <c r="L46" s="8">
        <f>$H46-$D46</f>
        <v/>
      </c>
      <c r="M46" s="8">
        <f>$I46-$E46</f>
        <v/>
      </c>
      <c r="N46" s="8">
        <f>$J46-$F46</f>
        <v/>
      </c>
      <c r="O46" s="8">
        <f>$K46-$G46</f>
        <v/>
      </c>
      <c r="P46" s="8">
        <f>IF(AND(ABS($L46)&lt;=tol_parity_inr_t,ABS($M46)&lt;=tol_parity_inr_t,ABS($N46)&lt;=tol_parity_inr_t,ABS($O46)&lt;=tol_parity_inr_t),"PASS","FAIL")</f>
        <v/>
      </c>
    </row>
    <row r="47">
      <c r="A47" s="11" t="n">
        <v>44596</v>
      </c>
      <c r="B47" s="7" t="inlineStr">
        <is>
          <t>taint_tabor</t>
        </is>
      </c>
      <c r="C47" s="7" t="inlineStr">
        <is>
          <t>USEC_MUN</t>
        </is>
      </c>
      <c r="D47" s="23" t="n">
        <v>22932.96</v>
      </c>
      <c r="E47" s="23" t="n">
        <v>10389.59</v>
      </c>
      <c r="F47" s="23" t="n">
        <v>17550.41</v>
      </c>
      <c r="G47" s="23" t="n">
        <v>183462.79</v>
      </c>
      <c r="H47" s="18">
        <f>Parity!$AY$33</f>
        <v/>
      </c>
      <c r="I47" s="18">
        <f>Parity!$BD$33</f>
        <v/>
      </c>
      <c r="J47" s="18">
        <f>Parity!$BE$33</f>
        <v/>
      </c>
      <c r="K47" s="18">
        <f>Parity!$AT$33</f>
        <v/>
      </c>
      <c r="L47" s="8">
        <f>$H47-$D47</f>
        <v/>
      </c>
      <c r="M47" s="8">
        <f>$I47-$E47</f>
        <v/>
      </c>
      <c r="N47" s="8">
        <f>$J47-$F47</f>
        <v/>
      </c>
      <c r="O47" s="8">
        <f>$K47-$G47</f>
        <v/>
      </c>
      <c r="P47" s="8">
        <f>IF(AND(ABS($L47)&lt;=tol_parity_inr_t,ABS($M47)&lt;=tol_parity_inr_t,ABS($N47)&lt;=tol_parity_inr_t,ABS($O47)&lt;=tol_parity_inr_t),"PASS","FAIL")</f>
        <v/>
      </c>
    </row>
    <row r="48">
      <c r="A48" s="11" t="n">
        <v>44596</v>
      </c>
      <c r="B48" s="7" t="inlineStr">
        <is>
          <t>tense</t>
        </is>
      </c>
      <c r="C48" s="7" t="inlineStr">
        <is>
          <t>JEA_NSA</t>
        </is>
      </c>
      <c r="D48" s="23" t="n">
        <v>41094.81</v>
      </c>
      <c r="E48" s="23" t="n">
        <v>28656.95</v>
      </c>
      <c r="F48" s="23" t="n">
        <v>35595.24</v>
      </c>
      <c r="G48" s="23" t="n">
        <v>169051.96</v>
      </c>
      <c r="H48" s="18">
        <f>Parity!$AY$34</f>
        <v/>
      </c>
      <c r="I48" s="18">
        <f>Parity!$BD$34</f>
        <v/>
      </c>
      <c r="J48" s="18">
        <f>Parity!$BE$34</f>
        <v/>
      </c>
      <c r="K48" s="18">
        <f>Parity!$AT$34</f>
        <v/>
      </c>
      <c r="L48" s="8">
        <f>$H48-$D48</f>
        <v/>
      </c>
      <c r="M48" s="8">
        <f>$I48-$E48</f>
        <v/>
      </c>
      <c r="N48" s="8">
        <f>$J48-$F48</f>
        <v/>
      </c>
      <c r="O48" s="8">
        <f>$K48-$G48</f>
        <v/>
      </c>
      <c r="P48" s="8">
        <f>IF(AND(ABS($L48)&lt;=tol_parity_inr_t,ABS($M48)&lt;=tol_parity_inr_t,ABS($N48)&lt;=tol_parity_inr_t,ABS($O48)&lt;=tol_parity_inr_t),"PASS","FAIL")</f>
        <v/>
      </c>
    </row>
    <row r="49">
      <c r="A49" s="11" t="n">
        <v>44596</v>
      </c>
      <c r="B49" s="7" t="inlineStr">
        <is>
          <t>tense</t>
        </is>
      </c>
      <c r="C49" s="7" t="inlineStr">
        <is>
          <t>USEC_MUN</t>
        </is>
      </c>
      <c r="D49" s="23" t="n">
        <v>39480.75</v>
      </c>
      <c r="E49" s="23" t="n">
        <v>26937.38</v>
      </c>
      <c r="F49" s="23" t="n">
        <v>33981.19</v>
      </c>
      <c r="G49" s="23" t="n">
        <v>171401.86</v>
      </c>
      <c r="H49" s="18">
        <f>Parity!$AY$35</f>
        <v/>
      </c>
      <c r="I49" s="18">
        <f>Parity!$BD$35</f>
        <v/>
      </c>
      <c r="J49" s="18">
        <f>Parity!$BE$35</f>
        <v/>
      </c>
      <c r="K49" s="18">
        <f>Parity!$AT$35</f>
        <v/>
      </c>
      <c r="L49" s="8">
        <f>$H49-$D49</f>
        <v/>
      </c>
      <c r="M49" s="8">
        <f>$I49-$E49</f>
        <v/>
      </c>
      <c r="N49" s="8">
        <f>$J49-$F49</f>
        <v/>
      </c>
      <c r="O49" s="8">
        <f>$K49-$G49</f>
        <v/>
      </c>
      <c r="P49" s="8">
        <f>IF(AND(ABS($L49)&lt;=tol_parity_inr_t,ABS($M49)&lt;=tol_parity_inr_t,ABS($N49)&lt;=tol_parity_inr_t,ABS($O49)&lt;=tol_parity_inr_t),"PASS","FAIL")</f>
        <v/>
      </c>
    </row>
    <row r="50">
      <c r="A50" s="11" t="n">
        <v>44603</v>
      </c>
      <c r="B50" s="7" t="inlineStr">
        <is>
          <t>zorba</t>
        </is>
      </c>
      <c r="C50" s="7" t="inlineStr">
        <is>
          <t>JEA_NSA</t>
        </is>
      </c>
      <c r="D50" s="23" t="n">
        <v>28032.51</v>
      </c>
      <c r="E50" s="23" t="n">
        <v>9799.59</v>
      </c>
      <c r="F50" s="23" t="n">
        <v>22839.76</v>
      </c>
      <c r="G50" s="23" t="n">
        <v>189099.52</v>
      </c>
      <c r="H50" s="18">
        <f>Parity!$AY$36</f>
        <v/>
      </c>
      <c r="I50" s="18">
        <f>Parity!$BD$36</f>
        <v/>
      </c>
      <c r="J50" s="18">
        <f>Parity!$BE$36</f>
        <v/>
      </c>
      <c r="K50" s="18">
        <f>Parity!$AT$36</f>
        <v/>
      </c>
      <c r="L50" s="8">
        <f>$H50-$D50</f>
        <v/>
      </c>
      <c r="M50" s="8">
        <f>$I50-$E50</f>
        <v/>
      </c>
      <c r="N50" s="8">
        <f>$J50-$F50</f>
        <v/>
      </c>
      <c r="O50" s="8">
        <f>$K50-$G50</f>
        <v/>
      </c>
      <c r="P50" s="8">
        <f>IF(AND(ABS($L50)&lt;=tol_parity_inr_t,ABS($M50)&lt;=tol_parity_inr_t,ABS($N50)&lt;=tol_parity_inr_t,ABS($O50)&lt;=tol_parity_inr_t),"PASS","FAIL")</f>
        <v/>
      </c>
    </row>
    <row r="51">
      <c r="A51" s="11" t="n">
        <v>44603</v>
      </c>
      <c r="B51" s="7" t="inlineStr">
        <is>
          <t>zorba</t>
        </is>
      </c>
      <c r="C51" s="7" t="inlineStr">
        <is>
          <t>USEC_MUN</t>
        </is>
      </c>
      <c r="D51" s="23" t="n">
        <v>26171.61</v>
      </c>
      <c r="E51" s="23" t="n">
        <v>7784.02</v>
      </c>
      <c r="F51" s="23" t="n">
        <v>20978.86</v>
      </c>
      <c r="G51" s="23" t="n">
        <v>191685.41</v>
      </c>
      <c r="H51" s="18">
        <f>Parity!$AY$37</f>
        <v/>
      </c>
      <c r="I51" s="18">
        <f>Parity!$BD$37</f>
        <v/>
      </c>
      <c r="J51" s="18">
        <f>Parity!$BE$37</f>
        <v/>
      </c>
      <c r="K51" s="18">
        <f>Parity!$AT$37</f>
        <v/>
      </c>
      <c r="L51" s="8">
        <f>$H51-$D51</f>
        <v/>
      </c>
      <c r="M51" s="8">
        <f>$I51-$E51</f>
        <v/>
      </c>
      <c r="N51" s="8">
        <f>$J51-$F51</f>
        <v/>
      </c>
      <c r="O51" s="8">
        <f>$K51-$G51</f>
        <v/>
      </c>
      <c r="P51" s="8">
        <f>IF(AND(ABS($L51)&lt;=tol_parity_inr_t,ABS($M51)&lt;=tol_parity_inr_t,ABS($N51)&lt;=tol_parity_inr_t,ABS($O51)&lt;=tol_parity_inr_t),"PASS","FAIL")</f>
        <v/>
      </c>
    </row>
    <row r="52">
      <c r="A52" s="11" t="n">
        <v>44603</v>
      </c>
      <c r="B52" s="7" t="inlineStr">
        <is>
          <t>taint_tabor</t>
        </is>
      </c>
      <c r="C52" s="7" t="inlineStr">
        <is>
          <t>JEA_NSA</t>
        </is>
      </c>
      <c r="D52" s="23" t="n">
        <v>25657.15</v>
      </c>
      <c r="E52" s="23" t="n">
        <v>7424.23</v>
      </c>
      <c r="F52" s="23" t="n">
        <v>20274.6</v>
      </c>
      <c r="G52" s="23" t="n">
        <v>189595.77</v>
      </c>
      <c r="H52" s="18">
        <f>Parity!$AY$38</f>
        <v/>
      </c>
      <c r="I52" s="18">
        <f>Parity!$BD$38</f>
        <v/>
      </c>
      <c r="J52" s="18">
        <f>Parity!$BE$38</f>
        <v/>
      </c>
      <c r="K52" s="18">
        <f>Parity!$AT$38</f>
        <v/>
      </c>
      <c r="L52" s="8">
        <f>$H52-$D52</f>
        <v/>
      </c>
      <c r="M52" s="8">
        <f>$I52-$E52</f>
        <v/>
      </c>
      <c r="N52" s="8">
        <f>$J52-$F52</f>
        <v/>
      </c>
      <c r="O52" s="8">
        <f>$K52-$G52</f>
        <v/>
      </c>
      <c r="P52" s="8">
        <f>IF(AND(ABS($L52)&lt;=tol_parity_inr_t,ABS($M52)&lt;=tol_parity_inr_t,ABS($N52)&lt;=tol_parity_inr_t,ABS($O52)&lt;=tol_parity_inr_t),"PASS","FAIL")</f>
        <v/>
      </c>
    </row>
    <row r="53">
      <c r="A53" s="11" t="n">
        <v>44603</v>
      </c>
      <c r="B53" s="7" t="inlineStr">
        <is>
          <t>taint_tabor</t>
        </is>
      </c>
      <c r="C53" s="7" t="inlineStr">
        <is>
          <t>USEC_MUN</t>
        </is>
      </c>
      <c r="D53" s="23" t="n">
        <v>24319</v>
      </c>
      <c r="E53" s="23" t="n">
        <v>5931.42</v>
      </c>
      <c r="F53" s="23" t="n">
        <v>18936.45</v>
      </c>
      <c r="G53" s="23" t="n">
        <v>191685.41</v>
      </c>
      <c r="H53" s="18">
        <f>Parity!$AY$39</f>
        <v/>
      </c>
      <c r="I53" s="18">
        <f>Parity!$BD$39</f>
        <v/>
      </c>
      <c r="J53" s="18">
        <f>Parity!$BE$39</f>
        <v/>
      </c>
      <c r="K53" s="18">
        <f>Parity!$AT$39</f>
        <v/>
      </c>
      <c r="L53" s="8">
        <f>$H53-$D53</f>
        <v/>
      </c>
      <c r="M53" s="8">
        <f>$I53-$E53</f>
        <v/>
      </c>
      <c r="N53" s="8">
        <f>$J53-$F53</f>
        <v/>
      </c>
      <c r="O53" s="8">
        <f>$K53-$G53</f>
        <v/>
      </c>
      <c r="P53" s="8">
        <f>IF(AND(ABS($L53)&lt;=tol_parity_inr_t,ABS($M53)&lt;=tol_parity_inr_t,ABS($N53)&lt;=tol_parity_inr_t,ABS($O53)&lt;=tol_parity_inr_t),"PASS","FAIL")</f>
        <v/>
      </c>
    </row>
    <row r="54">
      <c r="A54" s="11" t="n">
        <v>44603</v>
      </c>
      <c r="B54" s="7" t="inlineStr">
        <is>
          <t>tense</t>
        </is>
      </c>
      <c r="C54" s="7" t="inlineStr">
        <is>
          <t>JEA_NSA</t>
        </is>
      </c>
      <c r="D54" s="23" t="n">
        <v>43254.94</v>
      </c>
      <c r="E54" s="23" t="n">
        <v>25022.02</v>
      </c>
      <c r="F54" s="23" t="n">
        <v>37755.38</v>
      </c>
      <c r="G54" s="23" t="n">
        <v>176677.39</v>
      </c>
      <c r="H54" s="18">
        <f>Parity!$AY$40</f>
        <v/>
      </c>
      <c r="I54" s="18">
        <f>Parity!$BD$40</f>
        <v/>
      </c>
      <c r="J54" s="18">
        <f>Parity!$BE$40</f>
        <v/>
      </c>
      <c r="K54" s="18">
        <f>Parity!$AT$40</f>
        <v/>
      </c>
      <c r="L54" s="8">
        <f>$H54-$D54</f>
        <v/>
      </c>
      <c r="M54" s="8">
        <f>$I54-$E54</f>
        <v/>
      </c>
      <c r="N54" s="8">
        <f>$J54-$F54</f>
        <v/>
      </c>
      <c r="O54" s="8">
        <f>$K54-$G54</f>
        <v/>
      </c>
      <c r="P54" s="8">
        <f>IF(AND(ABS($L54)&lt;=tol_parity_inr_t,ABS($M54)&lt;=tol_parity_inr_t,ABS($N54)&lt;=tol_parity_inr_t,ABS($O54)&lt;=tol_parity_inr_t),"PASS","FAIL")</f>
        <v/>
      </c>
    </row>
    <row r="55">
      <c r="A55" s="11" t="n">
        <v>44603</v>
      </c>
      <c r="B55" s="7" t="inlineStr">
        <is>
          <t>tense</t>
        </is>
      </c>
      <c r="C55" s="7" t="inlineStr">
        <is>
          <t>USEC_MUN</t>
        </is>
      </c>
      <c r="D55" s="23" t="n">
        <v>41608.98</v>
      </c>
      <c r="E55" s="23" t="n">
        <v>23221.4</v>
      </c>
      <c r="F55" s="23" t="n">
        <v>36109.42</v>
      </c>
      <c r="G55" s="23" t="n">
        <v>179091.18</v>
      </c>
      <c r="H55" s="18">
        <f>Parity!$AY$41</f>
        <v/>
      </c>
      <c r="I55" s="18">
        <f>Parity!$BD$41</f>
        <v/>
      </c>
      <c r="J55" s="18">
        <f>Parity!$BE$41</f>
        <v/>
      </c>
      <c r="K55" s="18">
        <f>Parity!$AT$41</f>
        <v/>
      </c>
      <c r="L55" s="8">
        <f>$H55-$D55</f>
        <v/>
      </c>
      <c r="M55" s="8">
        <f>$I55-$E55</f>
        <v/>
      </c>
      <c r="N55" s="8">
        <f>$J55-$F55</f>
        <v/>
      </c>
      <c r="O55" s="8">
        <f>$K55-$G55</f>
        <v/>
      </c>
      <c r="P55" s="8">
        <f>IF(AND(ABS($L55)&lt;=tol_parity_inr_t,ABS($M55)&lt;=tol_parity_inr_t,ABS($N55)&lt;=tol_parity_inr_t,ABS($O55)&lt;=tol_parity_inr_t),"PASS","FAIL")</f>
        <v/>
      </c>
    </row>
    <row r="56">
      <c r="A56" s="11" t="n">
        <v>44610</v>
      </c>
      <c r="B56" s="7" t="inlineStr">
        <is>
          <t>zorba</t>
        </is>
      </c>
      <c r="C56" s="7" t="inlineStr">
        <is>
          <t>JEA_NSA</t>
        </is>
      </c>
      <c r="D56" s="23" t="n">
        <v>32414.51</v>
      </c>
      <c r="E56" s="23" t="n">
        <v>9461.48</v>
      </c>
      <c r="F56" s="23" t="n">
        <v>27221.77</v>
      </c>
      <c r="G56" s="23" t="n">
        <v>190772.75</v>
      </c>
      <c r="H56" s="18">
        <f>Parity!$AY$42</f>
        <v/>
      </c>
      <c r="I56" s="18">
        <f>Parity!$BD$42</f>
        <v/>
      </c>
      <c r="J56" s="18">
        <f>Parity!$BE$42</f>
        <v/>
      </c>
      <c r="K56" s="18">
        <f>Parity!$AT$42</f>
        <v/>
      </c>
      <c r="L56" s="8">
        <f>$H56-$D56</f>
        <v/>
      </c>
      <c r="M56" s="8">
        <f>$I56-$E56</f>
        <v/>
      </c>
      <c r="N56" s="8">
        <f>$J56-$F56</f>
        <v/>
      </c>
      <c r="O56" s="8">
        <f>$K56-$G56</f>
        <v/>
      </c>
      <c r="P56" s="8">
        <f>IF(AND(ABS($L56)&lt;=tol_parity_inr_t,ABS($M56)&lt;=tol_parity_inr_t,ABS($N56)&lt;=tol_parity_inr_t,ABS($O56)&lt;=tol_parity_inr_t),"PASS","FAIL")</f>
        <v/>
      </c>
    </row>
    <row r="57">
      <c r="A57" s="11" t="n">
        <v>44610</v>
      </c>
      <c r="B57" s="7" t="inlineStr">
        <is>
          <t>zorba</t>
        </is>
      </c>
      <c r="C57" s="7" t="inlineStr">
        <is>
          <t>USEC_MUN</t>
        </is>
      </c>
      <c r="D57" s="23" t="n">
        <v>30557.84</v>
      </c>
      <c r="E57" s="23" t="n">
        <v>7410.11</v>
      </c>
      <c r="F57" s="23" t="n">
        <v>25365.1</v>
      </c>
      <c r="G57" s="23" t="n">
        <v>193373.8</v>
      </c>
      <c r="H57" s="18">
        <f>Parity!$AY$43</f>
        <v/>
      </c>
      <c r="I57" s="18">
        <f>Parity!$BD$43</f>
        <v/>
      </c>
      <c r="J57" s="18">
        <f>Parity!$BE$43</f>
        <v/>
      </c>
      <c r="K57" s="18">
        <f>Parity!$AT$43</f>
        <v/>
      </c>
      <c r="L57" s="8">
        <f>$H57-$D57</f>
        <v/>
      </c>
      <c r="M57" s="8">
        <f>$I57-$E57</f>
        <v/>
      </c>
      <c r="N57" s="8">
        <f>$J57-$F57</f>
        <v/>
      </c>
      <c r="O57" s="8">
        <f>$K57-$G57</f>
        <v/>
      </c>
      <c r="P57" s="8">
        <f>IF(AND(ABS($L57)&lt;=tol_parity_inr_t,ABS($M57)&lt;=tol_parity_inr_t,ABS($N57)&lt;=tol_parity_inr_t,ABS($O57)&lt;=tol_parity_inr_t),"PASS","FAIL")</f>
        <v/>
      </c>
    </row>
    <row r="58">
      <c r="A58" s="11" t="n">
        <v>44610</v>
      </c>
      <c r="B58" s="7" t="inlineStr">
        <is>
          <t>taint_tabor</t>
        </is>
      </c>
      <c r="C58" s="7" t="inlineStr">
        <is>
          <t>JEA_NSA</t>
        </is>
      </c>
      <c r="D58" s="23" t="n">
        <v>30084.27</v>
      </c>
      <c r="E58" s="23" t="n">
        <v>7131.23</v>
      </c>
      <c r="F58" s="23" t="n">
        <v>24701.72</v>
      </c>
      <c r="G58" s="23" t="n">
        <v>191268.69</v>
      </c>
      <c r="H58" s="18">
        <f>Parity!$AY$44</f>
        <v/>
      </c>
      <c r="I58" s="18">
        <f>Parity!$BD$44</f>
        <v/>
      </c>
      <c r="J58" s="18">
        <f>Parity!$BE$44</f>
        <v/>
      </c>
      <c r="K58" s="18">
        <f>Parity!$AT$44</f>
        <v/>
      </c>
      <c r="L58" s="8">
        <f>$H58-$D58</f>
        <v/>
      </c>
      <c r="M58" s="8">
        <f>$I58-$E58</f>
        <v/>
      </c>
      <c r="N58" s="8">
        <f>$J58-$F58</f>
        <v/>
      </c>
      <c r="O58" s="8">
        <f>$K58-$G58</f>
        <v/>
      </c>
      <c r="P58" s="8">
        <f>IF(AND(ABS($L58)&lt;=tol_parity_inr_t,ABS($M58)&lt;=tol_parity_inr_t,ABS($N58)&lt;=tol_parity_inr_t,ABS($O58)&lt;=tol_parity_inr_t),"PASS","FAIL")</f>
        <v/>
      </c>
    </row>
    <row r="59">
      <c r="A59" s="11" t="n">
        <v>44610</v>
      </c>
      <c r="B59" s="7" t="inlineStr">
        <is>
          <t>taint_tabor</t>
        </is>
      </c>
      <c r="C59" s="7" t="inlineStr">
        <is>
          <t>USEC_MUN</t>
        </is>
      </c>
      <c r="D59" s="23" t="n">
        <v>28750.76</v>
      </c>
      <c r="E59" s="23" t="n">
        <v>5603.02</v>
      </c>
      <c r="F59" s="23" t="n">
        <v>23368.21</v>
      </c>
      <c r="G59" s="23" t="n">
        <v>193373.8</v>
      </c>
      <c r="H59" s="18">
        <f>Parity!$AY$45</f>
        <v/>
      </c>
      <c r="I59" s="18">
        <f>Parity!$BD$45</f>
        <v/>
      </c>
      <c r="J59" s="18">
        <f>Parity!$BE$45</f>
        <v/>
      </c>
      <c r="K59" s="18">
        <f>Parity!$AT$45</f>
        <v/>
      </c>
      <c r="L59" s="8">
        <f>$H59-$D59</f>
        <v/>
      </c>
      <c r="M59" s="8">
        <f>$I59-$E59</f>
        <v/>
      </c>
      <c r="N59" s="8">
        <f>$J59-$F59</f>
        <v/>
      </c>
      <c r="O59" s="8">
        <f>$K59-$G59</f>
        <v/>
      </c>
      <c r="P59" s="8">
        <f>IF(AND(ABS($L59)&lt;=tol_parity_inr_t,ABS($M59)&lt;=tol_parity_inr_t,ABS($N59)&lt;=tol_parity_inr_t,ABS($O59)&lt;=tol_parity_inr_t),"PASS","FAIL")</f>
        <v/>
      </c>
    </row>
    <row r="60">
      <c r="A60" s="11" t="n">
        <v>44610</v>
      </c>
      <c r="B60" s="7" t="inlineStr">
        <is>
          <t>tense</t>
        </is>
      </c>
      <c r="C60" s="7" t="inlineStr">
        <is>
          <t>JEA_NSA</t>
        </is>
      </c>
      <c r="D60" s="23" t="n">
        <v>48042.48</v>
      </c>
      <c r="E60" s="23" t="n">
        <v>25089.44</v>
      </c>
      <c r="F60" s="23" t="n">
        <v>42542.91</v>
      </c>
      <c r="G60" s="23" t="n">
        <v>178122.51</v>
      </c>
      <c r="H60" s="18">
        <f>Parity!$AY$46</f>
        <v/>
      </c>
      <c r="I60" s="18">
        <f>Parity!$BD$46</f>
        <v/>
      </c>
      <c r="J60" s="18">
        <f>Parity!$BE$46</f>
        <v/>
      </c>
      <c r="K60" s="18">
        <f>Parity!$AT$46</f>
        <v/>
      </c>
      <c r="L60" s="8">
        <f>$H60-$D60</f>
        <v/>
      </c>
      <c r="M60" s="8">
        <f>$I60-$E60</f>
        <v/>
      </c>
      <c r="N60" s="8">
        <f>$J60-$F60</f>
        <v/>
      </c>
      <c r="O60" s="8">
        <f>$K60-$G60</f>
        <v/>
      </c>
      <c r="P60" s="8">
        <f>IF(AND(ABS($L60)&lt;=tol_parity_inr_t,ABS($M60)&lt;=tol_parity_inr_t,ABS($N60)&lt;=tol_parity_inr_t,ABS($O60)&lt;=tol_parity_inr_t),"PASS","FAIL")</f>
        <v/>
      </c>
    </row>
    <row r="61">
      <c r="A61" s="11" t="n">
        <v>44610</v>
      </c>
      <c r="B61" s="7" t="inlineStr">
        <is>
          <t>tense</t>
        </is>
      </c>
      <c r="C61" s="7" t="inlineStr">
        <is>
          <t>USEC_MUN</t>
        </is>
      </c>
      <c r="D61" s="23" t="n">
        <v>46403.78</v>
      </c>
      <c r="E61" s="23" t="n">
        <v>23256.05</v>
      </c>
      <c r="F61" s="23" t="n">
        <v>40904.22</v>
      </c>
      <c r="G61" s="23" t="n">
        <v>180549.56</v>
      </c>
      <c r="H61" s="18">
        <f>Parity!$AY$47</f>
        <v/>
      </c>
      <c r="I61" s="18">
        <f>Parity!$BD$47</f>
        <v/>
      </c>
      <c r="J61" s="18">
        <f>Parity!$BE$47</f>
        <v/>
      </c>
      <c r="K61" s="18">
        <f>Parity!$AT$47</f>
        <v/>
      </c>
      <c r="L61" s="8">
        <f>$H61-$D61</f>
        <v/>
      </c>
      <c r="M61" s="8">
        <f>$I61-$E61</f>
        <v/>
      </c>
      <c r="N61" s="8">
        <f>$J61-$F61</f>
        <v/>
      </c>
      <c r="O61" s="8">
        <f>$K61-$G61</f>
        <v/>
      </c>
      <c r="P61" s="8">
        <f>IF(AND(ABS($L61)&lt;=tol_parity_inr_t,ABS($M61)&lt;=tol_parity_inr_t,ABS($N61)&lt;=tol_parity_inr_t,ABS($O61)&lt;=tol_parity_inr_t),"PASS","FAIL")</f>
        <v/>
      </c>
    </row>
    <row r="62">
      <c r="A62" s="11" t="n">
        <v>44617</v>
      </c>
      <c r="B62" s="7" t="inlineStr">
        <is>
          <t>zorba</t>
        </is>
      </c>
      <c r="C62" s="7" t="inlineStr">
        <is>
          <t>JEA_NSA</t>
        </is>
      </c>
      <c r="D62" s="23" t="n">
        <v>37438.65</v>
      </c>
      <c r="E62" s="23" t="n">
        <v>10756.09</v>
      </c>
      <c r="F62" s="23" t="n">
        <v>32245.9</v>
      </c>
      <c r="G62" s="23" t="n">
        <v>190737.77</v>
      </c>
      <c r="H62" s="18">
        <f>Parity!$AY$48</f>
        <v/>
      </c>
      <c r="I62" s="18">
        <f>Parity!$BD$48</f>
        <v/>
      </c>
      <c r="J62" s="18">
        <f>Parity!$BE$48</f>
        <v/>
      </c>
      <c r="K62" s="18">
        <f>Parity!$AT$48</f>
        <v/>
      </c>
      <c r="L62" s="8">
        <f>$H62-$D62</f>
        <v/>
      </c>
      <c r="M62" s="8">
        <f>$I62-$E62</f>
        <v/>
      </c>
      <c r="N62" s="8">
        <f>$J62-$F62</f>
        <v/>
      </c>
      <c r="O62" s="8">
        <f>$K62-$G62</f>
        <v/>
      </c>
      <c r="P62" s="8">
        <f>IF(AND(ABS($L62)&lt;=tol_parity_inr_t,ABS($M62)&lt;=tol_parity_inr_t,ABS($N62)&lt;=tol_parity_inr_t,ABS($O62)&lt;=tol_parity_inr_t),"PASS","FAIL")</f>
        <v/>
      </c>
    </row>
    <row r="63">
      <c r="A63" s="11" t="n">
        <v>44617</v>
      </c>
      <c r="B63" s="7" t="inlineStr">
        <is>
          <t>zorba</t>
        </is>
      </c>
      <c r="C63" s="7" t="inlineStr">
        <is>
          <t>USEC_MUN</t>
        </is>
      </c>
      <c r="D63" s="23" t="n">
        <v>35599.09</v>
      </c>
      <c r="E63" s="23" t="n">
        <v>8690.18</v>
      </c>
      <c r="F63" s="23" t="n">
        <v>30406.34</v>
      </c>
      <c r="G63" s="23" t="n">
        <v>193337.55</v>
      </c>
      <c r="H63" s="18">
        <f>Parity!$AY$49</f>
        <v/>
      </c>
      <c r="I63" s="18">
        <f>Parity!$BD$49</f>
        <v/>
      </c>
      <c r="J63" s="18">
        <f>Parity!$BE$49</f>
        <v/>
      </c>
      <c r="K63" s="18">
        <f>Parity!$AT$49</f>
        <v/>
      </c>
      <c r="L63" s="8">
        <f>$H63-$D63</f>
        <v/>
      </c>
      <c r="M63" s="8">
        <f>$I63-$E63</f>
        <v/>
      </c>
      <c r="N63" s="8">
        <f>$J63-$F63</f>
        <v/>
      </c>
      <c r="O63" s="8">
        <f>$K63-$G63</f>
        <v/>
      </c>
      <c r="P63" s="8">
        <f>IF(AND(ABS($L63)&lt;=tol_parity_inr_t,ABS($M63)&lt;=tol_parity_inr_t,ABS($N63)&lt;=tol_parity_inr_t,ABS($O63)&lt;=tol_parity_inr_t),"PASS","FAIL")</f>
        <v/>
      </c>
    </row>
    <row r="64">
      <c r="A64" s="11" t="n">
        <v>44617</v>
      </c>
      <c r="B64" s="7" t="inlineStr">
        <is>
          <t>taint_tabor</t>
        </is>
      </c>
      <c r="C64" s="7" t="inlineStr">
        <is>
          <t>JEA_NSA</t>
        </is>
      </c>
      <c r="D64" s="23" t="n">
        <v>35052.77</v>
      </c>
      <c r="E64" s="23" t="n">
        <v>8370.209999999999</v>
      </c>
      <c r="F64" s="23" t="n">
        <v>29670.22</v>
      </c>
      <c r="G64" s="23" t="n">
        <v>191234.02</v>
      </c>
      <c r="H64" s="18">
        <f>Parity!$AY$50</f>
        <v/>
      </c>
      <c r="I64" s="18">
        <f>Parity!$BD$50</f>
        <v/>
      </c>
      <c r="J64" s="18">
        <f>Parity!$BE$50</f>
        <v/>
      </c>
      <c r="K64" s="18">
        <f>Parity!$AT$50</f>
        <v/>
      </c>
      <c r="L64" s="8">
        <f>$H64-$D64</f>
        <v/>
      </c>
      <c r="M64" s="8">
        <f>$I64-$E64</f>
        <v/>
      </c>
      <c r="N64" s="8">
        <f>$J64-$F64</f>
        <v/>
      </c>
      <c r="O64" s="8">
        <f>$K64-$G64</f>
        <v/>
      </c>
      <c r="P64" s="8">
        <f>IF(AND(ABS($L64)&lt;=tol_parity_inr_t,ABS($M64)&lt;=tol_parity_inr_t,ABS($N64)&lt;=tol_parity_inr_t,ABS($O64)&lt;=tol_parity_inr_t),"PASS","FAIL")</f>
        <v/>
      </c>
    </row>
    <row r="65">
      <c r="A65" s="11" t="n">
        <v>44617</v>
      </c>
      <c r="B65" s="7" t="inlineStr">
        <is>
          <t>taint_tabor</t>
        </is>
      </c>
      <c r="C65" s="7" t="inlineStr">
        <is>
          <t>USEC_MUN</t>
        </is>
      </c>
      <c r="D65" s="23" t="n">
        <v>33737.25</v>
      </c>
      <c r="E65" s="23" t="n">
        <v>6828.34</v>
      </c>
      <c r="F65" s="23" t="n">
        <v>28354.69</v>
      </c>
      <c r="G65" s="23" t="n">
        <v>193337.55</v>
      </c>
      <c r="H65" s="18">
        <f>Parity!$AY$51</f>
        <v/>
      </c>
      <c r="I65" s="18">
        <f>Parity!$BD$51</f>
        <v/>
      </c>
      <c r="J65" s="18">
        <f>Parity!$BE$51</f>
        <v/>
      </c>
      <c r="K65" s="18">
        <f>Parity!$AT$51</f>
        <v/>
      </c>
      <c r="L65" s="8">
        <f>$H65-$D65</f>
        <v/>
      </c>
      <c r="M65" s="8">
        <f>$I65-$E65</f>
        <v/>
      </c>
      <c r="N65" s="8">
        <f>$J65-$F65</f>
        <v/>
      </c>
      <c r="O65" s="8">
        <f>$K65-$G65</f>
        <v/>
      </c>
      <c r="P65" s="8">
        <f>IF(AND(ABS($L65)&lt;=tol_parity_inr_t,ABS($M65)&lt;=tol_parity_inr_t,ABS($N65)&lt;=tol_parity_inr_t,ABS($O65)&lt;=tol_parity_inr_t),"PASS","FAIL")</f>
        <v/>
      </c>
    </row>
    <row r="66">
      <c r="A66" s="11" t="n">
        <v>44617</v>
      </c>
      <c r="B66" s="7" t="inlineStr">
        <is>
          <t>tense</t>
        </is>
      </c>
      <c r="C66" s="7" t="inlineStr">
        <is>
          <t>JEA_NSA</t>
        </is>
      </c>
      <c r="D66" s="23" t="n">
        <v>53418.02</v>
      </c>
      <c r="E66" s="23" t="n">
        <v>26735.45</v>
      </c>
      <c r="F66" s="23" t="n">
        <v>47918.45</v>
      </c>
      <c r="G66" s="23" t="n">
        <v>177788.05</v>
      </c>
      <c r="H66" s="18">
        <f>Parity!$AY$52</f>
        <v/>
      </c>
      <c r="I66" s="18">
        <f>Parity!$BD$52</f>
        <v/>
      </c>
      <c r="J66" s="18">
        <f>Parity!$BE$52</f>
        <v/>
      </c>
      <c r="K66" s="18">
        <f>Parity!$AT$52</f>
        <v/>
      </c>
      <c r="L66" s="8">
        <f>$H66-$D66</f>
        <v/>
      </c>
      <c r="M66" s="8">
        <f>$I66-$E66</f>
        <v/>
      </c>
      <c r="N66" s="8">
        <f>$J66-$F66</f>
        <v/>
      </c>
      <c r="O66" s="8">
        <f>$K66-$G66</f>
        <v/>
      </c>
      <c r="P66" s="8">
        <f>IF(AND(ABS($L66)&lt;=tol_parity_inr_t,ABS($M66)&lt;=tol_parity_inr_t,ABS($N66)&lt;=tol_parity_inr_t,ABS($O66)&lt;=tol_parity_inr_t),"PASS","FAIL")</f>
        <v/>
      </c>
    </row>
    <row r="67">
      <c r="A67" s="11" t="n">
        <v>44617</v>
      </c>
      <c r="B67" s="7" t="inlineStr">
        <is>
          <t>tense</t>
        </is>
      </c>
      <c r="C67" s="7" t="inlineStr">
        <is>
          <t>USEC_MUN</t>
        </is>
      </c>
      <c r="D67" s="23" t="n">
        <v>51799.95</v>
      </c>
      <c r="E67" s="23" t="n">
        <v>24891.04</v>
      </c>
      <c r="F67" s="23" t="n">
        <v>46300.38</v>
      </c>
      <c r="G67" s="23" t="n">
        <v>180211.26</v>
      </c>
      <c r="H67" s="18">
        <f>Parity!$AY$53</f>
        <v/>
      </c>
      <c r="I67" s="18">
        <f>Parity!$BD$53</f>
        <v/>
      </c>
      <c r="J67" s="18">
        <f>Parity!$BE$53</f>
        <v/>
      </c>
      <c r="K67" s="18">
        <f>Parity!$AT$53</f>
        <v/>
      </c>
      <c r="L67" s="8">
        <f>$H67-$D67</f>
        <v/>
      </c>
      <c r="M67" s="8">
        <f>$I67-$E67</f>
        <v/>
      </c>
      <c r="N67" s="8">
        <f>$J67-$F67</f>
        <v/>
      </c>
      <c r="O67" s="8">
        <f>$K67-$G67</f>
        <v/>
      </c>
      <c r="P67" s="8">
        <f>IF(AND(ABS($L67)&lt;=tol_parity_inr_t,ABS($M67)&lt;=tol_parity_inr_t,ABS($N67)&lt;=tol_parity_inr_t,ABS($O67)&lt;=tol_parity_inr_t),"PASS","FAIL")</f>
        <v/>
      </c>
    </row>
    <row r="68">
      <c r="A68" s="11" t="n">
        <v>44624</v>
      </c>
      <c r="B68" s="7" t="inlineStr">
        <is>
          <t>zorba</t>
        </is>
      </c>
      <c r="C68" s="7" t="inlineStr">
        <is>
          <t>JEA_NSA</t>
        </is>
      </c>
      <c r="D68" s="23" t="n">
        <v>51903.27</v>
      </c>
      <c r="E68" s="23" t="n">
        <v>16946.44</v>
      </c>
      <c r="F68" s="23" t="n">
        <v>46710.53</v>
      </c>
      <c r="G68" s="23" t="n">
        <v>217674.59</v>
      </c>
      <c r="H68" s="18">
        <f>Parity!$AY$54</f>
        <v/>
      </c>
      <c r="I68" s="18">
        <f>Parity!$BD$54</f>
        <v/>
      </c>
      <c r="J68" s="18">
        <f>Parity!$BE$54</f>
        <v/>
      </c>
      <c r="K68" s="18">
        <f>Parity!$AT$54</f>
        <v/>
      </c>
      <c r="L68" s="8">
        <f>$H68-$D68</f>
        <v/>
      </c>
      <c r="M68" s="8">
        <f>$I68-$E68</f>
        <v/>
      </c>
      <c r="N68" s="8">
        <f>$J68-$F68</f>
        <v/>
      </c>
      <c r="O68" s="8">
        <f>$K68-$G68</f>
        <v/>
      </c>
      <c r="P68" s="8">
        <f>IF(AND(ABS($L68)&lt;=tol_parity_inr_t,ABS($M68)&lt;=tol_parity_inr_t,ABS($N68)&lt;=tol_parity_inr_t,ABS($O68)&lt;=tol_parity_inr_t),"PASS","FAIL")</f>
        <v/>
      </c>
    </row>
    <row r="69">
      <c r="A69" s="11" t="n">
        <v>44624</v>
      </c>
      <c r="B69" s="7" t="inlineStr">
        <is>
          <t>zorba</t>
        </is>
      </c>
      <c r="C69" s="7" t="inlineStr">
        <is>
          <t>USEC_MUN</t>
        </is>
      </c>
      <c r="D69" s="23" t="n">
        <v>49903.86</v>
      </c>
      <c r="E69" s="23" t="n">
        <v>14650.49</v>
      </c>
      <c r="F69" s="23" t="n">
        <v>44711.11</v>
      </c>
      <c r="G69" s="23" t="n">
        <v>220501.13</v>
      </c>
      <c r="H69" s="18">
        <f>Parity!$AY$55</f>
        <v/>
      </c>
      <c r="I69" s="18">
        <f>Parity!$BD$55</f>
        <v/>
      </c>
      <c r="J69" s="18">
        <f>Parity!$BE$55</f>
        <v/>
      </c>
      <c r="K69" s="18">
        <f>Parity!$AT$55</f>
        <v/>
      </c>
      <c r="L69" s="8">
        <f>$H69-$D69</f>
        <v/>
      </c>
      <c r="M69" s="8">
        <f>$I69-$E69</f>
        <v/>
      </c>
      <c r="N69" s="8">
        <f>$J69-$F69</f>
        <v/>
      </c>
      <c r="O69" s="8">
        <f>$K69-$G69</f>
        <v/>
      </c>
      <c r="P69" s="8">
        <f>IF(AND(ABS($L69)&lt;=tol_parity_inr_t,ABS($M69)&lt;=tol_parity_inr_t,ABS($N69)&lt;=tol_parity_inr_t,ABS($O69)&lt;=tol_parity_inr_t),"PASS","FAIL")</f>
        <v/>
      </c>
    </row>
    <row r="70">
      <c r="A70" s="11" t="n">
        <v>44624</v>
      </c>
      <c r="B70" s="7" t="inlineStr">
        <is>
          <t>taint_tabor</t>
        </is>
      </c>
      <c r="C70" s="7" t="inlineStr">
        <is>
          <t>JEA_NSA</t>
        </is>
      </c>
      <c r="D70" s="23" t="n">
        <v>49289.35</v>
      </c>
      <c r="E70" s="23" t="n">
        <v>14332.51</v>
      </c>
      <c r="F70" s="23" t="n">
        <v>43906.8</v>
      </c>
      <c r="G70" s="23" t="n">
        <v>218171.36</v>
      </c>
      <c r="H70" s="18">
        <f>Parity!$AY$56</f>
        <v/>
      </c>
      <c r="I70" s="18">
        <f>Parity!$BD$56</f>
        <v/>
      </c>
      <c r="J70" s="18">
        <f>Parity!$BE$56</f>
        <v/>
      </c>
      <c r="K70" s="18">
        <f>Parity!$AT$56</f>
        <v/>
      </c>
      <c r="L70" s="8">
        <f>$H70-$D70</f>
        <v/>
      </c>
      <c r="M70" s="8">
        <f>$I70-$E70</f>
        <v/>
      </c>
      <c r="N70" s="8">
        <f>$J70-$F70</f>
        <v/>
      </c>
      <c r="O70" s="8">
        <f>$K70-$G70</f>
        <v/>
      </c>
      <c r="P70" s="8">
        <f>IF(AND(ABS($L70)&lt;=tol_parity_inr_t,ABS($M70)&lt;=tol_parity_inr_t,ABS($N70)&lt;=tol_parity_inr_t,ABS($O70)&lt;=tol_parity_inr_t),"PASS","FAIL")</f>
        <v/>
      </c>
    </row>
    <row r="71">
      <c r="A71" s="11" t="n">
        <v>44624</v>
      </c>
      <c r="B71" s="7" t="inlineStr">
        <is>
          <t>taint_tabor</t>
        </is>
      </c>
      <c r="C71" s="7" t="inlineStr">
        <is>
          <t>USEC_MUN</t>
        </is>
      </c>
      <c r="D71" s="23" t="n">
        <v>47816.94</v>
      </c>
      <c r="E71" s="23" t="n">
        <v>12563.57</v>
      </c>
      <c r="F71" s="23" t="n">
        <v>42434.39</v>
      </c>
      <c r="G71" s="23" t="n">
        <v>220501.13</v>
      </c>
      <c r="H71" s="18">
        <f>Parity!$AY$57</f>
        <v/>
      </c>
      <c r="I71" s="18">
        <f>Parity!$BD$57</f>
        <v/>
      </c>
      <c r="J71" s="18">
        <f>Parity!$BE$57</f>
        <v/>
      </c>
      <c r="K71" s="18">
        <f>Parity!$AT$57</f>
        <v/>
      </c>
      <c r="L71" s="8">
        <f>$H71-$D71</f>
        <v/>
      </c>
      <c r="M71" s="8">
        <f>$I71-$E71</f>
        <v/>
      </c>
      <c r="N71" s="8">
        <f>$J71-$F71</f>
        <v/>
      </c>
      <c r="O71" s="8">
        <f>$K71-$G71</f>
        <v/>
      </c>
      <c r="P71" s="8">
        <f>IF(AND(ABS($L71)&lt;=tol_parity_inr_t,ABS($M71)&lt;=tol_parity_inr_t,ABS($N71)&lt;=tol_parity_inr_t,ABS($O71)&lt;=tol_parity_inr_t),"PASS","FAIL")</f>
        <v/>
      </c>
    </row>
    <row r="72">
      <c r="A72" s="11" t="n">
        <v>44624</v>
      </c>
      <c r="B72" s="7" t="inlineStr">
        <is>
          <t>tense</t>
        </is>
      </c>
      <c r="C72" s="7" t="inlineStr">
        <is>
          <t>JEA_NSA</t>
        </is>
      </c>
      <c r="D72" s="23" t="n">
        <v>70765.99000000001</v>
      </c>
      <c r="E72" s="23" t="n">
        <v>35809.15</v>
      </c>
      <c r="F72" s="23" t="n">
        <v>65266.42</v>
      </c>
      <c r="G72" s="23" t="n">
        <v>202509.09</v>
      </c>
      <c r="H72" s="18">
        <f>Parity!$AY$58</f>
        <v/>
      </c>
      <c r="I72" s="18">
        <f>Parity!$BD$58</f>
        <v/>
      </c>
      <c r="J72" s="18">
        <f>Parity!$BE$58</f>
        <v/>
      </c>
      <c r="K72" s="18">
        <f>Parity!$AT$58</f>
        <v/>
      </c>
      <c r="L72" s="8">
        <f>$H72-$D72</f>
        <v/>
      </c>
      <c r="M72" s="8">
        <f>$I72-$E72</f>
        <v/>
      </c>
      <c r="N72" s="8">
        <f>$J72-$F72</f>
        <v/>
      </c>
      <c r="O72" s="8">
        <f>$K72-$G72</f>
        <v/>
      </c>
      <c r="P72" s="8">
        <f>IF(AND(ABS($L72)&lt;=tol_parity_inr_t,ABS($M72)&lt;=tol_parity_inr_t,ABS($N72)&lt;=tol_parity_inr_t,ABS($O72)&lt;=tol_parity_inr_t),"PASS","FAIL")</f>
        <v/>
      </c>
    </row>
    <row r="73">
      <c r="A73" s="11" t="n">
        <v>44624</v>
      </c>
      <c r="B73" s="7" t="inlineStr">
        <is>
          <t>tense</t>
        </is>
      </c>
      <c r="C73" s="7" t="inlineStr">
        <is>
          <t>USEC_MUN</t>
        </is>
      </c>
      <c r="D73" s="23" t="n">
        <v>69010.88</v>
      </c>
      <c r="E73" s="23" t="n">
        <v>33757.51</v>
      </c>
      <c r="F73" s="23" t="n">
        <v>63511.32</v>
      </c>
      <c r="G73" s="23" t="n">
        <v>205140.18</v>
      </c>
      <c r="H73" s="18">
        <f>Parity!$AY$59</f>
        <v/>
      </c>
      <c r="I73" s="18">
        <f>Parity!$BD$59</f>
        <v/>
      </c>
      <c r="J73" s="18">
        <f>Parity!$BE$59</f>
        <v/>
      </c>
      <c r="K73" s="18">
        <f>Parity!$AT$59</f>
        <v/>
      </c>
      <c r="L73" s="8">
        <f>$H73-$D73</f>
        <v/>
      </c>
      <c r="M73" s="8">
        <f>$I73-$E73</f>
        <v/>
      </c>
      <c r="N73" s="8">
        <f>$J73-$F73</f>
        <v/>
      </c>
      <c r="O73" s="8">
        <f>$K73-$G73</f>
        <v/>
      </c>
      <c r="P73" s="8">
        <f>IF(AND(ABS($L73)&lt;=tol_parity_inr_t,ABS($M73)&lt;=tol_parity_inr_t,ABS($N73)&lt;=tol_parity_inr_t,ABS($O73)&lt;=tol_parity_inr_t),"PASS","FAIL")</f>
        <v/>
      </c>
    </row>
    <row r="74">
      <c r="A74" s="11" t="n">
        <v>44631</v>
      </c>
      <c r="B74" s="7" t="inlineStr">
        <is>
          <t>zorba</t>
        </is>
      </c>
      <c r="C74" s="7" t="inlineStr">
        <is>
          <t>JEA_NSA</t>
        </is>
      </c>
      <c r="D74" s="23" t="n">
        <v>46568.52</v>
      </c>
      <c r="E74" s="23" t="n">
        <v>11087.43</v>
      </c>
      <c r="F74" s="23" t="n">
        <v>41375.78</v>
      </c>
      <c r="G74" s="23" t="n">
        <v>194946.15</v>
      </c>
      <c r="H74" s="18">
        <f>Parity!$AY$60</f>
        <v/>
      </c>
      <c r="I74" s="18">
        <f>Parity!$BD$60</f>
        <v/>
      </c>
      <c r="J74" s="18">
        <f>Parity!$BE$60</f>
        <v/>
      </c>
      <c r="K74" s="18">
        <f>Parity!$AT$60</f>
        <v/>
      </c>
      <c r="L74" s="8">
        <f>$H74-$D74</f>
        <v/>
      </c>
      <c r="M74" s="8">
        <f>$I74-$E74</f>
        <v/>
      </c>
      <c r="N74" s="8">
        <f>$J74-$F74</f>
        <v/>
      </c>
      <c r="O74" s="8">
        <f>$K74-$G74</f>
        <v/>
      </c>
      <c r="P74" s="8">
        <f>IF(AND(ABS($L74)&lt;=tol_parity_inr_t,ABS($M74)&lt;=tol_parity_inr_t,ABS($N74)&lt;=tol_parity_inr_t,ABS($O74)&lt;=tol_parity_inr_t),"PASS","FAIL")</f>
        <v/>
      </c>
    </row>
    <row r="75">
      <c r="A75" s="11" t="n">
        <v>44631</v>
      </c>
      <c r="B75" s="7" t="inlineStr">
        <is>
          <t>zorba</t>
        </is>
      </c>
      <c r="C75" s="7" t="inlineStr">
        <is>
          <t>USEC_MUN</t>
        </is>
      </c>
      <c r="D75" s="23" t="n">
        <v>44681.37</v>
      </c>
      <c r="E75" s="23" t="n">
        <v>8899.299999999999</v>
      </c>
      <c r="F75" s="23" t="n">
        <v>39488.62</v>
      </c>
      <c r="G75" s="23" t="n">
        <v>197579.77</v>
      </c>
      <c r="H75" s="18">
        <f>Parity!$AY$61</f>
        <v/>
      </c>
      <c r="I75" s="18">
        <f>Parity!$BD$61</f>
        <v/>
      </c>
      <c r="J75" s="18">
        <f>Parity!$BE$61</f>
        <v/>
      </c>
      <c r="K75" s="18">
        <f>Parity!$AT$61</f>
        <v/>
      </c>
      <c r="L75" s="8">
        <f>$H75-$D75</f>
        <v/>
      </c>
      <c r="M75" s="8">
        <f>$I75-$E75</f>
        <v/>
      </c>
      <c r="N75" s="8">
        <f>$J75-$F75</f>
        <v/>
      </c>
      <c r="O75" s="8">
        <f>$K75-$G75</f>
        <v/>
      </c>
      <c r="P75" s="8">
        <f>IF(AND(ABS($L75)&lt;=tol_parity_inr_t,ABS($M75)&lt;=tol_parity_inr_t,ABS($N75)&lt;=tol_parity_inr_t,ABS($O75)&lt;=tol_parity_inr_t),"PASS","FAIL")</f>
        <v/>
      </c>
    </row>
    <row r="76">
      <c r="A76" s="11" t="n">
        <v>44631</v>
      </c>
      <c r="B76" s="7" t="inlineStr">
        <is>
          <t>taint_tabor</t>
        </is>
      </c>
      <c r="C76" s="7" t="inlineStr">
        <is>
          <t>JEA_NSA</t>
        </is>
      </c>
      <c r="D76" s="23" t="n">
        <v>43920.29</v>
      </c>
      <c r="E76" s="23" t="n">
        <v>8439.200000000001</v>
      </c>
      <c r="F76" s="23" t="n">
        <v>38537.74</v>
      </c>
      <c r="G76" s="23" t="n">
        <v>195442.96</v>
      </c>
      <c r="H76" s="18">
        <f>Parity!$AY$62</f>
        <v/>
      </c>
      <c r="I76" s="18">
        <f>Parity!$BD$62</f>
        <v/>
      </c>
      <c r="J76" s="18">
        <f>Parity!$BE$62</f>
        <v/>
      </c>
      <c r="K76" s="18">
        <f>Parity!$AT$62</f>
        <v/>
      </c>
      <c r="L76" s="8">
        <f>$H76-$D76</f>
        <v/>
      </c>
      <c r="M76" s="8">
        <f>$I76-$E76</f>
        <v/>
      </c>
      <c r="N76" s="8">
        <f>$J76-$F76</f>
        <v/>
      </c>
      <c r="O76" s="8">
        <f>$K76-$G76</f>
        <v/>
      </c>
      <c r="P76" s="8">
        <f>IF(AND(ABS($L76)&lt;=tol_parity_inr_t,ABS($M76)&lt;=tol_parity_inr_t,ABS($N76)&lt;=tol_parity_inr_t,ABS($O76)&lt;=tol_parity_inr_t),"PASS","FAIL")</f>
        <v/>
      </c>
    </row>
    <row r="77">
      <c r="A77" s="11" t="n">
        <v>44631</v>
      </c>
      <c r="B77" s="7" t="inlineStr">
        <is>
          <t>taint_tabor</t>
        </is>
      </c>
      <c r="C77" s="7" t="inlineStr">
        <is>
          <t>USEC_MUN</t>
        </is>
      </c>
      <c r="D77" s="23" t="n">
        <v>42557.23</v>
      </c>
      <c r="E77" s="23" t="n">
        <v>6775.16</v>
      </c>
      <c r="F77" s="23" t="n">
        <v>37174.67</v>
      </c>
      <c r="G77" s="23" t="n">
        <v>197579.77</v>
      </c>
      <c r="H77" s="18">
        <f>Parity!$AY$63</f>
        <v/>
      </c>
      <c r="I77" s="18">
        <f>Parity!$BD$63</f>
        <v/>
      </c>
      <c r="J77" s="18">
        <f>Parity!$BE$63</f>
        <v/>
      </c>
      <c r="K77" s="18">
        <f>Parity!$AT$63</f>
        <v/>
      </c>
      <c r="L77" s="8">
        <f>$H77-$D77</f>
        <v/>
      </c>
      <c r="M77" s="8">
        <f>$I77-$E77</f>
        <v/>
      </c>
      <c r="N77" s="8">
        <f>$J77-$F77</f>
        <v/>
      </c>
      <c r="O77" s="8">
        <f>$K77-$G77</f>
        <v/>
      </c>
      <c r="P77" s="8">
        <f>IF(AND(ABS($L77)&lt;=tol_parity_inr_t,ABS($M77)&lt;=tol_parity_inr_t,ABS($N77)&lt;=tol_parity_inr_t,ABS($O77)&lt;=tol_parity_inr_t),"PASS","FAIL")</f>
        <v/>
      </c>
    </row>
    <row r="78">
      <c r="A78" s="11" t="n">
        <v>44631</v>
      </c>
      <c r="B78" s="7" t="inlineStr">
        <is>
          <t>tense</t>
        </is>
      </c>
      <c r="C78" s="7" t="inlineStr">
        <is>
          <t>JEA_NSA</t>
        </is>
      </c>
      <c r="D78" s="23" t="n">
        <v>63523.34</v>
      </c>
      <c r="E78" s="23" t="n">
        <v>28042.25</v>
      </c>
      <c r="F78" s="23" t="n">
        <v>58023.78</v>
      </c>
      <c r="G78" s="23" t="n">
        <v>181043.46</v>
      </c>
      <c r="H78" s="18">
        <f>Parity!$AY$64</f>
        <v/>
      </c>
      <c r="I78" s="18">
        <f>Parity!$BD$64</f>
        <v/>
      </c>
      <c r="J78" s="18">
        <f>Parity!$BE$64</f>
        <v/>
      </c>
      <c r="K78" s="18">
        <f>Parity!$AT$64</f>
        <v/>
      </c>
      <c r="L78" s="8">
        <f>$H78-$D78</f>
        <v/>
      </c>
      <c r="M78" s="8">
        <f>$I78-$E78</f>
        <v/>
      </c>
      <c r="N78" s="8">
        <f>$J78-$F78</f>
        <v/>
      </c>
      <c r="O78" s="8">
        <f>$K78-$G78</f>
        <v/>
      </c>
      <c r="P78" s="8">
        <f>IF(AND(ABS($L78)&lt;=tol_parity_inr_t,ABS($M78)&lt;=tol_parity_inr_t,ABS($N78)&lt;=tol_parity_inr_t,ABS($O78)&lt;=tol_parity_inr_t),"PASS","FAIL")</f>
        <v/>
      </c>
    </row>
    <row r="79">
      <c r="A79" s="11" t="n">
        <v>44631</v>
      </c>
      <c r="B79" s="7" t="inlineStr">
        <is>
          <t>tense</t>
        </is>
      </c>
      <c r="C79" s="7" t="inlineStr">
        <is>
          <t>USEC_MUN</t>
        </is>
      </c>
      <c r="D79" s="23" t="n">
        <v>61865.03</v>
      </c>
      <c r="E79" s="23" t="n">
        <v>26082.96</v>
      </c>
      <c r="F79" s="23" t="n">
        <v>56365.46</v>
      </c>
      <c r="G79" s="23" t="n">
        <v>183492.34</v>
      </c>
      <c r="H79" s="18">
        <f>Parity!$AY$65</f>
        <v/>
      </c>
      <c r="I79" s="18">
        <f>Parity!$BD$65</f>
        <v/>
      </c>
      <c r="J79" s="18">
        <f>Parity!$BE$65</f>
        <v/>
      </c>
      <c r="K79" s="18">
        <f>Parity!$AT$65</f>
        <v/>
      </c>
      <c r="L79" s="8">
        <f>$H79-$D79</f>
        <v/>
      </c>
      <c r="M79" s="8">
        <f>$I79-$E79</f>
        <v/>
      </c>
      <c r="N79" s="8">
        <f>$J79-$F79</f>
        <v/>
      </c>
      <c r="O79" s="8">
        <f>$K79-$G79</f>
        <v/>
      </c>
      <c r="P79" s="8">
        <f>IF(AND(ABS($L79)&lt;=tol_parity_inr_t,ABS($M79)&lt;=tol_parity_inr_t,ABS($N79)&lt;=tol_parity_inr_t,ABS($O79)&lt;=tol_parity_inr_t),"PASS","FAIL")</f>
        <v/>
      </c>
    </row>
    <row r="80">
      <c r="A80" s="11" t="n">
        <v>44638</v>
      </c>
      <c r="B80" s="7" t="inlineStr">
        <is>
          <t>zorba</t>
        </is>
      </c>
      <c r="C80" s="7" t="inlineStr">
        <is>
          <t>JEA_NSA</t>
        </is>
      </c>
      <c r="D80" s="23" t="n">
        <v>45790.93</v>
      </c>
      <c r="E80" s="23" t="n">
        <v>12992.05</v>
      </c>
      <c r="F80" s="23" t="n">
        <v>40598.19</v>
      </c>
      <c r="G80" s="23" t="n">
        <v>187652.5</v>
      </c>
      <c r="H80" s="18">
        <f>Parity!$AY$66</f>
        <v/>
      </c>
      <c r="I80" s="18">
        <f>Parity!$BD$66</f>
        <v/>
      </c>
      <c r="J80" s="18">
        <f>Parity!$BE$66</f>
        <v/>
      </c>
      <c r="K80" s="18">
        <f>Parity!$AT$66</f>
        <v/>
      </c>
      <c r="L80" s="8">
        <f>$H80-$D80</f>
        <v/>
      </c>
      <c r="M80" s="8">
        <f>$I80-$E80</f>
        <v/>
      </c>
      <c r="N80" s="8">
        <f>$J80-$F80</f>
        <v/>
      </c>
      <c r="O80" s="8">
        <f>$K80-$G80</f>
        <v/>
      </c>
      <c r="P80" s="8">
        <f>IF(AND(ABS($L80)&lt;=tol_parity_inr_t,ABS($M80)&lt;=tol_parity_inr_t,ABS($N80)&lt;=tol_parity_inr_t,ABS($O80)&lt;=tol_parity_inr_t),"PASS","FAIL")</f>
        <v/>
      </c>
    </row>
    <row r="81">
      <c r="A81" s="11" t="n">
        <v>44638</v>
      </c>
      <c r="B81" s="7" t="inlineStr">
        <is>
          <t>zorba</t>
        </is>
      </c>
      <c r="C81" s="7" t="inlineStr">
        <is>
          <t>USEC_MUN</t>
        </is>
      </c>
      <c r="D81" s="23" t="n">
        <v>43942.6</v>
      </c>
      <c r="E81" s="23" t="n">
        <v>10865.49</v>
      </c>
      <c r="F81" s="23" t="n">
        <v>38749.85</v>
      </c>
      <c r="G81" s="23" t="n">
        <v>190224.71</v>
      </c>
      <c r="H81" s="18">
        <f>Parity!$AY$67</f>
        <v/>
      </c>
      <c r="I81" s="18">
        <f>Parity!$BD$67</f>
        <v/>
      </c>
      <c r="J81" s="18">
        <f>Parity!$BE$67</f>
        <v/>
      </c>
      <c r="K81" s="18">
        <f>Parity!$AT$67</f>
        <v/>
      </c>
      <c r="L81" s="8">
        <f>$H81-$D81</f>
        <v/>
      </c>
      <c r="M81" s="8">
        <f>$I81-$E81</f>
        <v/>
      </c>
      <c r="N81" s="8">
        <f>$J81-$F81</f>
        <v/>
      </c>
      <c r="O81" s="8">
        <f>$K81-$G81</f>
        <v/>
      </c>
      <c r="P81" s="8">
        <f>IF(AND(ABS($L81)&lt;=tol_parity_inr_t,ABS($M81)&lt;=tol_parity_inr_t,ABS($N81)&lt;=tol_parity_inr_t,ABS($O81)&lt;=tol_parity_inr_t),"PASS","FAIL")</f>
        <v/>
      </c>
    </row>
    <row r="82">
      <c r="A82" s="11" t="n">
        <v>44638</v>
      </c>
      <c r="B82" s="7" t="inlineStr">
        <is>
          <t>taint_tabor</t>
        </is>
      </c>
      <c r="C82" s="7" t="inlineStr">
        <is>
          <t>JEA_NSA</t>
        </is>
      </c>
      <c r="D82" s="23" t="n">
        <v>43204.94</v>
      </c>
      <c r="E82" s="23" t="n">
        <v>10406.05</v>
      </c>
      <c r="F82" s="23" t="n">
        <v>37822.38</v>
      </c>
      <c r="G82" s="23" t="n">
        <v>188149.17</v>
      </c>
      <c r="H82" s="18">
        <f>Parity!$AY$68</f>
        <v/>
      </c>
      <c r="I82" s="18">
        <f>Parity!$BD$68</f>
        <v/>
      </c>
      <c r="J82" s="18">
        <f>Parity!$BE$68</f>
        <v/>
      </c>
      <c r="K82" s="18">
        <f>Parity!$AT$68</f>
        <v/>
      </c>
      <c r="L82" s="8">
        <f>$H82-$D82</f>
        <v/>
      </c>
      <c r="M82" s="8">
        <f>$I82-$E82</f>
        <v/>
      </c>
      <c r="N82" s="8">
        <f>$J82-$F82</f>
        <v/>
      </c>
      <c r="O82" s="8">
        <f>$K82-$G82</f>
        <v/>
      </c>
      <c r="P82" s="8">
        <f>IF(AND(ABS($L82)&lt;=tol_parity_inr_t,ABS($M82)&lt;=tol_parity_inr_t,ABS($N82)&lt;=tol_parity_inr_t,ABS($O82)&lt;=tol_parity_inr_t),"PASS","FAIL")</f>
        <v/>
      </c>
    </row>
    <row r="83">
      <c r="A83" s="11" t="n">
        <v>44638</v>
      </c>
      <c r="B83" s="7" t="inlineStr">
        <is>
          <t>taint_tabor</t>
        </is>
      </c>
      <c r="C83" s="7" t="inlineStr">
        <is>
          <t>USEC_MUN</t>
        </is>
      </c>
      <c r="D83" s="23" t="n">
        <v>41879.73</v>
      </c>
      <c r="E83" s="23" t="n">
        <v>8802.620000000001</v>
      </c>
      <c r="F83" s="23" t="n">
        <v>36497.17</v>
      </c>
      <c r="G83" s="23" t="n">
        <v>190224.71</v>
      </c>
      <c r="H83" s="18">
        <f>Parity!$AY$69</f>
        <v/>
      </c>
      <c r="I83" s="18">
        <f>Parity!$BD$69</f>
        <v/>
      </c>
      <c r="J83" s="18">
        <f>Parity!$BE$69</f>
        <v/>
      </c>
      <c r="K83" s="18">
        <f>Parity!$AT$69</f>
        <v/>
      </c>
      <c r="L83" s="8">
        <f>$H83-$D83</f>
        <v/>
      </c>
      <c r="M83" s="8">
        <f>$I83-$E83</f>
        <v/>
      </c>
      <c r="N83" s="8">
        <f>$J83-$F83</f>
        <v/>
      </c>
      <c r="O83" s="8">
        <f>$K83-$G83</f>
        <v/>
      </c>
      <c r="P83" s="8">
        <f>IF(AND(ABS($L83)&lt;=tol_parity_inr_t,ABS($M83)&lt;=tol_parity_inr_t,ABS($N83)&lt;=tol_parity_inr_t,ABS($O83)&lt;=tol_parity_inr_t),"PASS","FAIL")</f>
        <v/>
      </c>
    </row>
    <row r="84">
      <c r="A84" s="11" t="n">
        <v>44638</v>
      </c>
      <c r="B84" s="7" t="inlineStr">
        <is>
          <t>tense</t>
        </is>
      </c>
      <c r="C84" s="7" t="inlineStr">
        <is>
          <t>JEA_NSA</t>
        </is>
      </c>
      <c r="D84" s="23" t="n">
        <v>62182.04</v>
      </c>
      <c r="E84" s="23" t="n">
        <v>29383.16</v>
      </c>
      <c r="F84" s="23" t="n">
        <v>56682.47</v>
      </c>
      <c r="G84" s="23" t="n">
        <v>174201.51</v>
      </c>
      <c r="H84" s="18">
        <f>Parity!$AY$70</f>
        <v/>
      </c>
      <c r="I84" s="18">
        <f>Parity!$BD$70</f>
        <v/>
      </c>
      <c r="J84" s="18">
        <f>Parity!$BE$70</f>
        <v/>
      </c>
      <c r="K84" s="18">
        <f>Parity!$AT$70</f>
        <v/>
      </c>
      <c r="L84" s="8">
        <f>$H84-$D84</f>
        <v/>
      </c>
      <c r="M84" s="8">
        <f>$I84-$E84</f>
        <v/>
      </c>
      <c r="N84" s="8">
        <f>$J84-$F84</f>
        <v/>
      </c>
      <c r="O84" s="8">
        <f>$K84-$G84</f>
        <v/>
      </c>
      <c r="P84" s="8">
        <f>IF(AND(ABS($L84)&lt;=tol_parity_inr_t,ABS($M84)&lt;=tol_parity_inr_t,ABS($N84)&lt;=tol_parity_inr_t,ABS($O84)&lt;=tol_parity_inr_t),"PASS","FAIL")</f>
        <v/>
      </c>
    </row>
    <row r="85">
      <c r="A85" s="11" t="n">
        <v>44638</v>
      </c>
      <c r="B85" s="7" t="inlineStr">
        <is>
          <t>tense</t>
        </is>
      </c>
      <c r="C85" s="7" t="inlineStr">
        <is>
          <t>USEC_MUN</t>
        </is>
      </c>
      <c r="D85" s="23" t="n">
        <v>60557.36</v>
      </c>
      <c r="E85" s="23" t="n">
        <v>27480.25</v>
      </c>
      <c r="F85" s="23" t="n">
        <v>55057.79</v>
      </c>
      <c r="G85" s="23" t="n">
        <v>176592.83</v>
      </c>
      <c r="H85" s="18">
        <f>Parity!$AY$71</f>
        <v/>
      </c>
      <c r="I85" s="18">
        <f>Parity!$BD$71</f>
        <v/>
      </c>
      <c r="J85" s="18">
        <f>Parity!$BE$71</f>
        <v/>
      </c>
      <c r="K85" s="18">
        <f>Parity!$AT$71</f>
        <v/>
      </c>
      <c r="L85" s="8">
        <f>$H85-$D85</f>
        <v/>
      </c>
      <c r="M85" s="8">
        <f>$I85-$E85</f>
        <v/>
      </c>
      <c r="N85" s="8">
        <f>$J85-$F85</f>
        <v/>
      </c>
      <c r="O85" s="8">
        <f>$K85-$G85</f>
        <v/>
      </c>
      <c r="P85" s="8">
        <f>IF(AND(ABS($L85)&lt;=tol_parity_inr_t,ABS($M85)&lt;=tol_parity_inr_t,ABS($N85)&lt;=tol_parity_inr_t,ABS($O85)&lt;=tol_parity_inr_t),"PASS","FAIL")</f>
        <v/>
      </c>
    </row>
    <row r="86">
      <c r="A86" s="11" t="n">
        <v>44645</v>
      </c>
      <c r="B86" s="7" t="inlineStr">
        <is>
          <t>zorba</t>
        </is>
      </c>
      <c r="C86" s="7" t="inlineStr">
        <is>
          <t>JEA_NSA</t>
        </is>
      </c>
      <c r="D86" s="23" t="n">
        <v>46314.24</v>
      </c>
      <c r="E86" s="23" t="n">
        <v>20098.96</v>
      </c>
      <c r="F86" s="23" t="n">
        <v>41121.5</v>
      </c>
      <c r="G86" s="23" t="n">
        <v>202252.34</v>
      </c>
      <c r="H86" s="18">
        <f>Parity!$AY$72</f>
        <v/>
      </c>
      <c r="I86" s="18">
        <f>Parity!$BD$72</f>
        <v/>
      </c>
      <c r="J86" s="18">
        <f>Parity!$BE$72</f>
        <v/>
      </c>
      <c r="K86" s="18">
        <f>Parity!$AT$72</f>
        <v/>
      </c>
      <c r="L86" s="8">
        <f>$H86-$D86</f>
        <v/>
      </c>
      <c r="M86" s="8">
        <f>$I86-$E86</f>
        <v/>
      </c>
      <c r="N86" s="8">
        <f>$J86-$F86</f>
        <v/>
      </c>
      <c r="O86" s="8">
        <f>$K86-$G86</f>
        <v/>
      </c>
      <c r="P86" s="8">
        <f>IF(AND(ABS($L86)&lt;=tol_parity_inr_t,ABS($M86)&lt;=tol_parity_inr_t,ABS($N86)&lt;=tol_parity_inr_t,ABS($O86)&lt;=tol_parity_inr_t),"PASS","FAIL")</f>
        <v/>
      </c>
    </row>
    <row r="87">
      <c r="A87" s="11" t="n">
        <v>44645</v>
      </c>
      <c r="B87" s="7" t="inlineStr">
        <is>
          <t>zorba</t>
        </is>
      </c>
      <c r="C87" s="7" t="inlineStr">
        <is>
          <t>USEC_MUN</t>
        </is>
      </c>
      <c r="D87" s="23" t="n">
        <v>44386.41</v>
      </c>
      <c r="E87" s="23" t="n">
        <v>17948.75</v>
      </c>
      <c r="F87" s="23" t="n">
        <v>39193.66</v>
      </c>
      <c r="G87" s="23" t="n">
        <v>204948.27</v>
      </c>
      <c r="H87" s="18">
        <f>Parity!$AY$73</f>
        <v/>
      </c>
      <c r="I87" s="18">
        <f>Parity!$BD$73</f>
        <v/>
      </c>
      <c r="J87" s="18">
        <f>Parity!$BE$73</f>
        <v/>
      </c>
      <c r="K87" s="18">
        <f>Parity!$AT$73</f>
        <v/>
      </c>
      <c r="L87" s="8">
        <f>$H87-$D87</f>
        <v/>
      </c>
      <c r="M87" s="8">
        <f>$I87-$E87</f>
        <v/>
      </c>
      <c r="N87" s="8">
        <f>$J87-$F87</f>
        <v/>
      </c>
      <c r="O87" s="8">
        <f>$K87-$G87</f>
        <v/>
      </c>
      <c r="P87" s="8">
        <f>IF(AND(ABS($L87)&lt;=tol_parity_inr_t,ABS($M87)&lt;=tol_parity_inr_t,ABS($N87)&lt;=tol_parity_inr_t,ABS($O87)&lt;=tol_parity_inr_t),"PASS","FAIL")</f>
        <v/>
      </c>
    </row>
    <row r="88">
      <c r="A88" s="11" t="n">
        <v>44645</v>
      </c>
      <c r="B88" s="7" t="inlineStr">
        <is>
          <t>taint_tabor</t>
        </is>
      </c>
      <c r="C88" s="7" t="inlineStr">
        <is>
          <t>JEA_NSA</t>
        </is>
      </c>
      <c r="D88" s="23" t="n">
        <v>43674.24</v>
      </c>
      <c r="E88" s="23" t="n">
        <v>17458.96</v>
      </c>
      <c r="F88" s="23" t="n">
        <v>38291.69</v>
      </c>
      <c r="G88" s="23" t="n">
        <v>202749.04</v>
      </c>
      <c r="H88" s="18">
        <f>Parity!$AY$74</f>
        <v/>
      </c>
      <c r="I88" s="18">
        <f>Parity!$BD$74</f>
        <v/>
      </c>
      <c r="J88" s="18">
        <f>Parity!$BE$74</f>
        <v/>
      </c>
      <c r="K88" s="18">
        <f>Parity!$AT$74</f>
        <v/>
      </c>
      <c r="L88" s="8">
        <f>$H88-$D88</f>
        <v/>
      </c>
      <c r="M88" s="8">
        <f>$I88-$E88</f>
        <v/>
      </c>
      <c r="N88" s="8">
        <f>$J88-$F88</f>
        <v/>
      </c>
      <c r="O88" s="8">
        <f>$K88-$G88</f>
        <v/>
      </c>
      <c r="P88" s="8">
        <f>IF(AND(ABS($L88)&lt;=tol_parity_inr_t,ABS($M88)&lt;=tol_parity_inr_t,ABS($N88)&lt;=tol_parity_inr_t,ABS($O88)&lt;=tol_parity_inr_t),"PASS","FAIL")</f>
        <v/>
      </c>
    </row>
    <row r="89">
      <c r="A89" s="11" t="n">
        <v>44645</v>
      </c>
      <c r="B89" s="7" t="inlineStr">
        <is>
          <t>taint_tabor</t>
        </is>
      </c>
      <c r="C89" s="7" t="inlineStr">
        <is>
          <t>USEC_MUN</t>
        </is>
      </c>
      <c r="D89" s="23" t="n">
        <v>42271.18</v>
      </c>
      <c r="E89" s="23" t="n">
        <v>15833.52</v>
      </c>
      <c r="F89" s="23" t="n">
        <v>36888.63</v>
      </c>
      <c r="G89" s="23" t="n">
        <v>204948.27</v>
      </c>
      <c r="H89" s="18">
        <f>Parity!$AY$75</f>
        <v/>
      </c>
      <c r="I89" s="18">
        <f>Parity!$BD$75</f>
        <v/>
      </c>
      <c r="J89" s="18">
        <f>Parity!$BE$75</f>
        <v/>
      </c>
      <c r="K89" s="18">
        <f>Parity!$AT$75</f>
        <v/>
      </c>
      <c r="L89" s="8">
        <f>$H89-$D89</f>
        <v/>
      </c>
      <c r="M89" s="8">
        <f>$I89-$E89</f>
        <v/>
      </c>
      <c r="N89" s="8">
        <f>$J89-$F89</f>
        <v/>
      </c>
      <c r="O89" s="8">
        <f>$K89-$G89</f>
        <v/>
      </c>
      <c r="P89" s="8">
        <f>IF(AND(ABS($L89)&lt;=tol_parity_inr_t,ABS($M89)&lt;=tol_parity_inr_t,ABS($N89)&lt;=tol_parity_inr_t,ABS($O89)&lt;=tol_parity_inr_t),"PASS","FAIL")</f>
        <v/>
      </c>
    </row>
    <row r="90">
      <c r="A90" s="11" t="n">
        <v>44645</v>
      </c>
      <c r="B90" s="7" t="inlineStr">
        <is>
          <t>tense</t>
        </is>
      </c>
      <c r="C90" s="7" t="inlineStr">
        <is>
          <t>JEA_NSA</t>
        </is>
      </c>
      <c r="D90" s="23" t="n">
        <v>63749.25</v>
      </c>
      <c r="E90" s="23" t="n">
        <v>37533.97</v>
      </c>
      <c r="F90" s="23" t="n">
        <v>58249.69</v>
      </c>
      <c r="G90" s="23" t="n">
        <v>188031.05</v>
      </c>
      <c r="H90" s="18">
        <f>Parity!$AY$76</f>
        <v/>
      </c>
      <c r="I90" s="18">
        <f>Parity!$BD$76</f>
        <v/>
      </c>
      <c r="J90" s="18">
        <f>Parity!$BE$76</f>
        <v/>
      </c>
      <c r="K90" s="18">
        <f>Parity!$AT$76</f>
        <v/>
      </c>
      <c r="L90" s="8">
        <f>$H90-$D90</f>
        <v/>
      </c>
      <c r="M90" s="8">
        <f>$I90-$E90</f>
        <v/>
      </c>
      <c r="N90" s="8">
        <f>$J90-$F90</f>
        <v/>
      </c>
      <c r="O90" s="8">
        <f>$K90-$G90</f>
        <v/>
      </c>
      <c r="P90" s="8">
        <f>IF(AND(ABS($L90)&lt;=tol_parity_inr_t,ABS($M90)&lt;=tol_parity_inr_t,ABS($N90)&lt;=tol_parity_inr_t,ABS($O90)&lt;=tol_parity_inr_t),"PASS","FAIL")</f>
        <v/>
      </c>
    </row>
    <row r="91">
      <c r="A91" s="11" t="n">
        <v>44645</v>
      </c>
      <c r="B91" s="7" t="inlineStr">
        <is>
          <t>tense</t>
        </is>
      </c>
      <c r="C91" s="7" t="inlineStr">
        <is>
          <t>USEC_MUN</t>
        </is>
      </c>
      <c r="D91" s="23" t="n">
        <v>62054.22</v>
      </c>
      <c r="E91" s="23" t="n">
        <v>35616.57</v>
      </c>
      <c r="F91" s="23" t="n">
        <v>56554.66</v>
      </c>
      <c r="G91" s="23" t="n">
        <v>190539.56</v>
      </c>
      <c r="H91" s="18">
        <f>Parity!$AY$77</f>
        <v/>
      </c>
      <c r="I91" s="18">
        <f>Parity!$BD$77</f>
        <v/>
      </c>
      <c r="J91" s="18">
        <f>Parity!$BE$77</f>
        <v/>
      </c>
      <c r="K91" s="18">
        <f>Parity!$AT$77</f>
        <v/>
      </c>
      <c r="L91" s="8">
        <f>$H91-$D91</f>
        <v/>
      </c>
      <c r="M91" s="8">
        <f>$I91-$E91</f>
        <v/>
      </c>
      <c r="N91" s="8">
        <f>$J91-$F91</f>
        <v/>
      </c>
      <c r="O91" s="8">
        <f>$K91-$G91</f>
        <v/>
      </c>
      <c r="P91" s="8">
        <f>IF(AND(ABS($L91)&lt;=tol_parity_inr_t,ABS($M91)&lt;=tol_parity_inr_t,ABS($N91)&lt;=tol_parity_inr_t,ABS($O91)&lt;=tol_parity_inr_t),"PASS","FAIL")</f>
        <v/>
      </c>
    </row>
    <row r="92">
      <c r="A92" s="11" t="n">
        <v>44652</v>
      </c>
      <c r="B92" s="7" t="inlineStr">
        <is>
          <t>zorba</t>
        </is>
      </c>
      <c r="C92" s="7" t="inlineStr">
        <is>
          <t>JEA_NSA</t>
        </is>
      </c>
      <c r="D92" s="23" t="n">
        <v>40523.37</v>
      </c>
      <c r="E92" s="23" t="n">
        <v>23256.64</v>
      </c>
      <c r="F92" s="23" t="n">
        <v>35330.63</v>
      </c>
      <c r="G92" s="23" t="n">
        <v>200540.89</v>
      </c>
      <c r="H92" s="18">
        <f>Parity!$AY$78</f>
        <v/>
      </c>
      <c r="I92" s="18">
        <f>Parity!$BD$78</f>
        <v/>
      </c>
      <c r="J92" s="18">
        <f>Parity!$BE$78</f>
        <v/>
      </c>
      <c r="K92" s="18">
        <f>Parity!$AT$78</f>
        <v/>
      </c>
      <c r="L92" s="8">
        <f>$H92-$D92</f>
        <v/>
      </c>
      <c r="M92" s="8">
        <f>$I92-$E92</f>
        <v/>
      </c>
      <c r="N92" s="8">
        <f>$J92-$F92</f>
        <v/>
      </c>
      <c r="O92" s="8">
        <f>$K92-$G92</f>
        <v/>
      </c>
      <c r="P92" s="8">
        <f>IF(AND(ABS($L92)&lt;=tol_parity_inr_t,ABS($M92)&lt;=tol_parity_inr_t,ABS($N92)&lt;=tol_parity_inr_t,ABS($O92)&lt;=tol_parity_inr_t),"PASS","FAIL")</f>
        <v/>
      </c>
    </row>
    <row r="93">
      <c r="A93" s="11" t="n">
        <v>44652</v>
      </c>
      <c r="B93" s="7" t="inlineStr">
        <is>
          <t>zorba</t>
        </is>
      </c>
      <c r="C93" s="7" t="inlineStr">
        <is>
          <t>USEC_MUN</t>
        </is>
      </c>
      <c r="D93" s="23" t="n">
        <v>38695</v>
      </c>
      <c r="E93" s="23" t="n">
        <v>21281.8</v>
      </c>
      <c r="F93" s="23" t="n">
        <v>33502.25</v>
      </c>
      <c r="G93" s="23" t="n">
        <v>203222.6</v>
      </c>
      <c r="H93" s="18">
        <f>Parity!$AY$79</f>
        <v/>
      </c>
      <c r="I93" s="18">
        <f>Parity!$BD$79</f>
        <v/>
      </c>
      <c r="J93" s="18">
        <f>Parity!$BE$79</f>
        <v/>
      </c>
      <c r="K93" s="18">
        <f>Parity!$AT$79</f>
        <v/>
      </c>
      <c r="L93" s="8">
        <f>$H93-$D93</f>
        <v/>
      </c>
      <c r="M93" s="8">
        <f>$I93-$E93</f>
        <v/>
      </c>
      <c r="N93" s="8">
        <f>$J93-$F93</f>
        <v/>
      </c>
      <c r="O93" s="8">
        <f>$K93-$G93</f>
        <v/>
      </c>
      <c r="P93" s="8">
        <f>IF(AND(ABS($L93)&lt;=tol_parity_inr_t,ABS($M93)&lt;=tol_parity_inr_t,ABS($N93)&lt;=tol_parity_inr_t,ABS($O93)&lt;=tol_parity_inr_t),"PASS","FAIL")</f>
        <v/>
      </c>
    </row>
    <row r="94">
      <c r="A94" s="11" t="n">
        <v>44652</v>
      </c>
      <c r="B94" s="7" t="inlineStr">
        <is>
          <t>taint_tabor</t>
        </is>
      </c>
      <c r="C94" s="7" t="inlineStr">
        <is>
          <t>JEA_NSA</t>
        </is>
      </c>
      <c r="D94" s="23" t="n">
        <v>37923.94</v>
      </c>
      <c r="E94" s="23" t="n">
        <v>20657.21</v>
      </c>
      <c r="F94" s="23" t="n">
        <v>32541.39</v>
      </c>
      <c r="G94" s="23" t="n">
        <v>201037.5</v>
      </c>
      <c r="H94" s="18">
        <f>Parity!$AY$80</f>
        <v/>
      </c>
      <c r="I94" s="18">
        <f>Parity!$BD$80</f>
        <v/>
      </c>
      <c r="J94" s="18">
        <f>Parity!$BE$80</f>
        <v/>
      </c>
      <c r="K94" s="18">
        <f>Parity!$AT$80</f>
        <v/>
      </c>
      <c r="L94" s="8">
        <f>$H94-$D94</f>
        <v/>
      </c>
      <c r="M94" s="8">
        <f>$I94-$E94</f>
        <v/>
      </c>
      <c r="N94" s="8">
        <f>$J94-$F94</f>
        <v/>
      </c>
      <c r="O94" s="8">
        <f>$K94-$G94</f>
        <v/>
      </c>
      <c r="P94" s="8">
        <f>IF(AND(ABS($L94)&lt;=tol_parity_inr_t,ABS($M94)&lt;=tol_parity_inr_t,ABS($N94)&lt;=tol_parity_inr_t,ABS($O94)&lt;=tol_parity_inr_t),"PASS","FAIL")</f>
        <v/>
      </c>
    </row>
    <row r="95">
      <c r="A95" s="11" t="n">
        <v>44652</v>
      </c>
      <c r="B95" s="7" t="inlineStr">
        <is>
          <t>taint_tabor</t>
        </is>
      </c>
      <c r="C95" s="7" t="inlineStr">
        <is>
          <t>USEC_MUN</t>
        </is>
      </c>
      <c r="D95" s="23" t="n">
        <v>36623.37</v>
      </c>
      <c r="E95" s="23" t="n">
        <v>19210.17</v>
      </c>
      <c r="F95" s="23" t="n">
        <v>31240.82</v>
      </c>
      <c r="G95" s="23" t="n">
        <v>203222.6</v>
      </c>
      <c r="H95" s="18">
        <f>Parity!$AY$81</f>
        <v/>
      </c>
      <c r="I95" s="18">
        <f>Parity!$BD$81</f>
        <v/>
      </c>
      <c r="J95" s="18">
        <f>Parity!$BE$81</f>
        <v/>
      </c>
      <c r="K95" s="18">
        <f>Parity!$AT$81</f>
        <v/>
      </c>
      <c r="L95" s="8">
        <f>$H95-$D95</f>
        <v/>
      </c>
      <c r="M95" s="8">
        <f>$I95-$E95</f>
        <v/>
      </c>
      <c r="N95" s="8">
        <f>$J95-$F95</f>
        <v/>
      </c>
      <c r="O95" s="8">
        <f>$K95-$G95</f>
        <v/>
      </c>
      <c r="P95" s="8">
        <f>IF(AND(ABS($L95)&lt;=tol_parity_inr_t,ABS($M95)&lt;=tol_parity_inr_t,ABS($N95)&lt;=tol_parity_inr_t,ABS($O95)&lt;=tol_parity_inr_t),"PASS","FAIL")</f>
        <v/>
      </c>
    </row>
    <row r="96">
      <c r="A96" s="11" t="n">
        <v>44652</v>
      </c>
      <c r="B96" s="7" t="inlineStr">
        <is>
          <t>tense</t>
        </is>
      </c>
      <c r="C96" s="7" t="inlineStr">
        <is>
          <t>JEA_NSA</t>
        </is>
      </c>
      <c r="D96" s="23" t="n">
        <v>57437.81</v>
      </c>
      <c r="E96" s="23" t="n">
        <v>40171.08</v>
      </c>
      <c r="F96" s="23" t="n">
        <v>51938.24</v>
      </c>
      <c r="G96" s="23" t="n">
        <v>186718.45</v>
      </c>
      <c r="H96" s="18">
        <f>Parity!$AY$82</f>
        <v/>
      </c>
      <c r="I96" s="18">
        <f>Parity!$BD$82</f>
        <v/>
      </c>
      <c r="J96" s="18">
        <f>Parity!$BE$82</f>
        <v/>
      </c>
      <c r="K96" s="18">
        <f>Parity!$AT$82</f>
        <v/>
      </c>
      <c r="L96" s="8">
        <f>$H96-$D96</f>
        <v/>
      </c>
      <c r="M96" s="8">
        <f>$I96-$E96</f>
        <v/>
      </c>
      <c r="N96" s="8">
        <f>$J96-$F96</f>
        <v/>
      </c>
      <c r="O96" s="8">
        <f>$K96-$G96</f>
        <v/>
      </c>
      <c r="P96" s="8">
        <f>IF(AND(ABS($L96)&lt;=tol_parity_inr_t,ABS($M96)&lt;=tol_parity_inr_t,ABS($N96)&lt;=tol_parity_inr_t,ABS($O96)&lt;=tol_parity_inr_t),"PASS","FAIL")</f>
        <v/>
      </c>
    </row>
    <row r="97">
      <c r="A97" s="11" t="n">
        <v>44652</v>
      </c>
      <c r="B97" s="7" t="inlineStr">
        <is>
          <t>tense</t>
        </is>
      </c>
      <c r="C97" s="7" t="inlineStr">
        <is>
          <t>USEC_MUN</t>
        </is>
      </c>
      <c r="D97" s="23" t="n">
        <v>55843.88</v>
      </c>
      <c r="E97" s="23" t="n">
        <v>38430.68</v>
      </c>
      <c r="F97" s="23" t="n">
        <v>50344.32</v>
      </c>
      <c r="G97" s="23" t="n">
        <v>189216.14</v>
      </c>
      <c r="H97" s="18">
        <f>Parity!$AY$83</f>
        <v/>
      </c>
      <c r="I97" s="18">
        <f>Parity!$BD$83</f>
        <v/>
      </c>
      <c r="J97" s="18">
        <f>Parity!$BE$83</f>
        <v/>
      </c>
      <c r="K97" s="18">
        <f>Parity!$AT$83</f>
        <v/>
      </c>
      <c r="L97" s="8">
        <f>$H97-$D97</f>
        <v/>
      </c>
      <c r="M97" s="8">
        <f>$I97-$E97</f>
        <v/>
      </c>
      <c r="N97" s="8">
        <f>$J97-$F97</f>
        <v/>
      </c>
      <c r="O97" s="8">
        <f>$K97-$G97</f>
        <v/>
      </c>
      <c r="P97" s="8">
        <f>IF(AND(ABS($L97)&lt;=tol_parity_inr_t,ABS($M97)&lt;=tol_parity_inr_t,ABS($N97)&lt;=tol_parity_inr_t,ABS($O97)&lt;=tol_parity_inr_t),"PASS","FAIL")</f>
        <v/>
      </c>
    </row>
    <row r="98">
      <c r="A98" s="11" t="n">
        <v>44659</v>
      </c>
      <c r="B98" s="7" t="inlineStr">
        <is>
          <t>zorba</t>
        </is>
      </c>
      <c r="C98" s="7" t="inlineStr">
        <is>
          <t>JEA_NSA</t>
        </is>
      </c>
      <c r="D98" s="23" t="n">
        <v>34274.49</v>
      </c>
      <c r="E98" s="23" t="n">
        <v>25437.6</v>
      </c>
      <c r="F98" s="23" t="n">
        <v>29081.74</v>
      </c>
      <c r="G98" s="23" t="n">
        <v>199653.94</v>
      </c>
      <c r="H98" s="18">
        <f>Parity!$AY$84</f>
        <v/>
      </c>
      <c r="I98" s="18">
        <f>Parity!$BD$84</f>
        <v/>
      </c>
      <c r="J98" s="18">
        <f>Parity!$BE$84</f>
        <v/>
      </c>
      <c r="K98" s="18">
        <f>Parity!$AT$84</f>
        <v/>
      </c>
      <c r="L98" s="8">
        <f>$H98-$D98</f>
        <v/>
      </c>
      <c r="M98" s="8">
        <f>$I98-$E98</f>
        <v/>
      </c>
      <c r="N98" s="8">
        <f>$J98-$F98</f>
        <v/>
      </c>
      <c r="O98" s="8">
        <f>$K98-$G98</f>
        <v/>
      </c>
      <c r="P98" s="8">
        <f>IF(AND(ABS($L98)&lt;=tol_parity_inr_t,ABS($M98)&lt;=tol_parity_inr_t,ABS($N98)&lt;=tol_parity_inr_t,ABS($O98)&lt;=tol_parity_inr_t),"PASS","FAIL")</f>
        <v/>
      </c>
    </row>
    <row r="99">
      <c r="A99" s="11" t="n">
        <v>44659</v>
      </c>
      <c r="B99" s="7" t="inlineStr">
        <is>
          <t>zorba</t>
        </is>
      </c>
      <c r="C99" s="7" t="inlineStr">
        <is>
          <t>USEC_MUN</t>
        </is>
      </c>
      <c r="D99" s="23" t="n">
        <v>32430.5</v>
      </c>
      <c r="E99" s="23" t="n">
        <v>23518.66</v>
      </c>
      <c r="F99" s="23" t="n">
        <v>27237.76</v>
      </c>
      <c r="G99" s="23" t="n">
        <v>202328.33</v>
      </c>
      <c r="H99" s="18">
        <f>Parity!$AY$85</f>
        <v/>
      </c>
      <c r="I99" s="18">
        <f>Parity!$BD$85</f>
        <v/>
      </c>
      <c r="J99" s="18">
        <f>Parity!$BE$85</f>
        <v/>
      </c>
      <c r="K99" s="18">
        <f>Parity!$AT$85</f>
        <v/>
      </c>
      <c r="L99" s="8">
        <f>$H99-$D99</f>
        <v/>
      </c>
      <c r="M99" s="8">
        <f>$I99-$E99</f>
        <v/>
      </c>
      <c r="N99" s="8">
        <f>$J99-$F99</f>
        <v/>
      </c>
      <c r="O99" s="8">
        <f>$K99-$G99</f>
        <v/>
      </c>
      <c r="P99" s="8">
        <f>IF(AND(ABS($L99)&lt;=tol_parity_inr_t,ABS($M99)&lt;=tol_parity_inr_t,ABS($N99)&lt;=tol_parity_inr_t,ABS($O99)&lt;=tol_parity_inr_t),"PASS","FAIL")</f>
        <v/>
      </c>
    </row>
    <row r="100">
      <c r="A100" s="11" t="n">
        <v>44659</v>
      </c>
      <c r="B100" s="7" t="inlineStr">
        <is>
          <t>taint_tabor</t>
        </is>
      </c>
      <c r="C100" s="7" t="inlineStr">
        <is>
          <t>JEA_NSA</t>
        </is>
      </c>
      <c r="D100" s="23" t="n">
        <v>31670.02</v>
      </c>
      <c r="E100" s="23" t="n">
        <v>22833.13</v>
      </c>
      <c r="F100" s="23" t="n">
        <v>26287.46</v>
      </c>
      <c r="G100" s="23" t="n">
        <v>200150.49</v>
      </c>
      <c r="H100" s="18">
        <f>Parity!$AY$86</f>
        <v/>
      </c>
      <c r="I100" s="18">
        <f>Parity!$BD$86</f>
        <v/>
      </c>
      <c r="J100" s="18">
        <f>Parity!$BE$86</f>
        <v/>
      </c>
      <c r="K100" s="18">
        <f>Parity!$AT$86</f>
        <v/>
      </c>
      <c r="L100" s="8">
        <f>$H100-$D100</f>
        <v/>
      </c>
      <c r="M100" s="8">
        <f>$I100-$E100</f>
        <v/>
      </c>
      <c r="N100" s="8">
        <f>$J100-$F100</f>
        <v/>
      </c>
      <c r="O100" s="8">
        <f>$K100-$G100</f>
        <v/>
      </c>
      <c r="P100" s="8">
        <f>IF(AND(ABS($L100)&lt;=tol_parity_inr_t,ABS($M100)&lt;=tol_parity_inr_t,ABS($N100)&lt;=tol_parity_inr_t,ABS($O100)&lt;=tol_parity_inr_t),"PASS","FAIL")</f>
        <v/>
      </c>
    </row>
    <row r="101">
      <c r="A101" s="11" t="n">
        <v>44659</v>
      </c>
      <c r="B101" s="7" t="inlineStr">
        <is>
          <t>taint_tabor</t>
        </is>
      </c>
      <c r="C101" s="7" t="inlineStr">
        <is>
          <t>USEC_MUN</t>
        </is>
      </c>
      <c r="D101" s="23" t="n">
        <v>30352.93</v>
      </c>
      <c r="E101" s="23" t="n">
        <v>21441.08</v>
      </c>
      <c r="F101" s="23" t="n">
        <v>24970.38</v>
      </c>
      <c r="G101" s="23" t="n">
        <v>202328.33</v>
      </c>
      <c r="H101" s="18">
        <f>Parity!$AY$87</f>
        <v/>
      </c>
      <c r="I101" s="18">
        <f>Parity!$BD$87</f>
        <v/>
      </c>
      <c r="J101" s="18">
        <f>Parity!$BE$87</f>
        <v/>
      </c>
      <c r="K101" s="18">
        <f>Parity!$AT$87</f>
        <v/>
      </c>
      <c r="L101" s="8">
        <f>$H101-$D101</f>
        <v/>
      </c>
      <c r="M101" s="8">
        <f>$I101-$E101</f>
        <v/>
      </c>
      <c r="N101" s="8">
        <f>$J101-$F101</f>
        <v/>
      </c>
      <c r="O101" s="8">
        <f>$K101-$G101</f>
        <v/>
      </c>
      <c r="P101" s="8">
        <f>IF(AND(ABS($L101)&lt;=tol_parity_inr_t,ABS($M101)&lt;=tol_parity_inr_t,ABS($N101)&lt;=tol_parity_inr_t,ABS($O101)&lt;=tol_parity_inr_t),"PASS","FAIL")</f>
        <v/>
      </c>
    </row>
    <row r="102">
      <c r="A102" s="11" t="n">
        <v>44659</v>
      </c>
      <c r="B102" s="7" t="inlineStr">
        <is>
          <t>tense</t>
        </is>
      </c>
      <c r="C102" s="7" t="inlineStr">
        <is>
          <t>JEA_NSA</t>
        </is>
      </c>
      <c r="D102" s="23" t="n">
        <v>50701.49</v>
      </c>
      <c r="E102" s="23" t="n">
        <v>41864.61</v>
      </c>
      <c r="F102" s="23" t="n">
        <v>45201.93</v>
      </c>
      <c r="G102" s="23" t="n">
        <v>186158.59</v>
      </c>
      <c r="H102" s="18">
        <f>Parity!$AY$88</f>
        <v/>
      </c>
      <c r="I102" s="18">
        <f>Parity!$BD$88</f>
        <v/>
      </c>
      <c r="J102" s="18">
        <f>Parity!$BE$88</f>
        <v/>
      </c>
      <c r="K102" s="18">
        <f>Parity!$AT$88</f>
        <v/>
      </c>
      <c r="L102" s="8">
        <f>$H102-$D102</f>
        <v/>
      </c>
      <c r="M102" s="8">
        <f>$I102-$E102</f>
        <v/>
      </c>
      <c r="N102" s="8">
        <f>$J102-$F102</f>
        <v/>
      </c>
      <c r="O102" s="8">
        <f>$K102-$G102</f>
        <v/>
      </c>
      <c r="P102" s="8">
        <f>IF(AND(ABS($L102)&lt;=tol_parity_inr_t,ABS($M102)&lt;=tol_parity_inr_t,ABS($N102)&lt;=tol_parity_inr_t,ABS($O102)&lt;=tol_parity_inr_t),"PASS","FAIL")</f>
        <v/>
      </c>
    </row>
    <row r="103">
      <c r="A103" s="11" t="n">
        <v>44659</v>
      </c>
      <c r="B103" s="7" t="inlineStr">
        <is>
          <t>tense</t>
        </is>
      </c>
      <c r="C103" s="7" t="inlineStr">
        <is>
          <t>USEC_MUN</t>
        </is>
      </c>
      <c r="D103" s="23" t="n">
        <v>49087.82</v>
      </c>
      <c r="E103" s="23" t="n">
        <v>40175.97</v>
      </c>
      <c r="F103" s="23" t="n">
        <v>43588.25</v>
      </c>
      <c r="G103" s="23" t="n">
        <v>188651.73</v>
      </c>
      <c r="H103" s="18">
        <f>Parity!$AY$89</f>
        <v/>
      </c>
      <c r="I103" s="18">
        <f>Parity!$BD$89</f>
        <v/>
      </c>
      <c r="J103" s="18">
        <f>Parity!$BE$89</f>
        <v/>
      </c>
      <c r="K103" s="18">
        <f>Parity!$AT$89</f>
        <v/>
      </c>
      <c r="L103" s="8">
        <f>$H103-$D103</f>
        <v/>
      </c>
      <c r="M103" s="8">
        <f>$I103-$E103</f>
        <v/>
      </c>
      <c r="N103" s="8">
        <f>$J103-$F103</f>
        <v/>
      </c>
      <c r="O103" s="8">
        <f>$K103-$G103</f>
        <v/>
      </c>
      <c r="P103" s="8">
        <f>IF(AND(ABS($L103)&lt;=tol_parity_inr_t,ABS($M103)&lt;=tol_parity_inr_t,ABS($N103)&lt;=tol_parity_inr_t,ABS($O103)&lt;=tol_parity_inr_t),"PASS","FAIL")</f>
        <v/>
      </c>
    </row>
    <row r="104">
      <c r="A104" s="11" t="n">
        <v>44666</v>
      </c>
      <c r="B104" s="7" t="inlineStr">
        <is>
          <t>zorba</t>
        </is>
      </c>
      <c r="C104" s="7" t="inlineStr">
        <is>
          <t>JEA_NSA</t>
        </is>
      </c>
      <c r="D104" s="23" t="n">
        <v>28618.04</v>
      </c>
      <c r="E104" s="23" t="n">
        <v>26741.69</v>
      </c>
      <c r="F104" s="23" t="n">
        <v>23425.3</v>
      </c>
      <c r="G104" s="23" t="n">
        <v>194333.63</v>
      </c>
      <c r="H104" s="18">
        <f>Parity!$AY$90</f>
        <v/>
      </c>
      <c r="I104" s="18">
        <f>Parity!$BD$90</f>
        <v/>
      </c>
      <c r="J104" s="18">
        <f>Parity!$BE$90</f>
        <v/>
      </c>
      <c r="K104" s="18">
        <f>Parity!$AT$90</f>
        <v/>
      </c>
      <c r="L104" s="8">
        <f>$H104-$D104</f>
        <v/>
      </c>
      <c r="M104" s="8">
        <f>$I104-$E104</f>
        <v/>
      </c>
      <c r="N104" s="8">
        <f>$J104-$F104</f>
        <v/>
      </c>
      <c r="O104" s="8">
        <f>$K104-$G104</f>
        <v/>
      </c>
      <c r="P104" s="8">
        <f>IF(AND(ABS($L104)&lt;=tol_parity_inr_t,ABS($M104)&lt;=tol_parity_inr_t,ABS($N104)&lt;=tol_parity_inr_t,ABS($O104)&lt;=tol_parity_inr_t),"PASS","FAIL")</f>
        <v/>
      </c>
    </row>
    <row r="105">
      <c r="A105" s="11" t="n">
        <v>44666</v>
      </c>
      <c r="B105" s="7" t="inlineStr">
        <is>
          <t>zorba</t>
        </is>
      </c>
      <c r="C105" s="7" t="inlineStr">
        <is>
          <t>USEC_MUN</t>
        </is>
      </c>
      <c r="D105" s="23" t="n">
        <v>26783.86</v>
      </c>
      <c r="E105" s="23" t="n">
        <v>24891.59</v>
      </c>
      <c r="F105" s="23" t="n">
        <v>21591.11</v>
      </c>
      <c r="G105" s="23" t="n">
        <v>196962.48</v>
      </c>
      <c r="H105" s="18">
        <f>Parity!$AY$91</f>
        <v/>
      </c>
      <c r="I105" s="18">
        <f>Parity!$BD$91</f>
        <v/>
      </c>
      <c r="J105" s="18">
        <f>Parity!$BE$91</f>
        <v/>
      </c>
      <c r="K105" s="18">
        <f>Parity!$AT$91</f>
        <v/>
      </c>
      <c r="L105" s="8">
        <f>$H105-$D105</f>
        <v/>
      </c>
      <c r="M105" s="8">
        <f>$I105-$E105</f>
        <v/>
      </c>
      <c r="N105" s="8">
        <f>$J105-$F105</f>
        <v/>
      </c>
      <c r="O105" s="8">
        <f>$K105-$G105</f>
        <v/>
      </c>
      <c r="P105" s="8">
        <f>IF(AND(ABS($L105)&lt;=tol_parity_inr_t,ABS($M105)&lt;=tol_parity_inr_t,ABS($N105)&lt;=tol_parity_inr_t,ABS($O105)&lt;=tol_parity_inr_t),"PASS","FAIL")</f>
        <v/>
      </c>
    </row>
    <row r="106">
      <c r="A106" s="11" t="n">
        <v>44666</v>
      </c>
      <c r="B106" s="7" t="inlineStr">
        <is>
          <t>taint_tabor</t>
        </is>
      </c>
      <c r="C106" s="7" t="inlineStr">
        <is>
          <t>JEA_NSA</t>
        </is>
      </c>
      <c r="D106" s="23" t="n">
        <v>26064.61</v>
      </c>
      <c r="E106" s="23" t="n">
        <v>24188.25</v>
      </c>
      <c r="F106" s="23" t="n">
        <v>20682.05</v>
      </c>
      <c r="G106" s="23" t="n">
        <v>194830.3</v>
      </c>
      <c r="H106" s="18">
        <f>Parity!$AY$92</f>
        <v/>
      </c>
      <c r="I106" s="18">
        <f>Parity!$BD$92</f>
        <v/>
      </c>
      <c r="J106" s="18">
        <f>Parity!$BE$92</f>
        <v/>
      </c>
      <c r="K106" s="18">
        <f>Parity!$AT$92</f>
        <v/>
      </c>
      <c r="L106" s="8">
        <f>$H106-$D106</f>
        <v/>
      </c>
      <c r="M106" s="8">
        <f>$I106-$E106</f>
        <v/>
      </c>
      <c r="N106" s="8">
        <f>$J106-$F106</f>
        <v/>
      </c>
      <c r="O106" s="8">
        <f>$K106-$G106</f>
        <v/>
      </c>
      <c r="P106" s="8">
        <f>IF(AND(ABS($L106)&lt;=tol_parity_inr_t,ABS($M106)&lt;=tol_parity_inr_t,ABS($N106)&lt;=tol_parity_inr_t,ABS($O106)&lt;=tol_parity_inr_t),"PASS","FAIL")</f>
        <v/>
      </c>
    </row>
    <row r="107">
      <c r="A107" s="11" t="n">
        <v>44666</v>
      </c>
      <c r="B107" s="7" t="inlineStr">
        <is>
          <t>taint_tabor</t>
        </is>
      </c>
      <c r="C107" s="7" t="inlineStr">
        <is>
          <t>USEC_MUN</t>
        </is>
      </c>
      <c r="D107" s="23" t="n">
        <v>24756.14</v>
      </c>
      <c r="E107" s="23" t="n">
        <v>22863.87</v>
      </c>
      <c r="F107" s="23" t="n">
        <v>19373.59</v>
      </c>
      <c r="G107" s="23" t="n">
        <v>196962.48</v>
      </c>
      <c r="H107" s="18">
        <f>Parity!$AY$93</f>
        <v/>
      </c>
      <c r="I107" s="18">
        <f>Parity!$BD$93</f>
        <v/>
      </c>
      <c r="J107" s="18">
        <f>Parity!$BE$93</f>
        <v/>
      </c>
      <c r="K107" s="18">
        <f>Parity!$AT$93</f>
        <v/>
      </c>
      <c r="L107" s="8">
        <f>$H107-$D107</f>
        <v/>
      </c>
      <c r="M107" s="8">
        <f>$I107-$E107</f>
        <v/>
      </c>
      <c r="N107" s="8">
        <f>$J107-$F107</f>
        <v/>
      </c>
      <c r="O107" s="8">
        <f>$K107-$G107</f>
        <v/>
      </c>
      <c r="P107" s="8">
        <f>IF(AND(ABS($L107)&lt;=tol_parity_inr_t,ABS($M107)&lt;=tol_parity_inr_t,ABS($N107)&lt;=tol_parity_inr_t,ABS($O107)&lt;=tol_parity_inr_t),"PASS","FAIL")</f>
        <v/>
      </c>
    </row>
    <row r="108">
      <c r="A108" s="11" t="n">
        <v>44666</v>
      </c>
      <c r="B108" s="7" t="inlineStr">
        <is>
          <t>tense</t>
        </is>
      </c>
      <c r="C108" s="7" t="inlineStr">
        <is>
          <t>JEA_NSA</t>
        </is>
      </c>
      <c r="D108" s="23" t="n">
        <v>44280.82</v>
      </c>
      <c r="E108" s="23" t="n">
        <v>42404.46</v>
      </c>
      <c r="F108" s="23" t="n">
        <v>38781.25</v>
      </c>
      <c r="G108" s="23" t="n">
        <v>181416.16</v>
      </c>
      <c r="H108" s="18">
        <f>Parity!$AY$94</f>
        <v/>
      </c>
      <c r="I108" s="18">
        <f>Parity!$BD$94</f>
        <v/>
      </c>
      <c r="J108" s="18">
        <f>Parity!$BE$94</f>
        <v/>
      </c>
      <c r="K108" s="18">
        <f>Parity!$AT$94</f>
        <v/>
      </c>
      <c r="L108" s="8">
        <f>$H108-$D108</f>
        <v/>
      </c>
      <c r="M108" s="8">
        <f>$I108-$E108</f>
        <v/>
      </c>
      <c r="N108" s="8">
        <f>$J108-$F108</f>
        <v/>
      </c>
      <c r="O108" s="8">
        <f>$K108-$G108</f>
        <v/>
      </c>
      <c r="P108" s="8">
        <f>IF(AND(ABS($L108)&lt;=tol_parity_inr_t,ABS($M108)&lt;=tol_parity_inr_t,ABS($N108)&lt;=tol_parity_inr_t,ABS($O108)&lt;=tol_parity_inr_t),"PASS","FAIL")</f>
        <v/>
      </c>
    </row>
    <row r="109">
      <c r="A109" s="11" t="n">
        <v>44666</v>
      </c>
      <c r="B109" s="7" t="inlineStr">
        <is>
          <t>tense</t>
        </is>
      </c>
      <c r="C109" s="7" t="inlineStr">
        <is>
          <t>USEC_MUN</t>
        </is>
      </c>
      <c r="D109" s="23" t="n">
        <v>42669.94</v>
      </c>
      <c r="E109" s="23" t="n">
        <v>40777.67</v>
      </c>
      <c r="F109" s="23" t="n">
        <v>37170.38</v>
      </c>
      <c r="G109" s="23" t="n">
        <v>183868.65</v>
      </c>
      <c r="H109" s="18">
        <f>Parity!$AY$95</f>
        <v/>
      </c>
      <c r="I109" s="18">
        <f>Parity!$BD$95</f>
        <v/>
      </c>
      <c r="J109" s="18">
        <f>Parity!$BE$95</f>
        <v/>
      </c>
      <c r="K109" s="18">
        <f>Parity!$AT$95</f>
        <v/>
      </c>
      <c r="L109" s="8">
        <f>$H109-$D109</f>
        <v/>
      </c>
      <c r="M109" s="8">
        <f>$I109-$E109</f>
        <v/>
      </c>
      <c r="N109" s="8">
        <f>$J109-$F109</f>
        <v/>
      </c>
      <c r="O109" s="8">
        <f>$K109-$G109</f>
        <v/>
      </c>
      <c r="P109" s="8">
        <f>IF(AND(ABS($L109)&lt;=tol_parity_inr_t,ABS($M109)&lt;=tol_parity_inr_t,ABS($N109)&lt;=tol_parity_inr_t,ABS($O109)&lt;=tol_parity_inr_t),"PASS","FAIL")</f>
        <v/>
      </c>
    </row>
    <row r="110">
      <c r="A110" s="11" t="n">
        <v>44673</v>
      </c>
      <c r="B110" s="7" t="inlineStr">
        <is>
          <t>zorba</t>
        </is>
      </c>
      <c r="C110" s="7" t="inlineStr">
        <is>
          <t>JEA_NSA</t>
        </is>
      </c>
      <c r="D110" s="23" t="n">
        <v>25363.12</v>
      </c>
      <c r="E110" s="23" t="n">
        <v>27802.1</v>
      </c>
      <c r="F110" s="23" t="n">
        <v>20170.37</v>
      </c>
      <c r="G110" s="23" t="n">
        <v>198849.3</v>
      </c>
      <c r="H110" s="18">
        <f>Parity!$AY$96</f>
        <v/>
      </c>
      <c r="I110" s="18">
        <f>Parity!$BD$96</f>
        <v/>
      </c>
      <c r="J110" s="18">
        <f>Parity!$BE$96</f>
        <v/>
      </c>
      <c r="K110" s="18">
        <f>Parity!$AT$96</f>
        <v/>
      </c>
      <c r="L110" s="8">
        <f>$H110-$D110</f>
        <v/>
      </c>
      <c r="M110" s="8">
        <f>$I110-$E110</f>
        <v/>
      </c>
      <c r="N110" s="8">
        <f>$J110-$F110</f>
        <v/>
      </c>
      <c r="O110" s="8">
        <f>$K110-$G110</f>
        <v/>
      </c>
      <c r="P110" s="8">
        <f>IF(AND(ABS($L110)&lt;=tol_parity_inr_t,ABS($M110)&lt;=tol_parity_inr_t,ABS($N110)&lt;=tol_parity_inr_t,ABS($O110)&lt;=tol_parity_inr_t),"PASS","FAIL")</f>
        <v/>
      </c>
    </row>
    <row r="111">
      <c r="A111" s="11" t="n">
        <v>44673</v>
      </c>
      <c r="B111" s="7" t="inlineStr">
        <is>
          <t>zorba</t>
        </is>
      </c>
      <c r="C111" s="7" t="inlineStr">
        <is>
          <t>USEC_MUN</t>
        </is>
      </c>
      <c r="D111" s="23" t="n">
        <v>23478.67</v>
      </c>
      <c r="E111" s="23" t="n">
        <v>25938.56</v>
      </c>
      <c r="F111" s="23" t="n">
        <v>18285.92</v>
      </c>
      <c r="G111" s="23" t="n">
        <v>201533.35</v>
      </c>
      <c r="H111" s="18">
        <f>Parity!$AY$97</f>
        <v/>
      </c>
      <c r="I111" s="18">
        <f>Parity!$BD$97</f>
        <v/>
      </c>
      <c r="J111" s="18">
        <f>Parity!$BE$97</f>
        <v/>
      </c>
      <c r="K111" s="18">
        <f>Parity!$AT$97</f>
        <v/>
      </c>
      <c r="L111" s="8">
        <f>$H111-$D111</f>
        <v/>
      </c>
      <c r="M111" s="8">
        <f>$I111-$E111</f>
        <v/>
      </c>
      <c r="N111" s="8">
        <f>$J111-$F111</f>
        <v/>
      </c>
      <c r="O111" s="8">
        <f>$K111-$G111</f>
        <v/>
      </c>
      <c r="P111" s="8">
        <f>IF(AND(ABS($L111)&lt;=tol_parity_inr_t,ABS($M111)&lt;=tol_parity_inr_t,ABS($N111)&lt;=tol_parity_inr_t,ABS($O111)&lt;=tol_parity_inr_t),"PASS","FAIL")</f>
        <v/>
      </c>
    </row>
    <row r="112">
      <c r="A112" s="11" t="n">
        <v>44673</v>
      </c>
      <c r="B112" s="7" t="inlineStr">
        <is>
          <t>taint_tabor</t>
        </is>
      </c>
      <c r="C112" s="7" t="inlineStr">
        <is>
          <t>JEA_NSA</t>
        </is>
      </c>
      <c r="D112" s="23" t="n">
        <v>22828.58</v>
      </c>
      <c r="E112" s="23" t="n">
        <v>25267.57</v>
      </c>
      <c r="F112" s="23" t="n">
        <v>17446.03</v>
      </c>
      <c r="G112" s="23" t="n">
        <v>199346.12</v>
      </c>
      <c r="H112" s="18">
        <f>Parity!$AY$98</f>
        <v/>
      </c>
      <c r="I112" s="18">
        <f>Parity!$BD$98</f>
        <v/>
      </c>
      <c r="J112" s="18">
        <f>Parity!$BE$98</f>
        <v/>
      </c>
      <c r="K112" s="18">
        <f>Parity!$AT$98</f>
        <v/>
      </c>
      <c r="L112" s="8">
        <f>$H112-$D112</f>
        <v/>
      </c>
      <c r="M112" s="8">
        <f>$I112-$E112</f>
        <v/>
      </c>
      <c r="N112" s="8">
        <f>$J112-$F112</f>
        <v/>
      </c>
      <c r="O112" s="8">
        <f>$K112-$G112</f>
        <v/>
      </c>
      <c r="P112" s="8">
        <f>IF(AND(ABS($L112)&lt;=tol_parity_inr_t,ABS($M112)&lt;=tol_parity_inr_t,ABS($N112)&lt;=tol_parity_inr_t,ABS($O112)&lt;=tol_parity_inr_t),"PASS","FAIL")</f>
        <v/>
      </c>
    </row>
    <row r="113">
      <c r="A113" s="11" t="n">
        <v>44673</v>
      </c>
      <c r="B113" s="7" t="inlineStr">
        <is>
          <t>taint_tabor</t>
        </is>
      </c>
      <c r="C113" s="7" t="inlineStr">
        <is>
          <t>USEC_MUN</t>
        </is>
      </c>
      <c r="D113" s="23" t="n">
        <v>21470.18</v>
      </c>
      <c r="E113" s="23" t="n">
        <v>23930.07</v>
      </c>
      <c r="F113" s="23" t="n">
        <v>16087.63</v>
      </c>
      <c r="G113" s="23" t="n">
        <v>201533.35</v>
      </c>
      <c r="H113" s="18">
        <f>Parity!$AY$99</f>
        <v/>
      </c>
      <c r="I113" s="18">
        <f>Parity!$BD$99</f>
        <v/>
      </c>
      <c r="J113" s="18">
        <f>Parity!$BE$99</f>
        <v/>
      </c>
      <c r="K113" s="18">
        <f>Parity!$AT$99</f>
        <v/>
      </c>
      <c r="L113" s="8">
        <f>$H113-$D113</f>
        <v/>
      </c>
      <c r="M113" s="8">
        <f>$I113-$E113</f>
        <v/>
      </c>
      <c r="N113" s="8">
        <f>$J113-$F113</f>
        <v/>
      </c>
      <c r="O113" s="8">
        <f>$K113-$G113</f>
        <v/>
      </c>
      <c r="P113" s="8">
        <f>IF(AND(ABS($L113)&lt;=tol_parity_inr_t,ABS($M113)&lt;=tol_parity_inr_t,ABS($N113)&lt;=tol_parity_inr_t,ABS($O113)&lt;=tol_parity_inr_t),"PASS","FAIL")</f>
        <v/>
      </c>
    </row>
    <row r="114">
      <c r="A114" s="11" t="n">
        <v>44673</v>
      </c>
      <c r="B114" s="7" t="inlineStr">
        <is>
          <t>tense</t>
        </is>
      </c>
      <c r="C114" s="7" t="inlineStr">
        <is>
          <t>JEA_NSA</t>
        </is>
      </c>
      <c r="D114" s="23" t="n">
        <v>41108.54</v>
      </c>
      <c r="E114" s="23" t="n">
        <v>43547.52</v>
      </c>
      <c r="F114" s="23" t="n">
        <v>35608.97</v>
      </c>
      <c r="G114" s="23" t="n">
        <v>185896.05</v>
      </c>
      <c r="H114" s="18">
        <f>Parity!$AY$100</f>
        <v/>
      </c>
      <c r="I114" s="18">
        <f>Parity!$BD$100</f>
        <v/>
      </c>
      <c r="J114" s="18">
        <f>Parity!$BE$100</f>
        <v/>
      </c>
      <c r="K114" s="18">
        <f>Parity!$AT$100</f>
        <v/>
      </c>
      <c r="L114" s="8">
        <f>$H114-$D114</f>
        <v/>
      </c>
      <c r="M114" s="8">
        <f>$I114-$E114</f>
        <v/>
      </c>
      <c r="N114" s="8">
        <f>$J114-$F114</f>
        <v/>
      </c>
      <c r="O114" s="8">
        <f>$K114-$G114</f>
        <v/>
      </c>
      <c r="P114" s="8">
        <f>IF(AND(ABS($L114)&lt;=tol_parity_inr_t,ABS($M114)&lt;=tol_parity_inr_t,ABS($N114)&lt;=tol_parity_inr_t,ABS($O114)&lt;=tol_parity_inr_t),"PASS","FAIL")</f>
        <v/>
      </c>
    </row>
    <row r="115">
      <c r="A115" s="11" t="n">
        <v>44673</v>
      </c>
      <c r="B115" s="7" t="inlineStr">
        <is>
          <t>tense</t>
        </is>
      </c>
      <c r="C115" s="7" t="inlineStr">
        <is>
          <t>USEC_MUN</t>
        </is>
      </c>
      <c r="D115" s="23" t="n">
        <v>39449.16</v>
      </c>
      <c r="E115" s="23" t="n">
        <v>41909.05</v>
      </c>
      <c r="F115" s="23" t="n">
        <v>33949.6</v>
      </c>
      <c r="G115" s="23" t="n">
        <v>188402.27</v>
      </c>
      <c r="H115" s="18">
        <f>Parity!$AY$101</f>
        <v/>
      </c>
      <c r="I115" s="18">
        <f>Parity!$BD$101</f>
        <v/>
      </c>
      <c r="J115" s="18">
        <f>Parity!$BE$101</f>
        <v/>
      </c>
      <c r="K115" s="18">
        <f>Parity!$AT$101</f>
        <v/>
      </c>
      <c r="L115" s="8">
        <f>$H115-$D115</f>
        <v/>
      </c>
      <c r="M115" s="8">
        <f>$I115-$E115</f>
        <v/>
      </c>
      <c r="N115" s="8">
        <f>$J115-$F115</f>
        <v/>
      </c>
      <c r="O115" s="8">
        <f>$K115-$G115</f>
        <v/>
      </c>
      <c r="P115" s="8">
        <f>IF(AND(ABS($L115)&lt;=tol_parity_inr_t,ABS($M115)&lt;=tol_parity_inr_t,ABS($N115)&lt;=tol_parity_inr_t,ABS($O115)&lt;=tol_parity_inr_t),"PASS","FAIL")</f>
        <v/>
      </c>
    </row>
    <row r="116">
      <c r="A116" s="11" t="n">
        <v>44680</v>
      </c>
      <c r="B116" s="7" t="inlineStr">
        <is>
          <t>zorba</t>
        </is>
      </c>
      <c r="C116" s="7" t="inlineStr">
        <is>
          <t>JEA_NSA</t>
        </is>
      </c>
      <c r="D116" s="23" t="n">
        <v>19773.54</v>
      </c>
      <c r="E116" s="23" t="n">
        <v>25059.96</v>
      </c>
      <c r="F116" s="23" t="n">
        <v>14580.79</v>
      </c>
      <c r="G116" s="23" t="n">
        <v>189097.01</v>
      </c>
      <c r="H116" s="18">
        <f>Parity!$AY$102</f>
        <v/>
      </c>
      <c r="I116" s="18">
        <f>Parity!$BD$102</f>
        <v/>
      </c>
      <c r="J116" s="18">
        <f>Parity!$BE$102</f>
        <v/>
      </c>
      <c r="K116" s="18">
        <f>Parity!$AT$102</f>
        <v/>
      </c>
      <c r="L116" s="8">
        <f>$H116-$D116</f>
        <v/>
      </c>
      <c r="M116" s="8">
        <f>$I116-$E116</f>
        <v/>
      </c>
      <c r="N116" s="8">
        <f>$J116-$F116</f>
        <v/>
      </c>
      <c r="O116" s="8">
        <f>$K116-$G116</f>
        <v/>
      </c>
      <c r="P116" s="8">
        <f>IF(AND(ABS($L116)&lt;=tol_parity_inr_t,ABS($M116)&lt;=tol_parity_inr_t,ABS($N116)&lt;=tol_parity_inr_t,ABS($O116)&lt;=tol_parity_inr_t),"PASS","FAIL")</f>
        <v/>
      </c>
    </row>
    <row r="117">
      <c r="A117" s="11" t="n">
        <v>44680</v>
      </c>
      <c r="B117" s="7" t="inlineStr">
        <is>
          <t>zorba</t>
        </is>
      </c>
      <c r="C117" s="7" t="inlineStr">
        <is>
          <t>USEC_MUN</t>
        </is>
      </c>
      <c r="D117" s="23" t="n">
        <v>17922.83</v>
      </c>
      <c r="E117" s="23" t="n">
        <v>23254.55</v>
      </c>
      <c r="F117" s="23" t="n">
        <v>12730.08</v>
      </c>
      <c r="G117" s="23" t="n">
        <v>191697.39</v>
      </c>
      <c r="H117" s="18">
        <f>Parity!$AY$103</f>
        <v/>
      </c>
      <c r="I117" s="18">
        <f>Parity!$BD$103</f>
        <v/>
      </c>
      <c r="J117" s="18">
        <f>Parity!$BE$103</f>
        <v/>
      </c>
      <c r="K117" s="18">
        <f>Parity!$AT$103</f>
        <v/>
      </c>
      <c r="L117" s="8">
        <f>$H117-$D117</f>
        <v/>
      </c>
      <c r="M117" s="8">
        <f>$I117-$E117</f>
        <v/>
      </c>
      <c r="N117" s="8">
        <f>$J117-$F117</f>
        <v/>
      </c>
      <c r="O117" s="8">
        <f>$K117-$G117</f>
        <v/>
      </c>
      <c r="P117" s="8">
        <f>IF(AND(ABS($L117)&lt;=tol_parity_inr_t,ABS($M117)&lt;=tol_parity_inr_t,ABS($N117)&lt;=tol_parity_inr_t,ABS($O117)&lt;=tol_parity_inr_t),"PASS","FAIL")</f>
        <v/>
      </c>
    </row>
    <row r="118">
      <c r="A118" s="11" t="n">
        <v>44680</v>
      </c>
      <c r="B118" s="7" t="inlineStr">
        <is>
          <t>taint_tabor</t>
        </is>
      </c>
      <c r="C118" s="7" t="inlineStr">
        <is>
          <t>JEA_NSA</t>
        </is>
      </c>
      <c r="D118" s="23" t="n">
        <v>17351.9</v>
      </c>
      <c r="E118" s="23" t="n">
        <v>22638.31</v>
      </c>
      <c r="F118" s="23" t="n">
        <v>11969.34</v>
      </c>
      <c r="G118" s="23" t="n">
        <v>189593.86</v>
      </c>
      <c r="H118" s="18">
        <f>Parity!$AY$104</f>
        <v/>
      </c>
      <c r="I118" s="18">
        <f>Parity!$BD$104</f>
        <v/>
      </c>
      <c r="J118" s="18">
        <f>Parity!$BE$104</f>
        <v/>
      </c>
      <c r="K118" s="18">
        <f>Parity!$AT$104</f>
        <v/>
      </c>
      <c r="L118" s="8">
        <f>$H118-$D118</f>
        <v/>
      </c>
      <c r="M118" s="8">
        <f>$I118-$E118</f>
        <v/>
      </c>
      <c r="N118" s="8">
        <f>$J118-$F118</f>
        <v/>
      </c>
      <c r="O118" s="8">
        <f>$K118-$G118</f>
        <v/>
      </c>
      <c r="P118" s="8">
        <f>IF(AND(ABS($L118)&lt;=tol_parity_inr_t,ABS($M118)&lt;=tol_parity_inr_t,ABS($N118)&lt;=tol_parity_inr_t,ABS($O118)&lt;=tol_parity_inr_t),"PASS","FAIL")</f>
        <v/>
      </c>
    </row>
    <row r="119">
      <c r="A119" s="11" t="n">
        <v>44680</v>
      </c>
      <c r="B119" s="7" t="inlineStr">
        <is>
          <t>taint_tabor</t>
        </is>
      </c>
      <c r="C119" s="7" t="inlineStr">
        <is>
          <t>USEC_MUN</t>
        </is>
      </c>
      <c r="D119" s="23" t="n">
        <v>16025.43</v>
      </c>
      <c r="E119" s="23" t="n">
        <v>21357.16</v>
      </c>
      <c r="F119" s="23" t="n">
        <v>10642.88</v>
      </c>
      <c r="G119" s="23" t="n">
        <v>191697.39</v>
      </c>
      <c r="H119" s="18">
        <f>Parity!$AY$105</f>
        <v/>
      </c>
      <c r="I119" s="18">
        <f>Parity!$BD$105</f>
        <v/>
      </c>
      <c r="J119" s="18">
        <f>Parity!$BE$105</f>
        <v/>
      </c>
      <c r="K119" s="18">
        <f>Parity!$AT$105</f>
        <v/>
      </c>
      <c r="L119" s="8">
        <f>$H119-$D119</f>
        <v/>
      </c>
      <c r="M119" s="8">
        <f>$I119-$E119</f>
        <v/>
      </c>
      <c r="N119" s="8">
        <f>$J119-$F119</f>
        <v/>
      </c>
      <c r="O119" s="8">
        <f>$K119-$G119</f>
        <v/>
      </c>
      <c r="P119" s="8">
        <f>IF(AND(ABS($L119)&lt;=tol_parity_inr_t,ABS($M119)&lt;=tol_parity_inr_t,ABS($N119)&lt;=tol_parity_inr_t,ABS($O119)&lt;=tol_parity_inr_t),"PASS","FAIL")</f>
        <v/>
      </c>
    </row>
    <row r="120">
      <c r="A120" s="11" t="n">
        <v>44680</v>
      </c>
      <c r="B120" s="7" t="inlineStr">
        <is>
          <t>tense</t>
        </is>
      </c>
      <c r="C120" s="7" t="inlineStr">
        <is>
          <t>JEA_NSA</t>
        </is>
      </c>
      <c r="D120" s="23" t="n">
        <v>34443.33</v>
      </c>
      <c r="E120" s="23" t="n">
        <v>39729.75</v>
      </c>
      <c r="F120" s="23" t="n">
        <v>28943.76</v>
      </c>
      <c r="G120" s="23" t="n">
        <v>177001.25</v>
      </c>
      <c r="H120" s="18">
        <f>Parity!$AY$106</f>
        <v/>
      </c>
      <c r="I120" s="18">
        <f>Parity!$BD$106</f>
        <v/>
      </c>
      <c r="J120" s="18">
        <f>Parity!$BE$106</f>
        <v/>
      </c>
      <c r="K120" s="18">
        <f>Parity!$AT$106</f>
        <v/>
      </c>
      <c r="L120" s="8">
        <f>$H120-$D120</f>
        <v/>
      </c>
      <c r="M120" s="8">
        <f>$I120-$E120</f>
        <v/>
      </c>
      <c r="N120" s="8">
        <f>$J120-$F120</f>
        <v/>
      </c>
      <c r="O120" s="8">
        <f>$K120-$G120</f>
        <v/>
      </c>
      <c r="P120" s="8">
        <f>IF(AND(ABS($L120)&lt;=tol_parity_inr_t,ABS($M120)&lt;=tol_parity_inr_t,ABS($N120)&lt;=tol_parity_inr_t,ABS($O120)&lt;=tol_parity_inr_t),"PASS","FAIL")</f>
        <v/>
      </c>
    </row>
    <row r="121">
      <c r="A121" s="11" t="n">
        <v>44680</v>
      </c>
      <c r="B121" s="7" t="inlineStr">
        <is>
          <t>tense</t>
        </is>
      </c>
      <c r="C121" s="7" t="inlineStr">
        <is>
          <t>USEC_MUN</t>
        </is>
      </c>
      <c r="D121" s="23" t="n">
        <v>32807.39</v>
      </c>
      <c r="E121" s="23" t="n">
        <v>38139.12</v>
      </c>
      <c r="F121" s="23" t="n">
        <v>27307.83</v>
      </c>
      <c r="G121" s="23" t="n">
        <v>179431.14</v>
      </c>
      <c r="H121" s="18">
        <f>Parity!$AY$107</f>
        <v/>
      </c>
      <c r="I121" s="18">
        <f>Parity!$BD$107</f>
        <v/>
      </c>
      <c r="J121" s="18">
        <f>Parity!$BE$107</f>
        <v/>
      </c>
      <c r="K121" s="18">
        <f>Parity!$AT$107</f>
        <v/>
      </c>
      <c r="L121" s="8">
        <f>$H121-$D121</f>
        <v/>
      </c>
      <c r="M121" s="8">
        <f>$I121-$E121</f>
        <v/>
      </c>
      <c r="N121" s="8">
        <f>$J121-$F121</f>
        <v/>
      </c>
      <c r="O121" s="8">
        <f>$K121-$G121</f>
        <v/>
      </c>
      <c r="P121" s="8">
        <f>IF(AND(ABS($L121)&lt;=tol_parity_inr_t,ABS($M121)&lt;=tol_parity_inr_t,ABS($N121)&lt;=tol_parity_inr_t,ABS($O121)&lt;=tol_parity_inr_t),"PASS","FAIL")</f>
        <v/>
      </c>
    </row>
    <row r="122">
      <c r="A122" s="11" t="n">
        <v>44687</v>
      </c>
      <c r="B122" s="7" t="inlineStr">
        <is>
          <t>zorba</t>
        </is>
      </c>
      <c r="C122" s="7" t="inlineStr">
        <is>
          <t>JEA_NSA</t>
        </is>
      </c>
      <c r="D122" s="23" t="n">
        <v>12841.8</v>
      </c>
      <c r="E122" s="23" t="n">
        <v>20708.1</v>
      </c>
      <c r="F122" s="23" t="n">
        <v>7649.05</v>
      </c>
      <c r="G122" s="23" t="n">
        <v>182489.51</v>
      </c>
      <c r="H122" s="18">
        <f>Parity!$AY$108</f>
        <v/>
      </c>
      <c r="I122" s="18">
        <f>Parity!$BD$108</f>
        <v/>
      </c>
      <c r="J122" s="18">
        <f>Parity!$BE$108</f>
        <v/>
      </c>
      <c r="K122" s="18">
        <f>Parity!$AT$108</f>
        <v/>
      </c>
      <c r="L122" s="8">
        <f>$H122-$D122</f>
        <v/>
      </c>
      <c r="M122" s="8">
        <f>$I122-$E122</f>
        <v/>
      </c>
      <c r="N122" s="8">
        <f>$J122-$F122</f>
        <v/>
      </c>
      <c r="O122" s="8">
        <f>$K122-$G122</f>
        <v/>
      </c>
      <c r="P122" s="8">
        <f>IF(AND(ABS($L122)&lt;=tol_parity_inr_t,ABS($M122)&lt;=tol_parity_inr_t,ABS($N122)&lt;=tol_parity_inr_t,ABS($O122)&lt;=tol_parity_inr_t),"PASS","FAIL")</f>
        <v/>
      </c>
    </row>
    <row r="123">
      <c r="A123" s="11" t="n">
        <v>44687</v>
      </c>
      <c r="B123" s="7" t="inlineStr">
        <is>
          <t>zorba</t>
        </is>
      </c>
      <c r="C123" s="7" t="inlineStr">
        <is>
          <t>USEC_MUN</t>
        </is>
      </c>
      <c r="D123" s="23" t="n">
        <v>11092.89</v>
      </c>
      <c r="E123" s="23" t="n">
        <v>19026.62</v>
      </c>
      <c r="F123" s="23" t="n">
        <v>5900.15</v>
      </c>
      <c r="G123" s="23" t="n">
        <v>185032.64</v>
      </c>
      <c r="H123" s="18">
        <f>Parity!$AY$109</f>
        <v/>
      </c>
      <c r="I123" s="18">
        <f>Parity!$BD$109</f>
        <v/>
      </c>
      <c r="J123" s="18">
        <f>Parity!$BE$109</f>
        <v/>
      </c>
      <c r="K123" s="18">
        <f>Parity!$AT$109</f>
        <v/>
      </c>
      <c r="L123" s="8">
        <f>$H123-$D123</f>
        <v/>
      </c>
      <c r="M123" s="8">
        <f>$I123-$E123</f>
        <v/>
      </c>
      <c r="N123" s="8">
        <f>$J123-$F123</f>
        <v/>
      </c>
      <c r="O123" s="8">
        <f>$K123-$G123</f>
        <v/>
      </c>
      <c r="P123" s="8">
        <f>IF(AND(ABS($L123)&lt;=tol_parity_inr_t,ABS($M123)&lt;=tol_parity_inr_t,ABS($N123)&lt;=tol_parity_inr_t,ABS($O123)&lt;=tol_parity_inr_t),"PASS","FAIL")</f>
        <v/>
      </c>
    </row>
    <row r="124">
      <c r="A124" s="11" t="n">
        <v>44687</v>
      </c>
      <c r="B124" s="7" t="inlineStr">
        <is>
          <t>taint_tabor</t>
        </is>
      </c>
      <c r="C124" s="7" t="inlineStr">
        <is>
          <t>JEA_NSA</t>
        </is>
      </c>
      <c r="D124" s="23" t="n">
        <v>10423.53</v>
      </c>
      <c r="E124" s="23" t="n">
        <v>18289.83</v>
      </c>
      <c r="F124" s="23" t="n">
        <v>5040.98</v>
      </c>
      <c r="G124" s="23" t="n">
        <v>182986.55</v>
      </c>
      <c r="H124" s="18">
        <f>Parity!$AY$110</f>
        <v/>
      </c>
      <c r="I124" s="18">
        <f>Parity!$BD$110</f>
        <v/>
      </c>
      <c r="J124" s="18">
        <f>Parity!$BE$110</f>
        <v/>
      </c>
      <c r="K124" s="18">
        <f>Parity!$AT$110</f>
        <v/>
      </c>
      <c r="L124" s="8">
        <f>$H124-$D124</f>
        <v/>
      </c>
      <c r="M124" s="8">
        <f>$I124-$E124</f>
        <v/>
      </c>
      <c r="N124" s="8">
        <f>$J124-$F124</f>
        <v/>
      </c>
      <c r="O124" s="8">
        <f>$K124-$G124</f>
        <v/>
      </c>
      <c r="P124" s="8">
        <f>IF(AND(ABS($L124)&lt;=tol_parity_inr_t,ABS($M124)&lt;=tol_parity_inr_t,ABS($N124)&lt;=tol_parity_inr_t,ABS($O124)&lt;=tol_parity_inr_t),"PASS","FAIL")</f>
        <v/>
      </c>
    </row>
    <row r="125">
      <c r="A125" s="11" t="n">
        <v>44687</v>
      </c>
      <c r="B125" s="7" t="inlineStr">
        <is>
          <t>taint_tabor</t>
        </is>
      </c>
      <c r="C125" s="7" t="inlineStr">
        <is>
          <t>USEC_MUN</t>
        </is>
      </c>
      <c r="D125" s="23" t="n">
        <v>9200.690000000001</v>
      </c>
      <c r="E125" s="23" t="n">
        <v>17134.42</v>
      </c>
      <c r="F125" s="23" t="n">
        <v>3818.14</v>
      </c>
      <c r="G125" s="23" t="n">
        <v>185032.64</v>
      </c>
      <c r="H125" s="18">
        <f>Parity!$AY$111</f>
        <v/>
      </c>
      <c r="I125" s="18">
        <f>Parity!$BD$111</f>
        <v/>
      </c>
      <c r="J125" s="18">
        <f>Parity!$BE$111</f>
        <v/>
      </c>
      <c r="K125" s="18">
        <f>Parity!$AT$111</f>
        <v/>
      </c>
      <c r="L125" s="8">
        <f>$H125-$D125</f>
        <v/>
      </c>
      <c r="M125" s="8">
        <f>$I125-$E125</f>
        <v/>
      </c>
      <c r="N125" s="8">
        <f>$J125-$F125</f>
        <v/>
      </c>
      <c r="O125" s="8">
        <f>$K125-$G125</f>
        <v/>
      </c>
      <c r="P125" s="8">
        <f>IF(AND(ABS($L125)&lt;=tol_parity_inr_t,ABS($M125)&lt;=tol_parity_inr_t,ABS($N125)&lt;=tol_parity_inr_t,ABS($O125)&lt;=tol_parity_inr_t),"PASS","FAIL")</f>
        <v/>
      </c>
    </row>
    <row r="126">
      <c r="A126" s="11" t="n">
        <v>44687</v>
      </c>
      <c r="B126" s="7" t="inlineStr">
        <is>
          <t>tense</t>
        </is>
      </c>
      <c r="C126" s="7" t="inlineStr">
        <is>
          <t>JEA_NSA</t>
        </is>
      </c>
      <c r="D126" s="23" t="n">
        <v>26593.03</v>
      </c>
      <c r="E126" s="23" t="n">
        <v>34459.34</v>
      </c>
      <c r="F126" s="23" t="n">
        <v>21093.47</v>
      </c>
      <c r="G126" s="23" t="n">
        <v>171021.61</v>
      </c>
      <c r="H126" s="18">
        <f>Parity!$AY$112</f>
        <v/>
      </c>
      <c r="I126" s="18">
        <f>Parity!$BD$112</f>
        <v/>
      </c>
      <c r="J126" s="18">
        <f>Parity!$BE$112</f>
        <v/>
      </c>
      <c r="K126" s="18">
        <f>Parity!$AT$112</f>
        <v/>
      </c>
      <c r="L126" s="8">
        <f>$H126-$D126</f>
        <v/>
      </c>
      <c r="M126" s="8">
        <f>$I126-$E126</f>
        <v/>
      </c>
      <c r="N126" s="8">
        <f>$J126-$F126</f>
        <v/>
      </c>
      <c r="O126" s="8">
        <f>$K126-$G126</f>
        <v/>
      </c>
      <c r="P126" s="8">
        <f>IF(AND(ABS($L126)&lt;=tol_parity_inr_t,ABS($M126)&lt;=tol_parity_inr_t,ABS($N126)&lt;=tol_parity_inr_t,ABS($O126)&lt;=tol_parity_inr_t),"PASS","FAIL")</f>
        <v/>
      </c>
    </row>
    <row r="127">
      <c r="A127" s="11" t="n">
        <v>44687</v>
      </c>
      <c r="B127" s="7" t="inlineStr">
        <is>
          <t>tense</t>
        </is>
      </c>
      <c r="C127" s="7" t="inlineStr">
        <is>
          <t>USEC_MUN</t>
        </is>
      </c>
      <c r="D127" s="23" t="n">
        <v>25056.19</v>
      </c>
      <c r="E127" s="23" t="n">
        <v>32989.91</v>
      </c>
      <c r="F127" s="23" t="n">
        <v>19556.62</v>
      </c>
      <c r="G127" s="23" t="n">
        <v>173399.61</v>
      </c>
      <c r="H127" s="18">
        <f>Parity!$AY$113</f>
        <v/>
      </c>
      <c r="I127" s="18">
        <f>Parity!$BD$113</f>
        <v/>
      </c>
      <c r="J127" s="18">
        <f>Parity!$BE$113</f>
        <v/>
      </c>
      <c r="K127" s="18">
        <f>Parity!$AT$113</f>
        <v/>
      </c>
      <c r="L127" s="8">
        <f>$H127-$D127</f>
        <v/>
      </c>
      <c r="M127" s="8">
        <f>$I127-$E127</f>
        <v/>
      </c>
      <c r="N127" s="8">
        <f>$J127-$F127</f>
        <v/>
      </c>
      <c r="O127" s="8">
        <f>$K127-$G127</f>
        <v/>
      </c>
      <c r="P127" s="8">
        <f>IF(AND(ABS($L127)&lt;=tol_parity_inr_t,ABS($M127)&lt;=tol_parity_inr_t,ABS($N127)&lt;=tol_parity_inr_t,ABS($O127)&lt;=tol_parity_inr_t),"PASS","FAIL")</f>
        <v/>
      </c>
    </row>
    <row r="128">
      <c r="A128" s="11" t="n">
        <v>44694</v>
      </c>
      <c r="B128" s="7" t="inlineStr">
        <is>
          <t>zorba</t>
        </is>
      </c>
      <c r="C128" s="7" t="inlineStr">
        <is>
          <t>JEA_NSA</t>
        </is>
      </c>
      <c r="D128" s="23" t="n">
        <v>9265.290000000001</v>
      </c>
      <c r="E128" s="23" t="n">
        <v>19604.14</v>
      </c>
      <c r="F128" s="23" t="n">
        <v>4072.54</v>
      </c>
      <c r="G128" s="23" t="n">
        <v>179034.87</v>
      </c>
      <c r="H128" s="18">
        <f>Parity!$AY$114</f>
        <v/>
      </c>
      <c r="I128" s="18">
        <f>Parity!$BD$114</f>
        <v/>
      </c>
      <c r="J128" s="18">
        <f>Parity!$BE$114</f>
        <v/>
      </c>
      <c r="K128" s="18">
        <f>Parity!$AT$114</f>
        <v/>
      </c>
      <c r="L128" s="8">
        <f>$H128-$D128</f>
        <v/>
      </c>
      <c r="M128" s="8">
        <f>$I128-$E128</f>
        <v/>
      </c>
      <c r="N128" s="8">
        <f>$J128-$F128</f>
        <v/>
      </c>
      <c r="O128" s="8">
        <f>$K128-$G128</f>
        <v/>
      </c>
      <c r="P128" s="8">
        <f>IF(AND(ABS($L128)&lt;=tol_parity_inr_t,ABS($M128)&lt;=tol_parity_inr_t,ABS($N128)&lt;=tol_parity_inr_t,ABS($O128)&lt;=tol_parity_inr_t),"PASS","FAIL")</f>
        <v/>
      </c>
    </row>
    <row r="129">
      <c r="A129" s="11" t="n">
        <v>44694</v>
      </c>
      <c r="B129" s="7" t="inlineStr">
        <is>
          <t>zorba</t>
        </is>
      </c>
      <c r="C129" s="7" t="inlineStr">
        <is>
          <t>USEC_MUN</t>
        </is>
      </c>
      <c r="D129" s="23" t="n">
        <v>7521.45</v>
      </c>
      <c r="E129" s="23" t="n">
        <v>17948.91</v>
      </c>
      <c r="F129" s="23" t="n">
        <v>2328.7</v>
      </c>
      <c r="G129" s="23" t="n">
        <v>181547.58</v>
      </c>
      <c r="H129" s="18">
        <f>Parity!$AY$115</f>
        <v/>
      </c>
      <c r="I129" s="18">
        <f>Parity!$BD$115</f>
        <v/>
      </c>
      <c r="J129" s="18">
        <f>Parity!$BE$115</f>
        <v/>
      </c>
      <c r="K129" s="18">
        <f>Parity!$AT$115</f>
        <v/>
      </c>
      <c r="L129" s="8">
        <f>$H129-$D129</f>
        <v/>
      </c>
      <c r="M129" s="8">
        <f>$I129-$E129</f>
        <v/>
      </c>
      <c r="N129" s="8">
        <f>$J129-$F129</f>
        <v/>
      </c>
      <c r="O129" s="8">
        <f>$K129-$G129</f>
        <v/>
      </c>
      <c r="P129" s="8">
        <f>IF(AND(ABS($L129)&lt;=tol_parity_inr_t,ABS($M129)&lt;=tol_parity_inr_t,ABS($N129)&lt;=tol_parity_inr_t,ABS($O129)&lt;=tol_parity_inr_t),"PASS","FAIL")</f>
        <v/>
      </c>
    </row>
    <row r="130">
      <c r="A130" s="11" t="n">
        <v>44694</v>
      </c>
      <c r="B130" s="7" t="inlineStr">
        <is>
          <t>taint_tabor</t>
        </is>
      </c>
      <c r="C130" s="7" t="inlineStr">
        <is>
          <t>JEA_NSA</t>
        </is>
      </c>
      <c r="D130" s="23" t="n">
        <v>6908.15</v>
      </c>
      <c r="E130" s="23" t="n">
        <v>17247</v>
      </c>
      <c r="F130" s="23" t="n">
        <v>1525.6</v>
      </c>
      <c r="G130" s="23" t="n">
        <v>179532.15</v>
      </c>
      <c r="H130" s="18">
        <f>Parity!$AY$116</f>
        <v/>
      </c>
      <c r="I130" s="18">
        <f>Parity!$BD$116</f>
        <v/>
      </c>
      <c r="J130" s="18">
        <f>Parity!$BE$116</f>
        <v/>
      </c>
      <c r="K130" s="18">
        <f>Parity!$AT$116</f>
        <v/>
      </c>
      <c r="L130" s="8">
        <f>$H130-$D130</f>
        <v/>
      </c>
      <c r="M130" s="8">
        <f>$I130-$E130</f>
        <v/>
      </c>
      <c r="N130" s="8">
        <f>$J130-$F130</f>
        <v/>
      </c>
      <c r="O130" s="8">
        <f>$K130-$G130</f>
        <v/>
      </c>
      <c r="P130" s="8">
        <f>IF(AND(ABS($L130)&lt;=tol_parity_inr_t,ABS($M130)&lt;=tol_parity_inr_t,ABS($N130)&lt;=tol_parity_inr_t,ABS($O130)&lt;=tol_parity_inr_t),"PASS","FAIL")</f>
        <v/>
      </c>
    </row>
    <row r="131">
      <c r="A131" s="11" t="n">
        <v>44694</v>
      </c>
      <c r="B131" s="7" t="inlineStr">
        <is>
          <t>taint_tabor</t>
        </is>
      </c>
      <c r="C131" s="7" t="inlineStr">
        <is>
          <t>USEC_MUN</t>
        </is>
      </c>
      <c r="D131" s="23" t="n">
        <v>5689.69</v>
      </c>
      <c r="E131" s="23" t="n">
        <v>16117.16</v>
      </c>
      <c r="F131" s="23" t="n">
        <v>307.14</v>
      </c>
      <c r="G131" s="23" t="n">
        <v>181547.58</v>
      </c>
      <c r="H131" s="18">
        <f>Parity!$AY$117</f>
        <v/>
      </c>
      <c r="I131" s="18">
        <f>Parity!$BD$117</f>
        <v/>
      </c>
      <c r="J131" s="18">
        <f>Parity!$BE$117</f>
        <v/>
      </c>
      <c r="K131" s="18">
        <f>Parity!$AT$117</f>
        <v/>
      </c>
      <c r="L131" s="8">
        <f>$H131-$D131</f>
        <v/>
      </c>
      <c r="M131" s="8">
        <f>$I131-$E131</f>
        <v/>
      </c>
      <c r="N131" s="8">
        <f>$J131-$F131</f>
        <v/>
      </c>
      <c r="O131" s="8">
        <f>$K131-$G131</f>
        <v/>
      </c>
      <c r="P131" s="8">
        <f>IF(AND(ABS($L131)&lt;=tol_parity_inr_t,ABS($M131)&lt;=tol_parity_inr_t,ABS($N131)&lt;=tol_parity_inr_t,ABS($O131)&lt;=tol_parity_inr_t),"PASS","FAIL")</f>
        <v/>
      </c>
    </row>
    <row r="132">
      <c r="A132" s="11" t="n">
        <v>44694</v>
      </c>
      <c r="B132" s="7" t="inlineStr">
        <is>
          <t>tense</t>
        </is>
      </c>
      <c r="C132" s="7" t="inlineStr">
        <is>
          <t>JEA_NSA</t>
        </is>
      </c>
      <c r="D132" s="23" t="n">
        <v>22517.19</v>
      </c>
      <c r="E132" s="23" t="n">
        <v>32856.04</v>
      </c>
      <c r="F132" s="23" t="n">
        <v>17017.63</v>
      </c>
      <c r="G132" s="23" t="n">
        <v>167976.15</v>
      </c>
      <c r="H132" s="18">
        <f>Parity!$AY$118</f>
        <v/>
      </c>
      <c r="I132" s="18">
        <f>Parity!$BD$118</f>
        <v/>
      </c>
      <c r="J132" s="18">
        <f>Parity!$BE$118</f>
        <v/>
      </c>
      <c r="K132" s="18">
        <f>Parity!$AT$118</f>
        <v/>
      </c>
      <c r="L132" s="8">
        <f>$H132-$D132</f>
        <v/>
      </c>
      <c r="M132" s="8">
        <f>$I132-$E132</f>
        <v/>
      </c>
      <c r="N132" s="8">
        <f>$J132-$F132</f>
        <v/>
      </c>
      <c r="O132" s="8">
        <f>$K132-$G132</f>
        <v/>
      </c>
      <c r="P132" s="8">
        <f>IF(AND(ABS($L132)&lt;=tol_parity_inr_t,ABS($M132)&lt;=tol_parity_inr_t,ABS($N132)&lt;=tol_parity_inr_t,ABS($O132)&lt;=tol_parity_inr_t),"PASS","FAIL")</f>
        <v/>
      </c>
    </row>
    <row r="133">
      <c r="A133" s="11" t="n">
        <v>44694</v>
      </c>
      <c r="B133" s="7" t="inlineStr">
        <is>
          <t>tense</t>
        </is>
      </c>
      <c r="C133" s="7" t="inlineStr">
        <is>
          <t>USEC_MUN</t>
        </is>
      </c>
      <c r="D133" s="23" t="n">
        <v>20980.44</v>
      </c>
      <c r="E133" s="23" t="n">
        <v>31407.9</v>
      </c>
      <c r="F133" s="23" t="n">
        <v>15480.88</v>
      </c>
      <c r="G133" s="23" t="n">
        <v>170327.21</v>
      </c>
      <c r="H133" s="18">
        <f>Parity!$AY$119</f>
        <v/>
      </c>
      <c r="I133" s="18">
        <f>Parity!$BD$119</f>
        <v/>
      </c>
      <c r="J133" s="18">
        <f>Parity!$BE$119</f>
        <v/>
      </c>
      <c r="K133" s="18">
        <f>Parity!$AT$119</f>
        <v/>
      </c>
      <c r="L133" s="8">
        <f>$H133-$D133</f>
        <v/>
      </c>
      <c r="M133" s="8">
        <f>$I133-$E133</f>
        <v/>
      </c>
      <c r="N133" s="8">
        <f>$J133-$F133</f>
        <v/>
      </c>
      <c r="O133" s="8">
        <f>$K133-$G133</f>
        <v/>
      </c>
      <c r="P133" s="8">
        <f>IF(AND(ABS($L133)&lt;=tol_parity_inr_t,ABS($M133)&lt;=tol_parity_inr_t,ABS($N133)&lt;=tol_parity_inr_t,ABS($O133)&lt;=tol_parity_inr_t),"PASS","FAIL")</f>
        <v/>
      </c>
    </row>
    <row r="134">
      <c r="A134" s="11" t="n">
        <v>44701</v>
      </c>
      <c r="B134" s="7" t="inlineStr">
        <is>
          <t>zorba</t>
        </is>
      </c>
      <c r="C134" s="7" t="inlineStr">
        <is>
          <t>JEA_NSA</t>
        </is>
      </c>
      <c r="D134" s="23" t="n">
        <v>10178.1</v>
      </c>
      <c r="E134" s="23" t="n">
        <v>26476.19</v>
      </c>
      <c r="F134" s="23" t="n">
        <v>4985.36</v>
      </c>
      <c r="G134" s="23" t="n">
        <v>194282.9</v>
      </c>
      <c r="H134" s="18">
        <f>Parity!$AY$120</f>
        <v/>
      </c>
      <c r="I134" s="18">
        <f>Parity!$BD$120</f>
        <v/>
      </c>
      <c r="J134" s="18">
        <f>Parity!$BE$120</f>
        <v/>
      </c>
      <c r="K134" s="18">
        <f>Parity!$AT$120</f>
        <v/>
      </c>
      <c r="L134" s="8">
        <f>$H134-$D134</f>
        <v/>
      </c>
      <c r="M134" s="8">
        <f>$I134-$E134</f>
        <v/>
      </c>
      <c r="N134" s="8">
        <f>$J134-$F134</f>
        <v/>
      </c>
      <c r="O134" s="8">
        <f>$K134-$G134</f>
        <v/>
      </c>
      <c r="P134" s="8">
        <f>IF(AND(ABS($L134)&lt;=tol_parity_inr_t,ABS($M134)&lt;=tol_parity_inr_t,ABS($N134)&lt;=tol_parity_inr_t,ABS($O134)&lt;=tol_parity_inr_t),"PASS","FAIL")</f>
        <v/>
      </c>
    </row>
    <row r="135">
      <c r="A135" s="11" t="n">
        <v>44701</v>
      </c>
      <c r="B135" s="7" t="inlineStr">
        <is>
          <t>zorba</t>
        </is>
      </c>
      <c r="C135" s="7" t="inlineStr">
        <is>
          <t>USEC_MUN</t>
        </is>
      </c>
      <c r="D135" s="23" t="n">
        <v>8348.1</v>
      </c>
      <c r="E135" s="23" t="n">
        <v>24787.32</v>
      </c>
      <c r="F135" s="23" t="n">
        <v>3155.36</v>
      </c>
      <c r="G135" s="23" t="n">
        <v>196942.88</v>
      </c>
      <c r="H135" s="18">
        <f>Parity!$AY$121</f>
        <v/>
      </c>
      <c r="I135" s="18">
        <f>Parity!$BD$121</f>
        <v/>
      </c>
      <c r="J135" s="18">
        <f>Parity!$BE$121</f>
        <v/>
      </c>
      <c r="K135" s="18">
        <f>Parity!$AT$121</f>
        <v/>
      </c>
      <c r="L135" s="8">
        <f>$H135-$D135</f>
        <v/>
      </c>
      <c r="M135" s="8">
        <f>$I135-$E135</f>
        <v/>
      </c>
      <c r="N135" s="8">
        <f>$J135-$F135</f>
        <v/>
      </c>
      <c r="O135" s="8">
        <f>$K135-$G135</f>
        <v/>
      </c>
      <c r="P135" s="8">
        <f>IF(AND(ABS($L135)&lt;=tol_parity_inr_t,ABS($M135)&lt;=tol_parity_inr_t,ABS($N135)&lt;=tol_parity_inr_t,ABS($O135)&lt;=tol_parity_inr_t),"PASS","FAIL")</f>
        <v/>
      </c>
    </row>
    <row r="136">
      <c r="A136" s="11" t="n">
        <v>44701</v>
      </c>
      <c r="B136" s="7" t="inlineStr">
        <is>
          <t>taint_tabor</t>
        </is>
      </c>
      <c r="C136" s="7" t="inlineStr">
        <is>
          <t>JEA_NSA</t>
        </is>
      </c>
      <c r="D136" s="23" t="n">
        <v>7795.73</v>
      </c>
      <c r="E136" s="23" t="n">
        <v>24093.82</v>
      </c>
      <c r="F136" s="23" t="n">
        <v>2413.18</v>
      </c>
      <c r="G136" s="23" t="n">
        <v>194780.29</v>
      </c>
      <c r="H136" s="18">
        <f>Parity!$AY$122</f>
        <v/>
      </c>
      <c r="I136" s="18">
        <f>Parity!$BD$122</f>
        <v/>
      </c>
      <c r="J136" s="18">
        <f>Parity!$BE$122</f>
        <v/>
      </c>
      <c r="K136" s="18">
        <f>Parity!$AT$122</f>
        <v/>
      </c>
      <c r="L136" s="8">
        <f>$H136-$D136</f>
        <v/>
      </c>
      <c r="M136" s="8">
        <f>$I136-$E136</f>
        <v/>
      </c>
      <c r="N136" s="8">
        <f>$J136-$F136</f>
        <v/>
      </c>
      <c r="O136" s="8">
        <f>$K136-$G136</f>
        <v/>
      </c>
      <c r="P136" s="8">
        <f>IF(AND(ABS($L136)&lt;=tol_parity_inr_t,ABS($M136)&lt;=tol_parity_inr_t,ABS($N136)&lt;=tol_parity_inr_t,ABS($O136)&lt;=tol_parity_inr_t),"PASS","FAIL")</f>
        <v/>
      </c>
    </row>
    <row r="137">
      <c r="A137" s="11" t="n">
        <v>44701</v>
      </c>
      <c r="B137" s="7" t="inlineStr">
        <is>
          <t>taint_tabor</t>
        </is>
      </c>
      <c r="C137" s="7" t="inlineStr">
        <is>
          <t>USEC_MUN</t>
        </is>
      </c>
      <c r="D137" s="23" t="n">
        <v>6493.46</v>
      </c>
      <c r="E137" s="23" t="n">
        <v>22932.67</v>
      </c>
      <c r="F137" s="23" t="n">
        <v>1110.9</v>
      </c>
      <c r="G137" s="23" t="n">
        <v>196942.88</v>
      </c>
      <c r="H137" s="18">
        <f>Parity!$AY$123</f>
        <v/>
      </c>
      <c r="I137" s="18">
        <f>Parity!$BD$123</f>
        <v/>
      </c>
      <c r="J137" s="18">
        <f>Parity!$BE$123</f>
        <v/>
      </c>
      <c r="K137" s="18">
        <f>Parity!$AT$123</f>
        <v/>
      </c>
      <c r="L137" s="8">
        <f>$H137-$D137</f>
        <v/>
      </c>
      <c r="M137" s="8">
        <f>$I137-$E137</f>
        <v/>
      </c>
      <c r="N137" s="8">
        <f>$J137-$F137</f>
        <v/>
      </c>
      <c r="O137" s="8">
        <f>$K137-$G137</f>
        <v/>
      </c>
      <c r="P137" s="8">
        <f>IF(AND(ABS($L137)&lt;=tol_parity_inr_t,ABS($M137)&lt;=tol_parity_inr_t,ABS($N137)&lt;=tol_parity_inr_t,ABS($O137)&lt;=tol_parity_inr_t),"PASS","FAIL")</f>
        <v/>
      </c>
    </row>
    <row r="138">
      <c r="A138" s="11" t="n">
        <v>44701</v>
      </c>
      <c r="B138" s="7" t="inlineStr">
        <is>
          <t>tense</t>
        </is>
      </c>
      <c r="C138" s="7" t="inlineStr">
        <is>
          <t>JEA_NSA</t>
        </is>
      </c>
      <c r="D138" s="23" t="n">
        <v>24546.68</v>
      </c>
      <c r="E138" s="23" t="n">
        <v>40844.77</v>
      </c>
      <c r="F138" s="23" t="n">
        <v>19047.12</v>
      </c>
      <c r="G138" s="23" t="n">
        <v>182433.17</v>
      </c>
      <c r="H138" s="18">
        <f>Parity!$AY$124</f>
        <v/>
      </c>
      <c r="I138" s="18">
        <f>Parity!$BD$124</f>
        <v/>
      </c>
      <c r="J138" s="18">
        <f>Parity!$BE$124</f>
        <v/>
      </c>
      <c r="K138" s="18">
        <f>Parity!$AT$124</f>
        <v/>
      </c>
      <c r="L138" s="8">
        <f>$H138-$D138</f>
        <v/>
      </c>
      <c r="M138" s="8">
        <f>$I138-$E138</f>
        <v/>
      </c>
      <c r="N138" s="8">
        <f>$J138-$F138</f>
        <v/>
      </c>
      <c r="O138" s="8">
        <f>$K138-$G138</f>
        <v/>
      </c>
      <c r="P138" s="8">
        <f>IF(AND(ABS($L138)&lt;=tol_parity_inr_t,ABS($M138)&lt;=tol_parity_inr_t,ABS($N138)&lt;=tol_parity_inr_t,ABS($O138)&lt;=tol_parity_inr_t),"PASS","FAIL")</f>
        <v/>
      </c>
    </row>
    <row r="139">
      <c r="A139" s="11" t="n">
        <v>44701</v>
      </c>
      <c r="B139" s="7" t="inlineStr">
        <is>
          <t>tense</t>
        </is>
      </c>
      <c r="C139" s="7" t="inlineStr">
        <is>
          <t>USEC_MUN</t>
        </is>
      </c>
      <c r="D139" s="23" t="n">
        <v>22935.22</v>
      </c>
      <c r="E139" s="23" t="n">
        <v>39374.43</v>
      </c>
      <c r="F139" s="23" t="n">
        <v>17435.66</v>
      </c>
      <c r="G139" s="23" t="n">
        <v>184923.64</v>
      </c>
      <c r="H139" s="18">
        <f>Parity!$AY$125</f>
        <v/>
      </c>
      <c r="I139" s="18">
        <f>Parity!$BD$125</f>
        <v/>
      </c>
      <c r="J139" s="18">
        <f>Parity!$BE$125</f>
        <v/>
      </c>
      <c r="K139" s="18">
        <f>Parity!$AT$125</f>
        <v/>
      </c>
      <c r="L139" s="8">
        <f>$H139-$D139</f>
        <v/>
      </c>
      <c r="M139" s="8">
        <f>$I139-$E139</f>
        <v/>
      </c>
      <c r="N139" s="8">
        <f>$J139-$F139</f>
        <v/>
      </c>
      <c r="O139" s="8">
        <f>$K139-$G139</f>
        <v/>
      </c>
      <c r="P139" s="8">
        <f>IF(AND(ABS($L139)&lt;=tol_parity_inr_t,ABS($M139)&lt;=tol_parity_inr_t,ABS($N139)&lt;=tol_parity_inr_t,ABS($O139)&lt;=tol_parity_inr_t),"PASS","FAIL")</f>
        <v/>
      </c>
    </row>
    <row r="140">
      <c r="A140" s="11" t="n">
        <v>44708</v>
      </c>
      <c r="B140" s="7" t="inlineStr">
        <is>
          <t>zorba</t>
        </is>
      </c>
      <c r="C140" s="7" t="inlineStr">
        <is>
          <t>JEA_NSA</t>
        </is>
      </c>
      <c r="D140" s="23" t="n">
        <v>5248.85</v>
      </c>
      <c r="E140" s="23" t="n">
        <v>26983.78</v>
      </c>
      <c r="F140" s="23" t="n">
        <v>56.11</v>
      </c>
      <c r="G140" s="23" t="n">
        <v>190635.45</v>
      </c>
      <c r="H140" s="18">
        <f>Parity!$AY$126</f>
        <v/>
      </c>
      <c r="I140" s="18">
        <f>Parity!$BD$126</f>
        <v/>
      </c>
      <c r="J140" s="18">
        <f>Parity!$BE$126</f>
        <v/>
      </c>
      <c r="K140" s="18">
        <f>Parity!$AT$126</f>
        <v/>
      </c>
      <c r="L140" s="8">
        <f>$H140-$D140</f>
        <v/>
      </c>
      <c r="M140" s="8">
        <f>$I140-$E140</f>
        <v/>
      </c>
      <c r="N140" s="8">
        <f>$J140-$F140</f>
        <v/>
      </c>
      <c r="O140" s="8">
        <f>$K140-$G140</f>
        <v/>
      </c>
      <c r="P140" s="8">
        <f>IF(AND(ABS($L140)&lt;=tol_parity_inr_t,ABS($M140)&lt;=tol_parity_inr_t,ABS($N140)&lt;=tol_parity_inr_t,ABS($O140)&lt;=tol_parity_inr_t),"PASS","FAIL")</f>
        <v/>
      </c>
    </row>
    <row r="141">
      <c r="A141" s="11" t="n">
        <v>44708</v>
      </c>
      <c r="B141" s="7" t="inlineStr">
        <is>
          <t>zorba</t>
        </is>
      </c>
      <c r="C141" s="7" t="inlineStr">
        <is>
          <t>USEC_MUN</t>
        </is>
      </c>
      <c r="D141" s="23" t="n">
        <v>3418.8</v>
      </c>
      <c r="E141" s="23" t="n">
        <v>25341.92</v>
      </c>
      <c r="F141" s="23" t="n">
        <v>-1773.95</v>
      </c>
      <c r="G141" s="23" t="n">
        <v>193263.98</v>
      </c>
      <c r="H141" s="18">
        <f>Parity!$AY$127</f>
        <v/>
      </c>
      <c r="I141" s="18">
        <f>Parity!$BD$127</f>
        <v/>
      </c>
      <c r="J141" s="18">
        <f>Parity!$BE$127</f>
        <v/>
      </c>
      <c r="K141" s="18">
        <f>Parity!$AT$127</f>
        <v/>
      </c>
      <c r="L141" s="8">
        <f>$H141-$D141</f>
        <v/>
      </c>
      <c r="M141" s="8">
        <f>$I141-$E141</f>
        <v/>
      </c>
      <c r="N141" s="8">
        <f>$J141-$F141</f>
        <v/>
      </c>
      <c r="O141" s="8">
        <f>$K141-$G141</f>
        <v/>
      </c>
      <c r="P141" s="8">
        <f>IF(AND(ABS($L141)&lt;=tol_parity_inr_t,ABS($M141)&lt;=tol_parity_inr_t,ABS($N141)&lt;=tol_parity_inr_t,ABS($O141)&lt;=tol_parity_inr_t),"PASS","FAIL")</f>
        <v/>
      </c>
    </row>
    <row r="142">
      <c r="A142" s="11" t="n">
        <v>44708</v>
      </c>
      <c r="B142" s="7" t="inlineStr">
        <is>
          <t>taint_tabor</t>
        </is>
      </c>
      <c r="C142" s="7" t="inlineStr">
        <is>
          <t>JEA_NSA</t>
        </is>
      </c>
      <c r="D142" s="23" t="n">
        <v>2844.15</v>
      </c>
      <c r="E142" s="23" t="n">
        <v>24579.07</v>
      </c>
      <c r="F142" s="23" t="n">
        <v>-2538.41</v>
      </c>
      <c r="G142" s="23" t="n">
        <v>191132.8</v>
      </c>
      <c r="H142" s="18">
        <f>Parity!$AY$128</f>
        <v/>
      </c>
      <c r="I142" s="18">
        <f>Parity!$BD$128</f>
        <v/>
      </c>
      <c r="J142" s="18">
        <f>Parity!$BE$128</f>
        <v/>
      </c>
      <c r="K142" s="18">
        <f>Parity!$AT$128</f>
        <v/>
      </c>
      <c r="L142" s="8">
        <f>$H142-$D142</f>
        <v/>
      </c>
      <c r="M142" s="8">
        <f>$I142-$E142</f>
        <v/>
      </c>
      <c r="N142" s="8">
        <f>$J142-$F142</f>
        <v/>
      </c>
      <c r="O142" s="8">
        <f>$K142-$G142</f>
        <v/>
      </c>
      <c r="P142" s="8">
        <f>IF(AND(ABS($L142)&lt;=tol_parity_inr_t,ABS($M142)&lt;=tol_parity_inr_t,ABS($N142)&lt;=tol_parity_inr_t,ABS($O142)&lt;=tol_parity_inr_t),"PASS","FAIL")</f>
        <v/>
      </c>
    </row>
    <row r="143">
      <c r="A143" s="11" t="n">
        <v>44708</v>
      </c>
      <c r="B143" s="7" t="inlineStr">
        <is>
          <t>taint_tabor</t>
        </is>
      </c>
      <c r="C143" s="7" t="inlineStr">
        <is>
          <t>USEC_MUN</t>
        </is>
      </c>
      <c r="D143" s="23" t="n">
        <v>1540.63</v>
      </c>
      <c r="E143" s="23" t="n">
        <v>23463.75</v>
      </c>
      <c r="F143" s="23" t="n">
        <v>-3841.93</v>
      </c>
      <c r="G143" s="23" t="n">
        <v>193263.98</v>
      </c>
      <c r="H143" s="18">
        <f>Parity!$AY$129</f>
        <v/>
      </c>
      <c r="I143" s="18">
        <f>Parity!$BD$129</f>
        <v/>
      </c>
      <c r="J143" s="18">
        <f>Parity!$BE$129</f>
        <v/>
      </c>
      <c r="K143" s="18">
        <f>Parity!$AT$129</f>
        <v/>
      </c>
      <c r="L143" s="8">
        <f>$H143-$D143</f>
        <v/>
      </c>
      <c r="M143" s="8">
        <f>$I143-$E143</f>
        <v/>
      </c>
      <c r="N143" s="8">
        <f>$J143-$F143</f>
        <v/>
      </c>
      <c r="O143" s="8">
        <f>$K143-$G143</f>
        <v/>
      </c>
      <c r="P143" s="8">
        <f>IF(AND(ABS($L143)&lt;=tol_parity_inr_t,ABS($M143)&lt;=tol_parity_inr_t,ABS($N143)&lt;=tol_parity_inr_t,ABS($O143)&lt;=tol_parity_inr_t),"PASS","FAIL")</f>
        <v/>
      </c>
    </row>
    <row r="144">
      <c r="A144" s="11" t="n">
        <v>44708</v>
      </c>
      <c r="B144" s="7" t="inlineStr">
        <is>
          <t>tense</t>
        </is>
      </c>
      <c r="C144" s="7" t="inlineStr">
        <is>
          <t>JEA_NSA</t>
        </is>
      </c>
      <c r="D144" s="23" t="n">
        <v>19037.35</v>
      </c>
      <c r="E144" s="23" t="n">
        <v>40772.27</v>
      </c>
      <c r="F144" s="23" t="n">
        <v>13537.79</v>
      </c>
      <c r="G144" s="23" t="n">
        <v>179156.48</v>
      </c>
      <c r="H144" s="18">
        <f>Parity!$AY$130</f>
        <v/>
      </c>
      <c r="I144" s="18">
        <f>Parity!$BD$130</f>
        <v/>
      </c>
      <c r="J144" s="18">
        <f>Parity!$BE$130</f>
        <v/>
      </c>
      <c r="K144" s="18">
        <f>Parity!$AT$130</f>
        <v/>
      </c>
      <c r="L144" s="8">
        <f>$H144-$D144</f>
        <v/>
      </c>
      <c r="M144" s="8">
        <f>$I144-$E144</f>
        <v/>
      </c>
      <c r="N144" s="8">
        <f>$J144-$F144</f>
        <v/>
      </c>
      <c r="O144" s="8">
        <f>$K144-$G144</f>
        <v/>
      </c>
      <c r="P144" s="8">
        <f>IF(AND(ABS($L144)&lt;=tol_parity_inr_t,ABS($M144)&lt;=tol_parity_inr_t,ABS($N144)&lt;=tol_parity_inr_t,ABS($O144)&lt;=tol_parity_inr_t),"PASS","FAIL")</f>
        <v/>
      </c>
    </row>
    <row r="145">
      <c r="A145" s="11" t="n">
        <v>44708</v>
      </c>
      <c r="B145" s="7" t="inlineStr">
        <is>
          <t>tense</t>
        </is>
      </c>
      <c r="C145" s="7" t="inlineStr">
        <is>
          <t>USEC_MUN</t>
        </is>
      </c>
      <c r="D145" s="23" t="n">
        <v>17420.76</v>
      </c>
      <c r="E145" s="23" t="n">
        <v>39343.88</v>
      </c>
      <c r="F145" s="23" t="n">
        <v>11921.2</v>
      </c>
      <c r="G145" s="23" t="n">
        <v>181618.73</v>
      </c>
      <c r="H145" s="18">
        <f>Parity!$AY$131</f>
        <v/>
      </c>
      <c r="I145" s="18">
        <f>Parity!$BD$131</f>
        <v/>
      </c>
      <c r="J145" s="18">
        <f>Parity!$BE$131</f>
        <v/>
      </c>
      <c r="K145" s="18">
        <f>Parity!$AT$131</f>
        <v/>
      </c>
      <c r="L145" s="8">
        <f>$H145-$D145</f>
        <v/>
      </c>
      <c r="M145" s="8">
        <f>$I145-$E145</f>
        <v/>
      </c>
      <c r="N145" s="8">
        <f>$J145-$F145</f>
        <v/>
      </c>
      <c r="O145" s="8">
        <f>$K145-$G145</f>
        <v/>
      </c>
      <c r="P145" s="8">
        <f>IF(AND(ABS($L145)&lt;=tol_parity_inr_t,ABS($M145)&lt;=tol_parity_inr_t,ABS($N145)&lt;=tol_parity_inr_t,ABS($O145)&lt;=tol_parity_inr_t),"PASS","FAIL")</f>
        <v/>
      </c>
    </row>
    <row r="146">
      <c r="A146" s="11" t="n">
        <v>44715</v>
      </c>
      <c r="B146" s="7" t="inlineStr">
        <is>
          <t>zorba</t>
        </is>
      </c>
      <c r="C146" s="7" t="inlineStr">
        <is>
          <t>JEA_NSA</t>
        </is>
      </c>
      <c r="D146" s="23" t="n">
        <v>2853.14</v>
      </c>
      <c r="E146" s="23" t="n">
        <v>27742.31</v>
      </c>
      <c r="F146" s="23" t="n">
        <v>-2339.61</v>
      </c>
      <c r="G146" s="23" t="n">
        <v>184301.98</v>
      </c>
      <c r="H146" s="18">
        <f>Parity!$AY$132</f>
        <v/>
      </c>
      <c r="I146" s="18">
        <f>Parity!$BD$132</f>
        <v/>
      </c>
      <c r="J146" s="18">
        <f>Parity!$BE$132</f>
        <v/>
      </c>
      <c r="K146" s="18">
        <f>Parity!$AT$132</f>
        <v/>
      </c>
      <c r="L146" s="8">
        <f>$H146-$D146</f>
        <v/>
      </c>
      <c r="M146" s="8">
        <f>$I146-$E146</f>
        <v/>
      </c>
      <c r="N146" s="8">
        <f>$J146-$F146</f>
        <v/>
      </c>
      <c r="O146" s="8">
        <f>$K146-$G146</f>
        <v/>
      </c>
      <c r="P146" s="8">
        <f>IF(AND(ABS($L146)&lt;=tol_parity_inr_t,ABS($M146)&lt;=tol_parity_inr_t,ABS($N146)&lt;=tol_parity_inr_t,ABS($O146)&lt;=tol_parity_inr_t),"PASS","FAIL")</f>
        <v/>
      </c>
    </row>
    <row r="147">
      <c r="A147" s="11" t="n">
        <v>44715</v>
      </c>
      <c r="B147" s="7" t="inlineStr">
        <is>
          <t>zorba</t>
        </is>
      </c>
      <c r="C147" s="7" t="inlineStr">
        <is>
          <t>USEC_MUN</t>
        </is>
      </c>
      <c r="D147" s="23" t="n">
        <v>1002.89</v>
      </c>
      <c r="E147" s="23" t="n">
        <v>26107.57</v>
      </c>
      <c r="F147" s="23" t="n">
        <v>-4189.86</v>
      </c>
      <c r="G147" s="23" t="n">
        <v>186875.75</v>
      </c>
      <c r="H147" s="18">
        <f>Parity!$AY$133</f>
        <v/>
      </c>
      <c r="I147" s="18">
        <f>Parity!$BD$133</f>
        <v/>
      </c>
      <c r="J147" s="18">
        <f>Parity!$BE$133</f>
        <v/>
      </c>
      <c r="K147" s="18">
        <f>Parity!$AT$133</f>
        <v/>
      </c>
      <c r="L147" s="8">
        <f>$H147-$D147</f>
        <v/>
      </c>
      <c r="M147" s="8">
        <f>$I147-$E147</f>
        <v/>
      </c>
      <c r="N147" s="8">
        <f>$J147-$F147</f>
        <v/>
      </c>
      <c r="O147" s="8">
        <f>$K147-$G147</f>
        <v/>
      </c>
      <c r="P147" s="8">
        <f>IF(AND(ABS($L147)&lt;=tol_parity_inr_t,ABS($M147)&lt;=tol_parity_inr_t,ABS($N147)&lt;=tol_parity_inr_t,ABS($O147)&lt;=tol_parity_inr_t),"PASS","FAIL")</f>
        <v/>
      </c>
    </row>
    <row r="148">
      <c r="A148" s="11" t="n">
        <v>44715</v>
      </c>
      <c r="B148" s="7" t="inlineStr">
        <is>
          <t>taint_tabor</t>
        </is>
      </c>
      <c r="C148" s="7" t="inlineStr">
        <is>
          <t>JEA_NSA</t>
        </is>
      </c>
      <c r="D148" s="23" t="n">
        <v>508.6</v>
      </c>
      <c r="E148" s="23" t="n">
        <v>25397.77</v>
      </c>
      <c r="F148" s="23" t="n">
        <v>-4873.95</v>
      </c>
      <c r="G148" s="23" t="n">
        <v>184799.3</v>
      </c>
      <c r="H148" s="18">
        <f>Parity!$AY$134</f>
        <v/>
      </c>
      <c r="I148" s="18">
        <f>Parity!$BD$134</f>
        <v/>
      </c>
      <c r="J148" s="18">
        <f>Parity!$BE$134</f>
        <v/>
      </c>
      <c r="K148" s="18">
        <f>Parity!$AT$134</f>
        <v/>
      </c>
      <c r="L148" s="8">
        <f>$H148-$D148</f>
        <v/>
      </c>
      <c r="M148" s="8">
        <f>$I148-$E148</f>
        <v/>
      </c>
      <c r="N148" s="8">
        <f>$J148-$F148</f>
        <v/>
      </c>
      <c r="O148" s="8">
        <f>$K148-$G148</f>
        <v/>
      </c>
      <c r="P148" s="8">
        <f>IF(AND(ABS($L148)&lt;=tol_parity_inr_t,ABS($M148)&lt;=tol_parity_inr_t,ABS($N148)&lt;=tol_parity_inr_t,ABS($O148)&lt;=tol_parity_inr_t),"PASS","FAIL")</f>
        <v/>
      </c>
    </row>
    <row r="149">
      <c r="A149" s="11" t="n">
        <v>44715</v>
      </c>
      <c r="B149" s="7" t="inlineStr">
        <is>
          <t>taint_tabor</t>
        </is>
      </c>
      <c r="C149" s="7" t="inlineStr">
        <is>
          <t>USEC_MUN</t>
        </is>
      </c>
      <c r="D149" s="23" t="n">
        <v>-817.88</v>
      </c>
      <c r="E149" s="23" t="n">
        <v>24286.8</v>
      </c>
      <c r="F149" s="23" t="n">
        <v>-6200.43</v>
      </c>
      <c r="G149" s="23" t="n">
        <v>186875.75</v>
      </c>
      <c r="H149" s="18">
        <f>Parity!$AY$135</f>
        <v/>
      </c>
      <c r="I149" s="18">
        <f>Parity!$BD$135</f>
        <v/>
      </c>
      <c r="J149" s="18">
        <f>Parity!$BE$135</f>
        <v/>
      </c>
      <c r="K149" s="18">
        <f>Parity!$AT$135</f>
        <v/>
      </c>
      <c r="L149" s="8">
        <f>$H149-$D149</f>
        <v/>
      </c>
      <c r="M149" s="8">
        <f>$I149-$E149</f>
        <v/>
      </c>
      <c r="N149" s="8">
        <f>$J149-$F149</f>
        <v/>
      </c>
      <c r="O149" s="8">
        <f>$K149-$G149</f>
        <v/>
      </c>
      <c r="P149" s="8">
        <f>IF(AND(ABS($L149)&lt;=tol_parity_inr_t,ABS($M149)&lt;=tol_parity_inr_t,ABS($N149)&lt;=tol_parity_inr_t,ABS($O149)&lt;=tol_parity_inr_t),"PASS","FAIL")</f>
        <v/>
      </c>
    </row>
    <row r="150">
      <c r="A150" s="11" t="n">
        <v>44715</v>
      </c>
      <c r="B150" s="7" t="inlineStr">
        <is>
          <t>tense</t>
        </is>
      </c>
      <c r="C150" s="7" t="inlineStr">
        <is>
          <t>JEA_NSA</t>
        </is>
      </c>
      <c r="D150" s="23" t="n">
        <v>16028.31</v>
      </c>
      <c r="E150" s="23" t="n">
        <v>40917.48</v>
      </c>
      <c r="F150" s="23" t="n">
        <v>10528.75</v>
      </c>
      <c r="G150" s="23" t="n">
        <v>173308.02</v>
      </c>
      <c r="H150" s="18">
        <f>Parity!$AY$136</f>
        <v/>
      </c>
      <c r="I150" s="18">
        <f>Parity!$BD$136</f>
        <v/>
      </c>
      <c r="J150" s="18">
        <f>Parity!$BE$136</f>
        <v/>
      </c>
      <c r="K150" s="18">
        <f>Parity!$AT$136</f>
        <v/>
      </c>
      <c r="L150" s="8">
        <f>$H150-$D150</f>
        <v/>
      </c>
      <c r="M150" s="8">
        <f>$I150-$E150</f>
        <v/>
      </c>
      <c r="N150" s="8">
        <f>$J150-$F150</f>
        <v/>
      </c>
      <c r="O150" s="8">
        <f>$K150-$G150</f>
        <v/>
      </c>
      <c r="P150" s="8">
        <f>IF(AND(ABS($L150)&lt;=tol_parity_inr_t,ABS($M150)&lt;=tol_parity_inr_t,ABS($N150)&lt;=tol_parity_inr_t,ABS($O150)&lt;=tol_parity_inr_t),"PASS","FAIL")</f>
        <v/>
      </c>
    </row>
    <row r="151">
      <c r="A151" s="11" t="n">
        <v>44715</v>
      </c>
      <c r="B151" s="7" t="inlineStr">
        <is>
          <t>tense</t>
        </is>
      </c>
      <c r="C151" s="7" t="inlineStr">
        <is>
          <t>USEC_MUN</t>
        </is>
      </c>
      <c r="D151" s="23" t="n">
        <v>14382.89</v>
      </c>
      <c r="E151" s="23" t="n">
        <v>39487.57</v>
      </c>
      <c r="F151" s="23" t="n">
        <v>8883.33</v>
      </c>
      <c r="G151" s="23" t="n">
        <v>175719.71</v>
      </c>
      <c r="H151" s="18">
        <f>Parity!$AY$137</f>
        <v/>
      </c>
      <c r="I151" s="18">
        <f>Parity!$BD$137</f>
        <v/>
      </c>
      <c r="J151" s="18">
        <f>Parity!$BE$137</f>
        <v/>
      </c>
      <c r="K151" s="18">
        <f>Parity!$AT$137</f>
        <v/>
      </c>
      <c r="L151" s="8">
        <f>$H151-$D151</f>
        <v/>
      </c>
      <c r="M151" s="8">
        <f>$I151-$E151</f>
        <v/>
      </c>
      <c r="N151" s="8">
        <f>$J151-$F151</f>
        <v/>
      </c>
      <c r="O151" s="8">
        <f>$K151-$G151</f>
        <v/>
      </c>
      <c r="P151" s="8">
        <f>IF(AND(ABS($L151)&lt;=tol_parity_inr_t,ABS($M151)&lt;=tol_parity_inr_t,ABS($N151)&lt;=tol_parity_inr_t,ABS($O151)&lt;=tol_parity_inr_t),"PASS","FAIL")</f>
        <v/>
      </c>
    </row>
    <row r="152">
      <c r="A152" s="11" t="n">
        <v>44722</v>
      </c>
      <c r="B152" s="7" t="inlineStr">
        <is>
          <t>zorba</t>
        </is>
      </c>
      <c r="C152" s="7" t="inlineStr">
        <is>
          <t>JEA_NSA</t>
        </is>
      </c>
      <c r="D152" s="23" t="n">
        <v>683.67</v>
      </c>
      <c r="E152" s="23" t="n">
        <v>32786.42</v>
      </c>
      <c r="F152" s="23" t="n">
        <v>-4509.08</v>
      </c>
      <c r="G152" s="23" t="n">
        <v>186572.58</v>
      </c>
      <c r="H152" s="18">
        <f>Parity!$AY$138</f>
        <v/>
      </c>
      <c r="I152" s="18">
        <f>Parity!$BD$138</f>
        <v/>
      </c>
      <c r="J152" s="18">
        <f>Parity!$BE$138</f>
        <v/>
      </c>
      <c r="K152" s="18">
        <f>Parity!$AT$138</f>
        <v/>
      </c>
      <c r="L152" s="8">
        <f>$H152-$D152</f>
        <v/>
      </c>
      <c r="M152" s="8">
        <f>$I152-$E152</f>
        <v/>
      </c>
      <c r="N152" s="8">
        <f>$J152-$F152</f>
        <v/>
      </c>
      <c r="O152" s="8">
        <f>$K152-$G152</f>
        <v/>
      </c>
      <c r="P152" s="8">
        <f>IF(AND(ABS($L152)&lt;=tol_parity_inr_t,ABS($M152)&lt;=tol_parity_inr_t,ABS($N152)&lt;=tol_parity_inr_t,ABS($O152)&lt;=tol_parity_inr_t),"PASS","FAIL")</f>
        <v/>
      </c>
    </row>
    <row r="153">
      <c r="A153" s="11" t="n">
        <v>44722</v>
      </c>
      <c r="B153" s="7" t="inlineStr">
        <is>
          <t>zorba</t>
        </is>
      </c>
      <c r="C153" s="7" t="inlineStr">
        <is>
          <t>USEC_MUN</t>
        </is>
      </c>
      <c r="D153" s="23" t="n">
        <v>-1106.59</v>
      </c>
      <c r="E153" s="23" t="n">
        <v>31274.13</v>
      </c>
      <c r="F153" s="23" t="n">
        <v>-6299.34</v>
      </c>
      <c r="G153" s="23" t="n">
        <v>189165.56</v>
      </c>
      <c r="H153" s="18">
        <f>Parity!$AY$139</f>
        <v/>
      </c>
      <c r="I153" s="18">
        <f>Parity!$BD$139</f>
        <v/>
      </c>
      <c r="J153" s="18">
        <f>Parity!$BE$139</f>
        <v/>
      </c>
      <c r="K153" s="18">
        <f>Parity!$AT$139</f>
        <v/>
      </c>
      <c r="L153" s="8">
        <f>$H153-$D153</f>
        <v/>
      </c>
      <c r="M153" s="8">
        <f>$I153-$E153</f>
        <v/>
      </c>
      <c r="N153" s="8">
        <f>$J153-$F153</f>
        <v/>
      </c>
      <c r="O153" s="8">
        <f>$K153-$G153</f>
        <v/>
      </c>
      <c r="P153" s="8">
        <f>IF(AND(ABS($L153)&lt;=tol_parity_inr_t,ABS($M153)&lt;=tol_parity_inr_t,ABS($N153)&lt;=tol_parity_inr_t,ABS($O153)&lt;=tol_parity_inr_t),"PASS","FAIL")</f>
        <v/>
      </c>
    </row>
    <row r="154">
      <c r="A154" s="11" t="n">
        <v>44722</v>
      </c>
      <c r="B154" s="7" t="inlineStr">
        <is>
          <t>taint_tabor</t>
        </is>
      </c>
      <c r="C154" s="7" t="inlineStr">
        <is>
          <t>JEA_NSA</t>
        </is>
      </c>
      <c r="D154" s="23" t="n">
        <v>-1627.67</v>
      </c>
      <c r="E154" s="23" t="n">
        <v>30475.07</v>
      </c>
      <c r="F154" s="23" t="n">
        <v>-7010.22</v>
      </c>
      <c r="G154" s="23" t="n">
        <v>187070.04</v>
      </c>
      <c r="H154" s="18">
        <f>Parity!$AY$140</f>
        <v/>
      </c>
      <c r="I154" s="18">
        <f>Parity!$BD$140</f>
        <v/>
      </c>
      <c r="J154" s="18">
        <f>Parity!$BE$140</f>
        <v/>
      </c>
      <c r="K154" s="18">
        <f>Parity!$AT$140</f>
        <v/>
      </c>
      <c r="L154" s="8">
        <f>$H154-$D154</f>
        <v/>
      </c>
      <c r="M154" s="8">
        <f>$I154-$E154</f>
        <v/>
      </c>
      <c r="N154" s="8">
        <f>$J154-$F154</f>
        <v/>
      </c>
      <c r="O154" s="8">
        <f>$K154-$G154</f>
        <v/>
      </c>
      <c r="P154" s="8">
        <f>IF(AND(ABS($L154)&lt;=tol_parity_inr_t,ABS($M154)&lt;=tol_parity_inr_t,ABS($N154)&lt;=tol_parity_inr_t,ABS($O154)&lt;=tol_parity_inr_t),"PASS","FAIL")</f>
        <v/>
      </c>
    </row>
    <row r="155">
      <c r="A155" s="11" t="n">
        <v>44722</v>
      </c>
      <c r="B155" s="7" t="inlineStr">
        <is>
          <t>taint_tabor</t>
        </is>
      </c>
      <c r="C155" s="7" t="inlineStr">
        <is>
          <t>USEC_MUN</t>
        </is>
      </c>
      <c r="D155" s="23" t="n">
        <v>-2891.13</v>
      </c>
      <c r="E155" s="23" t="n">
        <v>29489.59</v>
      </c>
      <c r="F155" s="23" t="n">
        <v>-8273.690000000001</v>
      </c>
      <c r="G155" s="23" t="n">
        <v>189165.56</v>
      </c>
      <c r="H155" s="18">
        <f>Parity!$AY$141</f>
        <v/>
      </c>
      <c r="I155" s="18">
        <f>Parity!$BD$141</f>
        <v/>
      </c>
      <c r="J155" s="18">
        <f>Parity!$BE$141</f>
        <v/>
      </c>
      <c r="K155" s="18">
        <f>Parity!$AT$141</f>
        <v/>
      </c>
      <c r="L155" s="8">
        <f>$H155-$D155</f>
        <v/>
      </c>
      <c r="M155" s="8">
        <f>$I155-$E155</f>
        <v/>
      </c>
      <c r="N155" s="8">
        <f>$J155-$F155</f>
        <v/>
      </c>
      <c r="O155" s="8">
        <f>$K155-$G155</f>
        <v/>
      </c>
      <c r="P155" s="8">
        <f>IF(AND(ABS($L155)&lt;=tol_parity_inr_t,ABS($M155)&lt;=tol_parity_inr_t,ABS($N155)&lt;=tol_parity_inr_t,ABS($O155)&lt;=tol_parity_inr_t),"PASS","FAIL")</f>
        <v/>
      </c>
    </row>
    <row r="156">
      <c r="A156" s="11" t="n">
        <v>44722</v>
      </c>
      <c r="B156" s="7" t="inlineStr">
        <is>
          <t>tense</t>
        </is>
      </c>
      <c r="C156" s="7" t="inlineStr">
        <is>
          <t>JEA_NSA</t>
        </is>
      </c>
      <c r="D156" s="23" t="n">
        <v>13858.14</v>
      </c>
      <c r="E156" s="23" t="n">
        <v>45960.88</v>
      </c>
      <c r="F156" s="23" t="n">
        <v>8358.57</v>
      </c>
      <c r="G156" s="23" t="n">
        <v>175615.59</v>
      </c>
      <c r="H156" s="18">
        <f>Parity!$AY$142</f>
        <v/>
      </c>
      <c r="I156" s="18">
        <f>Parity!$BD$142</f>
        <v/>
      </c>
      <c r="J156" s="18">
        <f>Parity!$BE$142</f>
        <v/>
      </c>
      <c r="K156" s="18">
        <f>Parity!$AT$142</f>
        <v/>
      </c>
      <c r="L156" s="8">
        <f>$H156-$D156</f>
        <v/>
      </c>
      <c r="M156" s="8">
        <f>$I156-$E156</f>
        <v/>
      </c>
      <c r="N156" s="8">
        <f>$J156-$F156</f>
        <v/>
      </c>
      <c r="O156" s="8">
        <f>$K156-$G156</f>
        <v/>
      </c>
      <c r="P156" s="8">
        <f>IF(AND(ABS($L156)&lt;=tol_parity_inr_t,ABS($M156)&lt;=tol_parity_inr_t,ABS($N156)&lt;=tol_parity_inr_t,ABS($O156)&lt;=tol_parity_inr_t),"PASS","FAIL")</f>
        <v/>
      </c>
    </row>
    <row r="157">
      <c r="A157" s="11" t="n">
        <v>44722</v>
      </c>
      <c r="B157" s="7" t="inlineStr">
        <is>
          <t>tense</t>
        </is>
      </c>
      <c r="C157" s="7" t="inlineStr">
        <is>
          <t>USEC_MUN</t>
        </is>
      </c>
      <c r="D157" s="23" t="n">
        <v>12277.08</v>
      </c>
      <c r="E157" s="23" t="n">
        <v>44657.8</v>
      </c>
      <c r="F157" s="23" t="n">
        <v>6777.52</v>
      </c>
      <c r="G157" s="23" t="n">
        <v>178046.79</v>
      </c>
      <c r="H157" s="18">
        <f>Parity!$AY$143</f>
        <v/>
      </c>
      <c r="I157" s="18">
        <f>Parity!$BD$143</f>
        <v/>
      </c>
      <c r="J157" s="18">
        <f>Parity!$BE$143</f>
        <v/>
      </c>
      <c r="K157" s="18">
        <f>Parity!$AT$143</f>
        <v/>
      </c>
      <c r="L157" s="8">
        <f>$H157-$D157</f>
        <v/>
      </c>
      <c r="M157" s="8">
        <f>$I157-$E157</f>
        <v/>
      </c>
      <c r="N157" s="8">
        <f>$J157-$F157</f>
        <v/>
      </c>
      <c r="O157" s="8">
        <f>$K157-$G157</f>
        <v/>
      </c>
      <c r="P157" s="8">
        <f>IF(AND(ABS($L157)&lt;=tol_parity_inr_t,ABS($M157)&lt;=tol_parity_inr_t,ABS($N157)&lt;=tol_parity_inr_t,ABS($O157)&lt;=tol_parity_inr_t),"PASS","FAIL")</f>
        <v/>
      </c>
    </row>
    <row r="158">
      <c r="A158" s="11" t="n">
        <v>44729</v>
      </c>
      <c r="B158" s="7" t="inlineStr">
        <is>
          <t>zorba</t>
        </is>
      </c>
      <c r="C158" s="7" t="inlineStr">
        <is>
          <t>JEA_NSA</t>
        </is>
      </c>
      <c r="D158" s="23" t="n">
        <v>-3677.54</v>
      </c>
      <c r="E158" s="23" t="n">
        <v>29089.84</v>
      </c>
      <c r="F158" s="23" t="n">
        <v>-8870.280000000001</v>
      </c>
      <c r="G158" s="23" t="n">
        <v>174534.73</v>
      </c>
      <c r="H158" s="18">
        <f>Parity!$AY$144</f>
        <v/>
      </c>
      <c r="I158" s="18">
        <f>Parity!$BD$144</f>
        <v/>
      </c>
      <c r="J158" s="18">
        <f>Parity!$BE$144</f>
        <v/>
      </c>
      <c r="K158" s="18">
        <f>Parity!$AT$144</f>
        <v/>
      </c>
      <c r="L158" s="8">
        <f>$H158-$D158</f>
        <v/>
      </c>
      <c r="M158" s="8">
        <f>$I158-$E158</f>
        <v/>
      </c>
      <c r="N158" s="8">
        <f>$J158-$F158</f>
        <v/>
      </c>
      <c r="O158" s="8">
        <f>$K158-$G158</f>
        <v/>
      </c>
      <c r="P158" s="8">
        <f>IF(AND(ABS($L158)&lt;=tol_parity_inr_t,ABS($M158)&lt;=tol_parity_inr_t,ABS($N158)&lt;=tol_parity_inr_t,ABS($O158)&lt;=tol_parity_inr_t),"PASS","FAIL")</f>
        <v/>
      </c>
    </row>
    <row r="159">
      <c r="A159" s="11" t="n">
        <v>44729</v>
      </c>
      <c r="B159" s="7" t="inlineStr">
        <is>
          <t>zorba</t>
        </is>
      </c>
      <c r="C159" s="7" t="inlineStr">
        <is>
          <t>USEC_MUN</t>
        </is>
      </c>
      <c r="D159" s="23" t="n">
        <v>-5457.17</v>
      </c>
      <c r="E159" s="23" t="n">
        <v>27599.71</v>
      </c>
      <c r="F159" s="23" t="n">
        <v>-10649.92</v>
      </c>
      <c r="G159" s="23" t="n">
        <v>177053.56</v>
      </c>
      <c r="H159" s="18">
        <f>Parity!$AY$145</f>
        <v/>
      </c>
      <c r="I159" s="18">
        <f>Parity!$BD$145</f>
        <v/>
      </c>
      <c r="J159" s="18">
        <f>Parity!$BE$145</f>
        <v/>
      </c>
      <c r="K159" s="18">
        <f>Parity!$AT$145</f>
        <v/>
      </c>
      <c r="L159" s="8">
        <f>$H159-$D159</f>
        <v/>
      </c>
      <c r="M159" s="8">
        <f>$I159-$E159</f>
        <v/>
      </c>
      <c r="N159" s="8">
        <f>$J159-$F159</f>
        <v/>
      </c>
      <c r="O159" s="8">
        <f>$K159-$G159</f>
        <v/>
      </c>
      <c r="P159" s="8">
        <f>IF(AND(ABS($L159)&lt;=tol_parity_inr_t,ABS($M159)&lt;=tol_parity_inr_t,ABS($N159)&lt;=tol_parity_inr_t,ABS($O159)&lt;=tol_parity_inr_t),"PASS","FAIL")</f>
        <v/>
      </c>
    </row>
    <row r="160">
      <c r="A160" s="11" t="n">
        <v>44729</v>
      </c>
      <c r="B160" s="7" t="inlineStr">
        <is>
          <t>taint_tabor</t>
        </is>
      </c>
      <c r="C160" s="7" t="inlineStr">
        <is>
          <t>JEA_NSA</t>
        </is>
      </c>
      <c r="D160" s="23" t="n">
        <v>-5948.49</v>
      </c>
      <c r="E160" s="23" t="n">
        <v>26818.88</v>
      </c>
      <c r="F160" s="23" t="n">
        <v>-11331.05</v>
      </c>
      <c r="G160" s="23" t="n">
        <v>175032.3</v>
      </c>
      <c r="H160" s="18">
        <f>Parity!$AY$146</f>
        <v/>
      </c>
      <c r="I160" s="18">
        <f>Parity!$BD$146</f>
        <v/>
      </c>
      <c r="J160" s="18">
        <f>Parity!$BE$146</f>
        <v/>
      </c>
      <c r="K160" s="18">
        <f>Parity!$AT$146</f>
        <v/>
      </c>
      <c r="L160" s="8">
        <f>$H160-$D160</f>
        <v/>
      </c>
      <c r="M160" s="8">
        <f>$I160-$E160</f>
        <v/>
      </c>
      <c r="N160" s="8">
        <f>$J160-$F160</f>
        <v/>
      </c>
      <c r="O160" s="8">
        <f>$K160-$G160</f>
        <v/>
      </c>
      <c r="P160" s="8">
        <f>IF(AND(ABS($L160)&lt;=tol_parity_inr_t,ABS($M160)&lt;=tol_parity_inr_t,ABS($N160)&lt;=tol_parity_inr_t,ABS($O160)&lt;=tol_parity_inr_t),"PASS","FAIL")</f>
        <v/>
      </c>
    </row>
    <row r="161">
      <c r="A161" s="11" t="n">
        <v>44729</v>
      </c>
      <c r="B161" s="7" t="inlineStr">
        <is>
          <t>taint_tabor</t>
        </is>
      </c>
      <c r="C161" s="7" t="inlineStr">
        <is>
          <t>USEC_MUN</t>
        </is>
      </c>
      <c r="D161" s="23" t="n">
        <v>-7203.54</v>
      </c>
      <c r="E161" s="23" t="n">
        <v>25853.34</v>
      </c>
      <c r="F161" s="23" t="n">
        <v>-12586.09</v>
      </c>
      <c r="G161" s="23" t="n">
        <v>177053.56</v>
      </c>
      <c r="H161" s="18">
        <f>Parity!$AY$147</f>
        <v/>
      </c>
      <c r="I161" s="18">
        <f>Parity!$BD$147</f>
        <v/>
      </c>
      <c r="J161" s="18">
        <f>Parity!$BE$147</f>
        <v/>
      </c>
      <c r="K161" s="18">
        <f>Parity!$AT$147</f>
        <v/>
      </c>
      <c r="L161" s="8">
        <f>$H161-$D161</f>
        <v/>
      </c>
      <c r="M161" s="8">
        <f>$I161-$E161</f>
        <v/>
      </c>
      <c r="N161" s="8">
        <f>$J161-$F161</f>
        <v/>
      </c>
      <c r="O161" s="8">
        <f>$K161-$G161</f>
        <v/>
      </c>
      <c r="P161" s="8">
        <f>IF(AND(ABS($L161)&lt;=tol_parity_inr_t,ABS($M161)&lt;=tol_parity_inr_t,ABS($N161)&lt;=tol_parity_inr_t,ABS($O161)&lt;=tol_parity_inr_t),"PASS","FAIL")</f>
        <v/>
      </c>
    </row>
    <row r="162">
      <c r="A162" s="11" t="n">
        <v>44729</v>
      </c>
      <c r="B162" s="7" t="inlineStr">
        <is>
          <t>tense</t>
        </is>
      </c>
      <c r="C162" s="7" t="inlineStr">
        <is>
          <t>JEA_NSA</t>
        </is>
      </c>
      <c r="D162" s="23" t="n">
        <v>8368.5</v>
      </c>
      <c r="E162" s="23" t="n">
        <v>41135.87</v>
      </c>
      <c r="F162" s="23" t="n">
        <v>2868.93</v>
      </c>
      <c r="G162" s="23" t="n">
        <v>164391.05</v>
      </c>
      <c r="H162" s="18">
        <f>Parity!$AY$148</f>
        <v/>
      </c>
      <c r="I162" s="18">
        <f>Parity!$BD$148</f>
        <v/>
      </c>
      <c r="J162" s="18">
        <f>Parity!$BE$148</f>
        <v/>
      </c>
      <c r="K162" s="18">
        <f>Parity!$AT$148</f>
        <v/>
      </c>
      <c r="L162" s="8">
        <f>$H162-$D162</f>
        <v/>
      </c>
      <c r="M162" s="8">
        <f>$I162-$E162</f>
        <v/>
      </c>
      <c r="N162" s="8">
        <f>$J162-$F162</f>
        <v/>
      </c>
      <c r="O162" s="8">
        <f>$K162-$G162</f>
        <v/>
      </c>
      <c r="P162" s="8">
        <f>IF(AND(ABS($L162)&lt;=tol_parity_inr_t,ABS($M162)&lt;=tol_parity_inr_t,ABS($N162)&lt;=tol_parity_inr_t,ABS($O162)&lt;=tol_parity_inr_t),"PASS","FAIL")</f>
        <v/>
      </c>
    </row>
    <row r="163">
      <c r="A163" s="11" t="n">
        <v>44729</v>
      </c>
      <c r="B163" s="7" t="inlineStr">
        <is>
          <t>tense</t>
        </is>
      </c>
      <c r="C163" s="7" t="inlineStr">
        <is>
          <t>USEC_MUN</t>
        </is>
      </c>
      <c r="D163" s="23" t="n">
        <v>6789.09</v>
      </c>
      <c r="E163" s="23" t="n">
        <v>39845.97</v>
      </c>
      <c r="F163" s="23" t="n">
        <v>1289.52</v>
      </c>
      <c r="G163" s="23" t="n">
        <v>166753.32</v>
      </c>
      <c r="H163" s="18">
        <f>Parity!$AY$149</f>
        <v/>
      </c>
      <c r="I163" s="18">
        <f>Parity!$BD$149</f>
        <v/>
      </c>
      <c r="J163" s="18">
        <f>Parity!$BE$149</f>
        <v/>
      </c>
      <c r="K163" s="18">
        <f>Parity!$AT$149</f>
        <v/>
      </c>
      <c r="L163" s="8">
        <f>$H163-$D163</f>
        <v/>
      </c>
      <c r="M163" s="8">
        <f>$I163-$E163</f>
        <v/>
      </c>
      <c r="N163" s="8">
        <f>$J163-$F163</f>
        <v/>
      </c>
      <c r="O163" s="8">
        <f>$K163-$G163</f>
        <v/>
      </c>
      <c r="P163" s="8">
        <f>IF(AND(ABS($L163)&lt;=tol_parity_inr_t,ABS($M163)&lt;=tol_parity_inr_t,ABS($N163)&lt;=tol_parity_inr_t,ABS($O163)&lt;=tol_parity_inr_t),"PASS","FAIL")</f>
        <v/>
      </c>
    </row>
    <row r="164">
      <c r="A164" s="11" t="n">
        <v>44736</v>
      </c>
      <c r="B164" s="7" t="inlineStr">
        <is>
          <t>zorba</t>
        </is>
      </c>
      <c r="C164" s="7" t="inlineStr">
        <is>
          <t>JEA_NSA</t>
        </is>
      </c>
      <c r="D164" s="23" t="n">
        <v>-3588.86</v>
      </c>
      <c r="E164" s="23" t="n">
        <v>26109.64</v>
      </c>
      <c r="F164" s="23" t="n">
        <v>-8781.610000000001</v>
      </c>
      <c r="G164" s="23" t="n">
        <v>171848.73</v>
      </c>
      <c r="H164" s="18">
        <f>Parity!$AY$150</f>
        <v/>
      </c>
      <c r="I164" s="18">
        <f>Parity!$BD$150</f>
        <v/>
      </c>
      <c r="J164" s="18">
        <f>Parity!$BE$150</f>
        <v/>
      </c>
      <c r="K164" s="18">
        <f>Parity!$AT$150</f>
        <v/>
      </c>
      <c r="L164" s="8">
        <f>$H164-$D164</f>
        <v/>
      </c>
      <c r="M164" s="8">
        <f>$I164-$E164</f>
        <v/>
      </c>
      <c r="N164" s="8">
        <f>$J164-$F164</f>
        <v/>
      </c>
      <c r="O164" s="8">
        <f>$K164-$G164</f>
        <v/>
      </c>
      <c r="P164" s="8">
        <f>IF(AND(ABS($L164)&lt;=tol_parity_inr_t,ABS($M164)&lt;=tol_parity_inr_t,ABS($N164)&lt;=tol_parity_inr_t,ABS($O164)&lt;=tol_parity_inr_t),"PASS","FAIL")</f>
        <v/>
      </c>
    </row>
    <row r="165">
      <c r="A165" s="11" t="n">
        <v>44736</v>
      </c>
      <c r="B165" s="7" t="inlineStr">
        <is>
          <t>zorba</t>
        </is>
      </c>
      <c r="C165" s="7" t="inlineStr">
        <is>
          <t>USEC_MUN</t>
        </is>
      </c>
      <c r="D165" s="23" t="n">
        <v>-5353.78</v>
      </c>
      <c r="E165" s="23" t="n">
        <v>24607.11</v>
      </c>
      <c r="F165" s="23" t="n">
        <v>-10546.53</v>
      </c>
      <c r="G165" s="23" t="n">
        <v>174343.5</v>
      </c>
      <c r="H165" s="18">
        <f>Parity!$AY$151</f>
        <v/>
      </c>
      <c r="I165" s="18">
        <f>Parity!$BD$151</f>
        <v/>
      </c>
      <c r="J165" s="18">
        <f>Parity!$BE$151</f>
        <v/>
      </c>
      <c r="K165" s="18">
        <f>Parity!$AT$151</f>
        <v/>
      </c>
      <c r="L165" s="8">
        <f>$H165-$D165</f>
        <v/>
      </c>
      <c r="M165" s="8">
        <f>$I165-$E165</f>
        <v/>
      </c>
      <c r="N165" s="8">
        <f>$J165-$F165</f>
        <v/>
      </c>
      <c r="O165" s="8">
        <f>$K165-$G165</f>
        <v/>
      </c>
      <c r="P165" s="8">
        <f>IF(AND(ABS($L165)&lt;=tol_parity_inr_t,ABS($M165)&lt;=tol_parity_inr_t,ABS($N165)&lt;=tol_parity_inr_t,ABS($O165)&lt;=tol_parity_inr_t),"PASS","FAIL")</f>
        <v/>
      </c>
    </row>
    <row r="166">
      <c r="A166" s="11" t="n">
        <v>44736</v>
      </c>
      <c r="B166" s="7" t="inlineStr">
        <is>
          <t>taint_tabor</t>
        </is>
      </c>
      <c r="C166" s="7" t="inlineStr">
        <is>
          <t>JEA_NSA</t>
        </is>
      </c>
      <c r="D166" s="23" t="n">
        <v>-5811.86</v>
      </c>
      <c r="E166" s="23" t="n">
        <v>23886.63</v>
      </c>
      <c r="F166" s="23" t="n">
        <v>-11194.41</v>
      </c>
      <c r="G166" s="23" t="n">
        <v>172346.41</v>
      </c>
      <c r="H166" s="18">
        <f>Parity!$AY$152</f>
        <v/>
      </c>
      <c r="I166" s="18">
        <f>Parity!$BD$152</f>
        <v/>
      </c>
      <c r="J166" s="18">
        <f>Parity!$BE$152</f>
        <v/>
      </c>
      <c r="K166" s="18">
        <f>Parity!$AT$152</f>
        <v/>
      </c>
      <c r="L166" s="8">
        <f>$H166-$D166</f>
        <v/>
      </c>
      <c r="M166" s="8">
        <f>$I166-$E166</f>
        <v/>
      </c>
      <c r="N166" s="8">
        <f>$J166-$F166</f>
        <v/>
      </c>
      <c r="O166" s="8">
        <f>$K166-$G166</f>
        <v/>
      </c>
      <c r="P166" s="8">
        <f>IF(AND(ABS($L166)&lt;=tol_parity_inr_t,ABS($M166)&lt;=tol_parity_inr_t,ABS($N166)&lt;=tol_parity_inr_t,ABS($O166)&lt;=tol_parity_inr_t),"PASS","FAIL")</f>
        <v/>
      </c>
    </row>
    <row r="167">
      <c r="A167" s="11" t="n">
        <v>44736</v>
      </c>
      <c r="B167" s="7" t="inlineStr">
        <is>
          <t>taint_tabor</t>
        </is>
      </c>
      <c r="C167" s="7" t="inlineStr">
        <is>
          <t>USEC_MUN</t>
        </is>
      </c>
      <c r="D167" s="23" t="n">
        <v>-7052.43</v>
      </c>
      <c r="E167" s="23" t="n">
        <v>22908.46</v>
      </c>
      <c r="F167" s="23" t="n">
        <v>-12434.99</v>
      </c>
      <c r="G167" s="23" t="n">
        <v>174343.5</v>
      </c>
      <c r="H167" s="18">
        <f>Parity!$AY$153</f>
        <v/>
      </c>
      <c r="I167" s="18">
        <f>Parity!$BD$153</f>
        <v/>
      </c>
      <c r="J167" s="18">
        <f>Parity!$BE$153</f>
        <v/>
      </c>
      <c r="K167" s="18">
        <f>Parity!$AT$153</f>
        <v/>
      </c>
      <c r="L167" s="8">
        <f>$H167-$D167</f>
        <v/>
      </c>
      <c r="M167" s="8">
        <f>$I167-$E167</f>
        <v/>
      </c>
      <c r="N167" s="8">
        <f>$J167-$F167</f>
        <v/>
      </c>
      <c r="O167" s="8">
        <f>$K167-$G167</f>
        <v/>
      </c>
      <c r="P167" s="8">
        <f>IF(AND(ABS($L167)&lt;=tol_parity_inr_t,ABS($M167)&lt;=tol_parity_inr_t,ABS($N167)&lt;=tol_parity_inr_t,ABS($O167)&lt;=tol_parity_inr_t),"PASS","FAIL")</f>
        <v/>
      </c>
    </row>
    <row r="168">
      <c r="A168" s="11" t="n">
        <v>44736</v>
      </c>
      <c r="B168" s="7" t="inlineStr">
        <is>
          <t>tense</t>
        </is>
      </c>
      <c r="C168" s="7" t="inlineStr">
        <is>
          <t>JEA_NSA</t>
        </is>
      </c>
      <c r="D168" s="23" t="n">
        <v>8266.27</v>
      </c>
      <c r="E168" s="23" t="n">
        <v>37964.77</v>
      </c>
      <c r="F168" s="23" t="n">
        <v>2766.71</v>
      </c>
      <c r="G168" s="23" t="n">
        <v>161888.59</v>
      </c>
      <c r="H168" s="18">
        <f>Parity!$AY$154</f>
        <v/>
      </c>
      <c r="I168" s="18">
        <f>Parity!$BD$154</f>
        <v/>
      </c>
      <c r="J168" s="18">
        <f>Parity!$BE$154</f>
        <v/>
      </c>
      <c r="K168" s="18">
        <f>Parity!$AT$154</f>
        <v/>
      </c>
      <c r="L168" s="8">
        <f>$H168-$D168</f>
        <v/>
      </c>
      <c r="M168" s="8">
        <f>$I168-$E168</f>
        <v/>
      </c>
      <c r="N168" s="8">
        <f>$J168-$F168</f>
        <v/>
      </c>
      <c r="O168" s="8">
        <f>$K168-$G168</f>
        <v/>
      </c>
      <c r="P168" s="8">
        <f>IF(AND(ABS($L168)&lt;=tol_parity_inr_t,ABS($M168)&lt;=tol_parity_inr_t,ABS($N168)&lt;=tol_parity_inr_t,ABS($O168)&lt;=tol_parity_inr_t),"PASS","FAIL")</f>
        <v/>
      </c>
    </row>
    <row r="169">
      <c r="A169" s="11" t="n">
        <v>44736</v>
      </c>
      <c r="B169" s="7" t="inlineStr">
        <is>
          <t>tense</t>
        </is>
      </c>
      <c r="C169" s="7" t="inlineStr">
        <is>
          <t>USEC_MUN</t>
        </is>
      </c>
      <c r="D169" s="23" t="n">
        <v>6699.42</v>
      </c>
      <c r="E169" s="23" t="n">
        <v>36660.31</v>
      </c>
      <c r="F169" s="23" t="n">
        <v>1199.85</v>
      </c>
      <c r="G169" s="23" t="n">
        <v>164228.41</v>
      </c>
      <c r="H169" s="18">
        <f>Parity!$AY$155</f>
        <v/>
      </c>
      <c r="I169" s="18">
        <f>Parity!$BD$155</f>
        <v/>
      </c>
      <c r="J169" s="18">
        <f>Parity!$BE$155</f>
        <v/>
      </c>
      <c r="K169" s="18">
        <f>Parity!$AT$155</f>
        <v/>
      </c>
      <c r="L169" s="8">
        <f>$H169-$D169</f>
        <v/>
      </c>
      <c r="M169" s="8">
        <f>$I169-$E169</f>
        <v/>
      </c>
      <c r="N169" s="8">
        <f>$J169-$F169</f>
        <v/>
      </c>
      <c r="O169" s="8">
        <f>$K169-$G169</f>
        <v/>
      </c>
      <c r="P169" s="8">
        <f>IF(AND(ABS($L169)&lt;=tol_parity_inr_t,ABS($M169)&lt;=tol_parity_inr_t,ABS($N169)&lt;=tol_parity_inr_t,ABS($O169)&lt;=tol_parity_inr_t),"PASS","FAIL")</f>
        <v/>
      </c>
    </row>
    <row r="170">
      <c r="A170" s="11" t="n">
        <v>44743</v>
      </c>
      <c r="B170" s="7" t="inlineStr">
        <is>
          <t>zorba</t>
        </is>
      </c>
      <c r="C170" s="7" t="inlineStr">
        <is>
          <t>JEA_NSA</t>
        </is>
      </c>
      <c r="D170" s="23" t="n">
        <v>-3752.1</v>
      </c>
      <c r="E170" s="23" t="n">
        <v>23150.06</v>
      </c>
      <c r="F170" s="23" t="n">
        <v>-8944.85</v>
      </c>
      <c r="G170" s="23" t="n">
        <v>170287.4</v>
      </c>
      <c r="H170" s="18">
        <f>Parity!$AY$156</f>
        <v/>
      </c>
      <c r="I170" s="18">
        <f>Parity!$BD$156</f>
        <v/>
      </c>
      <c r="J170" s="18">
        <f>Parity!$BE$156</f>
        <v/>
      </c>
      <c r="K170" s="18">
        <f>Parity!$AT$156</f>
        <v/>
      </c>
      <c r="L170" s="8">
        <f>$H170-$D170</f>
        <v/>
      </c>
      <c r="M170" s="8">
        <f>$I170-$E170</f>
        <v/>
      </c>
      <c r="N170" s="8">
        <f>$J170-$F170</f>
        <v/>
      </c>
      <c r="O170" s="8">
        <f>$K170-$G170</f>
        <v/>
      </c>
      <c r="P170" s="8">
        <f>IF(AND(ABS($L170)&lt;=tol_parity_inr_t,ABS($M170)&lt;=tol_parity_inr_t,ABS($N170)&lt;=tol_parity_inr_t,ABS($O170)&lt;=tol_parity_inr_t),"PASS","FAIL")</f>
        <v/>
      </c>
    </row>
    <row r="171">
      <c r="A171" s="11" t="n">
        <v>44743</v>
      </c>
      <c r="B171" s="7" t="inlineStr">
        <is>
          <t>zorba</t>
        </is>
      </c>
      <c r="C171" s="7" t="inlineStr">
        <is>
          <t>USEC_MUN</t>
        </is>
      </c>
      <c r="D171" s="23" t="n">
        <v>-5384.44</v>
      </c>
      <c r="E171" s="23" t="n">
        <v>21755.42</v>
      </c>
      <c r="F171" s="23" t="n">
        <v>-10577.18</v>
      </c>
      <c r="G171" s="23" t="n">
        <v>172767.28</v>
      </c>
      <c r="H171" s="18">
        <f>Parity!$AY$157</f>
        <v/>
      </c>
      <c r="I171" s="18">
        <f>Parity!$BD$157</f>
        <v/>
      </c>
      <c r="J171" s="18">
        <f>Parity!$BE$157</f>
        <v/>
      </c>
      <c r="K171" s="18">
        <f>Parity!$AT$157</f>
        <v/>
      </c>
      <c r="L171" s="8">
        <f>$H171-$D171</f>
        <v/>
      </c>
      <c r="M171" s="8">
        <f>$I171-$E171</f>
        <v/>
      </c>
      <c r="N171" s="8">
        <f>$J171-$F171</f>
        <v/>
      </c>
      <c r="O171" s="8">
        <f>$K171-$G171</f>
        <v/>
      </c>
      <c r="P171" s="8">
        <f>IF(AND(ABS($L171)&lt;=tol_parity_inr_t,ABS($M171)&lt;=tol_parity_inr_t,ABS($N171)&lt;=tol_parity_inr_t,ABS($O171)&lt;=tol_parity_inr_t),"PASS","FAIL")</f>
        <v/>
      </c>
    </row>
    <row r="172">
      <c r="A172" s="11" t="n">
        <v>44743</v>
      </c>
      <c r="B172" s="7" t="inlineStr">
        <is>
          <t>taint_tabor</t>
        </is>
      </c>
      <c r="C172" s="7" t="inlineStr">
        <is>
          <t>JEA_NSA</t>
        </is>
      </c>
      <c r="D172" s="23" t="n">
        <v>-5947.17</v>
      </c>
      <c r="E172" s="23" t="n">
        <v>20954.99</v>
      </c>
      <c r="F172" s="23" t="n">
        <v>-11329.72</v>
      </c>
      <c r="G172" s="23" t="n">
        <v>170785.4</v>
      </c>
      <c r="H172" s="18">
        <f>Parity!$AY$158</f>
        <v/>
      </c>
      <c r="I172" s="18">
        <f>Parity!$BD$158</f>
        <v/>
      </c>
      <c r="J172" s="18">
        <f>Parity!$BE$158</f>
        <v/>
      </c>
      <c r="K172" s="18">
        <f>Parity!$AT$158</f>
        <v/>
      </c>
      <c r="L172" s="8">
        <f>$H172-$D172</f>
        <v/>
      </c>
      <c r="M172" s="8">
        <f>$I172-$E172</f>
        <v/>
      </c>
      <c r="N172" s="8">
        <f>$J172-$F172</f>
        <v/>
      </c>
      <c r="O172" s="8">
        <f>$K172-$G172</f>
        <v/>
      </c>
      <c r="P172" s="8">
        <f>IF(AND(ABS($L172)&lt;=tol_parity_inr_t,ABS($M172)&lt;=tol_parity_inr_t,ABS($N172)&lt;=tol_parity_inr_t,ABS($O172)&lt;=tol_parity_inr_t),"PASS","FAIL")</f>
        <v/>
      </c>
    </row>
    <row r="173">
      <c r="A173" s="11" t="n">
        <v>44743</v>
      </c>
      <c r="B173" s="7" t="inlineStr">
        <is>
          <t>taint_tabor</t>
        </is>
      </c>
      <c r="C173" s="7" t="inlineStr">
        <is>
          <t>USEC_MUN</t>
        </is>
      </c>
      <c r="D173" s="23" t="n">
        <v>-7050.52</v>
      </c>
      <c r="E173" s="23" t="n">
        <v>20089.33</v>
      </c>
      <c r="F173" s="23" t="n">
        <v>-12433.07</v>
      </c>
      <c r="G173" s="23" t="n">
        <v>172767.28</v>
      </c>
      <c r="H173" s="18">
        <f>Parity!$AY$159</f>
        <v/>
      </c>
      <c r="I173" s="18">
        <f>Parity!$BD$159</f>
        <v/>
      </c>
      <c r="J173" s="18">
        <f>Parity!$BE$159</f>
        <v/>
      </c>
      <c r="K173" s="18">
        <f>Parity!$AT$159</f>
        <v/>
      </c>
      <c r="L173" s="8">
        <f>$H173-$D173</f>
        <v/>
      </c>
      <c r="M173" s="8">
        <f>$I173-$E173</f>
        <v/>
      </c>
      <c r="N173" s="8">
        <f>$J173-$F173</f>
        <v/>
      </c>
      <c r="O173" s="8">
        <f>$K173-$G173</f>
        <v/>
      </c>
      <c r="P173" s="8">
        <f>IF(AND(ABS($L173)&lt;=tol_parity_inr_t,ABS($M173)&lt;=tol_parity_inr_t,ABS($N173)&lt;=tol_parity_inr_t,ABS($O173)&lt;=tol_parity_inr_t),"PASS","FAIL")</f>
        <v/>
      </c>
    </row>
    <row r="174">
      <c r="A174" s="11" t="n">
        <v>44743</v>
      </c>
      <c r="B174" s="7" t="inlineStr">
        <is>
          <t>tense</t>
        </is>
      </c>
      <c r="C174" s="7" t="inlineStr">
        <is>
          <t>JEA_NSA</t>
        </is>
      </c>
      <c r="D174" s="23" t="n">
        <v>7977.8</v>
      </c>
      <c r="E174" s="23" t="n">
        <v>34879.96</v>
      </c>
      <c r="F174" s="23" t="n">
        <v>2478.24</v>
      </c>
      <c r="G174" s="23" t="n">
        <v>160443.87</v>
      </c>
      <c r="H174" s="18">
        <f>Parity!$AY$160</f>
        <v/>
      </c>
      <c r="I174" s="18">
        <f>Parity!$BD$160</f>
        <v/>
      </c>
      <c r="J174" s="18">
        <f>Parity!$BE$160</f>
        <v/>
      </c>
      <c r="K174" s="18">
        <f>Parity!$AT$160</f>
        <v/>
      </c>
      <c r="L174" s="8">
        <f>$H174-$D174</f>
        <v/>
      </c>
      <c r="M174" s="8">
        <f>$I174-$E174</f>
        <v/>
      </c>
      <c r="N174" s="8">
        <f>$J174-$F174</f>
        <v/>
      </c>
      <c r="O174" s="8">
        <f>$K174-$G174</f>
        <v/>
      </c>
      <c r="P174" s="8">
        <f>IF(AND(ABS($L174)&lt;=tol_parity_inr_t,ABS($M174)&lt;=tol_parity_inr_t,ABS($N174)&lt;=tol_parity_inr_t,ABS($O174)&lt;=tol_parity_inr_t),"PASS","FAIL")</f>
        <v/>
      </c>
    </row>
    <row r="175">
      <c r="A175" s="11" t="n">
        <v>44743</v>
      </c>
      <c r="B175" s="7" t="inlineStr">
        <is>
          <t>tense</t>
        </is>
      </c>
      <c r="C175" s="7" t="inlineStr">
        <is>
          <t>USEC_MUN</t>
        </is>
      </c>
      <c r="D175" s="23" t="n">
        <v>6549.51</v>
      </c>
      <c r="E175" s="23" t="n">
        <v>33689.36</v>
      </c>
      <c r="F175" s="23" t="n">
        <v>1049.94</v>
      </c>
      <c r="G175" s="23" t="n">
        <v>162769.79</v>
      </c>
      <c r="H175" s="18">
        <f>Parity!$AY$161</f>
        <v/>
      </c>
      <c r="I175" s="18">
        <f>Parity!$BD$161</f>
        <v/>
      </c>
      <c r="J175" s="18">
        <f>Parity!$BE$161</f>
        <v/>
      </c>
      <c r="K175" s="18">
        <f>Parity!$AT$161</f>
        <v/>
      </c>
      <c r="L175" s="8">
        <f>$H175-$D175</f>
        <v/>
      </c>
      <c r="M175" s="8">
        <f>$I175-$E175</f>
        <v/>
      </c>
      <c r="N175" s="8">
        <f>$J175-$F175</f>
        <v/>
      </c>
      <c r="O175" s="8">
        <f>$K175-$G175</f>
        <v/>
      </c>
      <c r="P175" s="8">
        <f>IF(AND(ABS($L175)&lt;=tol_parity_inr_t,ABS($M175)&lt;=tol_parity_inr_t,ABS($N175)&lt;=tol_parity_inr_t,ABS($O175)&lt;=tol_parity_inr_t),"PASS","FAIL")</f>
        <v/>
      </c>
    </row>
    <row r="176">
      <c r="A176" s="11" t="n">
        <v>44750</v>
      </c>
      <c r="B176" s="7" t="inlineStr">
        <is>
          <t>zorba</t>
        </is>
      </c>
      <c r="C176" s="7" t="inlineStr">
        <is>
          <t>JEA_NSA</t>
        </is>
      </c>
      <c r="D176" s="23" t="n">
        <v>-4138.73</v>
      </c>
      <c r="E176" s="23" t="n">
        <v>20529.83</v>
      </c>
      <c r="F176" s="23" t="n">
        <v>-9331.48</v>
      </c>
      <c r="G176" s="23" t="n">
        <v>172207.37</v>
      </c>
      <c r="H176" s="18">
        <f>Parity!$AY$162</f>
        <v/>
      </c>
      <c r="I176" s="18">
        <f>Parity!$BD$162</f>
        <v/>
      </c>
      <c r="J176" s="18">
        <f>Parity!$BE$162</f>
        <v/>
      </c>
      <c r="K176" s="18">
        <f>Parity!$AT$162</f>
        <v/>
      </c>
      <c r="L176" s="8">
        <f>$H176-$D176</f>
        <v/>
      </c>
      <c r="M176" s="8">
        <f>$I176-$E176</f>
        <v/>
      </c>
      <c r="N176" s="8">
        <f>$J176-$F176</f>
        <v/>
      </c>
      <c r="O176" s="8">
        <f>$K176-$G176</f>
        <v/>
      </c>
      <c r="P176" s="8">
        <f>IF(AND(ABS($L176)&lt;=tol_parity_inr_t,ABS($M176)&lt;=tol_parity_inr_t,ABS($N176)&lt;=tol_parity_inr_t,ABS($O176)&lt;=tol_parity_inr_t),"PASS","FAIL")</f>
        <v/>
      </c>
    </row>
    <row r="177">
      <c r="A177" s="11" t="n">
        <v>44750</v>
      </c>
      <c r="B177" s="7" t="inlineStr">
        <is>
          <t>zorba</t>
        </is>
      </c>
      <c r="C177" s="7" t="inlineStr">
        <is>
          <t>USEC_MUN</t>
        </is>
      </c>
      <c r="D177" s="23" t="n">
        <v>-5779.78</v>
      </c>
      <c r="E177" s="23" t="n">
        <v>19106.74</v>
      </c>
      <c r="F177" s="23" t="n">
        <v>-10972.53</v>
      </c>
      <c r="G177" s="23" t="n">
        <v>174703.85</v>
      </c>
      <c r="H177" s="18">
        <f>Parity!$AY$163</f>
        <v/>
      </c>
      <c r="I177" s="18">
        <f>Parity!$BD$163</f>
        <v/>
      </c>
      <c r="J177" s="18">
        <f>Parity!$BE$163</f>
        <v/>
      </c>
      <c r="K177" s="18">
        <f>Parity!$AT$163</f>
        <v/>
      </c>
      <c r="L177" s="8">
        <f>$H177-$D177</f>
        <v/>
      </c>
      <c r="M177" s="8">
        <f>$I177-$E177</f>
        <v/>
      </c>
      <c r="N177" s="8">
        <f>$J177-$F177</f>
        <v/>
      </c>
      <c r="O177" s="8">
        <f>$K177-$G177</f>
        <v/>
      </c>
      <c r="P177" s="8">
        <f>IF(AND(ABS($L177)&lt;=tol_parity_inr_t,ABS($M177)&lt;=tol_parity_inr_t,ABS($N177)&lt;=tol_parity_inr_t,ABS($O177)&lt;=tol_parity_inr_t),"PASS","FAIL")</f>
        <v/>
      </c>
    </row>
    <row r="178">
      <c r="A178" s="11" t="n">
        <v>44750</v>
      </c>
      <c r="B178" s="7" t="inlineStr">
        <is>
          <t>taint_tabor</t>
        </is>
      </c>
      <c r="C178" s="7" t="inlineStr">
        <is>
          <t>JEA_NSA</t>
        </is>
      </c>
      <c r="D178" s="23" t="n">
        <v>-6346.68</v>
      </c>
      <c r="E178" s="23" t="n">
        <v>18321.88</v>
      </c>
      <c r="F178" s="23" t="n">
        <v>-11729.23</v>
      </c>
      <c r="G178" s="23" t="n">
        <v>172705.48</v>
      </c>
      <c r="H178" s="18">
        <f>Parity!$AY$164</f>
        <v/>
      </c>
      <c r="I178" s="18">
        <f>Parity!$BD$164</f>
        <v/>
      </c>
      <c r="J178" s="18">
        <f>Parity!$BE$164</f>
        <v/>
      </c>
      <c r="K178" s="18">
        <f>Parity!$AT$164</f>
        <v/>
      </c>
      <c r="L178" s="8">
        <f>$H178-$D178</f>
        <v/>
      </c>
      <c r="M178" s="8">
        <f>$I178-$E178</f>
        <v/>
      </c>
      <c r="N178" s="8">
        <f>$J178-$F178</f>
        <v/>
      </c>
      <c r="O178" s="8">
        <f>$K178-$G178</f>
        <v/>
      </c>
      <c r="P178" s="8">
        <f>IF(AND(ABS($L178)&lt;=tol_parity_inr_t,ABS($M178)&lt;=tol_parity_inr_t,ABS($N178)&lt;=tol_parity_inr_t,ABS($O178)&lt;=tol_parity_inr_t),"PASS","FAIL")</f>
        <v/>
      </c>
    </row>
    <row r="179">
      <c r="A179" s="11" t="n">
        <v>44750</v>
      </c>
      <c r="B179" s="7" t="inlineStr">
        <is>
          <t>taint_tabor</t>
        </is>
      </c>
      <c r="C179" s="7" t="inlineStr">
        <is>
          <t>USEC_MUN</t>
        </is>
      </c>
      <c r="D179" s="23" t="n">
        <v>-7458.36</v>
      </c>
      <c r="E179" s="23" t="n">
        <v>17428.16</v>
      </c>
      <c r="F179" s="23" t="n">
        <v>-12840.91</v>
      </c>
      <c r="G179" s="23" t="n">
        <v>174703.85</v>
      </c>
      <c r="H179" s="18">
        <f>Parity!$AY$165</f>
        <v/>
      </c>
      <c r="I179" s="18">
        <f>Parity!$BD$165</f>
        <v/>
      </c>
      <c r="J179" s="18">
        <f>Parity!$BE$165</f>
        <v/>
      </c>
      <c r="K179" s="18">
        <f>Parity!$AT$165</f>
        <v/>
      </c>
      <c r="L179" s="8">
        <f>$H179-$D179</f>
        <v/>
      </c>
      <c r="M179" s="8">
        <f>$I179-$E179</f>
        <v/>
      </c>
      <c r="N179" s="8">
        <f>$J179-$F179</f>
        <v/>
      </c>
      <c r="O179" s="8">
        <f>$K179-$G179</f>
        <v/>
      </c>
      <c r="P179" s="8">
        <f>IF(AND(ABS($L179)&lt;=tol_parity_inr_t,ABS($M179)&lt;=tol_parity_inr_t,ABS($N179)&lt;=tol_parity_inr_t,ABS($O179)&lt;=tol_parity_inr_t),"PASS","FAIL")</f>
        <v/>
      </c>
    </row>
    <row r="180">
      <c r="A180" s="11" t="n">
        <v>44750</v>
      </c>
      <c r="B180" s="7" t="inlineStr">
        <is>
          <t>tense</t>
        </is>
      </c>
      <c r="C180" s="7" t="inlineStr">
        <is>
          <t>JEA_NSA</t>
        </is>
      </c>
      <c r="D180" s="23" t="n">
        <v>7699.58</v>
      </c>
      <c r="E180" s="23" t="n">
        <v>32368.14</v>
      </c>
      <c r="F180" s="23" t="n">
        <v>2200.01</v>
      </c>
      <c r="G180" s="23" t="n">
        <v>162275.72</v>
      </c>
      <c r="H180" s="18">
        <f>Parity!$AY$166</f>
        <v/>
      </c>
      <c r="I180" s="18">
        <f>Parity!$BD$166</f>
        <v/>
      </c>
      <c r="J180" s="18">
        <f>Parity!$BE$166</f>
        <v/>
      </c>
      <c r="K180" s="18">
        <f>Parity!$AT$166</f>
        <v/>
      </c>
      <c r="L180" s="8">
        <f>$H180-$D180</f>
        <v/>
      </c>
      <c r="M180" s="8">
        <f>$I180-$E180</f>
        <v/>
      </c>
      <c r="N180" s="8">
        <f>$J180-$F180</f>
        <v/>
      </c>
      <c r="O180" s="8">
        <f>$K180-$G180</f>
        <v/>
      </c>
      <c r="P180" s="8">
        <f>IF(AND(ABS($L180)&lt;=tol_parity_inr_t,ABS($M180)&lt;=tol_parity_inr_t,ABS($N180)&lt;=tol_parity_inr_t,ABS($O180)&lt;=tol_parity_inr_t),"PASS","FAIL")</f>
        <v/>
      </c>
    </row>
    <row r="181">
      <c r="A181" s="11" t="n">
        <v>44750</v>
      </c>
      <c r="B181" s="7" t="inlineStr">
        <is>
          <t>tense</t>
        </is>
      </c>
      <c r="C181" s="7" t="inlineStr">
        <is>
          <t>USEC_MUN</t>
        </is>
      </c>
      <c r="D181" s="23" t="n">
        <v>6263.82</v>
      </c>
      <c r="E181" s="23" t="n">
        <v>31150.33</v>
      </c>
      <c r="F181" s="23" t="n">
        <v>764.25</v>
      </c>
      <c r="G181" s="23" t="n">
        <v>164617.44</v>
      </c>
      <c r="H181" s="18">
        <f>Parity!$AY$167</f>
        <v/>
      </c>
      <c r="I181" s="18">
        <f>Parity!$BD$167</f>
        <v/>
      </c>
      <c r="J181" s="18">
        <f>Parity!$BE$167</f>
        <v/>
      </c>
      <c r="K181" s="18">
        <f>Parity!$AT$167</f>
        <v/>
      </c>
      <c r="L181" s="8">
        <f>$H181-$D181</f>
        <v/>
      </c>
      <c r="M181" s="8">
        <f>$I181-$E181</f>
        <v/>
      </c>
      <c r="N181" s="8">
        <f>$J181-$F181</f>
        <v/>
      </c>
      <c r="O181" s="8">
        <f>$K181-$G181</f>
        <v/>
      </c>
      <c r="P181" s="8">
        <f>IF(AND(ABS($L181)&lt;=tol_parity_inr_t,ABS($M181)&lt;=tol_parity_inr_t,ABS($N181)&lt;=tol_parity_inr_t,ABS($O181)&lt;=tol_parity_inr_t),"PASS","FAIL")</f>
        <v/>
      </c>
    </row>
    <row r="182">
      <c r="A182" s="11" t="n">
        <v>44757</v>
      </c>
      <c r="B182" s="7" t="inlineStr">
        <is>
          <t>zorba</t>
        </is>
      </c>
      <c r="C182" s="7" t="inlineStr">
        <is>
          <t>JEA_NSA</t>
        </is>
      </c>
      <c r="D182" s="23" t="n">
        <v>-5126.31</v>
      </c>
      <c r="E182" s="23" t="n">
        <v>16503.93</v>
      </c>
      <c r="F182" s="23" t="n">
        <v>-10319.05</v>
      </c>
      <c r="G182" s="23" t="n">
        <v>168272.6</v>
      </c>
      <c r="H182" s="18">
        <f>Parity!$AY$168</f>
        <v/>
      </c>
      <c r="I182" s="18">
        <f>Parity!$BD$168</f>
        <v/>
      </c>
      <c r="J182" s="18">
        <f>Parity!$BE$168</f>
        <v/>
      </c>
      <c r="K182" s="18">
        <f>Parity!$AT$168</f>
        <v/>
      </c>
      <c r="L182" s="8">
        <f>$H182-$D182</f>
        <v/>
      </c>
      <c r="M182" s="8">
        <f>$I182-$E182</f>
        <v/>
      </c>
      <c r="N182" s="8">
        <f>$J182-$F182</f>
        <v/>
      </c>
      <c r="O182" s="8">
        <f>$K182-$G182</f>
        <v/>
      </c>
      <c r="P182" s="8">
        <f>IF(AND(ABS($L182)&lt;=tol_parity_inr_t,ABS($M182)&lt;=tol_parity_inr_t,ABS($N182)&lt;=tol_parity_inr_t,ABS($O182)&lt;=tol_parity_inr_t),"PASS","FAIL")</f>
        <v/>
      </c>
    </row>
    <row r="183">
      <c r="A183" s="11" t="n">
        <v>44757</v>
      </c>
      <c r="B183" s="7" t="inlineStr">
        <is>
          <t>zorba</t>
        </is>
      </c>
      <c r="C183" s="7" t="inlineStr">
        <is>
          <t>USEC_MUN</t>
        </is>
      </c>
      <c r="D183" s="23" t="n">
        <v>-6768.07</v>
      </c>
      <c r="E183" s="23" t="n">
        <v>15055.19</v>
      </c>
      <c r="F183" s="23" t="n">
        <v>-11960.82</v>
      </c>
      <c r="G183" s="23" t="n">
        <v>170748.07</v>
      </c>
      <c r="H183" s="18">
        <f>Parity!$AY$169</f>
        <v/>
      </c>
      <c r="I183" s="18">
        <f>Parity!$BD$169</f>
        <v/>
      </c>
      <c r="J183" s="18">
        <f>Parity!$BE$169</f>
        <v/>
      </c>
      <c r="K183" s="18">
        <f>Parity!$AT$169</f>
        <v/>
      </c>
      <c r="L183" s="8">
        <f>$H183-$D183</f>
        <v/>
      </c>
      <c r="M183" s="8">
        <f>$I183-$E183</f>
        <v/>
      </c>
      <c r="N183" s="8">
        <f>$J183-$F183</f>
        <v/>
      </c>
      <c r="O183" s="8">
        <f>$K183-$G183</f>
        <v/>
      </c>
      <c r="P183" s="8">
        <f>IF(AND(ABS($L183)&lt;=tol_parity_inr_t,ABS($M183)&lt;=tol_parity_inr_t,ABS($N183)&lt;=tol_parity_inr_t,ABS($O183)&lt;=tol_parity_inr_t),"PASS","FAIL")</f>
        <v/>
      </c>
    </row>
    <row r="184">
      <c r="A184" s="11" t="n">
        <v>44757</v>
      </c>
      <c r="B184" s="7" t="inlineStr">
        <is>
          <t>taint_tabor</t>
        </is>
      </c>
      <c r="C184" s="7" t="inlineStr">
        <is>
          <t>JEA_NSA</t>
        </is>
      </c>
      <c r="D184" s="23" t="n">
        <v>-7317.49</v>
      </c>
      <c r="E184" s="23" t="n">
        <v>14312.75</v>
      </c>
      <c r="F184" s="23" t="n">
        <v>-12700.04</v>
      </c>
      <c r="G184" s="23" t="n">
        <v>168770.99</v>
      </c>
      <c r="H184" s="18">
        <f>Parity!$AY$170</f>
        <v/>
      </c>
      <c r="I184" s="18">
        <f>Parity!$BD$170</f>
        <v/>
      </c>
      <c r="J184" s="18">
        <f>Parity!$BE$170</f>
        <v/>
      </c>
      <c r="K184" s="18">
        <f>Parity!$AT$170</f>
        <v/>
      </c>
      <c r="L184" s="8">
        <f>$H184-$D184</f>
        <v/>
      </c>
      <c r="M184" s="8">
        <f>$I184-$E184</f>
        <v/>
      </c>
      <c r="N184" s="8">
        <f>$J184-$F184</f>
        <v/>
      </c>
      <c r="O184" s="8">
        <f>$K184-$G184</f>
        <v/>
      </c>
      <c r="P184" s="8">
        <f>IF(AND(ABS($L184)&lt;=tol_parity_inr_t,ABS($M184)&lt;=tol_parity_inr_t,ABS($N184)&lt;=tol_parity_inr_t,ABS($O184)&lt;=tol_parity_inr_t),"PASS","FAIL")</f>
        <v/>
      </c>
    </row>
    <row r="185">
      <c r="A185" s="11" t="n">
        <v>44757</v>
      </c>
      <c r="B185" s="7" t="inlineStr">
        <is>
          <t>taint_tabor</t>
        </is>
      </c>
      <c r="C185" s="7" t="inlineStr">
        <is>
          <t>USEC_MUN</t>
        </is>
      </c>
      <c r="D185" s="23" t="n">
        <v>-8430.389999999999</v>
      </c>
      <c r="E185" s="23" t="n">
        <v>13392.86</v>
      </c>
      <c r="F185" s="23" t="n">
        <v>-13812.94</v>
      </c>
      <c r="G185" s="23" t="n">
        <v>170748.07</v>
      </c>
      <c r="H185" s="18">
        <f>Parity!$AY$171</f>
        <v/>
      </c>
      <c r="I185" s="18">
        <f>Parity!$BD$171</f>
        <v/>
      </c>
      <c r="J185" s="18">
        <f>Parity!$BE$171</f>
        <v/>
      </c>
      <c r="K185" s="18">
        <f>Parity!$AT$171</f>
        <v/>
      </c>
      <c r="L185" s="8">
        <f>$H185-$D185</f>
        <v/>
      </c>
      <c r="M185" s="8">
        <f>$I185-$E185</f>
        <v/>
      </c>
      <c r="N185" s="8">
        <f>$J185-$F185</f>
        <v/>
      </c>
      <c r="O185" s="8">
        <f>$K185-$G185</f>
        <v/>
      </c>
      <c r="P185" s="8">
        <f>IF(AND(ABS($L185)&lt;=tol_parity_inr_t,ABS($M185)&lt;=tol_parity_inr_t,ABS($N185)&lt;=tol_parity_inr_t,ABS($O185)&lt;=tol_parity_inr_t),"PASS","FAIL")</f>
        <v/>
      </c>
    </row>
    <row r="186">
      <c r="A186" s="11" t="n">
        <v>44757</v>
      </c>
      <c r="B186" s="7" t="inlineStr">
        <is>
          <t>tense</t>
        </is>
      </c>
      <c r="C186" s="7" t="inlineStr">
        <is>
          <t>JEA_NSA</t>
        </is>
      </c>
      <c r="D186" s="23" t="n">
        <v>6367.66</v>
      </c>
      <c r="E186" s="23" t="n">
        <v>27997.9</v>
      </c>
      <c r="F186" s="23" t="n">
        <v>868.09</v>
      </c>
      <c r="G186" s="23" t="n">
        <v>158595.71</v>
      </c>
      <c r="H186" s="18">
        <f>Parity!$AY$172</f>
        <v/>
      </c>
      <c r="I186" s="18">
        <f>Parity!$BD$172</f>
        <v/>
      </c>
      <c r="J186" s="18">
        <f>Parity!$BE$172</f>
        <v/>
      </c>
      <c r="K186" s="18">
        <f>Parity!$AT$172</f>
        <v/>
      </c>
      <c r="L186" s="8">
        <f>$H186-$D186</f>
        <v/>
      </c>
      <c r="M186" s="8">
        <f>$I186-$E186</f>
        <v/>
      </c>
      <c r="N186" s="8">
        <f>$J186-$F186</f>
        <v/>
      </c>
      <c r="O186" s="8">
        <f>$K186-$G186</f>
        <v/>
      </c>
      <c r="P186" s="8">
        <f>IF(AND(ABS($L186)&lt;=tol_parity_inr_t,ABS($M186)&lt;=tol_parity_inr_t,ABS($N186)&lt;=tol_parity_inr_t,ABS($O186)&lt;=tol_parity_inr_t),"PASS","FAIL")</f>
        <v/>
      </c>
    </row>
    <row r="187">
      <c r="A187" s="11" t="n">
        <v>44757</v>
      </c>
      <c r="B187" s="7" t="inlineStr">
        <is>
          <t>tense</t>
        </is>
      </c>
      <c r="C187" s="7" t="inlineStr">
        <is>
          <t>USEC_MUN</t>
        </is>
      </c>
      <c r="D187" s="23" t="n">
        <v>4928.55</v>
      </c>
      <c r="E187" s="23" t="n">
        <v>26751.81</v>
      </c>
      <c r="F187" s="23" t="n">
        <v>-571.02</v>
      </c>
      <c r="G187" s="23" t="n">
        <v>160917.77</v>
      </c>
      <c r="H187" s="18">
        <f>Parity!$AY$173</f>
        <v/>
      </c>
      <c r="I187" s="18">
        <f>Parity!$BD$173</f>
        <v/>
      </c>
      <c r="J187" s="18">
        <f>Parity!$BE$173</f>
        <v/>
      </c>
      <c r="K187" s="18">
        <f>Parity!$AT$173</f>
        <v/>
      </c>
      <c r="L187" s="8">
        <f>$H187-$D187</f>
        <v/>
      </c>
      <c r="M187" s="8">
        <f>$I187-$E187</f>
        <v/>
      </c>
      <c r="N187" s="8">
        <f>$J187-$F187</f>
        <v/>
      </c>
      <c r="O187" s="8">
        <f>$K187-$G187</f>
        <v/>
      </c>
      <c r="P187" s="8">
        <f>IF(AND(ABS($L187)&lt;=tol_parity_inr_t,ABS($M187)&lt;=tol_parity_inr_t,ABS($N187)&lt;=tol_parity_inr_t,ABS($O187)&lt;=tol_parity_inr_t),"PASS","FAIL")</f>
        <v/>
      </c>
    </row>
    <row r="188">
      <c r="A188" s="11" t="n">
        <v>44764</v>
      </c>
      <c r="B188" s="7" t="inlineStr">
        <is>
          <t>zorba</t>
        </is>
      </c>
      <c r="C188" s="7" t="inlineStr">
        <is>
          <t>JEA_NSA</t>
        </is>
      </c>
      <c r="D188" s="23" t="n">
        <v>-170.44</v>
      </c>
      <c r="E188" s="23" t="n">
        <v>16946.51</v>
      </c>
      <c r="F188" s="23" t="n">
        <v>-5363.19</v>
      </c>
      <c r="G188" s="23" t="n">
        <v>174021.78</v>
      </c>
      <c r="H188" s="18">
        <f>Parity!$AY$174</f>
        <v/>
      </c>
      <c r="I188" s="18">
        <f>Parity!$BD$174</f>
        <v/>
      </c>
      <c r="J188" s="18">
        <f>Parity!$BE$174</f>
        <v/>
      </c>
      <c r="K188" s="18">
        <f>Parity!$AT$174</f>
        <v/>
      </c>
      <c r="L188" s="8">
        <f>$H188-$D188</f>
        <v/>
      </c>
      <c r="M188" s="8">
        <f>$I188-$E188</f>
        <v/>
      </c>
      <c r="N188" s="8">
        <f>$J188-$F188</f>
        <v/>
      </c>
      <c r="O188" s="8">
        <f>$K188-$G188</f>
        <v/>
      </c>
      <c r="P188" s="8">
        <f>IF(AND(ABS($L188)&lt;=tol_parity_inr_t,ABS($M188)&lt;=tol_parity_inr_t,ABS($N188)&lt;=tol_parity_inr_t,ABS($O188)&lt;=tol_parity_inr_t),"PASS","FAIL")</f>
        <v/>
      </c>
    </row>
    <row r="189">
      <c r="A189" s="11" t="n">
        <v>44764</v>
      </c>
      <c r="B189" s="7" t="inlineStr">
        <is>
          <t>zorba</t>
        </is>
      </c>
      <c r="C189" s="7" t="inlineStr">
        <is>
          <t>USEC_MUN</t>
        </is>
      </c>
      <c r="D189" s="23" t="n">
        <v>-1813.15</v>
      </c>
      <c r="E189" s="23" t="n">
        <v>15456.54</v>
      </c>
      <c r="F189" s="23" t="n">
        <v>-7005.9</v>
      </c>
      <c r="G189" s="23" t="n">
        <v>176548.46</v>
      </c>
      <c r="H189" s="18">
        <f>Parity!$AY$175</f>
        <v/>
      </c>
      <c r="I189" s="18">
        <f>Parity!$BD$175</f>
        <v/>
      </c>
      <c r="J189" s="18">
        <f>Parity!$BE$175</f>
        <v/>
      </c>
      <c r="K189" s="18">
        <f>Parity!$AT$175</f>
        <v/>
      </c>
      <c r="L189" s="8">
        <f>$H189-$D189</f>
        <v/>
      </c>
      <c r="M189" s="8">
        <f>$I189-$E189</f>
        <v/>
      </c>
      <c r="N189" s="8">
        <f>$J189-$F189</f>
        <v/>
      </c>
      <c r="O189" s="8">
        <f>$K189-$G189</f>
        <v/>
      </c>
      <c r="P189" s="8">
        <f>IF(AND(ABS($L189)&lt;=tol_parity_inr_t,ABS($M189)&lt;=tol_parity_inr_t,ABS($N189)&lt;=tol_parity_inr_t,ABS($O189)&lt;=tol_parity_inr_t),"PASS","FAIL")</f>
        <v/>
      </c>
    </row>
    <row r="190">
      <c r="A190" s="11" t="n">
        <v>44764</v>
      </c>
      <c r="B190" s="7" t="inlineStr">
        <is>
          <t>taint_tabor</t>
        </is>
      </c>
      <c r="C190" s="7" t="inlineStr">
        <is>
          <t>JEA_NSA</t>
        </is>
      </c>
      <c r="D190" s="23" t="n">
        <v>-2370.73</v>
      </c>
      <c r="E190" s="23" t="n">
        <v>14746.21</v>
      </c>
      <c r="F190" s="23" t="n">
        <v>-7753.28</v>
      </c>
      <c r="G190" s="23" t="n">
        <v>174520.18</v>
      </c>
      <c r="H190" s="18">
        <f>Parity!$AY$176</f>
        <v/>
      </c>
      <c r="I190" s="18">
        <f>Parity!$BD$176</f>
        <v/>
      </c>
      <c r="J190" s="18">
        <f>Parity!$BE$176</f>
        <v/>
      </c>
      <c r="K190" s="18">
        <f>Parity!$AT$176</f>
        <v/>
      </c>
      <c r="L190" s="8">
        <f>$H190-$D190</f>
        <v/>
      </c>
      <c r="M190" s="8">
        <f>$I190-$E190</f>
        <v/>
      </c>
      <c r="N190" s="8">
        <f>$J190-$F190</f>
        <v/>
      </c>
      <c r="O190" s="8">
        <f>$K190-$G190</f>
        <v/>
      </c>
      <c r="P190" s="8">
        <f>IF(AND(ABS($L190)&lt;=tol_parity_inr_t,ABS($M190)&lt;=tol_parity_inr_t,ABS($N190)&lt;=tol_parity_inr_t,ABS($O190)&lt;=tol_parity_inr_t),"PASS","FAIL")</f>
        <v/>
      </c>
    </row>
    <row r="191">
      <c r="A191" s="11" t="n">
        <v>44764</v>
      </c>
      <c r="B191" s="7" t="inlineStr">
        <is>
          <t>taint_tabor</t>
        </is>
      </c>
      <c r="C191" s="7" t="inlineStr">
        <is>
          <t>USEC_MUN</t>
        </is>
      </c>
      <c r="D191" s="23" t="n">
        <v>-3482.73</v>
      </c>
      <c r="E191" s="23" t="n">
        <v>13786.95</v>
      </c>
      <c r="F191" s="23" t="n">
        <v>-8865.280000000001</v>
      </c>
      <c r="G191" s="23" t="n">
        <v>176548.46</v>
      </c>
      <c r="H191" s="18">
        <f>Parity!$AY$177</f>
        <v/>
      </c>
      <c r="I191" s="18">
        <f>Parity!$BD$177</f>
        <v/>
      </c>
      <c r="J191" s="18">
        <f>Parity!$BE$177</f>
        <v/>
      </c>
      <c r="K191" s="18">
        <f>Parity!$AT$177</f>
        <v/>
      </c>
      <c r="L191" s="8">
        <f>$H191-$D191</f>
        <v/>
      </c>
      <c r="M191" s="8">
        <f>$I191-$E191</f>
        <v/>
      </c>
      <c r="N191" s="8">
        <f>$J191-$F191</f>
        <v/>
      </c>
      <c r="O191" s="8">
        <f>$K191-$G191</f>
        <v/>
      </c>
      <c r="P191" s="8">
        <f>IF(AND(ABS($L191)&lt;=tol_parity_inr_t,ABS($M191)&lt;=tol_parity_inr_t,ABS($N191)&lt;=tol_parity_inr_t,ABS($O191)&lt;=tol_parity_inr_t),"PASS","FAIL")</f>
        <v/>
      </c>
    </row>
    <row r="192">
      <c r="A192" s="11" t="n">
        <v>44764</v>
      </c>
      <c r="B192" s="7" t="inlineStr">
        <is>
          <t>tense</t>
        </is>
      </c>
      <c r="C192" s="7" t="inlineStr">
        <is>
          <t>JEA_NSA</t>
        </is>
      </c>
      <c r="D192" s="23" t="n">
        <v>12059.2</v>
      </c>
      <c r="E192" s="23" t="n">
        <v>29176.15</v>
      </c>
      <c r="F192" s="23" t="n">
        <v>6559.64</v>
      </c>
      <c r="G192" s="23" t="n">
        <v>163832.62</v>
      </c>
      <c r="H192" s="18">
        <f>Parity!$AY$178</f>
        <v/>
      </c>
      <c r="I192" s="18">
        <f>Parity!$BD$178</f>
        <v/>
      </c>
      <c r="J192" s="18">
        <f>Parity!$BE$178</f>
        <v/>
      </c>
      <c r="K192" s="18">
        <f>Parity!$AT$178</f>
        <v/>
      </c>
      <c r="L192" s="8">
        <f>$H192-$D192</f>
        <v/>
      </c>
      <c r="M192" s="8">
        <f>$I192-$E192</f>
        <v/>
      </c>
      <c r="N192" s="8">
        <f>$J192-$F192</f>
        <v/>
      </c>
      <c r="O192" s="8">
        <f>$K192-$G192</f>
        <v/>
      </c>
      <c r="P192" s="8">
        <f>IF(AND(ABS($L192)&lt;=tol_parity_inr_t,ABS($M192)&lt;=tol_parity_inr_t,ABS($N192)&lt;=tol_parity_inr_t,ABS($O192)&lt;=tol_parity_inr_t),"PASS","FAIL")</f>
        <v/>
      </c>
    </row>
    <row r="193">
      <c r="A193" s="11" t="n">
        <v>44764</v>
      </c>
      <c r="B193" s="7" t="inlineStr">
        <is>
          <t>tense</t>
        </is>
      </c>
      <c r="C193" s="7" t="inlineStr">
        <is>
          <t>USEC_MUN</t>
        </is>
      </c>
      <c r="D193" s="23" t="n">
        <v>10626.69</v>
      </c>
      <c r="E193" s="23" t="n">
        <v>27896.38</v>
      </c>
      <c r="F193" s="23" t="n">
        <v>5127.13</v>
      </c>
      <c r="G193" s="23" t="n">
        <v>166201.34</v>
      </c>
      <c r="H193" s="18">
        <f>Parity!$AY$179</f>
        <v/>
      </c>
      <c r="I193" s="18">
        <f>Parity!$BD$179</f>
        <v/>
      </c>
      <c r="J193" s="18">
        <f>Parity!$BE$179</f>
        <v/>
      </c>
      <c r="K193" s="18">
        <f>Parity!$AT$179</f>
        <v/>
      </c>
      <c r="L193" s="8">
        <f>$H193-$D193</f>
        <v/>
      </c>
      <c r="M193" s="8">
        <f>$I193-$E193</f>
        <v/>
      </c>
      <c r="N193" s="8">
        <f>$J193-$F193</f>
        <v/>
      </c>
      <c r="O193" s="8">
        <f>$K193-$G193</f>
        <v/>
      </c>
      <c r="P193" s="8">
        <f>IF(AND(ABS($L193)&lt;=tol_parity_inr_t,ABS($M193)&lt;=tol_parity_inr_t,ABS($N193)&lt;=tol_parity_inr_t,ABS($O193)&lt;=tol_parity_inr_t),"PASS","FAIL")</f>
        <v/>
      </c>
    </row>
    <row r="194">
      <c r="A194" s="11" t="n">
        <v>44771</v>
      </c>
      <c r="B194" s="7" t="inlineStr">
        <is>
          <t>zorba</t>
        </is>
      </c>
      <c r="C194" s="7" t="inlineStr">
        <is>
          <t>JEA_NSA</t>
        </is>
      </c>
      <c r="D194" s="23" t="n">
        <v>3132.16</v>
      </c>
      <c r="E194" s="23" t="n">
        <v>14431.54</v>
      </c>
      <c r="F194" s="23" t="n">
        <v>-2060.59</v>
      </c>
      <c r="G194" s="23" t="n">
        <v>168543.1</v>
      </c>
      <c r="H194" s="18">
        <f>Parity!$AY$180</f>
        <v/>
      </c>
      <c r="I194" s="18">
        <f>Parity!$BD$180</f>
        <v/>
      </c>
      <c r="J194" s="18">
        <f>Parity!$BE$180</f>
        <v/>
      </c>
      <c r="K194" s="18">
        <f>Parity!$AT$180</f>
        <v/>
      </c>
      <c r="L194" s="8">
        <f>$H194-$D194</f>
        <v/>
      </c>
      <c r="M194" s="8">
        <f>$I194-$E194</f>
        <v/>
      </c>
      <c r="N194" s="8">
        <f>$J194-$F194</f>
        <v/>
      </c>
      <c r="O194" s="8">
        <f>$K194-$G194</f>
        <v/>
      </c>
      <c r="P194" s="8">
        <f>IF(AND(ABS($L194)&lt;=tol_parity_inr_t,ABS($M194)&lt;=tol_parity_inr_t,ABS($N194)&lt;=tol_parity_inr_t,ABS($O194)&lt;=tol_parity_inr_t),"PASS","FAIL")</f>
        <v/>
      </c>
    </row>
    <row r="195">
      <c r="A195" s="11" t="n">
        <v>44771</v>
      </c>
      <c r="B195" s="7" t="inlineStr">
        <is>
          <t>zorba</t>
        </is>
      </c>
      <c r="C195" s="7" t="inlineStr">
        <is>
          <t>USEC_MUN</t>
        </is>
      </c>
      <c r="D195" s="23" t="n">
        <v>1528.5</v>
      </c>
      <c r="E195" s="23" t="n">
        <v>12928.7</v>
      </c>
      <c r="F195" s="23" t="n">
        <v>-3664.25</v>
      </c>
      <c r="G195" s="23" t="n">
        <v>171021.74</v>
      </c>
      <c r="H195" s="18">
        <f>Parity!$AY$181</f>
        <v/>
      </c>
      <c r="I195" s="18">
        <f>Parity!$BD$181</f>
        <v/>
      </c>
      <c r="J195" s="18">
        <f>Parity!$BE$181</f>
        <v/>
      </c>
      <c r="K195" s="18">
        <f>Parity!$AT$181</f>
        <v/>
      </c>
      <c r="L195" s="8">
        <f>$H195-$D195</f>
        <v/>
      </c>
      <c r="M195" s="8">
        <f>$I195-$E195</f>
        <v/>
      </c>
      <c r="N195" s="8">
        <f>$J195-$F195</f>
        <v/>
      </c>
      <c r="O195" s="8">
        <f>$K195-$G195</f>
        <v/>
      </c>
      <c r="P195" s="8">
        <f>IF(AND(ABS($L195)&lt;=tol_parity_inr_t,ABS($M195)&lt;=tol_parity_inr_t,ABS($N195)&lt;=tol_parity_inr_t,ABS($O195)&lt;=tol_parity_inr_t),"PASS","FAIL")</f>
        <v/>
      </c>
    </row>
    <row r="196">
      <c r="A196" s="11" t="n">
        <v>44771</v>
      </c>
      <c r="B196" s="7" t="inlineStr">
        <is>
          <t>taint_tabor</t>
        </is>
      </c>
      <c r="C196" s="7" t="inlineStr">
        <is>
          <t>JEA_NSA</t>
        </is>
      </c>
      <c r="D196" s="23" t="n">
        <v>972.04</v>
      </c>
      <c r="E196" s="23" t="n">
        <v>12271.42</v>
      </c>
      <c r="F196" s="23" t="n">
        <v>-4410.51</v>
      </c>
      <c r="G196" s="23" t="n">
        <v>169041.25</v>
      </c>
      <c r="H196" s="18">
        <f>Parity!$AY$182</f>
        <v/>
      </c>
      <c r="I196" s="18">
        <f>Parity!$BD$182</f>
        <v/>
      </c>
      <c r="J196" s="18">
        <f>Parity!$BE$182</f>
        <v/>
      </c>
      <c r="K196" s="18">
        <f>Parity!$AT$182</f>
        <v/>
      </c>
      <c r="L196" s="8">
        <f>$H196-$D196</f>
        <v/>
      </c>
      <c r="M196" s="8">
        <f>$I196-$E196</f>
        <v/>
      </c>
      <c r="N196" s="8">
        <f>$J196-$F196</f>
        <v/>
      </c>
      <c r="O196" s="8">
        <f>$K196-$G196</f>
        <v/>
      </c>
      <c r="P196" s="8">
        <f>IF(AND(ABS($L196)&lt;=tol_parity_inr_t,ABS($M196)&lt;=tol_parity_inr_t,ABS($N196)&lt;=tol_parity_inr_t,ABS($O196)&lt;=tol_parity_inr_t),"PASS","FAIL")</f>
        <v/>
      </c>
    </row>
    <row r="197">
      <c r="A197" s="11" t="n">
        <v>44771</v>
      </c>
      <c r="B197" s="7" t="inlineStr">
        <is>
          <t>taint_tabor</t>
        </is>
      </c>
      <c r="C197" s="7" t="inlineStr">
        <is>
          <t>USEC_MUN</t>
        </is>
      </c>
      <c r="D197" s="23" t="n">
        <v>-101.5</v>
      </c>
      <c r="E197" s="23" t="n">
        <v>11298.71</v>
      </c>
      <c r="F197" s="23" t="n">
        <v>-5484.05</v>
      </c>
      <c r="G197" s="23" t="n">
        <v>171021.74</v>
      </c>
      <c r="H197" s="18">
        <f>Parity!$AY$183</f>
        <v/>
      </c>
      <c r="I197" s="18">
        <f>Parity!$BD$183</f>
        <v/>
      </c>
      <c r="J197" s="18">
        <f>Parity!$BE$183</f>
        <v/>
      </c>
      <c r="K197" s="18">
        <f>Parity!$AT$183</f>
        <v/>
      </c>
      <c r="L197" s="8">
        <f>$H197-$D197</f>
        <v/>
      </c>
      <c r="M197" s="8">
        <f>$I197-$E197</f>
        <v/>
      </c>
      <c r="N197" s="8">
        <f>$J197-$F197</f>
        <v/>
      </c>
      <c r="O197" s="8">
        <f>$K197-$G197</f>
        <v/>
      </c>
      <c r="P197" s="8">
        <f>IF(AND(ABS($L197)&lt;=tol_parity_inr_t,ABS($M197)&lt;=tol_parity_inr_t,ABS($N197)&lt;=tol_parity_inr_t,ABS($O197)&lt;=tol_parity_inr_t),"PASS","FAIL")</f>
        <v/>
      </c>
    </row>
    <row r="198">
      <c r="A198" s="11" t="n">
        <v>44771</v>
      </c>
      <c r="B198" s="7" t="inlineStr">
        <is>
          <t>tense</t>
        </is>
      </c>
      <c r="C198" s="7" t="inlineStr">
        <is>
          <t>JEA_NSA</t>
        </is>
      </c>
      <c r="D198" s="23" t="n">
        <v>15205.9</v>
      </c>
      <c r="E198" s="23" t="n">
        <v>26505.28</v>
      </c>
      <c r="F198" s="23" t="n">
        <v>9706.34</v>
      </c>
      <c r="G198" s="23" t="n">
        <v>158503.33</v>
      </c>
      <c r="H198" s="18">
        <f>Parity!$AY$184</f>
        <v/>
      </c>
      <c r="I198" s="18">
        <f>Parity!$BD$184</f>
        <v/>
      </c>
      <c r="J198" s="18">
        <f>Parity!$BE$184</f>
        <v/>
      </c>
      <c r="K198" s="18">
        <f>Parity!$AT$184</f>
        <v/>
      </c>
      <c r="L198" s="8">
        <f>$H198-$D198</f>
        <v/>
      </c>
      <c r="M198" s="8">
        <f>$I198-$E198</f>
        <v/>
      </c>
      <c r="N198" s="8">
        <f>$J198-$F198</f>
        <v/>
      </c>
      <c r="O198" s="8">
        <f>$K198-$G198</f>
        <v/>
      </c>
      <c r="P198" s="8">
        <f>IF(AND(ABS($L198)&lt;=tol_parity_inr_t,ABS($M198)&lt;=tol_parity_inr_t,ABS($N198)&lt;=tol_parity_inr_t,ABS($O198)&lt;=tol_parity_inr_t),"PASS","FAIL")</f>
        <v/>
      </c>
    </row>
    <row r="199">
      <c r="A199" s="11" t="n">
        <v>44771</v>
      </c>
      <c r="B199" s="7" t="inlineStr">
        <is>
          <t>tense</t>
        </is>
      </c>
      <c r="C199" s="7" t="inlineStr">
        <is>
          <t>USEC_MUN</t>
        </is>
      </c>
      <c r="D199" s="23" t="n">
        <v>13810.54</v>
      </c>
      <c r="E199" s="23" t="n">
        <v>25210.74</v>
      </c>
      <c r="F199" s="23" t="n">
        <v>8310.969999999999</v>
      </c>
      <c r="G199" s="23" t="n">
        <v>160825.37</v>
      </c>
      <c r="H199" s="18">
        <f>Parity!$AY$185</f>
        <v/>
      </c>
      <c r="I199" s="18">
        <f>Parity!$BD$185</f>
        <v/>
      </c>
      <c r="J199" s="18">
        <f>Parity!$BE$185</f>
        <v/>
      </c>
      <c r="K199" s="18">
        <f>Parity!$AT$185</f>
        <v/>
      </c>
      <c r="L199" s="8">
        <f>$H199-$D199</f>
        <v/>
      </c>
      <c r="M199" s="8">
        <f>$I199-$E199</f>
        <v/>
      </c>
      <c r="N199" s="8">
        <f>$J199-$F199</f>
        <v/>
      </c>
      <c r="O199" s="8">
        <f>$K199-$G199</f>
        <v/>
      </c>
      <c r="P199" s="8">
        <f>IF(AND(ABS($L199)&lt;=tol_parity_inr_t,ABS($M199)&lt;=tol_parity_inr_t,ABS($N199)&lt;=tol_parity_inr_t,ABS($O199)&lt;=tol_parity_inr_t),"PASS","FAIL")</f>
        <v/>
      </c>
    </row>
    <row r="200">
      <c r="A200" s="11" t="n">
        <v>44778</v>
      </c>
      <c r="B200" s="7" t="inlineStr">
        <is>
          <t>zorba</t>
        </is>
      </c>
      <c r="C200" s="7" t="inlineStr">
        <is>
          <t>JEA_NSA</t>
        </is>
      </c>
      <c r="D200" s="23" t="n">
        <v>6276.68</v>
      </c>
      <c r="E200" s="23" t="n">
        <v>12006.62</v>
      </c>
      <c r="F200" s="23" t="n">
        <v>1083.93</v>
      </c>
      <c r="G200" s="23" t="n">
        <v>165540.51</v>
      </c>
      <c r="H200" s="18">
        <f>Parity!$AY$186</f>
        <v/>
      </c>
      <c r="I200" s="18">
        <f>Parity!$BD$186</f>
        <v/>
      </c>
      <c r="J200" s="18">
        <f>Parity!$BE$186</f>
        <v/>
      </c>
      <c r="K200" s="18">
        <f>Parity!$AT$186</f>
        <v/>
      </c>
      <c r="L200" s="8">
        <f>$H200-$D200</f>
        <v/>
      </c>
      <c r="M200" s="8">
        <f>$I200-$E200</f>
        <v/>
      </c>
      <c r="N200" s="8">
        <f>$J200-$F200</f>
        <v/>
      </c>
      <c r="O200" s="8">
        <f>$K200-$G200</f>
        <v/>
      </c>
      <c r="P200" s="8">
        <f>IF(AND(ABS($L200)&lt;=tol_parity_inr_t,ABS($M200)&lt;=tol_parity_inr_t,ABS($N200)&lt;=tol_parity_inr_t,ABS($O200)&lt;=tol_parity_inr_t),"PASS","FAIL")</f>
        <v/>
      </c>
    </row>
    <row r="201">
      <c r="A201" s="11" t="n">
        <v>44778</v>
      </c>
      <c r="B201" s="7" t="inlineStr">
        <is>
          <t>zorba</t>
        </is>
      </c>
      <c r="C201" s="7" t="inlineStr">
        <is>
          <t>USEC_MUN</t>
        </is>
      </c>
      <c r="D201" s="23" t="n">
        <v>4666.9</v>
      </c>
      <c r="E201" s="23" t="n">
        <v>10447.97</v>
      </c>
      <c r="F201" s="23" t="n">
        <v>-525.85</v>
      </c>
      <c r="G201" s="23" t="n">
        <v>167992.55</v>
      </c>
      <c r="H201" s="18">
        <f>Parity!$AY$187</f>
        <v/>
      </c>
      <c r="I201" s="18">
        <f>Parity!$BD$187</f>
        <v/>
      </c>
      <c r="J201" s="18">
        <f>Parity!$BE$187</f>
        <v/>
      </c>
      <c r="K201" s="18">
        <f>Parity!$AT$187</f>
        <v/>
      </c>
      <c r="L201" s="8">
        <f>$H201-$D201</f>
        <v/>
      </c>
      <c r="M201" s="8">
        <f>$I201-$E201</f>
        <v/>
      </c>
      <c r="N201" s="8">
        <f>$J201-$F201</f>
        <v/>
      </c>
      <c r="O201" s="8">
        <f>$K201-$G201</f>
        <v/>
      </c>
      <c r="P201" s="8">
        <f>IF(AND(ABS($L201)&lt;=tol_parity_inr_t,ABS($M201)&lt;=tol_parity_inr_t,ABS($N201)&lt;=tol_parity_inr_t,ABS($O201)&lt;=tol_parity_inr_t),"PASS","FAIL")</f>
        <v/>
      </c>
    </row>
    <row r="202">
      <c r="A202" s="11" t="n">
        <v>44778</v>
      </c>
      <c r="B202" s="7" t="inlineStr">
        <is>
          <t>taint_tabor</t>
        </is>
      </c>
      <c r="C202" s="7" t="inlineStr">
        <is>
          <t>JEA_NSA</t>
        </is>
      </c>
      <c r="D202" s="23" t="n">
        <v>4123.06</v>
      </c>
      <c r="E202" s="23" t="n">
        <v>9853</v>
      </c>
      <c r="F202" s="23" t="n">
        <v>-1259.49</v>
      </c>
      <c r="G202" s="23" t="n">
        <v>166038.6</v>
      </c>
      <c r="H202" s="18">
        <f>Parity!$AY$188</f>
        <v/>
      </c>
      <c r="I202" s="18">
        <f>Parity!$BD$188</f>
        <v/>
      </c>
      <c r="J202" s="18">
        <f>Parity!$BE$188</f>
        <v/>
      </c>
      <c r="K202" s="18">
        <f>Parity!$AT$188</f>
        <v/>
      </c>
      <c r="L202" s="8">
        <f>$H202-$D202</f>
        <v/>
      </c>
      <c r="M202" s="8">
        <f>$I202-$E202</f>
        <v/>
      </c>
      <c r="N202" s="8">
        <f>$J202-$F202</f>
        <v/>
      </c>
      <c r="O202" s="8">
        <f>$K202-$G202</f>
        <v/>
      </c>
      <c r="P202" s="8">
        <f>IF(AND(ABS($L202)&lt;=tol_parity_inr_t,ABS($M202)&lt;=tol_parity_inr_t,ABS($N202)&lt;=tol_parity_inr_t,ABS($O202)&lt;=tol_parity_inr_t),"PASS","FAIL")</f>
        <v/>
      </c>
    </row>
    <row r="203">
      <c r="A203" s="11" t="n">
        <v>44778</v>
      </c>
      <c r="B203" s="7" t="inlineStr">
        <is>
          <t>taint_tabor</t>
        </is>
      </c>
      <c r="C203" s="7" t="inlineStr">
        <is>
          <t>USEC_MUN</t>
        </is>
      </c>
      <c r="D203" s="23" t="n">
        <v>3042.17</v>
      </c>
      <c r="E203" s="23" t="n">
        <v>8823.24</v>
      </c>
      <c r="F203" s="23" t="n">
        <v>-2340.39</v>
      </c>
      <c r="G203" s="23" t="n">
        <v>167992.55</v>
      </c>
      <c r="H203" s="18">
        <f>Parity!$AY$189</f>
        <v/>
      </c>
      <c r="I203" s="18">
        <f>Parity!$BD$189</f>
        <v/>
      </c>
      <c r="J203" s="18">
        <f>Parity!$BE$189</f>
        <v/>
      </c>
      <c r="K203" s="18">
        <f>Parity!$AT$189</f>
        <v/>
      </c>
      <c r="L203" s="8">
        <f>$H203-$D203</f>
        <v/>
      </c>
      <c r="M203" s="8">
        <f>$I203-$E203</f>
        <v/>
      </c>
      <c r="N203" s="8">
        <f>$J203-$F203</f>
        <v/>
      </c>
      <c r="O203" s="8">
        <f>$K203-$G203</f>
        <v/>
      </c>
      <c r="P203" s="8">
        <f>IF(AND(ABS($L203)&lt;=tol_parity_inr_t,ABS($M203)&lt;=tol_parity_inr_t,ABS($N203)&lt;=tol_parity_inr_t,ABS($O203)&lt;=tol_parity_inr_t),"PASS","FAIL")</f>
        <v/>
      </c>
    </row>
    <row r="204">
      <c r="A204" s="11" t="n">
        <v>44778</v>
      </c>
      <c r="B204" s="7" t="inlineStr">
        <is>
          <t>tense</t>
        </is>
      </c>
      <c r="C204" s="7" t="inlineStr">
        <is>
          <t>JEA_NSA</t>
        </is>
      </c>
      <c r="D204" s="23" t="n">
        <v>18357.9</v>
      </c>
      <c r="E204" s="23" t="n">
        <v>24087.84</v>
      </c>
      <c r="F204" s="23" t="n">
        <v>12858.34</v>
      </c>
      <c r="G204" s="23" t="n">
        <v>155502.93</v>
      </c>
      <c r="H204" s="18">
        <f>Parity!$AY$190</f>
        <v/>
      </c>
      <c r="I204" s="18">
        <f>Parity!$BD$190</f>
        <v/>
      </c>
      <c r="J204" s="18">
        <f>Parity!$BE$190</f>
        <v/>
      </c>
      <c r="K204" s="18">
        <f>Parity!$AT$190</f>
        <v/>
      </c>
      <c r="L204" s="8">
        <f>$H204-$D204</f>
        <v/>
      </c>
      <c r="M204" s="8">
        <f>$I204-$E204</f>
        <v/>
      </c>
      <c r="N204" s="8">
        <f>$J204-$F204</f>
        <v/>
      </c>
      <c r="O204" s="8">
        <f>$K204-$G204</f>
        <v/>
      </c>
      <c r="P204" s="8">
        <f>IF(AND(ABS($L204)&lt;=tol_parity_inr_t,ABS($M204)&lt;=tol_parity_inr_t,ABS($N204)&lt;=tol_parity_inr_t,ABS($O204)&lt;=tol_parity_inr_t),"PASS","FAIL")</f>
        <v/>
      </c>
    </row>
    <row r="205">
      <c r="A205" s="11" t="n">
        <v>44778</v>
      </c>
      <c r="B205" s="7" t="inlineStr">
        <is>
          <t>tense</t>
        </is>
      </c>
      <c r="C205" s="7" t="inlineStr">
        <is>
          <t>USEC_MUN</t>
        </is>
      </c>
      <c r="D205" s="23" t="n">
        <v>16954.46</v>
      </c>
      <c r="E205" s="23" t="n">
        <v>22735.53</v>
      </c>
      <c r="F205" s="23" t="n">
        <v>11454.9</v>
      </c>
      <c r="G205" s="23" t="n">
        <v>157798.4</v>
      </c>
      <c r="H205" s="18">
        <f>Parity!$AY$191</f>
        <v/>
      </c>
      <c r="I205" s="18">
        <f>Parity!$BD$191</f>
        <v/>
      </c>
      <c r="J205" s="18">
        <f>Parity!$BE$191</f>
        <v/>
      </c>
      <c r="K205" s="18">
        <f>Parity!$AT$191</f>
        <v/>
      </c>
      <c r="L205" s="8">
        <f>$H205-$D205</f>
        <v/>
      </c>
      <c r="M205" s="8">
        <f>$I205-$E205</f>
        <v/>
      </c>
      <c r="N205" s="8">
        <f>$J205-$F205</f>
        <v/>
      </c>
      <c r="O205" s="8">
        <f>$K205-$G205</f>
        <v/>
      </c>
      <c r="P205" s="8">
        <f>IF(AND(ABS($L205)&lt;=tol_parity_inr_t,ABS($M205)&lt;=tol_parity_inr_t,ABS($N205)&lt;=tol_parity_inr_t,ABS($O205)&lt;=tol_parity_inr_t),"PASS","FAIL")</f>
        <v/>
      </c>
    </row>
    <row r="206">
      <c r="A206" s="11" t="n">
        <v>44785</v>
      </c>
      <c r="B206" s="7" t="inlineStr">
        <is>
          <t>zorba</t>
        </is>
      </c>
      <c r="C206" s="7" t="inlineStr">
        <is>
          <t>JEA_NSA</t>
        </is>
      </c>
      <c r="D206" s="23" t="n">
        <v>9265.719999999999</v>
      </c>
      <c r="E206" s="23" t="n">
        <v>9431.4</v>
      </c>
      <c r="F206" s="23" t="n">
        <v>4072.98</v>
      </c>
      <c r="G206" s="23" t="n">
        <v>165252.78</v>
      </c>
      <c r="H206" s="18">
        <f>Parity!$AY$192</f>
        <v/>
      </c>
      <c r="I206" s="18">
        <f>Parity!$BD$192</f>
        <v/>
      </c>
      <c r="J206" s="18">
        <f>Parity!$BE$192</f>
        <v/>
      </c>
      <c r="K206" s="18">
        <f>Parity!$AT$192</f>
        <v/>
      </c>
      <c r="L206" s="8">
        <f>$H206-$D206</f>
        <v/>
      </c>
      <c r="M206" s="8">
        <f>$I206-$E206</f>
        <v/>
      </c>
      <c r="N206" s="8">
        <f>$J206-$F206</f>
        <v/>
      </c>
      <c r="O206" s="8">
        <f>$K206-$G206</f>
        <v/>
      </c>
      <c r="P206" s="8">
        <f>IF(AND(ABS($L206)&lt;=tol_parity_inr_t,ABS($M206)&lt;=tol_parity_inr_t,ABS($N206)&lt;=tol_parity_inr_t,ABS($O206)&lt;=tol_parity_inr_t),"PASS","FAIL")</f>
        <v/>
      </c>
    </row>
    <row r="207">
      <c r="A207" s="11" t="n">
        <v>44785</v>
      </c>
      <c r="B207" s="7" t="inlineStr">
        <is>
          <t>zorba</t>
        </is>
      </c>
      <c r="C207" s="7" t="inlineStr">
        <is>
          <t>USEC_MUN</t>
        </is>
      </c>
      <c r="D207" s="23" t="n">
        <v>7672.11</v>
      </c>
      <c r="E207" s="23" t="n">
        <v>7839.27</v>
      </c>
      <c r="F207" s="23" t="n">
        <v>2479.36</v>
      </c>
      <c r="G207" s="23" t="n">
        <v>167701.47</v>
      </c>
      <c r="H207" s="18">
        <f>Parity!$AY$193</f>
        <v/>
      </c>
      <c r="I207" s="18">
        <f>Parity!$BD$193</f>
        <v/>
      </c>
      <c r="J207" s="18">
        <f>Parity!$BE$193</f>
        <v/>
      </c>
      <c r="K207" s="18">
        <f>Parity!$AT$193</f>
        <v/>
      </c>
      <c r="L207" s="8">
        <f>$H207-$D207</f>
        <v/>
      </c>
      <c r="M207" s="8">
        <f>$I207-$E207</f>
        <v/>
      </c>
      <c r="N207" s="8">
        <f>$J207-$F207</f>
        <v/>
      </c>
      <c r="O207" s="8">
        <f>$K207-$G207</f>
        <v/>
      </c>
      <c r="P207" s="8">
        <f>IF(AND(ABS($L207)&lt;=tol_parity_inr_t,ABS($M207)&lt;=tol_parity_inr_t,ABS($N207)&lt;=tol_parity_inr_t,ABS($O207)&lt;=tol_parity_inr_t),"PASS","FAIL")</f>
        <v/>
      </c>
    </row>
    <row r="208">
      <c r="A208" s="11" t="n">
        <v>44785</v>
      </c>
      <c r="B208" s="7" t="inlineStr">
        <is>
          <t>taint_tabor</t>
        </is>
      </c>
      <c r="C208" s="7" t="inlineStr">
        <is>
          <t>JEA_NSA</t>
        </is>
      </c>
      <c r="D208" s="23" t="n">
        <v>7076.71</v>
      </c>
      <c r="E208" s="23" t="n">
        <v>7242.39</v>
      </c>
      <c r="F208" s="23" t="n">
        <v>1694.15</v>
      </c>
      <c r="G208" s="23" t="n">
        <v>165751.12</v>
      </c>
      <c r="H208" s="18">
        <f>Parity!$AY$194</f>
        <v/>
      </c>
      <c r="I208" s="18">
        <f>Parity!$BD$194</f>
        <v/>
      </c>
      <c r="J208" s="18">
        <f>Parity!$BE$194</f>
        <v/>
      </c>
      <c r="K208" s="18">
        <f>Parity!$AT$194</f>
        <v/>
      </c>
      <c r="L208" s="8">
        <f>$H208-$D208</f>
        <v/>
      </c>
      <c r="M208" s="8">
        <f>$I208-$E208</f>
        <v/>
      </c>
      <c r="N208" s="8">
        <f>$J208-$F208</f>
        <v/>
      </c>
      <c r="O208" s="8">
        <f>$K208-$G208</f>
        <v/>
      </c>
      <c r="P208" s="8">
        <f>IF(AND(ABS($L208)&lt;=tol_parity_inr_t,ABS($M208)&lt;=tol_parity_inr_t,ABS($N208)&lt;=tol_parity_inr_t,ABS($O208)&lt;=tol_parity_inr_t),"PASS","FAIL")</f>
        <v/>
      </c>
    </row>
    <row r="209">
      <c r="A209" s="11" t="n">
        <v>44785</v>
      </c>
      <c r="B209" s="7" t="inlineStr">
        <is>
          <t>taint_tabor</t>
        </is>
      </c>
      <c r="C209" s="7" t="inlineStr">
        <is>
          <t>USEC_MUN</t>
        </is>
      </c>
      <c r="D209" s="23" t="n">
        <v>6012.68</v>
      </c>
      <c r="E209" s="23" t="n">
        <v>6179.84</v>
      </c>
      <c r="F209" s="23" t="n">
        <v>630.13</v>
      </c>
      <c r="G209" s="23" t="n">
        <v>167701.47</v>
      </c>
      <c r="H209" s="18">
        <f>Parity!$AY$195</f>
        <v/>
      </c>
      <c r="I209" s="18">
        <f>Parity!$BD$195</f>
        <v/>
      </c>
      <c r="J209" s="18">
        <f>Parity!$BE$195</f>
        <v/>
      </c>
      <c r="K209" s="18">
        <f>Parity!$AT$195</f>
        <v/>
      </c>
      <c r="L209" s="8">
        <f>$H209-$D209</f>
        <v/>
      </c>
      <c r="M209" s="8">
        <f>$I209-$E209</f>
        <v/>
      </c>
      <c r="N209" s="8">
        <f>$J209-$F209</f>
        <v/>
      </c>
      <c r="O209" s="8">
        <f>$K209-$G209</f>
        <v/>
      </c>
      <c r="P209" s="8">
        <f>IF(AND(ABS($L209)&lt;=tol_parity_inr_t,ABS($M209)&lt;=tol_parity_inr_t,ABS($N209)&lt;=tol_parity_inr_t,ABS($O209)&lt;=tol_parity_inr_t),"PASS","FAIL")</f>
        <v/>
      </c>
    </row>
    <row r="210">
      <c r="A210" s="11" t="n">
        <v>44785</v>
      </c>
      <c r="B210" s="7" t="inlineStr">
        <is>
          <t>tense</t>
        </is>
      </c>
      <c r="C210" s="7" t="inlineStr">
        <is>
          <t>JEA_NSA</t>
        </is>
      </c>
      <c r="D210" s="23" t="n">
        <v>21537.83</v>
      </c>
      <c r="E210" s="23" t="n">
        <v>21703.51</v>
      </c>
      <c r="F210" s="23" t="n">
        <v>16038.27</v>
      </c>
      <c r="G210" s="23" t="n">
        <v>155047.12</v>
      </c>
      <c r="H210" s="18">
        <f>Parity!$AY$196</f>
        <v/>
      </c>
      <c r="I210" s="18">
        <f>Parity!$BD$196</f>
        <v/>
      </c>
      <c r="J210" s="18">
        <f>Parity!$BE$196</f>
        <v/>
      </c>
      <c r="K210" s="18">
        <f>Parity!$AT$196</f>
        <v/>
      </c>
      <c r="L210" s="8">
        <f>$H210-$D210</f>
        <v/>
      </c>
      <c r="M210" s="8">
        <f>$I210-$E210</f>
        <v/>
      </c>
      <c r="N210" s="8">
        <f>$J210-$F210</f>
        <v/>
      </c>
      <c r="O210" s="8">
        <f>$K210-$G210</f>
        <v/>
      </c>
      <c r="P210" s="8">
        <f>IF(AND(ABS($L210)&lt;=tol_parity_inr_t,ABS($M210)&lt;=tol_parity_inr_t,ABS($N210)&lt;=tol_parity_inr_t,ABS($O210)&lt;=tol_parity_inr_t),"PASS","FAIL")</f>
        <v/>
      </c>
    </row>
    <row r="211">
      <c r="A211" s="11" t="n">
        <v>44785</v>
      </c>
      <c r="B211" s="7" t="inlineStr">
        <is>
          <t>tense</t>
        </is>
      </c>
      <c r="C211" s="7" t="inlineStr">
        <is>
          <t>USEC_MUN</t>
        </is>
      </c>
      <c r="D211" s="23" t="n">
        <v>20152.85</v>
      </c>
      <c r="E211" s="23" t="n">
        <v>20320.01</v>
      </c>
      <c r="F211" s="23" t="n">
        <v>14653.28</v>
      </c>
      <c r="G211" s="23" t="n">
        <v>157337.7</v>
      </c>
      <c r="H211" s="18">
        <f>Parity!$AY$197</f>
        <v/>
      </c>
      <c r="I211" s="18">
        <f>Parity!$BD$197</f>
        <v/>
      </c>
      <c r="J211" s="18">
        <f>Parity!$BE$197</f>
        <v/>
      </c>
      <c r="K211" s="18">
        <f>Parity!$AT$197</f>
        <v/>
      </c>
      <c r="L211" s="8">
        <f>$H211-$D211</f>
        <v/>
      </c>
      <c r="M211" s="8">
        <f>$I211-$E211</f>
        <v/>
      </c>
      <c r="N211" s="8">
        <f>$J211-$F211</f>
        <v/>
      </c>
      <c r="O211" s="8">
        <f>$K211-$G211</f>
        <v/>
      </c>
      <c r="P211" s="8">
        <f>IF(AND(ABS($L211)&lt;=tol_parity_inr_t,ABS($M211)&lt;=tol_parity_inr_t,ABS($N211)&lt;=tol_parity_inr_t,ABS($O211)&lt;=tol_parity_inr_t),"PASS","FAIL")</f>
        <v/>
      </c>
    </row>
    <row r="212">
      <c r="A212" s="11" t="n">
        <v>44792</v>
      </c>
      <c r="B212" s="7" t="inlineStr">
        <is>
          <t>zorba</t>
        </is>
      </c>
      <c r="C212" s="7" t="inlineStr">
        <is>
          <t>JEA_NSA</t>
        </is>
      </c>
      <c r="D212" s="23" t="n">
        <v>7208.29</v>
      </c>
      <c r="E212" s="23" t="n">
        <v>5923.58</v>
      </c>
      <c r="F212" s="23" t="n">
        <v>2015.54</v>
      </c>
      <c r="G212" s="23" t="n">
        <v>160236.79</v>
      </c>
      <c r="H212" s="18">
        <f>Parity!$AY$198</f>
        <v/>
      </c>
      <c r="I212" s="18">
        <f>Parity!$BD$198</f>
        <v/>
      </c>
      <c r="J212" s="18">
        <f>Parity!$BE$198</f>
        <v/>
      </c>
      <c r="K212" s="18">
        <f>Parity!$AT$198</f>
        <v/>
      </c>
      <c r="L212" s="8">
        <f>$H212-$D212</f>
        <v/>
      </c>
      <c r="M212" s="8">
        <f>$I212-$E212</f>
        <v/>
      </c>
      <c r="N212" s="8">
        <f>$J212-$F212</f>
        <v/>
      </c>
      <c r="O212" s="8">
        <f>$K212-$G212</f>
        <v/>
      </c>
      <c r="P212" s="8">
        <f>IF(AND(ABS($L212)&lt;=tol_parity_inr_t,ABS($M212)&lt;=tol_parity_inr_t,ABS($N212)&lt;=tol_parity_inr_t,ABS($O212)&lt;=tol_parity_inr_t),"PASS","FAIL")</f>
        <v/>
      </c>
    </row>
    <row r="213">
      <c r="A213" s="11" t="n">
        <v>44792</v>
      </c>
      <c r="B213" s="7" t="inlineStr">
        <is>
          <t>zorba</t>
        </is>
      </c>
      <c r="C213" s="7" t="inlineStr">
        <is>
          <t>USEC_MUN</t>
        </is>
      </c>
      <c r="D213" s="23" t="n">
        <v>5601.19</v>
      </c>
      <c r="E213" s="23" t="n">
        <v>4304.79</v>
      </c>
      <c r="F213" s="23" t="n">
        <v>408.44</v>
      </c>
      <c r="G213" s="23" t="n">
        <v>162668.41</v>
      </c>
      <c r="H213" s="18">
        <f>Parity!$AY$199</f>
        <v/>
      </c>
      <c r="I213" s="18">
        <f>Parity!$BD$199</f>
        <v/>
      </c>
      <c r="J213" s="18">
        <f>Parity!$BE$199</f>
        <v/>
      </c>
      <c r="K213" s="18">
        <f>Parity!$AT$199</f>
        <v/>
      </c>
      <c r="L213" s="8">
        <f>$H213-$D213</f>
        <v/>
      </c>
      <c r="M213" s="8">
        <f>$I213-$E213</f>
        <v/>
      </c>
      <c r="N213" s="8">
        <f>$J213-$F213</f>
        <v/>
      </c>
      <c r="O213" s="8">
        <f>$K213-$G213</f>
        <v/>
      </c>
      <c r="P213" s="8">
        <f>IF(AND(ABS($L213)&lt;=tol_parity_inr_t,ABS($M213)&lt;=tol_parity_inr_t,ABS($N213)&lt;=tol_parity_inr_t,ABS($O213)&lt;=tol_parity_inr_t),"PASS","FAIL")</f>
        <v/>
      </c>
    </row>
    <row r="214">
      <c r="A214" s="11" t="n">
        <v>44792</v>
      </c>
      <c r="B214" s="7" t="inlineStr">
        <is>
          <t>taint_tabor</t>
        </is>
      </c>
      <c r="C214" s="7" t="inlineStr">
        <is>
          <t>JEA_NSA</t>
        </is>
      </c>
      <c r="D214" s="23" t="n">
        <v>5049.12</v>
      </c>
      <c r="E214" s="23" t="n">
        <v>3764.41</v>
      </c>
      <c r="F214" s="23" t="n">
        <v>-333.44</v>
      </c>
      <c r="G214" s="23" t="n">
        <v>160735.19</v>
      </c>
      <c r="H214" s="18">
        <f>Parity!$AY$200</f>
        <v/>
      </c>
      <c r="I214" s="18">
        <f>Parity!$BD$200</f>
        <v/>
      </c>
      <c r="J214" s="18">
        <f>Parity!$BE$200</f>
        <v/>
      </c>
      <c r="K214" s="18">
        <f>Parity!$AT$200</f>
        <v/>
      </c>
      <c r="L214" s="8">
        <f>$H214-$D214</f>
        <v/>
      </c>
      <c r="M214" s="8">
        <f>$I214-$E214</f>
        <v/>
      </c>
      <c r="N214" s="8">
        <f>$J214-$F214</f>
        <v/>
      </c>
      <c r="O214" s="8">
        <f>$K214-$G214</f>
        <v/>
      </c>
      <c r="P214" s="8">
        <f>IF(AND(ABS($L214)&lt;=tol_parity_inr_t,ABS($M214)&lt;=tol_parity_inr_t,ABS($N214)&lt;=tol_parity_inr_t,ABS($O214)&lt;=tol_parity_inr_t),"PASS","FAIL")</f>
        <v/>
      </c>
    </row>
    <row r="215">
      <c r="A215" s="11" t="n">
        <v>44792</v>
      </c>
      <c r="B215" s="7" t="inlineStr">
        <is>
          <t>taint_tabor</t>
        </is>
      </c>
      <c r="C215" s="7" t="inlineStr">
        <is>
          <t>USEC_MUN</t>
        </is>
      </c>
      <c r="D215" s="23" t="n">
        <v>3970.55</v>
      </c>
      <c r="E215" s="23" t="n">
        <v>2674.15</v>
      </c>
      <c r="F215" s="23" t="n">
        <v>-1412</v>
      </c>
      <c r="G215" s="23" t="n">
        <v>162668.41</v>
      </c>
      <c r="H215" s="18">
        <f>Parity!$AY$201</f>
        <v/>
      </c>
      <c r="I215" s="18">
        <f>Parity!$BD$201</f>
        <v/>
      </c>
      <c r="J215" s="18">
        <f>Parity!$BE$201</f>
        <v/>
      </c>
      <c r="K215" s="18">
        <f>Parity!$AT$201</f>
        <v/>
      </c>
      <c r="L215" s="8">
        <f>$H215-$D215</f>
        <v/>
      </c>
      <c r="M215" s="8">
        <f>$I215-$E215</f>
        <v/>
      </c>
      <c r="N215" s="8">
        <f>$J215-$F215</f>
        <v/>
      </c>
      <c r="O215" s="8">
        <f>$K215-$G215</f>
        <v/>
      </c>
      <c r="P215" s="8">
        <f>IF(AND(ABS($L215)&lt;=tol_parity_inr_t,ABS($M215)&lt;=tol_parity_inr_t,ABS($N215)&lt;=tol_parity_inr_t,ABS($O215)&lt;=tol_parity_inr_t),"PASS","FAIL")</f>
        <v/>
      </c>
    </row>
    <row r="216">
      <c r="A216" s="11" t="n">
        <v>44792</v>
      </c>
      <c r="B216" s="7" t="inlineStr">
        <is>
          <t>tense</t>
        </is>
      </c>
      <c r="C216" s="7" t="inlineStr">
        <is>
          <t>JEA_NSA</t>
        </is>
      </c>
      <c r="D216" s="23" t="n">
        <v>18992.04</v>
      </c>
      <c r="E216" s="23" t="n">
        <v>17707.33</v>
      </c>
      <c r="F216" s="23" t="n">
        <v>13492.48</v>
      </c>
      <c r="G216" s="23" t="n">
        <v>150396.27</v>
      </c>
      <c r="H216" s="18">
        <f>Parity!$AY$202</f>
        <v/>
      </c>
      <c r="I216" s="18">
        <f>Parity!$BD$202</f>
        <v/>
      </c>
      <c r="J216" s="18">
        <f>Parity!$BE$202</f>
        <v/>
      </c>
      <c r="K216" s="18">
        <f>Parity!$AT$202</f>
        <v/>
      </c>
      <c r="L216" s="8">
        <f>$H216-$D216</f>
        <v/>
      </c>
      <c r="M216" s="8">
        <f>$I216-$E216</f>
        <v/>
      </c>
      <c r="N216" s="8">
        <f>$J216-$F216</f>
        <v/>
      </c>
      <c r="O216" s="8">
        <f>$K216-$G216</f>
        <v/>
      </c>
      <c r="P216" s="8">
        <f>IF(AND(ABS($L216)&lt;=tol_parity_inr_t,ABS($M216)&lt;=tol_parity_inr_t,ABS($N216)&lt;=tol_parity_inr_t,ABS($O216)&lt;=tol_parity_inr_t),"PASS","FAIL")</f>
        <v/>
      </c>
    </row>
    <row r="217">
      <c r="A217" s="11" t="n">
        <v>44792</v>
      </c>
      <c r="B217" s="7" t="inlineStr">
        <is>
          <t>tense</t>
        </is>
      </c>
      <c r="C217" s="7" t="inlineStr">
        <is>
          <t>USEC_MUN</t>
        </is>
      </c>
      <c r="D217" s="23" t="n">
        <v>17590.26</v>
      </c>
      <c r="E217" s="23" t="n">
        <v>16293.86</v>
      </c>
      <c r="F217" s="23" t="n">
        <v>12090.7</v>
      </c>
      <c r="G217" s="23" t="n">
        <v>152671.29</v>
      </c>
      <c r="H217" s="18">
        <f>Parity!$AY$203</f>
        <v/>
      </c>
      <c r="I217" s="18">
        <f>Parity!$BD$203</f>
        <v/>
      </c>
      <c r="J217" s="18">
        <f>Parity!$BE$203</f>
        <v/>
      </c>
      <c r="K217" s="18">
        <f>Parity!$AT$203</f>
        <v/>
      </c>
      <c r="L217" s="8">
        <f>$H217-$D217</f>
        <v/>
      </c>
      <c r="M217" s="8">
        <f>$I217-$E217</f>
        <v/>
      </c>
      <c r="N217" s="8">
        <f>$J217-$F217</f>
        <v/>
      </c>
      <c r="O217" s="8">
        <f>$K217-$G217</f>
        <v/>
      </c>
      <c r="P217" s="8">
        <f>IF(AND(ABS($L217)&lt;=tol_parity_inr_t,ABS($M217)&lt;=tol_parity_inr_t,ABS($N217)&lt;=tol_parity_inr_t,ABS($O217)&lt;=tol_parity_inr_t),"PASS","FAIL")</f>
        <v/>
      </c>
    </row>
    <row r="218">
      <c r="A218" s="11" t="n">
        <v>44799</v>
      </c>
      <c r="B218" s="7" t="inlineStr">
        <is>
          <t>zorba</t>
        </is>
      </c>
      <c r="C218" s="7" t="inlineStr">
        <is>
          <t>JEA_NSA</t>
        </is>
      </c>
      <c r="D218" s="23" t="n">
        <v>5063.46</v>
      </c>
      <c r="E218" s="23" t="n">
        <v>5357.85</v>
      </c>
      <c r="F218" s="23" t="n">
        <v>-129.29</v>
      </c>
      <c r="G218" s="23" t="n">
        <v>171403.52</v>
      </c>
      <c r="H218" s="18">
        <f>Parity!$AY$204</f>
        <v/>
      </c>
      <c r="I218" s="18">
        <f>Parity!$BD$204</f>
        <v/>
      </c>
      <c r="J218" s="18">
        <f>Parity!$BE$204</f>
        <v/>
      </c>
      <c r="K218" s="18">
        <f>Parity!$AT$204</f>
        <v/>
      </c>
      <c r="L218" s="8">
        <f>$H218-$D218</f>
        <v/>
      </c>
      <c r="M218" s="8">
        <f>$I218-$E218</f>
        <v/>
      </c>
      <c r="N218" s="8">
        <f>$J218-$F218</f>
        <v/>
      </c>
      <c r="O218" s="8">
        <f>$K218-$G218</f>
        <v/>
      </c>
      <c r="P218" s="8">
        <f>IF(AND(ABS($L218)&lt;=tol_parity_inr_t,ABS($M218)&lt;=tol_parity_inr_t,ABS($N218)&lt;=tol_parity_inr_t,ABS($O218)&lt;=tol_parity_inr_t),"PASS","FAIL")</f>
        <v/>
      </c>
    </row>
    <row r="219">
      <c r="A219" s="11" t="n">
        <v>44799</v>
      </c>
      <c r="B219" s="7" t="inlineStr">
        <is>
          <t>zorba</t>
        </is>
      </c>
      <c r="C219" s="7" t="inlineStr">
        <is>
          <t>USEC_MUN</t>
        </is>
      </c>
      <c r="D219" s="23" t="n">
        <v>3395.82</v>
      </c>
      <c r="E219" s="23" t="n">
        <v>3692.89</v>
      </c>
      <c r="F219" s="23" t="n">
        <v>-1796.92</v>
      </c>
      <c r="G219" s="23" t="n">
        <v>173936.78</v>
      </c>
      <c r="H219" s="18">
        <f>Parity!$AY$205</f>
        <v/>
      </c>
      <c r="I219" s="18">
        <f>Parity!$BD$205</f>
        <v/>
      </c>
      <c r="J219" s="18">
        <f>Parity!$BE$205</f>
        <v/>
      </c>
      <c r="K219" s="18">
        <f>Parity!$AT$205</f>
        <v/>
      </c>
      <c r="L219" s="8">
        <f>$H219-$D219</f>
        <v/>
      </c>
      <c r="M219" s="8">
        <f>$I219-$E219</f>
        <v/>
      </c>
      <c r="N219" s="8">
        <f>$J219-$F219</f>
        <v/>
      </c>
      <c r="O219" s="8">
        <f>$K219-$G219</f>
        <v/>
      </c>
      <c r="P219" s="8">
        <f>IF(AND(ABS($L219)&lt;=tol_parity_inr_t,ABS($M219)&lt;=tol_parity_inr_t,ABS($N219)&lt;=tol_parity_inr_t,ABS($O219)&lt;=tol_parity_inr_t),"PASS","FAIL")</f>
        <v/>
      </c>
    </row>
    <row r="220">
      <c r="A220" s="11" t="n">
        <v>44799</v>
      </c>
      <c r="B220" s="7" t="inlineStr">
        <is>
          <t>taint_tabor</t>
        </is>
      </c>
      <c r="C220" s="7" t="inlineStr">
        <is>
          <t>JEA_NSA</t>
        </is>
      </c>
      <c r="D220" s="23" t="n">
        <v>2869.02</v>
      </c>
      <c r="E220" s="23" t="n">
        <v>3163.41</v>
      </c>
      <c r="F220" s="23" t="n">
        <v>-2513.53</v>
      </c>
      <c r="G220" s="23" t="n">
        <v>171901.91</v>
      </c>
      <c r="H220" s="18">
        <f>Parity!$AY$206</f>
        <v/>
      </c>
      <c r="I220" s="18">
        <f>Parity!$BD$206</f>
        <v/>
      </c>
      <c r="J220" s="18">
        <f>Parity!$BE$206</f>
        <v/>
      </c>
      <c r="K220" s="18">
        <f>Parity!$AT$206</f>
        <v/>
      </c>
      <c r="L220" s="8">
        <f>$H220-$D220</f>
        <v/>
      </c>
      <c r="M220" s="8">
        <f>$I220-$E220</f>
        <v/>
      </c>
      <c r="N220" s="8">
        <f>$J220-$F220</f>
        <v/>
      </c>
      <c r="O220" s="8">
        <f>$K220-$G220</f>
        <v/>
      </c>
      <c r="P220" s="8">
        <f>IF(AND(ABS($L220)&lt;=tol_parity_inr_t,ABS($M220)&lt;=tol_parity_inr_t,ABS($N220)&lt;=tol_parity_inr_t,ABS($O220)&lt;=tol_parity_inr_t),"PASS","FAIL")</f>
        <v/>
      </c>
    </row>
    <row r="221">
      <c r="A221" s="11" t="n">
        <v>44799</v>
      </c>
      <c r="B221" s="7" t="inlineStr">
        <is>
          <t>taint_tabor</t>
        </is>
      </c>
      <c r="C221" s="7" t="inlineStr">
        <is>
          <t>USEC_MUN</t>
        </is>
      </c>
      <c r="D221" s="23" t="n">
        <v>1731.42</v>
      </c>
      <c r="E221" s="23" t="n">
        <v>2028.48</v>
      </c>
      <c r="F221" s="23" t="n">
        <v>-3651.14</v>
      </c>
      <c r="G221" s="23" t="n">
        <v>173936.78</v>
      </c>
      <c r="H221" s="18">
        <f>Parity!$AY$207</f>
        <v/>
      </c>
      <c r="I221" s="18">
        <f>Parity!$BD$207</f>
        <v/>
      </c>
      <c r="J221" s="18">
        <f>Parity!$BE$207</f>
        <v/>
      </c>
      <c r="K221" s="18">
        <f>Parity!$AT$207</f>
        <v/>
      </c>
      <c r="L221" s="8">
        <f>$H221-$D221</f>
        <v/>
      </c>
      <c r="M221" s="8">
        <f>$I221-$E221</f>
        <v/>
      </c>
      <c r="N221" s="8">
        <f>$J221-$F221</f>
        <v/>
      </c>
      <c r="O221" s="8">
        <f>$K221-$G221</f>
        <v/>
      </c>
      <c r="P221" s="8">
        <f>IF(AND(ABS($L221)&lt;=tol_parity_inr_t,ABS($M221)&lt;=tol_parity_inr_t,ABS($N221)&lt;=tol_parity_inr_t,ABS($O221)&lt;=tol_parity_inr_t),"PASS","FAIL")</f>
        <v/>
      </c>
    </row>
    <row r="222">
      <c r="A222" s="11" t="n">
        <v>44799</v>
      </c>
      <c r="B222" s="7" t="inlineStr">
        <is>
          <t>tense</t>
        </is>
      </c>
      <c r="C222" s="7" t="inlineStr">
        <is>
          <t>JEA_NSA</t>
        </is>
      </c>
      <c r="D222" s="23" t="n">
        <v>17470.86</v>
      </c>
      <c r="E222" s="23" t="n">
        <v>17765.25</v>
      </c>
      <c r="F222" s="23" t="n">
        <v>11971.29</v>
      </c>
      <c r="G222" s="23" t="n">
        <v>161099.43</v>
      </c>
      <c r="H222" s="18">
        <f>Parity!$AY$208</f>
        <v/>
      </c>
      <c r="I222" s="18">
        <f>Parity!$BD$208</f>
        <v/>
      </c>
      <c r="J222" s="18">
        <f>Parity!$BE$208</f>
        <v/>
      </c>
      <c r="K222" s="18">
        <f>Parity!$AT$208</f>
        <v/>
      </c>
      <c r="L222" s="8">
        <f>$H222-$D222</f>
        <v/>
      </c>
      <c r="M222" s="8">
        <f>$I222-$E222</f>
        <v/>
      </c>
      <c r="N222" s="8">
        <f>$J222-$F222</f>
        <v/>
      </c>
      <c r="O222" s="8">
        <f>$K222-$G222</f>
        <v/>
      </c>
      <c r="P222" s="8">
        <f>IF(AND(ABS($L222)&lt;=tol_parity_inr_t,ABS($M222)&lt;=tol_parity_inr_t,ABS($N222)&lt;=tol_parity_inr_t,ABS($O222)&lt;=tol_parity_inr_t),"PASS","FAIL")</f>
        <v/>
      </c>
    </row>
    <row r="223">
      <c r="A223" s="11" t="n">
        <v>44799</v>
      </c>
      <c r="B223" s="7" t="inlineStr">
        <is>
          <t>tense</t>
        </is>
      </c>
      <c r="C223" s="7" t="inlineStr">
        <is>
          <t>USEC_MUN</t>
        </is>
      </c>
      <c r="D223" s="23" t="n">
        <v>16015.19</v>
      </c>
      <c r="E223" s="23" t="n">
        <v>16312.26</v>
      </c>
      <c r="F223" s="23" t="n">
        <v>10515.63</v>
      </c>
      <c r="G223" s="23" t="n">
        <v>163471.88</v>
      </c>
      <c r="H223" s="18">
        <f>Parity!$AY$209</f>
        <v/>
      </c>
      <c r="I223" s="18">
        <f>Parity!$BD$209</f>
        <v/>
      </c>
      <c r="J223" s="18">
        <f>Parity!$BE$209</f>
        <v/>
      </c>
      <c r="K223" s="18">
        <f>Parity!$AT$209</f>
        <v/>
      </c>
      <c r="L223" s="8">
        <f>$H223-$D223</f>
        <v/>
      </c>
      <c r="M223" s="8">
        <f>$I223-$E223</f>
        <v/>
      </c>
      <c r="N223" s="8">
        <f>$J223-$F223</f>
        <v/>
      </c>
      <c r="O223" s="8">
        <f>$K223-$G223</f>
        <v/>
      </c>
      <c r="P223" s="8">
        <f>IF(AND(ABS($L223)&lt;=tol_parity_inr_t,ABS($M223)&lt;=tol_parity_inr_t,ABS($N223)&lt;=tol_parity_inr_t,ABS($O223)&lt;=tol_parity_inr_t),"PASS","FAIL")</f>
        <v/>
      </c>
    </row>
    <row r="224">
      <c r="A224" s="11" t="n">
        <v>44806</v>
      </c>
      <c r="B224" s="7" t="inlineStr">
        <is>
          <t>zorba</t>
        </is>
      </c>
      <c r="C224" s="7" t="inlineStr">
        <is>
          <t>JEA_NSA</t>
        </is>
      </c>
      <c r="D224" s="23" t="n">
        <v>331.57</v>
      </c>
      <c r="E224" s="23" t="n">
        <v>2122</v>
      </c>
      <c r="F224" s="23" t="n">
        <v>-4861.18</v>
      </c>
      <c r="G224" s="23" t="n">
        <v>162304.11</v>
      </c>
      <c r="H224" s="18">
        <f>Parity!$AY$210</f>
        <v/>
      </c>
      <c r="I224" s="18">
        <f>Parity!$BD$210</f>
        <v/>
      </c>
      <c r="J224" s="18">
        <f>Parity!$BE$210</f>
        <v/>
      </c>
      <c r="K224" s="18">
        <f>Parity!$AT$210</f>
        <v/>
      </c>
      <c r="L224" s="8">
        <f>$H224-$D224</f>
        <v/>
      </c>
      <c r="M224" s="8">
        <f>$I224-$E224</f>
        <v/>
      </c>
      <c r="N224" s="8">
        <f>$J224-$F224</f>
        <v/>
      </c>
      <c r="O224" s="8">
        <f>$K224-$G224</f>
        <v/>
      </c>
      <c r="P224" s="8">
        <f>IF(AND(ABS($L224)&lt;=tol_parity_inr_t,ABS($M224)&lt;=tol_parity_inr_t,ABS($N224)&lt;=tol_parity_inr_t,ABS($O224)&lt;=tol_parity_inr_t),"PASS","FAIL")</f>
        <v/>
      </c>
    </row>
    <row r="225">
      <c r="A225" s="11" t="n">
        <v>44806</v>
      </c>
      <c r="B225" s="7" t="inlineStr">
        <is>
          <t>zorba</t>
        </is>
      </c>
      <c r="C225" s="7" t="inlineStr">
        <is>
          <t>USEC_MUN</t>
        </is>
      </c>
      <c r="D225" s="23" t="n">
        <v>-1269.25</v>
      </c>
      <c r="E225" s="23" t="n">
        <v>537.47</v>
      </c>
      <c r="F225" s="23" t="n">
        <v>-6462</v>
      </c>
      <c r="G225" s="23" t="n">
        <v>164754.55</v>
      </c>
      <c r="H225" s="18">
        <f>Parity!$AY$211</f>
        <v/>
      </c>
      <c r="I225" s="18">
        <f>Parity!$BD$211</f>
        <v/>
      </c>
      <c r="J225" s="18">
        <f>Parity!$BE$211</f>
        <v/>
      </c>
      <c r="K225" s="18">
        <f>Parity!$AT$211</f>
        <v/>
      </c>
      <c r="L225" s="8">
        <f>$H225-$D225</f>
        <v/>
      </c>
      <c r="M225" s="8">
        <f>$I225-$E225</f>
        <v/>
      </c>
      <c r="N225" s="8">
        <f>$J225-$F225</f>
        <v/>
      </c>
      <c r="O225" s="8">
        <f>$K225-$G225</f>
        <v/>
      </c>
      <c r="P225" s="8">
        <f>IF(AND(ABS($L225)&lt;=tol_parity_inr_t,ABS($M225)&lt;=tol_parity_inr_t,ABS($N225)&lt;=tol_parity_inr_t,ABS($O225)&lt;=tol_parity_inr_t),"PASS","FAIL")</f>
        <v/>
      </c>
    </row>
    <row r="226">
      <c r="A226" s="11" t="n">
        <v>44806</v>
      </c>
      <c r="B226" s="7" t="inlineStr">
        <is>
          <t>taint_tabor</t>
        </is>
      </c>
      <c r="C226" s="7" t="inlineStr">
        <is>
          <t>JEA_NSA</t>
        </is>
      </c>
      <c r="D226" s="23" t="n">
        <v>-1765.52</v>
      </c>
      <c r="E226" s="23" t="n">
        <v>24.9</v>
      </c>
      <c r="F226" s="23" t="n">
        <v>-7148.08</v>
      </c>
      <c r="G226" s="23" t="n">
        <v>162802.51</v>
      </c>
      <c r="H226" s="18">
        <f>Parity!$AY$212</f>
        <v/>
      </c>
      <c r="I226" s="18">
        <f>Parity!$BD$212</f>
        <v/>
      </c>
      <c r="J226" s="18">
        <f>Parity!$BE$212</f>
        <v/>
      </c>
      <c r="K226" s="18">
        <f>Parity!$AT$212</f>
        <v/>
      </c>
      <c r="L226" s="8">
        <f>$H226-$D226</f>
        <v/>
      </c>
      <c r="M226" s="8">
        <f>$I226-$E226</f>
        <v/>
      </c>
      <c r="N226" s="8">
        <f>$J226-$F226</f>
        <v/>
      </c>
      <c r="O226" s="8">
        <f>$K226-$G226</f>
        <v/>
      </c>
      <c r="P226" s="8">
        <f>IF(AND(ABS($L226)&lt;=tol_parity_inr_t,ABS($M226)&lt;=tol_parity_inr_t,ABS($N226)&lt;=tol_parity_inr_t,ABS($O226)&lt;=tol_parity_inr_t),"PASS","FAIL")</f>
        <v/>
      </c>
    </row>
    <row r="227">
      <c r="A227" s="11" t="n">
        <v>44806</v>
      </c>
      <c r="B227" s="7" t="inlineStr">
        <is>
          <t>taint_tabor</t>
        </is>
      </c>
      <c r="C227" s="7" t="inlineStr">
        <is>
          <t>USEC_MUN</t>
        </is>
      </c>
      <c r="D227" s="23" t="n">
        <v>-2836.89</v>
      </c>
      <c r="E227" s="23" t="n">
        <v>-1030.17</v>
      </c>
      <c r="F227" s="23" t="n">
        <v>-8219.440000000001</v>
      </c>
      <c r="G227" s="23" t="n">
        <v>164754.55</v>
      </c>
      <c r="H227" s="18">
        <f>Parity!$AY$213</f>
        <v/>
      </c>
      <c r="I227" s="18">
        <f>Parity!$BD$213</f>
        <v/>
      </c>
      <c r="J227" s="18">
        <f>Parity!$BE$213</f>
        <v/>
      </c>
      <c r="K227" s="18">
        <f>Parity!$AT$213</f>
        <v/>
      </c>
      <c r="L227" s="8">
        <f>$H227-$D227</f>
        <v/>
      </c>
      <c r="M227" s="8">
        <f>$I227-$E227</f>
        <v/>
      </c>
      <c r="N227" s="8">
        <f>$J227-$F227</f>
        <v/>
      </c>
      <c r="O227" s="8">
        <f>$K227-$G227</f>
        <v/>
      </c>
      <c r="P227" s="8">
        <f>IF(AND(ABS($L227)&lt;=tol_parity_inr_t,ABS($M227)&lt;=tol_parity_inr_t,ABS($N227)&lt;=tol_parity_inr_t,ABS($O227)&lt;=tol_parity_inr_t),"PASS","FAIL")</f>
        <v/>
      </c>
    </row>
    <row r="228">
      <c r="A228" s="11" t="n">
        <v>44806</v>
      </c>
      <c r="B228" s="7" t="inlineStr">
        <is>
          <t>tense</t>
        </is>
      </c>
      <c r="C228" s="7" t="inlineStr">
        <is>
          <t>JEA_NSA</t>
        </is>
      </c>
      <c r="D228" s="23" t="n">
        <v>11769.86</v>
      </c>
      <c r="E228" s="23" t="n">
        <v>13560.29</v>
      </c>
      <c r="F228" s="23" t="n">
        <v>6270.3</v>
      </c>
      <c r="G228" s="23" t="n">
        <v>152767.93</v>
      </c>
      <c r="H228" s="18">
        <f>Parity!$AY$214</f>
        <v/>
      </c>
      <c r="I228" s="18">
        <f>Parity!$BD$214</f>
        <v/>
      </c>
      <c r="J228" s="18">
        <f>Parity!$BE$214</f>
        <v/>
      </c>
      <c r="K228" s="18">
        <f>Parity!$AT$214</f>
        <v/>
      </c>
      <c r="L228" s="8">
        <f>$H228-$D228</f>
        <v/>
      </c>
      <c r="M228" s="8">
        <f>$I228-$E228</f>
        <v/>
      </c>
      <c r="N228" s="8">
        <f>$J228-$F228</f>
        <v/>
      </c>
      <c r="O228" s="8">
        <f>$K228-$G228</f>
        <v/>
      </c>
      <c r="P228" s="8">
        <f>IF(AND(ABS($L228)&lt;=tol_parity_inr_t,ABS($M228)&lt;=tol_parity_inr_t,ABS($N228)&lt;=tol_parity_inr_t,ABS($O228)&lt;=tol_parity_inr_t),"PASS","FAIL")</f>
        <v/>
      </c>
    </row>
    <row r="229">
      <c r="A229" s="11" t="n">
        <v>44806</v>
      </c>
      <c r="B229" s="7" t="inlineStr">
        <is>
          <t>tense</t>
        </is>
      </c>
      <c r="C229" s="7" t="inlineStr">
        <is>
          <t>USEC_MUN</t>
        </is>
      </c>
      <c r="D229" s="23" t="n">
        <v>10373.07</v>
      </c>
      <c r="E229" s="23" t="n">
        <v>12179.79</v>
      </c>
      <c r="F229" s="23" t="n">
        <v>4873.51</v>
      </c>
      <c r="G229" s="23" t="n">
        <v>155064.53</v>
      </c>
      <c r="H229" s="18">
        <f>Parity!$AY$215</f>
        <v/>
      </c>
      <c r="I229" s="18">
        <f>Parity!$BD$215</f>
        <v/>
      </c>
      <c r="J229" s="18">
        <f>Parity!$BE$215</f>
        <v/>
      </c>
      <c r="K229" s="18">
        <f>Parity!$AT$215</f>
        <v/>
      </c>
      <c r="L229" s="8">
        <f>$H229-$D229</f>
        <v/>
      </c>
      <c r="M229" s="8">
        <f>$I229-$E229</f>
        <v/>
      </c>
      <c r="N229" s="8">
        <f>$J229-$F229</f>
        <v/>
      </c>
      <c r="O229" s="8">
        <f>$K229-$G229</f>
        <v/>
      </c>
      <c r="P229" s="8">
        <f>IF(AND(ABS($L229)&lt;=tol_parity_inr_t,ABS($M229)&lt;=tol_parity_inr_t,ABS($N229)&lt;=tol_parity_inr_t,ABS($O229)&lt;=tol_parity_inr_t),"PASS","FAIL")</f>
        <v/>
      </c>
    </row>
    <row r="230">
      <c r="A230" s="11" t="n">
        <v>44813</v>
      </c>
      <c r="B230" s="7" t="inlineStr">
        <is>
          <t>zorba</t>
        </is>
      </c>
      <c r="C230" s="7" t="inlineStr">
        <is>
          <t>JEA_NSA</t>
        </is>
      </c>
      <c r="D230" s="23" t="n">
        <v>-4810.89</v>
      </c>
      <c r="E230" s="23" t="n">
        <v>-1530.27</v>
      </c>
      <c r="F230" s="23" t="n">
        <v>-10003.64</v>
      </c>
      <c r="G230" s="23" t="n">
        <v>164401.92</v>
      </c>
      <c r="H230" s="18">
        <f>Parity!$AY$216</f>
        <v/>
      </c>
      <c r="I230" s="18">
        <f>Parity!$BD$216</f>
        <v/>
      </c>
      <c r="J230" s="18">
        <f>Parity!$BE$216</f>
        <v/>
      </c>
      <c r="K230" s="18">
        <f>Parity!$AT$216</f>
        <v/>
      </c>
      <c r="L230" s="8">
        <f>$H230-$D230</f>
        <v/>
      </c>
      <c r="M230" s="8">
        <f>$I230-$E230</f>
        <v/>
      </c>
      <c r="N230" s="8">
        <f>$J230-$F230</f>
        <v/>
      </c>
      <c r="O230" s="8">
        <f>$K230-$G230</f>
        <v/>
      </c>
      <c r="P230" s="8">
        <f>IF(AND(ABS($L230)&lt;=tol_parity_inr_t,ABS($M230)&lt;=tol_parity_inr_t,ABS($N230)&lt;=tol_parity_inr_t,ABS($O230)&lt;=tol_parity_inr_t),"PASS","FAIL")</f>
        <v/>
      </c>
    </row>
    <row r="231">
      <c r="A231" s="11" t="n">
        <v>44813</v>
      </c>
      <c r="B231" s="7" t="inlineStr">
        <is>
          <t>zorba</t>
        </is>
      </c>
      <c r="C231" s="7" t="inlineStr">
        <is>
          <t>USEC_MUN</t>
        </is>
      </c>
      <c r="D231" s="23" t="n">
        <v>-6444.91</v>
      </c>
      <c r="E231" s="23" t="n">
        <v>-3134.43</v>
      </c>
      <c r="F231" s="23" t="n">
        <v>-11637.65</v>
      </c>
      <c r="G231" s="23" t="n">
        <v>166871.88</v>
      </c>
      <c r="H231" s="18">
        <f>Parity!$AY$217</f>
        <v/>
      </c>
      <c r="I231" s="18">
        <f>Parity!$BD$217</f>
        <v/>
      </c>
      <c r="J231" s="18">
        <f>Parity!$BE$217</f>
        <v/>
      </c>
      <c r="K231" s="18">
        <f>Parity!$AT$217</f>
        <v/>
      </c>
      <c r="L231" s="8">
        <f>$H231-$D231</f>
        <v/>
      </c>
      <c r="M231" s="8">
        <f>$I231-$E231</f>
        <v/>
      </c>
      <c r="N231" s="8">
        <f>$J231-$F231</f>
        <v/>
      </c>
      <c r="O231" s="8">
        <f>$K231-$G231</f>
        <v/>
      </c>
      <c r="P231" s="8">
        <f>IF(AND(ABS($L231)&lt;=tol_parity_inr_t,ABS($M231)&lt;=tol_parity_inr_t,ABS($N231)&lt;=tol_parity_inr_t,ABS($O231)&lt;=tol_parity_inr_t),"PASS","FAIL")</f>
        <v/>
      </c>
    </row>
    <row r="232">
      <c r="A232" s="11" t="n">
        <v>44813</v>
      </c>
      <c r="B232" s="7" t="inlineStr">
        <is>
          <t>taint_tabor</t>
        </is>
      </c>
      <c r="C232" s="7" t="inlineStr">
        <is>
          <t>JEA_NSA</t>
        </is>
      </c>
      <c r="D232" s="23" t="n">
        <v>-6956.11</v>
      </c>
      <c r="E232" s="23" t="n">
        <v>-3675.48</v>
      </c>
      <c r="F232" s="23" t="n">
        <v>-12338.66</v>
      </c>
      <c r="G232" s="23" t="n">
        <v>164900.19</v>
      </c>
      <c r="H232" s="18">
        <f>Parity!$AY$218</f>
        <v/>
      </c>
      <c r="I232" s="18">
        <f>Parity!$BD$218</f>
        <v/>
      </c>
      <c r="J232" s="18">
        <f>Parity!$BE$218</f>
        <v/>
      </c>
      <c r="K232" s="18">
        <f>Parity!$AT$218</f>
        <v/>
      </c>
      <c r="L232" s="8">
        <f>$H232-$D232</f>
        <v/>
      </c>
      <c r="M232" s="8">
        <f>$I232-$E232</f>
        <v/>
      </c>
      <c r="N232" s="8">
        <f>$J232-$F232</f>
        <v/>
      </c>
      <c r="O232" s="8">
        <f>$K232-$G232</f>
        <v/>
      </c>
      <c r="P232" s="8">
        <f>IF(AND(ABS($L232)&lt;=tol_parity_inr_t,ABS($M232)&lt;=tol_parity_inr_t,ABS($N232)&lt;=tol_parity_inr_t,ABS($O232)&lt;=tol_parity_inr_t),"PASS","FAIL")</f>
        <v/>
      </c>
    </row>
    <row r="233">
      <c r="A233" s="11" t="n">
        <v>44813</v>
      </c>
      <c r="B233" s="7" t="inlineStr">
        <is>
          <t>taint_tabor</t>
        </is>
      </c>
      <c r="C233" s="7" t="inlineStr">
        <is>
          <t>USEC_MUN</t>
        </is>
      </c>
      <c r="D233" s="23" t="n">
        <v>-8061.3</v>
      </c>
      <c r="E233" s="23" t="n">
        <v>-4750.83</v>
      </c>
      <c r="F233" s="23" t="n">
        <v>-13443.85</v>
      </c>
      <c r="G233" s="23" t="n">
        <v>166871.88</v>
      </c>
      <c r="H233" s="18">
        <f>Parity!$AY$219</f>
        <v/>
      </c>
      <c r="I233" s="18">
        <f>Parity!$BD$219</f>
        <v/>
      </c>
      <c r="J233" s="18">
        <f>Parity!$BE$219</f>
        <v/>
      </c>
      <c r="K233" s="18">
        <f>Parity!$AT$219</f>
        <v/>
      </c>
      <c r="L233" s="8">
        <f>$H233-$D233</f>
        <v/>
      </c>
      <c r="M233" s="8">
        <f>$I233-$E233</f>
        <v/>
      </c>
      <c r="N233" s="8">
        <f>$J233-$F233</f>
        <v/>
      </c>
      <c r="O233" s="8">
        <f>$K233-$G233</f>
        <v/>
      </c>
      <c r="P233" s="8">
        <f>IF(AND(ABS($L233)&lt;=tol_parity_inr_t,ABS($M233)&lt;=tol_parity_inr_t,ABS($N233)&lt;=tol_parity_inr_t,ABS($O233)&lt;=tol_parity_inr_t),"PASS","FAIL")</f>
        <v/>
      </c>
    </row>
    <row r="234">
      <c r="A234" s="11" t="n">
        <v>44813</v>
      </c>
      <c r="B234" s="7" t="inlineStr">
        <is>
          <t>tense</t>
        </is>
      </c>
      <c r="C234" s="7" t="inlineStr">
        <is>
          <t>JEA_NSA</t>
        </is>
      </c>
      <c r="D234" s="23" t="n">
        <v>6431.7</v>
      </c>
      <c r="E234" s="23" t="n">
        <v>9712.32</v>
      </c>
      <c r="F234" s="23" t="n">
        <v>932.13</v>
      </c>
      <c r="G234" s="23" t="n">
        <v>154945.95</v>
      </c>
      <c r="H234" s="18">
        <f>Parity!$AY$220</f>
        <v/>
      </c>
      <c r="I234" s="18">
        <f>Parity!$BD$220</f>
        <v/>
      </c>
      <c r="J234" s="18">
        <f>Parity!$BE$220</f>
        <v/>
      </c>
      <c r="K234" s="18">
        <f>Parity!$AT$220</f>
        <v/>
      </c>
      <c r="L234" s="8">
        <f>$H234-$D234</f>
        <v/>
      </c>
      <c r="M234" s="8">
        <f>$I234-$E234</f>
        <v/>
      </c>
      <c r="N234" s="8">
        <f>$J234-$F234</f>
        <v/>
      </c>
      <c r="O234" s="8">
        <f>$K234-$G234</f>
        <v/>
      </c>
      <c r="P234" s="8">
        <f>IF(AND(ABS($L234)&lt;=tol_parity_inr_t,ABS($M234)&lt;=tol_parity_inr_t,ABS($N234)&lt;=tol_parity_inr_t,ABS($O234)&lt;=tol_parity_inr_t),"PASS","FAIL")</f>
        <v/>
      </c>
    </row>
    <row r="235">
      <c r="A235" s="11" t="n">
        <v>44813</v>
      </c>
      <c r="B235" s="7" t="inlineStr">
        <is>
          <t>tense</t>
        </is>
      </c>
      <c r="C235" s="7" t="inlineStr">
        <is>
          <t>USEC_MUN</t>
        </is>
      </c>
      <c r="D235" s="23" t="n">
        <v>5000.16</v>
      </c>
      <c r="E235" s="23" t="n">
        <v>8310.639999999999</v>
      </c>
      <c r="F235" s="23" t="n">
        <v>-499.4</v>
      </c>
      <c r="G235" s="23" t="n">
        <v>157262.83</v>
      </c>
      <c r="H235" s="18">
        <f>Parity!$AY$221</f>
        <v/>
      </c>
      <c r="I235" s="18">
        <f>Parity!$BD$221</f>
        <v/>
      </c>
      <c r="J235" s="18">
        <f>Parity!$BE$221</f>
        <v/>
      </c>
      <c r="K235" s="18">
        <f>Parity!$AT$221</f>
        <v/>
      </c>
      <c r="L235" s="8">
        <f>$H235-$D235</f>
        <v/>
      </c>
      <c r="M235" s="8">
        <f>$I235-$E235</f>
        <v/>
      </c>
      <c r="N235" s="8">
        <f>$J235-$F235</f>
        <v/>
      </c>
      <c r="O235" s="8">
        <f>$K235-$G235</f>
        <v/>
      </c>
      <c r="P235" s="8">
        <f>IF(AND(ABS($L235)&lt;=tol_parity_inr_t,ABS($M235)&lt;=tol_parity_inr_t,ABS($N235)&lt;=tol_parity_inr_t,ABS($O235)&lt;=tol_parity_inr_t),"PASS","FAIL")</f>
        <v/>
      </c>
    </row>
    <row r="236">
      <c r="A236" s="11" t="n">
        <v>44820</v>
      </c>
      <c r="B236" s="7" t="inlineStr">
        <is>
          <t>zorba</t>
        </is>
      </c>
      <c r="C236" s="7" t="inlineStr">
        <is>
          <t>JEA_NSA</t>
        </is>
      </c>
      <c r="D236" s="23" t="n">
        <v>-7875.26</v>
      </c>
      <c r="E236" s="23" t="n">
        <v>-3342.75</v>
      </c>
      <c r="F236" s="23" t="n">
        <v>-13068</v>
      </c>
      <c r="G236" s="23" t="n">
        <v>165964.43</v>
      </c>
      <c r="H236" s="18">
        <f>Parity!$AY$222</f>
        <v/>
      </c>
      <c r="I236" s="18">
        <f>Parity!$BD$222</f>
        <v/>
      </c>
      <c r="J236" s="18">
        <f>Parity!$BE$222</f>
        <v/>
      </c>
      <c r="K236" s="18">
        <f>Parity!$AT$222</f>
        <v/>
      </c>
      <c r="L236" s="8">
        <f>$H236-$D236</f>
        <v/>
      </c>
      <c r="M236" s="8">
        <f>$I236-$E236</f>
        <v/>
      </c>
      <c r="N236" s="8">
        <f>$J236-$F236</f>
        <v/>
      </c>
      <c r="O236" s="8">
        <f>$K236-$G236</f>
        <v/>
      </c>
      <c r="P236" s="8">
        <f>IF(AND(ABS($L236)&lt;=tol_parity_inr_t,ABS($M236)&lt;=tol_parity_inr_t,ABS($N236)&lt;=tol_parity_inr_t,ABS($O236)&lt;=tol_parity_inr_t),"PASS","FAIL")</f>
        <v/>
      </c>
    </row>
    <row r="237">
      <c r="A237" s="11" t="n">
        <v>44820</v>
      </c>
      <c r="B237" s="7" t="inlineStr">
        <is>
          <t>zorba</t>
        </is>
      </c>
      <c r="C237" s="7" t="inlineStr">
        <is>
          <t>USEC_MUN</t>
        </is>
      </c>
      <c r="D237" s="23" t="n">
        <v>-9529.41</v>
      </c>
      <c r="E237" s="23" t="n">
        <v>-4955.66</v>
      </c>
      <c r="F237" s="23" t="n">
        <v>-14722.16</v>
      </c>
      <c r="G237" s="23" t="n">
        <v>168448.38</v>
      </c>
      <c r="H237" s="18">
        <f>Parity!$AY$223</f>
        <v/>
      </c>
      <c r="I237" s="18">
        <f>Parity!$BD$223</f>
        <v/>
      </c>
      <c r="J237" s="18">
        <f>Parity!$BE$223</f>
        <v/>
      </c>
      <c r="K237" s="18">
        <f>Parity!$AT$223</f>
        <v/>
      </c>
      <c r="L237" s="8">
        <f>$H237-$D237</f>
        <v/>
      </c>
      <c r="M237" s="8">
        <f>$I237-$E237</f>
        <v/>
      </c>
      <c r="N237" s="8">
        <f>$J237-$F237</f>
        <v/>
      </c>
      <c r="O237" s="8">
        <f>$K237-$G237</f>
        <v/>
      </c>
      <c r="P237" s="8">
        <f>IF(AND(ABS($L237)&lt;=tol_parity_inr_t,ABS($M237)&lt;=tol_parity_inr_t,ABS($N237)&lt;=tol_parity_inr_t,ABS($O237)&lt;=tol_parity_inr_t),"PASS","FAIL")</f>
        <v/>
      </c>
    </row>
    <row r="238">
      <c r="A238" s="11" t="n">
        <v>44820</v>
      </c>
      <c r="B238" s="7" t="inlineStr">
        <is>
          <t>taint_tabor</t>
        </is>
      </c>
      <c r="C238" s="7" t="inlineStr">
        <is>
          <t>JEA_NSA</t>
        </is>
      </c>
      <c r="D238" s="23" t="n">
        <v>-10014.14</v>
      </c>
      <c r="E238" s="23" t="n">
        <v>-5481.63</v>
      </c>
      <c r="F238" s="23" t="n">
        <v>-15396.69</v>
      </c>
      <c r="G238" s="23" t="n">
        <v>166462.76</v>
      </c>
      <c r="H238" s="18">
        <f>Parity!$AY$224</f>
        <v/>
      </c>
      <c r="I238" s="18">
        <f>Parity!$BD$224</f>
        <v/>
      </c>
      <c r="J238" s="18">
        <f>Parity!$BE$224</f>
        <v/>
      </c>
      <c r="K238" s="18">
        <f>Parity!$AT$224</f>
        <v/>
      </c>
      <c r="L238" s="8">
        <f>$H238-$D238</f>
        <v/>
      </c>
      <c r="M238" s="8">
        <f>$I238-$E238</f>
        <v/>
      </c>
      <c r="N238" s="8">
        <f>$J238-$F238</f>
        <v/>
      </c>
      <c r="O238" s="8">
        <f>$K238-$G238</f>
        <v/>
      </c>
      <c r="P238" s="8">
        <f>IF(AND(ABS($L238)&lt;=tol_parity_inr_t,ABS($M238)&lt;=tol_parity_inr_t,ABS($N238)&lt;=tol_parity_inr_t,ABS($O238)&lt;=tol_parity_inr_t),"PASS","FAIL")</f>
        <v/>
      </c>
    </row>
    <row r="239">
      <c r="A239" s="11" t="n">
        <v>44820</v>
      </c>
      <c r="B239" s="7" t="inlineStr">
        <is>
          <t>taint_tabor</t>
        </is>
      </c>
      <c r="C239" s="7" t="inlineStr">
        <is>
          <t>USEC_MUN</t>
        </is>
      </c>
      <c r="D239" s="23" t="n">
        <v>-11139.62</v>
      </c>
      <c r="E239" s="23" t="n">
        <v>-6565.88</v>
      </c>
      <c r="F239" s="23" t="n">
        <v>-16522.18</v>
      </c>
      <c r="G239" s="23" t="n">
        <v>168448.38</v>
      </c>
      <c r="H239" s="18">
        <f>Parity!$AY$225</f>
        <v/>
      </c>
      <c r="I239" s="18">
        <f>Parity!$BD$225</f>
        <v/>
      </c>
      <c r="J239" s="18">
        <f>Parity!$BE$225</f>
        <v/>
      </c>
      <c r="K239" s="18">
        <f>Parity!$AT$225</f>
        <v/>
      </c>
      <c r="L239" s="8">
        <f>$H239-$D239</f>
        <v/>
      </c>
      <c r="M239" s="8">
        <f>$I239-$E239</f>
        <v/>
      </c>
      <c r="N239" s="8">
        <f>$J239-$F239</f>
        <v/>
      </c>
      <c r="O239" s="8">
        <f>$K239-$G239</f>
        <v/>
      </c>
      <c r="P239" s="8">
        <f>IF(AND(ABS($L239)&lt;=tol_parity_inr_t,ABS($M239)&lt;=tol_parity_inr_t,ABS($N239)&lt;=tol_parity_inr_t,ABS($O239)&lt;=tol_parity_inr_t),"PASS","FAIL")</f>
        <v/>
      </c>
    </row>
    <row r="240">
      <c r="A240" s="11" t="n">
        <v>44820</v>
      </c>
      <c r="B240" s="7" t="inlineStr">
        <is>
          <t>tense</t>
        </is>
      </c>
      <c r="C240" s="7" t="inlineStr">
        <is>
          <t>JEA_NSA</t>
        </is>
      </c>
      <c r="D240" s="23" t="n">
        <v>3261.53</v>
      </c>
      <c r="E240" s="23" t="n">
        <v>7794.04</v>
      </c>
      <c r="F240" s="23" t="n">
        <v>-2238.03</v>
      </c>
      <c r="G240" s="23" t="n">
        <v>156588.15</v>
      </c>
      <c r="H240" s="18">
        <f>Parity!$AY$226</f>
        <v/>
      </c>
      <c r="I240" s="18">
        <f>Parity!$BD$226</f>
        <v/>
      </c>
      <c r="J240" s="18">
        <f>Parity!$BE$226</f>
        <v/>
      </c>
      <c r="K240" s="18">
        <f>Parity!$AT$226</f>
        <v/>
      </c>
      <c r="L240" s="8">
        <f>$H240-$D240</f>
        <v/>
      </c>
      <c r="M240" s="8">
        <f>$I240-$E240</f>
        <v/>
      </c>
      <c r="N240" s="8">
        <f>$J240-$F240</f>
        <v/>
      </c>
      <c r="O240" s="8">
        <f>$K240-$G240</f>
        <v/>
      </c>
      <c r="P240" s="8">
        <f>IF(AND(ABS($L240)&lt;=tol_parity_inr_t,ABS($M240)&lt;=tol_parity_inr_t,ABS($N240)&lt;=tol_parity_inr_t,ABS($O240)&lt;=tol_parity_inr_t),"PASS","FAIL")</f>
        <v/>
      </c>
    </row>
    <row r="241">
      <c r="A241" s="11" t="n">
        <v>44820</v>
      </c>
      <c r="B241" s="7" t="inlineStr">
        <is>
          <t>tense</t>
        </is>
      </c>
      <c r="C241" s="7" t="inlineStr">
        <is>
          <t>USEC_MUN</t>
        </is>
      </c>
      <c r="D241" s="23" t="n">
        <v>1808.77</v>
      </c>
      <c r="E241" s="23" t="n">
        <v>6382.52</v>
      </c>
      <c r="F241" s="23" t="n">
        <v>-3690.79</v>
      </c>
      <c r="G241" s="23" t="n">
        <v>158919.74</v>
      </c>
      <c r="H241" s="18">
        <f>Parity!$AY$227</f>
        <v/>
      </c>
      <c r="I241" s="18">
        <f>Parity!$BD$227</f>
        <v/>
      </c>
      <c r="J241" s="18">
        <f>Parity!$BE$227</f>
        <v/>
      </c>
      <c r="K241" s="18">
        <f>Parity!$AT$227</f>
        <v/>
      </c>
      <c r="L241" s="8">
        <f>$H241-$D241</f>
        <v/>
      </c>
      <c r="M241" s="8">
        <f>$I241-$E241</f>
        <v/>
      </c>
      <c r="N241" s="8">
        <f>$J241-$F241</f>
        <v/>
      </c>
      <c r="O241" s="8">
        <f>$K241-$G241</f>
        <v/>
      </c>
      <c r="P241" s="8">
        <f>IF(AND(ABS($L241)&lt;=tol_parity_inr_t,ABS($M241)&lt;=tol_parity_inr_t,ABS($N241)&lt;=tol_parity_inr_t,ABS($O241)&lt;=tol_parity_inr_t),"PASS","FAIL")</f>
        <v/>
      </c>
    </row>
    <row r="242">
      <c r="A242" s="11" t="n">
        <v>44827</v>
      </c>
      <c r="B242" s="7" t="inlineStr">
        <is>
          <t>zorba</t>
        </is>
      </c>
      <c r="C242" s="7" t="inlineStr">
        <is>
          <t>JEA_NSA</t>
        </is>
      </c>
      <c r="D242" s="23" t="n">
        <v>-9151.139999999999</v>
      </c>
      <c r="E242" s="23" t="n">
        <v>-4737.91</v>
      </c>
      <c r="F242" s="23" t="n">
        <v>-14343.88</v>
      </c>
      <c r="G242" s="23" t="n">
        <v>161642.58</v>
      </c>
      <c r="H242" s="18">
        <f>Parity!$AY$228</f>
        <v/>
      </c>
      <c r="I242" s="18">
        <f>Parity!$BD$228</f>
        <v/>
      </c>
      <c r="J242" s="18">
        <f>Parity!$BE$228</f>
        <v/>
      </c>
      <c r="K242" s="18">
        <f>Parity!$AT$228</f>
        <v/>
      </c>
      <c r="L242" s="8">
        <f>$H242-$D242</f>
        <v/>
      </c>
      <c r="M242" s="8">
        <f>$I242-$E242</f>
        <v/>
      </c>
      <c r="N242" s="8">
        <f>$J242-$F242</f>
        <v/>
      </c>
      <c r="O242" s="8">
        <f>$K242-$G242</f>
        <v/>
      </c>
      <c r="P242" s="8">
        <f>IF(AND(ABS($L242)&lt;=tol_parity_inr_t,ABS($M242)&lt;=tol_parity_inr_t,ABS($N242)&lt;=tol_parity_inr_t,ABS($O242)&lt;=tol_parity_inr_t),"PASS","FAIL")</f>
        <v/>
      </c>
    </row>
    <row r="243">
      <c r="A243" s="11" t="n">
        <v>44827</v>
      </c>
      <c r="B243" s="7" t="inlineStr">
        <is>
          <t>zorba</t>
        </is>
      </c>
      <c r="C243" s="7" t="inlineStr">
        <is>
          <t>USEC_MUN</t>
        </is>
      </c>
      <c r="D243" s="23" t="n">
        <v>-10789.56</v>
      </c>
      <c r="E243" s="23" t="n">
        <v>-6336.17</v>
      </c>
      <c r="F243" s="23" t="n">
        <v>-15982.31</v>
      </c>
      <c r="G243" s="23" t="n">
        <v>164085.19</v>
      </c>
      <c r="H243" s="18">
        <f>Parity!$AY$229</f>
        <v/>
      </c>
      <c r="I243" s="18">
        <f>Parity!$BD$229</f>
        <v/>
      </c>
      <c r="J243" s="18">
        <f>Parity!$BE$229</f>
        <v/>
      </c>
      <c r="K243" s="18">
        <f>Parity!$AT$229</f>
        <v/>
      </c>
      <c r="L243" s="8">
        <f>$H243-$D243</f>
        <v/>
      </c>
      <c r="M243" s="8">
        <f>$I243-$E243</f>
        <v/>
      </c>
      <c r="N243" s="8">
        <f>$J243-$F243</f>
        <v/>
      </c>
      <c r="O243" s="8">
        <f>$K243-$G243</f>
        <v/>
      </c>
      <c r="P243" s="8">
        <f>IF(AND(ABS($L243)&lt;=tol_parity_inr_t,ABS($M243)&lt;=tol_parity_inr_t,ABS($N243)&lt;=tol_parity_inr_t,ABS($O243)&lt;=tol_parity_inr_t),"PASS","FAIL")</f>
        <v/>
      </c>
    </row>
    <row r="244">
      <c r="A244" s="11" t="n">
        <v>44827</v>
      </c>
      <c r="B244" s="7" t="inlineStr">
        <is>
          <t>taint_tabor</t>
        </is>
      </c>
      <c r="C244" s="7" t="inlineStr">
        <is>
          <t>JEA_NSA</t>
        </is>
      </c>
      <c r="D244" s="23" t="n">
        <v>-11303.59</v>
      </c>
      <c r="E244" s="23" t="n">
        <v>-6890.36</v>
      </c>
      <c r="F244" s="23" t="n">
        <v>-16686.14</v>
      </c>
      <c r="G244" s="23" t="n">
        <v>162141.54</v>
      </c>
      <c r="H244" s="18">
        <f>Parity!$AY$230</f>
        <v/>
      </c>
      <c r="I244" s="18">
        <f>Parity!$BD$230</f>
        <v/>
      </c>
      <c r="J244" s="18">
        <f>Parity!$BE$230</f>
        <v/>
      </c>
      <c r="K244" s="18">
        <f>Parity!$AT$230</f>
        <v/>
      </c>
      <c r="L244" s="8">
        <f>$H244-$D244</f>
        <v/>
      </c>
      <c r="M244" s="8">
        <f>$I244-$E244</f>
        <v/>
      </c>
      <c r="N244" s="8">
        <f>$J244-$F244</f>
        <v/>
      </c>
      <c r="O244" s="8">
        <f>$K244-$G244</f>
        <v/>
      </c>
      <c r="P244" s="8">
        <f>IF(AND(ABS($L244)&lt;=tol_parity_inr_t,ABS($M244)&lt;=tol_parity_inr_t,ABS($N244)&lt;=tol_parity_inr_t,ABS($O244)&lt;=tol_parity_inr_t),"PASS","FAIL")</f>
        <v/>
      </c>
    </row>
    <row r="245">
      <c r="A245" s="11" t="n">
        <v>44827</v>
      </c>
      <c r="B245" s="7" t="inlineStr">
        <is>
          <t>taint_tabor</t>
        </is>
      </c>
      <c r="C245" s="7" t="inlineStr">
        <is>
          <t>USEC_MUN</t>
        </is>
      </c>
      <c r="D245" s="23" t="n">
        <v>-12413.66</v>
      </c>
      <c r="E245" s="23" t="n">
        <v>-7960.28</v>
      </c>
      <c r="F245" s="23" t="n">
        <v>-17796.22</v>
      </c>
      <c r="G245" s="23" t="n">
        <v>164085.19</v>
      </c>
      <c r="H245" s="18">
        <f>Parity!$AY$231</f>
        <v/>
      </c>
      <c r="I245" s="18">
        <f>Parity!$BD$231</f>
        <v/>
      </c>
      <c r="J245" s="18">
        <f>Parity!$BE$231</f>
        <v/>
      </c>
      <c r="K245" s="18">
        <f>Parity!$AT$231</f>
        <v/>
      </c>
      <c r="L245" s="8">
        <f>$H245-$D245</f>
        <v/>
      </c>
      <c r="M245" s="8">
        <f>$I245-$E245</f>
        <v/>
      </c>
      <c r="N245" s="8">
        <f>$J245-$F245</f>
        <v/>
      </c>
      <c r="O245" s="8">
        <f>$K245-$G245</f>
        <v/>
      </c>
      <c r="P245" s="8">
        <f>IF(AND(ABS($L245)&lt;=tol_parity_inr_t,ABS($M245)&lt;=tol_parity_inr_t,ABS($N245)&lt;=tol_parity_inr_t,ABS($O245)&lt;=tol_parity_inr_t),"PASS","FAIL")</f>
        <v/>
      </c>
    </row>
    <row r="246">
      <c r="A246" s="11" t="n">
        <v>44827</v>
      </c>
      <c r="B246" s="7" t="inlineStr">
        <is>
          <t>tense</t>
        </is>
      </c>
      <c r="C246" s="7" t="inlineStr">
        <is>
          <t>JEA_NSA</t>
        </is>
      </c>
      <c r="D246" s="23" t="n">
        <v>1602.14</v>
      </c>
      <c r="E246" s="23" t="n">
        <v>6015.37</v>
      </c>
      <c r="F246" s="23" t="n">
        <v>-3897.42</v>
      </c>
      <c r="G246" s="23" t="n">
        <v>152514.89</v>
      </c>
      <c r="H246" s="18">
        <f>Parity!$AY$232</f>
        <v/>
      </c>
      <c r="I246" s="18">
        <f>Parity!$BD$232</f>
        <v/>
      </c>
      <c r="J246" s="18">
        <f>Parity!$BE$232</f>
        <v/>
      </c>
      <c r="K246" s="18">
        <f>Parity!$AT$232</f>
        <v/>
      </c>
      <c r="L246" s="8">
        <f>$H246-$D246</f>
        <v/>
      </c>
      <c r="M246" s="8">
        <f>$I246-$E246</f>
        <v/>
      </c>
      <c r="N246" s="8">
        <f>$J246-$F246</f>
        <v/>
      </c>
      <c r="O246" s="8">
        <f>$K246-$G246</f>
        <v/>
      </c>
      <c r="P246" s="8">
        <f>IF(AND(ABS($L246)&lt;=tol_parity_inr_t,ABS($M246)&lt;=tol_parity_inr_t,ABS($N246)&lt;=tol_parity_inr_t,ABS($O246)&lt;=tol_parity_inr_t),"PASS","FAIL")</f>
        <v/>
      </c>
    </row>
    <row r="247">
      <c r="A247" s="11" t="n">
        <v>44827</v>
      </c>
      <c r="B247" s="7" t="inlineStr">
        <is>
          <t>tense</t>
        </is>
      </c>
      <c r="C247" s="7" t="inlineStr">
        <is>
          <t>USEC_MUN</t>
        </is>
      </c>
      <c r="D247" s="23" t="n">
        <v>161.43</v>
      </c>
      <c r="E247" s="23" t="n">
        <v>4614.81</v>
      </c>
      <c r="F247" s="23" t="n">
        <v>-5338.14</v>
      </c>
      <c r="G247" s="23" t="n">
        <v>154807.3</v>
      </c>
      <c r="H247" s="18">
        <f>Parity!$AY$233</f>
        <v/>
      </c>
      <c r="I247" s="18">
        <f>Parity!$BD$233</f>
        <v/>
      </c>
      <c r="J247" s="18">
        <f>Parity!$BE$233</f>
        <v/>
      </c>
      <c r="K247" s="18">
        <f>Parity!$AT$233</f>
        <v/>
      </c>
      <c r="L247" s="8">
        <f>$H247-$D247</f>
        <v/>
      </c>
      <c r="M247" s="8">
        <f>$I247-$E247</f>
        <v/>
      </c>
      <c r="N247" s="8">
        <f>$J247-$F247</f>
        <v/>
      </c>
      <c r="O247" s="8">
        <f>$K247-$G247</f>
        <v/>
      </c>
      <c r="P247" s="8">
        <f>IF(AND(ABS($L247)&lt;=tol_parity_inr_t,ABS($M247)&lt;=tol_parity_inr_t,ABS($N247)&lt;=tol_parity_inr_t,ABS($O247)&lt;=tol_parity_inr_t),"PASS","FAIL")</f>
        <v/>
      </c>
    </row>
    <row r="248">
      <c r="A248" s="11" t="n">
        <v>44834</v>
      </c>
      <c r="B248" s="7" t="inlineStr">
        <is>
          <t>zorba</t>
        </is>
      </c>
      <c r="C248" s="7" t="inlineStr">
        <is>
          <t>JEA_NSA</t>
        </is>
      </c>
      <c r="D248" s="23" t="n">
        <v>-9016.67</v>
      </c>
      <c r="E248" s="23" t="n">
        <v>-4529.1</v>
      </c>
      <c r="F248" s="23" t="n">
        <v>-14209.41</v>
      </c>
      <c r="G248" s="23" t="n">
        <v>164338.08</v>
      </c>
      <c r="H248" s="18">
        <f>Parity!$AY$234</f>
        <v/>
      </c>
      <c r="I248" s="18">
        <f>Parity!$BD$234</f>
        <v/>
      </c>
      <c r="J248" s="18">
        <f>Parity!$BE$234</f>
        <v/>
      </c>
      <c r="K248" s="18">
        <f>Parity!$AT$234</f>
        <v/>
      </c>
      <c r="L248" s="8">
        <f>$H248-$D248</f>
        <v/>
      </c>
      <c r="M248" s="8">
        <f>$I248-$E248</f>
        <v/>
      </c>
      <c r="N248" s="8">
        <f>$J248-$F248</f>
        <v/>
      </c>
      <c r="O248" s="8">
        <f>$K248-$G248</f>
        <v/>
      </c>
      <c r="P248" s="8">
        <f>IF(AND(ABS($L248)&lt;=tol_parity_inr_t,ABS($M248)&lt;=tol_parity_inr_t,ABS($N248)&lt;=tol_parity_inr_t,ABS($O248)&lt;=tol_parity_inr_t),"PASS","FAIL")</f>
        <v/>
      </c>
    </row>
    <row r="249">
      <c r="A249" s="11" t="n">
        <v>44834</v>
      </c>
      <c r="B249" s="7" t="inlineStr">
        <is>
          <t>zorba</t>
        </is>
      </c>
      <c r="C249" s="7" t="inlineStr">
        <is>
          <t>USEC_MUN</t>
        </is>
      </c>
      <c r="D249" s="23" t="n">
        <v>-10594.18</v>
      </c>
      <c r="E249" s="23" t="n">
        <v>-6065.77</v>
      </c>
      <c r="F249" s="23" t="n">
        <v>-15786.92</v>
      </c>
      <c r="G249" s="23" t="n">
        <v>166804.59</v>
      </c>
      <c r="H249" s="18">
        <f>Parity!$AY$235</f>
        <v/>
      </c>
      <c r="I249" s="18">
        <f>Parity!$BD$235</f>
        <v/>
      </c>
      <c r="J249" s="18">
        <f>Parity!$BE$235</f>
        <v/>
      </c>
      <c r="K249" s="18">
        <f>Parity!$AT$235</f>
        <v/>
      </c>
      <c r="L249" s="8">
        <f>$H249-$D249</f>
        <v/>
      </c>
      <c r="M249" s="8">
        <f>$I249-$E249</f>
        <v/>
      </c>
      <c r="N249" s="8">
        <f>$J249-$F249</f>
        <v/>
      </c>
      <c r="O249" s="8">
        <f>$K249-$G249</f>
        <v/>
      </c>
      <c r="P249" s="8">
        <f>IF(AND(ABS($L249)&lt;=tol_parity_inr_t,ABS($M249)&lt;=tol_parity_inr_t,ABS($N249)&lt;=tol_parity_inr_t,ABS($O249)&lt;=tol_parity_inr_t),"PASS","FAIL")</f>
        <v/>
      </c>
    </row>
    <row r="250">
      <c r="A250" s="11" t="n">
        <v>44834</v>
      </c>
      <c r="B250" s="7" t="inlineStr">
        <is>
          <t>taint_tabor</t>
        </is>
      </c>
      <c r="C250" s="7" t="inlineStr">
        <is>
          <t>JEA_NSA</t>
        </is>
      </c>
      <c r="D250" s="23" t="n">
        <v>-11186.36</v>
      </c>
      <c r="E250" s="23" t="n">
        <v>-6698.79</v>
      </c>
      <c r="F250" s="23" t="n">
        <v>-16568.91</v>
      </c>
      <c r="G250" s="23" t="n">
        <v>164837.22</v>
      </c>
      <c r="H250" s="18">
        <f>Parity!$AY$236</f>
        <v/>
      </c>
      <c r="I250" s="18">
        <f>Parity!$BD$236</f>
        <v/>
      </c>
      <c r="J250" s="18">
        <f>Parity!$BE$236</f>
        <v/>
      </c>
      <c r="K250" s="18">
        <f>Parity!$AT$236</f>
        <v/>
      </c>
      <c r="L250" s="8">
        <f>$H250-$D250</f>
        <v/>
      </c>
      <c r="M250" s="8">
        <f>$I250-$E250</f>
        <v/>
      </c>
      <c r="N250" s="8">
        <f>$J250-$F250</f>
        <v/>
      </c>
      <c r="O250" s="8">
        <f>$K250-$G250</f>
        <v/>
      </c>
      <c r="P250" s="8">
        <f>IF(AND(ABS($L250)&lt;=tol_parity_inr_t,ABS($M250)&lt;=tol_parity_inr_t,ABS($N250)&lt;=tol_parity_inr_t,ABS($O250)&lt;=tol_parity_inr_t),"PASS","FAIL")</f>
        <v/>
      </c>
    </row>
    <row r="251">
      <c r="A251" s="11" t="n">
        <v>44834</v>
      </c>
      <c r="B251" s="7" t="inlineStr">
        <is>
          <t>taint_tabor</t>
        </is>
      </c>
      <c r="C251" s="7" t="inlineStr">
        <is>
          <t>USEC_MUN</t>
        </is>
      </c>
      <c r="D251" s="23" t="n">
        <v>-12232.23</v>
      </c>
      <c r="E251" s="23" t="n">
        <v>-7703.82</v>
      </c>
      <c r="F251" s="23" t="n">
        <v>-17614.78</v>
      </c>
      <c r="G251" s="23" t="n">
        <v>166804.59</v>
      </c>
      <c r="H251" s="18">
        <f>Parity!$AY$237</f>
        <v/>
      </c>
      <c r="I251" s="18">
        <f>Parity!$BD$237</f>
        <v/>
      </c>
      <c r="J251" s="18">
        <f>Parity!$BE$237</f>
        <v/>
      </c>
      <c r="K251" s="18">
        <f>Parity!$AT$237</f>
        <v/>
      </c>
      <c r="L251" s="8">
        <f>$H251-$D251</f>
        <v/>
      </c>
      <c r="M251" s="8">
        <f>$I251-$E251</f>
        <v/>
      </c>
      <c r="N251" s="8">
        <f>$J251-$F251</f>
        <v/>
      </c>
      <c r="O251" s="8">
        <f>$K251-$G251</f>
        <v/>
      </c>
      <c r="P251" s="8">
        <f>IF(AND(ABS($L251)&lt;=tol_parity_inr_t,ABS($M251)&lt;=tol_parity_inr_t,ABS($N251)&lt;=tol_parity_inr_t,ABS($O251)&lt;=tol_parity_inr_t),"PASS","FAIL")</f>
        <v/>
      </c>
    </row>
    <row r="252">
      <c r="A252" s="11" t="n">
        <v>44834</v>
      </c>
      <c r="B252" s="7" t="inlineStr">
        <is>
          <t>tense</t>
        </is>
      </c>
      <c r="C252" s="7" t="inlineStr">
        <is>
          <t>JEA_NSA</t>
        </is>
      </c>
      <c r="D252" s="23" t="n">
        <v>1935.57</v>
      </c>
      <c r="E252" s="23" t="n">
        <v>6423.13</v>
      </c>
      <c r="F252" s="23" t="n">
        <v>-3564</v>
      </c>
      <c r="G252" s="23" t="n">
        <v>155055.54</v>
      </c>
      <c r="H252" s="18">
        <f>Parity!$AY$238</f>
        <v/>
      </c>
      <c r="I252" s="18">
        <f>Parity!$BD$238</f>
        <v/>
      </c>
      <c r="J252" s="18">
        <f>Parity!$BE$238</f>
        <v/>
      </c>
      <c r="K252" s="18">
        <f>Parity!$AT$238</f>
        <v/>
      </c>
      <c r="L252" s="8">
        <f>$H252-$D252</f>
        <v/>
      </c>
      <c r="M252" s="8">
        <f>$I252-$E252</f>
        <v/>
      </c>
      <c r="N252" s="8">
        <f>$J252-$F252</f>
        <v/>
      </c>
      <c r="O252" s="8">
        <f>$K252-$G252</f>
        <v/>
      </c>
      <c r="P252" s="8">
        <f>IF(AND(ABS($L252)&lt;=tol_parity_inr_t,ABS($M252)&lt;=tol_parity_inr_t,ABS($N252)&lt;=tol_parity_inr_t,ABS($O252)&lt;=tol_parity_inr_t),"PASS","FAIL")</f>
        <v/>
      </c>
    </row>
    <row r="253">
      <c r="A253" s="11" t="n">
        <v>44834</v>
      </c>
      <c r="B253" s="7" t="inlineStr">
        <is>
          <t>tense</t>
        </is>
      </c>
      <c r="C253" s="7" t="inlineStr">
        <is>
          <t>USEC_MUN</t>
        </is>
      </c>
      <c r="D253" s="23" t="n">
        <v>562.21</v>
      </c>
      <c r="E253" s="23" t="n">
        <v>5090.62</v>
      </c>
      <c r="F253" s="23" t="n">
        <v>-4937.35</v>
      </c>
      <c r="G253" s="23" t="n">
        <v>157370.42</v>
      </c>
      <c r="H253" s="18">
        <f>Parity!$AY$239</f>
        <v/>
      </c>
      <c r="I253" s="18">
        <f>Parity!$BD$239</f>
        <v/>
      </c>
      <c r="J253" s="18">
        <f>Parity!$BE$239</f>
        <v/>
      </c>
      <c r="K253" s="18">
        <f>Parity!$AT$239</f>
        <v/>
      </c>
      <c r="L253" s="8">
        <f>$H253-$D253</f>
        <v/>
      </c>
      <c r="M253" s="8">
        <f>$I253-$E253</f>
        <v/>
      </c>
      <c r="N253" s="8">
        <f>$J253-$F253</f>
        <v/>
      </c>
      <c r="O253" s="8">
        <f>$K253-$G253</f>
        <v/>
      </c>
      <c r="P253" s="8">
        <f>IF(AND(ABS($L253)&lt;=tol_parity_inr_t,ABS($M253)&lt;=tol_parity_inr_t,ABS($N253)&lt;=tol_parity_inr_t,ABS($O253)&lt;=tol_parity_inr_t),"PASS","FAIL")</f>
        <v/>
      </c>
    </row>
    <row r="254">
      <c r="A254" s="11" t="n">
        <v>44841</v>
      </c>
      <c r="B254" s="7" t="inlineStr">
        <is>
          <t>zorba</t>
        </is>
      </c>
      <c r="C254" s="7" t="inlineStr">
        <is>
          <t>JEA_NSA</t>
        </is>
      </c>
      <c r="D254" s="23" t="n">
        <v>-6431.06</v>
      </c>
      <c r="E254" s="23" t="n">
        <v>-1593.45</v>
      </c>
      <c r="F254" s="23" t="n">
        <v>-11623.8</v>
      </c>
      <c r="G254" s="23" t="n">
        <v>177028.23</v>
      </c>
      <c r="H254" s="18">
        <f>Parity!$AY$240</f>
        <v/>
      </c>
      <c r="I254" s="18">
        <f>Parity!$BD$240</f>
        <v/>
      </c>
      <c r="J254" s="18">
        <f>Parity!$BE$240</f>
        <v/>
      </c>
      <c r="K254" s="18">
        <f>Parity!$AT$240</f>
        <v/>
      </c>
      <c r="L254" s="8">
        <f>$H254-$D254</f>
        <v/>
      </c>
      <c r="M254" s="8">
        <f>$I254-$E254</f>
        <v/>
      </c>
      <c r="N254" s="8">
        <f>$J254-$F254</f>
        <v/>
      </c>
      <c r="O254" s="8">
        <f>$K254-$G254</f>
        <v/>
      </c>
      <c r="P254" s="8">
        <f>IF(AND(ABS($L254)&lt;=tol_parity_inr_t,ABS($M254)&lt;=tol_parity_inr_t,ABS($N254)&lt;=tol_parity_inr_t,ABS($O254)&lt;=tol_parity_inr_t),"PASS","FAIL")</f>
        <v/>
      </c>
    </row>
    <row r="255">
      <c r="A255" s="11" t="n">
        <v>44841</v>
      </c>
      <c r="B255" s="7" t="inlineStr">
        <is>
          <t>zorba</t>
        </is>
      </c>
      <c r="C255" s="7" t="inlineStr">
        <is>
          <t>USEC_MUN</t>
        </is>
      </c>
      <c r="D255" s="23" t="n">
        <v>-8079.72</v>
      </c>
      <c r="E255" s="23" t="n">
        <v>-3198.09</v>
      </c>
      <c r="F255" s="23" t="n">
        <v>-13272.47</v>
      </c>
      <c r="G255" s="23" t="n">
        <v>179608.99</v>
      </c>
      <c r="H255" s="18">
        <f>Parity!$AY$241</f>
        <v/>
      </c>
      <c r="I255" s="18">
        <f>Parity!$BD$241</f>
        <v/>
      </c>
      <c r="J255" s="18">
        <f>Parity!$BE$241</f>
        <v/>
      </c>
      <c r="K255" s="18">
        <f>Parity!$AT$241</f>
        <v/>
      </c>
      <c r="L255" s="8">
        <f>$H255-$D255</f>
        <v/>
      </c>
      <c r="M255" s="8">
        <f>$I255-$E255</f>
        <v/>
      </c>
      <c r="N255" s="8">
        <f>$J255-$F255</f>
        <v/>
      </c>
      <c r="O255" s="8">
        <f>$K255-$G255</f>
        <v/>
      </c>
      <c r="P255" s="8">
        <f>IF(AND(ABS($L255)&lt;=tol_parity_inr_t,ABS($M255)&lt;=tol_parity_inr_t,ABS($N255)&lt;=tol_parity_inr_t,ABS($O255)&lt;=tol_parity_inr_t),"PASS","FAIL")</f>
        <v/>
      </c>
    </row>
    <row r="256">
      <c r="A256" s="11" t="n">
        <v>44841</v>
      </c>
      <c r="B256" s="7" t="inlineStr">
        <is>
          <t>taint_tabor</t>
        </is>
      </c>
      <c r="C256" s="7" t="inlineStr">
        <is>
          <t>JEA_NSA</t>
        </is>
      </c>
      <c r="D256" s="23" t="n">
        <v>-8610.309999999999</v>
      </c>
      <c r="E256" s="23" t="n">
        <v>-3772.7</v>
      </c>
      <c r="F256" s="23" t="n">
        <v>-13992.86</v>
      </c>
      <c r="G256" s="23" t="n">
        <v>177527.71</v>
      </c>
      <c r="H256" s="18">
        <f>Parity!$AY$242</f>
        <v/>
      </c>
      <c r="I256" s="18">
        <f>Parity!$BD$242</f>
        <v/>
      </c>
      <c r="J256" s="18">
        <f>Parity!$BE$242</f>
        <v/>
      </c>
      <c r="K256" s="18">
        <f>Parity!$AT$242</f>
        <v/>
      </c>
      <c r="L256" s="8">
        <f>$H256-$D256</f>
        <v/>
      </c>
      <c r="M256" s="8">
        <f>$I256-$E256</f>
        <v/>
      </c>
      <c r="N256" s="8">
        <f>$J256-$F256</f>
        <v/>
      </c>
      <c r="O256" s="8">
        <f>$K256-$G256</f>
        <v/>
      </c>
      <c r="P256" s="8">
        <f>IF(AND(ABS($L256)&lt;=tol_parity_inr_t,ABS($M256)&lt;=tol_parity_inr_t,ABS($N256)&lt;=tol_parity_inr_t,ABS($O256)&lt;=tol_parity_inr_t),"PASS","FAIL")</f>
        <v/>
      </c>
    </row>
    <row r="257">
      <c r="A257" s="11" t="n">
        <v>44841</v>
      </c>
      <c r="B257" s="7" t="inlineStr">
        <is>
          <t>taint_tabor</t>
        </is>
      </c>
      <c r="C257" s="7" t="inlineStr">
        <is>
          <t>USEC_MUN</t>
        </is>
      </c>
      <c r="D257" s="23" t="n">
        <v>-9725.42</v>
      </c>
      <c r="E257" s="23" t="n">
        <v>-4843.79</v>
      </c>
      <c r="F257" s="23" t="n">
        <v>-15107.97</v>
      </c>
      <c r="G257" s="23" t="n">
        <v>179608.99</v>
      </c>
      <c r="H257" s="18">
        <f>Parity!$AY$243</f>
        <v/>
      </c>
      <c r="I257" s="18">
        <f>Parity!$BD$243</f>
        <v/>
      </c>
      <c r="J257" s="18">
        <f>Parity!$BE$243</f>
        <v/>
      </c>
      <c r="K257" s="18">
        <f>Parity!$AT$243</f>
        <v/>
      </c>
      <c r="L257" s="8">
        <f>$H257-$D257</f>
        <v/>
      </c>
      <c r="M257" s="8">
        <f>$I257-$E257</f>
        <v/>
      </c>
      <c r="N257" s="8">
        <f>$J257-$F257</f>
        <v/>
      </c>
      <c r="O257" s="8">
        <f>$K257-$G257</f>
        <v/>
      </c>
      <c r="P257" s="8">
        <f>IF(AND(ABS($L257)&lt;=tol_parity_inr_t,ABS($M257)&lt;=tol_parity_inr_t,ABS($N257)&lt;=tol_parity_inr_t,ABS($O257)&lt;=tol_parity_inr_t),"PASS","FAIL")</f>
        <v/>
      </c>
    </row>
    <row r="258">
      <c r="A258" s="11" t="n">
        <v>44841</v>
      </c>
      <c r="B258" s="7" t="inlineStr">
        <is>
          <t>tense</t>
        </is>
      </c>
      <c r="C258" s="7" t="inlineStr">
        <is>
          <t>JEA_NSA</t>
        </is>
      </c>
      <c r="D258" s="23" t="n">
        <v>5573.04</v>
      </c>
      <c r="E258" s="23" t="n">
        <v>10410.65</v>
      </c>
      <c r="F258" s="23" t="n">
        <v>73.48</v>
      </c>
      <c r="G258" s="23" t="n">
        <v>167016.48</v>
      </c>
      <c r="H258" s="18">
        <f>Parity!$AY$244</f>
        <v/>
      </c>
      <c r="I258" s="18">
        <f>Parity!$BD$244</f>
        <v/>
      </c>
      <c r="J258" s="18">
        <f>Parity!$BE$244</f>
        <v/>
      </c>
      <c r="K258" s="18">
        <f>Parity!$AT$244</f>
        <v/>
      </c>
      <c r="L258" s="8">
        <f>$H258-$D258</f>
        <v/>
      </c>
      <c r="M258" s="8">
        <f>$I258-$E258</f>
        <v/>
      </c>
      <c r="N258" s="8">
        <f>$J258-$F258</f>
        <v/>
      </c>
      <c r="O258" s="8">
        <f>$K258-$G258</f>
        <v/>
      </c>
      <c r="P258" s="8">
        <f>IF(AND(ABS($L258)&lt;=tol_parity_inr_t,ABS($M258)&lt;=tol_parity_inr_t,ABS($N258)&lt;=tol_parity_inr_t,ABS($O258)&lt;=tol_parity_inr_t),"PASS","FAIL")</f>
        <v/>
      </c>
    </row>
    <row r="259">
      <c r="A259" s="11" t="n">
        <v>44841</v>
      </c>
      <c r="B259" s="7" t="inlineStr">
        <is>
          <t>tense</t>
        </is>
      </c>
      <c r="C259" s="7" t="inlineStr">
        <is>
          <t>USEC_MUN</t>
        </is>
      </c>
      <c r="D259" s="23" t="n">
        <v>4137.76</v>
      </c>
      <c r="E259" s="23" t="n">
        <v>9019.379999999999</v>
      </c>
      <c r="F259" s="23" t="n">
        <v>-1361.81</v>
      </c>
      <c r="G259" s="23" t="n">
        <v>169438.93</v>
      </c>
      <c r="H259" s="18">
        <f>Parity!$AY$245</f>
        <v/>
      </c>
      <c r="I259" s="18">
        <f>Parity!$BD$245</f>
        <v/>
      </c>
      <c r="J259" s="18">
        <f>Parity!$BE$245</f>
        <v/>
      </c>
      <c r="K259" s="18">
        <f>Parity!$AT$245</f>
        <v/>
      </c>
      <c r="L259" s="8">
        <f>$H259-$D259</f>
        <v/>
      </c>
      <c r="M259" s="8">
        <f>$I259-$E259</f>
        <v/>
      </c>
      <c r="N259" s="8">
        <f>$J259-$F259</f>
        <v/>
      </c>
      <c r="O259" s="8">
        <f>$K259-$G259</f>
        <v/>
      </c>
      <c r="P259" s="8">
        <f>IF(AND(ABS($L259)&lt;=tol_parity_inr_t,ABS($M259)&lt;=tol_parity_inr_t,ABS($N259)&lt;=tol_parity_inr_t,ABS($O259)&lt;=tol_parity_inr_t),"PASS","FAIL")</f>
        <v/>
      </c>
    </row>
    <row r="260">
      <c r="A260" s="11" t="n">
        <v>44848</v>
      </c>
      <c r="B260" s="7" t="inlineStr">
        <is>
          <t>zorba</t>
        </is>
      </c>
      <c r="C260" s="7" t="inlineStr">
        <is>
          <t>JEA_NSA</t>
        </is>
      </c>
      <c r="D260" s="23" t="n">
        <v>-6095.41</v>
      </c>
      <c r="E260" s="23" t="n">
        <v>-1342</v>
      </c>
      <c r="F260" s="23" t="n">
        <v>-11288.16</v>
      </c>
      <c r="G260" s="23" t="n">
        <v>173976.18</v>
      </c>
      <c r="H260" s="18">
        <f>Parity!$AY$246</f>
        <v/>
      </c>
      <c r="I260" s="18">
        <f>Parity!$BD$246</f>
        <v/>
      </c>
      <c r="J260" s="18">
        <f>Parity!$BE$246</f>
        <v/>
      </c>
      <c r="K260" s="18">
        <f>Parity!$AT$246</f>
        <v/>
      </c>
      <c r="L260" s="8">
        <f>$H260-$D260</f>
        <v/>
      </c>
      <c r="M260" s="8">
        <f>$I260-$E260</f>
        <v/>
      </c>
      <c r="N260" s="8">
        <f>$J260-$F260</f>
        <v/>
      </c>
      <c r="O260" s="8">
        <f>$K260-$G260</f>
        <v/>
      </c>
      <c r="P260" s="8">
        <f>IF(AND(ABS($L260)&lt;=tol_parity_inr_t,ABS($M260)&lt;=tol_parity_inr_t,ABS($N260)&lt;=tol_parity_inr_t,ABS($O260)&lt;=tol_parity_inr_t),"PASS","FAIL")</f>
        <v/>
      </c>
    </row>
    <row r="261">
      <c r="A261" s="11" t="n">
        <v>44848</v>
      </c>
      <c r="B261" s="7" t="inlineStr">
        <is>
          <t>zorba</t>
        </is>
      </c>
      <c r="C261" s="7" t="inlineStr">
        <is>
          <t>USEC_MUN</t>
        </is>
      </c>
      <c r="D261" s="23" t="n">
        <v>-7728.28</v>
      </c>
      <c r="E261" s="23" t="n">
        <v>-2931.62</v>
      </c>
      <c r="F261" s="23" t="n">
        <v>-12921.03</v>
      </c>
      <c r="G261" s="23" t="n">
        <v>176529.04</v>
      </c>
      <c r="H261" s="18">
        <f>Parity!$AY$247</f>
        <v/>
      </c>
      <c r="I261" s="18">
        <f>Parity!$BD$247</f>
        <v/>
      </c>
      <c r="J261" s="18">
        <f>Parity!$BE$247</f>
        <v/>
      </c>
      <c r="K261" s="18">
        <f>Parity!$AT$247</f>
        <v/>
      </c>
      <c r="L261" s="8">
        <f>$H261-$D261</f>
        <v/>
      </c>
      <c r="M261" s="8">
        <f>$I261-$E261</f>
        <v/>
      </c>
      <c r="N261" s="8">
        <f>$J261-$F261</f>
        <v/>
      </c>
      <c r="O261" s="8">
        <f>$K261-$G261</f>
        <v/>
      </c>
      <c r="P261" s="8">
        <f>IF(AND(ABS($L261)&lt;=tol_parity_inr_t,ABS($M261)&lt;=tol_parity_inr_t,ABS($N261)&lt;=tol_parity_inr_t,ABS($O261)&lt;=tol_parity_inr_t),"PASS","FAIL")</f>
        <v/>
      </c>
    </row>
    <row r="262">
      <c r="A262" s="11" t="n">
        <v>44848</v>
      </c>
      <c r="B262" s="7" t="inlineStr">
        <is>
          <t>taint_tabor</t>
        </is>
      </c>
      <c r="C262" s="7" t="inlineStr">
        <is>
          <t>JEA_NSA</t>
        </is>
      </c>
      <c r="D262" s="23" t="n">
        <v>-8238.459999999999</v>
      </c>
      <c r="E262" s="23" t="n">
        <v>-3485.05</v>
      </c>
      <c r="F262" s="23" t="n">
        <v>-13621.01</v>
      </c>
      <c r="G262" s="23" t="n">
        <v>174475.71</v>
      </c>
      <c r="H262" s="18">
        <f>Parity!$AY$248</f>
        <v/>
      </c>
      <c r="I262" s="18">
        <f>Parity!$BD$248</f>
        <v/>
      </c>
      <c r="J262" s="18">
        <f>Parity!$BE$248</f>
        <v/>
      </c>
      <c r="K262" s="18">
        <f>Parity!$AT$248</f>
        <v/>
      </c>
      <c r="L262" s="8">
        <f>$H262-$D262</f>
        <v/>
      </c>
      <c r="M262" s="8">
        <f>$I262-$E262</f>
        <v/>
      </c>
      <c r="N262" s="8">
        <f>$J262-$F262</f>
        <v/>
      </c>
      <c r="O262" s="8">
        <f>$K262-$G262</f>
        <v/>
      </c>
      <c r="P262" s="8">
        <f>IF(AND(ABS($L262)&lt;=tol_parity_inr_t,ABS($M262)&lt;=tol_parity_inr_t,ABS($N262)&lt;=tol_parity_inr_t,ABS($O262)&lt;=tol_parity_inr_t),"PASS","FAIL")</f>
        <v/>
      </c>
    </row>
    <row r="263">
      <c r="A263" s="11" t="n">
        <v>44848</v>
      </c>
      <c r="B263" s="7" t="inlineStr">
        <is>
          <t>taint_tabor</t>
        </is>
      </c>
      <c r="C263" s="7" t="inlineStr">
        <is>
          <t>USEC_MUN</t>
        </is>
      </c>
      <c r="D263" s="23" t="n">
        <v>-9338.190000000001</v>
      </c>
      <c r="E263" s="23" t="n">
        <v>-4541.52</v>
      </c>
      <c r="F263" s="23" t="n">
        <v>-14720.74</v>
      </c>
      <c r="G263" s="23" t="n">
        <v>176529.04</v>
      </c>
      <c r="H263" s="18">
        <f>Parity!$AY$249</f>
        <v/>
      </c>
      <c r="I263" s="18">
        <f>Parity!$BD$249</f>
        <v/>
      </c>
      <c r="J263" s="18">
        <f>Parity!$BE$249</f>
        <v/>
      </c>
      <c r="K263" s="18">
        <f>Parity!$AT$249</f>
        <v/>
      </c>
      <c r="L263" s="8">
        <f>$H263-$D263</f>
        <v/>
      </c>
      <c r="M263" s="8">
        <f>$I263-$E263</f>
        <v/>
      </c>
      <c r="N263" s="8">
        <f>$J263-$F263</f>
        <v/>
      </c>
      <c r="O263" s="8">
        <f>$K263-$G263</f>
        <v/>
      </c>
      <c r="P263" s="8">
        <f>IF(AND(ABS($L263)&lt;=tol_parity_inr_t,ABS($M263)&lt;=tol_parity_inr_t,ABS($N263)&lt;=tol_parity_inr_t,ABS($O263)&lt;=tol_parity_inr_t),"PASS","FAIL")</f>
        <v/>
      </c>
    </row>
    <row r="264">
      <c r="A264" s="11" t="n">
        <v>44848</v>
      </c>
      <c r="B264" s="7" t="inlineStr">
        <is>
          <t>tense</t>
        </is>
      </c>
      <c r="C264" s="7" t="inlineStr">
        <is>
          <t>JEA_NSA</t>
        </is>
      </c>
      <c r="D264" s="23" t="n">
        <v>5711.25</v>
      </c>
      <c r="E264" s="23" t="n">
        <v>10464.66</v>
      </c>
      <c r="F264" s="23" t="n">
        <v>211.69</v>
      </c>
      <c r="G264" s="23" t="n">
        <v>164139.85</v>
      </c>
      <c r="H264" s="18">
        <f>Parity!$AY$250</f>
        <v/>
      </c>
      <c r="I264" s="18">
        <f>Parity!$BD$250</f>
        <v/>
      </c>
      <c r="J264" s="18">
        <f>Parity!$BE$250</f>
        <v/>
      </c>
      <c r="K264" s="18">
        <f>Parity!$AT$250</f>
        <v/>
      </c>
      <c r="L264" s="8">
        <f>$H264-$D264</f>
        <v/>
      </c>
      <c r="M264" s="8">
        <f>$I264-$E264</f>
        <v/>
      </c>
      <c r="N264" s="8">
        <f>$J264-$F264</f>
        <v/>
      </c>
      <c r="O264" s="8">
        <f>$K264-$G264</f>
        <v/>
      </c>
      <c r="P264" s="8">
        <f>IF(AND(ABS($L264)&lt;=tol_parity_inr_t,ABS($M264)&lt;=tol_parity_inr_t,ABS($N264)&lt;=tol_parity_inr_t,ABS($O264)&lt;=tol_parity_inr_t),"PASS","FAIL")</f>
        <v/>
      </c>
    </row>
    <row r="265">
      <c r="A265" s="11" t="n">
        <v>44848</v>
      </c>
      <c r="B265" s="7" t="inlineStr">
        <is>
          <t>tense</t>
        </is>
      </c>
      <c r="C265" s="7" t="inlineStr">
        <is>
          <t>USEC_MUN</t>
        </is>
      </c>
      <c r="D265" s="23" t="n">
        <v>4289.45</v>
      </c>
      <c r="E265" s="23" t="n">
        <v>9086.110000000001</v>
      </c>
      <c r="F265" s="23" t="n">
        <v>-1210.12</v>
      </c>
      <c r="G265" s="23" t="n">
        <v>166535.99</v>
      </c>
      <c r="H265" s="18">
        <f>Parity!$AY$251</f>
        <v/>
      </c>
      <c r="I265" s="18">
        <f>Parity!$BD$251</f>
        <v/>
      </c>
      <c r="J265" s="18">
        <f>Parity!$BE$251</f>
        <v/>
      </c>
      <c r="K265" s="18">
        <f>Parity!$AT$251</f>
        <v/>
      </c>
      <c r="L265" s="8">
        <f>$H265-$D265</f>
        <v/>
      </c>
      <c r="M265" s="8">
        <f>$I265-$E265</f>
        <v/>
      </c>
      <c r="N265" s="8">
        <f>$J265-$F265</f>
        <v/>
      </c>
      <c r="O265" s="8">
        <f>$K265-$G265</f>
        <v/>
      </c>
      <c r="P265" s="8">
        <f>IF(AND(ABS($L265)&lt;=tol_parity_inr_t,ABS($M265)&lt;=tol_parity_inr_t,ABS($N265)&lt;=tol_parity_inr_t,ABS($O265)&lt;=tol_parity_inr_t),"PASS","FAIL")</f>
        <v/>
      </c>
    </row>
    <row r="266">
      <c r="A266" s="11" t="n">
        <v>44855</v>
      </c>
      <c r="B266" s="7" t="inlineStr">
        <is>
          <t>zorba</t>
        </is>
      </c>
      <c r="C266" s="7" t="inlineStr">
        <is>
          <t>JEA_NSA</t>
        </is>
      </c>
      <c r="D266" s="23" t="n">
        <v>-8971.66</v>
      </c>
      <c r="E266" s="23" t="n">
        <v>-4443.75</v>
      </c>
      <c r="F266" s="23" t="n">
        <v>-14164.41</v>
      </c>
      <c r="G266" s="23" t="n">
        <v>165802.75</v>
      </c>
      <c r="H266" s="18">
        <f>Parity!$AY$252</f>
        <v/>
      </c>
      <c r="I266" s="18">
        <f>Parity!$BD$252</f>
        <v/>
      </c>
      <c r="J266" s="18">
        <f>Parity!$BE$252</f>
        <v/>
      </c>
      <c r="K266" s="18">
        <f>Parity!$AT$252</f>
        <v/>
      </c>
      <c r="L266" s="8">
        <f>$H266-$D266</f>
        <v/>
      </c>
      <c r="M266" s="8">
        <f>$I266-$E266</f>
        <v/>
      </c>
      <c r="N266" s="8">
        <f>$J266-$F266</f>
        <v/>
      </c>
      <c r="O266" s="8">
        <f>$K266-$G266</f>
        <v/>
      </c>
      <c r="P266" s="8">
        <f>IF(AND(ABS($L266)&lt;=tol_parity_inr_t,ABS($M266)&lt;=tol_parity_inr_t,ABS($N266)&lt;=tol_parity_inr_t,ABS($O266)&lt;=tol_parity_inr_t),"PASS","FAIL")</f>
        <v/>
      </c>
    </row>
    <row r="267">
      <c r="A267" s="11" t="n">
        <v>44855</v>
      </c>
      <c r="B267" s="7" t="inlineStr">
        <is>
          <t>zorba</t>
        </is>
      </c>
      <c r="C267" s="7" t="inlineStr">
        <is>
          <t>USEC_MUN</t>
        </is>
      </c>
      <c r="D267" s="23" t="n">
        <v>-10619.3</v>
      </c>
      <c r="E267" s="23" t="n">
        <v>-6049.2</v>
      </c>
      <c r="F267" s="23" t="n">
        <v>-15812.05</v>
      </c>
      <c r="G267" s="23" t="n">
        <v>168316.28</v>
      </c>
      <c r="H267" s="18">
        <f>Parity!$AY$253</f>
        <v/>
      </c>
      <c r="I267" s="18">
        <f>Parity!$BD$253</f>
        <v/>
      </c>
      <c r="J267" s="18">
        <f>Parity!$BE$253</f>
        <v/>
      </c>
      <c r="K267" s="18">
        <f>Parity!$AT$253</f>
        <v/>
      </c>
      <c r="L267" s="8">
        <f>$H267-$D267</f>
        <v/>
      </c>
      <c r="M267" s="8">
        <f>$I267-$E267</f>
        <v/>
      </c>
      <c r="N267" s="8">
        <f>$J267-$F267</f>
        <v/>
      </c>
      <c r="O267" s="8">
        <f>$K267-$G267</f>
        <v/>
      </c>
      <c r="P267" s="8">
        <f>IF(AND(ABS($L267)&lt;=tol_parity_inr_t,ABS($M267)&lt;=tol_parity_inr_t,ABS($N267)&lt;=tol_parity_inr_t,ABS($O267)&lt;=tol_parity_inr_t),"PASS","FAIL")</f>
        <v/>
      </c>
    </row>
    <row r="268">
      <c r="A268" s="11" t="n">
        <v>44855</v>
      </c>
      <c r="B268" s="7" t="inlineStr">
        <is>
          <t>taint_tabor</t>
        </is>
      </c>
      <c r="C268" s="7" t="inlineStr">
        <is>
          <t>JEA_NSA</t>
        </is>
      </c>
      <c r="D268" s="23" t="n">
        <v>-11149</v>
      </c>
      <c r="E268" s="23" t="n">
        <v>-6621.09</v>
      </c>
      <c r="F268" s="23" t="n">
        <v>-16531.55</v>
      </c>
      <c r="G268" s="23" t="n">
        <v>166302.59</v>
      </c>
      <c r="H268" s="18">
        <f>Parity!$AY$254</f>
        <v/>
      </c>
      <c r="I268" s="18">
        <f>Parity!$BD$254</f>
        <v/>
      </c>
      <c r="J268" s="18">
        <f>Parity!$BE$254</f>
        <v/>
      </c>
      <c r="K268" s="18">
        <f>Parity!$AT$254</f>
        <v/>
      </c>
      <c r="L268" s="8">
        <f>$H268-$D268</f>
        <v/>
      </c>
      <c r="M268" s="8">
        <f>$I268-$E268</f>
        <v/>
      </c>
      <c r="N268" s="8">
        <f>$J268-$F268</f>
        <v/>
      </c>
      <c r="O268" s="8">
        <f>$K268-$G268</f>
        <v/>
      </c>
      <c r="P268" s="8">
        <f>IF(AND(ABS($L268)&lt;=tol_parity_inr_t,ABS($M268)&lt;=tol_parity_inr_t,ABS($N268)&lt;=tol_parity_inr_t,ABS($O268)&lt;=tol_parity_inr_t),"PASS","FAIL")</f>
        <v/>
      </c>
    </row>
    <row r="269">
      <c r="A269" s="11" t="n">
        <v>44855</v>
      </c>
      <c r="B269" s="7" t="inlineStr">
        <is>
          <t>taint_tabor</t>
        </is>
      </c>
      <c r="C269" s="7" t="inlineStr">
        <is>
          <t>USEC_MUN</t>
        </is>
      </c>
      <c r="D269" s="23" t="n">
        <v>-12265.16</v>
      </c>
      <c r="E269" s="23" t="n">
        <v>-7695.05</v>
      </c>
      <c r="F269" s="23" t="n">
        <v>-17647.71</v>
      </c>
      <c r="G269" s="23" t="n">
        <v>168316.28</v>
      </c>
      <c r="H269" s="18">
        <f>Parity!$AY$255</f>
        <v/>
      </c>
      <c r="I269" s="18">
        <f>Parity!$BD$255</f>
        <v/>
      </c>
      <c r="J269" s="18">
        <f>Parity!$BE$255</f>
        <v/>
      </c>
      <c r="K269" s="18">
        <f>Parity!$AT$255</f>
        <v/>
      </c>
      <c r="L269" s="8">
        <f>$H269-$D269</f>
        <v/>
      </c>
      <c r="M269" s="8">
        <f>$I269-$E269</f>
        <v/>
      </c>
      <c r="N269" s="8">
        <f>$J269-$F269</f>
        <v/>
      </c>
      <c r="O269" s="8">
        <f>$K269-$G269</f>
        <v/>
      </c>
      <c r="P269" s="8">
        <f>IF(AND(ABS($L269)&lt;=tol_parity_inr_t,ABS($M269)&lt;=tol_parity_inr_t,ABS($N269)&lt;=tol_parity_inr_t,ABS($O269)&lt;=tol_parity_inr_t),"PASS","FAIL")</f>
        <v/>
      </c>
    </row>
    <row r="270">
      <c r="A270" s="11" t="n">
        <v>44855</v>
      </c>
      <c r="B270" s="7" t="inlineStr">
        <is>
          <t>tense</t>
        </is>
      </c>
      <c r="C270" s="7" t="inlineStr">
        <is>
          <t>JEA_NSA</t>
        </is>
      </c>
      <c r="D270" s="23" t="n">
        <v>2090.24</v>
      </c>
      <c r="E270" s="23" t="n">
        <v>6618.14</v>
      </c>
      <c r="F270" s="23" t="n">
        <v>-3409.33</v>
      </c>
      <c r="G270" s="23" t="n">
        <v>156436.25</v>
      </c>
      <c r="H270" s="18">
        <f>Parity!$AY$256</f>
        <v/>
      </c>
      <c r="I270" s="18">
        <f>Parity!$BD$256</f>
        <v/>
      </c>
      <c r="J270" s="18">
        <f>Parity!$BE$256</f>
        <v/>
      </c>
      <c r="K270" s="18">
        <f>Parity!$AT$256</f>
        <v/>
      </c>
      <c r="L270" s="8">
        <f>$H270-$D270</f>
        <v/>
      </c>
      <c r="M270" s="8">
        <f>$I270-$E270</f>
        <v/>
      </c>
      <c r="N270" s="8">
        <f>$J270-$F270</f>
        <v/>
      </c>
      <c r="O270" s="8">
        <f>$K270-$G270</f>
        <v/>
      </c>
      <c r="P270" s="8">
        <f>IF(AND(ABS($L270)&lt;=tol_parity_inr_t,ABS($M270)&lt;=tol_parity_inr_t,ABS($N270)&lt;=tol_parity_inr_t,ABS($O270)&lt;=tol_parity_inr_t),"PASS","FAIL")</f>
        <v/>
      </c>
    </row>
    <row r="271">
      <c r="A271" s="11" t="n">
        <v>44855</v>
      </c>
      <c r="B271" s="7" t="inlineStr">
        <is>
          <t>tense</t>
        </is>
      </c>
      <c r="C271" s="7" t="inlineStr">
        <is>
          <t>USEC_MUN</t>
        </is>
      </c>
      <c r="D271" s="23" t="n">
        <v>648.3099999999999</v>
      </c>
      <c r="E271" s="23" t="n">
        <v>5218.41</v>
      </c>
      <c r="F271" s="23" t="n">
        <v>-4851.25</v>
      </c>
      <c r="G271" s="23" t="n">
        <v>158795.23</v>
      </c>
      <c r="H271" s="18">
        <f>Parity!$AY$257</f>
        <v/>
      </c>
      <c r="I271" s="18">
        <f>Parity!$BD$257</f>
        <v/>
      </c>
      <c r="J271" s="18">
        <f>Parity!$BE$257</f>
        <v/>
      </c>
      <c r="K271" s="18">
        <f>Parity!$AT$257</f>
        <v/>
      </c>
      <c r="L271" s="8">
        <f>$H271-$D271</f>
        <v/>
      </c>
      <c r="M271" s="8">
        <f>$I271-$E271</f>
        <v/>
      </c>
      <c r="N271" s="8">
        <f>$J271-$F271</f>
        <v/>
      </c>
      <c r="O271" s="8">
        <f>$K271-$G271</f>
        <v/>
      </c>
      <c r="P271" s="8">
        <f>IF(AND(ABS($L271)&lt;=tol_parity_inr_t,ABS($M271)&lt;=tol_parity_inr_t,ABS($N271)&lt;=tol_parity_inr_t,ABS($O271)&lt;=tol_parity_inr_t),"PASS","FAIL")</f>
        <v/>
      </c>
    </row>
    <row r="272">
      <c r="A272" s="11" t="n">
        <v>44862</v>
      </c>
      <c r="B272" s="7" t="inlineStr">
        <is>
          <t>zorba</t>
        </is>
      </c>
      <c r="C272" s="7" t="inlineStr">
        <is>
          <t>JEA_NSA</t>
        </is>
      </c>
      <c r="D272" s="23" t="n">
        <v>-8116.22</v>
      </c>
      <c r="E272" s="23" t="n">
        <v>-3491.84</v>
      </c>
      <c r="F272" s="23" t="n">
        <v>-13308.97</v>
      </c>
      <c r="G272" s="23" t="n">
        <v>169299.21</v>
      </c>
      <c r="H272" s="18">
        <f>Parity!$AY$258</f>
        <v/>
      </c>
      <c r="I272" s="18">
        <f>Parity!$BD$258</f>
        <v/>
      </c>
      <c r="J272" s="18">
        <f>Parity!$BE$258</f>
        <v/>
      </c>
      <c r="K272" s="18">
        <f>Parity!$AT$258</f>
        <v/>
      </c>
      <c r="L272" s="8">
        <f>$H272-$D272</f>
        <v/>
      </c>
      <c r="M272" s="8">
        <f>$I272-$E272</f>
        <v/>
      </c>
      <c r="N272" s="8">
        <f>$J272-$F272</f>
        <v/>
      </c>
      <c r="O272" s="8">
        <f>$K272-$G272</f>
        <v/>
      </c>
      <c r="P272" s="8">
        <f>IF(AND(ABS($L272)&lt;=tol_parity_inr_t,ABS($M272)&lt;=tol_parity_inr_t,ABS($N272)&lt;=tol_parity_inr_t,ABS($O272)&lt;=tol_parity_inr_t),"PASS","FAIL")</f>
        <v/>
      </c>
    </row>
    <row r="273">
      <c r="A273" s="11" t="n">
        <v>44862</v>
      </c>
      <c r="B273" s="7" t="inlineStr">
        <is>
          <t>zorba</t>
        </is>
      </c>
      <c r="C273" s="7" t="inlineStr">
        <is>
          <t>USEC_MUN</t>
        </is>
      </c>
      <c r="D273" s="23" t="n">
        <v>-9774.58</v>
      </c>
      <c r="E273" s="23" t="n">
        <v>-5107.1</v>
      </c>
      <c r="F273" s="23" t="n">
        <v>-14967.33</v>
      </c>
      <c r="G273" s="23" t="n">
        <v>171846.13</v>
      </c>
      <c r="H273" s="18">
        <f>Parity!$AY$259</f>
        <v/>
      </c>
      <c r="I273" s="18">
        <f>Parity!$BD$259</f>
        <v/>
      </c>
      <c r="J273" s="18">
        <f>Parity!$BE$259</f>
        <v/>
      </c>
      <c r="K273" s="18">
        <f>Parity!$AT$259</f>
        <v/>
      </c>
      <c r="L273" s="8">
        <f>$H273-$D273</f>
        <v/>
      </c>
      <c r="M273" s="8">
        <f>$I273-$E273</f>
        <v/>
      </c>
      <c r="N273" s="8">
        <f>$J273-$F273</f>
        <v/>
      </c>
      <c r="O273" s="8">
        <f>$K273-$G273</f>
        <v/>
      </c>
      <c r="P273" s="8">
        <f>IF(AND(ABS($L273)&lt;=tol_parity_inr_t,ABS($M273)&lt;=tol_parity_inr_t,ABS($N273)&lt;=tol_parity_inr_t,ABS($O273)&lt;=tol_parity_inr_t),"PASS","FAIL")</f>
        <v/>
      </c>
    </row>
    <row r="274">
      <c r="A274" s="11" t="n">
        <v>44862</v>
      </c>
      <c r="B274" s="7" t="inlineStr">
        <is>
          <t>taint_tabor</t>
        </is>
      </c>
      <c r="C274" s="7" t="inlineStr">
        <is>
          <t>JEA_NSA</t>
        </is>
      </c>
      <c r="D274" s="23" t="n">
        <v>-10292.71</v>
      </c>
      <c r="E274" s="23" t="n">
        <v>-5668.32</v>
      </c>
      <c r="F274" s="23" t="n">
        <v>-15675.26</v>
      </c>
      <c r="G274" s="23" t="n">
        <v>169798.8</v>
      </c>
      <c r="H274" s="18">
        <f>Parity!$AY$260</f>
        <v/>
      </c>
      <c r="I274" s="18">
        <f>Parity!$BD$260</f>
        <v/>
      </c>
      <c r="J274" s="18">
        <f>Parity!$BE$260</f>
        <v/>
      </c>
      <c r="K274" s="18">
        <f>Parity!$AT$260</f>
        <v/>
      </c>
      <c r="L274" s="8">
        <f>$H274-$D274</f>
        <v/>
      </c>
      <c r="M274" s="8">
        <f>$I274-$E274</f>
        <v/>
      </c>
      <c r="N274" s="8">
        <f>$J274-$F274</f>
        <v/>
      </c>
      <c r="O274" s="8">
        <f>$K274-$G274</f>
        <v/>
      </c>
      <c r="P274" s="8">
        <f>IF(AND(ABS($L274)&lt;=tol_parity_inr_t,ABS($M274)&lt;=tol_parity_inr_t,ABS($N274)&lt;=tol_parity_inr_t,ABS($O274)&lt;=tol_parity_inr_t),"PASS","FAIL")</f>
        <v/>
      </c>
    </row>
    <row r="275">
      <c r="A275" s="11" t="n">
        <v>44862</v>
      </c>
      <c r="B275" s="7" t="inlineStr">
        <is>
          <t>taint_tabor</t>
        </is>
      </c>
      <c r="C275" s="7" t="inlineStr">
        <is>
          <t>USEC_MUN</t>
        </is>
      </c>
      <c r="D275" s="23" t="n">
        <v>-11418.99</v>
      </c>
      <c r="E275" s="23" t="n">
        <v>-6751.51</v>
      </c>
      <c r="F275" s="23" t="n">
        <v>-16801.54</v>
      </c>
      <c r="G275" s="23" t="n">
        <v>171846.13</v>
      </c>
      <c r="H275" s="18">
        <f>Parity!$AY$261</f>
        <v/>
      </c>
      <c r="I275" s="18">
        <f>Parity!$BD$261</f>
        <v/>
      </c>
      <c r="J275" s="18">
        <f>Parity!$BE$261</f>
        <v/>
      </c>
      <c r="K275" s="18">
        <f>Parity!$AT$261</f>
        <v/>
      </c>
      <c r="L275" s="8">
        <f>$H275-$D275</f>
        <v/>
      </c>
      <c r="M275" s="8">
        <f>$I275-$E275</f>
        <v/>
      </c>
      <c r="N275" s="8">
        <f>$J275-$F275</f>
        <v/>
      </c>
      <c r="O275" s="8">
        <f>$K275-$G275</f>
        <v/>
      </c>
      <c r="P275" s="8">
        <f>IF(AND(ABS($L275)&lt;=tol_parity_inr_t,ABS($M275)&lt;=tol_parity_inr_t,ABS($N275)&lt;=tol_parity_inr_t,ABS($O275)&lt;=tol_parity_inr_t),"PASS","FAIL")</f>
        <v/>
      </c>
    </row>
    <row r="276">
      <c r="A276" s="11" t="n">
        <v>44862</v>
      </c>
      <c r="B276" s="7" t="inlineStr">
        <is>
          <t>tense</t>
        </is>
      </c>
      <c r="C276" s="7" t="inlineStr">
        <is>
          <t>JEA_NSA</t>
        </is>
      </c>
      <c r="D276" s="23" t="n">
        <v>3241.93</v>
      </c>
      <c r="E276" s="23" t="n">
        <v>7866.32</v>
      </c>
      <c r="F276" s="23" t="n">
        <v>-2257.63</v>
      </c>
      <c r="G276" s="23" t="n">
        <v>159731.69</v>
      </c>
      <c r="H276" s="18">
        <f>Parity!$AY$262</f>
        <v/>
      </c>
      <c r="I276" s="18">
        <f>Parity!$BD$262</f>
        <v/>
      </c>
      <c r="J276" s="18">
        <f>Parity!$BE$262</f>
        <v/>
      </c>
      <c r="K276" s="18">
        <f>Parity!$AT$262</f>
        <v/>
      </c>
      <c r="L276" s="8">
        <f>$H276-$D276</f>
        <v/>
      </c>
      <c r="M276" s="8">
        <f>$I276-$E276</f>
        <v/>
      </c>
      <c r="N276" s="8">
        <f>$J276-$F276</f>
        <v/>
      </c>
      <c r="O276" s="8">
        <f>$K276-$G276</f>
        <v/>
      </c>
      <c r="P276" s="8">
        <f>IF(AND(ABS($L276)&lt;=tol_parity_inr_t,ABS($M276)&lt;=tol_parity_inr_t,ABS($N276)&lt;=tol_parity_inr_t,ABS($O276)&lt;=tol_parity_inr_t),"PASS","FAIL")</f>
        <v/>
      </c>
    </row>
    <row r="277">
      <c r="A277" s="11" t="n">
        <v>44862</v>
      </c>
      <c r="B277" s="7" t="inlineStr">
        <is>
          <t>tense</t>
        </is>
      </c>
      <c r="C277" s="7" t="inlineStr">
        <is>
          <t>USEC_MUN</t>
        </is>
      </c>
      <c r="D277" s="23" t="n">
        <v>1792.47</v>
      </c>
      <c r="E277" s="23" t="n">
        <v>6459.95</v>
      </c>
      <c r="F277" s="23" t="n">
        <v>-3707.09</v>
      </c>
      <c r="G277" s="23" t="n">
        <v>162122.22</v>
      </c>
      <c r="H277" s="18">
        <f>Parity!$AY$263</f>
        <v/>
      </c>
      <c r="I277" s="18">
        <f>Parity!$BD$263</f>
        <v/>
      </c>
      <c r="J277" s="18">
        <f>Parity!$BE$263</f>
        <v/>
      </c>
      <c r="K277" s="18">
        <f>Parity!$AT$263</f>
        <v/>
      </c>
      <c r="L277" s="8">
        <f>$H277-$D277</f>
        <v/>
      </c>
      <c r="M277" s="8">
        <f>$I277-$E277</f>
        <v/>
      </c>
      <c r="N277" s="8">
        <f>$J277-$F277</f>
        <v/>
      </c>
      <c r="O277" s="8">
        <f>$K277-$G277</f>
        <v/>
      </c>
      <c r="P277" s="8">
        <f>IF(AND(ABS($L277)&lt;=tol_parity_inr_t,ABS($M277)&lt;=tol_parity_inr_t,ABS($N277)&lt;=tol_parity_inr_t,ABS($O277)&lt;=tol_parity_inr_t),"PASS","FAIL")</f>
        <v/>
      </c>
    </row>
    <row r="280">
      <c r="A280" s="4" t="inlineStr">
        <is>
          <t>2. Sensitivity — Table 1.5(a) LME × USD/INR, every grid cell</t>
        </is>
      </c>
    </row>
    <row r="282" ht="30" customHeight="1">
      <c r="A282" s="5" t="inlineStr">
        <is>
          <t>ref_case</t>
        </is>
      </c>
      <c r="B282" s="5" t="inlineStr">
        <is>
          <t>lme_shock_pct</t>
        </is>
      </c>
      <c r="C282" s="5" t="inlineStr">
        <is>
          <t>usdinr</t>
        </is>
      </c>
      <c r="D282" s="5" t="inlineStr">
        <is>
          <t>py_pnl_impact_1000mt_inr</t>
        </is>
      </c>
      <c r="E282" s="5" t="inlineStr">
        <is>
          <t>xl_pnl_impact_1000mt_inr</t>
        </is>
      </c>
      <c r="F282" s="5" t="inlineStr">
        <is>
          <t>diff</t>
        </is>
      </c>
      <c r="G282" s="5" t="inlineStr">
        <is>
          <t>check</t>
        </is>
      </c>
    </row>
    <row r="283">
      <c r="A283" s="7" t="inlineStr">
        <is>
          <t>first_eligible</t>
        </is>
      </c>
      <c r="B283" s="20" t="n">
        <v>-30</v>
      </c>
      <c r="C283" s="28" t="n">
        <v>74</v>
      </c>
      <c r="D283" s="23" t="n">
        <v>-23057680</v>
      </c>
      <c r="E283" s="18">
        <f>Sensitivity!$AI$9</f>
        <v/>
      </c>
      <c r="F283" s="8">
        <f>$E283-$D283</f>
        <v/>
      </c>
      <c r="G283" s="8">
        <f>IF(ABS($F283)&lt;=tol_grid_inr,"PASS","FAIL")</f>
        <v/>
      </c>
    </row>
    <row r="284">
      <c r="A284" s="7" t="inlineStr">
        <is>
          <t>first_eligible</t>
        </is>
      </c>
      <c r="B284" s="20" t="n">
        <v>-25</v>
      </c>
      <c r="C284" s="28" t="n">
        <v>74</v>
      </c>
      <c r="D284" s="23" t="n">
        <v>-19581071</v>
      </c>
      <c r="E284" s="18">
        <f>Sensitivity!$AI$10</f>
        <v/>
      </c>
      <c r="F284" s="8">
        <f>$E284-$D284</f>
        <v/>
      </c>
      <c r="G284" s="8">
        <f>IF(ABS($F284)&lt;=tol_grid_inr,"PASS","FAIL")</f>
        <v/>
      </c>
    </row>
    <row r="285">
      <c r="A285" s="7" t="inlineStr">
        <is>
          <t>first_eligible</t>
        </is>
      </c>
      <c r="B285" s="20" t="n">
        <v>-20</v>
      </c>
      <c r="C285" s="28" t="n">
        <v>74</v>
      </c>
      <c r="D285" s="23" t="n">
        <v>-16104463</v>
      </c>
      <c r="E285" s="18">
        <f>Sensitivity!$AI$11</f>
        <v/>
      </c>
      <c r="F285" s="8">
        <f>$E285-$D285</f>
        <v/>
      </c>
      <c r="G285" s="8">
        <f>IF(ABS($F285)&lt;=tol_grid_inr,"PASS","FAIL")</f>
        <v/>
      </c>
    </row>
    <row r="286">
      <c r="A286" s="7" t="inlineStr">
        <is>
          <t>first_eligible</t>
        </is>
      </c>
      <c r="B286" s="20" t="n">
        <v>-15</v>
      </c>
      <c r="C286" s="28" t="n">
        <v>74</v>
      </c>
      <c r="D286" s="23" t="n">
        <v>-12627854</v>
      </c>
      <c r="E286" s="18">
        <f>Sensitivity!$AI$12</f>
        <v/>
      </c>
      <c r="F286" s="8">
        <f>$E286-$D286</f>
        <v/>
      </c>
      <c r="G286" s="8">
        <f>IF(ABS($F286)&lt;=tol_grid_inr,"PASS","FAIL")</f>
        <v/>
      </c>
    </row>
    <row r="287">
      <c r="A287" s="7" t="inlineStr">
        <is>
          <t>first_eligible</t>
        </is>
      </c>
      <c r="B287" s="20" t="n">
        <v>-10</v>
      </c>
      <c r="C287" s="28" t="n">
        <v>74</v>
      </c>
      <c r="D287" s="23" t="n">
        <v>-9151245</v>
      </c>
      <c r="E287" s="18">
        <f>Sensitivity!$AI$13</f>
        <v/>
      </c>
      <c r="F287" s="8">
        <f>$E287-$D287</f>
        <v/>
      </c>
      <c r="G287" s="8">
        <f>IF(ABS($F287)&lt;=tol_grid_inr,"PASS","FAIL")</f>
        <v/>
      </c>
    </row>
    <row r="288">
      <c r="A288" s="7" t="inlineStr">
        <is>
          <t>first_eligible</t>
        </is>
      </c>
      <c r="B288" s="20" t="n">
        <v>-5</v>
      </c>
      <c r="C288" s="28" t="n">
        <v>74</v>
      </c>
      <c r="D288" s="23" t="n">
        <v>-5674637</v>
      </c>
      <c r="E288" s="18">
        <f>Sensitivity!$AI$14</f>
        <v/>
      </c>
      <c r="F288" s="8">
        <f>$E288-$D288</f>
        <v/>
      </c>
      <c r="G288" s="8">
        <f>IF(ABS($F288)&lt;=tol_grid_inr,"PASS","FAIL")</f>
        <v/>
      </c>
    </row>
    <row r="289">
      <c r="A289" s="7" t="inlineStr">
        <is>
          <t>first_eligible</t>
        </is>
      </c>
      <c r="B289" s="20" t="n">
        <v>0</v>
      </c>
      <c r="C289" s="28" t="n">
        <v>74</v>
      </c>
      <c r="D289" s="23" t="n">
        <v>-2198028</v>
      </c>
      <c r="E289" s="18">
        <f>Sensitivity!$AI$15</f>
        <v/>
      </c>
      <c r="F289" s="8">
        <f>$E289-$D289</f>
        <v/>
      </c>
      <c r="G289" s="8">
        <f>IF(ABS($F289)&lt;=tol_grid_inr,"PASS","FAIL")</f>
        <v/>
      </c>
    </row>
    <row r="290">
      <c r="A290" s="7" t="inlineStr">
        <is>
          <t>first_eligible</t>
        </is>
      </c>
      <c r="B290" s="20" t="n">
        <v>5</v>
      </c>
      <c r="C290" s="28" t="n">
        <v>74</v>
      </c>
      <c r="D290" s="23" t="n">
        <v>1278581</v>
      </c>
      <c r="E290" s="18">
        <f>Sensitivity!$AI$16</f>
        <v/>
      </c>
      <c r="F290" s="8">
        <f>$E290-$D290</f>
        <v/>
      </c>
      <c r="G290" s="8">
        <f>IF(ABS($F290)&lt;=tol_grid_inr,"PASS","FAIL")</f>
        <v/>
      </c>
    </row>
    <row r="291">
      <c r="A291" s="7" t="inlineStr">
        <is>
          <t>first_eligible</t>
        </is>
      </c>
      <c r="B291" s="20" t="n">
        <v>10</v>
      </c>
      <c r="C291" s="28" t="n">
        <v>74</v>
      </c>
      <c r="D291" s="23" t="n">
        <v>4755189</v>
      </c>
      <c r="E291" s="18">
        <f>Sensitivity!$AI$17</f>
        <v/>
      </c>
      <c r="F291" s="8">
        <f>$E291-$D291</f>
        <v/>
      </c>
      <c r="G291" s="8">
        <f>IF(ABS($F291)&lt;=tol_grid_inr,"PASS","FAIL")</f>
        <v/>
      </c>
    </row>
    <row r="292">
      <c r="A292" s="7" t="inlineStr">
        <is>
          <t>first_eligible</t>
        </is>
      </c>
      <c r="B292" s="20" t="n">
        <v>-30</v>
      </c>
      <c r="C292" s="28" t="n">
        <v>75</v>
      </c>
      <c r="D292" s="23" t="n">
        <v>-22401482</v>
      </c>
      <c r="E292" s="18">
        <f>Sensitivity!$AI$18</f>
        <v/>
      </c>
      <c r="F292" s="8">
        <f>$E292-$D292</f>
        <v/>
      </c>
      <c r="G292" s="8">
        <f>IF(ABS($F292)&lt;=tol_grid_inr,"PASS","FAIL")</f>
        <v/>
      </c>
    </row>
    <row r="293">
      <c r="A293" s="7" t="inlineStr">
        <is>
          <t>first_eligible</t>
        </is>
      </c>
      <c r="B293" s="20" t="n">
        <v>-25</v>
      </c>
      <c r="C293" s="28" t="n">
        <v>75</v>
      </c>
      <c r="D293" s="23" t="n">
        <v>-18877892</v>
      </c>
      <c r="E293" s="18">
        <f>Sensitivity!$AI$19</f>
        <v/>
      </c>
      <c r="F293" s="8">
        <f>$E293-$D293</f>
        <v/>
      </c>
      <c r="G293" s="8">
        <f>IF(ABS($F293)&lt;=tol_grid_inr,"PASS","FAIL")</f>
        <v/>
      </c>
    </row>
    <row r="294">
      <c r="A294" s="7" t="inlineStr">
        <is>
          <t>first_eligible</t>
        </is>
      </c>
      <c r="B294" s="20" t="n">
        <v>-20</v>
      </c>
      <c r="C294" s="28" t="n">
        <v>75</v>
      </c>
      <c r="D294" s="23" t="n">
        <v>-15354302</v>
      </c>
      <c r="E294" s="18">
        <f>Sensitivity!$AI$20</f>
        <v/>
      </c>
      <c r="F294" s="8">
        <f>$E294-$D294</f>
        <v/>
      </c>
      <c r="G294" s="8">
        <f>IF(ABS($F294)&lt;=tol_grid_inr,"PASS","FAIL")</f>
        <v/>
      </c>
    </row>
    <row r="295">
      <c r="A295" s="7" t="inlineStr">
        <is>
          <t>first_eligible</t>
        </is>
      </c>
      <c r="B295" s="20" t="n">
        <v>-15</v>
      </c>
      <c r="C295" s="28" t="n">
        <v>75</v>
      </c>
      <c r="D295" s="23" t="n">
        <v>-11830712</v>
      </c>
      <c r="E295" s="18">
        <f>Sensitivity!$AI$21</f>
        <v/>
      </c>
      <c r="F295" s="8">
        <f>$E295-$D295</f>
        <v/>
      </c>
      <c r="G295" s="8">
        <f>IF(ABS($F295)&lt;=tol_grid_inr,"PASS","FAIL")</f>
        <v/>
      </c>
    </row>
    <row r="296">
      <c r="A296" s="7" t="inlineStr">
        <is>
          <t>first_eligible</t>
        </is>
      </c>
      <c r="B296" s="20" t="n">
        <v>-10</v>
      </c>
      <c r="C296" s="28" t="n">
        <v>75</v>
      </c>
      <c r="D296" s="23" t="n">
        <v>-8307122</v>
      </c>
      <c r="E296" s="18">
        <f>Sensitivity!$AI$22</f>
        <v/>
      </c>
      <c r="F296" s="8">
        <f>$E296-$D296</f>
        <v/>
      </c>
      <c r="G296" s="8">
        <f>IF(ABS($F296)&lt;=tol_grid_inr,"PASS","FAIL")</f>
        <v/>
      </c>
    </row>
    <row r="297">
      <c r="A297" s="7" t="inlineStr">
        <is>
          <t>first_eligible</t>
        </is>
      </c>
      <c r="B297" s="20" t="n">
        <v>-5</v>
      </c>
      <c r="C297" s="28" t="n">
        <v>75</v>
      </c>
      <c r="D297" s="23" t="n">
        <v>-4783532</v>
      </c>
      <c r="E297" s="18">
        <f>Sensitivity!$AI$23</f>
        <v/>
      </c>
      <c r="F297" s="8">
        <f>$E297-$D297</f>
        <v/>
      </c>
      <c r="G297" s="8">
        <f>IF(ABS($F297)&lt;=tol_grid_inr,"PASS","FAIL")</f>
        <v/>
      </c>
    </row>
    <row r="298">
      <c r="A298" s="7" t="inlineStr">
        <is>
          <t>first_eligible</t>
        </is>
      </c>
      <c r="B298" s="20" t="n">
        <v>0</v>
      </c>
      <c r="C298" s="28" t="n">
        <v>75</v>
      </c>
      <c r="D298" s="23" t="n">
        <v>-1259943</v>
      </c>
      <c r="E298" s="18">
        <f>Sensitivity!$AI$24</f>
        <v/>
      </c>
      <c r="F298" s="8">
        <f>$E298-$D298</f>
        <v/>
      </c>
      <c r="G298" s="8">
        <f>IF(ABS($F298)&lt;=tol_grid_inr,"PASS","FAIL")</f>
        <v/>
      </c>
    </row>
    <row r="299">
      <c r="A299" s="7" t="inlineStr">
        <is>
          <t>first_eligible</t>
        </is>
      </c>
      <c r="B299" s="20" t="n">
        <v>5</v>
      </c>
      <c r="C299" s="28" t="n">
        <v>75</v>
      </c>
      <c r="D299" s="23" t="n">
        <v>2263647</v>
      </c>
      <c r="E299" s="18">
        <f>Sensitivity!$AI$25</f>
        <v/>
      </c>
      <c r="F299" s="8">
        <f>$E299-$D299</f>
        <v/>
      </c>
      <c r="G299" s="8">
        <f>IF(ABS($F299)&lt;=tol_grid_inr,"PASS","FAIL")</f>
        <v/>
      </c>
    </row>
    <row r="300">
      <c r="A300" s="7" t="inlineStr">
        <is>
          <t>first_eligible</t>
        </is>
      </c>
      <c r="B300" s="20" t="n">
        <v>10</v>
      </c>
      <c r="C300" s="28" t="n">
        <v>75</v>
      </c>
      <c r="D300" s="23" t="n">
        <v>5787237</v>
      </c>
      <c r="E300" s="18">
        <f>Sensitivity!$AI$26</f>
        <v/>
      </c>
      <c r="F300" s="8">
        <f>$E300-$D300</f>
        <v/>
      </c>
      <c r="G300" s="8">
        <f>IF(ABS($F300)&lt;=tol_grid_inr,"PASS","FAIL")</f>
        <v/>
      </c>
    </row>
    <row r="301">
      <c r="A301" s="7" t="inlineStr">
        <is>
          <t>first_eligible</t>
        </is>
      </c>
      <c r="B301" s="20" t="n">
        <v>-30</v>
      </c>
      <c r="C301" s="28" t="n">
        <v>76</v>
      </c>
      <c r="D301" s="23" t="n">
        <v>-21745283</v>
      </c>
      <c r="E301" s="18">
        <f>Sensitivity!$AI$27</f>
        <v/>
      </c>
      <c r="F301" s="8">
        <f>$E301-$D301</f>
        <v/>
      </c>
      <c r="G301" s="8">
        <f>IF(ABS($F301)&lt;=tol_grid_inr,"PASS","FAIL")</f>
        <v/>
      </c>
    </row>
    <row r="302">
      <c r="A302" s="7" t="inlineStr">
        <is>
          <t>first_eligible</t>
        </is>
      </c>
      <c r="B302" s="20" t="n">
        <v>-25</v>
      </c>
      <c r="C302" s="28" t="n">
        <v>76</v>
      </c>
      <c r="D302" s="23" t="n">
        <v>-18174712</v>
      </c>
      <c r="E302" s="18">
        <f>Sensitivity!$AI$28</f>
        <v/>
      </c>
      <c r="F302" s="8">
        <f>$E302-$D302</f>
        <v/>
      </c>
      <c r="G302" s="8">
        <f>IF(ABS($F302)&lt;=tol_grid_inr,"PASS","FAIL")</f>
        <v/>
      </c>
    </row>
    <row r="303">
      <c r="A303" s="7" t="inlineStr">
        <is>
          <t>first_eligible</t>
        </is>
      </c>
      <c r="B303" s="20" t="n">
        <v>-20</v>
      </c>
      <c r="C303" s="28" t="n">
        <v>76</v>
      </c>
      <c r="D303" s="23" t="n">
        <v>-14604141</v>
      </c>
      <c r="E303" s="18">
        <f>Sensitivity!$AI$29</f>
        <v/>
      </c>
      <c r="F303" s="8">
        <f>$E303-$D303</f>
        <v/>
      </c>
      <c r="G303" s="8">
        <f>IF(ABS($F303)&lt;=tol_grid_inr,"PASS","FAIL")</f>
        <v/>
      </c>
    </row>
    <row r="304">
      <c r="A304" s="7" t="inlineStr">
        <is>
          <t>first_eligible</t>
        </is>
      </c>
      <c r="B304" s="20" t="n">
        <v>-15</v>
      </c>
      <c r="C304" s="28" t="n">
        <v>76</v>
      </c>
      <c r="D304" s="23" t="n">
        <v>-11033570</v>
      </c>
      <c r="E304" s="18">
        <f>Sensitivity!$AI$30</f>
        <v/>
      </c>
      <c r="F304" s="8">
        <f>$E304-$D304</f>
        <v/>
      </c>
      <c r="G304" s="8">
        <f>IF(ABS($F304)&lt;=tol_grid_inr,"PASS","FAIL")</f>
        <v/>
      </c>
    </row>
    <row r="305">
      <c r="A305" s="7" t="inlineStr">
        <is>
          <t>first_eligible</t>
        </is>
      </c>
      <c r="B305" s="20" t="n">
        <v>-10</v>
      </c>
      <c r="C305" s="28" t="n">
        <v>76</v>
      </c>
      <c r="D305" s="23" t="n">
        <v>-7462999</v>
      </c>
      <c r="E305" s="18">
        <f>Sensitivity!$AI$31</f>
        <v/>
      </c>
      <c r="F305" s="8">
        <f>$E305-$D305</f>
        <v/>
      </c>
      <c r="G305" s="8">
        <f>IF(ABS($F305)&lt;=tol_grid_inr,"PASS","FAIL")</f>
        <v/>
      </c>
    </row>
    <row r="306">
      <c r="A306" s="7" t="inlineStr">
        <is>
          <t>first_eligible</t>
        </is>
      </c>
      <c r="B306" s="20" t="n">
        <v>-5</v>
      </c>
      <c r="C306" s="28" t="n">
        <v>76</v>
      </c>
      <c r="D306" s="23" t="n">
        <v>-3892428</v>
      </c>
      <c r="E306" s="18">
        <f>Sensitivity!$AI$32</f>
        <v/>
      </c>
      <c r="F306" s="8">
        <f>$E306-$D306</f>
        <v/>
      </c>
      <c r="G306" s="8">
        <f>IF(ABS($F306)&lt;=tol_grid_inr,"PASS","FAIL")</f>
        <v/>
      </c>
    </row>
    <row r="307">
      <c r="A307" s="7" t="inlineStr">
        <is>
          <t>first_eligible</t>
        </is>
      </c>
      <c r="B307" s="20" t="n">
        <v>0</v>
      </c>
      <c r="C307" s="28" t="n">
        <v>76</v>
      </c>
      <c r="D307" s="23" t="n">
        <v>-321857</v>
      </c>
      <c r="E307" s="18">
        <f>Sensitivity!$AI$33</f>
        <v/>
      </c>
      <c r="F307" s="8">
        <f>$E307-$D307</f>
        <v/>
      </c>
      <c r="G307" s="8">
        <f>IF(ABS($F307)&lt;=tol_grid_inr,"PASS","FAIL")</f>
        <v/>
      </c>
    </row>
    <row r="308">
      <c r="A308" s="7" t="inlineStr">
        <is>
          <t>first_eligible</t>
        </is>
      </c>
      <c r="B308" s="20" t="n">
        <v>5</v>
      </c>
      <c r="C308" s="28" t="n">
        <v>76</v>
      </c>
      <c r="D308" s="23" t="n">
        <v>3248714</v>
      </c>
      <c r="E308" s="18">
        <f>Sensitivity!$AI$34</f>
        <v/>
      </c>
      <c r="F308" s="8">
        <f>$E308-$D308</f>
        <v/>
      </c>
      <c r="G308" s="8">
        <f>IF(ABS($F308)&lt;=tol_grid_inr,"PASS","FAIL")</f>
        <v/>
      </c>
    </row>
    <row r="309">
      <c r="A309" s="7" t="inlineStr">
        <is>
          <t>first_eligible</t>
        </is>
      </c>
      <c r="B309" s="20" t="n">
        <v>10</v>
      </c>
      <c r="C309" s="28" t="n">
        <v>76</v>
      </c>
      <c r="D309" s="23" t="n">
        <v>6819285</v>
      </c>
      <c r="E309" s="18">
        <f>Sensitivity!$AI$35</f>
        <v/>
      </c>
      <c r="F309" s="8">
        <f>$E309-$D309</f>
        <v/>
      </c>
      <c r="G309" s="8">
        <f>IF(ABS($F309)&lt;=tol_grid_inr,"PASS","FAIL")</f>
        <v/>
      </c>
    </row>
    <row r="310">
      <c r="A310" s="7" t="inlineStr">
        <is>
          <t>first_eligible</t>
        </is>
      </c>
      <c r="B310" s="20" t="n">
        <v>-30</v>
      </c>
      <c r="C310" s="28" t="n">
        <v>77</v>
      </c>
      <c r="D310" s="23" t="n">
        <v>-21089085</v>
      </c>
      <c r="E310" s="18">
        <f>Sensitivity!$AI$36</f>
        <v/>
      </c>
      <c r="F310" s="8">
        <f>$E310-$D310</f>
        <v/>
      </c>
      <c r="G310" s="8">
        <f>IF(ABS($F310)&lt;=tol_grid_inr,"PASS","FAIL")</f>
        <v/>
      </c>
    </row>
    <row r="311">
      <c r="A311" s="7" t="inlineStr">
        <is>
          <t>first_eligible</t>
        </is>
      </c>
      <c r="B311" s="20" t="n">
        <v>-25</v>
      </c>
      <c r="C311" s="28" t="n">
        <v>77</v>
      </c>
      <c r="D311" s="23" t="n">
        <v>-17471533</v>
      </c>
      <c r="E311" s="18">
        <f>Sensitivity!$AI$37</f>
        <v/>
      </c>
      <c r="F311" s="8">
        <f>$E311-$D311</f>
        <v/>
      </c>
      <c r="G311" s="8">
        <f>IF(ABS($F311)&lt;=tol_grid_inr,"PASS","FAIL")</f>
        <v/>
      </c>
    </row>
    <row r="312">
      <c r="A312" s="7" t="inlineStr">
        <is>
          <t>first_eligible</t>
        </is>
      </c>
      <c r="B312" s="20" t="n">
        <v>-20</v>
      </c>
      <c r="C312" s="28" t="n">
        <v>77</v>
      </c>
      <c r="D312" s="23" t="n">
        <v>-13853980</v>
      </c>
      <c r="E312" s="18">
        <f>Sensitivity!$AI$38</f>
        <v/>
      </c>
      <c r="F312" s="8">
        <f>$E312-$D312</f>
        <v/>
      </c>
      <c r="G312" s="8">
        <f>IF(ABS($F312)&lt;=tol_grid_inr,"PASS","FAIL")</f>
        <v/>
      </c>
    </row>
    <row r="313">
      <c r="A313" s="7" t="inlineStr">
        <is>
          <t>first_eligible</t>
        </is>
      </c>
      <c r="B313" s="20" t="n">
        <v>-15</v>
      </c>
      <c r="C313" s="28" t="n">
        <v>77</v>
      </c>
      <c r="D313" s="23" t="n">
        <v>-10236428</v>
      </c>
      <c r="E313" s="18">
        <f>Sensitivity!$AI$39</f>
        <v/>
      </c>
      <c r="F313" s="8">
        <f>$E313-$D313</f>
        <v/>
      </c>
      <c r="G313" s="8">
        <f>IF(ABS($F313)&lt;=tol_grid_inr,"PASS","FAIL")</f>
        <v/>
      </c>
    </row>
    <row r="314">
      <c r="A314" s="7" t="inlineStr">
        <is>
          <t>first_eligible</t>
        </is>
      </c>
      <c r="B314" s="20" t="n">
        <v>-10</v>
      </c>
      <c r="C314" s="28" t="n">
        <v>77</v>
      </c>
      <c r="D314" s="23" t="n">
        <v>-6618876</v>
      </c>
      <c r="E314" s="18">
        <f>Sensitivity!$AI$40</f>
        <v/>
      </c>
      <c r="F314" s="8">
        <f>$E314-$D314</f>
        <v/>
      </c>
      <c r="G314" s="8">
        <f>IF(ABS($F314)&lt;=tol_grid_inr,"PASS","FAIL")</f>
        <v/>
      </c>
    </row>
    <row r="315">
      <c r="A315" s="7" t="inlineStr">
        <is>
          <t>first_eligible</t>
        </is>
      </c>
      <c r="B315" s="20" t="n">
        <v>-5</v>
      </c>
      <c r="C315" s="28" t="n">
        <v>77</v>
      </c>
      <c r="D315" s="23" t="n">
        <v>-3001324</v>
      </c>
      <c r="E315" s="18">
        <f>Sensitivity!$AI$41</f>
        <v/>
      </c>
      <c r="F315" s="8">
        <f>$E315-$D315</f>
        <v/>
      </c>
      <c r="G315" s="8">
        <f>IF(ABS($F315)&lt;=tol_grid_inr,"PASS","FAIL")</f>
        <v/>
      </c>
    </row>
    <row r="316">
      <c r="A316" s="7" t="inlineStr">
        <is>
          <t>first_eligible</t>
        </is>
      </c>
      <c r="B316" s="20" t="n">
        <v>0</v>
      </c>
      <c r="C316" s="28" t="n">
        <v>77</v>
      </c>
      <c r="D316" s="23" t="n">
        <v>616228</v>
      </c>
      <c r="E316" s="18">
        <f>Sensitivity!$AI$42</f>
        <v/>
      </c>
      <c r="F316" s="8">
        <f>$E316-$D316</f>
        <v/>
      </c>
      <c r="G316" s="8">
        <f>IF(ABS($F316)&lt;=tol_grid_inr,"PASS","FAIL")</f>
        <v/>
      </c>
    </row>
    <row r="317">
      <c r="A317" s="7" t="inlineStr">
        <is>
          <t>first_eligible</t>
        </is>
      </c>
      <c r="B317" s="20" t="n">
        <v>5</v>
      </c>
      <c r="C317" s="28" t="n">
        <v>77</v>
      </c>
      <c r="D317" s="23" t="n">
        <v>4233781</v>
      </c>
      <c r="E317" s="18">
        <f>Sensitivity!$AI$43</f>
        <v/>
      </c>
      <c r="F317" s="8">
        <f>$E317-$D317</f>
        <v/>
      </c>
      <c r="G317" s="8">
        <f>IF(ABS($F317)&lt;=tol_grid_inr,"PASS","FAIL")</f>
        <v/>
      </c>
    </row>
    <row r="318">
      <c r="A318" s="7" t="inlineStr">
        <is>
          <t>first_eligible</t>
        </is>
      </c>
      <c r="B318" s="20" t="n">
        <v>10</v>
      </c>
      <c r="C318" s="28" t="n">
        <v>77</v>
      </c>
      <c r="D318" s="23" t="n">
        <v>7851333</v>
      </c>
      <c r="E318" s="18">
        <f>Sensitivity!$AI$44</f>
        <v/>
      </c>
      <c r="F318" s="8">
        <f>$E318-$D318</f>
        <v/>
      </c>
      <c r="G318" s="8">
        <f>IF(ABS($F318)&lt;=tol_grid_inr,"PASS","FAIL")</f>
        <v/>
      </c>
    </row>
    <row r="319">
      <c r="A319" s="7" t="inlineStr">
        <is>
          <t>first_eligible</t>
        </is>
      </c>
      <c r="B319" s="20" t="n">
        <v>-30</v>
      </c>
      <c r="C319" s="28" t="n">
        <v>78</v>
      </c>
      <c r="D319" s="23" t="n">
        <v>-20432887</v>
      </c>
      <c r="E319" s="18">
        <f>Sensitivity!$AI$45</f>
        <v/>
      </c>
      <c r="F319" s="8">
        <f>$E319-$D319</f>
        <v/>
      </c>
      <c r="G319" s="8">
        <f>IF(ABS($F319)&lt;=tol_grid_inr,"PASS","FAIL")</f>
        <v/>
      </c>
    </row>
    <row r="320">
      <c r="A320" s="7" t="inlineStr">
        <is>
          <t>first_eligible</t>
        </is>
      </c>
      <c r="B320" s="20" t="n">
        <v>-25</v>
      </c>
      <c r="C320" s="28" t="n">
        <v>78</v>
      </c>
      <c r="D320" s="23" t="n">
        <v>-16768353</v>
      </c>
      <c r="E320" s="18">
        <f>Sensitivity!$AI$46</f>
        <v/>
      </c>
      <c r="F320" s="8">
        <f>$E320-$D320</f>
        <v/>
      </c>
      <c r="G320" s="8">
        <f>IF(ABS($F320)&lt;=tol_grid_inr,"PASS","FAIL")</f>
        <v/>
      </c>
    </row>
    <row r="321">
      <c r="A321" s="7" t="inlineStr">
        <is>
          <t>first_eligible</t>
        </is>
      </c>
      <c r="B321" s="20" t="n">
        <v>-20</v>
      </c>
      <c r="C321" s="28" t="n">
        <v>78</v>
      </c>
      <c r="D321" s="23" t="n">
        <v>-13103820</v>
      </c>
      <c r="E321" s="18">
        <f>Sensitivity!$AI$47</f>
        <v/>
      </c>
      <c r="F321" s="8">
        <f>$E321-$D321</f>
        <v/>
      </c>
      <c r="G321" s="8">
        <f>IF(ABS($F321)&lt;=tol_grid_inr,"PASS","FAIL")</f>
        <v/>
      </c>
    </row>
    <row r="322">
      <c r="A322" s="7" t="inlineStr">
        <is>
          <t>first_eligible</t>
        </is>
      </c>
      <c r="B322" s="20" t="n">
        <v>-15</v>
      </c>
      <c r="C322" s="28" t="n">
        <v>78</v>
      </c>
      <c r="D322" s="23" t="n">
        <v>-9439286</v>
      </c>
      <c r="E322" s="18">
        <f>Sensitivity!$AI$48</f>
        <v/>
      </c>
      <c r="F322" s="8">
        <f>$E322-$D322</f>
        <v/>
      </c>
      <c r="G322" s="8">
        <f>IF(ABS($F322)&lt;=tol_grid_inr,"PASS","FAIL")</f>
        <v/>
      </c>
    </row>
    <row r="323">
      <c r="A323" s="7" t="inlineStr">
        <is>
          <t>first_eligible</t>
        </is>
      </c>
      <c r="B323" s="20" t="n">
        <v>-10</v>
      </c>
      <c r="C323" s="28" t="n">
        <v>78</v>
      </c>
      <c r="D323" s="23" t="n">
        <v>-5774753</v>
      </c>
      <c r="E323" s="18">
        <f>Sensitivity!$AI$49</f>
        <v/>
      </c>
      <c r="F323" s="8">
        <f>$E323-$D323</f>
        <v/>
      </c>
      <c r="G323" s="8">
        <f>IF(ABS($F323)&lt;=tol_grid_inr,"PASS","FAIL")</f>
        <v/>
      </c>
    </row>
    <row r="324">
      <c r="A324" s="7" t="inlineStr">
        <is>
          <t>first_eligible</t>
        </is>
      </c>
      <c r="B324" s="20" t="n">
        <v>-5</v>
      </c>
      <c r="C324" s="28" t="n">
        <v>78</v>
      </c>
      <c r="D324" s="23" t="n">
        <v>-2110220</v>
      </c>
      <c r="E324" s="18">
        <f>Sensitivity!$AI$50</f>
        <v/>
      </c>
      <c r="F324" s="8">
        <f>$E324-$D324</f>
        <v/>
      </c>
      <c r="G324" s="8">
        <f>IF(ABS($F324)&lt;=tol_grid_inr,"PASS","FAIL")</f>
        <v/>
      </c>
    </row>
    <row r="325">
      <c r="A325" s="7" t="inlineStr">
        <is>
          <t>first_eligible</t>
        </is>
      </c>
      <c r="B325" s="20" t="n">
        <v>0</v>
      </c>
      <c r="C325" s="28" t="n">
        <v>78</v>
      </c>
      <c r="D325" s="23" t="n">
        <v>1554314</v>
      </c>
      <c r="E325" s="18">
        <f>Sensitivity!$AI$51</f>
        <v/>
      </c>
      <c r="F325" s="8">
        <f>$E325-$D325</f>
        <v/>
      </c>
      <c r="G325" s="8">
        <f>IF(ABS($F325)&lt;=tol_grid_inr,"PASS","FAIL")</f>
        <v/>
      </c>
    </row>
    <row r="326">
      <c r="A326" s="7" t="inlineStr">
        <is>
          <t>first_eligible</t>
        </is>
      </c>
      <c r="B326" s="20" t="n">
        <v>5</v>
      </c>
      <c r="C326" s="28" t="n">
        <v>78</v>
      </c>
      <c r="D326" s="23" t="n">
        <v>5218847</v>
      </c>
      <c r="E326" s="18">
        <f>Sensitivity!$AI$52</f>
        <v/>
      </c>
      <c r="F326" s="8">
        <f>$E326-$D326</f>
        <v/>
      </c>
      <c r="G326" s="8">
        <f>IF(ABS($F326)&lt;=tol_grid_inr,"PASS","FAIL")</f>
        <v/>
      </c>
    </row>
    <row r="327">
      <c r="A327" s="7" t="inlineStr">
        <is>
          <t>first_eligible</t>
        </is>
      </c>
      <c r="B327" s="20" t="n">
        <v>10</v>
      </c>
      <c r="C327" s="28" t="n">
        <v>78</v>
      </c>
      <c r="D327" s="23" t="n">
        <v>8883381</v>
      </c>
      <c r="E327" s="18">
        <f>Sensitivity!$AI$53</f>
        <v/>
      </c>
      <c r="F327" s="8">
        <f>$E327-$D327</f>
        <v/>
      </c>
      <c r="G327" s="8">
        <f>IF(ABS($F327)&lt;=tol_grid_inr,"PASS","FAIL")</f>
        <v/>
      </c>
    </row>
    <row r="328">
      <c r="A328" s="7" t="inlineStr">
        <is>
          <t>first_eligible</t>
        </is>
      </c>
      <c r="B328" s="20" t="n">
        <v>-30</v>
      </c>
      <c r="C328" s="28" t="n">
        <v>79</v>
      </c>
      <c r="D328" s="23" t="n">
        <v>-19776688</v>
      </c>
      <c r="E328" s="18">
        <f>Sensitivity!$AI$54</f>
        <v/>
      </c>
      <c r="F328" s="8">
        <f>$E328-$D328</f>
        <v/>
      </c>
      <c r="G328" s="8">
        <f>IF(ABS($F328)&lt;=tol_grid_inr,"PASS","FAIL")</f>
        <v/>
      </c>
    </row>
    <row r="329">
      <c r="A329" s="7" t="inlineStr">
        <is>
          <t>first_eligible</t>
        </is>
      </c>
      <c r="B329" s="20" t="n">
        <v>-25</v>
      </c>
      <c r="C329" s="28" t="n">
        <v>79</v>
      </c>
      <c r="D329" s="23" t="n">
        <v>-16065174</v>
      </c>
      <c r="E329" s="18">
        <f>Sensitivity!$AI$55</f>
        <v/>
      </c>
      <c r="F329" s="8">
        <f>$E329-$D329</f>
        <v/>
      </c>
      <c r="G329" s="8">
        <f>IF(ABS($F329)&lt;=tol_grid_inr,"PASS","FAIL")</f>
        <v/>
      </c>
    </row>
    <row r="330">
      <c r="A330" s="7" t="inlineStr">
        <is>
          <t>first_eligible</t>
        </is>
      </c>
      <c r="B330" s="20" t="n">
        <v>-20</v>
      </c>
      <c r="C330" s="28" t="n">
        <v>79</v>
      </c>
      <c r="D330" s="23" t="n">
        <v>-12353659</v>
      </c>
      <c r="E330" s="18">
        <f>Sensitivity!$AI$56</f>
        <v/>
      </c>
      <c r="F330" s="8">
        <f>$E330-$D330</f>
        <v/>
      </c>
      <c r="G330" s="8">
        <f>IF(ABS($F330)&lt;=tol_grid_inr,"PASS","FAIL")</f>
        <v/>
      </c>
    </row>
    <row r="331">
      <c r="A331" s="7" t="inlineStr">
        <is>
          <t>first_eligible</t>
        </is>
      </c>
      <c r="B331" s="20" t="n">
        <v>-15</v>
      </c>
      <c r="C331" s="28" t="n">
        <v>79</v>
      </c>
      <c r="D331" s="23" t="n">
        <v>-8642144</v>
      </c>
      <c r="E331" s="18">
        <f>Sensitivity!$AI$57</f>
        <v/>
      </c>
      <c r="F331" s="8">
        <f>$E331-$D331</f>
        <v/>
      </c>
      <c r="G331" s="8">
        <f>IF(ABS($F331)&lt;=tol_grid_inr,"PASS","FAIL")</f>
        <v/>
      </c>
    </row>
    <row r="332">
      <c r="A332" s="7" t="inlineStr">
        <is>
          <t>first_eligible</t>
        </is>
      </c>
      <c r="B332" s="20" t="n">
        <v>-10</v>
      </c>
      <c r="C332" s="28" t="n">
        <v>79</v>
      </c>
      <c r="D332" s="23" t="n">
        <v>-4930630</v>
      </c>
      <c r="E332" s="18">
        <f>Sensitivity!$AI$58</f>
        <v/>
      </c>
      <c r="F332" s="8">
        <f>$E332-$D332</f>
        <v/>
      </c>
      <c r="G332" s="8">
        <f>IF(ABS($F332)&lt;=tol_grid_inr,"PASS","FAIL")</f>
        <v/>
      </c>
    </row>
    <row r="333">
      <c r="A333" s="7" t="inlineStr">
        <is>
          <t>first_eligible</t>
        </is>
      </c>
      <c r="B333" s="20" t="n">
        <v>-5</v>
      </c>
      <c r="C333" s="28" t="n">
        <v>79</v>
      </c>
      <c r="D333" s="23" t="n">
        <v>-1219115</v>
      </c>
      <c r="E333" s="18">
        <f>Sensitivity!$AI$59</f>
        <v/>
      </c>
      <c r="F333" s="8">
        <f>$E333-$D333</f>
        <v/>
      </c>
      <c r="G333" s="8">
        <f>IF(ABS($F333)&lt;=tol_grid_inr,"PASS","FAIL")</f>
        <v/>
      </c>
    </row>
    <row r="334">
      <c r="A334" s="7" t="inlineStr">
        <is>
          <t>first_eligible</t>
        </is>
      </c>
      <c r="B334" s="20" t="n">
        <v>0</v>
      </c>
      <c r="C334" s="28" t="n">
        <v>79</v>
      </c>
      <c r="D334" s="23" t="n">
        <v>2492399</v>
      </c>
      <c r="E334" s="18">
        <f>Sensitivity!$AI$60</f>
        <v/>
      </c>
      <c r="F334" s="8">
        <f>$E334-$D334</f>
        <v/>
      </c>
      <c r="G334" s="8">
        <f>IF(ABS($F334)&lt;=tol_grid_inr,"PASS","FAIL")</f>
        <v/>
      </c>
    </row>
    <row r="335">
      <c r="A335" s="7" t="inlineStr">
        <is>
          <t>first_eligible</t>
        </is>
      </c>
      <c r="B335" s="20" t="n">
        <v>5</v>
      </c>
      <c r="C335" s="28" t="n">
        <v>79</v>
      </c>
      <c r="D335" s="23" t="n">
        <v>6203914</v>
      </c>
      <c r="E335" s="18">
        <f>Sensitivity!$AI$61</f>
        <v/>
      </c>
      <c r="F335" s="8">
        <f>$E335-$D335</f>
        <v/>
      </c>
      <c r="G335" s="8">
        <f>IF(ABS($F335)&lt;=tol_grid_inr,"PASS","FAIL")</f>
        <v/>
      </c>
    </row>
    <row r="336">
      <c r="A336" s="7" t="inlineStr">
        <is>
          <t>first_eligible</t>
        </is>
      </c>
      <c r="B336" s="20" t="n">
        <v>10</v>
      </c>
      <c r="C336" s="28" t="n">
        <v>79</v>
      </c>
      <c r="D336" s="23" t="n">
        <v>9915429</v>
      </c>
      <c r="E336" s="18">
        <f>Sensitivity!$AI$62</f>
        <v/>
      </c>
      <c r="F336" s="8">
        <f>$E336-$D336</f>
        <v/>
      </c>
      <c r="G336" s="8">
        <f>IF(ABS($F336)&lt;=tol_grid_inr,"PASS","FAIL")</f>
        <v/>
      </c>
    </row>
    <row r="337">
      <c r="A337" s="7" t="inlineStr">
        <is>
          <t>first_eligible</t>
        </is>
      </c>
      <c r="B337" s="20" t="n">
        <v>-30</v>
      </c>
      <c r="C337" s="28" t="n">
        <v>80</v>
      </c>
      <c r="D337" s="23" t="n">
        <v>-19120490</v>
      </c>
      <c r="E337" s="18">
        <f>Sensitivity!$AI$63</f>
        <v/>
      </c>
      <c r="F337" s="8">
        <f>$E337-$D337</f>
        <v/>
      </c>
      <c r="G337" s="8">
        <f>IF(ABS($F337)&lt;=tol_grid_inr,"PASS","FAIL")</f>
        <v/>
      </c>
    </row>
    <row r="338">
      <c r="A338" s="7" t="inlineStr">
        <is>
          <t>first_eligible</t>
        </is>
      </c>
      <c r="B338" s="20" t="n">
        <v>-25</v>
      </c>
      <c r="C338" s="28" t="n">
        <v>80</v>
      </c>
      <c r="D338" s="23" t="n">
        <v>-15361994</v>
      </c>
      <c r="E338" s="18">
        <f>Sensitivity!$AI$64</f>
        <v/>
      </c>
      <c r="F338" s="8">
        <f>$E338-$D338</f>
        <v/>
      </c>
      <c r="G338" s="8">
        <f>IF(ABS($F338)&lt;=tol_grid_inr,"PASS","FAIL")</f>
        <v/>
      </c>
    </row>
    <row r="339">
      <c r="A339" s="7" t="inlineStr">
        <is>
          <t>first_eligible</t>
        </is>
      </c>
      <c r="B339" s="20" t="n">
        <v>-20</v>
      </c>
      <c r="C339" s="28" t="n">
        <v>80</v>
      </c>
      <c r="D339" s="23" t="n">
        <v>-11603498</v>
      </c>
      <c r="E339" s="18">
        <f>Sensitivity!$AI$65</f>
        <v/>
      </c>
      <c r="F339" s="8">
        <f>$E339-$D339</f>
        <v/>
      </c>
      <c r="G339" s="8">
        <f>IF(ABS($F339)&lt;=tol_grid_inr,"PASS","FAIL")</f>
        <v/>
      </c>
    </row>
    <row r="340">
      <c r="A340" s="7" t="inlineStr">
        <is>
          <t>first_eligible</t>
        </is>
      </c>
      <c r="B340" s="20" t="n">
        <v>-15</v>
      </c>
      <c r="C340" s="28" t="n">
        <v>80</v>
      </c>
      <c r="D340" s="23" t="n">
        <v>-7845003</v>
      </c>
      <c r="E340" s="18">
        <f>Sensitivity!$AI$66</f>
        <v/>
      </c>
      <c r="F340" s="8">
        <f>$E340-$D340</f>
        <v/>
      </c>
      <c r="G340" s="8">
        <f>IF(ABS($F340)&lt;=tol_grid_inr,"PASS","FAIL")</f>
        <v/>
      </c>
    </row>
    <row r="341">
      <c r="A341" s="7" t="inlineStr">
        <is>
          <t>first_eligible</t>
        </is>
      </c>
      <c r="B341" s="20" t="n">
        <v>-10</v>
      </c>
      <c r="C341" s="28" t="n">
        <v>80</v>
      </c>
      <c r="D341" s="23" t="n">
        <v>-4086507</v>
      </c>
      <c r="E341" s="18">
        <f>Sensitivity!$AI$67</f>
        <v/>
      </c>
      <c r="F341" s="8">
        <f>$E341-$D341</f>
        <v/>
      </c>
      <c r="G341" s="8">
        <f>IF(ABS($F341)&lt;=tol_grid_inr,"PASS","FAIL")</f>
        <v/>
      </c>
    </row>
    <row r="342">
      <c r="A342" s="7" t="inlineStr">
        <is>
          <t>first_eligible</t>
        </is>
      </c>
      <c r="B342" s="20" t="n">
        <v>-5</v>
      </c>
      <c r="C342" s="28" t="n">
        <v>80</v>
      </c>
      <c r="D342" s="23" t="n">
        <v>-328011</v>
      </c>
      <c r="E342" s="18">
        <f>Sensitivity!$AI$68</f>
        <v/>
      </c>
      <c r="F342" s="8">
        <f>$E342-$D342</f>
        <v/>
      </c>
      <c r="G342" s="8">
        <f>IF(ABS($F342)&lt;=tol_grid_inr,"PASS","FAIL")</f>
        <v/>
      </c>
    </row>
    <row r="343">
      <c r="A343" s="7" t="inlineStr">
        <is>
          <t>first_eligible</t>
        </is>
      </c>
      <c r="B343" s="20" t="n">
        <v>0</v>
      </c>
      <c r="C343" s="28" t="n">
        <v>80</v>
      </c>
      <c r="D343" s="23" t="n">
        <v>3430485</v>
      </c>
      <c r="E343" s="18">
        <f>Sensitivity!$AI$69</f>
        <v/>
      </c>
      <c r="F343" s="8">
        <f>$E343-$D343</f>
        <v/>
      </c>
      <c r="G343" s="8">
        <f>IF(ABS($F343)&lt;=tol_grid_inr,"PASS","FAIL")</f>
        <v/>
      </c>
    </row>
    <row r="344">
      <c r="A344" s="7" t="inlineStr">
        <is>
          <t>first_eligible</t>
        </is>
      </c>
      <c r="B344" s="20" t="n">
        <v>5</v>
      </c>
      <c r="C344" s="28" t="n">
        <v>80</v>
      </c>
      <c r="D344" s="23" t="n">
        <v>7188981</v>
      </c>
      <c r="E344" s="18">
        <f>Sensitivity!$AI$70</f>
        <v/>
      </c>
      <c r="F344" s="8">
        <f>$E344-$D344</f>
        <v/>
      </c>
      <c r="G344" s="8">
        <f>IF(ABS($F344)&lt;=tol_grid_inr,"PASS","FAIL")</f>
        <v/>
      </c>
    </row>
    <row r="345">
      <c r="A345" s="7" t="inlineStr">
        <is>
          <t>first_eligible</t>
        </is>
      </c>
      <c r="B345" s="20" t="n">
        <v>10</v>
      </c>
      <c r="C345" s="28" t="n">
        <v>80</v>
      </c>
      <c r="D345" s="23" t="n">
        <v>10947476</v>
      </c>
      <c r="E345" s="18">
        <f>Sensitivity!$AI$71</f>
        <v/>
      </c>
      <c r="F345" s="8">
        <f>$E345-$D345</f>
        <v/>
      </c>
      <c r="G345" s="8">
        <f>IF(ABS($F345)&lt;=tol_grid_inr,"PASS","FAIL")</f>
        <v/>
      </c>
    </row>
    <row r="346">
      <c r="A346" s="7" t="inlineStr">
        <is>
          <t>first_eligible</t>
        </is>
      </c>
      <c r="B346" s="20" t="n">
        <v>-30</v>
      </c>
      <c r="C346" s="28" t="n">
        <v>81</v>
      </c>
      <c r="D346" s="23" t="n">
        <v>-18464292</v>
      </c>
      <c r="E346" s="18">
        <f>Sensitivity!$AI$72</f>
        <v/>
      </c>
      <c r="F346" s="8">
        <f>$E346-$D346</f>
        <v/>
      </c>
      <c r="G346" s="8">
        <f>IF(ABS($F346)&lt;=tol_grid_inr,"PASS","FAIL")</f>
        <v/>
      </c>
    </row>
    <row r="347">
      <c r="A347" s="7" t="inlineStr">
        <is>
          <t>first_eligible</t>
        </is>
      </c>
      <c r="B347" s="20" t="n">
        <v>-25</v>
      </c>
      <c r="C347" s="28" t="n">
        <v>81</v>
      </c>
      <c r="D347" s="23" t="n">
        <v>-14658815</v>
      </c>
      <c r="E347" s="18">
        <f>Sensitivity!$AI$73</f>
        <v/>
      </c>
      <c r="F347" s="8">
        <f>$E347-$D347</f>
        <v/>
      </c>
      <c r="G347" s="8">
        <f>IF(ABS($F347)&lt;=tol_grid_inr,"PASS","FAIL")</f>
        <v/>
      </c>
    </row>
    <row r="348">
      <c r="A348" s="7" t="inlineStr">
        <is>
          <t>first_eligible</t>
        </is>
      </c>
      <c r="B348" s="20" t="n">
        <v>-20</v>
      </c>
      <c r="C348" s="28" t="n">
        <v>81</v>
      </c>
      <c r="D348" s="23" t="n">
        <v>-10853338</v>
      </c>
      <c r="E348" s="18">
        <f>Sensitivity!$AI$74</f>
        <v/>
      </c>
      <c r="F348" s="8">
        <f>$E348-$D348</f>
        <v/>
      </c>
      <c r="G348" s="8">
        <f>IF(ABS($F348)&lt;=tol_grid_inr,"PASS","FAIL")</f>
        <v/>
      </c>
    </row>
    <row r="349">
      <c r="A349" s="7" t="inlineStr">
        <is>
          <t>first_eligible</t>
        </is>
      </c>
      <c r="B349" s="20" t="n">
        <v>-15</v>
      </c>
      <c r="C349" s="28" t="n">
        <v>81</v>
      </c>
      <c r="D349" s="23" t="n">
        <v>-7047861</v>
      </c>
      <c r="E349" s="18">
        <f>Sensitivity!$AI$75</f>
        <v/>
      </c>
      <c r="F349" s="8">
        <f>$E349-$D349</f>
        <v/>
      </c>
      <c r="G349" s="8">
        <f>IF(ABS($F349)&lt;=tol_grid_inr,"PASS","FAIL")</f>
        <v/>
      </c>
    </row>
    <row r="350">
      <c r="A350" s="7" t="inlineStr">
        <is>
          <t>first_eligible</t>
        </is>
      </c>
      <c r="B350" s="20" t="n">
        <v>-10</v>
      </c>
      <c r="C350" s="28" t="n">
        <v>81</v>
      </c>
      <c r="D350" s="23" t="n">
        <v>-3242384</v>
      </c>
      <c r="E350" s="18">
        <f>Sensitivity!$AI$76</f>
        <v/>
      </c>
      <c r="F350" s="8">
        <f>$E350-$D350</f>
        <v/>
      </c>
      <c r="G350" s="8">
        <f>IF(ABS($F350)&lt;=tol_grid_inr,"PASS","FAIL")</f>
        <v/>
      </c>
    </row>
    <row r="351">
      <c r="A351" s="7" t="inlineStr">
        <is>
          <t>first_eligible</t>
        </is>
      </c>
      <c r="B351" s="20" t="n">
        <v>-5</v>
      </c>
      <c r="C351" s="28" t="n">
        <v>81</v>
      </c>
      <c r="D351" s="23" t="n">
        <v>563093</v>
      </c>
      <c r="E351" s="18">
        <f>Sensitivity!$AI$77</f>
        <v/>
      </c>
      <c r="F351" s="8">
        <f>$E351-$D351</f>
        <v/>
      </c>
      <c r="G351" s="8">
        <f>IF(ABS($F351)&lt;=tol_grid_inr,"PASS","FAIL")</f>
        <v/>
      </c>
    </row>
    <row r="352">
      <c r="A352" s="7" t="inlineStr">
        <is>
          <t>first_eligible</t>
        </is>
      </c>
      <c r="B352" s="20" t="n">
        <v>0</v>
      </c>
      <c r="C352" s="28" t="n">
        <v>81</v>
      </c>
      <c r="D352" s="23" t="n">
        <v>4368570</v>
      </c>
      <c r="E352" s="18">
        <f>Sensitivity!$AI$78</f>
        <v/>
      </c>
      <c r="F352" s="8">
        <f>$E352-$D352</f>
        <v/>
      </c>
      <c r="G352" s="8">
        <f>IF(ABS($F352)&lt;=tol_grid_inr,"PASS","FAIL")</f>
        <v/>
      </c>
    </row>
    <row r="353">
      <c r="A353" s="7" t="inlineStr">
        <is>
          <t>first_eligible</t>
        </is>
      </c>
      <c r="B353" s="20" t="n">
        <v>5</v>
      </c>
      <c r="C353" s="28" t="n">
        <v>81</v>
      </c>
      <c r="D353" s="23" t="n">
        <v>8174047</v>
      </c>
      <c r="E353" s="18">
        <f>Sensitivity!$AI$79</f>
        <v/>
      </c>
      <c r="F353" s="8">
        <f>$E353-$D353</f>
        <v/>
      </c>
      <c r="G353" s="8">
        <f>IF(ABS($F353)&lt;=tol_grid_inr,"PASS","FAIL")</f>
        <v/>
      </c>
    </row>
    <row r="354">
      <c r="A354" s="7" t="inlineStr">
        <is>
          <t>first_eligible</t>
        </is>
      </c>
      <c r="B354" s="20" t="n">
        <v>10</v>
      </c>
      <c r="C354" s="28" t="n">
        <v>81</v>
      </c>
      <c r="D354" s="23" t="n">
        <v>11979524</v>
      </c>
      <c r="E354" s="18">
        <f>Sensitivity!$AI$80</f>
        <v/>
      </c>
      <c r="F354" s="8">
        <f>$E354-$D354</f>
        <v/>
      </c>
      <c r="G354" s="8">
        <f>IF(ABS($F354)&lt;=tol_grid_inr,"PASS","FAIL")</f>
        <v/>
      </c>
    </row>
    <row r="355">
      <c r="A355" s="7" t="inlineStr">
        <is>
          <t>first_eligible</t>
        </is>
      </c>
      <c r="B355" s="20" t="n">
        <v>-30</v>
      </c>
      <c r="C355" s="28" t="n">
        <v>82</v>
      </c>
      <c r="D355" s="23" t="n">
        <v>-17808093</v>
      </c>
      <c r="E355" s="18">
        <f>Sensitivity!$AI$81</f>
        <v/>
      </c>
      <c r="F355" s="8">
        <f>$E355-$D355</f>
        <v/>
      </c>
      <c r="G355" s="8">
        <f>IF(ABS($F355)&lt;=tol_grid_inr,"PASS","FAIL")</f>
        <v/>
      </c>
    </row>
    <row r="356">
      <c r="A356" s="7" t="inlineStr">
        <is>
          <t>first_eligible</t>
        </is>
      </c>
      <c r="B356" s="20" t="n">
        <v>-25</v>
      </c>
      <c r="C356" s="28" t="n">
        <v>82</v>
      </c>
      <c r="D356" s="23" t="n">
        <v>-13955635</v>
      </c>
      <c r="E356" s="18">
        <f>Sensitivity!$AI$82</f>
        <v/>
      </c>
      <c r="F356" s="8">
        <f>$E356-$D356</f>
        <v/>
      </c>
      <c r="G356" s="8">
        <f>IF(ABS($F356)&lt;=tol_grid_inr,"PASS","FAIL")</f>
        <v/>
      </c>
    </row>
    <row r="357">
      <c r="A357" s="7" t="inlineStr">
        <is>
          <t>first_eligible</t>
        </is>
      </c>
      <c r="B357" s="20" t="n">
        <v>-20</v>
      </c>
      <c r="C357" s="28" t="n">
        <v>82</v>
      </c>
      <c r="D357" s="23" t="n">
        <v>-10103177</v>
      </c>
      <c r="E357" s="18">
        <f>Sensitivity!$AI$83</f>
        <v/>
      </c>
      <c r="F357" s="8">
        <f>$E357-$D357</f>
        <v/>
      </c>
      <c r="G357" s="8">
        <f>IF(ABS($F357)&lt;=tol_grid_inr,"PASS","FAIL")</f>
        <v/>
      </c>
    </row>
    <row r="358">
      <c r="A358" s="7" t="inlineStr">
        <is>
          <t>first_eligible</t>
        </is>
      </c>
      <c r="B358" s="20" t="n">
        <v>-15</v>
      </c>
      <c r="C358" s="28" t="n">
        <v>82</v>
      </c>
      <c r="D358" s="23" t="n">
        <v>-6250719</v>
      </c>
      <c r="E358" s="18">
        <f>Sensitivity!$AI$84</f>
        <v/>
      </c>
      <c r="F358" s="8">
        <f>$E358-$D358</f>
        <v/>
      </c>
      <c r="G358" s="8">
        <f>IF(ABS($F358)&lt;=tol_grid_inr,"PASS","FAIL")</f>
        <v/>
      </c>
    </row>
    <row r="359">
      <c r="A359" s="7" t="inlineStr">
        <is>
          <t>first_eligible</t>
        </is>
      </c>
      <c r="B359" s="20" t="n">
        <v>-10</v>
      </c>
      <c r="C359" s="28" t="n">
        <v>82</v>
      </c>
      <c r="D359" s="23" t="n">
        <v>-2398261</v>
      </c>
      <c r="E359" s="18">
        <f>Sensitivity!$AI$85</f>
        <v/>
      </c>
      <c r="F359" s="8">
        <f>$E359-$D359</f>
        <v/>
      </c>
      <c r="G359" s="8">
        <f>IF(ABS($F359)&lt;=tol_grid_inr,"PASS","FAIL")</f>
        <v/>
      </c>
    </row>
    <row r="360">
      <c r="A360" s="7" t="inlineStr">
        <is>
          <t>first_eligible</t>
        </is>
      </c>
      <c r="B360" s="20" t="n">
        <v>-5</v>
      </c>
      <c r="C360" s="28" t="n">
        <v>82</v>
      </c>
      <c r="D360" s="23" t="n">
        <v>1454198</v>
      </c>
      <c r="E360" s="18">
        <f>Sensitivity!$AI$86</f>
        <v/>
      </c>
      <c r="F360" s="8">
        <f>$E360-$D360</f>
        <v/>
      </c>
      <c r="G360" s="8">
        <f>IF(ABS($F360)&lt;=tol_grid_inr,"PASS","FAIL")</f>
        <v/>
      </c>
    </row>
    <row r="361">
      <c r="A361" s="7" t="inlineStr">
        <is>
          <t>first_eligible</t>
        </is>
      </c>
      <c r="B361" s="20" t="n">
        <v>0</v>
      </c>
      <c r="C361" s="28" t="n">
        <v>82</v>
      </c>
      <c r="D361" s="23" t="n">
        <v>5306656</v>
      </c>
      <c r="E361" s="18">
        <f>Sensitivity!$AI$87</f>
        <v/>
      </c>
      <c r="F361" s="8">
        <f>$E361-$D361</f>
        <v/>
      </c>
      <c r="G361" s="8">
        <f>IF(ABS($F361)&lt;=tol_grid_inr,"PASS","FAIL")</f>
        <v/>
      </c>
    </row>
    <row r="362">
      <c r="A362" s="7" t="inlineStr">
        <is>
          <t>first_eligible</t>
        </is>
      </c>
      <c r="B362" s="20" t="n">
        <v>5</v>
      </c>
      <c r="C362" s="28" t="n">
        <v>82</v>
      </c>
      <c r="D362" s="23" t="n">
        <v>9159114</v>
      </c>
      <c r="E362" s="18">
        <f>Sensitivity!$AI$88</f>
        <v/>
      </c>
      <c r="F362" s="8">
        <f>$E362-$D362</f>
        <v/>
      </c>
      <c r="G362" s="8">
        <f>IF(ABS($F362)&lt;=tol_grid_inr,"PASS","FAIL")</f>
        <v/>
      </c>
    </row>
    <row r="363">
      <c r="A363" s="7" t="inlineStr">
        <is>
          <t>first_eligible</t>
        </is>
      </c>
      <c r="B363" s="20" t="n">
        <v>10</v>
      </c>
      <c r="C363" s="28" t="n">
        <v>82</v>
      </c>
      <c r="D363" s="23" t="n">
        <v>13011572</v>
      </c>
      <c r="E363" s="18">
        <f>Sensitivity!$AI$89</f>
        <v/>
      </c>
      <c r="F363" s="8">
        <f>$E363-$D363</f>
        <v/>
      </c>
      <c r="G363" s="8">
        <f>IF(ABS($F363)&lt;=tol_grid_inr,"PASS","FAIL")</f>
        <v/>
      </c>
    </row>
    <row r="364">
      <c r="A364" s="7" t="inlineStr">
        <is>
          <t>first_eligible</t>
        </is>
      </c>
      <c r="B364" s="20" t="n">
        <v>-30</v>
      </c>
      <c r="C364" s="28" t="n">
        <v>76.34310000000001</v>
      </c>
      <c r="D364" s="23" t="n">
        <v>-21520142</v>
      </c>
      <c r="E364" s="18">
        <f>Sensitivity!$AI$90</f>
        <v/>
      </c>
      <c r="F364" s="8">
        <f>$E364-$D364</f>
        <v/>
      </c>
      <c r="G364" s="8">
        <f>IF(ABS($F364)&lt;=tol_grid_inr,"PASS","FAIL")</f>
        <v/>
      </c>
    </row>
    <row r="365">
      <c r="A365" s="7" t="inlineStr">
        <is>
          <t>first_eligible</t>
        </is>
      </c>
      <c r="B365" s="20" t="n">
        <v>-25</v>
      </c>
      <c r="C365" s="28" t="n">
        <v>76.34310000000001</v>
      </c>
      <c r="D365" s="23" t="n">
        <v>-17933451</v>
      </c>
      <c r="E365" s="18">
        <f>Sensitivity!$AI$91</f>
        <v/>
      </c>
      <c r="F365" s="8">
        <f>$E365-$D365</f>
        <v/>
      </c>
      <c r="G365" s="8">
        <f>IF(ABS($F365)&lt;=tol_grid_inr,"PASS","FAIL")</f>
        <v/>
      </c>
    </row>
    <row r="366">
      <c r="A366" s="7" t="inlineStr">
        <is>
          <t>first_eligible</t>
        </is>
      </c>
      <c r="B366" s="20" t="n">
        <v>-20</v>
      </c>
      <c r="C366" s="28" t="n">
        <v>76.34310000000001</v>
      </c>
      <c r="D366" s="23" t="n">
        <v>-14346761</v>
      </c>
      <c r="E366" s="18">
        <f>Sensitivity!$AI$92</f>
        <v/>
      </c>
      <c r="F366" s="8">
        <f>$E366-$D366</f>
        <v/>
      </c>
      <c r="G366" s="8">
        <f>IF(ABS($F366)&lt;=tol_grid_inr,"PASS","FAIL")</f>
        <v/>
      </c>
    </row>
    <row r="367">
      <c r="A367" s="7" t="inlineStr">
        <is>
          <t>first_eligible</t>
        </is>
      </c>
      <c r="B367" s="20" t="n">
        <v>-15</v>
      </c>
      <c r="C367" s="28" t="n">
        <v>76.34310000000001</v>
      </c>
      <c r="D367" s="23" t="n">
        <v>-10760071</v>
      </c>
      <c r="E367" s="18">
        <f>Sensitivity!$AI$93</f>
        <v/>
      </c>
      <c r="F367" s="8">
        <f>$E367-$D367</f>
        <v/>
      </c>
      <c r="G367" s="8">
        <f>IF(ABS($F367)&lt;=tol_grid_inr,"PASS","FAIL")</f>
        <v/>
      </c>
    </row>
    <row r="368">
      <c r="A368" s="7" t="inlineStr">
        <is>
          <t>first_eligible</t>
        </is>
      </c>
      <c r="B368" s="20" t="n">
        <v>-10</v>
      </c>
      <c r="C368" s="28" t="n">
        <v>76.34310000000001</v>
      </c>
      <c r="D368" s="23" t="n">
        <v>-7173381</v>
      </c>
      <c r="E368" s="18">
        <f>Sensitivity!$AI$94</f>
        <v/>
      </c>
      <c r="F368" s="8">
        <f>$E368-$D368</f>
        <v/>
      </c>
      <c r="G368" s="8">
        <f>IF(ABS($F368)&lt;=tol_grid_inr,"PASS","FAIL")</f>
        <v/>
      </c>
    </row>
    <row r="369">
      <c r="A369" s="7" t="inlineStr">
        <is>
          <t>first_eligible</t>
        </is>
      </c>
      <c r="B369" s="20" t="n">
        <v>-5</v>
      </c>
      <c r="C369" s="28" t="n">
        <v>76.34310000000001</v>
      </c>
      <c r="D369" s="23" t="n">
        <v>-3586690</v>
      </c>
      <c r="E369" s="18">
        <f>Sensitivity!$AI$95</f>
        <v/>
      </c>
      <c r="F369" s="8">
        <f>$E369-$D369</f>
        <v/>
      </c>
      <c r="G369" s="8">
        <f>IF(ABS($F369)&lt;=tol_grid_inr,"PASS","FAIL")</f>
        <v/>
      </c>
    </row>
    <row r="370">
      <c r="A370" s="7" t="inlineStr">
        <is>
          <t>first_eligible</t>
        </is>
      </c>
      <c r="B370" s="20" t="n">
        <v>0</v>
      </c>
      <c r="C370" s="28" t="n">
        <v>76.34310000000001</v>
      </c>
      <c r="D370" s="23" t="n">
        <v>0</v>
      </c>
      <c r="E370" s="18">
        <f>Sensitivity!$AI$96</f>
        <v/>
      </c>
      <c r="F370" s="8">
        <f>$E370-$D370</f>
        <v/>
      </c>
      <c r="G370" s="8">
        <f>IF(ABS($F370)&lt;=tol_grid_inr,"PASS","FAIL")</f>
        <v/>
      </c>
    </row>
    <row r="371">
      <c r="A371" s="7" t="inlineStr">
        <is>
          <t>first_eligible</t>
        </is>
      </c>
      <c r="B371" s="20" t="n">
        <v>5</v>
      </c>
      <c r="C371" s="28" t="n">
        <v>76.34310000000001</v>
      </c>
      <c r="D371" s="23" t="n">
        <v>3586690</v>
      </c>
      <c r="E371" s="18">
        <f>Sensitivity!$AI$97</f>
        <v/>
      </c>
      <c r="F371" s="8">
        <f>$E371-$D371</f>
        <v/>
      </c>
      <c r="G371" s="8">
        <f>IF(ABS($F371)&lt;=tol_grid_inr,"PASS","FAIL")</f>
        <v/>
      </c>
    </row>
    <row r="372">
      <c r="A372" s="7" t="inlineStr">
        <is>
          <t>first_eligible</t>
        </is>
      </c>
      <c r="B372" s="20" t="n">
        <v>10</v>
      </c>
      <c r="C372" s="28" t="n">
        <v>76.34310000000001</v>
      </c>
      <c r="D372" s="23" t="n">
        <v>7173381</v>
      </c>
      <c r="E372" s="18">
        <f>Sensitivity!$AI$98</f>
        <v/>
      </c>
      <c r="F372" s="8">
        <f>$E372-$D372</f>
        <v/>
      </c>
      <c r="G372" s="8">
        <f>IF(ABS($F372)&lt;=tol_grid_inr,"PASS","FAIL")</f>
        <v/>
      </c>
    </row>
    <row r="373">
      <c r="A373" s="7" t="inlineStr">
        <is>
          <t>june_trough</t>
        </is>
      </c>
      <c r="B373" s="20" t="n">
        <v>-30</v>
      </c>
      <c r="C373" s="28" t="n">
        <v>74</v>
      </c>
      <c r="D373" s="23" t="n">
        <v>-5430886</v>
      </c>
      <c r="E373" s="18">
        <f>Sensitivity!$AI$99</f>
        <v/>
      </c>
      <c r="F373" s="8">
        <f>$E373-$D373</f>
        <v/>
      </c>
      <c r="G373" s="8">
        <f>IF(ABS($F373)&lt;=tol_grid_inr,"PASS","FAIL")</f>
        <v/>
      </c>
    </row>
    <row r="374">
      <c r="A374" s="7" t="inlineStr">
        <is>
          <t>june_trough</t>
        </is>
      </c>
      <c r="B374" s="20" t="n">
        <v>-25</v>
      </c>
      <c r="C374" s="28" t="n">
        <v>74</v>
      </c>
      <c r="D374" s="23" t="n">
        <v>-4665279</v>
      </c>
      <c r="E374" s="18">
        <f>Sensitivity!$AI$100</f>
        <v/>
      </c>
      <c r="F374" s="8">
        <f>$E374-$D374</f>
        <v/>
      </c>
      <c r="G374" s="8">
        <f>IF(ABS($F374)&lt;=tol_grid_inr,"PASS","FAIL")</f>
        <v/>
      </c>
    </row>
    <row r="375">
      <c r="A375" s="7" t="inlineStr">
        <is>
          <t>june_trough</t>
        </is>
      </c>
      <c r="B375" s="20" t="n">
        <v>-20</v>
      </c>
      <c r="C375" s="28" t="n">
        <v>74</v>
      </c>
      <c r="D375" s="23" t="n">
        <v>-3899671</v>
      </c>
      <c r="E375" s="18">
        <f>Sensitivity!$AI$101</f>
        <v/>
      </c>
      <c r="F375" s="8">
        <f>$E375-$D375</f>
        <v/>
      </c>
      <c r="G375" s="8">
        <f>IF(ABS($F375)&lt;=tol_grid_inr,"PASS","FAIL")</f>
        <v/>
      </c>
    </row>
    <row r="376">
      <c r="A376" s="7" t="inlineStr">
        <is>
          <t>june_trough</t>
        </is>
      </c>
      <c r="B376" s="20" t="n">
        <v>-15</v>
      </c>
      <c r="C376" s="28" t="n">
        <v>74</v>
      </c>
      <c r="D376" s="23" t="n">
        <v>-3134064</v>
      </c>
      <c r="E376" s="18">
        <f>Sensitivity!$AI$102</f>
        <v/>
      </c>
      <c r="F376" s="8">
        <f>$E376-$D376</f>
        <v/>
      </c>
      <c r="G376" s="8">
        <f>IF(ABS($F376)&lt;=tol_grid_inr,"PASS","FAIL")</f>
        <v/>
      </c>
    </row>
    <row r="377">
      <c r="A377" s="7" t="inlineStr">
        <is>
          <t>june_trough</t>
        </is>
      </c>
      <c r="B377" s="20" t="n">
        <v>-10</v>
      </c>
      <c r="C377" s="28" t="n">
        <v>74</v>
      </c>
      <c r="D377" s="23" t="n">
        <v>-2368456</v>
      </c>
      <c r="E377" s="18">
        <f>Sensitivity!$AI$103</f>
        <v/>
      </c>
      <c r="F377" s="8">
        <f>$E377-$D377</f>
        <v/>
      </c>
      <c r="G377" s="8">
        <f>IF(ABS($F377)&lt;=tol_grid_inr,"PASS","FAIL")</f>
        <v/>
      </c>
    </row>
    <row r="378">
      <c r="A378" s="7" t="inlineStr">
        <is>
          <t>june_trough</t>
        </is>
      </c>
      <c r="B378" s="20" t="n">
        <v>-5</v>
      </c>
      <c r="C378" s="28" t="n">
        <v>74</v>
      </c>
      <c r="D378" s="23" t="n">
        <v>-1602849</v>
      </c>
      <c r="E378" s="18">
        <f>Sensitivity!$AI$104</f>
        <v/>
      </c>
      <c r="F378" s="8">
        <f>$E378-$D378</f>
        <v/>
      </c>
      <c r="G378" s="8">
        <f>IF(ABS($F378)&lt;=tol_grid_inr,"PASS","FAIL")</f>
        <v/>
      </c>
    </row>
    <row r="379">
      <c r="A379" s="7" t="inlineStr">
        <is>
          <t>june_trough</t>
        </is>
      </c>
      <c r="B379" s="20" t="n">
        <v>0</v>
      </c>
      <c r="C379" s="28" t="n">
        <v>74</v>
      </c>
      <c r="D379" s="23" t="n">
        <v>-837242</v>
      </c>
      <c r="E379" s="18">
        <f>Sensitivity!$AI$105</f>
        <v/>
      </c>
      <c r="F379" s="8">
        <f>$E379-$D379</f>
        <v/>
      </c>
      <c r="G379" s="8">
        <f>IF(ABS($F379)&lt;=tol_grid_inr,"PASS","FAIL")</f>
        <v/>
      </c>
    </row>
    <row r="380">
      <c r="A380" s="7" t="inlineStr">
        <is>
          <t>june_trough</t>
        </is>
      </c>
      <c r="B380" s="20" t="n">
        <v>5</v>
      </c>
      <c r="C380" s="28" t="n">
        <v>74</v>
      </c>
      <c r="D380" s="23" t="n">
        <v>-71634</v>
      </c>
      <c r="E380" s="18">
        <f>Sensitivity!$AI$106</f>
        <v/>
      </c>
      <c r="F380" s="8">
        <f>$E380-$D380</f>
        <v/>
      </c>
      <c r="G380" s="8">
        <f>IF(ABS($F380)&lt;=tol_grid_inr,"PASS","FAIL")</f>
        <v/>
      </c>
    </row>
    <row r="381">
      <c r="A381" s="7" t="inlineStr">
        <is>
          <t>june_trough</t>
        </is>
      </c>
      <c r="B381" s="20" t="n">
        <v>10</v>
      </c>
      <c r="C381" s="28" t="n">
        <v>74</v>
      </c>
      <c r="D381" s="23" t="n">
        <v>693973</v>
      </c>
      <c r="E381" s="18">
        <f>Sensitivity!$AI$107</f>
        <v/>
      </c>
      <c r="F381" s="8">
        <f>$E381-$D381</f>
        <v/>
      </c>
      <c r="G381" s="8">
        <f>IF(ABS($F381)&lt;=tol_grid_inr,"PASS","FAIL")</f>
        <v/>
      </c>
    </row>
    <row r="382">
      <c r="A382" s="7" t="inlineStr">
        <is>
          <t>june_trough</t>
        </is>
      </c>
      <c r="B382" s="20" t="n">
        <v>-30</v>
      </c>
      <c r="C382" s="28" t="n">
        <v>75</v>
      </c>
      <c r="D382" s="23" t="n">
        <v>-5287580</v>
      </c>
      <c r="E382" s="18">
        <f>Sensitivity!$AI$108</f>
        <v/>
      </c>
      <c r="F382" s="8">
        <f>$E382-$D382</f>
        <v/>
      </c>
      <c r="G382" s="8">
        <f>IF(ABS($F382)&lt;=tol_grid_inr,"PASS","FAIL")</f>
        <v/>
      </c>
    </row>
    <row r="383">
      <c r="A383" s="7" t="inlineStr">
        <is>
          <t>june_trough</t>
        </is>
      </c>
      <c r="B383" s="20" t="n">
        <v>-25</v>
      </c>
      <c r="C383" s="28" t="n">
        <v>75</v>
      </c>
      <c r="D383" s="23" t="n">
        <v>-4511626</v>
      </c>
      <c r="E383" s="18">
        <f>Sensitivity!$AI$109</f>
        <v/>
      </c>
      <c r="F383" s="8">
        <f>$E383-$D383</f>
        <v/>
      </c>
      <c r="G383" s="8">
        <f>IF(ABS($F383)&lt;=tol_grid_inr,"PASS","FAIL")</f>
        <v/>
      </c>
    </row>
    <row r="384">
      <c r="A384" s="7" t="inlineStr">
        <is>
          <t>june_trough</t>
        </is>
      </c>
      <c r="B384" s="20" t="n">
        <v>-20</v>
      </c>
      <c r="C384" s="28" t="n">
        <v>75</v>
      </c>
      <c r="D384" s="23" t="n">
        <v>-3735673</v>
      </c>
      <c r="E384" s="18">
        <f>Sensitivity!$AI$110</f>
        <v/>
      </c>
      <c r="F384" s="8">
        <f>$E384-$D384</f>
        <v/>
      </c>
      <c r="G384" s="8">
        <f>IF(ABS($F384)&lt;=tol_grid_inr,"PASS","FAIL")</f>
        <v/>
      </c>
    </row>
    <row r="385">
      <c r="A385" s="7" t="inlineStr">
        <is>
          <t>june_trough</t>
        </is>
      </c>
      <c r="B385" s="20" t="n">
        <v>-15</v>
      </c>
      <c r="C385" s="28" t="n">
        <v>75</v>
      </c>
      <c r="D385" s="23" t="n">
        <v>-2959720</v>
      </c>
      <c r="E385" s="18">
        <f>Sensitivity!$AI$111</f>
        <v/>
      </c>
      <c r="F385" s="8">
        <f>$E385-$D385</f>
        <v/>
      </c>
      <c r="G385" s="8">
        <f>IF(ABS($F385)&lt;=tol_grid_inr,"PASS","FAIL")</f>
        <v/>
      </c>
    </row>
    <row r="386">
      <c r="A386" s="7" t="inlineStr">
        <is>
          <t>june_trough</t>
        </is>
      </c>
      <c r="B386" s="20" t="n">
        <v>-10</v>
      </c>
      <c r="C386" s="28" t="n">
        <v>75</v>
      </c>
      <c r="D386" s="23" t="n">
        <v>-2183766</v>
      </c>
      <c r="E386" s="18">
        <f>Sensitivity!$AI$112</f>
        <v/>
      </c>
      <c r="F386" s="8">
        <f>$E386-$D386</f>
        <v/>
      </c>
      <c r="G386" s="8">
        <f>IF(ABS($F386)&lt;=tol_grid_inr,"PASS","FAIL")</f>
        <v/>
      </c>
    </row>
    <row r="387">
      <c r="A387" s="7" t="inlineStr">
        <is>
          <t>june_trough</t>
        </is>
      </c>
      <c r="B387" s="20" t="n">
        <v>-5</v>
      </c>
      <c r="C387" s="28" t="n">
        <v>75</v>
      </c>
      <c r="D387" s="23" t="n">
        <v>-1407813</v>
      </c>
      <c r="E387" s="18">
        <f>Sensitivity!$AI$113</f>
        <v/>
      </c>
      <c r="F387" s="8">
        <f>$E387-$D387</f>
        <v/>
      </c>
      <c r="G387" s="8">
        <f>IF(ABS($F387)&lt;=tol_grid_inr,"PASS","FAIL")</f>
        <v/>
      </c>
    </row>
    <row r="388">
      <c r="A388" s="7" t="inlineStr">
        <is>
          <t>june_trough</t>
        </is>
      </c>
      <c r="B388" s="20" t="n">
        <v>0</v>
      </c>
      <c r="C388" s="28" t="n">
        <v>75</v>
      </c>
      <c r="D388" s="23" t="n">
        <v>-631859</v>
      </c>
      <c r="E388" s="18">
        <f>Sensitivity!$AI$114</f>
        <v/>
      </c>
      <c r="F388" s="8">
        <f>$E388-$D388</f>
        <v/>
      </c>
      <c r="G388" s="8">
        <f>IF(ABS($F388)&lt;=tol_grid_inr,"PASS","FAIL")</f>
        <v/>
      </c>
    </row>
    <row r="389">
      <c r="A389" s="7" t="inlineStr">
        <is>
          <t>june_trough</t>
        </is>
      </c>
      <c r="B389" s="20" t="n">
        <v>5</v>
      </c>
      <c r="C389" s="28" t="n">
        <v>75</v>
      </c>
      <c r="D389" s="23" t="n">
        <v>144094</v>
      </c>
      <c r="E389" s="18">
        <f>Sensitivity!$AI$115</f>
        <v/>
      </c>
      <c r="F389" s="8">
        <f>$E389-$D389</f>
        <v/>
      </c>
      <c r="G389" s="8">
        <f>IF(ABS($F389)&lt;=tol_grid_inr,"PASS","FAIL")</f>
        <v/>
      </c>
    </row>
    <row r="390">
      <c r="A390" s="7" t="inlineStr">
        <is>
          <t>june_trough</t>
        </is>
      </c>
      <c r="B390" s="20" t="n">
        <v>10</v>
      </c>
      <c r="C390" s="28" t="n">
        <v>75</v>
      </c>
      <c r="D390" s="23" t="n">
        <v>920048</v>
      </c>
      <c r="E390" s="18">
        <f>Sensitivity!$AI$116</f>
        <v/>
      </c>
      <c r="F390" s="8">
        <f>$E390-$D390</f>
        <v/>
      </c>
      <c r="G390" s="8">
        <f>IF(ABS($F390)&lt;=tol_grid_inr,"PASS","FAIL")</f>
        <v/>
      </c>
    </row>
    <row r="391">
      <c r="A391" s="7" t="inlineStr">
        <is>
          <t>june_trough</t>
        </is>
      </c>
      <c r="B391" s="20" t="n">
        <v>-30</v>
      </c>
      <c r="C391" s="28" t="n">
        <v>76</v>
      </c>
      <c r="D391" s="23" t="n">
        <v>-5144274</v>
      </c>
      <c r="E391" s="18">
        <f>Sensitivity!$AI$117</f>
        <v/>
      </c>
      <c r="F391" s="8">
        <f>$E391-$D391</f>
        <v/>
      </c>
      <c r="G391" s="8">
        <f>IF(ABS($F391)&lt;=tol_grid_inr,"PASS","FAIL")</f>
        <v/>
      </c>
    </row>
    <row r="392">
      <c r="A392" s="7" t="inlineStr">
        <is>
          <t>june_trough</t>
        </is>
      </c>
      <c r="B392" s="20" t="n">
        <v>-25</v>
      </c>
      <c r="C392" s="28" t="n">
        <v>76</v>
      </c>
      <c r="D392" s="23" t="n">
        <v>-4357974</v>
      </c>
      <c r="E392" s="18">
        <f>Sensitivity!$AI$118</f>
        <v/>
      </c>
      <c r="F392" s="8">
        <f>$E392-$D392</f>
        <v/>
      </c>
      <c r="G392" s="8">
        <f>IF(ABS($F392)&lt;=tol_grid_inr,"PASS","FAIL")</f>
        <v/>
      </c>
    </row>
    <row r="393">
      <c r="A393" s="7" t="inlineStr">
        <is>
          <t>june_trough</t>
        </is>
      </c>
      <c r="B393" s="20" t="n">
        <v>-20</v>
      </c>
      <c r="C393" s="28" t="n">
        <v>76</v>
      </c>
      <c r="D393" s="23" t="n">
        <v>-3571675</v>
      </c>
      <c r="E393" s="18">
        <f>Sensitivity!$AI$119</f>
        <v/>
      </c>
      <c r="F393" s="8">
        <f>$E393-$D393</f>
        <v/>
      </c>
      <c r="G393" s="8">
        <f>IF(ABS($F393)&lt;=tol_grid_inr,"PASS","FAIL")</f>
        <v/>
      </c>
    </row>
    <row r="394">
      <c r="A394" s="7" t="inlineStr">
        <is>
          <t>june_trough</t>
        </is>
      </c>
      <c r="B394" s="20" t="n">
        <v>-15</v>
      </c>
      <c r="C394" s="28" t="n">
        <v>76</v>
      </c>
      <c r="D394" s="23" t="n">
        <v>-2785375</v>
      </c>
      <c r="E394" s="18">
        <f>Sensitivity!$AI$120</f>
        <v/>
      </c>
      <c r="F394" s="8">
        <f>$E394-$D394</f>
        <v/>
      </c>
      <c r="G394" s="8">
        <f>IF(ABS($F394)&lt;=tol_grid_inr,"PASS","FAIL")</f>
        <v/>
      </c>
    </row>
    <row r="395">
      <c r="A395" s="7" t="inlineStr">
        <is>
          <t>june_trough</t>
        </is>
      </c>
      <c r="B395" s="20" t="n">
        <v>-10</v>
      </c>
      <c r="C395" s="28" t="n">
        <v>76</v>
      </c>
      <c r="D395" s="23" t="n">
        <v>-1999076</v>
      </c>
      <c r="E395" s="18">
        <f>Sensitivity!$AI$121</f>
        <v/>
      </c>
      <c r="F395" s="8">
        <f>$E395-$D395</f>
        <v/>
      </c>
      <c r="G395" s="8">
        <f>IF(ABS($F395)&lt;=tol_grid_inr,"PASS","FAIL")</f>
        <v/>
      </c>
    </row>
    <row r="396">
      <c r="A396" s="7" t="inlineStr">
        <is>
          <t>june_trough</t>
        </is>
      </c>
      <c r="B396" s="20" t="n">
        <v>-5</v>
      </c>
      <c r="C396" s="28" t="n">
        <v>76</v>
      </c>
      <c r="D396" s="23" t="n">
        <v>-1212776</v>
      </c>
      <c r="E396" s="18">
        <f>Sensitivity!$AI$122</f>
        <v/>
      </c>
      <c r="F396" s="8">
        <f>$E396-$D396</f>
        <v/>
      </c>
      <c r="G396" s="8">
        <f>IF(ABS($F396)&lt;=tol_grid_inr,"PASS","FAIL")</f>
        <v/>
      </c>
    </row>
    <row r="397">
      <c r="A397" s="7" t="inlineStr">
        <is>
          <t>june_trough</t>
        </is>
      </c>
      <c r="B397" s="20" t="n">
        <v>0</v>
      </c>
      <c r="C397" s="28" t="n">
        <v>76</v>
      </c>
      <c r="D397" s="23" t="n">
        <v>-426477</v>
      </c>
      <c r="E397" s="18">
        <f>Sensitivity!$AI$123</f>
        <v/>
      </c>
      <c r="F397" s="8">
        <f>$E397-$D397</f>
        <v/>
      </c>
      <c r="G397" s="8">
        <f>IF(ABS($F397)&lt;=tol_grid_inr,"PASS","FAIL")</f>
        <v/>
      </c>
    </row>
    <row r="398">
      <c r="A398" s="7" t="inlineStr">
        <is>
          <t>june_trough</t>
        </is>
      </c>
      <c r="B398" s="20" t="n">
        <v>5</v>
      </c>
      <c r="C398" s="28" t="n">
        <v>76</v>
      </c>
      <c r="D398" s="23" t="n">
        <v>359823</v>
      </c>
      <c r="E398" s="18">
        <f>Sensitivity!$AI$124</f>
        <v/>
      </c>
      <c r="F398" s="8">
        <f>$E398-$D398</f>
        <v/>
      </c>
      <c r="G398" s="8">
        <f>IF(ABS($F398)&lt;=tol_grid_inr,"PASS","FAIL")</f>
        <v/>
      </c>
    </row>
    <row r="399">
      <c r="A399" s="7" t="inlineStr">
        <is>
          <t>june_trough</t>
        </is>
      </c>
      <c r="B399" s="20" t="n">
        <v>10</v>
      </c>
      <c r="C399" s="28" t="n">
        <v>76</v>
      </c>
      <c r="D399" s="23" t="n">
        <v>1146122</v>
      </c>
      <c r="E399" s="18">
        <f>Sensitivity!$AI$125</f>
        <v/>
      </c>
      <c r="F399" s="8">
        <f>$E399-$D399</f>
        <v/>
      </c>
      <c r="G399" s="8">
        <f>IF(ABS($F399)&lt;=tol_grid_inr,"PASS","FAIL")</f>
        <v/>
      </c>
    </row>
    <row r="400">
      <c r="A400" s="7" t="inlineStr">
        <is>
          <t>june_trough</t>
        </is>
      </c>
      <c r="B400" s="20" t="n">
        <v>-30</v>
      </c>
      <c r="C400" s="28" t="n">
        <v>77</v>
      </c>
      <c r="D400" s="23" t="n">
        <v>-5000968</v>
      </c>
      <c r="E400" s="18">
        <f>Sensitivity!$AI$126</f>
        <v/>
      </c>
      <c r="F400" s="8">
        <f>$E400-$D400</f>
        <v/>
      </c>
      <c r="G400" s="8">
        <f>IF(ABS($F400)&lt;=tol_grid_inr,"PASS","FAIL")</f>
        <v/>
      </c>
    </row>
    <row r="401">
      <c r="A401" s="7" t="inlineStr">
        <is>
          <t>june_trough</t>
        </is>
      </c>
      <c r="B401" s="20" t="n">
        <v>-25</v>
      </c>
      <c r="C401" s="28" t="n">
        <v>77</v>
      </c>
      <c r="D401" s="23" t="n">
        <v>-4204322</v>
      </c>
      <c r="E401" s="18">
        <f>Sensitivity!$AI$127</f>
        <v/>
      </c>
      <c r="F401" s="8">
        <f>$E401-$D401</f>
        <v/>
      </c>
      <c r="G401" s="8">
        <f>IF(ABS($F401)&lt;=tol_grid_inr,"PASS","FAIL")</f>
        <v/>
      </c>
    </row>
    <row r="402">
      <c r="A402" s="7" t="inlineStr">
        <is>
          <t>june_trough</t>
        </is>
      </c>
      <c r="B402" s="20" t="n">
        <v>-20</v>
      </c>
      <c r="C402" s="28" t="n">
        <v>77</v>
      </c>
      <c r="D402" s="23" t="n">
        <v>-3407676</v>
      </c>
      <c r="E402" s="18">
        <f>Sensitivity!$AI$128</f>
        <v/>
      </c>
      <c r="F402" s="8">
        <f>$E402-$D402</f>
        <v/>
      </c>
      <c r="G402" s="8">
        <f>IF(ABS($F402)&lt;=tol_grid_inr,"PASS","FAIL")</f>
        <v/>
      </c>
    </row>
    <row r="403">
      <c r="A403" s="7" t="inlineStr">
        <is>
          <t>june_trough</t>
        </is>
      </c>
      <c r="B403" s="20" t="n">
        <v>-15</v>
      </c>
      <c r="C403" s="28" t="n">
        <v>77</v>
      </c>
      <c r="D403" s="23" t="n">
        <v>-2611031</v>
      </c>
      <c r="E403" s="18">
        <f>Sensitivity!$AI$129</f>
        <v/>
      </c>
      <c r="F403" s="8">
        <f>$E403-$D403</f>
        <v/>
      </c>
      <c r="G403" s="8">
        <f>IF(ABS($F403)&lt;=tol_grid_inr,"PASS","FAIL")</f>
        <v/>
      </c>
    </row>
    <row r="404">
      <c r="A404" s="7" t="inlineStr">
        <is>
          <t>june_trough</t>
        </is>
      </c>
      <c r="B404" s="20" t="n">
        <v>-10</v>
      </c>
      <c r="C404" s="28" t="n">
        <v>77</v>
      </c>
      <c r="D404" s="23" t="n">
        <v>-1814385</v>
      </c>
      <c r="E404" s="18">
        <f>Sensitivity!$AI$130</f>
        <v/>
      </c>
      <c r="F404" s="8">
        <f>$E404-$D404</f>
        <v/>
      </c>
      <c r="G404" s="8">
        <f>IF(ABS($F404)&lt;=tol_grid_inr,"PASS","FAIL")</f>
        <v/>
      </c>
    </row>
    <row r="405">
      <c r="A405" s="7" t="inlineStr">
        <is>
          <t>june_trough</t>
        </is>
      </c>
      <c r="B405" s="20" t="n">
        <v>-5</v>
      </c>
      <c r="C405" s="28" t="n">
        <v>77</v>
      </c>
      <c r="D405" s="23" t="n">
        <v>-1017740</v>
      </c>
      <c r="E405" s="18">
        <f>Sensitivity!$AI$131</f>
        <v/>
      </c>
      <c r="F405" s="8">
        <f>$E405-$D405</f>
        <v/>
      </c>
      <c r="G405" s="8">
        <f>IF(ABS($F405)&lt;=tol_grid_inr,"PASS","FAIL")</f>
        <v/>
      </c>
    </row>
    <row r="406">
      <c r="A406" s="7" t="inlineStr">
        <is>
          <t>june_trough</t>
        </is>
      </c>
      <c r="B406" s="20" t="n">
        <v>0</v>
      </c>
      <c r="C406" s="28" t="n">
        <v>77</v>
      </c>
      <c r="D406" s="23" t="n">
        <v>-221094</v>
      </c>
      <c r="E406" s="18">
        <f>Sensitivity!$AI$132</f>
        <v/>
      </c>
      <c r="F406" s="8">
        <f>$E406-$D406</f>
        <v/>
      </c>
      <c r="G406" s="8">
        <f>IF(ABS($F406)&lt;=tol_grid_inr,"PASS","FAIL")</f>
        <v/>
      </c>
    </row>
    <row r="407">
      <c r="A407" s="7" t="inlineStr">
        <is>
          <t>june_trough</t>
        </is>
      </c>
      <c r="B407" s="20" t="n">
        <v>5</v>
      </c>
      <c r="C407" s="28" t="n">
        <v>77</v>
      </c>
      <c r="D407" s="23" t="n">
        <v>575551</v>
      </c>
      <c r="E407" s="18">
        <f>Sensitivity!$AI$133</f>
        <v/>
      </c>
      <c r="F407" s="8">
        <f>$E407-$D407</f>
        <v/>
      </c>
      <c r="G407" s="8">
        <f>IF(ABS($F407)&lt;=tol_grid_inr,"PASS","FAIL")</f>
        <v/>
      </c>
    </row>
    <row r="408">
      <c r="A408" s="7" t="inlineStr">
        <is>
          <t>june_trough</t>
        </is>
      </c>
      <c r="B408" s="20" t="n">
        <v>10</v>
      </c>
      <c r="C408" s="28" t="n">
        <v>77</v>
      </c>
      <c r="D408" s="23" t="n">
        <v>1372197</v>
      </c>
      <c r="E408" s="18">
        <f>Sensitivity!$AI$134</f>
        <v/>
      </c>
      <c r="F408" s="8">
        <f>$E408-$D408</f>
        <v/>
      </c>
      <c r="G408" s="8">
        <f>IF(ABS($F408)&lt;=tol_grid_inr,"PASS","FAIL")</f>
        <v/>
      </c>
    </row>
    <row r="409">
      <c r="A409" s="7" t="inlineStr">
        <is>
          <t>june_trough</t>
        </is>
      </c>
      <c r="B409" s="20" t="n">
        <v>-30</v>
      </c>
      <c r="C409" s="28" t="n">
        <v>78</v>
      </c>
      <c r="D409" s="23" t="n">
        <v>-4857661</v>
      </c>
      <c r="E409" s="18">
        <f>Sensitivity!$AI$135</f>
        <v/>
      </c>
      <c r="F409" s="8">
        <f>$E409-$D409</f>
        <v/>
      </c>
      <c r="G409" s="8">
        <f>IF(ABS($F409)&lt;=tol_grid_inr,"PASS","FAIL")</f>
        <v/>
      </c>
    </row>
    <row r="410">
      <c r="A410" s="7" t="inlineStr">
        <is>
          <t>june_trough</t>
        </is>
      </c>
      <c r="B410" s="20" t="n">
        <v>-25</v>
      </c>
      <c r="C410" s="28" t="n">
        <v>78</v>
      </c>
      <c r="D410" s="23" t="n">
        <v>-4050670</v>
      </c>
      <c r="E410" s="18">
        <f>Sensitivity!$AI$136</f>
        <v/>
      </c>
      <c r="F410" s="8">
        <f>$E410-$D410</f>
        <v/>
      </c>
      <c r="G410" s="8">
        <f>IF(ABS($F410)&lt;=tol_grid_inr,"PASS","FAIL")</f>
        <v/>
      </c>
    </row>
    <row r="411">
      <c r="A411" s="7" t="inlineStr">
        <is>
          <t>june_trough</t>
        </is>
      </c>
      <c r="B411" s="20" t="n">
        <v>-20</v>
      </c>
      <c r="C411" s="28" t="n">
        <v>78</v>
      </c>
      <c r="D411" s="23" t="n">
        <v>-3243678</v>
      </c>
      <c r="E411" s="18">
        <f>Sensitivity!$AI$137</f>
        <v/>
      </c>
      <c r="F411" s="8">
        <f>$E411-$D411</f>
        <v/>
      </c>
      <c r="G411" s="8">
        <f>IF(ABS($F411)&lt;=tol_grid_inr,"PASS","FAIL")</f>
        <v/>
      </c>
    </row>
    <row r="412">
      <c r="A412" s="7" t="inlineStr">
        <is>
          <t>june_trough</t>
        </is>
      </c>
      <c r="B412" s="20" t="n">
        <v>-15</v>
      </c>
      <c r="C412" s="28" t="n">
        <v>78</v>
      </c>
      <c r="D412" s="23" t="n">
        <v>-2436687</v>
      </c>
      <c r="E412" s="18">
        <f>Sensitivity!$AI$138</f>
        <v/>
      </c>
      <c r="F412" s="8">
        <f>$E412-$D412</f>
        <v/>
      </c>
      <c r="G412" s="8">
        <f>IF(ABS($F412)&lt;=tol_grid_inr,"PASS","FAIL")</f>
        <v/>
      </c>
    </row>
    <row r="413">
      <c r="A413" s="7" t="inlineStr">
        <is>
          <t>june_trough</t>
        </is>
      </c>
      <c r="B413" s="20" t="n">
        <v>-10</v>
      </c>
      <c r="C413" s="28" t="n">
        <v>78</v>
      </c>
      <c r="D413" s="23" t="n">
        <v>-1629695</v>
      </c>
      <c r="E413" s="18">
        <f>Sensitivity!$AI$139</f>
        <v/>
      </c>
      <c r="F413" s="8">
        <f>$E413-$D413</f>
        <v/>
      </c>
      <c r="G413" s="8">
        <f>IF(ABS($F413)&lt;=tol_grid_inr,"PASS","FAIL")</f>
        <v/>
      </c>
    </row>
    <row r="414">
      <c r="A414" s="7" t="inlineStr">
        <is>
          <t>june_trough</t>
        </is>
      </c>
      <c r="B414" s="20" t="n">
        <v>-5</v>
      </c>
      <c r="C414" s="28" t="n">
        <v>78</v>
      </c>
      <c r="D414" s="23" t="n">
        <v>-822703</v>
      </c>
      <c r="E414" s="18">
        <f>Sensitivity!$AI$140</f>
        <v/>
      </c>
      <c r="F414" s="8">
        <f>$E414-$D414</f>
        <v/>
      </c>
      <c r="G414" s="8">
        <f>IF(ABS($F414)&lt;=tol_grid_inr,"PASS","FAIL")</f>
        <v/>
      </c>
    </row>
    <row r="415">
      <c r="A415" s="7" t="inlineStr">
        <is>
          <t>june_trough</t>
        </is>
      </c>
      <c r="B415" s="20" t="n">
        <v>0</v>
      </c>
      <c r="C415" s="28" t="n">
        <v>78</v>
      </c>
      <c r="D415" s="23" t="n">
        <v>-15712</v>
      </c>
      <c r="E415" s="18">
        <f>Sensitivity!$AI$141</f>
        <v/>
      </c>
      <c r="F415" s="8">
        <f>$E415-$D415</f>
        <v/>
      </c>
      <c r="G415" s="8">
        <f>IF(ABS($F415)&lt;=tol_grid_inr,"PASS","FAIL")</f>
        <v/>
      </c>
    </row>
    <row r="416">
      <c r="A416" s="7" t="inlineStr">
        <is>
          <t>june_trough</t>
        </is>
      </c>
      <c r="B416" s="20" t="n">
        <v>5</v>
      </c>
      <c r="C416" s="28" t="n">
        <v>78</v>
      </c>
      <c r="D416" s="23" t="n">
        <v>791280</v>
      </c>
      <c r="E416" s="18">
        <f>Sensitivity!$AI$142</f>
        <v/>
      </c>
      <c r="F416" s="8">
        <f>$E416-$D416</f>
        <v/>
      </c>
      <c r="G416" s="8">
        <f>IF(ABS($F416)&lt;=tol_grid_inr,"PASS","FAIL")</f>
        <v/>
      </c>
    </row>
    <row r="417">
      <c r="A417" s="7" t="inlineStr">
        <is>
          <t>june_trough</t>
        </is>
      </c>
      <c r="B417" s="20" t="n">
        <v>10</v>
      </c>
      <c r="C417" s="28" t="n">
        <v>78</v>
      </c>
      <c r="D417" s="23" t="n">
        <v>1598271</v>
      </c>
      <c r="E417" s="18">
        <f>Sensitivity!$AI$143</f>
        <v/>
      </c>
      <c r="F417" s="8">
        <f>$E417-$D417</f>
        <v/>
      </c>
      <c r="G417" s="8">
        <f>IF(ABS($F417)&lt;=tol_grid_inr,"PASS","FAIL")</f>
        <v/>
      </c>
    </row>
    <row r="418">
      <c r="A418" s="7" t="inlineStr">
        <is>
          <t>june_trough</t>
        </is>
      </c>
      <c r="B418" s="20" t="n">
        <v>-30</v>
      </c>
      <c r="C418" s="28" t="n">
        <v>79</v>
      </c>
      <c r="D418" s="23" t="n">
        <v>-4714355</v>
      </c>
      <c r="E418" s="18">
        <f>Sensitivity!$AI$144</f>
        <v/>
      </c>
      <c r="F418" s="8">
        <f>$E418-$D418</f>
        <v/>
      </c>
      <c r="G418" s="8">
        <f>IF(ABS($F418)&lt;=tol_grid_inr,"PASS","FAIL")</f>
        <v/>
      </c>
    </row>
    <row r="419">
      <c r="A419" s="7" t="inlineStr">
        <is>
          <t>june_trough</t>
        </is>
      </c>
      <c r="B419" s="20" t="n">
        <v>-25</v>
      </c>
      <c r="C419" s="28" t="n">
        <v>79</v>
      </c>
      <c r="D419" s="23" t="n">
        <v>-3897018</v>
      </c>
      <c r="E419" s="18">
        <f>Sensitivity!$AI$145</f>
        <v/>
      </c>
      <c r="F419" s="8">
        <f>$E419-$D419</f>
        <v/>
      </c>
      <c r="G419" s="8">
        <f>IF(ABS($F419)&lt;=tol_grid_inr,"PASS","FAIL")</f>
        <v/>
      </c>
    </row>
    <row r="420">
      <c r="A420" s="7" t="inlineStr">
        <is>
          <t>june_trough</t>
        </is>
      </c>
      <c r="B420" s="20" t="n">
        <v>-20</v>
      </c>
      <c r="C420" s="28" t="n">
        <v>79</v>
      </c>
      <c r="D420" s="23" t="n">
        <v>-3079680</v>
      </c>
      <c r="E420" s="18">
        <f>Sensitivity!$AI$146</f>
        <v/>
      </c>
      <c r="F420" s="8">
        <f>$E420-$D420</f>
        <v/>
      </c>
      <c r="G420" s="8">
        <f>IF(ABS($F420)&lt;=tol_grid_inr,"PASS","FAIL")</f>
        <v/>
      </c>
    </row>
    <row r="421">
      <c r="A421" s="7" t="inlineStr">
        <is>
          <t>june_trough</t>
        </is>
      </c>
      <c r="B421" s="20" t="n">
        <v>-15</v>
      </c>
      <c r="C421" s="28" t="n">
        <v>79</v>
      </c>
      <c r="D421" s="23" t="n">
        <v>-2262342</v>
      </c>
      <c r="E421" s="18">
        <f>Sensitivity!$AI$147</f>
        <v/>
      </c>
      <c r="F421" s="8">
        <f>$E421-$D421</f>
        <v/>
      </c>
      <c r="G421" s="8">
        <f>IF(ABS($F421)&lt;=tol_grid_inr,"PASS","FAIL")</f>
        <v/>
      </c>
    </row>
    <row r="422">
      <c r="A422" s="7" t="inlineStr">
        <is>
          <t>june_trough</t>
        </is>
      </c>
      <c r="B422" s="20" t="n">
        <v>-10</v>
      </c>
      <c r="C422" s="28" t="n">
        <v>79</v>
      </c>
      <c r="D422" s="23" t="n">
        <v>-1445005</v>
      </c>
      <c r="E422" s="18">
        <f>Sensitivity!$AI$148</f>
        <v/>
      </c>
      <c r="F422" s="8">
        <f>$E422-$D422</f>
        <v/>
      </c>
      <c r="G422" s="8">
        <f>IF(ABS($F422)&lt;=tol_grid_inr,"PASS","FAIL")</f>
        <v/>
      </c>
    </row>
    <row r="423">
      <c r="A423" s="7" t="inlineStr">
        <is>
          <t>june_trough</t>
        </is>
      </c>
      <c r="B423" s="20" t="n">
        <v>-5</v>
      </c>
      <c r="C423" s="28" t="n">
        <v>79</v>
      </c>
      <c r="D423" s="23" t="n">
        <v>-627667</v>
      </c>
      <c r="E423" s="18">
        <f>Sensitivity!$AI$149</f>
        <v/>
      </c>
      <c r="F423" s="8">
        <f>$E423-$D423</f>
        <v/>
      </c>
      <c r="G423" s="8">
        <f>IF(ABS($F423)&lt;=tol_grid_inr,"PASS","FAIL")</f>
        <v/>
      </c>
    </row>
    <row r="424">
      <c r="A424" s="7" t="inlineStr">
        <is>
          <t>june_trough</t>
        </is>
      </c>
      <c r="B424" s="20" t="n">
        <v>0</v>
      </c>
      <c r="C424" s="28" t="n">
        <v>79</v>
      </c>
      <c r="D424" s="23" t="n">
        <v>189671</v>
      </c>
      <c r="E424" s="18">
        <f>Sensitivity!$AI$150</f>
        <v/>
      </c>
      <c r="F424" s="8">
        <f>$E424-$D424</f>
        <v/>
      </c>
      <c r="G424" s="8">
        <f>IF(ABS($F424)&lt;=tol_grid_inr,"PASS","FAIL")</f>
        <v/>
      </c>
    </row>
    <row r="425">
      <c r="A425" s="7" t="inlineStr">
        <is>
          <t>june_trough</t>
        </is>
      </c>
      <c r="B425" s="20" t="n">
        <v>5</v>
      </c>
      <c r="C425" s="28" t="n">
        <v>79</v>
      </c>
      <c r="D425" s="23" t="n">
        <v>1007008</v>
      </c>
      <c r="E425" s="18">
        <f>Sensitivity!$AI$151</f>
        <v/>
      </c>
      <c r="F425" s="8">
        <f>$E425-$D425</f>
        <v/>
      </c>
      <c r="G425" s="8">
        <f>IF(ABS($F425)&lt;=tol_grid_inr,"PASS","FAIL")</f>
        <v/>
      </c>
    </row>
    <row r="426">
      <c r="A426" s="7" t="inlineStr">
        <is>
          <t>june_trough</t>
        </is>
      </c>
      <c r="B426" s="20" t="n">
        <v>10</v>
      </c>
      <c r="C426" s="28" t="n">
        <v>79</v>
      </c>
      <c r="D426" s="23" t="n">
        <v>1824346</v>
      </c>
      <c r="E426" s="18">
        <f>Sensitivity!$AI$152</f>
        <v/>
      </c>
      <c r="F426" s="8">
        <f>$E426-$D426</f>
        <v/>
      </c>
      <c r="G426" s="8">
        <f>IF(ABS($F426)&lt;=tol_grid_inr,"PASS","FAIL")</f>
        <v/>
      </c>
    </row>
    <row r="427">
      <c r="A427" s="7" t="inlineStr">
        <is>
          <t>june_trough</t>
        </is>
      </c>
      <c r="B427" s="20" t="n">
        <v>-30</v>
      </c>
      <c r="C427" s="28" t="n">
        <v>80</v>
      </c>
      <c r="D427" s="23" t="n">
        <v>-4571049</v>
      </c>
      <c r="E427" s="18">
        <f>Sensitivity!$AI$153</f>
        <v/>
      </c>
      <c r="F427" s="8">
        <f>$E427-$D427</f>
        <v/>
      </c>
      <c r="G427" s="8">
        <f>IF(ABS($F427)&lt;=tol_grid_inr,"PASS","FAIL")</f>
        <v/>
      </c>
    </row>
    <row r="428">
      <c r="A428" s="7" t="inlineStr">
        <is>
          <t>june_trough</t>
        </is>
      </c>
      <c r="B428" s="20" t="n">
        <v>-25</v>
      </c>
      <c r="C428" s="28" t="n">
        <v>80</v>
      </c>
      <c r="D428" s="23" t="n">
        <v>-3743365</v>
      </c>
      <c r="E428" s="18">
        <f>Sensitivity!$AI$154</f>
        <v/>
      </c>
      <c r="F428" s="8">
        <f>$E428-$D428</f>
        <v/>
      </c>
      <c r="G428" s="8">
        <f>IF(ABS($F428)&lt;=tol_grid_inr,"PASS","FAIL")</f>
        <v/>
      </c>
    </row>
    <row r="429">
      <c r="A429" s="7" t="inlineStr">
        <is>
          <t>june_trough</t>
        </is>
      </c>
      <c r="B429" s="20" t="n">
        <v>-20</v>
      </c>
      <c r="C429" s="28" t="n">
        <v>80</v>
      </c>
      <c r="D429" s="23" t="n">
        <v>-2915682</v>
      </c>
      <c r="E429" s="18">
        <f>Sensitivity!$AI$155</f>
        <v/>
      </c>
      <c r="F429" s="8">
        <f>$E429-$D429</f>
        <v/>
      </c>
      <c r="G429" s="8">
        <f>IF(ABS($F429)&lt;=tol_grid_inr,"PASS","FAIL")</f>
        <v/>
      </c>
    </row>
    <row r="430">
      <c r="A430" s="7" t="inlineStr">
        <is>
          <t>june_trough</t>
        </is>
      </c>
      <c r="B430" s="20" t="n">
        <v>-15</v>
      </c>
      <c r="C430" s="28" t="n">
        <v>80</v>
      </c>
      <c r="D430" s="23" t="n">
        <v>-2087998</v>
      </c>
      <c r="E430" s="18">
        <f>Sensitivity!$AI$156</f>
        <v/>
      </c>
      <c r="F430" s="8">
        <f>$E430-$D430</f>
        <v/>
      </c>
      <c r="G430" s="8">
        <f>IF(ABS($F430)&lt;=tol_grid_inr,"PASS","FAIL")</f>
        <v/>
      </c>
    </row>
    <row r="431">
      <c r="A431" s="7" t="inlineStr">
        <is>
          <t>june_trough</t>
        </is>
      </c>
      <c r="B431" s="20" t="n">
        <v>-10</v>
      </c>
      <c r="C431" s="28" t="n">
        <v>80</v>
      </c>
      <c r="D431" s="23" t="n">
        <v>-1260314</v>
      </c>
      <c r="E431" s="18">
        <f>Sensitivity!$AI$157</f>
        <v/>
      </c>
      <c r="F431" s="8">
        <f>$E431-$D431</f>
        <v/>
      </c>
      <c r="G431" s="8">
        <f>IF(ABS($F431)&lt;=tol_grid_inr,"PASS","FAIL")</f>
        <v/>
      </c>
    </row>
    <row r="432">
      <c r="A432" s="7" t="inlineStr">
        <is>
          <t>june_trough</t>
        </is>
      </c>
      <c r="B432" s="20" t="n">
        <v>-5</v>
      </c>
      <c r="C432" s="28" t="n">
        <v>80</v>
      </c>
      <c r="D432" s="23" t="n">
        <v>-432631</v>
      </c>
      <c r="E432" s="18">
        <f>Sensitivity!$AI$158</f>
        <v/>
      </c>
      <c r="F432" s="8">
        <f>$E432-$D432</f>
        <v/>
      </c>
      <c r="G432" s="8">
        <f>IF(ABS($F432)&lt;=tol_grid_inr,"PASS","FAIL")</f>
        <v/>
      </c>
    </row>
    <row r="433">
      <c r="A433" s="7" t="inlineStr">
        <is>
          <t>june_trough</t>
        </is>
      </c>
      <c r="B433" s="20" t="n">
        <v>0</v>
      </c>
      <c r="C433" s="28" t="n">
        <v>80</v>
      </c>
      <c r="D433" s="23" t="n">
        <v>395053</v>
      </c>
      <c r="E433" s="18">
        <f>Sensitivity!$AI$159</f>
        <v/>
      </c>
      <c r="F433" s="8">
        <f>$E433-$D433</f>
        <v/>
      </c>
      <c r="G433" s="8">
        <f>IF(ABS($F433)&lt;=tol_grid_inr,"PASS","FAIL")</f>
        <v/>
      </c>
    </row>
    <row r="434">
      <c r="A434" s="7" t="inlineStr">
        <is>
          <t>june_trough</t>
        </is>
      </c>
      <c r="B434" s="20" t="n">
        <v>5</v>
      </c>
      <c r="C434" s="28" t="n">
        <v>80</v>
      </c>
      <c r="D434" s="23" t="n">
        <v>1222737</v>
      </c>
      <c r="E434" s="18">
        <f>Sensitivity!$AI$160</f>
        <v/>
      </c>
      <c r="F434" s="8">
        <f>$E434-$D434</f>
        <v/>
      </c>
      <c r="G434" s="8">
        <f>IF(ABS($F434)&lt;=tol_grid_inr,"PASS","FAIL")</f>
        <v/>
      </c>
    </row>
    <row r="435">
      <c r="A435" s="7" t="inlineStr">
        <is>
          <t>june_trough</t>
        </is>
      </c>
      <c r="B435" s="20" t="n">
        <v>10</v>
      </c>
      <c r="C435" s="28" t="n">
        <v>80</v>
      </c>
      <c r="D435" s="23" t="n">
        <v>2050421</v>
      </c>
      <c r="E435" s="18">
        <f>Sensitivity!$AI$161</f>
        <v/>
      </c>
      <c r="F435" s="8">
        <f>$E435-$D435</f>
        <v/>
      </c>
      <c r="G435" s="8">
        <f>IF(ABS($F435)&lt;=tol_grid_inr,"PASS","FAIL")</f>
        <v/>
      </c>
    </row>
    <row r="436">
      <c r="A436" s="7" t="inlineStr">
        <is>
          <t>june_trough</t>
        </is>
      </c>
      <c r="B436" s="20" t="n">
        <v>-30</v>
      </c>
      <c r="C436" s="28" t="n">
        <v>81</v>
      </c>
      <c r="D436" s="23" t="n">
        <v>-4427743</v>
      </c>
      <c r="E436" s="18">
        <f>Sensitivity!$AI$162</f>
        <v/>
      </c>
      <c r="F436" s="8">
        <f>$E436-$D436</f>
        <v/>
      </c>
      <c r="G436" s="8">
        <f>IF(ABS($F436)&lt;=tol_grid_inr,"PASS","FAIL")</f>
        <v/>
      </c>
    </row>
    <row r="437">
      <c r="A437" s="7" t="inlineStr">
        <is>
          <t>june_trough</t>
        </is>
      </c>
      <c r="B437" s="20" t="n">
        <v>-25</v>
      </c>
      <c r="C437" s="28" t="n">
        <v>81</v>
      </c>
      <c r="D437" s="23" t="n">
        <v>-3589713</v>
      </c>
      <c r="E437" s="18">
        <f>Sensitivity!$AI$163</f>
        <v/>
      </c>
      <c r="F437" s="8">
        <f>$E437-$D437</f>
        <v/>
      </c>
      <c r="G437" s="8">
        <f>IF(ABS($F437)&lt;=tol_grid_inr,"PASS","FAIL")</f>
        <v/>
      </c>
    </row>
    <row r="438">
      <c r="A438" s="7" t="inlineStr">
        <is>
          <t>june_trough</t>
        </is>
      </c>
      <c r="B438" s="20" t="n">
        <v>-20</v>
      </c>
      <c r="C438" s="28" t="n">
        <v>81</v>
      </c>
      <c r="D438" s="23" t="n">
        <v>-2751683</v>
      </c>
      <c r="E438" s="18">
        <f>Sensitivity!$AI$164</f>
        <v/>
      </c>
      <c r="F438" s="8">
        <f>$E438-$D438</f>
        <v/>
      </c>
      <c r="G438" s="8">
        <f>IF(ABS($F438)&lt;=tol_grid_inr,"PASS","FAIL")</f>
        <v/>
      </c>
    </row>
    <row r="439">
      <c r="A439" s="7" t="inlineStr">
        <is>
          <t>june_trough</t>
        </is>
      </c>
      <c r="B439" s="20" t="n">
        <v>-15</v>
      </c>
      <c r="C439" s="28" t="n">
        <v>81</v>
      </c>
      <c r="D439" s="23" t="n">
        <v>-1913654</v>
      </c>
      <c r="E439" s="18">
        <f>Sensitivity!$AI$165</f>
        <v/>
      </c>
      <c r="F439" s="8">
        <f>$E439-$D439</f>
        <v/>
      </c>
      <c r="G439" s="8">
        <f>IF(ABS($F439)&lt;=tol_grid_inr,"PASS","FAIL")</f>
        <v/>
      </c>
    </row>
    <row r="440">
      <c r="A440" s="7" t="inlineStr">
        <is>
          <t>june_trough</t>
        </is>
      </c>
      <c r="B440" s="20" t="n">
        <v>-10</v>
      </c>
      <c r="C440" s="28" t="n">
        <v>81</v>
      </c>
      <c r="D440" s="23" t="n">
        <v>-1075624</v>
      </c>
      <c r="E440" s="18">
        <f>Sensitivity!$AI$166</f>
        <v/>
      </c>
      <c r="F440" s="8">
        <f>$E440-$D440</f>
        <v/>
      </c>
      <c r="G440" s="8">
        <f>IF(ABS($F440)&lt;=tol_grid_inr,"PASS","FAIL")</f>
        <v/>
      </c>
    </row>
    <row r="441">
      <c r="A441" s="7" t="inlineStr">
        <is>
          <t>june_trough</t>
        </is>
      </c>
      <c r="B441" s="20" t="n">
        <v>-5</v>
      </c>
      <c r="C441" s="28" t="n">
        <v>81</v>
      </c>
      <c r="D441" s="23" t="n">
        <v>-237594</v>
      </c>
      <c r="E441" s="18">
        <f>Sensitivity!$AI$167</f>
        <v/>
      </c>
      <c r="F441" s="8">
        <f>$E441-$D441</f>
        <v/>
      </c>
      <c r="G441" s="8">
        <f>IF(ABS($F441)&lt;=tol_grid_inr,"PASS","FAIL")</f>
        <v/>
      </c>
    </row>
    <row r="442">
      <c r="A442" s="7" t="inlineStr">
        <is>
          <t>june_trough</t>
        </is>
      </c>
      <c r="B442" s="20" t="n">
        <v>0</v>
      </c>
      <c r="C442" s="28" t="n">
        <v>81</v>
      </c>
      <c r="D442" s="23" t="n">
        <v>600436</v>
      </c>
      <c r="E442" s="18">
        <f>Sensitivity!$AI$168</f>
        <v/>
      </c>
      <c r="F442" s="8">
        <f>$E442-$D442</f>
        <v/>
      </c>
      <c r="G442" s="8">
        <f>IF(ABS($F442)&lt;=tol_grid_inr,"PASS","FAIL")</f>
        <v/>
      </c>
    </row>
    <row r="443">
      <c r="A443" s="7" t="inlineStr">
        <is>
          <t>june_trough</t>
        </is>
      </c>
      <c r="B443" s="20" t="n">
        <v>5</v>
      </c>
      <c r="C443" s="28" t="n">
        <v>81</v>
      </c>
      <c r="D443" s="23" t="n">
        <v>1438465</v>
      </c>
      <c r="E443" s="18">
        <f>Sensitivity!$AI$169</f>
        <v/>
      </c>
      <c r="F443" s="8">
        <f>$E443-$D443</f>
        <v/>
      </c>
      <c r="G443" s="8">
        <f>IF(ABS($F443)&lt;=tol_grid_inr,"PASS","FAIL")</f>
        <v/>
      </c>
    </row>
    <row r="444">
      <c r="A444" s="7" t="inlineStr">
        <is>
          <t>june_trough</t>
        </is>
      </c>
      <c r="B444" s="20" t="n">
        <v>10</v>
      </c>
      <c r="C444" s="28" t="n">
        <v>81</v>
      </c>
      <c r="D444" s="23" t="n">
        <v>2276495</v>
      </c>
      <c r="E444" s="18">
        <f>Sensitivity!$AI$170</f>
        <v/>
      </c>
      <c r="F444" s="8">
        <f>$E444-$D444</f>
        <v/>
      </c>
      <c r="G444" s="8">
        <f>IF(ABS($F444)&lt;=tol_grid_inr,"PASS","FAIL")</f>
        <v/>
      </c>
    </row>
    <row r="445">
      <c r="A445" s="7" t="inlineStr">
        <is>
          <t>june_trough</t>
        </is>
      </c>
      <c r="B445" s="20" t="n">
        <v>-30</v>
      </c>
      <c r="C445" s="28" t="n">
        <v>82</v>
      </c>
      <c r="D445" s="23" t="n">
        <v>-4284437</v>
      </c>
      <c r="E445" s="18">
        <f>Sensitivity!$AI$171</f>
        <v/>
      </c>
      <c r="F445" s="8">
        <f>$E445-$D445</f>
        <v/>
      </c>
      <c r="G445" s="8">
        <f>IF(ABS($F445)&lt;=tol_grid_inr,"PASS","FAIL")</f>
        <v/>
      </c>
    </row>
    <row r="446">
      <c r="A446" s="7" t="inlineStr">
        <is>
          <t>june_trough</t>
        </is>
      </c>
      <c r="B446" s="20" t="n">
        <v>-25</v>
      </c>
      <c r="C446" s="28" t="n">
        <v>82</v>
      </c>
      <c r="D446" s="23" t="n">
        <v>-3436061</v>
      </c>
      <c r="E446" s="18">
        <f>Sensitivity!$AI$172</f>
        <v/>
      </c>
      <c r="F446" s="8">
        <f>$E446-$D446</f>
        <v/>
      </c>
      <c r="G446" s="8">
        <f>IF(ABS($F446)&lt;=tol_grid_inr,"PASS","FAIL")</f>
        <v/>
      </c>
    </row>
    <row r="447">
      <c r="A447" s="7" t="inlineStr">
        <is>
          <t>june_trough</t>
        </is>
      </c>
      <c r="B447" s="20" t="n">
        <v>-20</v>
      </c>
      <c r="C447" s="28" t="n">
        <v>82</v>
      </c>
      <c r="D447" s="23" t="n">
        <v>-2587685</v>
      </c>
      <c r="E447" s="18">
        <f>Sensitivity!$AI$173</f>
        <v/>
      </c>
      <c r="F447" s="8">
        <f>$E447-$D447</f>
        <v/>
      </c>
      <c r="G447" s="8">
        <f>IF(ABS($F447)&lt;=tol_grid_inr,"PASS","FAIL")</f>
        <v/>
      </c>
    </row>
    <row r="448">
      <c r="A448" s="7" t="inlineStr">
        <is>
          <t>june_trough</t>
        </is>
      </c>
      <c r="B448" s="20" t="n">
        <v>-15</v>
      </c>
      <c r="C448" s="28" t="n">
        <v>82</v>
      </c>
      <c r="D448" s="23" t="n">
        <v>-1739309</v>
      </c>
      <c r="E448" s="18">
        <f>Sensitivity!$AI$174</f>
        <v/>
      </c>
      <c r="F448" s="8">
        <f>$E448-$D448</f>
        <v/>
      </c>
      <c r="G448" s="8">
        <f>IF(ABS($F448)&lt;=tol_grid_inr,"PASS","FAIL")</f>
        <v/>
      </c>
    </row>
    <row r="449">
      <c r="A449" s="7" t="inlineStr">
        <is>
          <t>june_trough</t>
        </is>
      </c>
      <c r="B449" s="20" t="n">
        <v>-10</v>
      </c>
      <c r="C449" s="28" t="n">
        <v>82</v>
      </c>
      <c r="D449" s="23" t="n">
        <v>-890933</v>
      </c>
      <c r="E449" s="18">
        <f>Sensitivity!$AI$175</f>
        <v/>
      </c>
      <c r="F449" s="8">
        <f>$E449-$D449</f>
        <v/>
      </c>
      <c r="G449" s="8">
        <f>IF(ABS($F449)&lt;=tol_grid_inr,"PASS","FAIL")</f>
        <v/>
      </c>
    </row>
    <row r="450">
      <c r="A450" s="7" t="inlineStr">
        <is>
          <t>june_trough</t>
        </is>
      </c>
      <c r="B450" s="20" t="n">
        <v>-5</v>
      </c>
      <c r="C450" s="28" t="n">
        <v>82</v>
      </c>
      <c r="D450" s="23" t="n">
        <v>-42558</v>
      </c>
      <c r="E450" s="18">
        <f>Sensitivity!$AI$176</f>
        <v/>
      </c>
      <c r="F450" s="8">
        <f>$E450-$D450</f>
        <v/>
      </c>
      <c r="G450" s="8">
        <f>IF(ABS($F450)&lt;=tol_grid_inr,"PASS","FAIL")</f>
        <v/>
      </c>
    </row>
    <row r="451">
      <c r="A451" s="7" t="inlineStr">
        <is>
          <t>june_trough</t>
        </is>
      </c>
      <c r="B451" s="20" t="n">
        <v>0</v>
      </c>
      <c r="C451" s="28" t="n">
        <v>82</v>
      </c>
      <c r="D451" s="23" t="n">
        <v>805818</v>
      </c>
      <c r="E451" s="18">
        <f>Sensitivity!$AI$177</f>
        <v/>
      </c>
      <c r="F451" s="8">
        <f>$E451-$D451</f>
        <v/>
      </c>
      <c r="G451" s="8">
        <f>IF(ABS($F451)&lt;=tol_grid_inr,"PASS","FAIL")</f>
        <v/>
      </c>
    </row>
    <row r="452">
      <c r="A452" s="7" t="inlineStr">
        <is>
          <t>june_trough</t>
        </is>
      </c>
      <c r="B452" s="20" t="n">
        <v>5</v>
      </c>
      <c r="C452" s="28" t="n">
        <v>82</v>
      </c>
      <c r="D452" s="23" t="n">
        <v>1654194</v>
      </c>
      <c r="E452" s="18">
        <f>Sensitivity!$AI$178</f>
        <v/>
      </c>
      <c r="F452" s="8">
        <f>$E452-$D452</f>
        <v/>
      </c>
      <c r="G452" s="8">
        <f>IF(ABS($F452)&lt;=tol_grid_inr,"PASS","FAIL")</f>
        <v/>
      </c>
    </row>
    <row r="453">
      <c r="A453" s="7" t="inlineStr">
        <is>
          <t>june_trough</t>
        </is>
      </c>
      <c r="B453" s="20" t="n">
        <v>10</v>
      </c>
      <c r="C453" s="28" t="n">
        <v>82</v>
      </c>
      <c r="D453" s="23" t="n">
        <v>2502570</v>
      </c>
      <c r="E453" s="18">
        <f>Sensitivity!$AI$179</f>
        <v/>
      </c>
      <c r="F453" s="8">
        <f>$E453-$D453</f>
        <v/>
      </c>
      <c r="G453" s="8">
        <f>IF(ABS($F453)&lt;=tol_grid_inr,"PASS","FAIL")</f>
        <v/>
      </c>
    </row>
    <row r="454">
      <c r="A454" s="7" t="inlineStr">
        <is>
          <t>june_trough</t>
        </is>
      </c>
      <c r="B454" s="20" t="n">
        <v>-30</v>
      </c>
      <c r="C454" s="28" t="n">
        <v>78.0765</v>
      </c>
      <c r="D454" s="23" t="n">
        <v>-4846698</v>
      </c>
      <c r="E454" s="18">
        <f>Sensitivity!$AI$180</f>
        <v/>
      </c>
      <c r="F454" s="8">
        <f>$E454-$D454</f>
        <v/>
      </c>
      <c r="G454" s="8">
        <f>IF(ABS($F454)&lt;=tol_grid_inr,"PASS","FAIL")</f>
        <v/>
      </c>
    </row>
    <row r="455">
      <c r="A455" s="7" t="inlineStr">
        <is>
          <t>june_trough</t>
        </is>
      </c>
      <c r="B455" s="20" t="n">
        <v>-25</v>
      </c>
      <c r="C455" s="28" t="n">
        <v>78.0765</v>
      </c>
      <c r="D455" s="23" t="n">
        <v>-4038915</v>
      </c>
      <c r="E455" s="18">
        <f>Sensitivity!$AI$181</f>
        <v/>
      </c>
      <c r="F455" s="8">
        <f>$E455-$D455</f>
        <v/>
      </c>
      <c r="G455" s="8">
        <f>IF(ABS($F455)&lt;=tol_grid_inr,"PASS","FAIL")</f>
        <v/>
      </c>
    </row>
    <row r="456">
      <c r="A456" s="7" t="inlineStr">
        <is>
          <t>june_trough</t>
        </is>
      </c>
      <c r="B456" s="20" t="n">
        <v>-20</v>
      </c>
      <c r="C456" s="28" t="n">
        <v>78.0765</v>
      </c>
      <c r="D456" s="23" t="n">
        <v>-3231132</v>
      </c>
      <c r="E456" s="18">
        <f>Sensitivity!$AI$182</f>
        <v/>
      </c>
      <c r="F456" s="8">
        <f>$E456-$D456</f>
        <v/>
      </c>
      <c r="G456" s="8">
        <f>IF(ABS($F456)&lt;=tol_grid_inr,"PASS","FAIL")</f>
        <v/>
      </c>
    </row>
    <row r="457">
      <c r="A457" s="7" t="inlineStr">
        <is>
          <t>june_trough</t>
        </is>
      </c>
      <c r="B457" s="20" t="n">
        <v>-15</v>
      </c>
      <c r="C457" s="28" t="n">
        <v>78.0765</v>
      </c>
      <c r="D457" s="23" t="n">
        <v>-2423349</v>
      </c>
      <c r="E457" s="18">
        <f>Sensitivity!$AI$183</f>
        <v/>
      </c>
      <c r="F457" s="8">
        <f>$E457-$D457</f>
        <v/>
      </c>
      <c r="G457" s="8">
        <f>IF(ABS($F457)&lt;=tol_grid_inr,"PASS","FAIL")</f>
        <v/>
      </c>
    </row>
    <row r="458">
      <c r="A458" s="7" t="inlineStr">
        <is>
          <t>june_trough</t>
        </is>
      </c>
      <c r="B458" s="20" t="n">
        <v>-10</v>
      </c>
      <c r="C458" s="28" t="n">
        <v>78.0765</v>
      </c>
      <c r="D458" s="23" t="n">
        <v>-1615566</v>
      </c>
      <c r="E458" s="18">
        <f>Sensitivity!$AI$184</f>
        <v/>
      </c>
      <c r="F458" s="8">
        <f>$E458-$D458</f>
        <v/>
      </c>
      <c r="G458" s="8">
        <f>IF(ABS($F458)&lt;=tol_grid_inr,"PASS","FAIL")</f>
        <v/>
      </c>
    </row>
    <row r="459">
      <c r="A459" s="7" t="inlineStr">
        <is>
          <t>june_trough</t>
        </is>
      </c>
      <c r="B459" s="20" t="n">
        <v>-5</v>
      </c>
      <c r="C459" s="28" t="n">
        <v>78.0765</v>
      </c>
      <c r="D459" s="23" t="n">
        <v>-807783</v>
      </c>
      <c r="E459" s="18">
        <f>Sensitivity!$AI$185</f>
        <v/>
      </c>
      <c r="F459" s="8">
        <f>$E459-$D459</f>
        <v/>
      </c>
      <c r="G459" s="8">
        <f>IF(ABS($F459)&lt;=tol_grid_inr,"PASS","FAIL")</f>
        <v/>
      </c>
    </row>
    <row r="460">
      <c r="A460" s="7" t="inlineStr">
        <is>
          <t>june_trough</t>
        </is>
      </c>
      <c r="B460" s="20" t="n">
        <v>0</v>
      </c>
      <c r="C460" s="28" t="n">
        <v>78.0765</v>
      </c>
      <c r="D460" s="23" t="n">
        <v>0</v>
      </c>
      <c r="E460" s="18">
        <f>Sensitivity!$AI$186</f>
        <v/>
      </c>
      <c r="F460" s="8">
        <f>$E460-$D460</f>
        <v/>
      </c>
      <c r="G460" s="8">
        <f>IF(ABS($F460)&lt;=tol_grid_inr,"PASS","FAIL")</f>
        <v/>
      </c>
    </row>
    <row r="461">
      <c r="A461" s="7" t="inlineStr">
        <is>
          <t>june_trough</t>
        </is>
      </c>
      <c r="B461" s="20" t="n">
        <v>5</v>
      </c>
      <c r="C461" s="28" t="n">
        <v>78.0765</v>
      </c>
      <c r="D461" s="23" t="n">
        <v>807783</v>
      </c>
      <c r="E461" s="18">
        <f>Sensitivity!$AI$187</f>
        <v/>
      </c>
      <c r="F461" s="8">
        <f>$E461-$D461</f>
        <v/>
      </c>
      <c r="G461" s="8">
        <f>IF(ABS($F461)&lt;=tol_grid_inr,"PASS","FAIL")</f>
        <v/>
      </c>
    </row>
    <row r="462">
      <c r="A462" s="7" t="inlineStr">
        <is>
          <t>june_trough</t>
        </is>
      </c>
      <c r="B462" s="20" t="n">
        <v>10</v>
      </c>
      <c r="C462" s="28" t="n">
        <v>78.0765</v>
      </c>
      <c r="D462" s="23" t="n">
        <v>1615566</v>
      </c>
      <c r="E462" s="18">
        <f>Sensitivity!$AI$188</f>
        <v/>
      </c>
      <c r="F462" s="8">
        <f>$E462-$D462</f>
        <v/>
      </c>
      <c r="G462" s="8">
        <f>IF(ABS($F462)&lt;=tol_grid_inr,"PASS","FAIL")</f>
        <v/>
      </c>
    </row>
    <row r="463">
      <c r="A463" s="7" t="inlineStr">
        <is>
          <t>first_eligible_long_lane</t>
        </is>
      </c>
      <c r="B463" s="20" t="n">
        <v>-30</v>
      </c>
      <c r="C463" s="28" t="n">
        <v>74</v>
      </c>
      <c r="D463" s="23" t="n">
        <v>-22738087</v>
      </c>
      <c r="E463" s="18">
        <f>Sensitivity!$AI$189</f>
        <v/>
      </c>
      <c r="F463" s="8">
        <f>$E463-$D463</f>
        <v/>
      </c>
      <c r="G463" s="8">
        <f>IF(ABS($F463)&lt;=tol_grid_inr,"PASS","FAIL")</f>
        <v/>
      </c>
    </row>
    <row r="464">
      <c r="A464" s="7" t="inlineStr">
        <is>
          <t>first_eligible_long_lane</t>
        </is>
      </c>
      <c r="B464" s="20" t="n">
        <v>-25</v>
      </c>
      <c r="C464" s="28" t="n">
        <v>74</v>
      </c>
      <c r="D464" s="23" t="n">
        <v>-19310202</v>
      </c>
      <c r="E464" s="18">
        <f>Sensitivity!$AI$190</f>
        <v/>
      </c>
      <c r="F464" s="8">
        <f>$E464-$D464</f>
        <v/>
      </c>
      <c r="G464" s="8">
        <f>IF(ABS($F464)&lt;=tol_grid_inr,"PASS","FAIL")</f>
        <v/>
      </c>
    </row>
    <row r="465">
      <c r="A465" s="7" t="inlineStr">
        <is>
          <t>first_eligible_long_lane</t>
        </is>
      </c>
      <c r="B465" s="20" t="n">
        <v>-20</v>
      </c>
      <c r="C465" s="28" t="n">
        <v>74</v>
      </c>
      <c r="D465" s="23" t="n">
        <v>-15882317</v>
      </c>
      <c r="E465" s="18">
        <f>Sensitivity!$AI$191</f>
        <v/>
      </c>
      <c r="F465" s="8">
        <f>$E465-$D465</f>
        <v/>
      </c>
      <c r="G465" s="8">
        <f>IF(ABS($F465)&lt;=tol_grid_inr,"PASS","FAIL")</f>
        <v/>
      </c>
    </row>
    <row r="466">
      <c r="A466" s="7" t="inlineStr">
        <is>
          <t>first_eligible_long_lane</t>
        </is>
      </c>
      <c r="B466" s="20" t="n">
        <v>-15</v>
      </c>
      <c r="C466" s="28" t="n">
        <v>74</v>
      </c>
      <c r="D466" s="23" t="n">
        <v>-12454432</v>
      </c>
      <c r="E466" s="18">
        <f>Sensitivity!$AI$192</f>
        <v/>
      </c>
      <c r="F466" s="8">
        <f>$E466-$D466</f>
        <v/>
      </c>
      <c r="G466" s="8">
        <f>IF(ABS($F466)&lt;=tol_grid_inr,"PASS","FAIL")</f>
        <v/>
      </c>
    </row>
    <row r="467">
      <c r="A467" s="7" t="inlineStr">
        <is>
          <t>first_eligible_long_lane</t>
        </is>
      </c>
      <c r="B467" s="20" t="n">
        <v>-10</v>
      </c>
      <c r="C467" s="28" t="n">
        <v>74</v>
      </c>
      <c r="D467" s="23" t="n">
        <v>-9026547</v>
      </c>
      <c r="E467" s="18">
        <f>Sensitivity!$AI$193</f>
        <v/>
      </c>
      <c r="F467" s="8">
        <f>$E467-$D467</f>
        <v/>
      </c>
      <c r="G467" s="8">
        <f>IF(ABS($F467)&lt;=tol_grid_inr,"PASS","FAIL")</f>
        <v/>
      </c>
    </row>
    <row r="468">
      <c r="A468" s="7" t="inlineStr">
        <is>
          <t>first_eligible_long_lane</t>
        </is>
      </c>
      <c r="B468" s="20" t="n">
        <v>-5</v>
      </c>
      <c r="C468" s="28" t="n">
        <v>74</v>
      </c>
      <c r="D468" s="23" t="n">
        <v>-5598662</v>
      </c>
      <c r="E468" s="18">
        <f>Sensitivity!$AI$194</f>
        <v/>
      </c>
      <c r="F468" s="8">
        <f>$E468-$D468</f>
        <v/>
      </c>
      <c r="G468" s="8">
        <f>IF(ABS($F468)&lt;=tol_grid_inr,"PASS","FAIL")</f>
        <v/>
      </c>
    </row>
    <row r="469">
      <c r="A469" s="7" t="inlineStr">
        <is>
          <t>first_eligible_long_lane</t>
        </is>
      </c>
      <c r="B469" s="20" t="n">
        <v>0</v>
      </c>
      <c r="C469" s="28" t="n">
        <v>74</v>
      </c>
      <c r="D469" s="23" t="n">
        <v>-2170778</v>
      </c>
      <c r="E469" s="18">
        <f>Sensitivity!$AI$195</f>
        <v/>
      </c>
      <c r="F469" s="8">
        <f>$E469-$D469</f>
        <v/>
      </c>
      <c r="G469" s="8">
        <f>IF(ABS($F469)&lt;=tol_grid_inr,"PASS","FAIL")</f>
        <v/>
      </c>
    </row>
    <row r="470">
      <c r="A470" s="7" t="inlineStr">
        <is>
          <t>first_eligible_long_lane</t>
        </is>
      </c>
      <c r="B470" s="20" t="n">
        <v>5</v>
      </c>
      <c r="C470" s="28" t="n">
        <v>74</v>
      </c>
      <c r="D470" s="23" t="n">
        <v>1257107</v>
      </c>
      <c r="E470" s="18">
        <f>Sensitivity!$AI$196</f>
        <v/>
      </c>
      <c r="F470" s="8">
        <f>$E470-$D470</f>
        <v/>
      </c>
      <c r="G470" s="8">
        <f>IF(ABS($F470)&lt;=tol_grid_inr,"PASS","FAIL")</f>
        <v/>
      </c>
    </row>
    <row r="471">
      <c r="A471" s="7" t="inlineStr">
        <is>
          <t>first_eligible_long_lane</t>
        </is>
      </c>
      <c r="B471" s="20" t="n">
        <v>10</v>
      </c>
      <c r="C471" s="28" t="n">
        <v>74</v>
      </c>
      <c r="D471" s="23" t="n">
        <v>4684992</v>
      </c>
      <c r="E471" s="18">
        <f>Sensitivity!$AI$197</f>
        <v/>
      </c>
      <c r="F471" s="8">
        <f>$E471-$D471</f>
        <v/>
      </c>
      <c r="G471" s="8">
        <f>IF(ABS($F471)&lt;=tol_grid_inr,"PASS","FAIL")</f>
        <v/>
      </c>
    </row>
    <row r="472">
      <c r="A472" s="7" t="inlineStr">
        <is>
          <t>first_eligible_long_lane</t>
        </is>
      </c>
      <c r="B472" s="20" t="n">
        <v>-30</v>
      </c>
      <c r="C472" s="28" t="n">
        <v>75</v>
      </c>
      <c r="D472" s="23" t="n">
        <v>-22089568</v>
      </c>
      <c r="E472" s="18">
        <f>Sensitivity!$AI$198</f>
        <v/>
      </c>
      <c r="F472" s="8">
        <f>$E472-$D472</f>
        <v/>
      </c>
      <c r="G472" s="8">
        <f>IF(ABS($F472)&lt;=tol_grid_inr,"PASS","FAIL")</f>
        <v/>
      </c>
    </row>
    <row r="473">
      <c r="A473" s="7" t="inlineStr">
        <is>
          <t>first_eligible_long_lane</t>
        </is>
      </c>
      <c r="B473" s="20" t="n">
        <v>-25</v>
      </c>
      <c r="C473" s="28" t="n">
        <v>75</v>
      </c>
      <c r="D473" s="23" t="n">
        <v>-18615360</v>
      </c>
      <c r="E473" s="18">
        <f>Sensitivity!$AI$199</f>
        <v/>
      </c>
      <c r="F473" s="8">
        <f>$E473-$D473</f>
        <v/>
      </c>
      <c r="G473" s="8">
        <f>IF(ABS($F473)&lt;=tol_grid_inr,"PASS","FAIL")</f>
        <v/>
      </c>
    </row>
    <row r="474">
      <c r="A474" s="7" t="inlineStr">
        <is>
          <t>first_eligible_long_lane</t>
        </is>
      </c>
      <c r="B474" s="20" t="n">
        <v>-20</v>
      </c>
      <c r="C474" s="28" t="n">
        <v>75</v>
      </c>
      <c r="D474" s="23" t="n">
        <v>-15141153</v>
      </c>
      <c r="E474" s="18">
        <f>Sensitivity!$AI$200</f>
        <v/>
      </c>
      <c r="F474" s="8">
        <f>$E474-$D474</f>
        <v/>
      </c>
      <c r="G474" s="8">
        <f>IF(ABS($F474)&lt;=tol_grid_inr,"PASS","FAIL")</f>
        <v/>
      </c>
    </row>
    <row r="475">
      <c r="A475" s="7" t="inlineStr">
        <is>
          <t>first_eligible_long_lane</t>
        </is>
      </c>
      <c r="B475" s="20" t="n">
        <v>-15</v>
      </c>
      <c r="C475" s="28" t="n">
        <v>75</v>
      </c>
      <c r="D475" s="23" t="n">
        <v>-11666945</v>
      </c>
      <c r="E475" s="18">
        <f>Sensitivity!$AI$201</f>
        <v/>
      </c>
      <c r="F475" s="8">
        <f>$E475-$D475</f>
        <v/>
      </c>
      <c r="G475" s="8">
        <f>IF(ABS($F475)&lt;=tol_grid_inr,"PASS","FAIL")</f>
        <v/>
      </c>
    </row>
    <row r="476">
      <c r="A476" s="7" t="inlineStr">
        <is>
          <t>first_eligible_long_lane</t>
        </is>
      </c>
      <c r="B476" s="20" t="n">
        <v>-10</v>
      </c>
      <c r="C476" s="28" t="n">
        <v>75</v>
      </c>
      <c r="D476" s="23" t="n">
        <v>-8192737</v>
      </c>
      <c r="E476" s="18">
        <f>Sensitivity!$AI$202</f>
        <v/>
      </c>
      <c r="F476" s="8">
        <f>$E476-$D476</f>
        <v/>
      </c>
      <c r="G476" s="8">
        <f>IF(ABS($F476)&lt;=tol_grid_inr,"PASS","FAIL")</f>
        <v/>
      </c>
    </row>
    <row r="477">
      <c r="A477" s="7" t="inlineStr">
        <is>
          <t>first_eligible_long_lane</t>
        </is>
      </c>
      <c r="B477" s="20" t="n">
        <v>-5</v>
      </c>
      <c r="C477" s="28" t="n">
        <v>75</v>
      </c>
      <c r="D477" s="23" t="n">
        <v>-4718530</v>
      </c>
      <c r="E477" s="18">
        <f>Sensitivity!$AI$203</f>
        <v/>
      </c>
      <c r="F477" s="8">
        <f>$E477-$D477</f>
        <v/>
      </c>
      <c r="G477" s="8">
        <f>IF(ABS($F477)&lt;=tol_grid_inr,"PASS","FAIL")</f>
        <v/>
      </c>
    </row>
    <row r="478">
      <c r="A478" s="7" t="inlineStr">
        <is>
          <t>first_eligible_long_lane</t>
        </is>
      </c>
      <c r="B478" s="20" t="n">
        <v>0</v>
      </c>
      <c r="C478" s="28" t="n">
        <v>75</v>
      </c>
      <c r="D478" s="23" t="n">
        <v>-1244322</v>
      </c>
      <c r="E478" s="18">
        <f>Sensitivity!$AI$204</f>
        <v/>
      </c>
      <c r="F478" s="8">
        <f>$E478-$D478</f>
        <v/>
      </c>
      <c r="G478" s="8">
        <f>IF(ABS($F478)&lt;=tol_grid_inr,"PASS","FAIL")</f>
        <v/>
      </c>
    </row>
    <row r="479">
      <c r="A479" s="7" t="inlineStr">
        <is>
          <t>first_eligible_long_lane</t>
        </is>
      </c>
      <c r="B479" s="20" t="n">
        <v>5</v>
      </c>
      <c r="C479" s="28" t="n">
        <v>75</v>
      </c>
      <c r="D479" s="23" t="n">
        <v>2229885</v>
      </c>
      <c r="E479" s="18">
        <f>Sensitivity!$AI$205</f>
        <v/>
      </c>
      <c r="F479" s="8">
        <f>$E479-$D479</f>
        <v/>
      </c>
      <c r="G479" s="8">
        <f>IF(ABS($F479)&lt;=tol_grid_inr,"PASS","FAIL")</f>
        <v/>
      </c>
    </row>
    <row r="480">
      <c r="A480" s="7" t="inlineStr">
        <is>
          <t>first_eligible_long_lane</t>
        </is>
      </c>
      <c r="B480" s="20" t="n">
        <v>10</v>
      </c>
      <c r="C480" s="28" t="n">
        <v>75</v>
      </c>
      <c r="D480" s="23" t="n">
        <v>5704093</v>
      </c>
      <c r="E480" s="18">
        <f>Sensitivity!$AI$206</f>
        <v/>
      </c>
      <c r="F480" s="8">
        <f>$E480-$D480</f>
        <v/>
      </c>
      <c r="G480" s="8">
        <f>IF(ABS($F480)&lt;=tol_grid_inr,"PASS","FAIL")</f>
        <v/>
      </c>
    </row>
    <row r="481">
      <c r="A481" s="7" t="inlineStr">
        <is>
          <t>first_eligible_long_lane</t>
        </is>
      </c>
      <c r="B481" s="20" t="n">
        <v>-30</v>
      </c>
      <c r="C481" s="28" t="n">
        <v>76</v>
      </c>
      <c r="D481" s="23" t="n">
        <v>-21441049</v>
      </c>
      <c r="E481" s="18">
        <f>Sensitivity!$AI$207</f>
        <v/>
      </c>
      <c r="F481" s="8">
        <f>$E481-$D481</f>
        <v/>
      </c>
      <c r="G481" s="8">
        <f>IF(ABS($F481)&lt;=tol_grid_inr,"PASS","FAIL")</f>
        <v/>
      </c>
    </row>
    <row r="482">
      <c r="A482" s="7" t="inlineStr">
        <is>
          <t>first_eligible_long_lane</t>
        </is>
      </c>
      <c r="B482" s="20" t="n">
        <v>-25</v>
      </c>
      <c r="C482" s="28" t="n">
        <v>76</v>
      </c>
      <c r="D482" s="23" t="n">
        <v>-17920519</v>
      </c>
      <c r="E482" s="18">
        <f>Sensitivity!$AI$208</f>
        <v/>
      </c>
      <c r="F482" s="8">
        <f>$E482-$D482</f>
        <v/>
      </c>
      <c r="G482" s="8">
        <f>IF(ABS($F482)&lt;=tol_grid_inr,"PASS","FAIL")</f>
        <v/>
      </c>
    </row>
    <row r="483">
      <c r="A483" s="7" t="inlineStr">
        <is>
          <t>first_eligible_long_lane</t>
        </is>
      </c>
      <c r="B483" s="20" t="n">
        <v>-20</v>
      </c>
      <c r="C483" s="28" t="n">
        <v>76</v>
      </c>
      <c r="D483" s="23" t="n">
        <v>-14399988</v>
      </c>
      <c r="E483" s="18">
        <f>Sensitivity!$AI$209</f>
        <v/>
      </c>
      <c r="F483" s="8">
        <f>$E483-$D483</f>
        <v/>
      </c>
      <c r="G483" s="8">
        <f>IF(ABS($F483)&lt;=tol_grid_inr,"PASS","FAIL")</f>
        <v/>
      </c>
    </row>
    <row r="484">
      <c r="A484" s="7" t="inlineStr">
        <is>
          <t>first_eligible_long_lane</t>
        </is>
      </c>
      <c r="B484" s="20" t="n">
        <v>-15</v>
      </c>
      <c r="C484" s="28" t="n">
        <v>76</v>
      </c>
      <c r="D484" s="23" t="n">
        <v>-10879458</v>
      </c>
      <c r="E484" s="18">
        <f>Sensitivity!$AI$210</f>
        <v/>
      </c>
      <c r="F484" s="8">
        <f>$E484-$D484</f>
        <v/>
      </c>
      <c r="G484" s="8">
        <f>IF(ABS($F484)&lt;=tol_grid_inr,"PASS","FAIL")</f>
        <v/>
      </c>
    </row>
    <row r="485">
      <c r="A485" s="7" t="inlineStr">
        <is>
          <t>first_eligible_long_lane</t>
        </is>
      </c>
      <c r="B485" s="20" t="n">
        <v>-10</v>
      </c>
      <c r="C485" s="28" t="n">
        <v>76</v>
      </c>
      <c r="D485" s="23" t="n">
        <v>-7358928</v>
      </c>
      <c r="E485" s="18">
        <f>Sensitivity!$AI$211</f>
        <v/>
      </c>
      <c r="F485" s="8">
        <f>$E485-$D485</f>
        <v/>
      </c>
      <c r="G485" s="8">
        <f>IF(ABS($F485)&lt;=tol_grid_inr,"PASS","FAIL")</f>
        <v/>
      </c>
    </row>
    <row r="486">
      <c r="A486" s="7" t="inlineStr">
        <is>
          <t>first_eligible_long_lane</t>
        </is>
      </c>
      <c r="B486" s="20" t="n">
        <v>-5</v>
      </c>
      <c r="C486" s="28" t="n">
        <v>76</v>
      </c>
      <c r="D486" s="23" t="n">
        <v>-3838397</v>
      </c>
      <c r="E486" s="18">
        <f>Sensitivity!$AI$212</f>
        <v/>
      </c>
      <c r="F486" s="8">
        <f>$E486-$D486</f>
        <v/>
      </c>
      <c r="G486" s="8">
        <f>IF(ABS($F486)&lt;=tol_grid_inr,"PASS","FAIL")</f>
        <v/>
      </c>
    </row>
    <row r="487">
      <c r="A487" s="7" t="inlineStr">
        <is>
          <t>first_eligible_long_lane</t>
        </is>
      </c>
      <c r="B487" s="20" t="n">
        <v>0</v>
      </c>
      <c r="C487" s="28" t="n">
        <v>76</v>
      </c>
      <c r="D487" s="23" t="n">
        <v>-317867</v>
      </c>
      <c r="E487" s="18">
        <f>Sensitivity!$AI$213</f>
        <v/>
      </c>
      <c r="F487" s="8">
        <f>$E487-$D487</f>
        <v/>
      </c>
      <c r="G487" s="8">
        <f>IF(ABS($F487)&lt;=tol_grid_inr,"PASS","FAIL")</f>
        <v/>
      </c>
    </row>
    <row r="488">
      <c r="A488" s="7" t="inlineStr">
        <is>
          <t>first_eligible_long_lane</t>
        </is>
      </c>
      <c r="B488" s="20" t="n">
        <v>5</v>
      </c>
      <c r="C488" s="28" t="n">
        <v>76</v>
      </c>
      <c r="D488" s="23" t="n">
        <v>3202664</v>
      </c>
      <c r="E488" s="18">
        <f>Sensitivity!$AI$214</f>
        <v/>
      </c>
      <c r="F488" s="8">
        <f>$E488-$D488</f>
        <v/>
      </c>
      <c r="G488" s="8">
        <f>IF(ABS($F488)&lt;=tol_grid_inr,"PASS","FAIL")</f>
        <v/>
      </c>
    </row>
    <row r="489">
      <c r="A489" s="7" t="inlineStr">
        <is>
          <t>first_eligible_long_lane</t>
        </is>
      </c>
      <c r="B489" s="20" t="n">
        <v>10</v>
      </c>
      <c r="C489" s="28" t="n">
        <v>76</v>
      </c>
      <c r="D489" s="23" t="n">
        <v>6723194</v>
      </c>
      <c r="E489" s="18">
        <f>Sensitivity!$AI$215</f>
        <v/>
      </c>
      <c r="F489" s="8">
        <f>$E489-$D489</f>
        <v/>
      </c>
      <c r="G489" s="8">
        <f>IF(ABS($F489)&lt;=tol_grid_inr,"PASS","FAIL")</f>
        <v/>
      </c>
    </row>
    <row r="490">
      <c r="A490" s="7" t="inlineStr">
        <is>
          <t>first_eligible_long_lane</t>
        </is>
      </c>
      <c r="B490" s="20" t="n">
        <v>-30</v>
      </c>
      <c r="C490" s="28" t="n">
        <v>77</v>
      </c>
      <c r="D490" s="23" t="n">
        <v>-20792531</v>
      </c>
      <c r="E490" s="18">
        <f>Sensitivity!$AI$216</f>
        <v/>
      </c>
      <c r="F490" s="8">
        <f>$E490-$D490</f>
        <v/>
      </c>
      <c r="G490" s="8">
        <f>IF(ABS($F490)&lt;=tol_grid_inr,"PASS","FAIL")</f>
        <v/>
      </c>
    </row>
    <row r="491">
      <c r="A491" s="7" t="inlineStr">
        <is>
          <t>first_eligible_long_lane</t>
        </is>
      </c>
      <c r="B491" s="20" t="n">
        <v>-25</v>
      </c>
      <c r="C491" s="28" t="n">
        <v>77</v>
      </c>
      <c r="D491" s="23" t="n">
        <v>-17225677</v>
      </c>
      <c r="E491" s="18">
        <f>Sensitivity!$AI$217</f>
        <v/>
      </c>
      <c r="F491" s="8">
        <f>$E491-$D491</f>
        <v/>
      </c>
      <c r="G491" s="8">
        <f>IF(ABS($F491)&lt;=tol_grid_inr,"PASS","FAIL")</f>
        <v/>
      </c>
    </row>
    <row r="492">
      <c r="A492" s="7" t="inlineStr">
        <is>
          <t>first_eligible_long_lane</t>
        </is>
      </c>
      <c r="B492" s="20" t="n">
        <v>-20</v>
      </c>
      <c r="C492" s="28" t="n">
        <v>77</v>
      </c>
      <c r="D492" s="23" t="n">
        <v>-13658824</v>
      </c>
      <c r="E492" s="18">
        <f>Sensitivity!$AI$218</f>
        <v/>
      </c>
      <c r="F492" s="8">
        <f>$E492-$D492</f>
        <v/>
      </c>
      <c r="G492" s="8">
        <f>IF(ABS($F492)&lt;=tol_grid_inr,"PASS","FAIL")</f>
        <v/>
      </c>
    </row>
    <row r="493">
      <c r="A493" s="7" t="inlineStr">
        <is>
          <t>first_eligible_long_lane</t>
        </is>
      </c>
      <c r="B493" s="20" t="n">
        <v>-15</v>
      </c>
      <c r="C493" s="28" t="n">
        <v>77</v>
      </c>
      <c r="D493" s="23" t="n">
        <v>-10091971</v>
      </c>
      <c r="E493" s="18">
        <f>Sensitivity!$AI$219</f>
        <v/>
      </c>
      <c r="F493" s="8">
        <f>$E493-$D493</f>
        <v/>
      </c>
      <c r="G493" s="8">
        <f>IF(ABS($F493)&lt;=tol_grid_inr,"PASS","FAIL")</f>
        <v/>
      </c>
    </row>
    <row r="494">
      <c r="A494" s="7" t="inlineStr">
        <is>
          <t>first_eligible_long_lane</t>
        </is>
      </c>
      <c r="B494" s="20" t="n">
        <v>-10</v>
      </c>
      <c r="C494" s="28" t="n">
        <v>77</v>
      </c>
      <c r="D494" s="23" t="n">
        <v>-6525118</v>
      </c>
      <c r="E494" s="18">
        <f>Sensitivity!$AI$220</f>
        <v/>
      </c>
      <c r="F494" s="8">
        <f>$E494-$D494</f>
        <v/>
      </c>
      <c r="G494" s="8">
        <f>IF(ABS($F494)&lt;=tol_grid_inr,"PASS","FAIL")</f>
        <v/>
      </c>
    </row>
    <row r="495">
      <c r="A495" s="7" t="inlineStr">
        <is>
          <t>first_eligible_long_lane</t>
        </is>
      </c>
      <c r="B495" s="20" t="n">
        <v>-5</v>
      </c>
      <c r="C495" s="28" t="n">
        <v>77</v>
      </c>
      <c r="D495" s="23" t="n">
        <v>-2958265</v>
      </c>
      <c r="E495" s="18">
        <f>Sensitivity!$AI$221</f>
        <v/>
      </c>
      <c r="F495" s="8">
        <f>$E495-$D495</f>
        <v/>
      </c>
      <c r="G495" s="8">
        <f>IF(ABS($F495)&lt;=tol_grid_inr,"PASS","FAIL")</f>
        <v/>
      </c>
    </row>
    <row r="496">
      <c r="A496" s="7" t="inlineStr">
        <is>
          <t>first_eligible_long_lane</t>
        </is>
      </c>
      <c r="B496" s="20" t="n">
        <v>0</v>
      </c>
      <c r="C496" s="28" t="n">
        <v>77</v>
      </c>
      <c r="D496" s="23" t="n">
        <v>608589</v>
      </c>
      <c r="E496" s="18">
        <f>Sensitivity!$AI$222</f>
        <v/>
      </c>
      <c r="F496" s="8">
        <f>$E496-$D496</f>
        <v/>
      </c>
      <c r="G496" s="8">
        <f>IF(ABS($F496)&lt;=tol_grid_inr,"PASS","FAIL")</f>
        <v/>
      </c>
    </row>
    <row r="497">
      <c r="A497" s="7" t="inlineStr">
        <is>
          <t>first_eligible_long_lane</t>
        </is>
      </c>
      <c r="B497" s="20" t="n">
        <v>5</v>
      </c>
      <c r="C497" s="28" t="n">
        <v>77</v>
      </c>
      <c r="D497" s="23" t="n">
        <v>4175442</v>
      </c>
      <c r="E497" s="18">
        <f>Sensitivity!$AI$223</f>
        <v/>
      </c>
      <c r="F497" s="8">
        <f>$E497-$D497</f>
        <v/>
      </c>
      <c r="G497" s="8">
        <f>IF(ABS($F497)&lt;=tol_grid_inr,"PASS","FAIL")</f>
        <v/>
      </c>
    </row>
    <row r="498">
      <c r="A498" s="7" t="inlineStr">
        <is>
          <t>first_eligible_long_lane</t>
        </is>
      </c>
      <c r="B498" s="20" t="n">
        <v>10</v>
      </c>
      <c r="C498" s="28" t="n">
        <v>77</v>
      </c>
      <c r="D498" s="23" t="n">
        <v>7742295</v>
      </c>
      <c r="E498" s="18">
        <f>Sensitivity!$AI$224</f>
        <v/>
      </c>
      <c r="F498" s="8">
        <f>$E498-$D498</f>
        <v/>
      </c>
      <c r="G498" s="8">
        <f>IF(ABS($F498)&lt;=tol_grid_inr,"PASS","FAIL")</f>
        <v/>
      </c>
    </row>
    <row r="499">
      <c r="A499" s="7" t="inlineStr">
        <is>
          <t>first_eligible_long_lane</t>
        </is>
      </c>
      <c r="B499" s="20" t="n">
        <v>-30</v>
      </c>
      <c r="C499" s="28" t="n">
        <v>78</v>
      </c>
      <c r="D499" s="23" t="n">
        <v>-20144012</v>
      </c>
      <c r="E499" s="18">
        <f>Sensitivity!$AI$225</f>
        <v/>
      </c>
      <c r="F499" s="8">
        <f>$E499-$D499</f>
        <v/>
      </c>
      <c r="G499" s="8">
        <f>IF(ABS($F499)&lt;=tol_grid_inr,"PASS","FAIL")</f>
        <v/>
      </c>
    </row>
    <row r="500">
      <c r="A500" s="7" t="inlineStr">
        <is>
          <t>first_eligible_long_lane</t>
        </is>
      </c>
      <c r="B500" s="20" t="n">
        <v>-25</v>
      </c>
      <c r="C500" s="28" t="n">
        <v>78</v>
      </c>
      <c r="D500" s="23" t="n">
        <v>-16530836</v>
      </c>
      <c r="E500" s="18">
        <f>Sensitivity!$AI$226</f>
        <v/>
      </c>
      <c r="F500" s="8">
        <f>$E500-$D500</f>
        <v/>
      </c>
      <c r="G500" s="8">
        <f>IF(ABS($F500)&lt;=tol_grid_inr,"PASS","FAIL")</f>
        <v/>
      </c>
    </row>
    <row r="501">
      <c r="A501" s="7" t="inlineStr">
        <is>
          <t>first_eligible_long_lane</t>
        </is>
      </c>
      <c r="B501" s="20" t="n">
        <v>-20</v>
      </c>
      <c r="C501" s="28" t="n">
        <v>78</v>
      </c>
      <c r="D501" s="23" t="n">
        <v>-12917660</v>
      </c>
      <c r="E501" s="18">
        <f>Sensitivity!$AI$227</f>
        <v/>
      </c>
      <c r="F501" s="8">
        <f>$E501-$D501</f>
        <v/>
      </c>
      <c r="G501" s="8">
        <f>IF(ABS($F501)&lt;=tol_grid_inr,"PASS","FAIL")</f>
        <v/>
      </c>
    </row>
    <row r="502">
      <c r="A502" s="7" t="inlineStr">
        <is>
          <t>first_eligible_long_lane</t>
        </is>
      </c>
      <c r="B502" s="20" t="n">
        <v>-15</v>
      </c>
      <c r="C502" s="28" t="n">
        <v>78</v>
      </c>
      <c r="D502" s="23" t="n">
        <v>-9304484</v>
      </c>
      <c r="E502" s="18">
        <f>Sensitivity!$AI$228</f>
        <v/>
      </c>
      <c r="F502" s="8">
        <f>$E502-$D502</f>
        <v/>
      </c>
      <c r="G502" s="8">
        <f>IF(ABS($F502)&lt;=tol_grid_inr,"PASS","FAIL")</f>
        <v/>
      </c>
    </row>
    <row r="503">
      <c r="A503" s="7" t="inlineStr">
        <is>
          <t>first_eligible_long_lane</t>
        </is>
      </c>
      <c r="B503" s="20" t="n">
        <v>-10</v>
      </c>
      <c r="C503" s="28" t="n">
        <v>78</v>
      </c>
      <c r="D503" s="23" t="n">
        <v>-5691308</v>
      </c>
      <c r="E503" s="18">
        <f>Sensitivity!$AI$229</f>
        <v/>
      </c>
      <c r="F503" s="8">
        <f>$E503-$D503</f>
        <v/>
      </c>
      <c r="G503" s="8">
        <f>IF(ABS($F503)&lt;=tol_grid_inr,"PASS","FAIL")</f>
        <v/>
      </c>
    </row>
    <row r="504">
      <c r="A504" s="7" t="inlineStr">
        <is>
          <t>first_eligible_long_lane</t>
        </is>
      </c>
      <c r="B504" s="20" t="n">
        <v>-5</v>
      </c>
      <c r="C504" s="28" t="n">
        <v>78</v>
      </c>
      <c r="D504" s="23" t="n">
        <v>-2078132</v>
      </c>
      <c r="E504" s="18">
        <f>Sensitivity!$AI$230</f>
        <v/>
      </c>
      <c r="F504" s="8">
        <f>$E504-$D504</f>
        <v/>
      </c>
      <c r="G504" s="8">
        <f>IF(ABS($F504)&lt;=tol_grid_inr,"PASS","FAIL")</f>
        <v/>
      </c>
    </row>
    <row r="505">
      <c r="A505" s="7" t="inlineStr">
        <is>
          <t>first_eligible_long_lane</t>
        </is>
      </c>
      <c r="B505" s="20" t="n">
        <v>0</v>
      </c>
      <c r="C505" s="28" t="n">
        <v>78</v>
      </c>
      <c r="D505" s="23" t="n">
        <v>1535044</v>
      </c>
      <c r="E505" s="18">
        <f>Sensitivity!$AI$231</f>
        <v/>
      </c>
      <c r="F505" s="8">
        <f>$E505-$D505</f>
        <v/>
      </c>
      <c r="G505" s="8">
        <f>IF(ABS($F505)&lt;=tol_grid_inr,"PASS","FAIL")</f>
        <v/>
      </c>
    </row>
    <row r="506">
      <c r="A506" s="7" t="inlineStr">
        <is>
          <t>first_eligible_long_lane</t>
        </is>
      </c>
      <c r="B506" s="20" t="n">
        <v>5</v>
      </c>
      <c r="C506" s="28" t="n">
        <v>78</v>
      </c>
      <c r="D506" s="23" t="n">
        <v>5148220</v>
      </c>
      <c r="E506" s="18">
        <f>Sensitivity!$AI$232</f>
        <v/>
      </c>
      <c r="F506" s="8">
        <f>$E506-$D506</f>
        <v/>
      </c>
      <c r="G506" s="8">
        <f>IF(ABS($F506)&lt;=tol_grid_inr,"PASS","FAIL")</f>
        <v/>
      </c>
    </row>
    <row r="507">
      <c r="A507" s="7" t="inlineStr">
        <is>
          <t>first_eligible_long_lane</t>
        </is>
      </c>
      <c r="B507" s="20" t="n">
        <v>10</v>
      </c>
      <c r="C507" s="28" t="n">
        <v>78</v>
      </c>
      <c r="D507" s="23" t="n">
        <v>8761396</v>
      </c>
      <c r="E507" s="18">
        <f>Sensitivity!$AI$233</f>
        <v/>
      </c>
      <c r="F507" s="8">
        <f>$E507-$D507</f>
        <v/>
      </c>
      <c r="G507" s="8">
        <f>IF(ABS($F507)&lt;=tol_grid_inr,"PASS","FAIL")</f>
        <v/>
      </c>
    </row>
    <row r="508">
      <c r="A508" s="7" t="inlineStr">
        <is>
          <t>first_eligible_long_lane</t>
        </is>
      </c>
      <c r="B508" s="20" t="n">
        <v>-30</v>
      </c>
      <c r="C508" s="28" t="n">
        <v>79</v>
      </c>
      <c r="D508" s="23" t="n">
        <v>-19495493</v>
      </c>
      <c r="E508" s="18">
        <f>Sensitivity!$AI$234</f>
        <v/>
      </c>
      <c r="F508" s="8">
        <f>$E508-$D508</f>
        <v/>
      </c>
      <c r="G508" s="8">
        <f>IF(ABS($F508)&lt;=tol_grid_inr,"PASS","FAIL")</f>
        <v/>
      </c>
    </row>
    <row r="509">
      <c r="A509" s="7" t="inlineStr">
        <is>
          <t>first_eligible_long_lane</t>
        </is>
      </c>
      <c r="B509" s="20" t="n">
        <v>-25</v>
      </c>
      <c r="C509" s="28" t="n">
        <v>79</v>
      </c>
      <c r="D509" s="23" t="n">
        <v>-15835994</v>
      </c>
      <c r="E509" s="18">
        <f>Sensitivity!$AI$235</f>
        <v/>
      </c>
      <c r="F509" s="8">
        <f>$E509-$D509</f>
        <v/>
      </c>
      <c r="G509" s="8">
        <f>IF(ABS($F509)&lt;=tol_grid_inr,"PASS","FAIL")</f>
        <v/>
      </c>
    </row>
    <row r="510">
      <c r="A510" s="7" t="inlineStr">
        <is>
          <t>first_eligible_long_lane</t>
        </is>
      </c>
      <c r="B510" s="20" t="n">
        <v>-20</v>
      </c>
      <c r="C510" s="28" t="n">
        <v>79</v>
      </c>
      <c r="D510" s="23" t="n">
        <v>-12176496</v>
      </c>
      <c r="E510" s="18">
        <f>Sensitivity!$AI$236</f>
        <v/>
      </c>
      <c r="F510" s="8">
        <f>$E510-$D510</f>
        <v/>
      </c>
      <c r="G510" s="8">
        <f>IF(ABS($F510)&lt;=tol_grid_inr,"PASS","FAIL")</f>
        <v/>
      </c>
    </row>
    <row r="511">
      <c r="A511" s="7" t="inlineStr">
        <is>
          <t>first_eligible_long_lane</t>
        </is>
      </c>
      <c r="B511" s="20" t="n">
        <v>-15</v>
      </c>
      <c r="C511" s="28" t="n">
        <v>79</v>
      </c>
      <c r="D511" s="23" t="n">
        <v>-8516997</v>
      </c>
      <c r="E511" s="18">
        <f>Sensitivity!$AI$237</f>
        <v/>
      </c>
      <c r="F511" s="8">
        <f>$E511-$D511</f>
        <v/>
      </c>
      <c r="G511" s="8">
        <f>IF(ABS($F511)&lt;=tol_grid_inr,"PASS","FAIL")</f>
        <v/>
      </c>
    </row>
    <row r="512">
      <c r="A512" s="7" t="inlineStr">
        <is>
          <t>first_eligible_long_lane</t>
        </is>
      </c>
      <c r="B512" s="20" t="n">
        <v>-10</v>
      </c>
      <c r="C512" s="28" t="n">
        <v>79</v>
      </c>
      <c r="D512" s="23" t="n">
        <v>-4857498</v>
      </c>
      <c r="E512" s="18">
        <f>Sensitivity!$AI$238</f>
        <v/>
      </c>
      <c r="F512" s="8">
        <f>$E512-$D512</f>
        <v/>
      </c>
      <c r="G512" s="8">
        <f>IF(ABS($F512)&lt;=tol_grid_inr,"PASS","FAIL")</f>
        <v/>
      </c>
    </row>
    <row r="513">
      <c r="A513" s="7" t="inlineStr">
        <is>
          <t>first_eligible_long_lane</t>
        </is>
      </c>
      <c r="B513" s="20" t="n">
        <v>-5</v>
      </c>
      <c r="C513" s="28" t="n">
        <v>79</v>
      </c>
      <c r="D513" s="23" t="n">
        <v>-1197999</v>
      </c>
      <c r="E513" s="18">
        <f>Sensitivity!$AI$239</f>
        <v/>
      </c>
      <c r="F513" s="8">
        <f>$E513-$D513</f>
        <v/>
      </c>
      <c r="G513" s="8">
        <f>IF(ABS($F513)&lt;=tol_grid_inr,"PASS","FAIL")</f>
        <v/>
      </c>
    </row>
    <row r="514">
      <c r="A514" s="7" t="inlineStr">
        <is>
          <t>first_eligible_long_lane</t>
        </is>
      </c>
      <c r="B514" s="20" t="n">
        <v>0</v>
      </c>
      <c r="C514" s="28" t="n">
        <v>79</v>
      </c>
      <c r="D514" s="23" t="n">
        <v>2461499</v>
      </c>
      <c r="E514" s="18">
        <f>Sensitivity!$AI$240</f>
        <v/>
      </c>
      <c r="F514" s="8">
        <f>$E514-$D514</f>
        <v/>
      </c>
      <c r="G514" s="8">
        <f>IF(ABS($F514)&lt;=tol_grid_inr,"PASS","FAIL")</f>
        <v/>
      </c>
    </row>
    <row r="515">
      <c r="A515" s="7" t="inlineStr">
        <is>
          <t>first_eligible_long_lane</t>
        </is>
      </c>
      <c r="B515" s="20" t="n">
        <v>5</v>
      </c>
      <c r="C515" s="28" t="n">
        <v>79</v>
      </c>
      <c r="D515" s="23" t="n">
        <v>6120998</v>
      </c>
      <c r="E515" s="18">
        <f>Sensitivity!$AI$241</f>
        <v/>
      </c>
      <c r="F515" s="8">
        <f>$E515-$D515</f>
        <v/>
      </c>
      <c r="G515" s="8">
        <f>IF(ABS($F515)&lt;=tol_grid_inr,"PASS","FAIL")</f>
        <v/>
      </c>
    </row>
    <row r="516">
      <c r="A516" s="7" t="inlineStr">
        <is>
          <t>first_eligible_long_lane</t>
        </is>
      </c>
      <c r="B516" s="20" t="n">
        <v>10</v>
      </c>
      <c r="C516" s="28" t="n">
        <v>79</v>
      </c>
      <c r="D516" s="23" t="n">
        <v>9780497</v>
      </c>
      <c r="E516" s="18">
        <f>Sensitivity!$AI$242</f>
        <v/>
      </c>
      <c r="F516" s="8">
        <f>$E516-$D516</f>
        <v/>
      </c>
      <c r="G516" s="8">
        <f>IF(ABS($F516)&lt;=tol_grid_inr,"PASS","FAIL")</f>
        <v/>
      </c>
    </row>
    <row r="517">
      <c r="A517" s="7" t="inlineStr">
        <is>
          <t>first_eligible_long_lane</t>
        </is>
      </c>
      <c r="B517" s="20" t="n">
        <v>-30</v>
      </c>
      <c r="C517" s="28" t="n">
        <v>80</v>
      </c>
      <c r="D517" s="23" t="n">
        <v>-18846974</v>
      </c>
      <c r="E517" s="18">
        <f>Sensitivity!$AI$243</f>
        <v/>
      </c>
      <c r="F517" s="8">
        <f>$E517-$D517</f>
        <v/>
      </c>
      <c r="G517" s="8">
        <f>IF(ABS($F517)&lt;=tol_grid_inr,"PASS","FAIL")</f>
        <v/>
      </c>
    </row>
    <row r="518">
      <c r="A518" s="7" t="inlineStr">
        <is>
          <t>first_eligible_long_lane</t>
        </is>
      </c>
      <c r="B518" s="20" t="n">
        <v>-25</v>
      </c>
      <c r="C518" s="28" t="n">
        <v>80</v>
      </c>
      <c r="D518" s="23" t="n">
        <v>-15141153</v>
      </c>
      <c r="E518" s="18">
        <f>Sensitivity!$AI$244</f>
        <v/>
      </c>
      <c r="F518" s="8">
        <f>$E518-$D518</f>
        <v/>
      </c>
      <c r="G518" s="8">
        <f>IF(ABS($F518)&lt;=tol_grid_inr,"PASS","FAIL")</f>
        <v/>
      </c>
    </row>
    <row r="519">
      <c r="A519" s="7" t="inlineStr">
        <is>
          <t>first_eligible_long_lane</t>
        </is>
      </c>
      <c r="B519" s="20" t="n">
        <v>-20</v>
      </c>
      <c r="C519" s="28" t="n">
        <v>80</v>
      </c>
      <c r="D519" s="23" t="n">
        <v>-11435331</v>
      </c>
      <c r="E519" s="18">
        <f>Sensitivity!$AI$245</f>
        <v/>
      </c>
      <c r="F519" s="8">
        <f>$E519-$D519</f>
        <v/>
      </c>
      <c r="G519" s="8">
        <f>IF(ABS($F519)&lt;=tol_grid_inr,"PASS","FAIL")</f>
        <v/>
      </c>
    </row>
    <row r="520">
      <c r="A520" s="7" t="inlineStr">
        <is>
          <t>first_eligible_long_lane</t>
        </is>
      </c>
      <c r="B520" s="20" t="n">
        <v>-15</v>
      </c>
      <c r="C520" s="28" t="n">
        <v>80</v>
      </c>
      <c r="D520" s="23" t="n">
        <v>-7729510</v>
      </c>
      <c r="E520" s="18">
        <f>Sensitivity!$AI$246</f>
        <v/>
      </c>
      <c r="F520" s="8">
        <f>$E520-$D520</f>
        <v/>
      </c>
      <c r="G520" s="8">
        <f>IF(ABS($F520)&lt;=tol_grid_inr,"PASS","FAIL")</f>
        <v/>
      </c>
    </row>
    <row r="521">
      <c r="A521" s="7" t="inlineStr">
        <is>
          <t>first_eligible_long_lane</t>
        </is>
      </c>
      <c r="B521" s="20" t="n">
        <v>-10</v>
      </c>
      <c r="C521" s="28" t="n">
        <v>80</v>
      </c>
      <c r="D521" s="23" t="n">
        <v>-4023688</v>
      </c>
      <c r="E521" s="18">
        <f>Sensitivity!$AI$247</f>
        <v/>
      </c>
      <c r="F521" s="8">
        <f>$E521-$D521</f>
        <v/>
      </c>
      <c r="G521" s="8">
        <f>IF(ABS($F521)&lt;=tol_grid_inr,"PASS","FAIL")</f>
        <v/>
      </c>
    </row>
    <row r="522">
      <c r="A522" s="7" t="inlineStr">
        <is>
          <t>first_eligible_long_lane</t>
        </is>
      </c>
      <c r="B522" s="20" t="n">
        <v>-5</v>
      </c>
      <c r="C522" s="28" t="n">
        <v>80</v>
      </c>
      <c r="D522" s="23" t="n">
        <v>-317867</v>
      </c>
      <c r="E522" s="18">
        <f>Sensitivity!$AI$248</f>
        <v/>
      </c>
      <c r="F522" s="8">
        <f>$E522-$D522</f>
        <v/>
      </c>
      <c r="G522" s="8">
        <f>IF(ABS($F522)&lt;=tol_grid_inr,"PASS","FAIL")</f>
        <v/>
      </c>
    </row>
    <row r="523">
      <c r="A523" s="7" t="inlineStr">
        <is>
          <t>first_eligible_long_lane</t>
        </is>
      </c>
      <c r="B523" s="20" t="n">
        <v>0</v>
      </c>
      <c r="C523" s="28" t="n">
        <v>80</v>
      </c>
      <c r="D523" s="23" t="n">
        <v>3387955</v>
      </c>
      <c r="E523" s="18">
        <f>Sensitivity!$AI$249</f>
        <v/>
      </c>
      <c r="F523" s="8">
        <f>$E523-$D523</f>
        <v/>
      </c>
      <c r="G523" s="8">
        <f>IF(ABS($F523)&lt;=tol_grid_inr,"PASS","FAIL")</f>
        <v/>
      </c>
    </row>
    <row r="524">
      <c r="A524" s="7" t="inlineStr">
        <is>
          <t>first_eligible_long_lane</t>
        </is>
      </c>
      <c r="B524" s="20" t="n">
        <v>5</v>
      </c>
      <c r="C524" s="28" t="n">
        <v>80</v>
      </c>
      <c r="D524" s="23" t="n">
        <v>7093776</v>
      </c>
      <c r="E524" s="18">
        <f>Sensitivity!$AI$250</f>
        <v/>
      </c>
      <c r="F524" s="8">
        <f>$E524-$D524</f>
        <v/>
      </c>
      <c r="G524" s="8">
        <f>IF(ABS($F524)&lt;=tol_grid_inr,"PASS","FAIL")</f>
        <v/>
      </c>
    </row>
    <row r="525">
      <c r="A525" s="7" t="inlineStr">
        <is>
          <t>first_eligible_long_lane</t>
        </is>
      </c>
      <c r="B525" s="20" t="n">
        <v>10</v>
      </c>
      <c r="C525" s="28" t="n">
        <v>80</v>
      </c>
      <c r="D525" s="23" t="n">
        <v>10799598</v>
      </c>
      <c r="E525" s="18">
        <f>Sensitivity!$AI$251</f>
        <v/>
      </c>
      <c r="F525" s="8">
        <f>$E525-$D525</f>
        <v/>
      </c>
      <c r="G525" s="8">
        <f>IF(ABS($F525)&lt;=tol_grid_inr,"PASS","FAIL")</f>
        <v/>
      </c>
    </row>
    <row r="526">
      <c r="A526" s="7" t="inlineStr">
        <is>
          <t>first_eligible_long_lane</t>
        </is>
      </c>
      <c r="B526" s="20" t="n">
        <v>-30</v>
      </c>
      <c r="C526" s="28" t="n">
        <v>81</v>
      </c>
      <c r="D526" s="23" t="n">
        <v>-18198455</v>
      </c>
      <c r="E526" s="18">
        <f>Sensitivity!$AI$252</f>
        <v/>
      </c>
      <c r="F526" s="8">
        <f>$E526-$D526</f>
        <v/>
      </c>
      <c r="G526" s="8">
        <f>IF(ABS($F526)&lt;=tol_grid_inr,"PASS","FAIL")</f>
        <v/>
      </c>
    </row>
    <row r="527">
      <c r="A527" s="7" t="inlineStr">
        <is>
          <t>first_eligible_long_lane</t>
        </is>
      </c>
      <c r="B527" s="20" t="n">
        <v>-25</v>
      </c>
      <c r="C527" s="28" t="n">
        <v>81</v>
      </c>
      <c r="D527" s="23" t="n">
        <v>-14446311</v>
      </c>
      <c r="E527" s="18">
        <f>Sensitivity!$AI$253</f>
        <v/>
      </c>
      <c r="F527" s="8">
        <f>$E527-$D527</f>
        <v/>
      </c>
      <c r="G527" s="8">
        <f>IF(ABS($F527)&lt;=tol_grid_inr,"PASS","FAIL")</f>
        <v/>
      </c>
    </row>
    <row r="528">
      <c r="A528" s="7" t="inlineStr">
        <is>
          <t>first_eligible_long_lane</t>
        </is>
      </c>
      <c r="B528" s="20" t="n">
        <v>-20</v>
      </c>
      <c r="C528" s="28" t="n">
        <v>81</v>
      </c>
      <c r="D528" s="23" t="n">
        <v>-10694167</v>
      </c>
      <c r="E528" s="18">
        <f>Sensitivity!$AI$254</f>
        <v/>
      </c>
      <c r="F528" s="8">
        <f>$E528-$D528</f>
        <v/>
      </c>
      <c r="G528" s="8">
        <f>IF(ABS($F528)&lt;=tol_grid_inr,"PASS","FAIL")</f>
        <v/>
      </c>
    </row>
    <row r="529">
      <c r="A529" s="7" t="inlineStr">
        <is>
          <t>first_eligible_long_lane</t>
        </is>
      </c>
      <c r="B529" s="20" t="n">
        <v>-15</v>
      </c>
      <c r="C529" s="28" t="n">
        <v>81</v>
      </c>
      <c r="D529" s="23" t="n">
        <v>-6942023</v>
      </c>
      <c r="E529" s="18">
        <f>Sensitivity!$AI$255</f>
        <v/>
      </c>
      <c r="F529" s="8">
        <f>$E529-$D529</f>
        <v/>
      </c>
      <c r="G529" s="8">
        <f>IF(ABS($F529)&lt;=tol_grid_inr,"PASS","FAIL")</f>
        <v/>
      </c>
    </row>
    <row r="530">
      <c r="A530" s="7" t="inlineStr">
        <is>
          <t>first_eligible_long_lane</t>
        </is>
      </c>
      <c r="B530" s="20" t="n">
        <v>-10</v>
      </c>
      <c r="C530" s="28" t="n">
        <v>81</v>
      </c>
      <c r="D530" s="23" t="n">
        <v>-3189878</v>
      </c>
      <c r="E530" s="18">
        <f>Sensitivity!$AI$256</f>
        <v/>
      </c>
      <c r="F530" s="8">
        <f>$E530-$D530</f>
        <v/>
      </c>
      <c r="G530" s="8">
        <f>IF(ABS($F530)&lt;=tol_grid_inr,"PASS","FAIL")</f>
        <v/>
      </c>
    </row>
    <row r="531">
      <c r="A531" s="7" t="inlineStr">
        <is>
          <t>first_eligible_long_lane</t>
        </is>
      </c>
      <c r="B531" s="20" t="n">
        <v>-5</v>
      </c>
      <c r="C531" s="28" t="n">
        <v>81</v>
      </c>
      <c r="D531" s="23" t="n">
        <v>562266</v>
      </c>
      <c r="E531" s="18">
        <f>Sensitivity!$AI$257</f>
        <v/>
      </c>
      <c r="F531" s="8">
        <f>$E531-$D531</f>
        <v/>
      </c>
      <c r="G531" s="8">
        <f>IF(ABS($F531)&lt;=tol_grid_inr,"PASS","FAIL")</f>
        <v/>
      </c>
    </row>
    <row r="532">
      <c r="A532" s="7" t="inlineStr">
        <is>
          <t>first_eligible_long_lane</t>
        </is>
      </c>
      <c r="B532" s="20" t="n">
        <v>0</v>
      </c>
      <c r="C532" s="28" t="n">
        <v>81</v>
      </c>
      <c r="D532" s="23" t="n">
        <v>4314410</v>
      </c>
      <c r="E532" s="18">
        <f>Sensitivity!$AI$258</f>
        <v/>
      </c>
      <c r="F532" s="8">
        <f>$E532-$D532</f>
        <v/>
      </c>
      <c r="G532" s="8">
        <f>IF(ABS($F532)&lt;=tol_grid_inr,"PASS","FAIL")</f>
        <v/>
      </c>
    </row>
    <row r="533">
      <c r="A533" s="7" t="inlineStr">
        <is>
          <t>first_eligible_long_lane</t>
        </is>
      </c>
      <c r="B533" s="20" t="n">
        <v>5</v>
      </c>
      <c r="C533" s="28" t="n">
        <v>81</v>
      </c>
      <c r="D533" s="23" t="n">
        <v>8066554</v>
      </c>
      <c r="E533" s="18">
        <f>Sensitivity!$AI$259</f>
        <v/>
      </c>
      <c r="F533" s="8">
        <f>$E533-$D533</f>
        <v/>
      </c>
      <c r="G533" s="8">
        <f>IF(ABS($F533)&lt;=tol_grid_inr,"PASS","FAIL")</f>
        <v/>
      </c>
    </row>
    <row r="534">
      <c r="A534" s="7" t="inlineStr">
        <is>
          <t>first_eligible_long_lane</t>
        </is>
      </c>
      <c r="B534" s="20" t="n">
        <v>10</v>
      </c>
      <c r="C534" s="28" t="n">
        <v>81</v>
      </c>
      <c r="D534" s="23" t="n">
        <v>11818699</v>
      </c>
      <c r="E534" s="18">
        <f>Sensitivity!$AI$260</f>
        <v/>
      </c>
      <c r="F534" s="8">
        <f>$E534-$D534</f>
        <v/>
      </c>
      <c r="G534" s="8">
        <f>IF(ABS($F534)&lt;=tol_grid_inr,"PASS","FAIL")</f>
        <v/>
      </c>
    </row>
    <row r="535">
      <c r="A535" s="7" t="inlineStr">
        <is>
          <t>first_eligible_long_lane</t>
        </is>
      </c>
      <c r="B535" s="20" t="n">
        <v>-30</v>
      </c>
      <c r="C535" s="28" t="n">
        <v>82</v>
      </c>
      <c r="D535" s="23" t="n">
        <v>-17549937</v>
      </c>
      <c r="E535" s="18">
        <f>Sensitivity!$AI$261</f>
        <v/>
      </c>
      <c r="F535" s="8">
        <f>$E535-$D535</f>
        <v/>
      </c>
      <c r="G535" s="8">
        <f>IF(ABS($F535)&lt;=tol_grid_inr,"PASS","FAIL")</f>
        <v/>
      </c>
    </row>
    <row r="536">
      <c r="A536" s="7" t="inlineStr">
        <is>
          <t>first_eligible_long_lane</t>
        </is>
      </c>
      <c r="B536" s="20" t="n">
        <v>-25</v>
      </c>
      <c r="C536" s="28" t="n">
        <v>82</v>
      </c>
      <c r="D536" s="23" t="n">
        <v>-13751470</v>
      </c>
      <c r="E536" s="18">
        <f>Sensitivity!$AI$262</f>
        <v/>
      </c>
      <c r="F536" s="8">
        <f>$E536-$D536</f>
        <v/>
      </c>
      <c r="G536" s="8">
        <f>IF(ABS($F536)&lt;=tol_grid_inr,"PASS","FAIL")</f>
        <v/>
      </c>
    </row>
    <row r="537">
      <c r="A537" s="7" t="inlineStr">
        <is>
          <t>first_eligible_long_lane</t>
        </is>
      </c>
      <c r="B537" s="20" t="n">
        <v>-20</v>
      </c>
      <c r="C537" s="28" t="n">
        <v>82</v>
      </c>
      <c r="D537" s="23" t="n">
        <v>-9953003</v>
      </c>
      <c r="E537" s="18">
        <f>Sensitivity!$AI$263</f>
        <v/>
      </c>
      <c r="F537" s="8">
        <f>$E537-$D537</f>
        <v/>
      </c>
      <c r="G537" s="8">
        <f>IF(ABS($F537)&lt;=tol_grid_inr,"PASS","FAIL")</f>
        <v/>
      </c>
    </row>
    <row r="538">
      <c r="A538" s="7" t="inlineStr">
        <is>
          <t>first_eligible_long_lane</t>
        </is>
      </c>
      <c r="B538" s="20" t="n">
        <v>-15</v>
      </c>
      <c r="C538" s="28" t="n">
        <v>82</v>
      </c>
      <c r="D538" s="23" t="n">
        <v>-6154536</v>
      </c>
      <c r="E538" s="18">
        <f>Sensitivity!$AI$264</f>
        <v/>
      </c>
      <c r="F538" s="8">
        <f>$E538-$D538</f>
        <v/>
      </c>
      <c r="G538" s="8">
        <f>IF(ABS($F538)&lt;=tol_grid_inr,"PASS","FAIL")</f>
        <v/>
      </c>
    </row>
    <row r="539">
      <c r="A539" s="7" t="inlineStr">
        <is>
          <t>first_eligible_long_lane</t>
        </is>
      </c>
      <c r="B539" s="20" t="n">
        <v>-10</v>
      </c>
      <c r="C539" s="28" t="n">
        <v>82</v>
      </c>
      <c r="D539" s="23" t="n">
        <v>-2356069</v>
      </c>
      <c r="E539" s="18">
        <f>Sensitivity!$AI$265</f>
        <v/>
      </c>
      <c r="F539" s="8">
        <f>$E539-$D539</f>
        <v/>
      </c>
      <c r="G539" s="8">
        <f>IF(ABS($F539)&lt;=tol_grid_inr,"PASS","FAIL")</f>
        <v/>
      </c>
    </row>
    <row r="540">
      <c r="A540" s="7" t="inlineStr">
        <is>
          <t>first_eligible_long_lane</t>
        </is>
      </c>
      <c r="B540" s="20" t="n">
        <v>-5</v>
      </c>
      <c r="C540" s="28" t="n">
        <v>82</v>
      </c>
      <c r="D540" s="23" t="n">
        <v>1442398</v>
      </c>
      <c r="E540" s="18">
        <f>Sensitivity!$AI$266</f>
        <v/>
      </c>
      <c r="F540" s="8">
        <f>$E540-$D540</f>
        <v/>
      </c>
      <c r="G540" s="8">
        <f>IF(ABS($F540)&lt;=tol_grid_inr,"PASS","FAIL")</f>
        <v/>
      </c>
    </row>
    <row r="541">
      <c r="A541" s="7" t="inlineStr">
        <is>
          <t>first_eligible_long_lane</t>
        </is>
      </c>
      <c r="B541" s="20" t="n">
        <v>0</v>
      </c>
      <c r="C541" s="28" t="n">
        <v>82</v>
      </c>
      <c r="D541" s="23" t="n">
        <v>5240865</v>
      </c>
      <c r="E541" s="18">
        <f>Sensitivity!$AI$267</f>
        <v/>
      </c>
      <c r="F541" s="8">
        <f>$E541-$D541</f>
        <v/>
      </c>
      <c r="G541" s="8">
        <f>IF(ABS($F541)&lt;=tol_grid_inr,"PASS","FAIL")</f>
        <v/>
      </c>
    </row>
    <row r="542">
      <c r="A542" s="7" t="inlineStr">
        <is>
          <t>first_eligible_long_lane</t>
        </is>
      </c>
      <c r="B542" s="20" t="n">
        <v>5</v>
      </c>
      <c r="C542" s="28" t="n">
        <v>82</v>
      </c>
      <c r="D542" s="23" t="n">
        <v>9039332</v>
      </c>
      <c r="E542" s="18">
        <f>Sensitivity!$AI$268</f>
        <v/>
      </c>
      <c r="F542" s="8">
        <f>$E542-$D542</f>
        <v/>
      </c>
      <c r="G542" s="8">
        <f>IF(ABS($F542)&lt;=tol_grid_inr,"PASS","FAIL")</f>
        <v/>
      </c>
    </row>
    <row r="543">
      <c r="A543" s="7" t="inlineStr">
        <is>
          <t>first_eligible_long_lane</t>
        </is>
      </c>
      <c r="B543" s="20" t="n">
        <v>10</v>
      </c>
      <c r="C543" s="28" t="n">
        <v>82</v>
      </c>
      <c r="D543" s="23" t="n">
        <v>12837799</v>
      </c>
      <c r="E543" s="18">
        <f>Sensitivity!$AI$269</f>
        <v/>
      </c>
      <c r="F543" s="8">
        <f>$E543-$D543</f>
        <v/>
      </c>
      <c r="G543" s="8">
        <f>IF(ABS($F543)&lt;=tol_grid_inr,"PASS","FAIL")</f>
        <v/>
      </c>
    </row>
    <row r="544">
      <c r="A544" s="7" t="inlineStr">
        <is>
          <t>first_eligible_long_lane</t>
        </is>
      </c>
      <c r="B544" s="20" t="n">
        <v>-30</v>
      </c>
      <c r="C544" s="28" t="n">
        <v>76.34310000000001</v>
      </c>
      <c r="D544" s="23" t="n">
        <v>-21218543</v>
      </c>
      <c r="E544" s="18">
        <f>Sensitivity!$AI$270</f>
        <v/>
      </c>
      <c r="F544" s="8">
        <f>$E544-$D544</f>
        <v/>
      </c>
      <c r="G544" s="8">
        <f>IF(ABS($F544)&lt;=tol_grid_inr,"PASS","FAIL")</f>
        <v/>
      </c>
    </row>
    <row r="545">
      <c r="A545" s="7" t="inlineStr">
        <is>
          <t>first_eligible_long_lane</t>
        </is>
      </c>
      <c r="B545" s="20" t="n">
        <v>-25</v>
      </c>
      <c r="C545" s="28" t="n">
        <v>76.34310000000001</v>
      </c>
      <c r="D545" s="23" t="n">
        <v>-17682119</v>
      </c>
      <c r="E545" s="18">
        <f>Sensitivity!$AI$271</f>
        <v/>
      </c>
      <c r="F545" s="8">
        <f>$E545-$D545</f>
        <v/>
      </c>
      <c r="G545" s="8">
        <f>IF(ABS($F545)&lt;=tol_grid_inr,"PASS","FAIL")</f>
        <v/>
      </c>
    </row>
    <row r="546">
      <c r="A546" s="7" t="inlineStr">
        <is>
          <t>first_eligible_long_lane</t>
        </is>
      </c>
      <c r="B546" s="20" t="n">
        <v>-20</v>
      </c>
      <c r="C546" s="28" t="n">
        <v>76.34310000000001</v>
      </c>
      <c r="D546" s="23" t="n">
        <v>-14145695</v>
      </c>
      <c r="E546" s="18">
        <f>Sensitivity!$AI$272</f>
        <v/>
      </c>
      <c r="F546" s="8">
        <f>$E546-$D546</f>
        <v/>
      </c>
      <c r="G546" s="8">
        <f>IF(ABS($F546)&lt;=tol_grid_inr,"PASS","FAIL")</f>
        <v/>
      </c>
    </row>
    <row r="547">
      <c r="A547" s="7" t="inlineStr">
        <is>
          <t>first_eligible_long_lane</t>
        </is>
      </c>
      <c r="B547" s="20" t="n">
        <v>-15</v>
      </c>
      <c r="C547" s="28" t="n">
        <v>76.34310000000001</v>
      </c>
      <c r="D547" s="23" t="n">
        <v>-10609271</v>
      </c>
      <c r="E547" s="18">
        <f>Sensitivity!$AI$273</f>
        <v/>
      </c>
      <c r="F547" s="8">
        <f>$E547-$D547</f>
        <v/>
      </c>
      <c r="G547" s="8">
        <f>IF(ABS($F547)&lt;=tol_grid_inr,"PASS","FAIL")</f>
        <v/>
      </c>
    </row>
    <row r="548">
      <c r="A548" s="7" t="inlineStr">
        <is>
          <t>first_eligible_long_lane</t>
        </is>
      </c>
      <c r="B548" s="20" t="n">
        <v>-10</v>
      </c>
      <c r="C548" s="28" t="n">
        <v>76.34310000000001</v>
      </c>
      <c r="D548" s="23" t="n">
        <v>-7072848</v>
      </c>
      <c r="E548" s="18">
        <f>Sensitivity!$AI$274</f>
        <v/>
      </c>
      <c r="F548" s="8">
        <f>$E548-$D548</f>
        <v/>
      </c>
      <c r="G548" s="8">
        <f>IF(ABS($F548)&lt;=tol_grid_inr,"PASS","FAIL")</f>
        <v/>
      </c>
    </row>
    <row r="549">
      <c r="A549" s="7" t="inlineStr">
        <is>
          <t>first_eligible_long_lane</t>
        </is>
      </c>
      <c r="B549" s="20" t="n">
        <v>-5</v>
      </c>
      <c r="C549" s="28" t="n">
        <v>76.34310000000001</v>
      </c>
      <c r="D549" s="23" t="n">
        <v>-3536424</v>
      </c>
      <c r="E549" s="18">
        <f>Sensitivity!$AI$275</f>
        <v/>
      </c>
      <c r="F549" s="8">
        <f>$E549-$D549</f>
        <v/>
      </c>
      <c r="G549" s="8">
        <f>IF(ABS($F549)&lt;=tol_grid_inr,"PASS","FAIL")</f>
        <v/>
      </c>
    </row>
    <row r="550">
      <c r="A550" s="7" t="inlineStr">
        <is>
          <t>first_eligible_long_lane</t>
        </is>
      </c>
      <c r="B550" s="20" t="n">
        <v>0</v>
      </c>
      <c r="C550" s="28" t="n">
        <v>76.34310000000001</v>
      </c>
      <c r="D550" s="23" t="n">
        <v>0</v>
      </c>
      <c r="E550" s="18">
        <f>Sensitivity!$AI$276</f>
        <v/>
      </c>
      <c r="F550" s="8">
        <f>$E550-$D550</f>
        <v/>
      </c>
      <c r="G550" s="8">
        <f>IF(ABS($F550)&lt;=tol_grid_inr,"PASS","FAIL")</f>
        <v/>
      </c>
    </row>
    <row r="551">
      <c r="A551" s="7" t="inlineStr">
        <is>
          <t>first_eligible_long_lane</t>
        </is>
      </c>
      <c r="B551" s="20" t="n">
        <v>5</v>
      </c>
      <c r="C551" s="28" t="n">
        <v>76.34310000000001</v>
      </c>
      <c r="D551" s="23" t="n">
        <v>3536424</v>
      </c>
      <c r="E551" s="18">
        <f>Sensitivity!$AI$277</f>
        <v/>
      </c>
      <c r="F551" s="8">
        <f>$E551-$D551</f>
        <v/>
      </c>
      <c r="G551" s="8">
        <f>IF(ABS($F551)&lt;=tol_grid_inr,"PASS","FAIL")</f>
        <v/>
      </c>
    </row>
    <row r="552">
      <c r="A552" s="7" t="inlineStr">
        <is>
          <t>first_eligible_long_lane</t>
        </is>
      </c>
      <c r="B552" s="20" t="n">
        <v>10</v>
      </c>
      <c r="C552" s="28" t="n">
        <v>76.34310000000001</v>
      </c>
      <c r="D552" s="23" t="n">
        <v>7072848</v>
      </c>
      <c r="E552" s="18">
        <f>Sensitivity!$AI$278</f>
        <v/>
      </c>
      <c r="F552" s="8">
        <f>$E552-$D552</f>
        <v/>
      </c>
      <c r="G552" s="8">
        <f>IF(ABS($F552)&lt;=tol_grid_inr,"PASS","FAIL")</f>
        <v/>
      </c>
    </row>
    <row r="555">
      <c r="A555" s="4" t="inlineStr">
        <is>
          <t>3. Sensitivity — Table 1.5(b) freight × BCD, every grid cell</t>
        </is>
      </c>
    </row>
    <row r="557" ht="30" customHeight="1">
      <c r="A557" s="5" t="inlineStr">
        <is>
          <t>ref_case</t>
        </is>
      </c>
      <c r="B557" s="5" t="inlineStr">
        <is>
          <t>freight_terms</t>
        </is>
      </c>
      <c r="C557" s="5" t="inlineStr">
        <is>
          <t>freight_shock_pct</t>
        </is>
      </c>
      <c r="D557" s="5" t="inlineStr">
        <is>
          <t>bcd_rate_pct</t>
        </is>
      </c>
      <c r="E557" s="5" t="inlineStr">
        <is>
          <t>py_pnl_impact_1000mt_inr</t>
        </is>
      </c>
      <c r="F557" s="5" t="inlineStr">
        <is>
          <t>xl_pnl_impact_1000mt_inr</t>
        </is>
      </c>
      <c r="G557" s="5" t="inlineStr">
        <is>
          <t>diff</t>
        </is>
      </c>
      <c r="H557" s="5" t="inlineStr">
        <is>
          <t>check</t>
        </is>
      </c>
    </row>
    <row r="558">
      <c r="A558" s="7" t="inlineStr">
        <is>
          <t>first_eligible</t>
        </is>
      </c>
      <c r="B558" s="7" t="inlineStr">
        <is>
          <t>FOB_desk_books_freight</t>
        </is>
      </c>
      <c r="C558" s="20" t="n">
        <v>-40</v>
      </c>
      <c r="D558" s="20" t="n">
        <v>0</v>
      </c>
      <c r="E558" s="23" t="n">
        <v>6504037</v>
      </c>
      <c r="F558" s="18">
        <f>Sensitivity!$AE$285</f>
        <v/>
      </c>
      <c r="G558" s="8">
        <f>$F558-$E558</f>
        <v/>
      </c>
      <c r="H558" s="8">
        <f>IF(ABS($G558)&lt;=tol_grid_inr,"PASS","FAIL")</f>
        <v/>
      </c>
    </row>
    <row r="559">
      <c r="A559" s="7" t="inlineStr">
        <is>
          <t>first_eligible</t>
        </is>
      </c>
      <c r="B559" s="7" t="inlineStr">
        <is>
          <t>FOB_desk_books_freight</t>
        </is>
      </c>
      <c r="C559" s="20" t="n">
        <v>-40</v>
      </c>
      <c r="D559" s="20" t="n">
        <v>2.5</v>
      </c>
      <c r="E559" s="23" t="n">
        <v>736129</v>
      </c>
      <c r="F559" s="18">
        <f>Sensitivity!$AE$286</f>
        <v/>
      </c>
      <c r="G559" s="8">
        <f>$F559-$E559</f>
        <v/>
      </c>
      <c r="H559" s="8">
        <f>IF(ABS($G559)&lt;=tol_grid_inr,"PASS","FAIL")</f>
        <v/>
      </c>
    </row>
    <row r="560">
      <c r="A560" s="7" t="inlineStr">
        <is>
          <t>first_eligible</t>
        </is>
      </c>
      <c r="B560" s="7" t="inlineStr">
        <is>
          <t>FOB_desk_books_freight</t>
        </is>
      </c>
      <c r="C560" s="20" t="n">
        <v>-40</v>
      </c>
      <c r="D560" s="20" t="n">
        <v>5</v>
      </c>
      <c r="E560" s="23" t="n">
        <v>-5031779</v>
      </c>
      <c r="F560" s="18">
        <f>Sensitivity!$AE$287</f>
        <v/>
      </c>
      <c r="G560" s="8">
        <f>$F560-$E560</f>
        <v/>
      </c>
      <c r="H560" s="8">
        <f>IF(ABS($G560)&lt;=tol_grid_inr,"PASS","FAIL")</f>
        <v/>
      </c>
    </row>
    <row r="561">
      <c r="A561" s="7" t="inlineStr">
        <is>
          <t>first_eligible</t>
        </is>
      </c>
      <c r="B561" s="7" t="inlineStr">
        <is>
          <t>FOB_desk_books_freight</t>
        </is>
      </c>
      <c r="C561" s="20" t="n">
        <v>-40</v>
      </c>
      <c r="D561" s="20" t="n">
        <v>7.5</v>
      </c>
      <c r="E561" s="23" t="n">
        <v>-10799687</v>
      </c>
      <c r="F561" s="18">
        <f>Sensitivity!$AE$288</f>
        <v/>
      </c>
      <c r="G561" s="8">
        <f>$F561-$E561</f>
        <v/>
      </c>
      <c r="H561" s="8">
        <f>IF(ABS($G561)&lt;=tol_grid_inr,"PASS","FAIL")</f>
        <v/>
      </c>
    </row>
    <row r="562">
      <c r="A562" s="7" t="inlineStr">
        <is>
          <t>first_eligible</t>
        </is>
      </c>
      <c r="B562" s="7" t="inlineStr">
        <is>
          <t>FOB_desk_books_freight</t>
        </is>
      </c>
      <c r="C562" s="20" t="n">
        <v>-40</v>
      </c>
      <c r="D562" s="20" t="n">
        <v>10</v>
      </c>
      <c r="E562" s="23" t="n">
        <v>-16567595</v>
      </c>
      <c r="F562" s="18">
        <f>Sensitivity!$AE$289</f>
        <v/>
      </c>
      <c r="G562" s="8">
        <f>$F562-$E562</f>
        <v/>
      </c>
      <c r="H562" s="8">
        <f>IF(ABS($G562)&lt;=tol_grid_inr,"PASS","FAIL")</f>
        <v/>
      </c>
    </row>
    <row r="563">
      <c r="A563" s="7" t="inlineStr">
        <is>
          <t>first_eligible</t>
        </is>
      </c>
      <c r="B563" s="7" t="inlineStr">
        <is>
          <t>FOB_desk_books_freight</t>
        </is>
      </c>
      <c r="C563" s="20" t="n">
        <v>-20</v>
      </c>
      <c r="D563" s="20" t="n">
        <v>0</v>
      </c>
      <c r="E563" s="23" t="n">
        <v>6145834</v>
      </c>
      <c r="F563" s="18">
        <f>Sensitivity!$AE$290</f>
        <v/>
      </c>
      <c r="G563" s="8">
        <f>$F563-$E563</f>
        <v/>
      </c>
      <c r="H563" s="8">
        <f>IF(ABS($G563)&lt;=tol_grid_inr,"PASS","FAIL")</f>
        <v/>
      </c>
    </row>
    <row r="564">
      <c r="A564" s="7" t="inlineStr">
        <is>
          <t>first_eligible</t>
        </is>
      </c>
      <c r="B564" s="7" t="inlineStr">
        <is>
          <t>FOB_desk_books_freight</t>
        </is>
      </c>
      <c r="C564" s="20" t="n">
        <v>-20</v>
      </c>
      <c r="D564" s="20" t="n">
        <v>2.5</v>
      </c>
      <c r="E564" s="23" t="n">
        <v>368065</v>
      </c>
      <c r="F564" s="18">
        <f>Sensitivity!$AE$291</f>
        <v/>
      </c>
      <c r="G564" s="8">
        <f>$F564-$E564</f>
        <v/>
      </c>
      <c r="H564" s="8">
        <f>IF(ABS($G564)&lt;=tol_grid_inr,"PASS","FAIL")</f>
        <v/>
      </c>
    </row>
    <row r="565">
      <c r="A565" s="7" t="inlineStr">
        <is>
          <t>first_eligible</t>
        </is>
      </c>
      <c r="B565" s="7" t="inlineStr">
        <is>
          <t>FOB_desk_books_freight</t>
        </is>
      </c>
      <c r="C565" s="20" t="n">
        <v>-20</v>
      </c>
      <c r="D565" s="20" t="n">
        <v>5</v>
      </c>
      <c r="E565" s="23" t="n">
        <v>-5409705</v>
      </c>
      <c r="F565" s="18">
        <f>Sensitivity!$AE$292</f>
        <v/>
      </c>
      <c r="G565" s="8">
        <f>$F565-$E565</f>
        <v/>
      </c>
      <c r="H565" s="8">
        <f>IF(ABS($G565)&lt;=tol_grid_inr,"PASS","FAIL")</f>
        <v/>
      </c>
    </row>
    <row r="566">
      <c r="A566" s="7" t="inlineStr">
        <is>
          <t>first_eligible</t>
        </is>
      </c>
      <c r="B566" s="7" t="inlineStr">
        <is>
          <t>FOB_desk_books_freight</t>
        </is>
      </c>
      <c r="C566" s="20" t="n">
        <v>-20</v>
      </c>
      <c r="D566" s="20" t="n">
        <v>7.5</v>
      </c>
      <c r="E566" s="23" t="n">
        <v>-11187474</v>
      </c>
      <c r="F566" s="18">
        <f>Sensitivity!$AE$293</f>
        <v/>
      </c>
      <c r="G566" s="8">
        <f>$F566-$E566</f>
        <v/>
      </c>
      <c r="H566" s="8">
        <f>IF(ABS($G566)&lt;=tol_grid_inr,"PASS","FAIL")</f>
        <v/>
      </c>
    </row>
    <row r="567">
      <c r="A567" s="7" t="inlineStr">
        <is>
          <t>first_eligible</t>
        </is>
      </c>
      <c r="B567" s="7" t="inlineStr">
        <is>
          <t>FOB_desk_books_freight</t>
        </is>
      </c>
      <c r="C567" s="20" t="n">
        <v>-20</v>
      </c>
      <c r="D567" s="20" t="n">
        <v>10</v>
      </c>
      <c r="E567" s="23" t="n">
        <v>-16965243</v>
      </c>
      <c r="F567" s="18">
        <f>Sensitivity!$AE$294</f>
        <v/>
      </c>
      <c r="G567" s="8">
        <f>$F567-$E567</f>
        <v/>
      </c>
      <c r="H567" s="8">
        <f>IF(ABS($G567)&lt;=tol_grid_inr,"PASS","FAIL")</f>
        <v/>
      </c>
    </row>
    <row r="568">
      <c r="A568" s="7" t="inlineStr">
        <is>
          <t>first_eligible</t>
        </is>
      </c>
      <c r="B568" s="7" t="inlineStr">
        <is>
          <t>FOB_desk_books_freight</t>
        </is>
      </c>
      <c r="C568" s="20" t="n">
        <v>0</v>
      </c>
      <c r="D568" s="20" t="n">
        <v>0</v>
      </c>
      <c r="E568" s="23" t="n">
        <v>5787630</v>
      </c>
      <c r="F568" s="18">
        <f>Sensitivity!$AE$295</f>
        <v/>
      </c>
      <c r="G568" s="8">
        <f>$F568-$E568</f>
        <v/>
      </c>
      <c r="H568" s="8">
        <f>IF(ABS($G568)&lt;=tol_grid_inr,"PASS","FAIL")</f>
        <v/>
      </c>
    </row>
    <row r="569">
      <c r="A569" s="7" t="inlineStr">
        <is>
          <t>first_eligible</t>
        </is>
      </c>
      <c r="B569" s="7" t="inlineStr">
        <is>
          <t>FOB_desk_books_freight</t>
        </is>
      </c>
      <c r="C569" s="20" t="n">
        <v>0</v>
      </c>
      <c r="D569" s="20" t="n">
        <v>2.5</v>
      </c>
      <c r="E569" s="23" t="n">
        <v>0</v>
      </c>
      <c r="F569" s="18">
        <f>Sensitivity!$AE$296</f>
        <v/>
      </c>
      <c r="G569" s="8">
        <f>$F569-$E569</f>
        <v/>
      </c>
      <c r="H569" s="8">
        <f>IF(ABS($G569)&lt;=tol_grid_inr,"PASS","FAIL")</f>
        <v/>
      </c>
    </row>
    <row r="570">
      <c r="A570" s="7" t="inlineStr">
        <is>
          <t>first_eligible</t>
        </is>
      </c>
      <c r="B570" s="7" t="inlineStr">
        <is>
          <t>FOB_desk_books_freight</t>
        </is>
      </c>
      <c r="C570" s="20" t="n">
        <v>0</v>
      </c>
      <c r="D570" s="20" t="n">
        <v>5</v>
      </c>
      <c r="E570" s="23" t="n">
        <v>-5787630</v>
      </c>
      <c r="F570" s="18">
        <f>Sensitivity!$AE$297</f>
        <v/>
      </c>
      <c r="G570" s="8">
        <f>$F570-$E570</f>
        <v/>
      </c>
      <c r="H570" s="8">
        <f>IF(ABS($G570)&lt;=tol_grid_inr,"PASS","FAIL")</f>
        <v/>
      </c>
    </row>
    <row r="571">
      <c r="A571" s="7" t="inlineStr">
        <is>
          <t>first_eligible</t>
        </is>
      </c>
      <c r="B571" s="7" t="inlineStr">
        <is>
          <t>FOB_desk_books_freight</t>
        </is>
      </c>
      <c r="C571" s="20" t="n">
        <v>0</v>
      </c>
      <c r="D571" s="20" t="n">
        <v>7.5</v>
      </c>
      <c r="E571" s="23" t="n">
        <v>-11575261</v>
      </c>
      <c r="F571" s="18">
        <f>Sensitivity!$AE$298</f>
        <v/>
      </c>
      <c r="G571" s="8">
        <f>$F571-$E571</f>
        <v/>
      </c>
      <c r="H571" s="8">
        <f>IF(ABS($G571)&lt;=tol_grid_inr,"PASS","FAIL")</f>
        <v/>
      </c>
    </row>
    <row r="572">
      <c r="A572" s="7" t="inlineStr">
        <is>
          <t>first_eligible</t>
        </is>
      </c>
      <c r="B572" s="7" t="inlineStr">
        <is>
          <t>FOB_desk_books_freight</t>
        </is>
      </c>
      <c r="C572" s="20" t="n">
        <v>0</v>
      </c>
      <c r="D572" s="20" t="n">
        <v>10</v>
      </c>
      <c r="E572" s="23" t="n">
        <v>-17362891</v>
      </c>
      <c r="F572" s="18">
        <f>Sensitivity!$AE$299</f>
        <v/>
      </c>
      <c r="G572" s="8">
        <f>$F572-$E572</f>
        <v/>
      </c>
      <c r="H572" s="8">
        <f>IF(ABS($G572)&lt;=tol_grid_inr,"PASS","FAIL")</f>
        <v/>
      </c>
    </row>
    <row r="573">
      <c r="A573" s="7" t="inlineStr">
        <is>
          <t>first_eligible</t>
        </is>
      </c>
      <c r="B573" s="7" t="inlineStr">
        <is>
          <t>FOB_desk_books_freight</t>
        </is>
      </c>
      <c r="C573" s="20" t="n">
        <v>20</v>
      </c>
      <c r="D573" s="20" t="n">
        <v>0</v>
      </c>
      <c r="E573" s="23" t="n">
        <v>5429427</v>
      </c>
      <c r="F573" s="18">
        <f>Sensitivity!$AE$300</f>
        <v/>
      </c>
      <c r="G573" s="8">
        <f>$F573-$E573</f>
        <v/>
      </c>
      <c r="H573" s="8">
        <f>IF(ABS($G573)&lt;=tol_grid_inr,"PASS","FAIL")</f>
        <v/>
      </c>
    </row>
    <row r="574">
      <c r="A574" s="7" t="inlineStr">
        <is>
          <t>first_eligible</t>
        </is>
      </c>
      <c r="B574" s="7" t="inlineStr">
        <is>
          <t>FOB_desk_books_freight</t>
        </is>
      </c>
      <c r="C574" s="20" t="n">
        <v>20</v>
      </c>
      <c r="D574" s="20" t="n">
        <v>2.5</v>
      </c>
      <c r="E574" s="23" t="n">
        <v>-368065</v>
      </c>
      <c r="F574" s="18">
        <f>Sensitivity!$AE$301</f>
        <v/>
      </c>
      <c r="G574" s="8">
        <f>$F574-$E574</f>
        <v/>
      </c>
      <c r="H574" s="8">
        <f>IF(ABS($G574)&lt;=tol_grid_inr,"PASS","FAIL")</f>
        <v/>
      </c>
    </row>
    <row r="575">
      <c r="A575" s="7" t="inlineStr">
        <is>
          <t>first_eligible</t>
        </is>
      </c>
      <c r="B575" s="7" t="inlineStr">
        <is>
          <t>FOB_desk_books_freight</t>
        </is>
      </c>
      <c r="C575" s="20" t="n">
        <v>20</v>
      </c>
      <c r="D575" s="20" t="n">
        <v>5</v>
      </c>
      <c r="E575" s="23" t="n">
        <v>-6165556</v>
      </c>
      <c r="F575" s="18">
        <f>Sensitivity!$AE$302</f>
        <v/>
      </c>
      <c r="G575" s="8">
        <f>$F575-$E575</f>
        <v/>
      </c>
      <c r="H575" s="8">
        <f>IF(ABS($G575)&lt;=tol_grid_inr,"PASS","FAIL")</f>
        <v/>
      </c>
    </row>
    <row r="576">
      <c r="A576" s="7" t="inlineStr">
        <is>
          <t>first_eligible</t>
        </is>
      </c>
      <c r="B576" s="7" t="inlineStr">
        <is>
          <t>FOB_desk_books_freight</t>
        </is>
      </c>
      <c r="C576" s="20" t="n">
        <v>20</v>
      </c>
      <c r="D576" s="20" t="n">
        <v>7.5</v>
      </c>
      <c r="E576" s="23" t="n">
        <v>-11963048</v>
      </c>
      <c r="F576" s="18">
        <f>Sensitivity!$AE$303</f>
        <v/>
      </c>
      <c r="G576" s="8">
        <f>$F576-$E576</f>
        <v/>
      </c>
      <c r="H576" s="8">
        <f>IF(ABS($G576)&lt;=tol_grid_inr,"PASS","FAIL")</f>
        <v/>
      </c>
    </row>
    <row r="577">
      <c r="A577" s="7" t="inlineStr">
        <is>
          <t>first_eligible</t>
        </is>
      </c>
      <c r="B577" s="7" t="inlineStr">
        <is>
          <t>FOB_desk_books_freight</t>
        </is>
      </c>
      <c r="C577" s="20" t="n">
        <v>20</v>
      </c>
      <c r="D577" s="20" t="n">
        <v>10</v>
      </c>
      <c r="E577" s="23" t="n">
        <v>-17760540</v>
      </c>
      <c r="F577" s="18">
        <f>Sensitivity!$AE$304</f>
        <v/>
      </c>
      <c r="G577" s="8">
        <f>$F577-$E577</f>
        <v/>
      </c>
      <c r="H577" s="8">
        <f>IF(ABS($G577)&lt;=tol_grid_inr,"PASS","FAIL")</f>
        <v/>
      </c>
    </row>
    <row r="578">
      <c r="A578" s="7" t="inlineStr">
        <is>
          <t>first_eligible</t>
        </is>
      </c>
      <c r="B578" s="7" t="inlineStr">
        <is>
          <t>FOB_desk_books_freight</t>
        </is>
      </c>
      <c r="C578" s="20" t="n">
        <v>40</v>
      </c>
      <c r="D578" s="20" t="n">
        <v>0</v>
      </c>
      <c r="E578" s="23" t="n">
        <v>5071224</v>
      </c>
      <c r="F578" s="18">
        <f>Sensitivity!$AE$305</f>
        <v/>
      </c>
      <c r="G578" s="8">
        <f>$F578-$E578</f>
        <v/>
      </c>
      <c r="H578" s="8">
        <f>IF(ABS($G578)&lt;=tol_grid_inr,"PASS","FAIL")</f>
        <v/>
      </c>
    </row>
    <row r="579">
      <c r="A579" s="7" t="inlineStr">
        <is>
          <t>first_eligible</t>
        </is>
      </c>
      <c r="B579" s="7" t="inlineStr">
        <is>
          <t>FOB_desk_books_freight</t>
        </is>
      </c>
      <c r="C579" s="20" t="n">
        <v>40</v>
      </c>
      <c r="D579" s="20" t="n">
        <v>2.5</v>
      </c>
      <c r="E579" s="23" t="n">
        <v>-736129</v>
      </c>
      <c r="F579" s="18">
        <f>Sensitivity!$AE$306</f>
        <v/>
      </c>
      <c r="G579" s="8">
        <f>$F579-$E579</f>
        <v/>
      </c>
      <c r="H579" s="8">
        <f>IF(ABS($G579)&lt;=tol_grid_inr,"PASS","FAIL")</f>
        <v/>
      </c>
    </row>
    <row r="580">
      <c r="A580" s="7" t="inlineStr">
        <is>
          <t>first_eligible</t>
        </is>
      </c>
      <c r="B580" s="7" t="inlineStr">
        <is>
          <t>FOB_desk_books_freight</t>
        </is>
      </c>
      <c r="C580" s="20" t="n">
        <v>40</v>
      </c>
      <c r="D580" s="20" t="n">
        <v>5</v>
      </c>
      <c r="E580" s="23" t="n">
        <v>-6543482</v>
      </c>
      <c r="F580" s="18">
        <f>Sensitivity!$AE$307</f>
        <v/>
      </c>
      <c r="G580" s="8">
        <f>$F580-$E580</f>
        <v/>
      </c>
      <c r="H580" s="8">
        <f>IF(ABS($G580)&lt;=tol_grid_inr,"PASS","FAIL")</f>
        <v/>
      </c>
    </row>
    <row r="581">
      <c r="A581" s="7" t="inlineStr">
        <is>
          <t>first_eligible</t>
        </is>
      </c>
      <c r="B581" s="7" t="inlineStr">
        <is>
          <t>FOB_desk_books_freight</t>
        </is>
      </c>
      <c r="C581" s="20" t="n">
        <v>40</v>
      </c>
      <c r="D581" s="20" t="n">
        <v>7.5</v>
      </c>
      <c r="E581" s="23" t="n">
        <v>-12350835</v>
      </c>
      <c r="F581" s="18">
        <f>Sensitivity!$AE$308</f>
        <v/>
      </c>
      <c r="G581" s="8">
        <f>$F581-$E581</f>
        <v/>
      </c>
      <c r="H581" s="8">
        <f>IF(ABS($G581)&lt;=tol_grid_inr,"PASS","FAIL")</f>
        <v/>
      </c>
    </row>
    <row r="582">
      <c r="A582" s="7" t="inlineStr">
        <is>
          <t>first_eligible</t>
        </is>
      </c>
      <c r="B582" s="7" t="inlineStr">
        <is>
          <t>FOB_desk_books_freight</t>
        </is>
      </c>
      <c r="C582" s="20" t="n">
        <v>40</v>
      </c>
      <c r="D582" s="20" t="n">
        <v>10</v>
      </c>
      <c r="E582" s="23" t="n">
        <v>-18158188</v>
      </c>
      <c r="F582" s="18">
        <f>Sensitivity!$AE$309</f>
        <v/>
      </c>
      <c r="G582" s="8">
        <f>$F582-$E582</f>
        <v/>
      </c>
      <c r="H582" s="8">
        <f>IF(ABS($G582)&lt;=tol_grid_inr,"PASS","FAIL")</f>
        <v/>
      </c>
    </row>
    <row r="583">
      <c r="A583" s="7" t="inlineStr">
        <is>
          <t>first_eligible</t>
        </is>
      </c>
      <c r="B583" s="7" t="inlineStr">
        <is>
          <t>FOB_desk_books_freight</t>
        </is>
      </c>
      <c r="C583" s="20" t="n">
        <v>60</v>
      </c>
      <c r="D583" s="20" t="n">
        <v>0</v>
      </c>
      <c r="E583" s="23" t="n">
        <v>4713021</v>
      </c>
      <c r="F583" s="18">
        <f>Sensitivity!$AE$310</f>
        <v/>
      </c>
      <c r="G583" s="8">
        <f>$F583-$E583</f>
        <v/>
      </c>
      <c r="H583" s="8">
        <f>IF(ABS($G583)&lt;=tol_grid_inr,"PASS","FAIL")</f>
        <v/>
      </c>
    </row>
    <row r="584">
      <c r="A584" s="7" t="inlineStr">
        <is>
          <t>first_eligible</t>
        </is>
      </c>
      <c r="B584" s="7" t="inlineStr">
        <is>
          <t>FOB_desk_books_freight</t>
        </is>
      </c>
      <c r="C584" s="20" t="n">
        <v>60</v>
      </c>
      <c r="D584" s="20" t="n">
        <v>2.5</v>
      </c>
      <c r="E584" s="23" t="n">
        <v>-1104194</v>
      </c>
      <c r="F584" s="18">
        <f>Sensitivity!$AE$311</f>
        <v/>
      </c>
      <c r="G584" s="8">
        <f>$F584-$E584</f>
        <v/>
      </c>
      <c r="H584" s="8">
        <f>IF(ABS($G584)&lt;=tol_grid_inr,"PASS","FAIL")</f>
        <v/>
      </c>
    </row>
    <row r="585">
      <c r="A585" s="7" t="inlineStr">
        <is>
          <t>first_eligible</t>
        </is>
      </c>
      <c r="B585" s="7" t="inlineStr">
        <is>
          <t>FOB_desk_books_freight</t>
        </is>
      </c>
      <c r="C585" s="20" t="n">
        <v>60</v>
      </c>
      <c r="D585" s="20" t="n">
        <v>5</v>
      </c>
      <c r="E585" s="23" t="n">
        <v>-6921408</v>
      </c>
      <c r="F585" s="18">
        <f>Sensitivity!$AE$312</f>
        <v/>
      </c>
      <c r="G585" s="8">
        <f>$F585-$E585</f>
        <v/>
      </c>
      <c r="H585" s="8">
        <f>IF(ABS($G585)&lt;=tol_grid_inr,"PASS","FAIL")</f>
        <v/>
      </c>
    </row>
    <row r="586">
      <c r="A586" s="7" t="inlineStr">
        <is>
          <t>first_eligible</t>
        </is>
      </c>
      <c r="B586" s="7" t="inlineStr">
        <is>
          <t>FOB_desk_books_freight</t>
        </is>
      </c>
      <c r="C586" s="20" t="n">
        <v>60</v>
      </c>
      <c r="D586" s="20" t="n">
        <v>7.5</v>
      </c>
      <c r="E586" s="23" t="n">
        <v>-12738622</v>
      </c>
      <c r="F586" s="18">
        <f>Sensitivity!$AE$313</f>
        <v/>
      </c>
      <c r="G586" s="8">
        <f>$F586-$E586</f>
        <v/>
      </c>
      <c r="H586" s="8">
        <f>IF(ABS($G586)&lt;=tol_grid_inr,"PASS","FAIL")</f>
        <v/>
      </c>
    </row>
    <row r="587">
      <c r="A587" s="7" t="inlineStr">
        <is>
          <t>first_eligible</t>
        </is>
      </c>
      <c r="B587" s="7" t="inlineStr">
        <is>
          <t>FOB_desk_books_freight</t>
        </is>
      </c>
      <c r="C587" s="20" t="n">
        <v>60</v>
      </c>
      <c r="D587" s="20" t="n">
        <v>10</v>
      </c>
      <c r="E587" s="23" t="n">
        <v>-18555837</v>
      </c>
      <c r="F587" s="18">
        <f>Sensitivity!$AE$314</f>
        <v/>
      </c>
      <c r="G587" s="8">
        <f>$F587-$E587</f>
        <v/>
      </c>
      <c r="H587" s="8">
        <f>IF(ABS($G587)&lt;=tol_grid_inr,"PASS","FAIL")</f>
        <v/>
      </c>
    </row>
    <row r="588">
      <c r="A588" s="7" t="inlineStr">
        <is>
          <t>first_eligible</t>
        </is>
      </c>
      <c r="B588" s="7" t="inlineStr">
        <is>
          <t>CFR_seller_books_freight</t>
        </is>
      </c>
      <c r="C588" s="20" t="n">
        <v>-40</v>
      </c>
      <c r="D588" s="20" t="n">
        <v>0</v>
      </c>
      <c r="E588" s="23" t="n">
        <v>5787630</v>
      </c>
      <c r="F588" s="18">
        <f>Sensitivity!$AE$315</f>
        <v/>
      </c>
      <c r="G588" s="8">
        <f>$F588-$E588</f>
        <v/>
      </c>
      <c r="H588" s="8">
        <f>IF(ABS($G588)&lt;=tol_grid_inr,"PASS","FAIL")</f>
        <v/>
      </c>
    </row>
    <row r="589">
      <c r="A589" s="7" t="inlineStr">
        <is>
          <t>first_eligible</t>
        </is>
      </c>
      <c r="B589" s="7" t="inlineStr">
        <is>
          <t>CFR_seller_books_freight</t>
        </is>
      </c>
      <c r="C589" s="20" t="n">
        <v>-40</v>
      </c>
      <c r="D589" s="20" t="n">
        <v>2.5</v>
      </c>
      <c r="E589" s="23" t="n">
        <v>0</v>
      </c>
      <c r="F589" s="18">
        <f>Sensitivity!$AE$316</f>
        <v/>
      </c>
      <c r="G589" s="8">
        <f>$F589-$E589</f>
        <v/>
      </c>
      <c r="H589" s="8">
        <f>IF(ABS($G589)&lt;=tol_grid_inr,"PASS","FAIL")</f>
        <v/>
      </c>
    </row>
    <row r="590">
      <c r="A590" s="7" t="inlineStr">
        <is>
          <t>first_eligible</t>
        </is>
      </c>
      <c r="B590" s="7" t="inlineStr">
        <is>
          <t>CFR_seller_books_freight</t>
        </is>
      </c>
      <c r="C590" s="20" t="n">
        <v>-40</v>
      </c>
      <c r="D590" s="20" t="n">
        <v>5</v>
      </c>
      <c r="E590" s="23" t="n">
        <v>-5787630</v>
      </c>
      <c r="F590" s="18">
        <f>Sensitivity!$AE$317</f>
        <v/>
      </c>
      <c r="G590" s="8">
        <f>$F590-$E590</f>
        <v/>
      </c>
      <c r="H590" s="8">
        <f>IF(ABS($G590)&lt;=tol_grid_inr,"PASS","FAIL")</f>
        <v/>
      </c>
    </row>
    <row r="591">
      <c r="A591" s="7" t="inlineStr">
        <is>
          <t>first_eligible</t>
        </is>
      </c>
      <c r="B591" s="7" t="inlineStr">
        <is>
          <t>CFR_seller_books_freight</t>
        </is>
      </c>
      <c r="C591" s="20" t="n">
        <v>-40</v>
      </c>
      <c r="D591" s="20" t="n">
        <v>7.5</v>
      </c>
      <c r="E591" s="23" t="n">
        <v>-11575261</v>
      </c>
      <c r="F591" s="18">
        <f>Sensitivity!$AE$318</f>
        <v/>
      </c>
      <c r="G591" s="8">
        <f>$F591-$E591</f>
        <v/>
      </c>
      <c r="H591" s="8">
        <f>IF(ABS($G591)&lt;=tol_grid_inr,"PASS","FAIL")</f>
        <v/>
      </c>
    </row>
    <row r="592">
      <c r="A592" s="7" t="inlineStr">
        <is>
          <t>first_eligible</t>
        </is>
      </c>
      <c r="B592" s="7" t="inlineStr">
        <is>
          <t>CFR_seller_books_freight</t>
        </is>
      </c>
      <c r="C592" s="20" t="n">
        <v>-40</v>
      </c>
      <c r="D592" s="20" t="n">
        <v>10</v>
      </c>
      <c r="E592" s="23" t="n">
        <v>-17362891</v>
      </c>
      <c r="F592" s="18">
        <f>Sensitivity!$AE$319</f>
        <v/>
      </c>
      <c r="G592" s="8">
        <f>$F592-$E592</f>
        <v/>
      </c>
      <c r="H592" s="8">
        <f>IF(ABS($G592)&lt;=tol_grid_inr,"PASS","FAIL")</f>
        <v/>
      </c>
    </row>
    <row r="593">
      <c r="A593" s="7" t="inlineStr">
        <is>
          <t>first_eligible</t>
        </is>
      </c>
      <c r="B593" s="7" t="inlineStr">
        <is>
          <t>CFR_seller_books_freight</t>
        </is>
      </c>
      <c r="C593" s="20" t="n">
        <v>-20</v>
      </c>
      <c r="D593" s="20" t="n">
        <v>0</v>
      </c>
      <c r="E593" s="23" t="n">
        <v>5787630</v>
      </c>
      <c r="F593" s="18">
        <f>Sensitivity!$AE$320</f>
        <v/>
      </c>
      <c r="G593" s="8">
        <f>$F593-$E593</f>
        <v/>
      </c>
      <c r="H593" s="8">
        <f>IF(ABS($G593)&lt;=tol_grid_inr,"PASS","FAIL")</f>
        <v/>
      </c>
    </row>
    <row r="594">
      <c r="A594" s="7" t="inlineStr">
        <is>
          <t>first_eligible</t>
        </is>
      </c>
      <c r="B594" s="7" t="inlineStr">
        <is>
          <t>CFR_seller_books_freight</t>
        </is>
      </c>
      <c r="C594" s="20" t="n">
        <v>-20</v>
      </c>
      <c r="D594" s="20" t="n">
        <v>2.5</v>
      </c>
      <c r="E594" s="23" t="n">
        <v>0</v>
      </c>
      <c r="F594" s="18">
        <f>Sensitivity!$AE$321</f>
        <v/>
      </c>
      <c r="G594" s="8">
        <f>$F594-$E594</f>
        <v/>
      </c>
      <c r="H594" s="8">
        <f>IF(ABS($G594)&lt;=tol_grid_inr,"PASS","FAIL")</f>
        <v/>
      </c>
    </row>
    <row r="595">
      <c r="A595" s="7" t="inlineStr">
        <is>
          <t>first_eligible</t>
        </is>
      </c>
      <c r="B595" s="7" t="inlineStr">
        <is>
          <t>CFR_seller_books_freight</t>
        </is>
      </c>
      <c r="C595" s="20" t="n">
        <v>-20</v>
      </c>
      <c r="D595" s="20" t="n">
        <v>5</v>
      </c>
      <c r="E595" s="23" t="n">
        <v>-5787630</v>
      </c>
      <c r="F595" s="18">
        <f>Sensitivity!$AE$322</f>
        <v/>
      </c>
      <c r="G595" s="8">
        <f>$F595-$E595</f>
        <v/>
      </c>
      <c r="H595" s="8">
        <f>IF(ABS($G595)&lt;=tol_grid_inr,"PASS","FAIL")</f>
        <v/>
      </c>
    </row>
    <row r="596">
      <c r="A596" s="7" t="inlineStr">
        <is>
          <t>first_eligible</t>
        </is>
      </c>
      <c r="B596" s="7" t="inlineStr">
        <is>
          <t>CFR_seller_books_freight</t>
        </is>
      </c>
      <c r="C596" s="20" t="n">
        <v>-20</v>
      </c>
      <c r="D596" s="20" t="n">
        <v>7.5</v>
      </c>
      <c r="E596" s="23" t="n">
        <v>-11575261</v>
      </c>
      <c r="F596" s="18">
        <f>Sensitivity!$AE$323</f>
        <v/>
      </c>
      <c r="G596" s="8">
        <f>$F596-$E596</f>
        <v/>
      </c>
      <c r="H596" s="8">
        <f>IF(ABS($G596)&lt;=tol_grid_inr,"PASS","FAIL")</f>
        <v/>
      </c>
    </row>
    <row r="597">
      <c r="A597" s="7" t="inlineStr">
        <is>
          <t>first_eligible</t>
        </is>
      </c>
      <c r="B597" s="7" t="inlineStr">
        <is>
          <t>CFR_seller_books_freight</t>
        </is>
      </c>
      <c r="C597" s="20" t="n">
        <v>-20</v>
      </c>
      <c r="D597" s="20" t="n">
        <v>10</v>
      </c>
      <c r="E597" s="23" t="n">
        <v>-17362891</v>
      </c>
      <c r="F597" s="18">
        <f>Sensitivity!$AE$324</f>
        <v/>
      </c>
      <c r="G597" s="8">
        <f>$F597-$E597</f>
        <v/>
      </c>
      <c r="H597" s="8">
        <f>IF(ABS($G597)&lt;=tol_grid_inr,"PASS","FAIL")</f>
        <v/>
      </c>
    </row>
    <row r="598">
      <c r="A598" s="7" t="inlineStr">
        <is>
          <t>first_eligible</t>
        </is>
      </c>
      <c r="B598" s="7" t="inlineStr">
        <is>
          <t>CFR_seller_books_freight</t>
        </is>
      </c>
      <c r="C598" s="20" t="n">
        <v>0</v>
      </c>
      <c r="D598" s="20" t="n">
        <v>0</v>
      </c>
      <c r="E598" s="23" t="n">
        <v>5787630</v>
      </c>
      <c r="F598" s="18">
        <f>Sensitivity!$AE$325</f>
        <v/>
      </c>
      <c r="G598" s="8">
        <f>$F598-$E598</f>
        <v/>
      </c>
      <c r="H598" s="8">
        <f>IF(ABS($G598)&lt;=tol_grid_inr,"PASS","FAIL")</f>
        <v/>
      </c>
    </row>
    <row r="599">
      <c r="A599" s="7" t="inlineStr">
        <is>
          <t>first_eligible</t>
        </is>
      </c>
      <c r="B599" s="7" t="inlineStr">
        <is>
          <t>CFR_seller_books_freight</t>
        </is>
      </c>
      <c r="C599" s="20" t="n">
        <v>0</v>
      </c>
      <c r="D599" s="20" t="n">
        <v>2.5</v>
      </c>
      <c r="E599" s="23" t="n">
        <v>0</v>
      </c>
      <c r="F599" s="18">
        <f>Sensitivity!$AE$326</f>
        <v/>
      </c>
      <c r="G599" s="8">
        <f>$F599-$E599</f>
        <v/>
      </c>
      <c r="H599" s="8">
        <f>IF(ABS($G599)&lt;=tol_grid_inr,"PASS","FAIL")</f>
        <v/>
      </c>
    </row>
    <row r="600">
      <c r="A600" s="7" t="inlineStr">
        <is>
          <t>first_eligible</t>
        </is>
      </c>
      <c r="B600" s="7" t="inlineStr">
        <is>
          <t>CFR_seller_books_freight</t>
        </is>
      </c>
      <c r="C600" s="20" t="n">
        <v>0</v>
      </c>
      <c r="D600" s="20" t="n">
        <v>5</v>
      </c>
      <c r="E600" s="23" t="n">
        <v>-5787630</v>
      </c>
      <c r="F600" s="18">
        <f>Sensitivity!$AE$327</f>
        <v/>
      </c>
      <c r="G600" s="8">
        <f>$F600-$E600</f>
        <v/>
      </c>
      <c r="H600" s="8">
        <f>IF(ABS($G600)&lt;=tol_grid_inr,"PASS","FAIL")</f>
        <v/>
      </c>
    </row>
    <row r="601">
      <c r="A601" s="7" t="inlineStr">
        <is>
          <t>first_eligible</t>
        </is>
      </c>
      <c r="B601" s="7" t="inlineStr">
        <is>
          <t>CFR_seller_books_freight</t>
        </is>
      </c>
      <c r="C601" s="20" t="n">
        <v>0</v>
      </c>
      <c r="D601" s="20" t="n">
        <v>7.5</v>
      </c>
      <c r="E601" s="23" t="n">
        <v>-11575261</v>
      </c>
      <c r="F601" s="18">
        <f>Sensitivity!$AE$328</f>
        <v/>
      </c>
      <c r="G601" s="8">
        <f>$F601-$E601</f>
        <v/>
      </c>
      <c r="H601" s="8">
        <f>IF(ABS($G601)&lt;=tol_grid_inr,"PASS","FAIL")</f>
        <v/>
      </c>
    </row>
    <row r="602">
      <c r="A602" s="7" t="inlineStr">
        <is>
          <t>first_eligible</t>
        </is>
      </c>
      <c r="B602" s="7" t="inlineStr">
        <is>
          <t>CFR_seller_books_freight</t>
        </is>
      </c>
      <c r="C602" s="20" t="n">
        <v>0</v>
      </c>
      <c r="D602" s="20" t="n">
        <v>10</v>
      </c>
      <c r="E602" s="23" t="n">
        <v>-17362891</v>
      </c>
      <c r="F602" s="18">
        <f>Sensitivity!$AE$329</f>
        <v/>
      </c>
      <c r="G602" s="8">
        <f>$F602-$E602</f>
        <v/>
      </c>
      <c r="H602" s="8">
        <f>IF(ABS($G602)&lt;=tol_grid_inr,"PASS","FAIL")</f>
        <v/>
      </c>
    </row>
    <row r="603">
      <c r="A603" s="7" t="inlineStr">
        <is>
          <t>first_eligible</t>
        </is>
      </c>
      <c r="B603" s="7" t="inlineStr">
        <is>
          <t>CFR_seller_books_freight</t>
        </is>
      </c>
      <c r="C603" s="20" t="n">
        <v>20</v>
      </c>
      <c r="D603" s="20" t="n">
        <v>0</v>
      </c>
      <c r="E603" s="23" t="n">
        <v>5787630</v>
      </c>
      <c r="F603" s="18">
        <f>Sensitivity!$AE$330</f>
        <v/>
      </c>
      <c r="G603" s="8">
        <f>$F603-$E603</f>
        <v/>
      </c>
      <c r="H603" s="8">
        <f>IF(ABS($G603)&lt;=tol_grid_inr,"PASS","FAIL")</f>
        <v/>
      </c>
    </row>
    <row r="604">
      <c r="A604" s="7" t="inlineStr">
        <is>
          <t>first_eligible</t>
        </is>
      </c>
      <c r="B604" s="7" t="inlineStr">
        <is>
          <t>CFR_seller_books_freight</t>
        </is>
      </c>
      <c r="C604" s="20" t="n">
        <v>20</v>
      </c>
      <c r="D604" s="20" t="n">
        <v>2.5</v>
      </c>
      <c r="E604" s="23" t="n">
        <v>0</v>
      </c>
      <c r="F604" s="18">
        <f>Sensitivity!$AE$331</f>
        <v/>
      </c>
      <c r="G604" s="8">
        <f>$F604-$E604</f>
        <v/>
      </c>
      <c r="H604" s="8">
        <f>IF(ABS($G604)&lt;=tol_grid_inr,"PASS","FAIL")</f>
        <v/>
      </c>
    </row>
    <row r="605">
      <c r="A605" s="7" t="inlineStr">
        <is>
          <t>first_eligible</t>
        </is>
      </c>
      <c r="B605" s="7" t="inlineStr">
        <is>
          <t>CFR_seller_books_freight</t>
        </is>
      </c>
      <c r="C605" s="20" t="n">
        <v>20</v>
      </c>
      <c r="D605" s="20" t="n">
        <v>5</v>
      </c>
      <c r="E605" s="23" t="n">
        <v>-5787630</v>
      </c>
      <c r="F605" s="18">
        <f>Sensitivity!$AE$332</f>
        <v/>
      </c>
      <c r="G605" s="8">
        <f>$F605-$E605</f>
        <v/>
      </c>
      <c r="H605" s="8">
        <f>IF(ABS($G605)&lt;=tol_grid_inr,"PASS","FAIL")</f>
        <v/>
      </c>
    </row>
    <row r="606">
      <c r="A606" s="7" t="inlineStr">
        <is>
          <t>first_eligible</t>
        </is>
      </c>
      <c r="B606" s="7" t="inlineStr">
        <is>
          <t>CFR_seller_books_freight</t>
        </is>
      </c>
      <c r="C606" s="20" t="n">
        <v>20</v>
      </c>
      <c r="D606" s="20" t="n">
        <v>7.5</v>
      </c>
      <c r="E606" s="23" t="n">
        <v>-11575261</v>
      </c>
      <c r="F606" s="18">
        <f>Sensitivity!$AE$333</f>
        <v/>
      </c>
      <c r="G606" s="8">
        <f>$F606-$E606</f>
        <v/>
      </c>
      <c r="H606" s="8">
        <f>IF(ABS($G606)&lt;=tol_grid_inr,"PASS","FAIL")</f>
        <v/>
      </c>
    </row>
    <row r="607">
      <c r="A607" s="7" t="inlineStr">
        <is>
          <t>first_eligible</t>
        </is>
      </c>
      <c r="B607" s="7" t="inlineStr">
        <is>
          <t>CFR_seller_books_freight</t>
        </is>
      </c>
      <c r="C607" s="20" t="n">
        <v>20</v>
      </c>
      <c r="D607" s="20" t="n">
        <v>10</v>
      </c>
      <c r="E607" s="23" t="n">
        <v>-17362891</v>
      </c>
      <c r="F607" s="18">
        <f>Sensitivity!$AE$334</f>
        <v/>
      </c>
      <c r="G607" s="8">
        <f>$F607-$E607</f>
        <v/>
      </c>
      <c r="H607" s="8">
        <f>IF(ABS($G607)&lt;=tol_grid_inr,"PASS","FAIL")</f>
        <v/>
      </c>
    </row>
    <row r="608">
      <c r="A608" s="7" t="inlineStr">
        <is>
          <t>first_eligible</t>
        </is>
      </c>
      <c r="B608" s="7" t="inlineStr">
        <is>
          <t>CFR_seller_books_freight</t>
        </is>
      </c>
      <c r="C608" s="20" t="n">
        <v>40</v>
      </c>
      <c r="D608" s="20" t="n">
        <v>0</v>
      </c>
      <c r="E608" s="23" t="n">
        <v>5787630</v>
      </c>
      <c r="F608" s="18">
        <f>Sensitivity!$AE$335</f>
        <v/>
      </c>
      <c r="G608" s="8">
        <f>$F608-$E608</f>
        <v/>
      </c>
      <c r="H608" s="8">
        <f>IF(ABS($G608)&lt;=tol_grid_inr,"PASS","FAIL")</f>
        <v/>
      </c>
    </row>
    <row r="609">
      <c r="A609" s="7" t="inlineStr">
        <is>
          <t>first_eligible</t>
        </is>
      </c>
      <c r="B609" s="7" t="inlineStr">
        <is>
          <t>CFR_seller_books_freight</t>
        </is>
      </c>
      <c r="C609" s="20" t="n">
        <v>40</v>
      </c>
      <c r="D609" s="20" t="n">
        <v>2.5</v>
      </c>
      <c r="E609" s="23" t="n">
        <v>0</v>
      </c>
      <c r="F609" s="18">
        <f>Sensitivity!$AE$336</f>
        <v/>
      </c>
      <c r="G609" s="8">
        <f>$F609-$E609</f>
        <v/>
      </c>
      <c r="H609" s="8">
        <f>IF(ABS($G609)&lt;=tol_grid_inr,"PASS","FAIL")</f>
        <v/>
      </c>
    </row>
    <row r="610">
      <c r="A610" s="7" t="inlineStr">
        <is>
          <t>first_eligible</t>
        </is>
      </c>
      <c r="B610" s="7" t="inlineStr">
        <is>
          <t>CFR_seller_books_freight</t>
        </is>
      </c>
      <c r="C610" s="20" t="n">
        <v>40</v>
      </c>
      <c r="D610" s="20" t="n">
        <v>5</v>
      </c>
      <c r="E610" s="23" t="n">
        <v>-5787630</v>
      </c>
      <c r="F610" s="18">
        <f>Sensitivity!$AE$337</f>
        <v/>
      </c>
      <c r="G610" s="8">
        <f>$F610-$E610</f>
        <v/>
      </c>
      <c r="H610" s="8">
        <f>IF(ABS($G610)&lt;=tol_grid_inr,"PASS","FAIL")</f>
        <v/>
      </c>
    </row>
    <row r="611">
      <c r="A611" s="7" t="inlineStr">
        <is>
          <t>first_eligible</t>
        </is>
      </c>
      <c r="B611" s="7" t="inlineStr">
        <is>
          <t>CFR_seller_books_freight</t>
        </is>
      </c>
      <c r="C611" s="20" t="n">
        <v>40</v>
      </c>
      <c r="D611" s="20" t="n">
        <v>7.5</v>
      </c>
      <c r="E611" s="23" t="n">
        <v>-11575261</v>
      </c>
      <c r="F611" s="18">
        <f>Sensitivity!$AE$338</f>
        <v/>
      </c>
      <c r="G611" s="8">
        <f>$F611-$E611</f>
        <v/>
      </c>
      <c r="H611" s="8">
        <f>IF(ABS($G611)&lt;=tol_grid_inr,"PASS","FAIL")</f>
        <v/>
      </c>
    </row>
    <row r="612">
      <c r="A612" s="7" t="inlineStr">
        <is>
          <t>first_eligible</t>
        </is>
      </c>
      <c r="B612" s="7" t="inlineStr">
        <is>
          <t>CFR_seller_books_freight</t>
        </is>
      </c>
      <c r="C612" s="20" t="n">
        <v>40</v>
      </c>
      <c r="D612" s="20" t="n">
        <v>10</v>
      </c>
      <c r="E612" s="23" t="n">
        <v>-17362891</v>
      </c>
      <c r="F612" s="18">
        <f>Sensitivity!$AE$339</f>
        <v/>
      </c>
      <c r="G612" s="8">
        <f>$F612-$E612</f>
        <v/>
      </c>
      <c r="H612" s="8">
        <f>IF(ABS($G612)&lt;=tol_grid_inr,"PASS","FAIL")</f>
        <v/>
      </c>
    </row>
    <row r="613">
      <c r="A613" s="7" t="inlineStr">
        <is>
          <t>first_eligible</t>
        </is>
      </c>
      <c r="B613" s="7" t="inlineStr">
        <is>
          <t>CFR_seller_books_freight</t>
        </is>
      </c>
      <c r="C613" s="20" t="n">
        <v>60</v>
      </c>
      <c r="D613" s="20" t="n">
        <v>0</v>
      </c>
      <c r="E613" s="23" t="n">
        <v>5787630</v>
      </c>
      <c r="F613" s="18">
        <f>Sensitivity!$AE$340</f>
        <v/>
      </c>
      <c r="G613" s="8">
        <f>$F613-$E613</f>
        <v/>
      </c>
      <c r="H613" s="8">
        <f>IF(ABS($G613)&lt;=tol_grid_inr,"PASS","FAIL")</f>
        <v/>
      </c>
    </row>
    <row r="614">
      <c r="A614" s="7" t="inlineStr">
        <is>
          <t>first_eligible</t>
        </is>
      </c>
      <c r="B614" s="7" t="inlineStr">
        <is>
          <t>CFR_seller_books_freight</t>
        </is>
      </c>
      <c r="C614" s="20" t="n">
        <v>60</v>
      </c>
      <c r="D614" s="20" t="n">
        <v>2.5</v>
      </c>
      <c r="E614" s="23" t="n">
        <v>0</v>
      </c>
      <c r="F614" s="18">
        <f>Sensitivity!$AE$341</f>
        <v/>
      </c>
      <c r="G614" s="8">
        <f>$F614-$E614</f>
        <v/>
      </c>
      <c r="H614" s="8">
        <f>IF(ABS($G614)&lt;=tol_grid_inr,"PASS","FAIL")</f>
        <v/>
      </c>
    </row>
    <row r="615">
      <c r="A615" s="7" t="inlineStr">
        <is>
          <t>first_eligible</t>
        </is>
      </c>
      <c r="B615" s="7" t="inlineStr">
        <is>
          <t>CFR_seller_books_freight</t>
        </is>
      </c>
      <c r="C615" s="20" t="n">
        <v>60</v>
      </c>
      <c r="D615" s="20" t="n">
        <v>5</v>
      </c>
      <c r="E615" s="23" t="n">
        <v>-5787630</v>
      </c>
      <c r="F615" s="18">
        <f>Sensitivity!$AE$342</f>
        <v/>
      </c>
      <c r="G615" s="8">
        <f>$F615-$E615</f>
        <v/>
      </c>
      <c r="H615" s="8">
        <f>IF(ABS($G615)&lt;=tol_grid_inr,"PASS","FAIL")</f>
        <v/>
      </c>
    </row>
    <row r="616">
      <c r="A616" s="7" t="inlineStr">
        <is>
          <t>first_eligible</t>
        </is>
      </c>
      <c r="B616" s="7" t="inlineStr">
        <is>
          <t>CFR_seller_books_freight</t>
        </is>
      </c>
      <c r="C616" s="20" t="n">
        <v>60</v>
      </c>
      <c r="D616" s="20" t="n">
        <v>7.5</v>
      </c>
      <c r="E616" s="23" t="n">
        <v>-11575261</v>
      </c>
      <c r="F616" s="18">
        <f>Sensitivity!$AE$343</f>
        <v/>
      </c>
      <c r="G616" s="8">
        <f>$F616-$E616</f>
        <v/>
      </c>
      <c r="H616" s="8">
        <f>IF(ABS($G616)&lt;=tol_grid_inr,"PASS","FAIL")</f>
        <v/>
      </c>
    </row>
    <row r="617">
      <c r="A617" s="7" t="inlineStr">
        <is>
          <t>first_eligible</t>
        </is>
      </c>
      <c r="B617" s="7" t="inlineStr">
        <is>
          <t>CFR_seller_books_freight</t>
        </is>
      </c>
      <c r="C617" s="20" t="n">
        <v>60</v>
      </c>
      <c r="D617" s="20" t="n">
        <v>10</v>
      </c>
      <c r="E617" s="23" t="n">
        <v>-17362891</v>
      </c>
      <c r="F617" s="18">
        <f>Sensitivity!$AE$344</f>
        <v/>
      </c>
      <c r="G617" s="8">
        <f>$F617-$E617</f>
        <v/>
      </c>
      <c r="H617" s="8">
        <f>IF(ABS($G617)&lt;=tol_grid_inr,"PASS","FAIL")</f>
        <v/>
      </c>
    </row>
    <row r="618">
      <c r="A618" s="7" t="inlineStr">
        <is>
          <t>june_trough</t>
        </is>
      </c>
      <c r="B618" s="7" t="inlineStr">
        <is>
          <t>FOB_desk_books_freight</t>
        </is>
      </c>
      <c r="C618" s="20" t="n">
        <v>-40</v>
      </c>
      <c r="D618" s="20" t="n">
        <v>0</v>
      </c>
      <c r="E618" s="23" t="n">
        <v>5248893</v>
      </c>
      <c r="F618" s="18">
        <f>Sensitivity!$AE$345</f>
        <v/>
      </c>
      <c r="G618" s="8">
        <f>$F618-$E618</f>
        <v/>
      </c>
      <c r="H618" s="8">
        <f>IF(ABS($G618)&lt;=tol_grid_inr,"PASS","FAIL")</f>
        <v/>
      </c>
    </row>
    <row r="619">
      <c r="A619" s="7" t="inlineStr">
        <is>
          <t>june_trough</t>
        </is>
      </c>
      <c r="B619" s="7" t="inlineStr">
        <is>
          <t>FOB_desk_books_freight</t>
        </is>
      </c>
      <c r="C619" s="20" t="n">
        <v>-40</v>
      </c>
      <c r="D619" s="20" t="n">
        <v>2.5</v>
      </c>
      <c r="E619" s="23" t="n">
        <v>601125</v>
      </c>
      <c r="F619" s="18">
        <f>Sensitivity!$AE$346</f>
        <v/>
      </c>
      <c r="G619" s="8">
        <f>$F619-$E619</f>
        <v/>
      </c>
      <c r="H619" s="8">
        <f>IF(ABS($G619)&lt;=tol_grid_inr,"PASS","FAIL")</f>
        <v/>
      </c>
    </row>
    <row r="620">
      <c r="A620" s="7" t="inlineStr">
        <is>
          <t>june_trough</t>
        </is>
      </c>
      <c r="B620" s="7" t="inlineStr">
        <is>
          <t>FOB_desk_books_freight</t>
        </is>
      </c>
      <c r="C620" s="20" t="n">
        <v>-40</v>
      </c>
      <c r="D620" s="20" t="n">
        <v>5</v>
      </c>
      <c r="E620" s="23" t="n">
        <v>-4046642</v>
      </c>
      <c r="F620" s="18">
        <f>Sensitivity!$AE$347</f>
        <v/>
      </c>
      <c r="G620" s="8">
        <f>$F620-$E620</f>
        <v/>
      </c>
      <c r="H620" s="8">
        <f>IF(ABS($G620)&lt;=tol_grid_inr,"PASS","FAIL")</f>
        <v/>
      </c>
    </row>
    <row r="621">
      <c r="A621" s="7" t="inlineStr">
        <is>
          <t>june_trough</t>
        </is>
      </c>
      <c r="B621" s="7" t="inlineStr">
        <is>
          <t>FOB_desk_books_freight</t>
        </is>
      </c>
      <c r="C621" s="20" t="n">
        <v>-40</v>
      </c>
      <c r="D621" s="20" t="n">
        <v>7.5</v>
      </c>
      <c r="E621" s="23" t="n">
        <v>-8694410</v>
      </c>
      <c r="F621" s="18">
        <f>Sensitivity!$AE$348</f>
        <v/>
      </c>
      <c r="G621" s="8">
        <f>$F621-$E621</f>
        <v/>
      </c>
      <c r="H621" s="8">
        <f>IF(ABS($G621)&lt;=tol_grid_inr,"PASS","FAIL")</f>
        <v/>
      </c>
    </row>
    <row r="622">
      <c r="A622" s="7" t="inlineStr">
        <is>
          <t>june_trough</t>
        </is>
      </c>
      <c r="B622" s="7" t="inlineStr">
        <is>
          <t>FOB_desk_books_freight</t>
        </is>
      </c>
      <c r="C622" s="20" t="n">
        <v>-40</v>
      </c>
      <c r="D622" s="20" t="n">
        <v>10</v>
      </c>
      <c r="E622" s="23" t="n">
        <v>-13342177</v>
      </c>
      <c r="F622" s="18">
        <f>Sensitivity!$AE$349</f>
        <v/>
      </c>
      <c r="G622" s="8">
        <f>$F622-$E622</f>
        <v/>
      </c>
      <c r="H622" s="8">
        <f>IF(ABS($G622)&lt;=tol_grid_inr,"PASS","FAIL")</f>
        <v/>
      </c>
    </row>
    <row r="623">
      <c r="A623" s="7" t="inlineStr">
        <is>
          <t>june_trough</t>
        </is>
      </c>
      <c r="B623" s="7" t="inlineStr">
        <is>
          <t>FOB_desk_books_freight</t>
        </is>
      </c>
      <c r="C623" s="20" t="n">
        <v>-20</v>
      </c>
      <c r="D623" s="20" t="n">
        <v>0</v>
      </c>
      <c r="E623" s="23" t="n">
        <v>4956439</v>
      </c>
      <c r="F623" s="18">
        <f>Sensitivity!$AE$350</f>
        <v/>
      </c>
      <c r="G623" s="8">
        <f>$F623-$E623</f>
        <v/>
      </c>
      <c r="H623" s="8">
        <f>IF(ABS($G623)&lt;=tol_grid_inr,"PASS","FAIL")</f>
        <v/>
      </c>
    </row>
    <row r="624">
      <c r="A624" s="7" t="inlineStr">
        <is>
          <t>june_trough</t>
        </is>
      </c>
      <c r="B624" s="7" t="inlineStr">
        <is>
          <t>FOB_desk_books_freight</t>
        </is>
      </c>
      <c r="C624" s="20" t="n">
        <v>-20</v>
      </c>
      <c r="D624" s="20" t="n">
        <v>2.5</v>
      </c>
      <c r="E624" s="23" t="n">
        <v>300563</v>
      </c>
      <c r="F624" s="18">
        <f>Sensitivity!$AE$351</f>
        <v/>
      </c>
      <c r="G624" s="8">
        <f>$F624-$E624</f>
        <v/>
      </c>
      <c r="H624" s="8">
        <f>IF(ABS($G624)&lt;=tol_grid_inr,"PASS","FAIL")</f>
        <v/>
      </c>
    </row>
    <row r="625">
      <c r="A625" s="7" t="inlineStr">
        <is>
          <t>june_trough</t>
        </is>
      </c>
      <c r="B625" s="7" t="inlineStr">
        <is>
          <t>FOB_desk_books_freight</t>
        </is>
      </c>
      <c r="C625" s="20" t="n">
        <v>-20</v>
      </c>
      <c r="D625" s="20" t="n">
        <v>5</v>
      </c>
      <c r="E625" s="23" t="n">
        <v>-4355314</v>
      </c>
      <c r="F625" s="18">
        <f>Sensitivity!$AE$352</f>
        <v/>
      </c>
      <c r="G625" s="8">
        <f>$F625-$E625</f>
        <v/>
      </c>
      <c r="H625" s="8">
        <f>IF(ABS($G625)&lt;=tol_grid_inr,"PASS","FAIL")</f>
        <v/>
      </c>
    </row>
    <row r="626">
      <c r="A626" s="7" t="inlineStr">
        <is>
          <t>june_trough</t>
        </is>
      </c>
      <c r="B626" s="7" t="inlineStr">
        <is>
          <t>FOB_desk_books_freight</t>
        </is>
      </c>
      <c r="C626" s="20" t="n">
        <v>-20</v>
      </c>
      <c r="D626" s="20" t="n">
        <v>7.5</v>
      </c>
      <c r="E626" s="23" t="n">
        <v>-9011190</v>
      </c>
      <c r="F626" s="18">
        <f>Sensitivity!$AE$353</f>
        <v/>
      </c>
      <c r="G626" s="8">
        <f>$F626-$E626</f>
        <v/>
      </c>
      <c r="H626" s="8">
        <f>IF(ABS($G626)&lt;=tol_grid_inr,"PASS","FAIL")</f>
        <v/>
      </c>
    </row>
    <row r="627">
      <c r="A627" s="7" t="inlineStr">
        <is>
          <t>june_trough</t>
        </is>
      </c>
      <c r="B627" s="7" t="inlineStr">
        <is>
          <t>FOB_desk_books_freight</t>
        </is>
      </c>
      <c r="C627" s="20" t="n">
        <v>-20</v>
      </c>
      <c r="D627" s="20" t="n">
        <v>10</v>
      </c>
      <c r="E627" s="23" t="n">
        <v>-13667066</v>
      </c>
      <c r="F627" s="18">
        <f>Sensitivity!$AE$354</f>
        <v/>
      </c>
      <c r="G627" s="8">
        <f>$F627-$E627</f>
        <v/>
      </c>
      <c r="H627" s="8">
        <f>IF(ABS($G627)&lt;=tol_grid_inr,"PASS","FAIL")</f>
        <v/>
      </c>
    </row>
    <row r="628">
      <c r="A628" s="7" t="inlineStr">
        <is>
          <t>june_trough</t>
        </is>
      </c>
      <c r="B628" s="7" t="inlineStr">
        <is>
          <t>FOB_desk_books_freight</t>
        </is>
      </c>
      <c r="C628" s="20" t="n">
        <v>0</v>
      </c>
      <c r="D628" s="20" t="n">
        <v>0</v>
      </c>
      <c r="E628" s="23" t="n">
        <v>4663985</v>
      </c>
      <c r="F628" s="18">
        <f>Sensitivity!$AE$355</f>
        <v/>
      </c>
      <c r="G628" s="8">
        <f>$F628-$E628</f>
        <v/>
      </c>
      <c r="H628" s="8">
        <f>IF(ABS($G628)&lt;=tol_grid_inr,"PASS","FAIL")</f>
        <v/>
      </c>
    </row>
    <row r="629">
      <c r="A629" s="7" t="inlineStr">
        <is>
          <t>june_trough</t>
        </is>
      </c>
      <c r="B629" s="7" t="inlineStr">
        <is>
          <t>FOB_desk_books_freight</t>
        </is>
      </c>
      <c r="C629" s="20" t="n">
        <v>0</v>
      </c>
      <c r="D629" s="20" t="n">
        <v>2.5</v>
      </c>
      <c r="E629" s="23" t="n">
        <v>0</v>
      </c>
      <c r="F629" s="18">
        <f>Sensitivity!$AE$356</f>
        <v/>
      </c>
      <c r="G629" s="8">
        <f>$F629-$E629</f>
        <v/>
      </c>
      <c r="H629" s="8">
        <f>IF(ABS($G629)&lt;=tol_grid_inr,"PASS","FAIL")</f>
        <v/>
      </c>
    </row>
    <row r="630">
      <c r="A630" s="7" t="inlineStr">
        <is>
          <t>june_trough</t>
        </is>
      </c>
      <c r="B630" s="7" t="inlineStr">
        <is>
          <t>FOB_desk_books_freight</t>
        </is>
      </c>
      <c r="C630" s="20" t="n">
        <v>0</v>
      </c>
      <c r="D630" s="20" t="n">
        <v>5</v>
      </c>
      <c r="E630" s="23" t="n">
        <v>-4663985</v>
      </c>
      <c r="F630" s="18">
        <f>Sensitivity!$AE$357</f>
        <v/>
      </c>
      <c r="G630" s="8">
        <f>$F630-$E630</f>
        <v/>
      </c>
      <c r="H630" s="8">
        <f>IF(ABS($G630)&lt;=tol_grid_inr,"PASS","FAIL")</f>
        <v/>
      </c>
    </row>
    <row r="631">
      <c r="A631" s="7" t="inlineStr">
        <is>
          <t>june_trough</t>
        </is>
      </c>
      <c r="B631" s="7" t="inlineStr">
        <is>
          <t>FOB_desk_books_freight</t>
        </is>
      </c>
      <c r="C631" s="20" t="n">
        <v>0</v>
      </c>
      <c r="D631" s="20" t="n">
        <v>7.5</v>
      </c>
      <c r="E631" s="23" t="n">
        <v>-9327970</v>
      </c>
      <c r="F631" s="18">
        <f>Sensitivity!$AE$358</f>
        <v/>
      </c>
      <c r="G631" s="8">
        <f>$F631-$E631</f>
        <v/>
      </c>
      <c r="H631" s="8">
        <f>IF(ABS($G631)&lt;=tol_grid_inr,"PASS","FAIL")</f>
        <v/>
      </c>
    </row>
    <row r="632">
      <c r="A632" s="7" t="inlineStr">
        <is>
          <t>june_trough</t>
        </is>
      </c>
      <c r="B632" s="7" t="inlineStr">
        <is>
          <t>FOB_desk_books_freight</t>
        </is>
      </c>
      <c r="C632" s="20" t="n">
        <v>0</v>
      </c>
      <c r="D632" s="20" t="n">
        <v>10</v>
      </c>
      <c r="E632" s="23" t="n">
        <v>-13991955</v>
      </c>
      <c r="F632" s="18">
        <f>Sensitivity!$AE$359</f>
        <v/>
      </c>
      <c r="G632" s="8">
        <f>$F632-$E632</f>
        <v/>
      </c>
      <c r="H632" s="8">
        <f>IF(ABS($G632)&lt;=tol_grid_inr,"PASS","FAIL")</f>
        <v/>
      </c>
    </row>
    <row r="633">
      <c r="A633" s="7" t="inlineStr">
        <is>
          <t>june_trough</t>
        </is>
      </c>
      <c r="B633" s="7" t="inlineStr">
        <is>
          <t>FOB_desk_books_freight</t>
        </is>
      </c>
      <c r="C633" s="20" t="n">
        <v>20</v>
      </c>
      <c r="D633" s="20" t="n">
        <v>0</v>
      </c>
      <c r="E633" s="23" t="n">
        <v>4371531</v>
      </c>
      <c r="F633" s="18">
        <f>Sensitivity!$AE$360</f>
        <v/>
      </c>
      <c r="G633" s="8">
        <f>$F633-$E633</f>
        <v/>
      </c>
      <c r="H633" s="8">
        <f>IF(ABS($G633)&lt;=tol_grid_inr,"PASS","FAIL")</f>
        <v/>
      </c>
    </row>
    <row r="634">
      <c r="A634" s="7" t="inlineStr">
        <is>
          <t>june_trough</t>
        </is>
      </c>
      <c r="B634" s="7" t="inlineStr">
        <is>
          <t>FOB_desk_books_freight</t>
        </is>
      </c>
      <c r="C634" s="20" t="n">
        <v>20</v>
      </c>
      <c r="D634" s="20" t="n">
        <v>2.5</v>
      </c>
      <c r="E634" s="23" t="n">
        <v>-300563</v>
      </c>
      <c r="F634" s="18">
        <f>Sensitivity!$AE$361</f>
        <v/>
      </c>
      <c r="G634" s="8">
        <f>$F634-$E634</f>
        <v/>
      </c>
      <c r="H634" s="8">
        <f>IF(ABS($G634)&lt;=tol_grid_inr,"PASS","FAIL")</f>
        <v/>
      </c>
    </row>
    <row r="635">
      <c r="A635" s="7" t="inlineStr">
        <is>
          <t>june_trough</t>
        </is>
      </c>
      <c r="B635" s="7" t="inlineStr">
        <is>
          <t>FOB_desk_books_freight</t>
        </is>
      </c>
      <c r="C635" s="20" t="n">
        <v>20</v>
      </c>
      <c r="D635" s="20" t="n">
        <v>5</v>
      </c>
      <c r="E635" s="23" t="n">
        <v>-4972657</v>
      </c>
      <c r="F635" s="18">
        <f>Sensitivity!$AE$362</f>
        <v/>
      </c>
      <c r="G635" s="8">
        <f>$F635-$E635</f>
        <v/>
      </c>
      <c r="H635" s="8">
        <f>IF(ABS($G635)&lt;=tol_grid_inr,"PASS","FAIL")</f>
        <v/>
      </c>
    </row>
    <row r="636">
      <c r="A636" s="7" t="inlineStr">
        <is>
          <t>june_trough</t>
        </is>
      </c>
      <c r="B636" s="7" t="inlineStr">
        <is>
          <t>FOB_desk_books_freight</t>
        </is>
      </c>
      <c r="C636" s="20" t="n">
        <v>20</v>
      </c>
      <c r="D636" s="20" t="n">
        <v>7.5</v>
      </c>
      <c r="E636" s="23" t="n">
        <v>-9644750</v>
      </c>
      <c r="F636" s="18">
        <f>Sensitivity!$AE$363</f>
        <v/>
      </c>
      <c r="G636" s="8">
        <f>$F636-$E636</f>
        <v/>
      </c>
      <c r="H636" s="8">
        <f>IF(ABS($G636)&lt;=tol_grid_inr,"PASS","FAIL")</f>
        <v/>
      </c>
    </row>
    <row r="637">
      <c r="A637" s="7" t="inlineStr">
        <is>
          <t>june_trough</t>
        </is>
      </c>
      <c r="B637" s="7" t="inlineStr">
        <is>
          <t>FOB_desk_books_freight</t>
        </is>
      </c>
      <c r="C637" s="20" t="n">
        <v>20</v>
      </c>
      <c r="D637" s="20" t="n">
        <v>10</v>
      </c>
      <c r="E637" s="23" t="n">
        <v>-14316844</v>
      </c>
      <c r="F637" s="18">
        <f>Sensitivity!$AE$364</f>
        <v/>
      </c>
      <c r="G637" s="8">
        <f>$F637-$E637</f>
        <v/>
      </c>
      <c r="H637" s="8">
        <f>IF(ABS($G637)&lt;=tol_grid_inr,"PASS","FAIL")</f>
        <v/>
      </c>
    </row>
    <row r="638">
      <c r="A638" s="7" t="inlineStr">
        <is>
          <t>june_trough</t>
        </is>
      </c>
      <c r="B638" s="7" t="inlineStr">
        <is>
          <t>FOB_desk_books_freight</t>
        </is>
      </c>
      <c r="C638" s="20" t="n">
        <v>40</v>
      </c>
      <c r="D638" s="20" t="n">
        <v>0</v>
      </c>
      <c r="E638" s="23" t="n">
        <v>4079078</v>
      </c>
      <c r="F638" s="18">
        <f>Sensitivity!$AE$365</f>
        <v/>
      </c>
      <c r="G638" s="8">
        <f>$F638-$E638</f>
        <v/>
      </c>
      <c r="H638" s="8">
        <f>IF(ABS($G638)&lt;=tol_grid_inr,"PASS","FAIL")</f>
        <v/>
      </c>
    </row>
    <row r="639">
      <c r="A639" s="7" t="inlineStr">
        <is>
          <t>june_trough</t>
        </is>
      </c>
      <c r="B639" s="7" t="inlineStr">
        <is>
          <t>FOB_desk_books_freight</t>
        </is>
      </c>
      <c r="C639" s="20" t="n">
        <v>40</v>
      </c>
      <c r="D639" s="20" t="n">
        <v>2.5</v>
      </c>
      <c r="E639" s="23" t="n">
        <v>-601125</v>
      </c>
      <c r="F639" s="18">
        <f>Sensitivity!$AE$366</f>
        <v/>
      </c>
      <c r="G639" s="8">
        <f>$F639-$E639</f>
        <v/>
      </c>
      <c r="H639" s="8">
        <f>IF(ABS($G639)&lt;=tol_grid_inr,"PASS","FAIL")</f>
        <v/>
      </c>
    </row>
    <row r="640">
      <c r="A640" s="7" t="inlineStr">
        <is>
          <t>june_trough</t>
        </is>
      </c>
      <c r="B640" s="7" t="inlineStr">
        <is>
          <t>FOB_desk_books_freight</t>
        </is>
      </c>
      <c r="C640" s="20" t="n">
        <v>40</v>
      </c>
      <c r="D640" s="20" t="n">
        <v>5</v>
      </c>
      <c r="E640" s="23" t="n">
        <v>-5281328</v>
      </c>
      <c r="F640" s="18">
        <f>Sensitivity!$AE$367</f>
        <v/>
      </c>
      <c r="G640" s="8">
        <f>$F640-$E640</f>
        <v/>
      </c>
      <c r="H640" s="8">
        <f>IF(ABS($G640)&lt;=tol_grid_inr,"PASS","FAIL")</f>
        <v/>
      </c>
    </row>
    <row r="641">
      <c r="A641" s="7" t="inlineStr">
        <is>
          <t>june_trough</t>
        </is>
      </c>
      <c r="B641" s="7" t="inlineStr">
        <is>
          <t>FOB_desk_books_freight</t>
        </is>
      </c>
      <c r="C641" s="20" t="n">
        <v>40</v>
      </c>
      <c r="D641" s="20" t="n">
        <v>7.5</v>
      </c>
      <c r="E641" s="23" t="n">
        <v>-9961531</v>
      </c>
      <c r="F641" s="18">
        <f>Sensitivity!$AE$368</f>
        <v/>
      </c>
      <c r="G641" s="8">
        <f>$F641-$E641</f>
        <v/>
      </c>
      <c r="H641" s="8">
        <f>IF(ABS($G641)&lt;=tol_grid_inr,"PASS","FAIL")</f>
        <v/>
      </c>
    </row>
    <row r="642">
      <c r="A642" s="7" t="inlineStr">
        <is>
          <t>june_trough</t>
        </is>
      </c>
      <c r="B642" s="7" t="inlineStr">
        <is>
          <t>FOB_desk_books_freight</t>
        </is>
      </c>
      <c r="C642" s="20" t="n">
        <v>40</v>
      </c>
      <c r="D642" s="20" t="n">
        <v>10</v>
      </c>
      <c r="E642" s="23" t="n">
        <v>-14641733</v>
      </c>
      <c r="F642" s="18">
        <f>Sensitivity!$AE$369</f>
        <v/>
      </c>
      <c r="G642" s="8">
        <f>$F642-$E642</f>
        <v/>
      </c>
      <c r="H642" s="8">
        <f>IF(ABS($G642)&lt;=tol_grid_inr,"PASS","FAIL")</f>
        <v/>
      </c>
    </row>
    <row r="643">
      <c r="A643" s="7" t="inlineStr">
        <is>
          <t>june_trough</t>
        </is>
      </c>
      <c r="B643" s="7" t="inlineStr">
        <is>
          <t>FOB_desk_books_freight</t>
        </is>
      </c>
      <c r="C643" s="20" t="n">
        <v>60</v>
      </c>
      <c r="D643" s="20" t="n">
        <v>0</v>
      </c>
      <c r="E643" s="23" t="n">
        <v>3786624</v>
      </c>
      <c r="F643" s="18">
        <f>Sensitivity!$AE$370</f>
        <v/>
      </c>
      <c r="G643" s="8">
        <f>$F643-$E643</f>
        <v/>
      </c>
      <c r="H643" s="8">
        <f>IF(ABS($G643)&lt;=tol_grid_inr,"PASS","FAIL")</f>
        <v/>
      </c>
    </row>
    <row r="644">
      <c r="A644" s="7" t="inlineStr">
        <is>
          <t>june_trough</t>
        </is>
      </c>
      <c r="B644" s="7" t="inlineStr">
        <is>
          <t>FOB_desk_books_freight</t>
        </is>
      </c>
      <c r="C644" s="20" t="n">
        <v>60</v>
      </c>
      <c r="D644" s="20" t="n">
        <v>2.5</v>
      </c>
      <c r="E644" s="23" t="n">
        <v>-901688</v>
      </c>
      <c r="F644" s="18">
        <f>Sensitivity!$AE$371</f>
        <v/>
      </c>
      <c r="G644" s="8">
        <f>$F644-$E644</f>
        <v/>
      </c>
      <c r="H644" s="8">
        <f>IF(ABS($G644)&lt;=tol_grid_inr,"PASS","FAIL")</f>
        <v/>
      </c>
    </row>
    <row r="645">
      <c r="A645" s="7" t="inlineStr">
        <is>
          <t>june_trough</t>
        </is>
      </c>
      <c r="B645" s="7" t="inlineStr">
        <is>
          <t>FOB_desk_books_freight</t>
        </is>
      </c>
      <c r="C645" s="20" t="n">
        <v>60</v>
      </c>
      <c r="D645" s="20" t="n">
        <v>5</v>
      </c>
      <c r="E645" s="23" t="n">
        <v>-5589999</v>
      </c>
      <c r="F645" s="18">
        <f>Sensitivity!$AE$372</f>
        <v/>
      </c>
      <c r="G645" s="8">
        <f>$F645-$E645</f>
        <v/>
      </c>
      <c r="H645" s="8">
        <f>IF(ABS($G645)&lt;=tol_grid_inr,"PASS","FAIL")</f>
        <v/>
      </c>
    </row>
    <row r="646">
      <c r="A646" s="7" t="inlineStr">
        <is>
          <t>june_trough</t>
        </is>
      </c>
      <c r="B646" s="7" t="inlineStr">
        <is>
          <t>FOB_desk_books_freight</t>
        </is>
      </c>
      <c r="C646" s="20" t="n">
        <v>60</v>
      </c>
      <c r="D646" s="20" t="n">
        <v>7.5</v>
      </c>
      <c r="E646" s="23" t="n">
        <v>-10278311</v>
      </c>
      <c r="F646" s="18">
        <f>Sensitivity!$AE$373</f>
        <v/>
      </c>
      <c r="G646" s="8">
        <f>$F646-$E646</f>
        <v/>
      </c>
      <c r="H646" s="8">
        <f>IF(ABS($G646)&lt;=tol_grid_inr,"PASS","FAIL")</f>
        <v/>
      </c>
    </row>
    <row r="647">
      <c r="A647" s="7" t="inlineStr">
        <is>
          <t>june_trough</t>
        </is>
      </c>
      <c r="B647" s="7" t="inlineStr">
        <is>
          <t>FOB_desk_books_freight</t>
        </is>
      </c>
      <c r="C647" s="20" t="n">
        <v>60</v>
      </c>
      <c r="D647" s="20" t="n">
        <v>10</v>
      </c>
      <c r="E647" s="23" t="n">
        <v>-14966622</v>
      </c>
      <c r="F647" s="18">
        <f>Sensitivity!$AE$374</f>
        <v/>
      </c>
      <c r="G647" s="8">
        <f>$F647-$E647</f>
        <v/>
      </c>
      <c r="H647" s="8">
        <f>IF(ABS($G647)&lt;=tol_grid_inr,"PASS","FAIL")</f>
        <v/>
      </c>
    </row>
    <row r="648">
      <c r="A648" s="7" t="inlineStr">
        <is>
          <t>june_trough</t>
        </is>
      </c>
      <c r="B648" s="7" t="inlineStr">
        <is>
          <t>CFR_seller_books_freight</t>
        </is>
      </c>
      <c r="C648" s="20" t="n">
        <v>-40</v>
      </c>
      <c r="D648" s="20" t="n">
        <v>0</v>
      </c>
      <c r="E648" s="23" t="n">
        <v>4663985</v>
      </c>
      <c r="F648" s="18">
        <f>Sensitivity!$AE$375</f>
        <v/>
      </c>
      <c r="G648" s="8">
        <f>$F648-$E648</f>
        <v/>
      </c>
      <c r="H648" s="8">
        <f>IF(ABS($G648)&lt;=tol_grid_inr,"PASS","FAIL")</f>
        <v/>
      </c>
    </row>
    <row r="649">
      <c r="A649" s="7" t="inlineStr">
        <is>
          <t>june_trough</t>
        </is>
      </c>
      <c r="B649" s="7" t="inlineStr">
        <is>
          <t>CFR_seller_books_freight</t>
        </is>
      </c>
      <c r="C649" s="20" t="n">
        <v>-40</v>
      </c>
      <c r="D649" s="20" t="n">
        <v>2.5</v>
      </c>
      <c r="E649" s="23" t="n">
        <v>0</v>
      </c>
      <c r="F649" s="18">
        <f>Sensitivity!$AE$376</f>
        <v/>
      </c>
      <c r="G649" s="8">
        <f>$F649-$E649</f>
        <v/>
      </c>
      <c r="H649" s="8">
        <f>IF(ABS($G649)&lt;=tol_grid_inr,"PASS","FAIL")</f>
        <v/>
      </c>
    </row>
    <row r="650">
      <c r="A650" s="7" t="inlineStr">
        <is>
          <t>june_trough</t>
        </is>
      </c>
      <c r="B650" s="7" t="inlineStr">
        <is>
          <t>CFR_seller_books_freight</t>
        </is>
      </c>
      <c r="C650" s="20" t="n">
        <v>-40</v>
      </c>
      <c r="D650" s="20" t="n">
        <v>5</v>
      </c>
      <c r="E650" s="23" t="n">
        <v>-4663985</v>
      </c>
      <c r="F650" s="18">
        <f>Sensitivity!$AE$377</f>
        <v/>
      </c>
      <c r="G650" s="8">
        <f>$F650-$E650</f>
        <v/>
      </c>
      <c r="H650" s="8">
        <f>IF(ABS($G650)&lt;=tol_grid_inr,"PASS","FAIL")</f>
        <v/>
      </c>
    </row>
    <row r="651">
      <c r="A651" s="7" t="inlineStr">
        <is>
          <t>june_trough</t>
        </is>
      </c>
      <c r="B651" s="7" t="inlineStr">
        <is>
          <t>CFR_seller_books_freight</t>
        </is>
      </c>
      <c r="C651" s="20" t="n">
        <v>-40</v>
      </c>
      <c r="D651" s="20" t="n">
        <v>7.5</v>
      </c>
      <c r="E651" s="23" t="n">
        <v>-9327970</v>
      </c>
      <c r="F651" s="18">
        <f>Sensitivity!$AE$378</f>
        <v/>
      </c>
      <c r="G651" s="8">
        <f>$F651-$E651</f>
        <v/>
      </c>
      <c r="H651" s="8">
        <f>IF(ABS($G651)&lt;=tol_grid_inr,"PASS","FAIL")</f>
        <v/>
      </c>
    </row>
    <row r="652">
      <c r="A652" s="7" t="inlineStr">
        <is>
          <t>june_trough</t>
        </is>
      </c>
      <c r="B652" s="7" t="inlineStr">
        <is>
          <t>CFR_seller_books_freight</t>
        </is>
      </c>
      <c r="C652" s="20" t="n">
        <v>-40</v>
      </c>
      <c r="D652" s="20" t="n">
        <v>10</v>
      </c>
      <c r="E652" s="23" t="n">
        <v>-13991955</v>
      </c>
      <c r="F652" s="18">
        <f>Sensitivity!$AE$379</f>
        <v/>
      </c>
      <c r="G652" s="8">
        <f>$F652-$E652</f>
        <v/>
      </c>
      <c r="H652" s="8">
        <f>IF(ABS($G652)&lt;=tol_grid_inr,"PASS","FAIL")</f>
        <v/>
      </c>
    </row>
    <row r="653">
      <c r="A653" s="7" t="inlineStr">
        <is>
          <t>june_trough</t>
        </is>
      </c>
      <c r="B653" s="7" t="inlineStr">
        <is>
          <t>CFR_seller_books_freight</t>
        </is>
      </c>
      <c r="C653" s="20" t="n">
        <v>-20</v>
      </c>
      <c r="D653" s="20" t="n">
        <v>0</v>
      </c>
      <c r="E653" s="23" t="n">
        <v>4663985</v>
      </c>
      <c r="F653" s="18">
        <f>Sensitivity!$AE$380</f>
        <v/>
      </c>
      <c r="G653" s="8">
        <f>$F653-$E653</f>
        <v/>
      </c>
      <c r="H653" s="8">
        <f>IF(ABS($G653)&lt;=tol_grid_inr,"PASS","FAIL")</f>
        <v/>
      </c>
    </row>
    <row r="654">
      <c r="A654" s="7" t="inlineStr">
        <is>
          <t>june_trough</t>
        </is>
      </c>
      <c r="B654" s="7" t="inlineStr">
        <is>
          <t>CFR_seller_books_freight</t>
        </is>
      </c>
      <c r="C654" s="20" t="n">
        <v>-20</v>
      </c>
      <c r="D654" s="20" t="n">
        <v>2.5</v>
      </c>
      <c r="E654" s="23" t="n">
        <v>0</v>
      </c>
      <c r="F654" s="18">
        <f>Sensitivity!$AE$381</f>
        <v/>
      </c>
      <c r="G654" s="8">
        <f>$F654-$E654</f>
        <v/>
      </c>
      <c r="H654" s="8">
        <f>IF(ABS($G654)&lt;=tol_grid_inr,"PASS","FAIL")</f>
        <v/>
      </c>
    </row>
    <row r="655">
      <c r="A655" s="7" t="inlineStr">
        <is>
          <t>june_trough</t>
        </is>
      </c>
      <c r="B655" s="7" t="inlineStr">
        <is>
          <t>CFR_seller_books_freight</t>
        </is>
      </c>
      <c r="C655" s="20" t="n">
        <v>-20</v>
      </c>
      <c r="D655" s="20" t="n">
        <v>5</v>
      </c>
      <c r="E655" s="23" t="n">
        <v>-4663985</v>
      </c>
      <c r="F655" s="18">
        <f>Sensitivity!$AE$382</f>
        <v/>
      </c>
      <c r="G655" s="8">
        <f>$F655-$E655</f>
        <v/>
      </c>
      <c r="H655" s="8">
        <f>IF(ABS($G655)&lt;=tol_grid_inr,"PASS","FAIL")</f>
        <v/>
      </c>
    </row>
    <row r="656">
      <c r="A656" s="7" t="inlineStr">
        <is>
          <t>june_trough</t>
        </is>
      </c>
      <c r="B656" s="7" t="inlineStr">
        <is>
          <t>CFR_seller_books_freight</t>
        </is>
      </c>
      <c r="C656" s="20" t="n">
        <v>-20</v>
      </c>
      <c r="D656" s="20" t="n">
        <v>7.5</v>
      </c>
      <c r="E656" s="23" t="n">
        <v>-9327970</v>
      </c>
      <c r="F656" s="18">
        <f>Sensitivity!$AE$383</f>
        <v/>
      </c>
      <c r="G656" s="8">
        <f>$F656-$E656</f>
        <v/>
      </c>
      <c r="H656" s="8">
        <f>IF(ABS($G656)&lt;=tol_grid_inr,"PASS","FAIL")</f>
        <v/>
      </c>
    </row>
    <row r="657">
      <c r="A657" s="7" t="inlineStr">
        <is>
          <t>june_trough</t>
        </is>
      </c>
      <c r="B657" s="7" t="inlineStr">
        <is>
          <t>CFR_seller_books_freight</t>
        </is>
      </c>
      <c r="C657" s="20" t="n">
        <v>-20</v>
      </c>
      <c r="D657" s="20" t="n">
        <v>10</v>
      </c>
      <c r="E657" s="23" t="n">
        <v>-13991955</v>
      </c>
      <c r="F657" s="18">
        <f>Sensitivity!$AE$384</f>
        <v/>
      </c>
      <c r="G657" s="8">
        <f>$F657-$E657</f>
        <v/>
      </c>
      <c r="H657" s="8">
        <f>IF(ABS($G657)&lt;=tol_grid_inr,"PASS","FAIL")</f>
        <v/>
      </c>
    </row>
    <row r="658">
      <c r="A658" s="7" t="inlineStr">
        <is>
          <t>june_trough</t>
        </is>
      </c>
      <c r="B658" s="7" t="inlineStr">
        <is>
          <t>CFR_seller_books_freight</t>
        </is>
      </c>
      <c r="C658" s="20" t="n">
        <v>0</v>
      </c>
      <c r="D658" s="20" t="n">
        <v>0</v>
      </c>
      <c r="E658" s="23" t="n">
        <v>4663985</v>
      </c>
      <c r="F658" s="18">
        <f>Sensitivity!$AE$385</f>
        <v/>
      </c>
      <c r="G658" s="8">
        <f>$F658-$E658</f>
        <v/>
      </c>
      <c r="H658" s="8">
        <f>IF(ABS($G658)&lt;=tol_grid_inr,"PASS","FAIL")</f>
        <v/>
      </c>
    </row>
    <row r="659">
      <c r="A659" s="7" t="inlineStr">
        <is>
          <t>june_trough</t>
        </is>
      </c>
      <c r="B659" s="7" t="inlineStr">
        <is>
          <t>CFR_seller_books_freight</t>
        </is>
      </c>
      <c r="C659" s="20" t="n">
        <v>0</v>
      </c>
      <c r="D659" s="20" t="n">
        <v>2.5</v>
      </c>
      <c r="E659" s="23" t="n">
        <v>0</v>
      </c>
      <c r="F659" s="18">
        <f>Sensitivity!$AE$386</f>
        <v/>
      </c>
      <c r="G659" s="8">
        <f>$F659-$E659</f>
        <v/>
      </c>
      <c r="H659" s="8">
        <f>IF(ABS($G659)&lt;=tol_grid_inr,"PASS","FAIL")</f>
        <v/>
      </c>
    </row>
    <row r="660">
      <c r="A660" s="7" t="inlineStr">
        <is>
          <t>june_trough</t>
        </is>
      </c>
      <c r="B660" s="7" t="inlineStr">
        <is>
          <t>CFR_seller_books_freight</t>
        </is>
      </c>
      <c r="C660" s="20" t="n">
        <v>0</v>
      </c>
      <c r="D660" s="20" t="n">
        <v>5</v>
      </c>
      <c r="E660" s="23" t="n">
        <v>-4663985</v>
      </c>
      <c r="F660" s="18">
        <f>Sensitivity!$AE$387</f>
        <v/>
      </c>
      <c r="G660" s="8">
        <f>$F660-$E660</f>
        <v/>
      </c>
      <c r="H660" s="8">
        <f>IF(ABS($G660)&lt;=tol_grid_inr,"PASS","FAIL")</f>
        <v/>
      </c>
    </row>
    <row r="661">
      <c r="A661" s="7" t="inlineStr">
        <is>
          <t>june_trough</t>
        </is>
      </c>
      <c r="B661" s="7" t="inlineStr">
        <is>
          <t>CFR_seller_books_freight</t>
        </is>
      </c>
      <c r="C661" s="20" t="n">
        <v>0</v>
      </c>
      <c r="D661" s="20" t="n">
        <v>7.5</v>
      </c>
      <c r="E661" s="23" t="n">
        <v>-9327970</v>
      </c>
      <c r="F661" s="18">
        <f>Sensitivity!$AE$388</f>
        <v/>
      </c>
      <c r="G661" s="8">
        <f>$F661-$E661</f>
        <v/>
      </c>
      <c r="H661" s="8">
        <f>IF(ABS($G661)&lt;=tol_grid_inr,"PASS","FAIL")</f>
        <v/>
      </c>
    </row>
    <row r="662">
      <c r="A662" s="7" t="inlineStr">
        <is>
          <t>june_trough</t>
        </is>
      </c>
      <c r="B662" s="7" t="inlineStr">
        <is>
          <t>CFR_seller_books_freight</t>
        </is>
      </c>
      <c r="C662" s="20" t="n">
        <v>0</v>
      </c>
      <c r="D662" s="20" t="n">
        <v>10</v>
      </c>
      <c r="E662" s="23" t="n">
        <v>-13991955</v>
      </c>
      <c r="F662" s="18">
        <f>Sensitivity!$AE$389</f>
        <v/>
      </c>
      <c r="G662" s="8">
        <f>$F662-$E662</f>
        <v/>
      </c>
      <c r="H662" s="8">
        <f>IF(ABS($G662)&lt;=tol_grid_inr,"PASS","FAIL")</f>
        <v/>
      </c>
    </row>
    <row r="663">
      <c r="A663" s="7" t="inlineStr">
        <is>
          <t>june_trough</t>
        </is>
      </c>
      <c r="B663" s="7" t="inlineStr">
        <is>
          <t>CFR_seller_books_freight</t>
        </is>
      </c>
      <c r="C663" s="20" t="n">
        <v>20</v>
      </c>
      <c r="D663" s="20" t="n">
        <v>0</v>
      </c>
      <c r="E663" s="23" t="n">
        <v>4663985</v>
      </c>
      <c r="F663" s="18">
        <f>Sensitivity!$AE$390</f>
        <v/>
      </c>
      <c r="G663" s="8">
        <f>$F663-$E663</f>
        <v/>
      </c>
      <c r="H663" s="8">
        <f>IF(ABS($G663)&lt;=tol_grid_inr,"PASS","FAIL")</f>
        <v/>
      </c>
    </row>
    <row r="664">
      <c r="A664" s="7" t="inlineStr">
        <is>
          <t>june_trough</t>
        </is>
      </c>
      <c r="B664" s="7" t="inlineStr">
        <is>
          <t>CFR_seller_books_freight</t>
        </is>
      </c>
      <c r="C664" s="20" t="n">
        <v>20</v>
      </c>
      <c r="D664" s="20" t="n">
        <v>2.5</v>
      </c>
      <c r="E664" s="23" t="n">
        <v>0</v>
      </c>
      <c r="F664" s="18">
        <f>Sensitivity!$AE$391</f>
        <v/>
      </c>
      <c r="G664" s="8">
        <f>$F664-$E664</f>
        <v/>
      </c>
      <c r="H664" s="8">
        <f>IF(ABS($G664)&lt;=tol_grid_inr,"PASS","FAIL")</f>
        <v/>
      </c>
    </row>
    <row r="665">
      <c r="A665" s="7" t="inlineStr">
        <is>
          <t>june_trough</t>
        </is>
      </c>
      <c r="B665" s="7" t="inlineStr">
        <is>
          <t>CFR_seller_books_freight</t>
        </is>
      </c>
      <c r="C665" s="20" t="n">
        <v>20</v>
      </c>
      <c r="D665" s="20" t="n">
        <v>5</v>
      </c>
      <c r="E665" s="23" t="n">
        <v>-4663985</v>
      </c>
      <c r="F665" s="18">
        <f>Sensitivity!$AE$392</f>
        <v/>
      </c>
      <c r="G665" s="8">
        <f>$F665-$E665</f>
        <v/>
      </c>
      <c r="H665" s="8">
        <f>IF(ABS($G665)&lt;=tol_grid_inr,"PASS","FAIL")</f>
        <v/>
      </c>
    </row>
    <row r="666">
      <c r="A666" s="7" t="inlineStr">
        <is>
          <t>june_trough</t>
        </is>
      </c>
      <c r="B666" s="7" t="inlineStr">
        <is>
          <t>CFR_seller_books_freight</t>
        </is>
      </c>
      <c r="C666" s="20" t="n">
        <v>20</v>
      </c>
      <c r="D666" s="20" t="n">
        <v>7.5</v>
      </c>
      <c r="E666" s="23" t="n">
        <v>-9327970</v>
      </c>
      <c r="F666" s="18">
        <f>Sensitivity!$AE$393</f>
        <v/>
      </c>
      <c r="G666" s="8">
        <f>$F666-$E666</f>
        <v/>
      </c>
      <c r="H666" s="8">
        <f>IF(ABS($G666)&lt;=tol_grid_inr,"PASS","FAIL")</f>
        <v/>
      </c>
    </row>
    <row r="667">
      <c r="A667" s="7" t="inlineStr">
        <is>
          <t>june_trough</t>
        </is>
      </c>
      <c r="B667" s="7" t="inlineStr">
        <is>
          <t>CFR_seller_books_freight</t>
        </is>
      </c>
      <c r="C667" s="20" t="n">
        <v>20</v>
      </c>
      <c r="D667" s="20" t="n">
        <v>10</v>
      </c>
      <c r="E667" s="23" t="n">
        <v>-13991955</v>
      </c>
      <c r="F667" s="18">
        <f>Sensitivity!$AE$394</f>
        <v/>
      </c>
      <c r="G667" s="8">
        <f>$F667-$E667</f>
        <v/>
      </c>
      <c r="H667" s="8">
        <f>IF(ABS($G667)&lt;=tol_grid_inr,"PASS","FAIL")</f>
        <v/>
      </c>
    </row>
    <row r="668">
      <c r="A668" s="7" t="inlineStr">
        <is>
          <t>june_trough</t>
        </is>
      </c>
      <c r="B668" s="7" t="inlineStr">
        <is>
          <t>CFR_seller_books_freight</t>
        </is>
      </c>
      <c r="C668" s="20" t="n">
        <v>40</v>
      </c>
      <c r="D668" s="20" t="n">
        <v>0</v>
      </c>
      <c r="E668" s="23" t="n">
        <v>4663985</v>
      </c>
      <c r="F668" s="18">
        <f>Sensitivity!$AE$395</f>
        <v/>
      </c>
      <c r="G668" s="8">
        <f>$F668-$E668</f>
        <v/>
      </c>
      <c r="H668" s="8">
        <f>IF(ABS($G668)&lt;=tol_grid_inr,"PASS","FAIL")</f>
        <v/>
      </c>
    </row>
    <row r="669">
      <c r="A669" s="7" t="inlineStr">
        <is>
          <t>june_trough</t>
        </is>
      </c>
      <c r="B669" s="7" t="inlineStr">
        <is>
          <t>CFR_seller_books_freight</t>
        </is>
      </c>
      <c r="C669" s="20" t="n">
        <v>40</v>
      </c>
      <c r="D669" s="20" t="n">
        <v>2.5</v>
      </c>
      <c r="E669" s="23" t="n">
        <v>0</v>
      </c>
      <c r="F669" s="18">
        <f>Sensitivity!$AE$396</f>
        <v/>
      </c>
      <c r="G669" s="8">
        <f>$F669-$E669</f>
        <v/>
      </c>
      <c r="H669" s="8">
        <f>IF(ABS($G669)&lt;=tol_grid_inr,"PASS","FAIL")</f>
        <v/>
      </c>
    </row>
    <row r="670">
      <c r="A670" s="7" t="inlineStr">
        <is>
          <t>june_trough</t>
        </is>
      </c>
      <c r="B670" s="7" t="inlineStr">
        <is>
          <t>CFR_seller_books_freight</t>
        </is>
      </c>
      <c r="C670" s="20" t="n">
        <v>40</v>
      </c>
      <c r="D670" s="20" t="n">
        <v>5</v>
      </c>
      <c r="E670" s="23" t="n">
        <v>-4663985</v>
      </c>
      <c r="F670" s="18">
        <f>Sensitivity!$AE$397</f>
        <v/>
      </c>
      <c r="G670" s="8">
        <f>$F670-$E670</f>
        <v/>
      </c>
      <c r="H670" s="8">
        <f>IF(ABS($G670)&lt;=tol_grid_inr,"PASS","FAIL")</f>
        <v/>
      </c>
    </row>
    <row r="671">
      <c r="A671" s="7" t="inlineStr">
        <is>
          <t>june_trough</t>
        </is>
      </c>
      <c r="B671" s="7" t="inlineStr">
        <is>
          <t>CFR_seller_books_freight</t>
        </is>
      </c>
      <c r="C671" s="20" t="n">
        <v>40</v>
      </c>
      <c r="D671" s="20" t="n">
        <v>7.5</v>
      </c>
      <c r="E671" s="23" t="n">
        <v>-9327970</v>
      </c>
      <c r="F671" s="18">
        <f>Sensitivity!$AE$398</f>
        <v/>
      </c>
      <c r="G671" s="8">
        <f>$F671-$E671</f>
        <v/>
      </c>
      <c r="H671" s="8">
        <f>IF(ABS($G671)&lt;=tol_grid_inr,"PASS","FAIL")</f>
        <v/>
      </c>
    </row>
    <row r="672">
      <c r="A672" s="7" t="inlineStr">
        <is>
          <t>june_trough</t>
        </is>
      </c>
      <c r="B672" s="7" t="inlineStr">
        <is>
          <t>CFR_seller_books_freight</t>
        </is>
      </c>
      <c r="C672" s="20" t="n">
        <v>40</v>
      </c>
      <c r="D672" s="20" t="n">
        <v>10</v>
      </c>
      <c r="E672" s="23" t="n">
        <v>-13991955</v>
      </c>
      <c r="F672" s="18">
        <f>Sensitivity!$AE$399</f>
        <v/>
      </c>
      <c r="G672" s="8">
        <f>$F672-$E672</f>
        <v/>
      </c>
      <c r="H672" s="8">
        <f>IF(ABS($G672)&lt;=tol_grid_inr,"PASS","FAIL")</f>
        <v/>
      </c>
    </row>
    <row r="673">
      <c r="A673" s="7" t="inlineStr">
        <is>
          <t>june_trough</t>
        </is>
      </c>
      <c r="B673" s="7" t="inlineStr">
        <is>
          <t>CFR_seller_books_freight</t>
        </is>
      </c>
      <c r="C673" s="20" t="n">
        <v>60</v>
      </c>
      <c r="D673" s="20" t="n">
        <v>0</v>
      </c>
      <c r="E673" s="23" t="n">
        <v>4663985</v>
      </c>
      <c r="F673" s="18">
        <f>Sensitivity!$AE$400</f>
        <v/>
      </c>
      <c r="G673" s="8">
        <f>$F673-$E673</f>
        <v/>
      </c>
      <c r="H673" s="8">
        <f>IF(ABS($G673)&lt;=tol_grid_inr,"PASS","FAIL")</f>
        <v/>
      </c>
    </row>
    <row r="674">
      <c r="A674" s="7" t="inlineStr">
        <is>
          <t>june_trough</t>
        </is>
      </c>
      <c r="B674" s="7" t="inlineStr">
        <is>
          <t>CFR_seller_books_freight</t>
        </is>
      </c>
      <c r="C674" s="20" t="n">
        <v>60</v>
      </c>
      <c r="D674" s="20" t="n">
        <v>2.5</v>
      </c>
      <c r="E674" s="23" t="n">
        <v>0</v>
      </c>
      <c r="F674" s="18">
        <f>Sensitivity!$AE$401</f>
        <v/>
      </c>
      <c r="G674" s="8">
        <f>$F674-$E674</f>
        <v/>
      </c>
      <c r="H674" s="8">
        <f>IF(ABS($G674)&lt;=tol_grid_inr,"PASS","FAIL")</f>
        <v/>
      </c>
    </row>
    <row r="675">
      <c r="A675" s="7" t="inlineStr">
        <is>
          <t>june_trough</t>
        </is>
      </c>
      <c r="B675" s="7" t="inlineStr">
        <is>
          <t>CFR_seller_books_freight</t>
        </is>
      </c>
      <c r="C675" s="20" t="n">
        <v>60</v>
      </c>
      <c r="D675" s="20" t="n">
        <v>5</v>
      </c>
      <c r="E675" s="23" t="n">
        <v>-4663985</v>
      </c>
      <c r="F675" s="18">
        <f>Sensitivity!$AE$402</f>
        <v/>
      </c>
      <c r="G675" s="8">
        <f>$F675-$E675</f>
        <v/>
      </c>
      <c r="H675" s="8">
        <f>IF(ABS($G675)&lt;=tol_grid_inr,"PASS","FAIL")</f>
        <v/>
      </c>
    </row>
    <row r="676">
      <c r="A676" s="7" t="inlineStr">
        <is>
          <t>june_trough</t>
        </is>
      </c>
      <c r="B676" s="7" t="inlineStr">
        <is>
          <t>CFR_seller_books_freight</t>
        </is>
      </c>
      <c r="C676" s="20" t="n">
        <v>60</v>
      </c>
      <c r="D676" s="20" t="n">
        <v>7.5</v>
      </c>
      <c r="E676" s="23" t="n">
        <v>-9327970</v>
      </c>
      <c r="F676" s="18">
        <f>Sensitivity!$AE$403</f>
        <v/>
      </c>
      <c r="G676" s="8">
        <f>$F676-$E676</f>
        <v/>
      </c>
      <c r="H676" s="8">
        <f>IF(ABS($G676)&lt;=tol_grid_inr,"PASS","FAIL")</f>
        <v/>
      </c>
    </row>
    <row r="677">
      <c r="A677" s="7" t="inlineStr">
        <is>
          <t>june_trough</t>
        </is>
      </c>
      <c r="B677" s="7" t="inlineStr">
        <is>
          <t>CFR_seller_books_freight</t>
        </is>
      </c>
      <c r="C677" s="20" t="n">
        <v>60</v>
      </c>
      <c r="D677" s="20" t="n">
        <v>10</v>
      </c>
      <c r="E677" s="23" t="n">
        <v>-13991955</v>
      </c>
      <c r="F677" s="18">
        <f>Sensitivity!$AE$404</f>
        <v/>
      </c>
      <c r="G677" s="8">
        <f>$F677-$E677</f>
        <v/>
      </c>
      <c r="H677" s="8">
        <f>IF(ABS($G677)&lt;=tol_grid_inr,"PASS","FAIL")</f>
        <v/>
      </c>
    </row>
    <row r="678">
      <c r="A678" s="7" t="inlineStr">
        <is>
          <t>first_eligible_long_lane</t>
        </is>
      </c>
      <c r="B678" s="7" t="inlineStr">
        <is>
          <t>FOB_desk_books_freight</t>
        </is>
      </c>
      <c r="C678" s="20" t="n">
        <v>-40</v>
      </c>
      <c r="D678" s="20" t="n">
        <v>0</v>
      </c>
      <c r="E678" s="23" t="n">
        <v>9168170</v>
      </c>
      <c r="F678" s="18">
        <f>Sensitivity!$AE$405</f>
        <v/>
      </c>
      <c r="G678" s="8">
        <f>$F678-$E678</f>
        <v/>
      </c>
      <c r="H678" s="8">
        <f>IF(ABS($G678)&lt;=tol_grid_inr,"PASS","FAIL")</f>
        <v/>
      </c>
    </row>
    <row r="679">
      <c r="A679" s="7" t="inlineStr">
        <is>
          <t>first_eligible_long_lane</t>
        </is>
      </c>
      <c r="B679" s="7" t="inlineStr">
        <is>
          <t>FOB_desk_books_freight</t>
        </is>
      </c>
      <c r="C679" s="20" t="n">
        <v>-40</v>
      </c>
      <c r="D679" s="20" t="n">
        <v>2.5</v>
      </c>
      <c r="E679" s="23" t="n">
        <v>3423159</v>
      </c>
      <c r="F679" s="18">
        <f>Sensitivity!$AE$406</f>
        <v/>
      </c>
      <c r="G679" s="8">
        <f>$F679-$E679</f>
        <v/>
      </c>
      <c r="H679" s="8">
        <f>IF(ABS($G679)&lt;=tol_grid_inr,"PASS","FAIL")</f>
        <v/>
      </c>
    </row>
    <row r="680">
      <c r="A680" s="7" t="inlineStr">
        <is>
          <t>first_eligible_long_lane</t>
        </is>
      </c>
      <c r="B680" s="7" t="inlineStr">
        <is>
          <t>FOB_desk_books_freight</t>
        </is>
      </c>
      <c r="C680" s="20" t="n">
        <v>-40</v>
      </c>
      <c r="D680" s="20" t="n">
        <v>5</v>
      </c>
      <c r="E680" s="23" t="n">
        <v>-2321853</v>
      </c>
      <c r="F680" s="18">
        <f>Sensitivity!$AE$407</f>
        <v/>
      </c>
      <c r="G680" s="8">
        <f>$F680-$E680</f>
        <v/>
      </c>
      <c r="H680" s="8">
        <f>IF(ABS($G680)&lt;=tol_grid_inr,"PASS","FAIL")</f>
        <v/>
      </c>
    </row>
    <row r="681">
      <c r="A681" s="7" t="inlineStr">
        <is>
          <t>first_eligible_long_lane</t>
        </is>
      </c>
      <c r="B681" s="7" t="inlineStr">
        <is>
          <t>FOB_desk_books_freight</t>
        </is>
      </c>
      <c r="C681" s="20" t="n">
        <v>-40</v>
      </c>
      <c r="D681" s="20" t="n">
        <v>7.5</v>
      </c>
      <c r="E681" s="23" t="n">
        <v>-8066865</v>
      </c>
      <c r="F681" s="18">
        <f>Sensitivity!$AE$408</f>
        <v/>
      </c>
      <c r="G681" s="8">
        <f>$F681-$E681</f>
        <v/>
      </c>
      <c r="H681" s="8">
        <f>IF(ABS($G681)&lt;=tol_grid_inr,"PASS","FAIL")</f>
        <v/>
      </c>
    </row>
    <row r="682">
      <c r="A682" s="7" t="inlineStr">
        <is>
          <t>first_eligible_long_lane</t>
        </is>
      </c>
      <c r="B682" s="7" t="inlineStr">
        <is>
          <t>FOB_desk_books_freight</t>
        </is>
      </c>
      <c r="C682" s="20" t="n">
        <v>-40</v>
      </c>
      <c r="D682" s="20" t="n">
        <v>10</v>
      </c>
      <c r="E682" s="23" t="n">
        <v>-13811877</v>
      </c>
      <c r="F682" s="18">
        <f>Sensitivity!$AE$409</f>
        <v/>
      </c>
      <c r="G682" s="8">
        <f>$F682-$E682</f>
        <v/>
      </c>
      <c r="H682" s="8">
        <f>IF(ABS($G682)&lt;=tol_grid_inr,"PASS","FAIL")</f>
        <v/>
      </c>
    </row>
    <row r="683">
      <c r="A683" s="7" t="inlineStr">
        <is>
          <t>first_eligible_long_lane</t>
        </is>
      </c>
      <c r="B683" s="7" t="inlineStr">
        <is>
          <t>FOB_desk_books_freight</t>
        </is>
      </c>
      <c r="C683" s="20" t="n">
        <v>-20</v>
      </c>
      <c r="D683" s="20" t="n">
        <v>0</v>
      </c>
      <c r="E683" s="23" t="n">
        <v>7502448</v>
      </c>
      <c r="F683" s="18">
        <f>Sensitivity!$AE$410</f>
        <v/>
      </c>
      <c r="G683" s="8">
        <f>$F683-$E683</f>
        <v/>
      </c>
      <c r="H683" s="8">
        <f>IF(ABS($G683)&lt;=tol_grid_inr,"PASS","FAIL")</f>
        <v/>
      </c>
    </row>
    <row r="684">
      <c r="A684" s="7" t="inlineStr">
        <is>
          <t>first_eligible_long_lane</t>
        </is>
      </c>
      <c r="B684" s="7" t="inlineStr">
        <is>
          <t>FOB_desk_books_freight</t>
        </is>
      </c>
      <c r="C684" s="20" t="n">
        <v>-20</v>
      </c>
      <c r="D684" s="20" t="n">
        <v>2.5</v>
      </c>
      <c r="E684" s="23" t="n">
        <v>1711579</v>
      </c>
      <c r="F684" s="18">
        <f>Sensitivity!$AE$411</f>
        <v/>
      </c>
      <c r="G684" s="8">
        <f>$F684-$E684</f>
        <v/>
      </c>
      <c r="H684" s="8">
        <f>IF(ABS($G684)&lt;=tol_grid_inr,"PASS","FAIL")</f>
        <v/>
      </c>
    </row>
    <row r="685">
      <c r="A685" s="7" t="inlineStr">
        <is>
          <t>first_eligible_long_lane</t>
        </is>
      </c>
      <c r="B685" s="7" t="inlineStr">
        <is>
          <t>FOB_desk_books_freight</t>
        </is>
      </c>
      <c r="C685" s="20" t="n">
        <v>-20</v>
      </c>
      <c r="D685" s="20" t="n">
        <v>5</v>
      </c>
      <c r="E685" s="23" t="n">
        <v>-4079290</v>
      </c>
      <c r="F685" s="18">
        <f>Sensitivity!$AE$412</f>
        <v/>
      </c>
      <c r="G685" s="8">
        <f>$F685-$E685</f>
        <v/>
      </c>
      <c r="H685" s="8">
        <f>IF(ABS($G685)&lt;=tol_grid_inr,"PASS","FAIL")</f>
        <v/>
      </c>
    </row>
    <row r="686">
      <c r="A686" s="7" t="inlineStr">
        <is>
          <t>first_eligible_long_lane</t>
        </is>
      </c>
      <c r="B686" s="7" t="inlineStr">
        <is>
          <t>FOB_desk_books_freight</t>
        </is>
      </c>
      <c r="C686" s="20" t="n">
        <v>-20</v>
      </c>
      <c r="D686" s="20" t="n">
        <v>7.5</v>
      </c>
      <c r="E686" s="23" t="n">
        <v>-9870159</v>
      </c>
      <c r="F686" s="18">
        <f>Sensitivity!$AE$413</f>
        <v/>
      </c>
      <c r="G686" s="8">
        <f>$F686-$E686</f>
        <v/>
      </c>
      <c r="H686" s="8">
        <f>IF(ABS($G686)&lt;=tol_grid_inr,"PASS","FAIL")</f>
        <v/>
      </c>
    </row>
    <row r="687">
      <c r="A687" s="7" t="inlineStr">
        <is>
          <t>first_eligible_long_lane</t>
        </is>
      </c>
      <c r="B687" s="7" t="inlineStr">
        <is>
          <t>FOB_desk_books_freight</t>
        </is>
      </c>
      <c r="C687" s="20" t="n">
        <v>-20</v>
      </c>
      <c r="D687" s="20" t="n">
        <v>10</v>
      </c>
      <c r="E687" s="23" t="n">
        <v>-15661028</v>
      </c>
      <c r="F687" s="18">
        <f>Sensitivity!$AE$414</f>
        <v/>
      </c>
      <c r="G687" s="8">
        <f>$F687-$E687</f>
        <v/>
      </c>
      <c r="H687" s="8">
        <f>IF(ABS($G687)&lt;=tol_grid_inr,"PASS","FAIL")</f>
        <v/>
      </c>
    </row>
    <row r="688">
      <c r="A688" s="7" t="inlineStr">
        <is>
          <t>first_eligible_long_lane</t>
        </is>
      </c>
      <c r="B688" s="7" t="inlineStr">
        <is>
          <t>FOB_desk_books_freight</t>
        </is>
      </c>
      <c r="C688" s="20" t="n">
        <v>0</v>
      </c>
      <c r="D688" s="20" t="n">
        <v>0</v>
      </c>
      <c r="E688" s="23" t="n">
        <v>5836726</v>
      </c>
      <c r="F688" s="18">
        <f>Sensitivity!$AE$415</f>
        <v/>
      </c>
      <c r="G688" s="8">
        <f>$F688-$E688</f>
        <v/>
      </c>
      <c r="H688" s="8">
        <f>IF(ABS($G688)&lt;=tol_grid_inr,"PASS","FAIL")</f>
        <v/>
      </c>
    </row>
    <row r="689">
      <c r="A689" s="7" t="inlineStr">
        <is>
          <t>first_eligible_long_lane</t>
        </is>
      </c>
      <c r="B689" s="7" t="inlineStr">
        <is>
          <t>FOB_desk_books_freight</t>
        </is>
      </c>
      <c r="C689" s="20" t="n">
        <v>0</v>
      </c>
      <c r="D689" s="20" t="n">
        <v>2.5</v>
      </c>
      <c r="E689" s="23" t="n">
        <v>0</v>
      </c>
      <c r="F689" s="18">
        <f>Sensitivity!$AE$416</f>
        <v/>
      </c>
      <c r="G689" s="8">
        <f>$F689-$E689</f>
        <v/>
      </c>
      <c r="H689" s="8">
        <f>IF(ABS($G689)&lt;=tol_grid_inr,"PASS","FAIL")</f>
        <v/>
      </c>
    </row>
    <row r="690">
      <c r="A690" s="7" t="inlineStr">
        <is>
          <t>first_eligible_long_lane</t>
        </is>
      </c>
      <c r="B690" s="7" t="inlineStr">
        <is>
          <t>FOB_desk_books_freight</t>
        </is>
      </c>
      <c r="C690" s="20" t="n">
        <v>0</v>
      </c>
      <c r="D690" s="20" t="n">
        <v>5</v>
      </c>
      <c r="E690" s="23" t="n">
        <v>-5836726</v>
      </c>
      <c r="F690" s="18">
        <f>Sensitivity!$AE$417</f>
        <v/>
      </c>
      <c r="G690" s="8">
        <f>$F690-$E690</f>
        <v/>
      </c>
      <c r="H690" s="8">
        <f>IF(ABS($G690)&lt;=tol_grid_inr,"PASS","FAIL")</f>
        <v/>
      </c>
    </row>
    <row r="691">
      <c r="A691" s="7" t="inlineStr">
        <is>
          <t>first_eligible_long_lane</t>
        </is>
      </c>
      <c r="B691" s="7" t="inlineStr">
        <is>
          <t>FOB_desk_books_freight</t>
        </is>
      </c>
      <c r="C691" s="20" t="n">
        <v>0</v>
      </c>
      <c r="D691" s="20" t="n">
        <v>7.5</v>
      </c>
      <c r="E691" s="23" t="n">
        <v>-11673452</v>
      </c>
      <c r="F691" s="18">
        <f>Sensitivity!$AE$418</f>
        <v/>
      </c>
      <c r="G691" s="8">
        <f>$F691-$E691</f>
        <v/>
      </c>
      <c r="H691" s="8">
        <f>IF(ABS($G691)&lt;=tol_grid_inr,"PASS","FAIL")</f>
        <v/>
      </c>
    </row>
    <row r="692">
      <c r="A692" s="7" t="inlineStr">
        <is>
          <t>first_eligible_long_lane</t>
        </is>
      </c>
      <c r="B692" s="7" t="inlineStr">
        <is>
          <t>FOB_desk_books_freight</t>
        </is>
      </c>
      <c r="C692" s="20" t="n">
        <v>0</v>
      </c>
      <c r="D692" s="20" t="n">
        <v>10</v>
      </c>
      <c r="E692" s="23" t="n">
        <v>-17510178</v>
      </c>
      <c r="F692" s="18">
        <f>Sensitivity!$AE$419</f>
        <v/>
      </c>
      <c r="G692" s="8">
        <f>$F692-$E692</f>
        <v/>
      </c>
      <c r="H692" s="8">
        <f>IF(ABS($G692)&lt;=tol_grid_inr,"PASS","FAIL")</f>
        <v/>
      </c>
    </row>
    <row r="693">
      <c r="A693" s="7" t="inlineStr">
        <is>
          <t>first_eligible_long_lane</t>
        </is>
      </c>
      <c r="B693" s="7" t="inlineStr">
        <is>
          <t>FOB_desk_books_freight</t>
        </is>
      </c>
      <c r="C693" s="20" t="n">
        <v>20</v>
      </c>
      <c r="D693" s="20" t="n">
        <v>0</v>
      </c>
      <c r="E693" s="23" t="n">
        <v>4171004</v>
      </c>
      <c r="F693" s="18">
        <f>Sensitivity!$AE$420</f>
        <v/>
      </c>
      <c r="G693" s="8">
        <f>$F693-$E693</f>
        <v/>
      </c>
      <c r="H693" s="8">
        <f>IF(ABS($G693)&lt;=tol_grid_inr,"PASS","FAIL")</f>
        <v/>
      </c>
    </row>
    <row r="694">
      <c r="A694" s="7" t="inlineStr">
        <is>
          <t>first_eligible_long_lane</t>
        </is>
      </c>
      <c r="B694" s="7" t="inlineStr">
        <is>
          <t>FOB_desk_books_freight</t>
        </is>
      </c>
      <c r="C694" s="20" t="n">
        <v>20</v>
      </c>
      <c r="D694" s="20" t="n">
        <v>2.5</v>
      </c>
      <c r="E694" s="23" t="n">
        <v>-1711579</v>
      </c>
      <c r="F694" s="18">
        <f>Sensitivity!$AE$421</f>
        <v/>
      </c>
      <c r="G694" s="8">
        <f>$F694-$E694</f>
        <v/>
      </c>
      <c r="H694" s="8">
        <f>IF(ABS($G694)&lt;=tol_grid_inr,"PASS","FAIL")</f>
        <v/>
      </c>
    </row>
    <row r="695">
      <c r="A695" s="7" t="inlineStr">
        <is>
          <t>first_eligible_long_lane</t>
        </is>
      </c>
      <c r="B695" s="7" t="inlineStr">
        <is>
          <t>FOB_desk_books_freight</t>
        </is>
      </c>
      <c r="C695" s="20" t="n">
        <v>20</v>
      </c>
      <c r="D695" s="20" t="n">
        <v>5</v>
      </c>
      <c r="E695" s="23" t="n">
        <v>-7594162</v>
      </c>
      <c r="F695" s="18">
        <f>Sensitivity!$AE$422</f>
        <v/>
      </c>
      <c r="G695" s="8">
        <f>$F695-$E695</f>
        <v/>
      </c>
      <c r="H695" s="8">
        <f>IF(ABS($G695)&lt;=tol_grid_inr,"PASS","FAIL")</f>
        <v/>
      </c>
    </row>
    <row r="696">
      <c r="A696" s="7" t="inlineStr">
        <is>
          <t>first_eligible_long_lane</t>
        </is>
      </c>
      <c r="B696" s="7" t="inlineStr">
        <is>
          <t>FOB_desk_books_freight</t>
        </is>
      </c>
      <c r="C696" s="20" t="n">
        <v>20</v>
      </c>
      <c r="D696" s="20" t="n">
        <v>7.5</v>
      </c>
      <c r="E696" s="23" t="n">
        <v>-13476746</v>
      </c>
      <c r="F696" s="18">
        <f>Sensitivity!$AE$423</f>
        <v/>
      </c>
      <c r="G696" s="8">
        <f>$F696-$E696</f>
        <v/>
      </c>
      <c r="H696" s="8">
        <f>IF(ABS($G696)&lt;=tol_grid_inr,"PASS","FAIL")</f>
        <v/>
      </c>
    </row>
    <row r="697">
      <c r="A697" s="7" t="inlineStr">
        <is>
          <t>first_eligible_long_lane</t>
        </is>
      </c>
      <c r="B697" s="7" t="inlineStr">
        <is>
          <t>FOB_desk_books_freight</t>
        </is>
      </c>
      <c r="C697" s="20" t="n">
        <v>20</v>
      </c>
      <c r="D697" s="20" t="n">
        <v>10</v>
      </c>
      <c r="E697" s="23" t="n">
        <v>-19359329</v>
      </c>
      <c r="F697" s="18">
        <f>Sensitivity!$AE$424</f>
        <v/>
      </c>
      <c r="G697" s="8">
        <f>$F697-$E697</f>
        <v/>
      </c>
      <c r="H697" s="8">
        <f>IF(ABS($G697)&lt;=tol_grid_inr,"PASS","FAIL")</f>
        <v/>
      </c>
    </row>
    <row r="698">
      <c r="A698" s="7" t="inlineStr">
        <is>
          <t>first_eligible_long_lane</t>
        </is>
      </c>
      <c r="B698" s="7" t="inlineStr">
        <is>
          <t>FOB_desk_books_freight</t>
        </is>
      </c>
      <c r="C698" s="20" t="n">
        <v>40</v>
      </c>
      <c r="D698" s="20" t="n">
        <v>0</v>
      </c>
      <c r="E698" s="23" t="n">
        <v>2505282</v>
      </c>
      <c r="F698" s="18">
        <f>Sensitivity!$AE$425</f>
        <v/>
      </c>
      <c r="G698" s="8">
        <f>$F698-$E698</f>
        <v/>
      </c>
      <c r="H698" s="8">
        <f>IF(ABS($G698)&lt;=tol_grid_inr,"PASS","FAIL")</f>
        <v/>
      </c>
    </row>
    <row r="699">
      <c r="A699" s="7" t="inlineStr">
        <is>
          <t>first_eligible_long_lane</t>
        </is>
      </c>
      <c r="B699" s="7" t="inlineStr">
        <is>
          <t>FOB_desk_books_freight</t>
        </is>
      </c>
      <c r="C699" s="20" t="n">
        <v>40</v>
      </c>
      <c r="D699" s="20" t="n">
        <v>2.5</v>
      </c>
      <c r="E699" s="23" t="n">
        <v>-3423159</v>
      </c>
      <c r="F699" s="18">
        <f>Sensitivity!$AE$426</f>
        <v/>
      </c>
      <c r="G699" s="8">
        <f>$F699-$E699</f>
        <v/>
      </c>
      <c r="H699" s="8">
        <f>IF(ABS($G699)&lt;=tol_grid_inr,"PASS","FAIL")</f>
        <v/>
      </c>
    </row>
    <row r="700">
      <c r="A700" s="7" t="inlineStr">
        <is>
          <t>first_eligible_long_lane</t>
        </is>
      </c>
      <c r="B700" s="7" t="inlineStr">
        <is>
          <t>FOB_desk_books_freight</t>
        </is>
      </c>
      <c r="C700" s="20" t="n">
        <v>40</v>
      </c>
      <c r="D700" s="20" t="n">
        <v>5</v>
      </c>
      <c r="E700" s="23" t="n">
        <v>-9351599</v>
      </c>
      <c r="F700" s="18">
        <f>Sensitivity!$AE$427</f>
        <v/>
      </c>
      <c r="G700" s="8">
        <f>$F700-$E700</f>
        <v/>
      </c>
      <c r="H700" s="8">
        <f>IF(ABS($G700)&lt;=tol_grid_inr,"PASS","FAIL")</f>
        <v/>
      </c>
    </row>
    <row r="701">
      <c r="A701" s="7" t="inlineStr">
        <is>
          <t>first_eligible_long_lane</t>
        </is>
      </c>
      <c r="B701" s="7" t="inlineStr">
        <is>
          <t>FOB_desk_books_freight</t>
        </is>
      </c>
      <c r="C701" s="20" t="n">
        <v>40</v>
      </c>
      <c r="D701" s="20" t="n">
        <v>7.5</v>
      </c>
      <c r="E701" s="23" t="n">
        <v>-15280039</v>
      </c>
      <c r="F701" s="18">
        <f>Sensitivity!$AE$428</f>
        <v/>
      </c>
      <c r="G701" s="8">
        <f>$F701-$E701</f>
        <v/>
      </c>
      <c r="H701" s="8">
        <f>IF(ABS($G701)&lt;=tol_grid_inr,"PASS","FAIL")</f>
        <v/>
      </c>
    </row>
    <row r="702">
      <c r="A702" s="7" t="inlineStr">
        <is>
          <t>first_eligible_long_lane</t>
        </is>
      </c>
      <c r="B702" s="7" t="inlineStr">
        <is>
          <t>FOB_desk_books_freight</t>
        </is>
      </c>
      <c r="C702" s="20" t="n">
        <v>40</v>
      </c>
      <c r="D702" s="20" t="n">
        <v>10</v>
      </c>
      <c r="E702" s="23" t="n">
        <v>-21208479</v>
      </c>
      <c r="F702" s="18">
        <f>Sensitivity!$AE$429</f>
        <v/>
      </c>
      <c r="G702" s="8">
        <f>$F702-$E702</f>
        <v/>
      </c>
      <c r="H702" s="8">
        <f>IF(ABS($G702)&lt;=tol_grid_inr,"PASS","FAIL")</f>
        <v/>
      </c>
    </row>
    <row r="703">
      <c r="A703" s="7" t="inlineStr">
        <is>
          <t>first_eligible_long_lane</t>
        </is>
      </c>
      <c r="B703" s="7" t="inlineStr">
        <is>
          <t>FOB_desk_books_freight</t>
        </is>
      </c>
      <c r="C703" s="20" t="n">
        <v>60</v>
      </c>
      <c r="D703" s="20" t="n">
        <v>0</v>
      </c>
      <c r="E703" s="23" t="n">
        <v>839559</v>
      </c>
      <c r="F703" s="18">
        <f>Sensitivity!$AE$430</f>
        <v/>
      </c>
      <c r="G703" s="8">
        <f>$F703-$E703</f>
        <v/>
      </c>
      <c r="H703" s="8">
        <f>IF(ABS($G703)&lt;=tol_grid_inr,"PASS","FAIL")</f>
        <v/>
      </c>
    </row>
    <row r="704">
      <c r="A704" s="7" t="inlineStr">
        <is>
          <t>first_eligible_long_lane</t>
        </is>
      </c>
      <c r="B704" s="7" t="inlineStr">
        <is>
          <t>FOB_desk_books_freight</t>
        </is>
      </c>
      <c r="C704" s="20" t="n">
        <v>60</v>
      </c>
      <c r="D704" s="20" t="n">
        <v>2.5</v>
      </c>
      <c r="E704" s="23" t="n">
        <v>-5134738</v>
      </c>
      <c r="F704" s="18">
        <f>Sensitivity!$AE$431</f>
        <v/>
      </c>
      <c r="G704" s="8">
        <f>$F704-$E704</f>
        <v/>
      </c>
      <c r="H704" s="8">
        <f>IF(ABS($G704)&lt;=tol_grid_inr,"PASS","FAIL")</f>
        <v/>
      </c>
    </row>
    <row r="705">
      <c r="A705" s="7" t="inlineStr">
        <is>
          <t>first_eligible_long_lane</t>
        </is>
      </c>
      <c r="B705" s="7" t="inlineStr">
        <is>
          <t>FOB_desk_books_freight</t>
        </is>
      </c>
      <c r="C705" s="20" t="n">
        <v>60</v>
      </c>
      <c r="D705" s="20" t="n">
        <v>5</v>
      </c>
      <c r="E705" s="23" t="n">
        <v>-11109035</v>
      </c>
      <c r="F705" s="18">
        <f>Sensitivity!$AE$432</f>
        <v/>
      </c>
      <c r="G705" s="8">
        <f>$F705-$E705</f>
        <v/>
      </c>
      <c r="H705" s="8">
        <f>IF(ABS($G705)&lt;=tol_grid_inr,"PASS","FAIL")</f>
        <v/>
      </c>
    </row>
    <row r="706">
      <c r="A706" s="7" t="inlineStr">
        <is>
          <t>first_eligible_long_lane</t>
        </is>
      </c>
      <c r="B706" s="7" t="inlineStr">
        <is>
          <t>FOB_desk_books_freight</t>
        </is>
      </c>
      <c r="C706" s="20" t="n">
        <v>60</v>
      </c>
      <c r="D706" s="20" t="n">
        <v>7.5</v>
      </c>
      <c r="E706" s="23" t="n">
        <v>-17083333</v>
      </c>
      <c r="F706" s="18">
        <f>Sensitivity!$AE$433</f>
        <v/>
      </c>
      <c r="G706" s="8">
        <f>$F706-$E706</f>
        <v/>
      </c>
      <c r="H706" s="8">
        <f>IF(ABS($G706)&lt;=tol_grid_inr,"PASS","FAIL")</f>
        <v/>
      </c>
    </row>
    <row r="707">
      <c r="A707" s="7" t="inlineStr">
        <is>
          <t>first_eligible_long_lane</t>
        </is>
      </c>
      <c r="B707" s="7" t="inlineStr">
        <is>
          <t>FOB_desk_books_freight</t>
        </is>
      </c>
      <c r="C707" s="20" t="n">
        <v>60</v>
      </c>
      <c r="D707" s="20" t="n">
        <v>10</v>
      </c>
      <c r="E707" s="23" t="n">
        <v>-23057630</v>
      </c>
      <c r="F707" s="18">
        <f>Sensitivity!$AE$434</f>
        <v/>
      </c>
      <c r="G707" s="8">
        <f>$F707-$E707</f>
        <v/>
      </c>
      <c r="H707" s="8">
        <f>IF(ABS($G707)&lt;=tol_grid_inr,"PASS","FAIL")</f>
        <v/>
      </c>
    </row>
    <row r="708">
      <c r="A708" s="7" t="inlineStr">
        <is>
          <t>first_eligible_long_lane</t>
        </is>
      </c>
      <c r="B708" s="7" t="inlineStr">
        <is>
          <t>CFR_seller_books_freight</t>
        </is>
      </c>
      <c r="C708" s="20" t="n">
        <v>-40</v>
      </c>
      <c r="D708" s="20" t="n">
        <v>0</v>
      </c>
      <c r="E708" s="23" t="n">
        <v>5836726</v>
      </c>
      <c r="F708" s="18">
        <f>Sensitivity!$AE$435</f>
        <v/>
      </c>
      <c r="G708" s="8">
        <f>$F708-$E708</f>
        <v/>
      </c>
      <c r="H708" s="8">
        <f>IF(ABS($G708)&lt;=tol_grid_inr,"PASS","FAIL")</f>
        <v/>
      </c>
    </row>
    <row r="709">
      <c r="A709" s="7" t="inlineStr">
        <is>
          <t>first_eligible_long_lane</t>
        </is>
      </c>
      <c r="B709" s="7" t="inlineStr">
        <is>
          <t>CFR_seller_books_freight</t>
        </is>
      </c>
      <c r="C709" s="20" t="n">
        <v>-40</v>
      </c>
      <c r="D709" s="20" t="n">
        <v>2.5</v>
      </c>
      <c r="E709" s="23" t="n">
        <v>0</v>
      </c>
      <c r="F709" s="18">
        <f>Sensitivity!$AE$436</f>
        <v/>
      </c>
      <c r="G709" s="8">
        <f>$F709-$E709</f>
        <v/>
      </c>
      <c r="H709" s="8">
        <f>IF(ABS($G709)&lt;=tol_grid_inr,"PASS","FAIL")</f>
        <v/>
      </c>
    </row>
    <row r="710">
      <c r="A710" s="7" t="inlineStr">
        <is>
          <t>first_eligible_long_lane</t>
        </is>
      </c>
      <c r="B710" s="7" t="inlineStr">
        <is>
          <t>CFR_seller_books_freight</t>
        </is>
      </c>
      <c r="C710" s="20" t="n">
        <v>-40</v>
      </c>
      <c r="D710" s="20" t="n">
        <v>5</v>
      </c>
      <c r="E710" s="23" t="n">
        <v>-5836726</v>
      </c>
      <c r="F710" s="18">
        <f>Sensitivity!$AE$437</f>
        <v/>
      </c>
      <c r="G710" s="8">
        <f>$F710-$E710</f>
        <v/>
      </c>
      <c r="H710" s="8">
        <f>IF(ABS($G710)&lt;=tol_grid_inr,"PASS","FAIL")</f>
        <v/>
      </c>
    </row>
    <row r="711">
      <c r="A711" s="7" t="inlineStr">
        <is>
          <t>first_eligible_long_lane</t>
        </is>
      </c>
      <c r="B711" s="7" t="inlineStr">
        <is>
          <t>CFR_seller_books_freight</t>
        </is>
      </c>
      <c r="C711" s="20" t="n">
        <v>-40</v>
      </c>
      <c r="D711" s="20" t="n">
        <v>7.5</v>
      </c>
      <c r="E711" s="23" t="n">
        <v>-11673452</v>
      </c>
      <c r="F711" s="18">
        <f>Sensitivity!$AE$438</f>
        <v/>
      </c>
      <c r="G711" s="8">
        <f>$F711-$E711</f>
        <v/>
      </c>
      <c r="H711" s="8">
        <f>IF(ABS($G711)&lt;=tol_grid_inr,"PASS","FAIL")</f>
        <v/>
      </c>
    </row>
    <row r="712">
      <c r="A712" s="7" t="inlineStr">
        <is>
          <t>first_eligible_long_lane</t>
        </is>
      </c>
      <c r="B712" s="7" t="inlineStr">
        <is>
          <t>CFR_seller_books_freight</t>
        </is>
      </c>
      <c r="C712" s="20" t="n">
        <v>-40</v>
      </c>
      <c r="D712" s="20" t="n">
        <v>10</v>
      </c>
      <c r="E712" s="23" t="n">
        <v>-17510178</v>
      </c>
      <c r="F712" s="18">
        <f>Sensitivity!$AE$439</f>
        <v/>
      </c>
      <c r="G712" s="8">
        <f>$F712-$E712</f>
        <v/>
      </c>
      <c r="H712" s="8">
        <f>IF(ABS($G712)&lt;=tol_grid_inr,"PASS","FAIL")</f>
        <v/>
      </c>
    </row>
    <row r="713">
      <c r="A713" s="7" t="inlineStr">
        <is>
          <t>first_eligible_long_lane</t>
        </is>
      </c>
      <c r="B713" s="7" t="inlineStr">
        <is>
          <t>CFR_seller_books_freight</t>
        </is>
      </c>
      <c r="C713" s="20" t="n">
        <v>-20</v>
      </c>
      <c r="D713" s="20" t="n">
        <v>0</v>
      </c>
      <c r="E713" s="23" t="n">
        <v>5836726</v>
      </c>
      <c r="F713" s="18">
        <f>Sensitivity!$AE$440</f>
        <v/>
      </c>
      <c r="G713" s="8">
        <f>$F713-$E713</f>
        <v/>
      </c>
      <c r="H713" s="8">
        <f>IF(ABS($G713)&lt;=tol_grid_inr,"PASS","FAIL")</f>
        <v/>
      </c>
    </row>
    <row r="714">
      <c r="A714" s="7" t="inlineStr">
        <is>
          <t>first_eligible_long_lane</t>
        </is>
      </c>
      <c r="B714" s="7" t="inlineStr">
        <is>
          <t>CFR_seller_books_freight</t>
        </is>
      </c>
      <c r="C714" s="20" t="n">
        <v>-20</v>
      </c>
      <c r="D714" s="20" t="n">
        <v>2.5</v>
      </c>
      <c r="E714" s="23" t="n">
        <v>0</v>
      </c>
      <c r="F714" s="18">
        <f>Sensitivity!$AE$441</f>
        <v/>
      </c>
      <c r="G714" s="8">
        <f>$F714-$E714</f>
        <v/>
      </c>
      <c r="H714" s="8">
        <f>IF(ABS($G714)&lt;=tol_grid_inr,"PASS","FAIL")</f>
        <v/>
      </c>
    </row>
    <row r="715">
      <c r="A715" s="7" t="inlineStr">
        <is>
          <t>first_eligible_long_lane</t>
        </is>
      </c>
      <c r="B715" s="7" t="inlineStr">
        <is>
          <t>CFR_seller_books_freight</t>
        </is>
      </c>
      <c r="C715" s="20" t="n">
        <v>-20</v>
      </c>
      <c r="D715" s="20" t="n">
        <v>5</v>
      </c>
      <c r="E715" s="23" t="n">
        <v>-5836726</v>
      </c>
      <c r="F715" s="18">
        <f>Sensitivity!$AE$442</f>
        <v/>
      </c>
      <c r="G715" s="8">
        <f>$F715-$E715</f>
        <v/>
      </c>
      <c r="H715" s="8">
        <f>IF(ABS($G715)&lt;=tol_grid_inr,"PASS","FAIL")</f>
        <v/>
      </c>
    </row>
    <row r="716">
      <c r="A716" s="7" t="inlineStr">
        <is>
          <t>first_eligible_long_lane</t>
        </is>
      </c>
      <c r="B716" s="7" t="inlineStr">
        <is>
          <t>CFR_seller_books_freight</t>
        </is>
      </c>
      <c r="C716" s="20" t="n">
        <v>-20</v>
      </c>
      <c r="D716" s="20" t="n">
        <v>7.5</v>
      </c>
      <c r="E716" s="23" t="n">
        <v>-11673452</v>
      </c>
      <c r="F716" s="18">
        <f>Sensitivity!$AE$443</f>
        <v/>
      </c>
      <c r="G716" s="8">
        <f>$F716-$E716</f>
        <v/>
      </c>
      <c r="H716" s="8">
        <f>IF(ABS($G716)&lt;=tol_grid_inr,"PASS","FAIL")</f>
        <v/>
      </c>
    </row>
    <row r="717">
      <c r="A717" s="7" t="inlineStr">
        <is>
          <t>first_eligible_long_lane</t>
        </is>
      </c>
      <c r="B717" s="7" t="inlineStr">
        <is>
          <t>CFR_seller_books_freight</t>
        </is>
      </c>
      <c r="C717" s="20" t="n">
        <v>-20</v>
      </c>
      <c r="D717" s="20" t="n">
        <v>10</v>
      </c>
      <c r="E717" s="23" t="n">
        <v>-17510178</v>
      </c>
      <c r="F717" s="18">
        <f>Sensitivity!$AE$444</f>
        <v/>
      </c>
      <c r="G717" s="8">
        <f>$F717-$E717</f>
        <v/>
      </c>
      <c r="H717" s="8">
        <f>IF(ABS($G717)&lt;=tol_grid_inr,"PASS","FAIL")</f>
        <v/>
      </c>
    </row>
    <row r="718">
      <c r="A718" s="7" t="inlineStr">
        <is>
          <t>first_eligible_long_lane</t>
        </is>
      </c>
      <c r="B718" s="7" t="inlineStr">
        <is>
          <t>CFR_seller_books_freight</t>
        </is>
      </c>
      <c r="C718" s="20" t="n">
        <v>0</v>
      </c>
      <c r="D718" s="20" t="n">
        <v>0</v>
      </c>
      <c r="E718" s="23" t="n">
        <v>5836726</v>
      </c>
      <c r="F718" s="18">
        <f>Sensitivity!$AE$445</f>
        <v/>
      </c>
      <c r="G718" s="8">
        <f>$F718-$E718</f>
        <v/>
      </c>
      <c r="H718" s="8">
        <f>IF(ABS($G718)&lt;=tol_grid_inr,"PASS","FAIL")</f>
        <v/>
      </c>
    </row>
    <row r="719">
      <c r="A719" s="7" t="inlineStr">
        <is>
          <t>first_eligible_long_lane</t>
        </is>
      </c>
      <c r="B719" s="7" t="inlineStr">
        <is>
          <t>CFR_seller_books_freight</t>
        </is>
      </c>
      <c r="C719" s="20" t="n">
        <v>0</v>
      </c>
      <c r="D719" s="20" t="n">
        <v>2.5</v>
      </c>
      <c r="E719" s="23" t="n">
        <v>0</v>
      </c>
      <c r="F719" s="18">
        <f>Sensitivity!$AE$446</f>
        <v/>
      </c>
      <c r="G719" s="8">
        <f>$F719-$E719</f>
        <v/>
      </c>
      <c r="H719" s="8">
        <f>IF(ABS($G719)&lt;=tol_grid_inr,"PASS","FAIL")</f>
        <v/>
      </c>
    </row>
    <row r="720">
      <c r="A720" s="7" t="inlineStr">
        <is>
          <t>first_eligible_long_lane</t>
        </is>
      </c>
      <c r="B720" s="7" t="inlineStr">
        <is>
          <t>CFR_seller_books_freight</t>
        </is>
      </c>
      <c r="C720" s="20" t="n">
        <v>0</v>
      </c>
      <c r="D720" s="20" t="n">
        <v>5</v>
      </c>
      <c r="E720" s="23" t="n">
        <v>-5836726</v>
      </c>
      <c r="F720" s="18">
        <f>Sensitivity!$AE$447</f>
        <v/>
      </c>
      <c r="G720" s="8">
        <f>$F720-$E720</f>
        <v/>
      </c>
      <c r="H720" s="8">
        <f>IF(ABS($G720)&lt;=tol_grid_inr,"PASS","FAIL")</f>
        <v/>
      </c>
    </row>
    <row r="721">
      <c r="A721" s="7" t="inlineStr">
        <is>
          <t>first_eligible_long_lane</t>
        </is>
      </c>
      <c r="B721" s="7" t="inlineStr">
        <is>
          <t>CFR_seller_books_freight</t>
        </is>
      </c>
      <c r="C721" s="20" t="n">
        <v>0</v>
      </c>
      <c r="D721" s="20" t="n">
        <v>7.5</v>
      </c>
      <c r="E721" s="23" t="n">
        <v>-11673452</v>
      </c>
      <c r="F721" s="18">
        <f>Sensitivity!$AE$448</f>
        <v/>
      </c>
      <c r="G721" s="8">
        <f>$F721-$E721</f>
        <v/>
      </c>
      <c r="H721" s="8">
        <f>IF(ABS($G721)&lt;=tol_grid_inr,"PASS","FAIL")</f>
        <v/>
      </c>
    </row>
    <row r="722">
      <c r="A722" s="7" t="inlineStr">
        <is>
          <t>first_eligible_long_lane</t>
        </is>
      </c>
      <c r="B722" s="7" t="inlineStr">
        <is>
          <t>CFR_seller_books_freight</t>
        </is>
      </c>
      <c r="C722" s="20" t="n">
        <v>0</v>
      </c>
      <c r="D722" s="20" t="n">
        <v>10</v>
      </c>
      <c r="E722" s="23" t="n">
        <v>-17510178</v>
      </c>
      <c r="F722" s="18">
        <f>Sensitivity!$AE$449</f>
        <v/>
      </c>
      <c r="G722" s="8">
        <f>$F722-$E722</f>
        <v/>
      </c>
      <c r="H722" s="8">
        <f>IF(ABS($G722)&lt;=tol_grid_inr,"PASS","FAIL")</f>
        <v/>
      </c>
    </row>
    <row r="723">
      <c r="A723" s="7" t="inlineStr">
        <is>
          <t>first_eligible_long_lane</t>
        </is>
      </c>
      <c r="B723" s="7" t="inlineStr">
        <is>
          <t>CFR_seller_books_freight</t>
        </is>
      </c>
      <c r="C723" s="20" t="n">
        <v>20</v>
      </c>
      <c r="D723" s="20" t="n">
        <v>0</v>
      </c>
      <c r="E723" s="23" t="n">
        <v>5836726</v>
      </c>
      <c r="F723" s="18">
        <f>Sensitivity!$AE$450</f>
        <v/>
      </c>
      <c r="G723" s="8">
        <f>$F723-$E723</f>
        <v/>
      </c>
      <c r="H723" s="8">
        <f>IF(ABS($G723)&lt;=tol_grid_inr,"PASS","FAIL")</f>
        <v/>
      </c>
    </row>
    <row r="724">
      <c r="A724" s="7" t="inlineStr">
        <is>
          <t>first_eligible_long_lane</t>
        </is>
      </c>
      <c r="B724" s="7" t="inlineStr">
        <is>
          <t>CFR_seller_books_freight</t>
        </is>
      </c>
      <c r="C724" s="20" t="n">
        <v>20</v>
      </c>
      <c r="D724" s="20" t="n">
        <v>2.5</v>
      </c>
      <c r="E724" s="23" t="n">
        <v>0</v>
      </c>
      <c r="F724" s="18">
        <f>Sensitivity!$AE$451</f>
        <v/>
      </c>
      <c r="G724" s="8">
        <f>$F724-$E724</f>
        <v/>
      </c>
      <c r="H724" s="8">
        <f>IF(ABS($G724)&lt;=tol_grid_inr,"PASS","FAIL")</f>
        <v/>
      </c>
    </row>
    <row r="725">
      <c r="A725" s="7" t="inlineStr">
        <is>
          <t>first_eligible_long_lane</t>
        </is>
      </c>
      <c r="B725" s="7" t="inlineStr">
        <is>
          <t>CFR_seller_books_freight</t>
        </is>
      </c>
      <c r="C725" s="20" t="n">
        <v>20</v>
      </c>
      <c r="D725" s="20" t="n">
        <v>5</v>
      </c>
      <c r="E725" s="23" t="n">
        <v>-5836726</v>
      </c>
      <c r="F725" s="18">
        <f>Sensitivity!$AE$452</f>
        <v/>
      </c>
      <c r="G725" s="8">
        <f>$F725-$E725</f>
        <v/>
      </c>
      <c r="H725" s="8">
        <f>IF(ABS($G725)&lt;=tol_grid_inr,"PASS","FAIL")</f>
        <v/>
      </c>
    </row>
    <row r="726">
      <c r="A726" s="7" t="inlineStr">
        <is>
          <t>first_eligible_long_lane</t>
        </is>
      </c>
      <c r="B726" s="7" t="inlineStr">
        <is>
          <t>CFR_seller_books_freight</t>
        </is>
      </c>
      <c r="C726" s="20" t="n">
        <v>20</v>
      </c>
      <c r="D726" s="20" t="n">
        <v>7.5</v>
      </c>
      <c r="E726" s="23" t="n">
        <v>-11673452</v>
      </c>
      <c r="F726" s="18">
        <f>Sensitivity!$AE$453</f>
        <v/>
      </c>
      <c r="G726" s="8">
        <f>$F726-$E726</f>
        <v/>
      </c>
      <c r="H726" s="8">
        <f>IF(ABS($G726)&lt;=tol_grid_inr,"PASS","FAIL")</f>
        <v/>
      </c>
    </row>
    <row r="727">
      <c r="A727" s="7" t="inlineStr">
        <is>
          <t>first_eligible_long_lane</t>
        </is>
      </c>
      <c r="B727" s="7" t="inlineStr">
        <is>
          <t>CFR_seller_books_freight</t>
        </is>
      </c>
      <c r="C727" s="20" t="n">
        <v>20</v>
      </c>
      <c r="D727" s="20" t="n">
        <v>10</v>
      </c>
      <c r="E727" s="23" t="n">
        <v>-17510178</v>
      </c>
      <c r="F727" s="18">
        <f>Sensitivity!$AE$454</f>
        <v/>
      </c>
      <c r="G727" s="8">
        <f>$F727-$E727</f>
        <v/>
      </c>
      <c r="H727" s="8">
        <f>IF(ABS($G727)&lt;=tol_grid_inr,"PASS","FAIL")</f>
        <v/>
      </c>
    </row>
    <row r="728">
      <c r="A728" s="7" t="inlineStr">
        <is>
          <t>first_eligible_long_lane</t>
        </is>
      </c>
      <c r="B728" s="7" t="inlineStr">
        <is>
          <t>CFR_seller_books_freight</t>
        </is>
      </c>
      <c r="C728" s="20" t="n">
        <v>40</v>
      </c>
      <c r="D728" s="20" t="n">
        <v>0</v>
      </c>
      <c r="E728" s="23" t="n">
        <v>5836726</v>
      </c>
      <c r="F728" s="18">
        <f>Sensitivity!$AE$455</f>
        <v/>
      </c>
      <c r="G728" s="8">
        <f>$F728-$E728</f>
        <v/>
      </c>
      <c r="H728" s="8">
        <f>IF(ABS($G728)&lt;=tol_grid_inr,"PASS","FAIL")</f>
        <v/>
      </c>
    </row>
    <row r="729">
      <c r="A729" s="7" t="inlineStr">
        <is>
          <t>first_eligible_long_lane</t>
        </is>
      </c>
      <c r="B729" s="7" t="inlineStr">
        <is>
          <t>CFR_seller_books_freight</t>
        </is>
      </c>
      <c r="C729" s="20" t="n">
        <v>40</v>
      </c>
      <c r="D729" s="20" t="n">
        <v>2.5</v>
      </c>
      <c r="E729" s="23" t="n">
        <v>0</v>
      </c>
      <c r="F729" s="18">
        <f>Sensitivity!$AE$456</f>
        <v/>
      </c>
      <c r="G729" s="8">
        <f>$F729-$E729</f>
        <v/>
      </c>
      <c r="H729" s="8">
        <f>IF(ABS($G729)&lt;=tol_grid_inr,"PASS","FAIL")</f>
        <v/>
      </c>
    </row>
    <row r="730">
      <c r="A730" s="7" t="inlineStr">
        <is>
          <t>first_eligible_long_lane</t>
        </is>
      </c>
      <c r="B730" s="7" t="inlineStr">
        <is>
          <t>CFR_seller_books_freight</t>
        </is>
      </c>
      <c r="C730" s="20" t="n">
        <v>40</v>
      </c>
      <c r="D730" s="20" t="n">
        <v>5</v>
      </c>
      <c r="E730" s="23" t="n">
        <v>-5836726</v>
      </c>
      <c r="F730" s="18">
        <f>Sensitivity!$AE$457</f>
        <v/>
      </c>
      <c r="G730" s="8">
        <f>$F730-$E730</f>
        <v/>
      </c>
      <c r="H730" s="8">
        <f>IF(ABS($G730)&lt;=tol_grid_inr,"PASS","FAIL")</f>
        <v/>
      </c>
    </row>
    <row r="731">
      <c r="A731" s="7" t="inlineStr">
        <is>
          <t>first_eligible_long_lane</t>
        </is>
      </c>
      <c r="B731" s="7" t="inlineStr">
        <is>
          <t>CFR_seller_books_freight</t>
        </is>
      </c>
      <c r="C731" s="20" t="n">
        <v>40</v>
      </c>
      <c r="D731" s="20" t="n">
        <v>7.5</v>
      </c>
      <c r="E731" s="23" t="n">
        <v>-11673452</v>
      </c>
      <c r="F731" s="18">
        <f>Sensitivity!$AE$458</f>
        <v/>
      </c>
      <c r="G731" s="8">
        <f>$F731-$E731</f>
        <v/>
      </c>
      <c r="H731" s="8">
        <f>IF(ABS($G731)&lt;=tol_grid_inr,"PASS","FAIL")</f>
        <v/>
      </c>
    </row>
    <row r="732">
      <c r="A732" s="7" t="inlineStr">
        <is>
          <t>first_eligible_long_lane</t>
        </is>
      </c>
      <c r="B732" s="7" t="inlineStr">
        <is>
          <t>CFR_seller_books_freight</t>
        </is>
      </c>
      <c r="C732" s="20" t="n">
        <v>40</v>
      </c>
      <c r="D732" s="20" t="n">
        <v>10</v>
      </c>
      <c r="E732" s="23" t="n">
        <v>-17510178</v>
      </c>
      <c r="F732" s="18">
        <f>Sensitivity!$AE$459</f>
        <v/>
      </c>
      <c r="G732" s="8">
        <f>$F732-$E732</f>
        <v/>
      </c>
      <c r="H732" s="8">
        <f>IF(ABS($G732)&lt;=tol_grid_inr,"PASS","FAIL")</f>
        <v/>
      </c>
    </row>
    <row r="733">
      <c r="A733" s="7" t="inlineStr">
        <is>
          <t>first_eligible_long_lane</t>
        </is>
      </c>
      <c r="B733" s="7" t="inlineStr">
        <is>
          <t>CFR_seller_books_freight</t>
        </is>
      </c>
      <c r="C733" s="20" t="n">
        <v>60</v>
      </c>
      <c r="D733" s="20" t="n">
        <v>0</v>
      </c>
      <c r="E733" s="23" t="n">
        <v>5836726</v>
      </c>
      <c r="F733" s="18">
        <f>Sensitivity!$AE$460</f>
        <v/>
      </c>
      <c r="G733" s="8">
        <f>$F733-$E733</f>
        <v/>
      </c>
      <c r="H733" s="8">
        <f>IF(ABS($G733)&lt;=tol_grid_inr,"PASS","FAIL")</f>
        <v/>
      </c>
    </row>
    <row r="734">
      <c r="A734" s="7" t="inlineStr">
        <is>
          <t>first_eligible_long_lane</t>
        </is>
      </c>
      <c r="B734" s="7" t="inlineStr">
        <is>
          <t>CFR_seller_books_freight</t>
        </is>
      </c>
      <c r="C734" s="20" t="n">
        <v>60</v>
      </c>
      <c r="D734" s="20" t="n">
        <v>2.5</v>
      </c>
      <c r="E734" s="23" t="n">
        <v>0</v>
      </c>
      <c r="F734" s="18">
        <f>Sensitivity!$AE$461</f>
        <v/>
      </c>
      <c r="G734" s="8">
        <f>$F734-$E734</f>
        <v/>
      </c>
      <c r="H734" s="8">
        <f>IF(ABS($G734)&lt;=tol_grid_inr,"PASS","FAIL")</f>
        <v/>
      </c>
    </row>
    <row r="735">
      <c r="A735" s="7" t="inlineStr">
        <is>
          <t>first_eligible_long_lane</t>
        </is>
      </c>
      <c r="B735" s="7" t="inlineStr">
        <is>
          <t>CFR_seller_books_freight</t>
        </is>
      </c>
      <c r="C735" s="20" t="n">
        <v>60</v>
      </c>
      <c r="D735" s="20" t="n">
        <v>5</v>
      </c>
      <c r="E735" s="23" t="n">
        <v>-5836726</v>
      </c>
      <c r="F735" s="18">
        <f>Sensitivity!$AE$462</f>
        <v/>
      </c>
      <c r="G735" s="8">
        <f>$F735-$E735</f>
        <v/>
      </c>
      <c r="H735" s="8">
        <f>IF(ABS($G735)&lt;=tol_grid_inr,"PASS","FAIL")</f>
        <v/>
      </c>
    </row>
    <row r="736">
      <c r="A736" s="7" t="inlineStr">
        <is>
          <t>first_eligible_long_lane</t>
        </is>
      </c>
      <c r="B736" s="7" t="inlineStr">
        <is>
          <t>CFR_seller_books_freight</t>
        </is>
      </c>
      <c r="C736" s="20" t="n">
        <v>60</v>
      </c>
      <c r="D736" s="20" t="n">
        <v>7.5</v>
      </c>
      <c r="E736" s="23" t="n">
        <v>-11673452</v>
      </c>
      <c r="F736" s="18">
        <f>Sensitivity!$AE$463</f>
        <v/>
      </c>
      <c r="G736" s="8">
        <f>$F736-$E736</f>
        <v/>
      </c>
      <c r="H736" s="8">
        <f>IF(ABS($G736)&lt;=tol_grid_inr,"PASS","FAIL")</f>
        <v/>
      </c>
    </row>
    <row r="737">
      <c r="A737" s="7" t="inlineStr">
        <is>
          <t>first_eligible_long_lane</t>
        </is>
      </c>
      <c r="B737" s="7" t="inlineStr">
        <is>
          <t>CFR_seller_books_freight</t>
        </is>
      </c>
      <c r="C737" s="20" t="n">
        <v>60</v>
      </c>
      <c r="D737" s="20" t="n">
        <v>10</v>
      </c>
      <c r="E737" s="23" t="n">
        <v>-17510178</v>
      </c>
      <c r="F737" s="18">
        <f>Sensitivity!$AE$464</f>
        <v/>
      </c>
      <c r="G737" s="8">
        <f>$F737-$E737</f>
        <v/>
      </c>
      <c r="H737" s="8">
        <f>IF(ABS($G737)&lt;=tol_grid_inr,"PASS","FAIL")</f>
        <v/>
      </c>
    </row>
    <row r="740">
      <c r="A740" s="4" t="inlineStr">
        <is>
          <t>4. Term structure — the implied M+1 average of LME cash, every week</t>
        </is>
      </c>
    </row>
    <row r="742" ht="30" customHeight="1">
      <c r="A742" s="5" t="inlineStr">
        <is>
          <t>week_end</t>
        </is>
      </c>
      <c r="B742" s="5" t="inlineStr">
        <is>
          <t>mplus1_month</t>
        </is>
      </c>
      <c r="C742" s="5" t="inlineStr">
        <is>
          <t>py_implied_avg_usd_t</t>
        </is>
      </c>
      <c r="D742" s="5" t="inlineStr">
        <is>
          <t>xl_implied_avg_usd_t</t>
        </is>
      </c>
      <c r="E742" s="5" t="inlineStr">
        <is>
          <t>py_realised_avg_usd_t</t>
        </is>
      </c>
      <c r="F742" s="5" t="inlineStr">
        <is>
          <t>xl_realised_avg_usd_t</t>
        </is>
      </c>
      <c r="G742" s="5" t="inlineStr">
        <is>
          <t>diff</t>
        </is>
      </c>
      <c r="H742" s="5" t="inlineStr">
        <is>
          <t>diff_realised</t>
        </is>
      </c>
      <c r="I742" s="5" t="inlineStr">
        <is>
          <t>check</t>
        </is>
      </c>
    </row>
    <row r="743">
      <c r="A743" s="11" t="n">
        <v>44568</v>
      </c>
      <c r="B743" s="7" t="inlineStr">
        <is>
          <t>2022-02</t>
        </is>
      </c>
      <c r="C743" s="29" t="n">
        <v>2924.8343</v>
      </c>
      <c r="D743" s="16">
        <f>Term_Structure!$R$8</f>
        <v/>
      </c>
      <c r="E743" s="29" t="n">
        <v>3260.825</v>
      </c>
      <c r="F743" s="16">
        <f>Term_Structure!$W$8</f>
        <v/>
      </c>
      <c r="G743" s="8">
        <f>$D743-$C743</f>
        <v/>
      </c>
      <c r="H743" s="8">
        <f>$F743-$E743</f>
        <v/>
      </c>
      <c r="I743" s="8">
        <f>IF(AND(ABS($G743)&lt;=tol_usd_t,ABS($H743)&lt;=tol_usd_t),"PASS","FAIL")</f>
        <v/>
      </c>
    </row>
    <row r="744">
      <c r="A744" s="11" t="n">
        <v>44575</v>
      </c>
      <c r="B744" s="7" t="inlineStr">
        <is>
          <t>2022-02</t>
        </is>
      </c>
      <c r="C744" s="29" t="n">
        <v>2978.3634</v>
      </c>
      <c r="D744" s="16">
        <f>Term_Structure!$R$9</f>
        <v/>
      </c>
      <c r="E744" s="29" t="n">
        <v>3260.825</v>
      </c>
      <c r="F744" s="16">
        <f>Term_Structure!$W$9</f>
        <v/>
      </c>
      <c r="G744" s="8">
        <f>$D744-$C744</f>
        <v/>
      </c>
      <c r="H744" s="8">
        <f>$F744-$E744</f>
        <v/>
      </c>
      <c r="I744" s="8">
        <f>IF(AND(ABS($G744)&lt;=tol_usd_t,ABS($H744)&lt;=tol_usd_t),"PASS","FAIL")</f>
        <v/>
      </c>
    </row>
    <row r="745">
      <c r="A745" s="11" t="n">
        <v>44582</v>
      </c>
      <c r="B745" s="7" t="inlineStr">
        <is>
          <t>2022-02</t>
        </is>
      </c>
      <c r="C745" s="29" t="n">
        <v>3074.6169</v>
      </c>
      <c r="D745" s="16">
        <f>Term_Structure!$R$10</f>
        <v/>
      </c>
      <c r="E745" s="29" t="n">
        <v>3260.825</v>
      </c>
      <c r="F745" s="16">
        <f>Term_Structure!$W$10</f>
        <v/>
      </c>
      <c r="G745" s="8">
        <f>$D745-$C745</f>
        <v/>
      </c>
      <c r="H745" s="8">
        <f>$F745-$E745</f>
        <v/>
      </c>
      <c r="I745" s="8">
        <f>IF(AND(ABS($G745)&lt;=tol_usd_t,ABS($H745)&lt;=tol_usd_t),"PASS","FAIL")</f>
        <v/>
      </c>
    </row>
    <row r="746">
      <c r="A746" s="11" t="n">
        <v>44589</v>
      </c>
      <c r="B746" s="7" t="inlineStr">
        <is>
          <t>2022-02</t>
        </is>
      </c>
      <c r="C746" s="29" t="n">
        <v>3105.5273</v>
      </c>
      <c r="D746" s="16">
        <f>Term_Structure!$R$11</f>
        <v/>
      </c>
      <c r="E746" s="29" t="n">
        <v>3260.825</v>
      </c>
      <c r="F746" s="16">
        <f>Term_Structure!$W$11</f>
        <v/>
      </c>
      <c r="G746" s="8">
        <f>$D746-$C746</f>
        <v/>
      </c>
      <c r="H746" s="8">
        <f>$F746-$E746</f>
        <v/>
      </c>
      <c r="I746" s="8">
        <f>IF(AND(ABS($G746)&lt;=tol_usd_t,ABS($H746)&lt;=tol_usd_t),"PASS","FAIL")</f>
        <v/>
      </c>
    </row>
    <row r="747">
      <c r="A747" s="11" t="n">
        <v>44596</v>
      </c>
      <c r="B747" s="7" t="inlineStr">
        <is>
          <t>2022-03</t>
        </is>
      </c>
      <c r="C747" s="29" t="n">
        <v>3076.9621</v>
      </c>
      <c r="D747" s="16">
        <f>Term_Structure!$R$12</f>
        <v/>
      </c>
      <c r="E747" s="29" t="n">
        <v>3537.8478</v>
      </c>
      <c r="F747" s="16">
        <f>Term_Structure!$W$12</f>
        <v/>
      </c>
      <c r="G747" s="8">
        <f>$D747-$C747</f>
        <v/>
      </c>
      <c r="H747" s="8">
        <f>$F747-$E747</f>
        <v/>
      </c>
      <c r="I747" s="8">
        <f>IF(AND(ABS($G747)&lt;=tol_usd_t,ABS($H747)&lt;=tol_usd_t),"PASS","FAIL")</f>
        <v/>
      </c>
    </row>
    <row r="748">
      <c r="A748" s="11" t="n">
        <v>44603</v>
      </c>
      <c r="B748" s="7" t="inlineStr">
        <is>
          <t>2022-03</t>
        </is>
      </c>
      <c r="C748" s="29" t="n">
        <v>3192.5217</v>
      </c>
      <c r="D748" s="16">
        <f>Term_Structure!$R$13</f>
        <v/>
      </c>
      <c r="E748" s="29" t="n">
        <v>3537.8478</v>
      </c>
      <c r="F748" s="16">
        <f>Term_Structure!$W$13</f>
        <v/>
      </c>
      <c r="G748" s="8">
        <f>$D748-$C748</f>
        <v/>
      </c>
      <c r="H748" s="8">
        <f>$F748-$E748</f>
        <v/>
      </c>
      <c r="I748" s="8">
        <f>IF(AND(ABS($G748)&lt;=tol_usd_t,ABS($H748)&lt;=tol_usd_t),"PASS","FAIL")</f>
        <v/>
      </c>
    </row>
    <row r="749">
      <c r="A749" s="11" t="n">
        <v>44610</v>
      </c>
      <c r="B749" s="7" t="inlineStr">
        <is>
          <t>2022-03</t>
        </is>
      </c>
      <c r="C749" s="29" t="n">
        <v>3299.7136</v>
      </c>
      <c r="D749" s="16">
        <f>Term_Structure!$R$14</f>
        <v/>
      </c>
      <c r="E749" s="29" t="n">
        <v>3537.8478</v>
      </c>
      <c r="F749" s="16">
        <f>Term_Structure!$W$14</f>
        <v/>
      </c>
      <c r="G749" s="8">
        <f>$D749-$C749</f>
        <v/>
      </c>
      <c r="H749" s="8">
        <f>$F749-$E749</f>
        <v/>
      </c>
      <c r="I749" s="8">
        <f>IF(AND(ABS($G749)&lt;=tol_usd_t,ABS($H749)&lt;=tol_usd_t),"PASS","FAIL")</f>
        <v/>
      </c>
    </row>
    <row r="750">
      <c r="A750" s="11" t="n">
        <v>44617</v>
      </c>
      <c r="B750" s="7" t="inlineStr">
        <is>
          <t>2022-03</t>
        </is>
      </c>
      <c r="C750" s="29" t="n">
        <v>3346.8179</v>
      </c>
      <c r="D750" s="16">
        <f>Term_Structure!$R$15</f>
        <v/>
      </c>
      <c r="E750" s="29" t="n">
        <v>3537.8478</v>
      </c>
      <c r="F750" s="16">
        <f>Term_Structure!$W$15</f>
        <v/>
      </c>
      <c r="G750" s="8">
        <f>$D750-$C750</f>
        <v/>
      </c>
      <c r="H750" s="8">
        <f>$F750-$E750</f>
        <v/>
      </c>
      <c r="I750" s="8">
        <f>IF(AND(ABS($G750)&lt;=tol_usd_t,ABS($H750)&lt;=tol_usd_t),"PASS","FAIL")</f>
        <v/>
      </c>
    </row>
    <row r="751">
      <c r="A751" s="11" t="n">
        <v>44624</v>
      </c>
      <c r="B751" s="7" t="inlineStr">
        <is>
          <t>2022-04</t>
        </is>
      </c>
      <c r="C751" s="29" t="n">
        <v>3836.6646</v>
      </c>
      <c r="D751" s="16">
        <f>Term_Structure!$R$16</f>
        <v/>
      </c>
      <c r="E751" s="29" t="n">
        <v>3256.5789</v>
      </c>
      <c r="F751" s="16">
        <f>Term_Structure!$W$16</f>
        <v/>
      </c>
      <c r="G751" s="8">
        <f>$D751-$C751</f>
        <v/>
      </c>
      <c r="H751" s="8">
        <f>$F751-$E751</f>
        <v/>
      </c>
      <c r="I751" s="8">
        <f>IF(AND(ABS($G751)&lt;=tol_usd_t,ABS($H751)&lt;=tol_usd_t),"PASS","FAIL")</f>
        <v/>
      </c>
    </row>
    <row r="752">
      <c r="A752" s="11" t="n">
        <v>44631</v>
      </c>
      <c r="B752" s="7" t="inlineStr">
        <is>
          <t>2022-04</t>
        </is>
      </c>
      <c r="C752" s="29" t="n">
        <v>3482.7704</v>
      </c>
      <c r="D752" s="16">
        <f>Term_Structure!$R$17</f>
        <v/>
      </c>
      <c r="E752" s="29" t="n">
        <v>3256.5789</v>
      </c>
      <c r="F752" s="16">
        <f>Term_Structure!$W$17</f>
        <v/>
      </c>
      <c r="G752" s="8">
        <f>$D752-$C752</f>
        <v/>
      </c>
      <c r="H752" s="8">
        <f>$F752-$E752</f>
        <v/>
      </c>
      <c r="I752" s="8">
        <f>IF(AND(ABS($G752)&lt;=tol_usd_t,ABS($H752)&lt;=tol_usd_t),"PASS","FAIL")</f>
        <v/>
      </c>
    </row>
    <row r="753">
      <c r="A753" s="11" t="n">
        <v>44638</v>
      </c>
      <c r="B753" s="7" t="inlineStr">
        <is>
          <t>2022-04</t>
        </is>
      </c>
      <c r="C753" s="29" t="n">
        <v>3386.4841</v>
      </c>
      <c r="D753" s="16">
        <f>Term_Structure!$R$18</f>
        <v/>
      </c>
      <c r="E753" s="29" t="n">
        <v>3256.5789</v>
      </c>
      <c r="F753" s="16">
        <f>Term_Structure!$W$18</f>
        <v/>
      </c>
      <c r="G753" s="8">
        <f>$D753-$C753</f>
        <v/>
      </c>
      <c r="H753" s="8">
        <f>$F753-$E753</f>
        <v/>
      </c>
      <c r="I753" s="8">
        <f>IF(AND(ABS($G753)&lt;=tol_usd_t,ABS($H753)&lt;=tol_usd_t),"PASS","FAIL")</f>
        <v/>
      </c>
    </row>
    <row r="754">
      <c r="A754" s="11" t="n">
        <v>44645</v>
      </c>
      <c r="B754" s="7" t="inlineStr">
        <is>
          <t>2022-04</t>
        </is>
      </c>
      <c r="C754" s="29" t="n">
        <v>3584.7183</v>
      </c>
      <c r="D754" s="16">
        <f>Term_Structure!$R$19</f>
        <v/>
      </c>
      <c r="E754" s="29" t="n">
        <v>3256.5789</v>
      </c>
      <c r="F754" s="16">
        <f>Term_Structure!$W$19</f>
        <v/>
      </c>
      <c r="G754" s="8">
        <f>$D754-$C754</f>
        <v/>
      </c>
      <c r="H754" s="8">
        <f>$F754-$E754</f>
        <v/>
      </c>
      <c r="I754" s="8">
        <f>IF(AND(ABS($G754)&lt;=tol_usd_t,ABS($H754)&lt;=tol_usd_t),"PASS","FAIL")</f>
        <v/>
      </c>
    </row>
    <row r="755">
      <c r="A755" s="11" t="n">
        <v>44652</v>
      </c>
      <c r="B755" s="7" t="inlineStr">
        <is>
          <t>2022-05</t>
        </is>
      </c>
      <c r="C755" s="29" t="n">
        <v>3491.0334</v>
      </c>
      <c r="D755" s="16">
        <f>Term_Structure!$R$20</f>
        <v/>
      </c>
      <c r="E755" s="29" t="n">
        <v>2826.3571</v>
      </c>
      <c r="F755" s="16">
        <f>Term_Structure!$W$20</f>
        <v/>
      </c>
      <c r="G755" s="8">
        <f>$D755-$C755</f>
        <v/>
      </c>
      <c r="H755" s="8">
        <f>$F755-$E755</f>
        <v/>
      </c>
      <c r="I755" s="8">
        <f>IF(AND(ABS($G755)&lt;=tol_usd_t,ABS($H755)&lt;=tol_usd_t),"PASS","FAIL")</f>
        <v/>
      </c>
    </row>
    <row r="756">
      <c r="A756" s="11" t="n">
        <v>44659</v>
      </c>
      <c r="B756" s="7" t="inlineStr">
        <is>
          <t>2022-05</t>
        </is>
      </c>
      <c r="C756" s="29" t="n">
        <v>3406.8056</v>
      </c>
      <c r="D756" s="16">
        <f>Term_Structure!$R$21</f>
        <v/>
      </c>
      <c r="E756" s="29" t="n">
        <v>2826.3571</v>
      </c>
      <c r="F756" s="16">
        <f>Term_Structure!$W$21</f>
        <v/>
      </c>
      <c r="G756" s="8">
        <f>$D756-$C756</f>
        <v/>
      </c>
      <c r="H756" s="8">
        <f>$F756-$E756</f>
        <v/>
      </c>
      <c r="I756" s="8">
        <f>IF(AND(ABS($G756)&lt;=tol_usd_t,ABS($H756)&lt;=tol_usd_t),"PASS","FAIL")</f>
        <v/>
      </c>
    </row>
    <row r="757">
      <c r="A757" s="11" t="n">
        <v>44666</v>
      </c>
      <c r="B757" s="7" t="inlineStr">
        <is>
          <t>2022-05</t>
        </is>
      </c>
      <c r="C757" s="29" t="n">
        <v>3247.5509</v>
      </c>
      <c r="D757" s="16">
        <f>Term_Structure!$R$22</f>
        <v/>
      </c>
      <c r="E757" s="29" t="n">
        <v>2826.3571</v>
      </c>
      <c r="F757" s="16">
        <f>Term_Structure!$W$22</f>
        <v/>
      </c>
      <c r="G757" s="8">
        <f>$D757-$C757</f>
        <v/>
      </c>
      <c r="H757" s="8">
        <f>$F757-$E757</f>
        <v/>
      </c>
      <c r="I757" s="8">
        <f>IF(AND(ABS($G757)&lt;=tol_usd_t,ABS($H757)&lt;=tol_usd_t),"PASS","FAIL")</f>
        <v/>
      </c>
    </row>
    <row r="758">
      <c r="A758" s="11" t="n">
        <v>44673</v>
      </c>
      <c r="B758" s="7" t="inlineStr">
        <is>
          <t>2022-05</t>
        </is>
      </c>
      <c r="C758" s="29" t="n">
        <v>3248.4321</v>
      </c>
      <c r="D758" s="16">
        <f>Term_Structure!$R$23</f>
        <v/>
      </c>
      <c r="E758" s="29" t="n">
        <v>2826.3571</v>
      </c>
      <c r="F758" s="16">
        <f>Term_Structure!$W$23</f>
        <v/>
      </c>
      <c r="G758" s="8">
        <f>$D758-$C758</f>
        <v/>
      </c>
      <c r="H758" s="8">
        <f>$F758-$E758</f>
        <v/>
      </c>
      <c r="I758" s="8">
        <f>IF(AND(ABS($G758)&lt;=tol_usd_t,ABS($H758)&lt;=tol_usd_t),"PASS","FAIL")</f>
        <v/>
      </c>
    </row>
    <row r="759">
      <c r="A759" s="11" t="n">
        <v>44680</v>
      </c>
      <c r="B759" s="7" t="inlineStr">
        <is>
          <t>2022-05</t>
        </is>
      </c>
      <c r="C759" s="29" t="n">
        <v>3039.9013</v>
      </c>
      <c r="D759" s="16">
        <f>Term_Structure!$R$24</f>
        <v/>
      </c>
      <c r="E759" s="29" t="n">
        <v>2826.3571</v>
      </c>
      <c r="F759" s="16">
        <f>Term_Structure!$W$24</f>
        <v/>
      </c>
      <c r="G759" s="8">
        <f>$D759-$C759</f>
        <v/>
      </c>
      <c r="H759" s="8">
        <f>$F759-$E759</f>
        <v/>
      </c>
      <c r="I759" s="8">
        <f>IF(AND(ABS($G759)&lt;=tol_usd_t,ABS($H759)&lt;=tol_usd_t),"PASS","FAIL")</f>
        <v/>
      </c>
    </row>
    <row r="760">
      <c r="A760" s="11" t="n">
        <v>44687</v>
      </c>
      <c r="B760" s="7" t="inlineStr">
        <is>
          <t>2022-06</t>
        </is>
      </c>
      <c r="C760" s="29" t="n">
        <v>2848.9583</v>
      </c>
      <c r="D760" s="16">
        <f>Term_Structure!$R$25</f>
        <v/>
      </c>
      <c r="E760" s="29" t="n">
        <v>2562.925</v>
      </c>
      <c r="F760" s="16">
        <f>Term_Structure!$W$25</f>
        <v/>
      </c>
      <c r="G760" s="8">
        <f>$D760-$C760</f>
        <v/>
      </c>
      <c r="H760" s="8">
        <f>$F760-$E760</f>
        <v/>
      </c>
      <c r="I760" s="8">
        <f>IF(AND(ABS($G760)&lt;=tol_usd_t,ABS($H760)&lt;=tol_usd_t),"PASS","FAIL")</f>
        <v/>
      </c>
    </row>
    <row r="761">
      <c r="A761" s="11" t="n">
        <v>44694</v>
      </c>
      <c r="B761" s="7" t="inlineStr">
        <is>
          <t>2022-06</t>
        </is>
      </c>
      <c r="C761" s="29" t="n">
        <v>2732.75</v>
      </c>
      <c r="D761" s="16">
        <f>Term_Structure!$R$26</f>
        <v/>
      </c>
      <c r="E761" s="29" t="n">
        <v>2562.925</v>
      </c>
      <c r="F761" s="16">
        <f>Term_Structure!$W$26</f>
        <v/>
      </c>
      <c r="G761" s="8">
        <f>$D761-$C761</f>
        <v/>
      </c>
      <c r="H761" s="8">
        <f>$F761-$E761</f>
        <v/>
      </c>
      <c r="I761" s="8">
        <f>IF(AND(ABS($G761)&lt;=tol_usd_t,ABS($H761)&lt;=tol_usd_t),"PASS","FAIL")</f>
        <v/>
      </c>
    </row>
    <row r="762">
      <c r="A762" s="11" t="n">
        <v>44701</v>
      </c>
      <c r="B762" s="7" t="inlineStr">
        <is>
          <t>2022-06</t>
        </is>
      </c>
      <c r="C762" s="29" t="n">
        <v>2932.1333</v>
      </c>
      <c r="D762" s="16">
        <f>Term_Structure!$R$27</f>
        <v/>
      </c>
      <c r="E762" s="29" t="n">
        <v>2562.925</v>
      </c>
      <c r="F762" s="16">
        <f>Term_Structure!$W$27</f>
        <v/>
      </c>
      <c r="G762" s="8">
        <f>$D762-$C762</f>
        <v/>
      </c>
      <c r="H762" s="8">
        <f>$F762-$E762</f>
        <v/>
      </c>
      <c r="I762" s="8">
        <f>IF(AND(ABS($G762)&lt;=tol_usd_t,ABS($H762)&lt;=tol_usd_t),"PASS","FAIL")</f>
        <v/>
      </c>
    </row>
    <row r="763">
      <c r="A763" s="11" t="n">
        <v>44708</v>
      </c>
      <c r="B763" s="7" t="inlineStr">
        <is>
          <t>2022-06</t>
        </is>
      </c>
      <c r="C763" s="29" t="n">
        <v>2827.9333</v>
      </c>
      <c r="D763" s="16">
        <f>Term_Structure!$R$28</f>
        <v/>
      </c>
      <c r="E763" s="29" t="n">
        <v>2562.925</v>
      </c>
      <c r="F763" s="16">
        <f>Term_Structure!$W$28</f>
        <v/>
      </c>
      <c r="G763" s="8">
        <f>$D763-$C763</f>
        <v/>
      </c>
      <c r="H763" s="8">
        <f>$F763-$E763</f>
        <v/>
      </c>
      <c r="I763" s="8">
        <f>IF(AND(ABS($G763)&lt;=tol_usd_t,ABS($H763)&lt;=tol_usd_t),"PASS","FAIL")</f>
        <v/>
      </c>
    </row>
    <row r="764">
      <c r="A764" s="11" t="n">
        <v>44715</v>
      </c>
      <c r="B764" s="7" t="inlineStr">
        <is>
          <t>2022-07</t>
        </is>
      </c>
      <c r="C764" s="29" t="n">
        <v>2715.946</v>
      </c>
      <c r="D764" s="16">
        <f>Term_Structure!$R$29</f>
        <v/>
      </c>
      <c r="E764" s="29" t="n">
        <v>2401.5714</v>
      </c>
      <c r="F764" s="16">
        <f>Term_Structure!$W$29</f>
        <v/>
      </c>
      <c r="G764" s="8">
        <f>$D764-$C764</f>
        <v/>
      </c>
      <c r="H764" s="8">
        <f>$F764-$E764</f>
        <v/>
      </c>
      <c r="I764" s="8">
        <f>IF(AND(ABS($G764)&lt;=tol_usd_t,ABS($H764)&lt;=tol_usd_t),"PASS","FAIL")</f>
        <v/>
      </c>
    </row>
    <row r="765">
      <c r="A765" s="11" t="n">
        <v>44722</v>
      </c>
      <c r="B765" s="7" t="inlineStr">
        <is>
          <t>2022-07</t>
        </is>
      </c>
      <c r="C765" s="29" t="n">
        <v>2700.7698</v>
      </c>
      <c r="D765" s="16">
        <f>Term_Structure!$R$30</f>
        <v/>
      </c>
      <c r="E765" s="29" t="n">
        <v>2401.5714</v>
      </c>
      <c r="F765" s="16">
        <f>Term_Structure!$W$30</f>
        <v/>
      </c>
      <c r="G765" s="8">
        <f>$D765-$C765</f>
        <v/>
      </c>
      <c r="H765" s="8">
        <f>$F765-$E765</f>
        <v/>
      </c>
      <c r="I765" s="8">
        <f>IF(AND(ABS($G765)&lt;=tol_usd_t,ABS($H765)&lt;=tol_usd_t),"PASS","FAIL")</f>
        <v/>
      </c>
    </row>
    <row r="766">
      <c r="A766" s="11" t="n">
        <v>44729</v>
      </c>
      <c r="B766" s="7" t="inlineStr">
        <is>
          <t>2022-07</t>
        </is>
      </c>
      <c r="C766" s="29" t="n">
        <v>2482.5926</v>
      </c>
      <c r="D766" s="16">
        <f>Term_Structure!$R$31</f>
        <v/>
      </c>
      <c r="E766" s="29" t="n">
        <v>2401.5714</v>
      </c>
      <c r="F766" s="16">
        <f>Term_Structure!$W$31</f>
        <v/>
      </c>
      <c r="G766" s="8">
        <f>$D766-$C766</f>
        <v/>
      </c>
      <c r="H766" s="8">
        <f>$F766-$E766</f>
        <v/>
      </c>
      <c r="I766" s="8">
        <f>IF(AND(ABS($G766)&lt;=tol_usd_t,ABS($H766)&lt;=tol_usd_t),"PASS","FAIL")</f>
        <v/>
      </c>
    </row>
    <row r="767">
      <c r="A767" s="11" t="n">
        <v>44736</v>
      </c>
      <c r="B767" s="7" t="inlineStr">
        <is>
          <t>2022-07</t>
        </is>
      </c>
      <c r="C767" s="29" t="n">
        <v>2439.322</v>
      </c>
      <c r="D767" s="16">
        <f>Term_Structure!$R$32</f>
        <v/>
      </c>
      <c r="E767" s="29" t="n">
        <v>2401.5714</v>
      </c>
      <c r="F767" s="16">
        <f>Term_Structure!$W$32</f>
        <v/>
      </c>
      <c r="G767" s="8">
        <f>$D767-$C767</f>
        <v/>
      </c>
      <c r="H767" s="8">
        <f>$F767-$E767</f>
        <v/>
      </c>
      <c r="I767" s="8">
        <f>IF(AND(ABS($G767)&lt;=tol_usd_t,ABS($H767)&lt;=tol_usd_t),"PASS","FAIL")</f>
        <v/>
      </c>
    </row>
    <row r="768">
      <c r="A768" s="11" t="n">
        <v>44743</v>
      </c>
      <c r="B768" s="7" t="inlineStr">
        <is>
          <t>2022-08</t>
        </is>
      </c>
      <c r="C768" s="29" t="n">
        <v>2391.8841</v>
      </c>
      <c r="D768" s="16">
        <f>Term_Structure!$R$33</f>
        <v/>
      </c>
      <c r="E768" s="29" t="n">
        <v>2431.3182</v>
      </c>
      <c r="F768" s="16">
        <f>Term_Structure!$W$33</f>
        <v/>
      </c>
      <c r="G768" s="8">
        <f>$D768-$C768</f>
        <v/>
      </c>
      <c r="H768" s="8">
        <f>$F768-$E768</f>
        <v/>
      </c>
      <c r="I768" s="8">
        <f>IF(AND(ABS($G768)&lt;=tol_usd_t,ABS($H768)&lt;=tol_usd_t),"PASS","FAIL")</f>
        <v/>
      </c>
    </row>
    <row r="769">
      <c r="A769" s="11" t="n">
        <v>44750</v>
      </c>
      <c r="B769" s="7" t="inlineStr">
        <is>
          <t>2022-08</t>
        </is>
      </c>
      <c r="C769" s="29" t="n">
        <v>2405.7246</v>
      </c>
      <c r="D769" s="16">
        <f>Term_Structure!$R$34</f>
        <v/>
      </c>
      <c r="E769" s="29" t="n">
        <v>2431.3182</v>
      </c>
      <c r="F769" s="16">
        <f>Term_Structure!$W$34</f>
        <v/>
      </c>
      <c r="G769" s="8">
        <f>$D769-$C769</f>
        <v/>
      </c>
      <c r="H769" s="8">
        <f>$F769-$E769</f>
        <v/>
      </c>
      <c r="I769" s="8">
        <f>IF(AND(ABS($G769)&lt;=tol_usd_t,ABS($H769)&lt;=tol_usd_t),"PASS","FAIL")</f>
        <v/>
      </c>
    </row>
    <row r="770">
      <c r="A770" s="11" t="n">
        <v>44757</v>
      </c>
      <c r="B770" s="7" t="inlineStr">
        <is>
          <t>2022-08</t>
        </is>
      </c>
      <c r="C770" s="29" t="n">
        <v>2325.7266</v>
      </c>
      <c r="D770" s="16">
        <f>Term_Structure!$R$35</f>
        <v/>
      </c>
      <c r="E770" s="29" t="n">
        <v>2431.3182</v>
      </c>
      <c r="F770" s="16">
        <f>Term_Structure!$W$35</f>
        <v/>
      </c>
      <c r="G770" s="8">
        <f>$D770-$C770</f>
        <v/>
      </c>
      <c r="H770" s="8">
        <f>$F770-$E770</f>
        <v/>
      </c>
      <c r="I770" s="8">
        <f>IF(AND(ABS($G770)&lt;=tol_usd_t,ABS($H770)&lt;=tol_usd_t),"PASS","FAIL")</f>
        <v/>
      </c>
    </row>
    <row r="771">
      <c r="A771" s="11" t="n">
        <v>44764</v>
      </c>
      <c r="B771" s="7" t="inlineStr">
        <is>
          <t>2022-08</t>
        </is>
      </c>
      <c r="C771" s="29" t="n">
        <v>2459.3514</v>
      </c>
      <c r="D771" s="16">
        <f>Term_Structure!$R$36</f>
        <v/>
      </c>
      <c r="E771" s="29" t="n">
        <v>2431.3182</v>
      </c>
      <c r="F771" s="16">
        <f>Term_Structure!$W$36</f>
        <v/>
      </c>
      <c r="G771" s="8">
        <f>$D771-$C771</f>
        <v/>
      </c>
      <c r="H771" s="8">
        <f>$F771-$E771</f>
        <v/>
      </c>
      <c r="I771" s="8">
        <f>IF(AND(ABS($G771)&lt;=tol_usd_t,ABS($H771)&lt;=tol_usd_t),"PASS","FAIL")</f>
        <v/>
      </c>
    </row>
    <row r="772">
      <c r="A772" s="11" t="n">
        <v>44771</v>
      </c>
      <c r="B772" s="7" t="inlineStr">
        <is>
          <t>2022-08</t>
        </is>
      </c>
      <c r="C772" s="29" t="n">
        <v>2449.457</v>
      </c>
      <c r="D772" s="16">
        <f>Term_Structure!$R$37</f>
        <v/>
      </c>
      <c r="E772" s="29" t="n">
        <v>2431.3182</v>
      </c>
      <c r="F772" s="16">
        <f>Term_Structure!$W$37</f>
        <v/>
      </c>
      <c r="G772" s="8">
        <f>$D772-$C772</f>
        <v/>
      </c>
      <c r="H772" s="8">
        <f>$F772-$E772</f>
        <v/>
      </c>
      <c r="I772" s="8">
        <f>IF(AND(ABS($G772)&lt;=tol_usd_t,ABS($H772)&lt;=tol_usd_t),"PASS","FAIL")</f>
        <v/>
      </c>
    </row>
    <row r="773">
      <c r="A773" s="11" t="n">
        <v>44778</v>
      </c>
      <c r="B773" s="7" t="inlineStr">
        <is>
          <t>2022-09</t>
        </is>
      </c>
      <c r="C773" s="29" t="n">
        <v>2444.5422</v>
      </c>
      <c r="D773" s="16">
        <f>Term_Structure!$R$38</f>
        <v/>
      </c>
      <c r="E773" s="29" t="n">
        <v>2229.9091</v>
      </c>
      <c r="F773" s="16">
        <f>Term_Structure!$W$38</f>
        <v/>
      </c>
      <c r="G773" s="8">
        <f>$D773-$C773</f>
        <v/>
      </c>
      <c r="H773" s="8">
        <f>$F773-$E773</f>
        <v/>
      </c>
      <c r="I773" s="8">
        <f>IF(AND(ABS($G773)&lt;=tol_usd_t,ABS($H773)&lt;=tol_usd_t),"PASS","FAIL")</f>
        <v/>
      </c>
    </row>
    <row r="774">
      <c r="A774" s="11" t="n">
        <v>44785</v>
      </c>
      <c r="B774" s="7" t="inlineStr">
        <is>
          <t>2022-09</t>
        </is>
      </c>
      <c r="C774" s="29" t="n">
        <v>2467.5568</v>
      </c>
      <c r="D774" s="16">
        <f>Term_Structure!$R$39</f>
        <v/>
      </c>
      <c r="E774" s="29" t="n">
        <v>2229.9091</v>
      </c>
      <c r="F774" s="16">
        <f>Term_Structure!$W$39</f>
        <v/>
      </c>
      <c r="G774" s="8">
        <f>$D774-$C774</f>
        <v/>
      </c>
      <c r="H774" s="8">
        <f>$F774-$E774</f>
        <v/>
      </c>
      <c r="I774" s="8">
        <f>IF(AND(ABS($G774)&lt;=tol_usd_t,ABS($H774)&lt;=tol_usd_t),"PASS","FAIL")</f>
        <v/>
      </c>
    </row>
    <row r="775">
      <c r="A775" s="11" t="n">
        <v>44792</v>
      </c>
      <c r="B775" s="7" t="inlineStr">
        <is>
          <t>2022-09</t>
        </is>
      </c>
      <c r="C775" s="29" t="n">
        <v>2375.2513</v>
      </c>
      <c r="D775" s="16">
        <f>Term_Structure!$R$40</f>
        <v/>
      </c>
      <c r="E775" s="29" t="n">
        <v>2229.9091</v>
      </c>
      <c r="F775" s="16">
        <f>Term_Structure!$W$40</f>
        <v/>
      </c>
      <c r="G775" s="8">
        <f>$D775-$C775</f>
        <v/>
      </c>
      <c r="H775" s="8">
        <f>$F775-$E775</f>
        <v/>
      </c>
      <c r="I775" s="8">
        <f>IF(AND(ABS($G775)&lt;=tol_usd_t,ABS($H775)&lt;=tol_usd_t),"PASS","FAIL")</f>
        <v/>
      </c>
    </row>
    <row r="776">
      <c r="A776" s="11" t="n">
        <v>44799</v>
      </c>
      <c r="B776" s="7" t="inlineStr">
        <is>
          <t>2022-09</t>
        </is>
      </c>
      <c r="C776" s="29" t="n">
        <v>2492.8937</v>
      </c>
      <c r="D776" s="16">
        <f>Term_Structure!$R$41</f>
        <v/>
      </c>
      <c r="E776" s="29" t="n">
        <v>2229.9091</v>
      </c>
      <c r="F776" s="16">
        <f>Term_Structure!$W$41</f>
        <v/>
      </c>
      <c r="G776" s="8">
        <f>$D776-$C776</f>
        <v/>
      </c>
      <c r="H776" s="8">
        <f>$F776-$E776</f>
        <v/>
      </c>
      <c r="I776" s="8">
        <f>IF(AND(ABS($G776)&lt;=tol_usd_t,ABS($H776)&lt;=tol_usd_t),"PASS","FAIL")</f>
        <v/>
      </c>
    </row>
    <row r="777">
      <c r="A777" s="11" t="n">
        <v>44806</v>
      </c>
      <c r="B777" s="7" t="inlineStr">
        <is>
          <t>2022-10</t>
        </is>
      </c>
      <c r="C777" s="29" t="n">
        <v>2305.046</v>
      </c>
      <c r="D777" s="16">
        <f>Term_Structure!$R$42</f>
        <v/>
      </c>
      <c r="E777" s="29" t="n">
        <v>2243.2857</v>
      </c>
      <c r="F777" s="16">
        <f>Term_Structure!$W$42</f>
        <v/>
      </c>
      <c r="G777" s="8">
        <f>$D777-$C777</f>
        <v/>
      </c>
      <c r="H777" s="8">
        <f>$F777-$E777</f>
        <v/>
      </c>
      <c r="I777" s="8">
        <f>IF(AND(ABS($G777)&lt;=tol_usd_t,ABS($H777)&lt;=tol_usd_t),"PASS","FAIL")</f>
        <v/>
      </c>
    </row>
    <row r="778">
      <c r="A778" s="11" t="n">
        <v>44813</v>
      </c>
      <c r="B778" s="7" t="inlineStr">
        <is>
          <t>2022-10</t>
        </is>
      </c>
      <c r="C778" s="29" t="n">
        <v>2284.1379</v>
      </c>
      <c r="D778" s="16">
        <f>Term_Structure!$R$43</f>
        <v/>
      </c>
      <c r="E778" s="29" t="n">
        <v>2243.2857</v>
      </c>
      <c r="F778" s="16">
        <f>Term_Structure!$W$43</f>
        <v/>
      </c>
      <c r="G778" s="8">
        <f>$D778-$C778</f>
        <v/>
      </c>
      <c r="H778" s="8">
        <f>$F778-$E778</f>
        <v/>
      </c>
      <c r="I778" s="8">
        <f>IF(AND(ABS($G778)&lt;=tol_usd_t,ABS($H778)&lt;=tol_usd_t),"PASS","FAIL")</f>
        <v/>
      </c>
    </row>
    <row r="779">
      <c r="A779" s="11" t="n">
        <v>44820</v>
      </c>
      <c r="B779" s="7" t="inlineStr">
        <is>
          <t>2022-10</t>
        </is>
      </c>
      <c r="C779" s="29" t="n">
        <v>2261.6667</v>
      </c>
      <c r="D779" s="16">
        <f>Term_Structure!$R$44</f>
        <v/>
      </c>
      <c r="E779" s="29" t="n">
        <v>2243.2857</v>
      </c>
      <c r="F779" s="16">
        <f>Term_Structure!$W$44</f>
        <v/>
      </c>
      <c r="G779" s="8">
        <f>$D779-$C779</f>
        <v/>
      </c>
      <c r="H779" s="8">
        <f>$F779-$E779</f>
        <v/>
      </c>
      <c r="I779" s="8">
        <f>IF(AND(ABS($G779)&lt;=tol_usd_t,ABS($H779)&lt;=tol_usd_t),"PASS","FAIL")</f>
        <v/>
      </c>
    </row>
    <row r="780">
      <c r="A780" s="11" t="n">
        <v>44827</v>
      </c>
      <c r="B780" s="7" t="inlineStr">
        <is>
          <t>2022-10</t>
        </is>
      </c>
      <c r="C780" s="29" t="n">
        <v>2157.8046</v>
      </c>
      <c r="D780" s="16">
        <f>Term_Structure!$R$45</f>
        <v/>
      </c>
      <c r="E780" s="29" t="n">
        <v>2243.2857</v>
      </c>
      <c r="F780" s="16">
        <f>Term_Structure!$W$45</f>
        <v/>
      </c>
      <c r="G780" s="8">
        <f>$D780-$C780</f>
        <v/>
      </c>
      <c r="H780" s="8">
        <f>$F780-$E780</f>
        <v/>
      </c>
      <c r="I780" s="8">
        <f>IF(AND(ABS($G780)&lt;=tol_usd_t,ABS($H780)&lt;=tol_usd_t),"PASS","FAIL")</f>
        <v/>
      </c>
    </row>
    <row r="781">
      <c r="A781" s="11" t="n">
        <v>44834</v>
      </c>
      <c r="B781" s="7" t="inlineStr">
        <is>
          <t>2022-10</t>
        </is>
      </c>
      <c r="C781" s="29" t="n">
        <v>2182.931</v>
      </c>
      <c r="D781" s="16">
        <f>Term_Structure!$R$46</f>
        <v/>
      </c>
      <c r="E781" s="29" t="n">
        <v>2243.2857</v>
      </c>
      <c r="F781" s="16">
        <f>Term_Structure!$W$46</f>
        <v/>
      </c>
      <c r="G781" s="8">
        <f>$D781-$C781</f>
        <v/>
      </c>
      <c r="H781" s="8">
        <f>$F781-$E781</f>
        <v/>
      </c>
      <c r="I781" s="8">
        <f>IF(AND(ABS($G781)&lt;=tol_usd_t,ABS($H781)&lt;=tol_usd_t),"PASS","FAIL")</f>
        <v/>
      </c>
    </row>
    <row r="782">
      <c r="A782" s="11" t="n">
        <v>44841</v>
      </c>
      <c r="B782" s="7" t="inlineStr">
        <is>
          <t>2022-11</t>
        </is>
      </c>
      <c r="C782" s="29" t="n">
        <v>2343.4795</v>
      </c>
      <c r="D782" s="16">
        <f>Term_Structure!$R$47</f>
        <v/>
      </c>
      <c r="E782" s="29" t="n">
        <v>2335.2727</v>
      </c>
      <c r="F782" s="16">
        <f>Term_Structure!$W$47</f>
        <v/>
      </c>
      <c r="G782" s="8">
        <f>$D782-$C782</f>
        <v/>
      </c>
      <c r="H782" s="8">
        <f>$F782-$E782</f>
        <v/>
      </c>
      <c r="I782" s="8">
        <f>IF(AND(ABS($G782)&lt;=tol_usd_t,ABS($H782)&lt;=tol_usd_t),"PASS","FAIL")</f>
        <v/>
      </c>
    </row>
    <row r="783">
      <c r="A783" s="11" t="n">
        <v>44848</v>
      </c>
      <c r="B783" s="7" t="inlineStr">
        <is>
          <t>2022-11</t>
        </is>
      </c>
      <c r="C783" s="29" t="n">
        <v>2306.9303</v>
      </c>
      <c r="D783" s="16">
        <f>Term_Structure!$R$48</f>
        <v/>
      </c>
      <c r="E783" s="29" t="n">
        <v>2335.2727</v>
      </c>
      <c r="F783" s="16">
        <f>Term_Structure!$W$48</f>
        <v/>
      </c>
      <c r="G783" s="8">
        <f>$D783-$C783</f>
        <v/>
      </c>
      <c r="H783" s="8">
        <f>$F783-$E783</f>
        <v/>
      </c>
      <c r="I783" s="8">
        <f>IF(AND(ABS($G783)&lt;=tol_usd_t,ABS($H783)&lt;=tol_usd_t),"PASS","FAIL")</f>
        <v/>
      </c>
    </row>
    <row r="784">
      <c r="A784" s="11" t="n">
        <v>44855</v>
      </c>
      <c r="B784" s="7" t="inlineStr">
        <is>
          <t>2022-11</t>
        </is>
      </c>
      <c r="C784" s="29" t="n">
        <v>2160.8434</v>
      </c>
      <c r="D784" s="16">
        <f>Term_Structure!$R$49</f>
        <v/>
      </c>
      <c r="E784" s="29" t="n">
        <v>2335.2727</v>
      </c>
      <c r="F784" s="16">
        <f>Term_Structure!$W$49</f>
        <v/>
      </c>
      <c r="G784" s="8">
        <f>$D784-$C784</f>
        <v/>
      </c>
      <c r="H784" s="8">
        <f>$F784-$E784</f>
        <v/>
      </c>
      <c r="I784" s="8">
        <f>IF(AND(ABS($G784)&lt;=tol_usd_t,ABS($H784)&lt;=tol_usd_t),"PASS","FAIL")</f>
        <v/>
      </c>
    </row>
    <row r="785">
      <c r="A785" s="11" t="n">
        <v>44862</v>
      </c>
      <c r="B785" s="7" t="inlineStr">
        <is>
          <t>2022-11</t>
        </is>
      </c>
      <c r="C785" s="29" t="n">
        <v>2227.8939</v>
      </c>
      <c r="D785" s="16">
        <f>Term_Structure!$R$50</f>
        <v/>
      </c>
      <c r="E785" s="29" t="n">
        <v>2335.2727</v>
      </c>
      <c r="F785" s="16">
        <f>Term_Structure!$W$50</f>
        <v/>
      </c>
      <c r="G785" s="8">
        <f>$D785-$C785</f>
        <v/>
      </c>
      <c r="H785" s="8">
        <f>$F785-$E785</f>
        <v/>
      </c>
      <c r="I785" s="8">
        <f>IF(AND(ABS($G785)&lt;=tol_usd_t,ABS($H785)&lt;=tol_usd_t),"PASS","FAIL")</f>
        <v/>
      </c>
    </row>
    <row r="788">
      <c r="A788" s="4" t="inlineStr">
        <is>
          <t>5. Per-trade cumulative P&amp;L at WINDOW_END and HORIZON_END</t>
        </is>
      </c>
    </row>
    <row r="790" ht="30" customHeight="1">
      <c r="A790" s="5" t="inlineStr">
        <is>
          <t>mark_date</t>
        </is>
      </c>
      <c r="B790" s="5" t="inlineStr">
        <is>
          <t>trade_id</t>
        </is>
      </c>
      <c r="C790" s="5" t="inlineStr">
        <is>
          <t>py_cum_pnl_inr</t>
        </is>
      </c>
      <c r="D790" s="5" t="inlineStr">
        <is>
          <t>xl_cum_pnl_inr</t>
        </is>
      </c>
      <c r="E790" s="5" t="inlineStr">
        <is>
          <t>xl_realised_inr</t>
        </is>
      </c>
      <c r="F790" s="5" t="inlineStr">
        <is>
          <t>xl_mtm_open_inr</t>
        </is>
      </c>
      <c r="G790" s="5" t="inlineStr">
        <is>
          <t>diff</t>
        </is>
      </c>
      <c r="H790" s="5" t="inlineStr">
        <is>
          <t>check</t>
        </is>
      </c>
    </row>
    <row r="791">
      <c r="A791" s="11" t="n">
        <v>44804</v>
      </c>
      <c r="B791" s="7" t="inlineStr">
        <is>
          <t>T01</t>
        </is>
      </c>
      <c r="C791" s="23" t="n">
        <v>64283824.43</v>
      </c>
      <c r="D791" s="18">
        <f>MTM_Daily!$G$1432</f>
        <v/>
      </c>
      <c r="E791" s="18">
        <f>MTM_Daily!$E$1432</f>
        <v/>
      </c>
      <c r="F791" s="18">
        <f>MTM_Daily!$F$1432</f>
        <v/>
      </c>
      <c r="G791" s="8">
        <f>$D791-$C791</f>
        <v/>
      </c>
      <c r="H791" s="8">
        <f>IF(ABS($G791)&lt;=tol_trade_inr,"PASS","FAIL")</f>
        <v/>
      </c>
    </row>
    <row r="792">
      <c r="A792" s="11" t="n">
        <v>44804</v>
      </c>
      <c r="B792" s="7" t="inlineStr">
        <is>
          <t>T02</t>
        </is>
      </c>
      <c r="C792" s="23" t="n">
        <v>50546931.45</v>
      </c>
      <c r="D792" s="18">
        <f>MTM_Daily!$G$1433</f>
        <v/>
      </c>
      <c r="E792" s="18">
        <f>MTM_Daily!$E$1433</f>
        <v/>
      </c>
      <c r="F792" s="18">
        <f>MTM_Daily!$F$1433</f>
        <v/>
      </c>
      <c r="G792" s="8">
        <f>$D792-$C792</f>
        <v/>
      </c>
      <c r="H792" s="8">
        <f>IF(ABS($G792)&lt;=tol_trade_inr,"PASS","FAIL")</f>
        <v/>
      </c>
    </row>
    <row r="793">
      <c r="A793" s="11" t="n">
        <v>44804</v>
      </c>
      <c r="B793" s="7" t="inlineStr">
        <is>
          <t>T03</t>
        </is>
      </c>
      <c r="C793" s="23" t="n">
        <v>29087405.69</v>
      </c>
      <c r="D793" s="18">
        <f>MTM_Daily!$G$1434</f>
        <v/>
      </c>
      <c r="E793" s="18">
        <f>MTM_Daily!$E$1434</f>
        <v/>
      </c>
      <c r="F793" s="18">
        <f>MTM_Daily!$F$1434</f>
        <v/>
      </c>
      <c r="G793" s="8">
        <f>$D793-$C793</f>
        <v/>
      </c>
      <c r="H793" s="8">
        <f>IF(ABS($G793)&lt;=tol_trade_inr,"PASS","FAIL")</f>
        <v/>
      </c>
    </row>
    <row r="794">
      <c r="A794" s="11" t="n">
        <v>44804</v>
      </c>
      <c r="B794" s="7" t="inlineStr">
        <is>
          <t>T04</t>
        </is>
      </c>
      <c r="C794" s="23" t="n">
        <v>6482587.08</v>
      </c>
      <c r="D794" s="18">
        <f>MTM_Daily!$G$1435</f>
        <v/>
      </c>
      <c r="E794" s="18">
        <f>MTM_Daily!$E$1435</f>
        <v/>
      </c>
      <c r="F794" s="18">
        <f>MTM_Daily!$F$1435</f>
        <v/>
      </c>
      <c r="G794" s="8">
        <f>$D794-$C794</f>
        <v/>
      </c>
      <c r="H794" s="8">
        <f>IF(ABS($G794)&lt;=tol_trade_inr,"PASS","FAIL")</f>
        <v/>
      </c>
    </row>
    <row r="795">
      <c r="A795" s="11" t="n">
        <v>44804</v>
      </c>
      <c r="B795" s="7" t="inlineStr">
        <is>
          <t>T05</t>
        </is>
      </c>
      <c r="C795" s="23" t="n">
        <v>33651958.3</v>
      </c>
      <c r="D795" s="18">
        <f>MTM_Daily!$G$1436</f>
        <v/>
      </c>
      <c r="E795" s="18">
        <f>MTM_Daily!$E$1436</f>
        <v/>
      </c>
      <c r="F795" s="18">
        <f>MTM_Daily!$F$1436</f>
        <v/>
      </c>
      <c r="G795" s="8">
        <f>$D795-$C795</f>
        <v/>
      </c>
      <c r="H795" s="8">
        <f>IF(ABS($G795)&lt;=tol_trade_inr,"PASS","FAIL")</f>
        <v/>
      </c>
    </row>
    <row r="796">
      <c r="A796" s="11" t="n">
        <v>44804</v>
      </c>
      <c r="B796" s="7" t="inlineStr">
        <is>
          <t>T06</t>
        </is>
      </c>
      <c r="C796" s="23" t="n">
        <v>8619094.26</v>
      </c>
      <c r="D796" s="18">
        <f>MTM_Daily!$G$1437</f>
        <v/>
      </c>
      <c r="E796" s="18">
        <f>MTM_Daily!$E$1437</f>
        <v/>
      </c>
      <c r="F796" s="18">
        <f>MTM_Daily!$F$1437</f>
        <v/>
      </c>
      <c r="G796" s="8">
        <f>$D796-$C796</f>
        <v/>
      </c>
      <c r="H796" s="8">
        <f>IF(ABS($G796)&lt;=tol_trade_inr,"PASS","FAIL")</f>
        <v/>
      </c>
    </row>
    <row r="797">
      <c r="A797" s="11" t="n">
        <v>44804</v>
      </c>
      <c r="B797" s="7" t="inlineStr">
        <is>
          <t>T07</t>
        </is>
      </c>
      <c r="C797" s="23" t="n">
        <v>2087934</v>
      </c>
      <c r="D797" s="18">
        <f>MTM_Daily!$G$1438</f>
        <v/>
      </c>
      <c r="E797" s="18">
        <f>MTM_Daily!$E$1438</f>
        <v/>
      </c>
      <c r="F797" s="18">
        <f>MTM_Daily!$F$1438</f>
        <v/>
      </c>
      <c r="G797" s="8">
        <f>$D797-$C797</f>
        <v/>
      </c>
      <c r="H797" s="8">
        <f>IF(ABS($G797)&lt;=tol_trade_inr,"PASS","FAIL")</f>
        <v/>
      </c>
    </row>
    <row r="798">
      <c r="A798" s="11" t="n">
        <v>44804</v>
      </c>
      <c r="B798" s="7" t="inlineStr">
        <is>
          <t>T08</t>
        </is>
      </c>
      <c r="C798" s="23" t="n">
        <v>-8332015.21</v>
      </c>
      <c r="D798" s="18">
        <f>MTM_Daily!$G$1439</f>
        <v/>
      </c>
      <c r="E798" s="18">
        <f>MTM_Daily!$E$1439</f>
        <v/>
      </c>
      <c r="F798" s="18">
        <f>MTM_Daily!$F$1439</f>
        <v/>
      </c>
      <c r="G798" s="8">
        <f>$D798-$C798</f>
        <v/>
      </c>
      <c r="H798" s="8">
        <f>IF(ABS($G798)&lt;=tol_trade_inr,"PASS","FAIL")</f>
        <v/>
      </c>
    </row>
    <row r="799">
      <c r="A799" s="11" t="n">
        <v>44804</v>
      </c>
      <c r="B799" s="7" t="inlineStr">
        <is>
          <t>T09</t>
        </is>
      </c>
      <c r="C799" s="23" t="n">
        <v>9509259.560000001</v>
      </c>
      <c r="D799" s="18">
        <f>MTM_Daily!$G$1440</f>
        <v/>
      </c>
      <c r="E799" s="18">
        <f>MTM_Daily!$E$1440</f>
        <v/>
      </c>
      <c r="F799" s="18">
        <f>MTM_Daily!$F$1440</f>
        <v/>
      </c>
      <c r="G799" s="8">
        <f>$D799-$C799</f>
        <v/>
      </c>
      <c r="H799" s="8">
        <f>IF(ABS($G799)&lt;=tol_trade_inr,"PASS","FAIL")</f>
        <v/>
      </c>
    </row>
    <row r="800">
      <c r="A800" s="11" t="n">
        <v>44865</v>
      </c>
      <c r="B800" s="7" t="inlineStr">
        <is>
          <t>T01</t>
        </is>
      </c>
      <c r="C800" s="23" t="n">
        <v>64283824.43</v>
      </c>
      <c r="D800" s="18">
        <f>MTM_Daily!$G$1459</f>
        <v/>
      </c>
      <c r="E800" s="18">
        <f>MTM_Daily!$E$1459</f>
        <v/>
      </c>
      <c r="F800" s="18">
        <f>MTM_Daily!$F$1459</f>
        <v/>
      </c>
      <c r="G800" s="8">
        <f>$D800-$C800</f>
        <v/>
      </c>
      <c r="H800" s="8">
        <f>IF(ABS($G800)&lt;=tol_trade_inr,"PASS","FAIL")</f>
        <v/>
      </c>
    </row>
    <row r="801">
      <c r="A801" s="11" t="n">
        <v>44865</v>
      </c>
      <c r="B801" s="7" t="inlineStr">
        <is>
          <t>T02</t>
        </is>
      </c>
      <c r="C801" s="23" t="n">
        <v>50546931.45</v>
      </c>
      <c r="D801" s="18">
        <f>MTM_Daily!$G$1460</f>
        <v/>
      </c>
      <c r="E801" s="18">
        <f>MTM_Daily!$E$1460</f>
        <v/>
      </c>
      <c r="F801" s="18">
        <f>MTM_Daily!$F$1460</f>
        <v/>
      </c>
      <c r="G801" s="8">
        <f>$D801-$C801</f>
        <v/>
      </c>
      <c r="H801" s="8">
        <f>IF(ABS($G801)&lt;=tol_trade_inr,"PASS","FAIL")</f>
        <v/>
      </c>
    </row>
    <row r="802">
      <c r="A802" s="11" t="n">
        <v>44865</v>
      </c>
      <c r="B802" s="7" t="inlineStr">
        <is>
          <t>T03</t>
        </is>
      </c>
      <c r="C802" s="23" t="n">
        <v>29087405.69</v>
      </c>
      <c r="D802" s="18">
        <f>MTM_Daily!$G$1461</f>
        <v/>
      </c>
      <c r="E802" s="18">
        <f>MTM_Daily!$E$1461</f>
        <v/>
      </c>
      <c r="F802" s="18">
        <f>MTM_Daily!$F$1461</f>
        <v/>
      </c>
      <c r="G802" s="8">
        <f>$D802-$C802</f>
        <v/>
      </c>
      <c r="H802" s="8">
        <f>IF(ABS($G802)&lt;=tol_trade_inr,"PASS","FAIL")</f>
        <v/>
      </c>
    </row>
    <row r="803">
      <c r="A803" s="11" t="n">
        <v>44865</v>
      </c>
      <c r="B803" s="7" t="inlineStr">
        <is>
          <t>T04</t>
        </is>
      </c>
      <c r="C803" s="23" t="n">
        <v>6482587.08</v>
      </c>
      <c r="D803" s="18">
        <f>MTM_Daily!$G$1462</f>
        <v/>
      </c>
      <c r="E803" s="18">
        <f>MTM_Daily!$E$1462</f>
        <v/>
      </c>
      <c r="F803" s="18">
        <f>MTM_Daily!$F$1462</f>
        <v/>
      </c>
      <c r="G803" s="8">
        <f>$D803-$C803</f>
        <v/>
      </c>
      <c r="H803" s="8">
        <f>IF(ABS($G803)&lt;=tol_trade_inr,"PASS","FAIL")</f>
        <v/>
      </c>
    </row>
    <row r="804">
      <c r="A804" s="11" t="n">
        <v>44865</v>
      </c>
      <c r="B804" s="7" t="inlineStr">
        <is>
          <t>T05</t>
        </is>
      </c>
      <c r="C804" s="23" t="n">
        <v>33651958.3</v>
      </c>
      <c r="D804" s="18">
        <f>MTM_Daily!$G$1463</f>
        <v/>
      </c>
      <c r="E804" s="18">
        <f>MTM_Daily!$E$1463</f>
        <v/>
      </c>
      <c r="F804" s="18">
        <f>MTM_Daily!$F$1463</f>
        <v/>
      </c>
      <c r="G804" s="8">
        <f>$D804-$C804</f>
        <v/>
      </c>
      <c r="H804" s="8">
        <f>IF(ABS($G804)&lt;=tol_trade_inr,"PASS","FAIL")</f>
        <v/>
      </c>
    </row>
    <row r="805">
      <c r="A805" s="11" t="n">
        <v>44865</v>
      </c>
      <c r="B805" s="7" t="inlineStr">
        <is>
          <t>T06</t>
        </is>
      </c>
      <c r="C805" s="23" t="n">
        <v>8619094.26</v>
      </c>
      <c r="D805" s="18">
        <f>MTM_Daily!$G$1464</f>
        <v/>
      </c>
      <c r="E805" s="18">
        <f>MTM_Daily!$E$1464</f>
        <v/>
      </c>
      <c r="F805" s="18">
        <f>MTM_Daily!$F$1464</f>
        <v/>
      </c>
      <c r="G805" s="8">
        <f>$D805-$C805</f>
        <v/>
      </c>
      <c r="H805" s="8">
        <f>IF(ABS($G805)&lt;=tol_trade_inr,"PASS","FAIL")</f>
        <v/>
      </c>
    </row>
    <row r="806">
      <c r="A806" s="11" t="n">
        <v>44865</v>
      </c>
      <c r="B806" s="7" t="inlineStr">
        <is>
          <t>T07</t>
        </is>
      </c>
      <c r="C806" s="23" t="n">
        <v>1061109.02</v>
      </c>
      <c r="D806" s="18">
        <f>MTM_Daily!$G$1465</f>
        <v/>
      </c>
      <c r="E806" s="18">
        <f>MTM_Daily!$E$1465</f>
        <v/>
      </c>
      <c r="F806" s="18">
        <f>MTM_Daily!$F$1465</f>
        <v/>
      </c>
      <c r="G806" s="8">
        <f>$D806-$C806</f>
        <v/>
      </c>
      <c r="H806" s="8">
        <f>IF(ABS($G806)&lt;=tol_trade_inr,"PASS","FAIL")</f>
        <v/>
      </c>
    </row>
    <row r="807">
      <c r="A807" s="11" t="n">
        <v>44865</v>
      </c>
      <c r="B807" s="7" t="inlineStr">
        <is>
          <t>T08</t>
        </is>
      </c>
      <c r="C807" s="23" t="n">
        <v>-11726589.84</v>
      </c>
      <c r="D807" s="18">
        <f>MTM_Daily!$G$1466</f>
        <v/>
      </c>
      <c r="E807" s="18">
        <f>MTM_Daily!$E$1466</f>
        <v/>
      </c>
      <c r="F807" s="18">
        <f>MTM_Daily!$F$1466</f>
        <v/>
      </c>
      <c r="G807" s="8">
        <f>$D807-$C807</f>
        <v/>
      </c>
      <c r="H807" s="8">
        <f>IF(ABS($G807)&lt;=tol_trade_inr,"PASS","FAIL")</f>
        <v/>
      </c>
    </row>
    <row r="808">
      <c r="A808" s="11" t="n">
        <v>44865</v>
      </c>
      <c r="B808" s="7" t="inlineStr">
        <is>
          <t>T09</t>
        </is>
      </c>
      <c r="C808" s="23" t="n">
        <v>10048450.26</v>
      </c>
      <c r="D808" s="18">
        <f>MTM_Daily!$G$1467</f>
        <v/>
      </c>
      <c r="E808" s="18">
        <f>MTM_Daily!$E$1467</f>
        <v/>
      </c>
      <c r="F808" s="18">
        <f>MTM_Daily!$F$1467</f>
        <v/>
      </c>
      <c r="G808" s="8">
        <f>$D808-$C808</f>
        <v/>
      </c>
      <c r="H808" s="8">
        <f>IF(ABS($G808)&lt;=tol_trade_inr,"PASS","FAIL")</f>
        <v/>
      </c>
    </row>
    <row r="811">
      <c r="A811" s="4" t="inlineStr">
        <is>
          <t>6. Book P&amp;L by factor — lifetime</t>
        </is>
      </c>
    </row>
    <row r="813" ht="30" customHeight="1">
      <c r="A813" s="5" t="inlineStr">
        <is>
          <t>bucket</t>
        </is>
      </c>
      <c r="B813" s="5" t="inlineStr">
        <is>
          <t>py_lifetime_inr</t>
        </is>
      </c>
      <c r="C813" s="5" t="inlineStr">
        <is>
          <t>xl_sum_trades_inr</t>
        </is>
      </c>
      <c r="D813" s="5" t="inlineStr">
        <is>
          <t>xl_sum_book_daily_inr</t>
        </is>
      </c>
      <c r="E813" s="5" t="inlineStr">
        <is>
          <t>diff</t>
        </is>
      </c>
      <c r="F813" s="5" t="inlineStr">
        <is>
          <t>diff_daily</t>
        </is>
      </c>
      <c r="G813" s="5" t="inlineStr">
        <is>
          <t>check</t>
        </is>
      </c>
    </row>
    <row r="814">
      <c r="A814" s="7" t="inlineStr">
        <is>
          <t>new_deal</t>
        </is>
      </c>
      <c r="B814" s="23" t="n">
        <v>165241602.33</v>
      </c>
      <c r="C814" s="18">
        <f>Attribution!$B$186</f>
        <v/>
      </c>
      <c r="D814" s="18">
        <f>SUM(Attribution!$C$8:$C$171)</f>
        <v/>
      </c>
      <c r="E814" s="8">
        <f>$C814-$B814</f>
        <v/>
      </c>
      <c r="F814" s="8">
        <f>$D814-$B814</f>
        <v/>
      </c>
      <c r="G814" s="8">
        <f>IF(AND(ABS($E814)&lt;=tol_trade_inr,ABS($F814)&lt;=tol_trade_inr),"PASS","FAIL")</f>
        <v/>
      </c>
    </row>
    <row r="815">
      <c r="A815" s="7" t="inlineStr">
        <is>
          <t>lme_flat</t>
        </is>
      </c>
      <c r="B815" s="23" t="n">
        <v>-29957988.29999999</v>
      </c>
      <c r="C815" s="18">
        <f>Attribution!$C$186</f>
        <v/>
      </c>
      <c r="D815" s="18">
        <f>SUM(Attribution!$D$8:$D$171)</f>
        <v/>
      </c>
      <c r="E815" s="8">
        <f>$C815-$B815</f>
        <v/>
      </c>
      <c r="F815" s="8">
        <f>$D815-$B815</f>
        <v/>
      </c>
      <c r="G815" s="8">
        <f>IF(AND(ABS($E815)&lt;=tol_trade_inr,ABS($F815)&lt;=tol_trade_inr),"PASS","FAIL")</f>
        <v/>
      </c>
    </row>
    <row r="816">
      <c r="A816" s="7" t="inlineStr">
        <is>
          <t>cross_exchange_basis</t>
        </is>
      </c>
      <c r="B816" s="23" t="n">
        <v>0</v>
      </c>
      <c r="C816" s="18">
        <f>Attribution!$D$186</f>
        <v/>
      </c>
      <c r="D816" s="18">
        <f>SUM(Attribution!$E$8:$E$171)</f>
        <v/>
      </c>
      <c r="E816" s="8">
        <f>$C816-$B816</f>
        <v/>
      </c>
      <c r="F816" s="8">
        <f>$D816-$B816</f>
        <v/>
      </c>
      <c r="G816" s="8">
        <f>IF(AND(ABS($E816)&lt;=tol_trade_inr,ABS($F816)&lt;=tol_trade_inr),"PASS","FAIL")</f>
        <v/>
      </c>
    </row>
    <row r="817">
      <c r="A817" s="7" t="inlineStr">
        <is>
          <t>grade_spread</t>
        </is>
      </c>
      <c r="B817" s="23" t="n">
        <v>103321077.44</v>
      </c>
      <c r="C817" s="18">
        <f>Attribution!$E$186</f>
        <v/>
      </c>
      <c r="D817" s="18">
        <f>SUM(Attribution!$F$8:$F$171)</f>
        <v/>
      </c>
      <c r="E817" s="8">
        <f>$C817-$B817</f>
        <v/>
      </c>
      <c r="F817" s="8">
        <f>$D817-$B817</f>
        <v/>
      </c>
      <c r="G817" s="8">
        <f>IF(AND(ABS($E817)&lt;=tol_trade_inr,ABS($F817)&lt;=tol_trade_inr),"PASS","FAIL")</f>
        <v/>
      </c>
    </row>
    <row r="818">
      <c r="A818" s="7" t="inlineStr">
        <is>
          <t>freight</t>
        </is>
      </c>
      <c r="B818" s="23" t="n">
        <v>1167793.17</v>
      </c>
      <c r="C818" s="18">
        <f>Attribution!$F$186</f>
        <v/>
      </c>
      <c r="D818" s="18">
        <f>SUM(Attribution!$G$8:$G$171)</f>
        <v/>
      </c>
      <c r="E818" s="8">
        <f>$C818-$B818</f>
        <v/>
      </c>
      <c r="F818" s="8">
        <f>$D818-$B818</f>
        <v/>
      </c>
      <c r="G818" s="8">
        <f>IF(AND(ABS($E818)&lt;=tol_trade_inr,ABS($F818)&lt;=tol_trade_inr),"PASS","FAIL")</f>
        <v/>
      </c>
    </row>
    <row r="819">
      <c r="A819" s="7" t="inlineStr">
        <is>
          <t>fx</t>
        </is>
      </c>
      <c r="B819" s="23" t="n">
        <v>14128096.05</v>
      </c>
      <c r="C819" s="18">
        <f>Attribution!$G$186</f>
        <v/>
      </c>
      <c r="D819" s="18">
        <f>SUM(Attribution!$H$8:$H$171)</f>
        <v/>
      </c>
      <c r="E819" s="8">
        <f>$C819-$B819</f>
        <v/>
      </c>
      <c r="F819" s="8">
        <f>$D819-$B819</f>
        <v/>
      </c>
      <c r="G819" s="8">
        <f>IF(AND(ABS($E819)&lt;=tol_trade_inr,ABS($F819)&lt;=tol_trade_inr),"PASS","FAIL")</f>
        <v/>
      </c>
    </row>
    <row r="820">
      <c r="A820" s="7" t="inlineStr">
        <is>
          <t>demurrage_penalty</t>
        </is>
      </c>
      <c r="B820" s="23" t="n">
        <v>-5246477.6</v>
      </c>
      <c r="C820" s="18">
        <f>Attribution!$H$186</f>
        <v/>
      </c>
      <c r="D820" s="18">
        <f>SUM(Attribution!$I$8:$I$171)</f>
        <v/>
      </c>
      <c r="E820" s="8">
        <f>$C820-$B820</f>
        <v/>
      </c>
      <c r="F820" s="8">
        <f>$D820-$B820</f>
        <v/>
      </c>
      <c r="G820" s="8">
        <f>IF(AND(ABS($E820)&lt;=tol_trade_inr,ABS($F820)&lt;=tol_trade_inr),"PASS","FAIL")</f>
        <v/>
      </c>
    </row>
    <row r="821">
      <c r="A821" s="7" t="inlineStr">
        <is>
          <t>roll_term_structure</t>
        </is>
      </c>
      <c r="B821" s="23" t="n">
        <v>-56599332.48</v>
      </c>
      <c r="C821" s="18">
        <f>Attribution!$I$186</f>
        <v/>
      </c>
      <c r="D821" s="18">
        <f>SUM(Attribution!$J$8:$J$171)</f>
        <v/>
      </c>
      <c r="E821" s="8">
        <f>$C821-$B821</f>
        <v/>
      </c>
      <c r="F821" s="8">
        <f>$D821-$B821</f>
        <v/>
      </c>
      <c r="G821" s="8">
        <f>IF(AND(ABS($E821)&lt;=tol_trade_inr,ABS($F821)&lt;=tol_trade_inr),"PASS","FAIL")</f>
        <v/>
      </c>
    </row>
    <row r="822">
      <c r="A822" s="7" t="inlineStr">
        <is>
          <t>residual</t>
        </is>
      </c>
      <c r="B822" s="23" t="n">
        <v>0</v>
      </c>
      <c r="C822" s="18">
        <f>Attribution!$J$186</f>
        <v/>
      </c>
      <c r="D822" s="18">
        <f>SUM(Attribution!$K$8:$K$171)</f>
        <v/>
      </c>
      <c r="E822" s="8">
        <f>$C822-$B822</f>
        <v/>
      </c>
      <c r="F822" s="8">
        <f>$D822-$B822</f>
        <v/>
      </c>
      <c r="G822" s="8">
        <f>IF(AND(ABS($E822)&lt;=tol_trade_inr,ABS($F822)&lt;=tol_trade_inr),"PASS","FAIL")</f>
        <v/>
      </c>
    </row>
    <row r="825">
      <c r="A825" s="4" t="inlineStr">
        <is>
          <t>7. Structural controls carried from other sheets</t>
        </is>
      </c>
    </row>
    <row r="827" ht="30" customHeight="1">
      <c r="A827" s="5" t="inlineStr">
        <is>
          <t>control</t>
        </is>
      </c>
      <c r="B827" s="5" t="inlineStr">
        <is>
          <t>max_abs_diff</t>
        </is>
      </c>
      <c r="C827" s="5" t="inlineStr">
        <is>
          <t>tolerance_name</t>
        </is>
      </c>
      <c r="D827" s="5" t="inlineStr">
        <is>
          <t>diff</t>
        </is>
      </c>
      <c r="E827" s="5" t="inlineStr">
        <is>
          <t>check</t>
        </is>
      </c>
    </row>
    <row r="828">
      <c r="A828" s="7" t="inlineStr">
        <is>
          <t>Cross-exchange basis is zero by construction on every PROXY panel day (design D4)</t>
        </is>
      </c>
      <c r="B828" s="8">
        <f>MAX(MAX(Market_Daily!$AC$6:$AC$256),-MIN(Market_Daily!$AC$6:$AC$256))</f>
        <v/>
      </c>
      <c r="C828" s="7" t="inlineStr">
        <is>
          <t>1e-3 ₹/kg</t>
        </is>
      </c>
      <c r="D828" s="8">
        <f>$B828</f>
        <v/>
      </c>
      <c r="E828" s="8">
        <f>IF(ABS($D828)&lt;=0.001,"PASS","FAIL")</f>
        <v/>
      </c>
    </row>
    <row r="829">
      <c r="A829" s="7" t="inlineStr">
        <is>
          <t>Cash ledger — every dated flow re-derived in INR</t>
        </is>
      </c>
      <c r="B829" s="8">
        <f>MAX(MAX(Cashflows!$Y$8:$Y$1038),-MIN(Cashflows!$Y$8:$Y$1038))</f>
        <v/>
      </c>
      <c r="C829" s="7" t="inlineStr">
        <is>
          <t>tol_cashflow_inr</t>
        </is>
      </c>
      <c r="D829" s="8">
        <f>$B829</f>
        <v/>
      </c>
      <c r="E829" s="8">
        <f>IF(ABS($D829)&lt;=tol_cashflow_inr,"PASS","FAIL")</f>
        <v/>
      </c>
    </row>
    <row r="830">
      <c r="A830" s="7" t="inlineStr">
        <is>
          <t>MCX margin schedule — variation margin, initial margin and net margin cash</t>
        </is>
      </c>
      <c r="B830" s="8">
        <f>MAX(MAX(Cashflows!$AL$1043:$AL$1393),-MIN(Cashflows!$AL$1043:$AL$1393))</f>
        <v/>
      </c>
      <c r="C830" s="7" t="inlineStr">
        <is>
          <t>tol_mcx_inr</t>
        </is>
      </c>
      <c r="D830" s="8">
        <f>$B830</f>
        <v/>
      </c>
      <c r="E830" s="8">
        <f>IF(ABS($D830)&lt;=tol_mcx_inr,"PASS","FAIL")</f>
        <v/>
      </c>
    </row>
    <row r="831">
      <c r="A831" s="7" t="inlineStr">
        <is>
          <t>Leg marks on the marking grid (replacement value, FX forwards, carried amounts)</t>
        </is>
      </c>
      <c r="B831" s="8">
        <f>MAX(MAX(MTM_Daily!$AP$6:$AP$1238),-MIN(MTM_Daily!$AP$6:$AP$1238))</f>
        <v/>
      </c>
      <c r="C831" s="7" t="inlineStr">
        <is>
          <t>tol_trade_inr</t>
        </is>
      </c>
      <c r="D831" s="8">
        <f>$B831</f>
        <v/>
      </c>
      <c r="E831" s="8">
        <f>IF(ABS($D831)&lt;=tol_trade_inr,"PASS","FAIL")</f>
        <v/>
      </c>
    </row>
    <row r="832">
      <c r="A832" s="7" t="inlineStr">
        <is>
          <t>Book equity curve — cum P&amp;L identity every panel day</t>
        </is>
      </c>
      <c r="B832" s="8">
        <f>MAX(MAX(Equity_Curve!$J$6:$J$169),-MIN(Equity_Curve!$J$6:$J$169))</f>
        <v/>
      </c>
      <c r="C832" s="7" t="inlineStr">
        <is>
          <t>tol_trade_inr</t>
        </is>
      </c>
      <c r="D832" s="8">
        <f>$B832</f>
        <v/>
      </c>
      <c r="E832" s="8">
        <f>IF(ABS($D832)&lt;=tol_trade_inr,"PASS","FAIL")</f>
        <v/>
      </c>
    </row>
    <row r="833">
      <c r="A833" s="7" t="inlineStr">
        <is>
          <t>Attribution — Σ buckets + residual = daily P&amp;L, every book-day</t>
        </is>
      </c>
      <c r="B833" s="8">
        <f>MAX(MAX(Attribution!$O$8:$O$171),-MIN(Attribution!$O$8:$O$171))</f>
        <v/>
      </c>
      <c r="C833" s="7" t="inlineStr">
        <is>
          <t>tol_trade_inr</t>
        </is>
      </c>
      <c r="D833" s="8">
        <f>$B833</f>
        <v/>
      </c>
      <c r="E833" s="8">
        <f>IF(ABS($D833)&lt;=tol_trade_inr,"PASS","FAIL")</f>
        <v/>
      </c>
    </row>
    <row r="834">
      <c r="A834" s="7" t="inlineStr">
        <is>
          <t>Worked chain (a) — short MCX hedge, 07→08-Mar-2022, vs desk.mtm.curves</t>
        </is>
      </c>
      <c r="B834" s="8">
        <f>MAX(MAX(Attribution!$T$193:$T$200),-MIN(Attribution!$T$193:$T$200))</f>
        <v/>
      </c>
      <c r="C834" s="7" t="inlineStr">
        <is>
          <t>tol_trade_inr</t>
        </is>
      </c>
      <c r="D834" s="8">
        <f>$B834</f>
        <v/>
      </c>
      <c r="E834" s="8">
        <f>IF(ABS($D834)&lt;=tol_trade_inr,"PASS","FAIL")</f>
        <v/>
      </c>
    </row>
    <row r="835">
      <c r="A835" s="7" t="inlineStr">
        <is>
          <t>Worked chain (b) — USD payable vs its forward, vs desk.mtm.curves</t>
        </is>
      </c>
      <c r="B835" s="8">
        <f>MAX(MAX(Attribution!$V$207:$V$214),-MIN(Attribution!$V$207:$V$214))</f>
        <v/>
      </c>
      <c r="C835" s="7" t="inlineStr">
        <is>
          <t>tol_trade_inr</t>
        </is>
      </c>
      <c r="D835" s="8">
        <f>$B835</f>
        <v/>
      </c>
      <c r="E835" s="8">
        <f>IF(ABS($D835)&lt;=tol_trade_inr,"PASS","FAIL")</f>
        <v/>
      </c>
    </row>
    <row r="836">
      <c r="A836" s="7" t="inlineStr">
        <is>
          <t>Trade discipline — live §5a eligibility equals the flag Phase 2 recorded</t>
        </is>
      </c>
      <c r="B836" s="8">
        <f>COUNTIF(Trade_Book!$CW$6:$CW$14,"FAIL")</f>
        <v/>
      </c>
      <c r="C836" s="7" t="inlineStr">
        <is>
          <t>0 failures</t>
        </is>
      </c>
      <c r="D836" s="8">
        <f>$B836</f>
        <v/>
      </c>
      <c r="E836" s="8">
        <f>IF(ABS($D836)&lt;=0.0,"PASS","FAIL")</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desk.excel.build (Virtual Metals Trading Desk — ACADEMIC SIMULATION)</dc:creator>
  <dc:title xmlns:dc="http://purl.org/dc/elements/1.1/">Metals Desk Master — ACADEMIC SIMULATION</dc:title>
  <dcterms:created xmlns:dcterms="http://purl.org/dc/terms/" xmlns:xsi="http://www.w3.org/2001/XMLSchema-instance" xsi:type="dcterms:W3CDTF">2022-03-07T00:00:00Z</dcterms:created>
  <dcterms:modified xmlns:dcterms="http://purl.org/dc/terms/" xmlns:xsi="http://www.w3.org/2001/XMLSchema-instance" xsi:type="dcterms:W3CDTF">2022-03-07T00:00:00Z</dcterms:modified>
  <cp:lastModifiedBy>desk.excel.build (Virtual Metals Trading Desk — ACADEMIC SIMULATION)</cp:lastModifiedBy>
</cp:coreProperties>
</file>